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udkin\Desktop\"/>
    </mc:Choice>
  </mc:AlternateContent>
  <xr:revisionPtr revIDLastSave="0" documentId="13_ncr:1_{9F7BC046-C0B8-4D88-B3EC-683A0153747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G19722" i="1" l="1"/>
  <c r="G19721" i="1"/>
  <c r="G19720" i="1"/>
  <c r="G19719" i="1"/>
  <c r="G19718" i="1"/>
  <c r="G19717" i="1"/>
  <c r="G19716" i="1"/>
  <c r="G19715" i="1"/>
  <c r="G19714" i="1"/>
  <c r="G19713" i="1"/>
  <c r="G19712" i="1"/>
  <c r="G19711" i="1"/>
  <c r="G19710" i="1"/>
  <c r="G19709" i="1"/>
  <c r="G19708" i="1"/>
  <c r="G19707" i="1"/>
  <c r="G19706" i="1"/>
  <c r="G19705" i="1"/>
  <c r="G19704" i="1"/>
  <c r="G19703" i="1"/>
  <c r="G19702" i="1"/>
  <c r="G19701" i="1"/>
  <c r="G19700" i="1"/>
  <c r="G19699" i="1"/>
  <c r="G19698" i="1"/>
  <c r="G19697" i="1"/>
  <c r="G19696" i="1"/>
  <c r="G19695" i="1"/>
  <c r="G19694" i="1"/>
  <c r="G19693" i="1"/>
  <c r="G19692" i="1"/>
  <c r="G19691" i="1"/>
  <c r="G19690" i="1"/>
  <c r="G19689" i="1"/>
  <c r="G19688" i="1"/>
  <c r="G19687" i="1"/>
  <c r="G19686" i="1"/>
  <c r="G19685" i="1"/>
  <c r="G19684" i="1"/>
  <c r="G19683" i="1"/>
  <c r="G19682" i="1"/>
  <c r="G19681" i="1"/>
  <c r="G19680" i="1"/>
  <c r="G19679" i="1"/>
  <c r="G19678" i="1"/>
  <c r="G19677" i="1"/>
  <c r="G19676" i="1"/>
  <c r="G19675" i="1"/>
  <c r="G19674" i="1"/>
  <c r="G19673" i="1"/>
  <c r="G19672" i="1"/>
  <c r="G19671" i="1"/>
  <c r="G19670" i="1"/>
  <c r="G19669" i="1"/>
  <c r="G19668" i="1"/>
  <c r="G19667" i="1"/>
  <c r="G19666" i="1"/>
  <c r="G19665" i="1"/>
  <c r="G19664" i="1"/>
  <c r="G19663" i="1"/>
  <c r="G19662" i="1"/>
  <c r="G19661" i="1"/>
  <c r="G19660" i="1"/>
  <c r="G19659" i="1"/>
  <c r="G19658" i="1"/>
  <c r="G19657" i="1"/>
  <c r="G19656" i="1"/>
  <c r="G19655" i="1"/>
  <c r="G19654" i="1"/>
  <c r="G19653" i="1"/>
  <c r="G19652" i="1"/>
  <c r="G19651" i="1"/>
  <c r="G19650" i="1"/>
  <c r="G19649" i="1"/>
  <c r="G19648" i="1"/>
  <c r="G19647" i="1"/>
  <c r="G19646" i="1"/>
  <c r="G19645" i="1"/>
  <c r="G19644" i="1"/>
  <c r="G19643" i="1"/>
  <c r="G19642" i="1"/>
  <c r="G19641" i="1"/>
  <c r="G19640" i="1"/>
  <c r="G19639" i="1"/>
  <c r="G19638" i="1"/>
  <c r="G19637" i="1"/>
  <c r="G19636" i="1"/>
  <c r="G19635" i="1"/>
  <c r="G19634" i="1"/>
  <c r="G19633" i="1"/>
  <c r="G19632" i="1"/>
  <c r="G19631" i="1"/>
  <c r="G19630" i="1"/>
  <c r="G19629" i="1"/>
  <c r="G19628" i="1"/>
  <c r="G19627" i="1"/>
  <c r="G19626" i="1"/>
  <c r="G19625" i="1"/>
  <c r="G19624" i="1"/>
  <c r="G19623" i="1"/>
  <c r="G19622" i="1"/>
  <c r="G19621" i="1"/>
  <c r="G19620" i="1"/>
  <c r="G19619" i="1"/>
  <c r="G19618" i="1"/>
  <c r="G19617" i="1"/>
  <c r="G19616" i="1"/>
  <c r="G19615" i="1"/>
  <c r="G19614" i="1"/>
  <c r="G19613" i="1"/>
  <c r="G19612" i="1"/>
  <c r="G19611" i="1"/>
  <c r="G19610" i="1"/>
  <c r="G19609" i="1"/>
  <c r="G19608" i="1"/>
  <c r="G19607" i="1"/>
  <c r="G19606" i="1"/>
  <c r="G19605" i="1"/>
  <c r="G19604" i="1"/>
  <c r="G19603" i="1"/>
  <c r="G19602" i="1"/>
  <c r="G19601" i="1"/>
  <c r="G19600" i="1"/>
  <c r="G19599" i="1"/>
  <c r="G19598" i="1"/>
  <c r="G19597" i="1"/>
  <c r="G19596" i="1"/>
  <c r="G19595" i="1"/>
  <c r="G19594" i="1"/>
  <c r="G19593" i="1"/>
  <c r="G19592" i="1"/>
  <c r="G19591" i="1"/>
  <c r="G19590" i="1"/>
  <c r="G19589" i="1"/>
  <c r="G19588" i="1"/>
  <c r="G19587" i="1"/>
  <c r="G19586" i="1"/>
  <c r="G19585" i="1"/>
  <c r="G19584" i="1"/>
  <c r="G19583" i="1"/>
  <c r="G19582" i="1"/>
  <c r="G19581" i="1"/>
  <c r="G19580" i="1"/>
  <c r="G19579" i="1"/>
  <c r="G19578" i="1"/>
  <c r="G19577" i="1"/>
  <c r="G19576" i="1"/>
  <c r="G19575" i="1"/>
  <c r="G19574" i="1"/>
  <c r="G19573" i="1"/>
  <c r="G19572" i="1"/>
  <c r="G19571" i="1"/>
  <c r="G19570" i="1"/>
  <c r="G19569" i="1"/>
  <c r="G19568" i="1"/>
  <c r="G19567" i="1"/>
  <c r="G19566" i="1"/>
  <c r="G19565" i="1"/>
  <c r="G19564" i="1"/>
  <c r="G19563" i="1"/>
  <c r="G19562" i="1"/>
  <c r="G19561" i="1"/>
  <c r="G19560" i="1"/>
  <c r="G19559" i="1"/>
  <c r="G19558" i="1"/>
  <c r="G19557" i="1"/>
  <c r="G19556" i="1"/>
  <c r="G19555" i="1"/>
  <c r="G19554" i="1"/>
  <c r="G19553" i="1"/>
  <c r="G19552" i="1"/>
  <c r="G19551" i="1"/>
  <c r="G19550" i="1"/>
  <c r="G19549" i="1"/>
  <c r="G19548" i="1"/>
  <c r="G19547" i="1"/>
  <c r="G19546" i="1"/>
  <c r="G19545" i="1"/>
  <c r="G19544" i="1"/>
  <c r="G19543" i="1"/>
  <c r="G19542" i="1"/>
  <c r="G19541" i="1"/>
  <c r="G19540" i="1"/>
  <c r="G19539" i="1"/>
  <c r="G19538" i="1"/>
  <c r="G19537" i="1"/>
  <c r="G19536" i="1"/>
  <c r="G19535" i="1"/>
  <c r="G19534" i="1"/>
  <c r="G19533" i="1"/>
  <c r="G19532" i="1"/>
  <c r="G19531" i="1"/>
  <c r="G19530" i="1"/>
  <c r="G19529" i="1"/>
  <c r="G19528" i="1"/>
  <c r="G19527" i="1"/>
  <c r="G19526" i="1"/>
  <c r="G19525" i="1"/>
  <c r="G19524" i="1"/>
  <c r="G19523" i="1"/>
  <c r="G19522" i="1"/>
  <c r="G19521" i="1"/>
  <c r="G19520" i="1"/>
  <c r="G19519" i="1"/>
  <c r="G19518" i="1"/>
  <c r="G19517" i="1"/>
  <c r="G19516" i="1"/>
  <c r="G19515" i="1"/>
  <c r="G19514" i="1"/>
  <c r="G19513" i="1"/>
  <c r="G19512" i="1"/>
  <c r="G19511" i="1"/>
  <c r="G19510" i="1"/>
  <c r="G19509" i="1"/>
  <c r="G19508" i="1"/>
  <c r="G19507" i="1"/>
  <c r="G19506" i="1"/>
  <c r="G19505" i="1"/>
  <c r="G19504" i="1"/>
  <c r="G19503" i="1"/>
  <c r="G19502" i="1"/>
  <c r="G19501" i="1"/>
  <c r="G19500" i="1"/>
  <c r="G19499" i="1"/>
  <c r="G19498" i="1"/>
  <c r="G19497" i="1"/>
  <c r="G19496" i="1"/>
  <c r="G19495" i="1"/>
  <c r="G19494" i="1"/>
  <c r="G19493" i="1"/>
  <c r="G19492" i="1"/>
  <c r="G19491" i="1"/>
  <c r="G19490" i="1"/>
  <c r="G19489" i="1"/>
  <c r="G19488" i="1"/>
  <c r="G19487" i="1"/>
  <c r="G19486" i="1"/>
  <c r="G19485" i="1"/>
  <c r="G19484" i="1"/>
  <c r="G19483" i="1"/>
  <c r="G19482" i="1"/>
  <c r="G19481" i="1"/>
  <c r="G19480" i="1"/>
  <c r="G19479" i="1"/>
  <c r="G19478" i="1"/>
  <c r="G19477" i="1"/>
  <c r="G19476" i="1"/>
  <c r="G19475" i="1"/>
  <c r="G19474" i="1"/>
  <c r="G19473" i="1"/>
  <c r="G19472" i="1"/>
  <c r="G19471" i="1"/>
  <c r="G19470" i="1"/>
  <c r="G19469" i="1"/>
  <c r="G19468" i="1"/>
  <c r="G19467" i="1"/>
  <c r="G19466" i="1"/>
  <c r="G19465" i="1"/>
  <c r="G19464" i="1"/>
  <c r="G19463" i="1"/>
  <c r="G19462" i="1"/>
  <c r="G19461" i="1"/>
  <c r="G19460" i="1"/>
  <c r="G19459" i="1"/>
  <c r="G19458" i="1"/>
  <c r="G19457" i="1"/>
  <c r="G19456" i="1"/>
  <c r="G19455" i="1"/>
  <c r="G19454" i="1"/>
  <c r="G19453" i="1"/>
  <c r="G19452" i="1"/>
  <c r="G19451" i="1"/>
  <c r="G19450" i="1"/>
  <c r="G19449" i="1"/>
  <c r="G19448" i="1"/>
  <c r="G19447" i="1"/>
  <c r="G19446" i="1"/>
  <c r="G19445" i="1"/>
  <c r="G19444" i="1"/>
  <c r="G19443" i="1"/>
  <c r="G19442" i="1"/>
  <c r="G19441" i="1"/>
  <c r="G19440" i="1"/>
  <c r="G19439" i="1"/>
  <c r="G19438" i="1"/>
  <c r="G19437" i="1"/>
  <c r="G19436" i="1"/>
  <c r="G19435" i="1"/>
  <c r="G19434" i="1"/>
  <c r="G19433" i="1"/>
  <c r="G19432" i="1"/>
  <c r="G19431" i="1"/>
  <c r="G19430" i="1"/>
  <c r="G19429" i="1"/>
  <c r="G19428" i="1"/>
  <c r="G19427" i="1"/>
  <c r="G19426" i="1"/>
  <c r="G19425" i="1"/>
  <c r="G19424" i="1"/>
  <c r="G19423" i="1"/>
  <c r="G19422" i="1"/>
  <c r="G19421" i="1"/>
  <c r="G19420" i="1"/>
  <c r="G19419" i="1"/>
  <c r="G19418" i="1"/>
  <c r="G19417" i="1"/>
  <c r="G19416" i="1"/>
  <c r="G19415" i="1"/>
  <c r="G19414" i="1"/>
  <c r="G19413" i="1"/>
  <c r="G19412" i="1"/>
  <c r="G19411" i="1"/>
  <c r="G19410" i="1"/>
  <c r="G19409" i="1"/>
  <c r="G19408" i="1"/>
  <c r="G19407" i="1"/>
  <c r="G19406" i="1"/>
  <c r="G19405" i="1"/>
  <c r="G19404" i="1"/>
  <c r="G19403" i="1"/>
  <c r="G19402" i="1"/>
  <c r="G19401" i="1"/>
  <c r="G19400" i="1"/>
  <c r="G19399" i="1"/>
  <c r="G19398" i="1"/>
  <c r="G19397" i="1"/>
  <c r="G19396" i="1"/>
  <c r="G19395" i="1"/>
  <c r="G19394" i="1"/>
  <c r="G19393" i="1"/>
  <c r="G19392" i="1"/>
  <c r="G19391" i="1"/>
  <c r="G19390" i="1"/>
  <c r="G19389" i="1"/>
  <c r="G19388" i="1"/>
  <c r="G19387" i="1"/>
  <c r="G19386" i="1"/>
  <c r="G19385" i="1"/>
  <c r="G19384" i="1"/>
  <c r="G19383" i="1"/>
  <c r="G19382" i="1"/>
  <c r="G19381" i="1"/>
  <c r="G19380" i="1"/>
  <c r="G19379" i="1"/>
  <c r="G19378" i="1"/>
  <c r="G19377" i="1"/>
  <c r="G19376" i="1"/>
  <c r="G19375" i="1"/>
  <c r="G19374" i="1"/>
  <c r="G19373" i="1"/>
  <c r="G19372" i="1"/>
  <c r="G19371" i="1"/>
  <c r="G19370" i="1"/>
  <c r="G19369" i="1"/>
  <c r="G19368" i="1"/>
  <c r="G19367" i="1"/>
  <c r="G19366" i="1"/>
  <c r="G19365" i="1"/>
  <c r="G19364" i="1"/>
  <c r="G19363" i="1"/>
  <c r="G19362" i="1"/>
  <c r="G19361" i="1"/>
  <c r="G19360" i="1"/>
  <c r="G19359" i="1"/>
  <c r="G19358" i="1"/>
  <c r="G19357" i="1"/>
  <c r="G19356" i="1"/>
  <c r="G19355" i="1"/>
  <c r="G19354" i="1"/>
  <c r="G19353" i="1"/>
  <c r="G19352" i="1"/>
  <c r="G19351" i="1"/>
  <c r="G19350" i="1"/>
  <c r="G19349" i="1"/>
  <c r="G19348" i="1"/>
  <c r="G19347" i="1"/>
  <c r="G19346" i="1"/>
  <c r="G19345" i="1"/>
  <c r="G19344" i="1"/>
  <c r="G19343" i="1"/>
  <c r="G19342" i="1"/>
  <c r="G19341" i="1"/>
  <c r="G19340" i="1"/>
  <c r="G19339" i="1"/>
  <c r="G19338" i="1"/>
  <c r="G19337" i="1"/>
  <c r="G19336" i="1"/>
  <c r="G19335" i="1"/>
  <c r="G19334" i="1"/>
  <c r="G19333" i="1"/>
  <c r="G19332" i="1"/>
  <c r="G19331" i="1"/>
  <c r="G19330" i="1"/>
  <c r="G19329" i="1"/>
  <c r="G19328" i="1"/>
  <c r="G19327" i="1"/>
  <c r="G19326" i="1"/>
  <c r="G19325" i="1"/>
  <c r="G19324" i="1"/>
  <c r="G19323" i="1"/>
  <c r="G19322" i="1"/>
  <c r="G19321" i="1"/>
  <c r="G19320" i="1"/>
  <c r="G19319" i="1"/>
  <c r="G19318" i="1"/>
  <c r="G19317" i="1"/>
  <c r="G19316" i="1"/>
  <c r="G19315" i="1"/>
  <c r="G19314" i="1"/>
  <c r="G19313" i="1"/>
  <c r="G19312" i="1"/>
  <c r="G19311" i="1"/>
  <c r="G19310" i="1"/>
  <c r="G19309" i="1"/>
  <c r="G19308" i="1"/>
  <c r="G19307" i="1"/>
  <c r="G19306" i="1"/>
  <c r="G19305" i="1"/>
  <c r="G19304" i="1"/>
  <c r="G19303" i="1"/>
  <c r="G19302" i="1"/>
  <c r="G19301" i="1"/>
  <c r="G19300" i="1"/>
  <c r="G19299" i="1"/>
  <c r="G19298" i="1"/>
  <c r="G19297" i="1"/>
  <c r="G19296" i="1"/>
  <c r="G19295" i="1"/>
  <c r="G19294" i="1"/>
  <c r="G19293" i="1"/>
  <c r="G19292" i="1"/>
  <c r="G19291" i="1"/>
  <c r="G19290" i="1"/>
  <c r="G19289" i="1"/>
  <c r="G19288" i="1"/>
  <c r="G19287" i="1"/>
  <c r="G19286" i="1"/>
  <c r="G19285" i="1"/>
  <c r="G19284" i="1"/>
  <c r="G19283" i="1"/>
  <c r="G19282" i="1"/>
  <c r="G19281" i="1"/>
  <c r="G19280" i="1"/>
  <c r="G19279" i="1"/>
  <c r="G19278" i="1"/>
  <c r="G19277" i="1"/>
  <c r="G19276" i="1"/>
  <c r="G19275" i="1"/>
  <c r="G19274" i="1"/>
  <c r="G19273" i="1"/>
  <c r="G19272" i="1"/>
  <c r="G19271" i="1"/>
  <c r="G19270" i="1"/>
  <c r="G19269" i="1"/>
  <c r="G19268" i="1"/>
  <c r="G19267" i="1"/>
  <c r="G19266" i="1"/>
  <c r="G19265" i="1"/>
  <c r="G19264" i="1"/>
  <c r="G19263" i="1"/>
  <c r="G19262" i="1"/>
  <c r="G19261" i="1"/>
  <c r="G19260" i="1"/>
  <c r="G19259" i="1"/>
  <c r="G19258" i="1"/>
  <c r="G19257" i="1"/>
  <c r="G19256" i="1"/>
  <c r="G19255" i="1"/>
  <c r="G19254" i="1"/>
  <c r="G19253" i="1"/>
  <c r="G19252" i="1"/>
  <c r="G19251" i="1"/>
  <c r="G19250" i="1"/>
  <c r="G19249" i="1"/>
  <c r="G19248" i="1"/>
  <c r="G19247" i="1"/>
  <c r="G19246" i="1"/>
  <c r="G19245" i="1"/>
  <c r="G19244" i="1"/>
  <c r="G19243" i="1"/>
  <c r="G19242" i="1"/>
  <c r="G19241" i="1"/>
  <c r="G19240" i="1"/>
  <c r="G19239" i="1"/>
  <c r="G19238" i="1"/>
  <c r="G19237" i="1"/>
  <c r="G19236" i="1"/>
  <c r="G19235" i="1"/>
  <c r="G19234" i="1"/>
  <c r="G19233" i="1"/>
  <c r="G19232" i="1"/>
  <c r="G19231" i="1"/>
  <c r="G19230" i="1"/>
  <c r="G19229" i="1"/>
  <c r="G19228" i="1"/>
  <c r="G19227" i="1"/>
  <c r="G19226" i="1"/>
  <c r="G19225" i="1"/>
  <c r="G19224" i="1"/>
  <c r="G19223" i="1"/>
  <c r="G19222" i="1"/>
  <c r="G19221" i="1"/>
  <c r="G19220" i="1"/>
  <c r="G19219" i="1"/>
  <c r="G19218" i="1"/>
  <c r="G19217" i="1"/>
  <c r="G19216" i="1"/>
  <c r="G19215" i="1"/>
  <c r="G19214" i="1"/>
  <c r="G19213" i="1"/>
  <c r="G19212" i="1"/>
  <c r="G19211" i="1"/>
  <c r="G19210" i="1"/>
  <c r="G19209" i="1"/>
  <c r="G19208" i="1"/>
  <c r="G19207" i="1"/>
  <c r="G19206" i="1"/>
  <c r="G19205" i="1"/>
  <c r="G19204" i="1"/>
  <c r="G19203" i="1"/>
  <c r="G19202" i="1"/>
  <c r="G19201" i="1"/>
  <c r="G19200" i="1"/>
  <c r="G19199" i="1"/>
  <c r="G19198" i="1"/>
  <c r="G19197" i="1"/>
  <c r="G19196" i="1"/>
  <c r="G19195" i="1"/>
  <c r="G19194" i="1"/>
  <c r="G19193" i="1"/>
  <c r="G19192" i="1"/>
  <c r="G19191" i="1"/>
  <c r="G19190" i="1"/>
  <c r="G19189" i="1"/>
  <c r="G19188" i="1"/>
  <c r="G19187" i="1"/>
  <c r="G19186" i="1"/>
  <c r="G19185" i="1"/>
  <c r="G19184" i="1"/>
  <c r="G19183" i="1"/>
  <c r="G19182" i="1"/>
  <c r="G19181" i="1"/>
  <c r="G19180" i="1"/>
  <c r="G19179" i="1"/>
  <c r="G19178" i="1"/>
  <c r="G19177" i="1"/>
  <c r="G19176" i="1"/>
  <c r="G19175" i="1"/>
  <c r="G19174" i="1"/>
  <c r="G19173" i="1"/>
  <c r="G19172" i="1"/>
  <c r="G19171" i="1"/>
  <c r="G19170" i="1"/>
  <c r="G19169" i="1"/>
  <c r="G19168" i="1"/>
  <c r="G19167" i="1"/>
  <c r="G19166" i="1"/>
  <c r="G19165" i="1"/>
  <c r="G19164" i="1"/>
  <c r="G19163" i="1"/>
  <c r="G19162" i="1"/>
  <c r="G19161" i="1"/>
  <c r="G19160" i="1"/>
  <c r="G19159" i="1"/>
  <c r="G19158" i="1"/>
  <c r="G19157" i="1"/>
  <c r="G19156" i="1"/>
  <c r="G19155" i="1"/>
  <c r="G19154" i="1"/>
  <c r="G19153" i="1"/>
  <c r="G19152" i="1"/>
  <c r="G19151" i="1"/>
  <c r="G19150" i="1"/>
  <c r="G19149" i="1"/>
  <c r="G19148" i="1"/>
  <c r="G19147" i="1"/>
  <c r="G19146" i="1"/>
  <c r="G19145" i="1"/>
  <c r="G19144" i="1"/>
  <c r="G19143" i="1"/>
  <c r="G19142" i="1"/>
  <c r="G19141" i="1"/>
  <c r="G19140" i="1"/>
  <c r="G19139" i="1"/>
  <c r="G19138" i="1"/>
  <c r="G19137" i="1"/>
  <c r="G19136" i="1"/>
  <c r="G19135" i="1"/>
  <c r="G19134" i="1"/>
  <c r="G19133" i="1"/>
  <c r="G19132" i="1"/>
  <c r="G19131" i="1"/>
  <c r="G19130" i="1"/>
  <c r="G19129" i="1"/>
  <c r="G19128" i="1"/>
  <c r="G19127" i="1"/>
  <c r="G19126" i="1"/>
  <c r="G19125" i="1"/>
  <c r="G19124" i="1"/>
  <c r="G19123" i="1"/>
  <c r="G19122" i="1"/>
  <c r="G19121" i="1"/>
  <c r="G19120" i="1"/>
  <c r="G19119" i="1"/>
  <c r="G19118" i="1"/>
  <c r="G19117" i="1"/>
  <c r="G19116" i="1"/>
  <c r="G19115" i="1"/>
  <c r="G19114" i="1"/>
  <c r="G19113" i="1"/>
  <c r="G19112" i="1"/>
  <c r="G19111" i="1"/>
  <c r="G19110" i="1"/>
  <c r="G19109" i="1"/>
  <c r="G19108" i="1"/>
  <c r="G19107" i="1"/>
  <c r="G19106" i="1"/>
  <c r="G19105" i="1"/>
  <c r="G19104" i="1"/>
  <c r="G19103" i="1"/>
  <c r="G19102" i="1"/>
  <c r="G19101" i="1"/>
  <c r="G19100" i="1"/>
  <c r="G19099" i="1"/>
  <c r="G19098" i="1"/>
  <c r="G19097" i="1"/>
  <c r="G19096" i="1"/>
  <c r="G19095" i="1"/>
  <c r="G19094" i="1"/>
  <c r="G19093" i="1"/>
  <c r="G19092" i="1"/>
  <c r="G19091" i="1"/>
  <c r="G19090" i="1"/>
  <c r="G19089" i="1"/>
  <c r="G19088" i="1"/>
  <c r="G19087" i="1"/>
  <c r="G19086" i="1"/>
  <c r="G19085" i="1"/>
  <c r="G19084" i="1"/>
  <c r="G19083" i="1"/>
  <c r="G19082" i="1"/>
  <c r="G19081" i="1"/>
  <c r="G19080" i="1"/>
  <c r="G19079" i="1"/>
  <c r="G19078" i="1"/>
  <c r="G19077" i="1"/>
  <c r="G19076" i="1"/>
  <c r="G19075" i="1"/>
  <c r="G19074" i="1"/>
  <c r="G19073" i="1"/>
  <c r="G19072" i="1"/>
  <c r="G19071" i="1"/>
  <c r="G19070" i="1"/>
  <c r="G19069" i="1"/>
  <c r="G19068" i="1"/>
  <c r="G19067" i="1"/>
  <c r="G19066" i="1"/>
  <c r="G19065" i="1"/>
  <c r="G19064" i="1"/>
  <c r="G19063" i="1"/>
  <c r="G19062" i="1"/>
  <c r="G19061" i="1"/>
  <c r="G19060" i="1"/>
  <c r="G19059" i="1"/>
  <c r="G19058" i="1"/>
  <c r="G19057" i="1"/>
  <c r="G19056" i="1"/>
  <c r="G19055" i="1"/>
  <c r="G19054" i="1"/>
  <c r="G19053" i="1"/>
  <c r="G19052" i="1"/>
  <c r="G19051" i="1"/>
  <c r="G19050" i="1"/>
  <c r="G19049" i="1"/>
  <c r="G19048" i="1"/>
  <c r="G19047" i="1"/>
  <c r="G19046" i="1"/>
  <c r="G19045" i="1"/>
  <c r="G19044" i="1"/>
  <c r="G19043" i="1"/>
  <c r="G19042" i="1"/>
  <c r="G19041" i="1"/>
  <c r="G19040" i="1"/>
  <c r="G19039" i="1"/>
  <c r="G19038" i="1"/>
  <c r="G19037" i="1"/>
  <c r="G19036" i="1"/>
  <c r="G19035" i="1"/>
  <c r="G19034" i="1"/>
  <c r="G19033" i="1"/>
  <c r="G19032" i="1"/>
  <c r="G19031" i="1"/>
  <c r="G19030" i="1"/>
  <c r="G19029" i="1"/>
  <c r="G19028" i="1"/>
  <c r="G19027" i="1"/>
  <c r="G19026" i="1"/>
  <c r="G19025" i="1"/>
  <c r="G19024" i="1"/>
  <c r="G19023" i="1"/>
  <c r="G19022" i="1"/>
  <c r="G19021" i="1"/>
  <c r="G19020" i="1"/>
  <c r="G19019" i="1"/>
  <c r="G19018" i="1"/>
  <c r="G19017" i="1"/>
  <c r="G19016" i="1"/>
  <c r="G19015" i="1"/>
  <c r="G19014" i="1"/>
  <c r="G19013" i="1"/>
  <c r="G19012" i="1"/>
  <c r="G19011" i="1"/>
  <c r="G19010" i="1"/>
  <c r="G19009" i="1"/>
  <c r="G19008" i="1"/>
  <c r="G19007" i="1"/>
  <c r="G19006" i="1"/>
  <c r="G19005" i="1"/>
  <c r="G19004" i="1"/>
  <c r="G19003" i="1"/>
  <c r="G19002" i="1"/>
  <c r="G19001" i="1"/>
  <c r="G19000" i="1"/>
  <c r="G18999" i="1"/>
  <c r="G18998" i="1"/>
  <c r="G18997" i="1"/>
  <c r="G18996" i="1"/>
  <c r="G18995" i="1"/>
  <c r="G18994" i="1"/>
  <c r="G18993" i="1"/>
  <c r="G18992" i="1"/>
  <c r="G18991" i="1"/>
  <c r="G18990" i="1"/>
  <c r="G18989" i="1"/>
  <c r="G18988" i="1"/>
  <c r="G18987" i="1"/>
  <c r="G18986" i="1"/>
  <c r="G18985" i="1"/>
  <c r="G18984" i="1"/>
  <c r="G18983" i="1"/>
  <c r="G18982" i="1"/>
  <c r="G18981" i="1"/>
  <c r="G18980" i="1"/>
  <c r="G18979" i="1"/>
  <c r="G18978" i="1"/>
  <c r="G18977" i="1"/>
  <c r="G18976" i="1"/>
  <c r="G18975" i="1"/>
  <c r="G18974" i="1"/>
  <c r="G18973" i="1"/>
  <c r="G18972" i="1"/>
  <c r="G18971" i="1"/>
  <c r="G18970" i="1"/>
  <c r="G18969" i="1"/>
  <c r="G18968" i="1"/>
  <c r="G18967" i="1"/>
  <c r="G18966" i="1"/>
  <c r="G18965" i="1"/>
  <c r="G18964" i="1"/>
  <c r="G18963" i="1"/>
  <c r="G18962" i="1"/>
  <c r="G18961" i="1"/>
  <c r="G18960" i="1"/>
  <c r="G18959" i="1"/>
  <c r="G18958" i="1"/>
  <c r="G18957" i="1"/>
  <c r="G18956" i="1"/>
  <c r="G18955" i="1"/>
  <c r="G18954" i="1"/>
  <c r="G18953" i="1"/>
  <c r="G18952" i="1"/>
  <c r="G18951" i="1"/>
  <c r="G18950" i="1"/>
  <c r="G18949" i="1"/>
  <c r="G18948" i="1"/>
  <c r="G18947" i="1"/>
  <c r="G18946" i="1"/>
  <c r="G18945" i="1"/>
  <c r="G18944" i="1"/>
  <c r="G18943" i="1"/>
  <c r="G18942" i="1"/>
  <c r="G18941" i="1"/>
  <c r="G18940" i="1"/>
  <c r="G18939" i="1"/>
  <c r="G18938" i="1"/>
  <c r="G18937" i="1"/>
  <c r="G18936" i="1"/>
  <c r="G18935" i="1"/>
  <c r="G18934" i="1"/>
  <c r="G18933" i="1"/>
  <c r="G18932" i="1"/>
  <c r="G18931" i="1"/>
  <c r="G18930" i="1"/>
  <c r="G18929" i="1"/>
  <c r="G18928" i="1"/>
  <c r="G18927" i="1"/>
  <c r="G18926" i="1"/>
  <c r="G18925" i="1"/>
  <c r="G18924" i="1"/>
  <c r="G18923" i="1"/>
  <c r="G18922" i="1"/>
  <c r="G18921" i="1"/>
  <c r="G18920" i="1"/>
  <c r="G18919" i="1"/>
  <c r="G18918" i="1"/>
  <c r="G18917" i="1"/>
  <c r="G18916" i="1"/>
  <c r="G18915" i="1"/>
  <c r="G18914" i="1"/>
  <c r="G18913" i="1"/>
  <c r="G18912" i="1"/>
  <c r="G18911" i="1"/>
  <c r="G18910" i="1"/>
  <c r="G18909" i="1"/>
  <c r="G18908" i="1"/>
  <c r="G18907" i="1"/>
  <c r="G18906" i="1"/>
  <c r="G18905" i="1"/>
  <c r="G18904" i="1"/>
  <c r="G18903" i="1"/>
  <c r="G18902" i="1"/>
  <c r="G18901" i="1"/>
  <c r="G18900" i="1"/>
  <c r="G18899" i="1"/>
  <c r="G18898" i="1"/>
  <c r="G18897" i="1"/>
  <c r="G18896" i="1"/>
  <c r="G18895" i="1"/>
  <c r="G18894" i="1"/>
  <c r="G18893" i="1"/>
  <c r="G18892" i="1"/>
  <c r="G18891" i="1"/>
  <c r="G18890" i="1"/>
  <c r="G18889" i="1"/>
  <c r="G18888" i="1"/>
  <c r="G18887" i="1"/>
  <c r="G18886" i="1"/>
  <c r="G18885" i="1"/>
  <c r="G18884" i="1"/>
  <c r="G18883" i="1"/>
  <c r="G18882" i="1"/>
  <c r="G18881" i="1"/>
  <c r="G18880" i="1"/>
  <c r="G18879" i="1"/>
  <c r="G18878" i="1"/>
  <c r="G18877" i="1"/>
  <c r="G18876" i="1"/>
  <c r="G18875" i="1"/>
  <c r="G18874" i="1"/>
  <c r="G18873" i="1"/>
  <c r="G18872" i="1"/>
  <c r="G18871" i="1"/>
  <c r="G18870" i="1"/>
  <c r="G18869" i="1"/>
  <c r="G18868" i="1"/>
  <c r="G18867" i="1"/>
  <c r="G18866" i="1"/>
  <c r="G18865" i="1"/>
  <c r="G18864" i="1"/>
  <c r="G18863" i="1"/>
  <c r="G18862" i="1"/>
  <c r="G18861" i="1"/>
  <c r="G18860" i="1"/>
  <c r="G18859" i="1"/>
  <c r="G18858" i="1"/>
  <c r="G18857" i="1"/>
  <c r="G18856" i="1"/>
  <c r="G18855" i="1"/>
  <c r="G18854" i="1"/>
  <c r="G18853" i="1"/>
  <c r="G18852" i="1"/>
  <c r="G18851" i="1"/>
  <c r="G18850" i="1"/>
  <c r="G18849" i="1"/>
  <c r="G18848" i="1"/>
  <c r="G18847" i="1"/>
  <c r="G18846" i="1"/>
  <c r="G18845" i="1"/>
  <c r="G18844" i="1"/>
  <c r="G18843" i="1"/>
  <c r="G18842" i="1"/>
  <c r="G18841" i="1"/>
  <c r="G18840" i="1"/>
  <c r="G18839" i="1"/>
  <c r="G18838" i="1"/>
  <c r="G18837" i="1"/>
  <c r="G18836" i="1"/>
  <c r="G18835" i="1"/>
  <c r="G18834" i="1"/>
  <c r="G18833" i="1"/>
  <c r="G18832" i="1"/>
  <c r="G18831" i="1"/>
  <c r="G18830" i="1"/>
  <c r="G18829" i="1"/>
  <c r="G18828" i="1"/>
  <c r="G18827" i="1"/>
  <c r="G18826" i="1"/>
  <c r="G18825" i="1"/>
  <c r="G18824" i="1"/>
  <c r="G18823" i="1"/>
  <c r="G18822" i="1"/>
  <c r="G18821" i="1"/>
  <c r="G18820" i="1"/>
  <c r="G18819" i="1"/>
  <c r="G18818" i="1"/>
  <c r="G18817" i="1"/>
  <c r="G18816" i="1"/>
  <c r="G18815" i="1"/>
  <c r="G18814" i="1"/>
  <c r="G18813" i="1"/>
  <c r="G18812" i="1"/>
  <c r="G18811" i="1"/>
  <c r="G18810" i="1"/>
  <c r="G18809" i="1"/>
  <c r="G18808" i="1"/>
  <c r="G18807" i="1"/>
  <c r="G18806" i="1"/>
  <c r="G18805" i="1"/>
  <c r="G18804" i="1"/>
  <c r="G18803" i="1"/>
  <c r="G18802" i="1"/>
  <c r="G18801" i="1"/>
  <c r="G18800" i="1"/>
  <c r="G18799" i="1"/>
  <c r="G18798" i="1"/>
  <c r="G18797" i="1"/>
  <c r="G18796" i="1"/>
  <c r="G18795" i="1"/>
  <c r="G18794" i="1"/>
  <c r="G18793" i="1"/>
  <c r="G18792" i="1"/>
  <c r="G18791" i="1"/>
  <c r="G18790" i="1"/>
  <c r="G18789" i="1"/>
  <c r="G18788" i="1"/>
  <c r="G18787" i="1"/>
  <c r="G18786" i="1"/>
  <c r="G18785" i="1"/>
  <c r="G18784" i="1"/>
  <c r="G18783" i="1"/>
  <c r="G18782" i="1"/>
  <c r="G18781" i="1"/>
  <c r="G18780" i="1"/>
  <c r="G18779" i="1"/>
  <c r="G18778" i="1"/>
  <c r="G18777" i="1"/>
  <c r="G18776" i="1"/>
  <c r="G18775" i="1"/>
  <c r="G18774" i="1"/>
  <c r="G18773" i="1"/>
  <c r="G18772" i="1"/>
  <c r="G18771" i="1"/>
  <c r="G18770" i="1"/>
  <c r="G18769" i="1"/>
  <c r="G18768" i="1"/>
  <c r="G18767" i="1"/>
  <c r="G18766" i="1"/>
  <c r="G18765" i="1"/>
  <c r="G18764" i="1"/>
  <c r="G18763" i="1"/>
  <c r="G18762" i="1"/>
  <c r="G18761" i="1"/>
  <c r="G18760" i="1"/>
  <c r="G18759" i="1"/>
  <c r="G18758" i="1"/>
  <c r="G18757" i="1"/>
  <c r="G18756" i="1"/>
  <c r="G18755" i="1"/>
  <c r="G18754" i="1"/>
  <c r="G18753" i="1"/>
  <c r="G18752" i="1"/>
  <c r="G18751" i="1"/>
  <c r="G18750" i="1"/>
  <c r="G18749" i="1"/>
  <c r="G18748" i="1"/>
  <c r="G18747" i="1"/>
  <c r="G18746" i="1"/>
  <c r="G18745" i="1"/>
  <c r="G18744" i="1"/>
  <c r="G18743" i="1"/>
  <c r="G18742" i="1"/>
  <c r="G18741" i="1"/>
  <c r="G18740" i="1"/>
  <c r="G18739" i="1"/>
  <c r="G18738" i="1"/>
  <c r="G18737" i="1"/>
  <c r="G18736" i="1"/>
  <c r="G18735" i="1"/>
  <c r="G18734" i="1"/>
  <c r="G18733" i="1"/>
  <c r="G18732" i="1"/>
  <c r="G18731" i="1"/>
  <c r="G18730" i="1"/>
  <c r="G18729" i="1"/>
  <c r="G18728" i="1"/>
  <c r="G18727" i="1"/>
  <c r="G18726" i="1"/>
  <c r="G18725" i="1"/>
  <c r="G18724" i="1"/>
  <c r="G18723" i="1"/>
  <c r="G18722" i="1"/>
  <c r="G18721" i="1"/>
  <c r="G18720" i="1"/>
  <c r="G18719" i="1"/>
  <c r="G18718" i="1"/>
  <c r="G18717" i="1"/>
  <c r="G18716" i="1"/>
  <c r="G18715" i="1"/>
  <c r="G18714" i="1"/>
  <c r="G18713" i="1"/>
  <c r="G18712" i="1"/>
  <c r="G18711" i="1"/>
  <c r="G18710" i="1"/>
  <c r="G18709" i="1"/>
  <c r="G18708" i="1"/>
  <c r="G18707" i="1"/>
  <c r="G18706" i="1"/>
  <c r="G18705" i="1"/>
  <c r="G18704" i="1"/>
  <c r="G18703" i="1"/>
  <c r="G18702" i="1"/>
  <c r="G18701" i="1"/>
  <c r="G18700" i="1"/>
  <c r="G18699" i="1"/>
  <c r="G18698" i="1"/>
  <c r="G18697" i="1"/>
  <c r="G18696" i="1"/>
  <c r="G18695" i="1"/>
  <c r="G18694" i="1"/>
  <c r="G18693" i="1"/>
  <c r="G18692" i="1"/>
  <c r="G18691" i="1"/>
  <c r="G18690" i="1"/>
  <c r="G18689" i="1"/>
  <c r="G18688" i="1"/>
  <c r="G18687" i="1"/>
  <c r="G18686" i="1"/>
  <c r="G18685" i="1"/>
  <c r="G18684" i="1"/>
  <c r="G18683" i="1"/>
  <c r="G18682" i="1"/>
  <c r="G18681" i="1"/>
  <c r="G18680" i="1"/>
  <c r="G18679" i="1"/>
  <c r="G18678" i="1"/>
  <c r="G18677" i="1"/>
  <c r="G18676" i="1"/>
  <c r="G18675" i="1"/>
  <c r="G18674" i="1"/>
  <c r="G18673" i="1"/>
  <c r="G18672" i="1"/>
  <c r="G18671" i="1"/>
  <c r="G18670" i="1"/>
  <c r="G18669" i="1"/>
  <c r="G18668" i="1"/>
  <c r="G18667" i="1"/>
  <c r="G18666" i="1"/>
  <c r="G18665" i="1"/>
  <c r="G18664" i="1"/>
  <c r="G18663" i="1"/>
  <c r="G18662" i="1"/>
  <c r="G18661" i="1"/>
  <c r="G18660" i="1"/>
  <c r="G18659" i="1"/>
  <c r="G18658" i="1"/>
  <c r="G18657" i="1"/>
  <c r="G18656" i="1"/>
  <c r="G18655" i="1"/>
  <c r="G18654" i="1"/>
  <c r="G18653" i="1"/>
  <c r="G18652" i="1"/>
  <c r="G18651" i="1"/>
  <c r="G18650" i="1"/>
  <c r="G18649" i="1"/>
  <c r="G18648" i="1"/>
  <c r="G18647" i="1"/>
  <c r="G18646" i="1"/>
  <c r="G18645" i="1"/>
  <c r="G18644" i="1"/>
  <c r="G18643" i="1"/>
  <c r="G18642" i="1"/>
  <c r="G18641" i="1"/>
  <c r="G18640" i="1"/>
  <c r="G18639" i="1"/>
  <c r="G18638" i="1"/>
  <c r="G18637" i="1"/>
  <c r="G18636" i="1"/>
  <c r="G18635" i="1"/>
  <c r="G18634" i="1"/>
  <c r="G18633" i="1"/>
  <c r="G18632" i="1"/>
  <c r="G18631" i="1"/>
  <c r="G18630" i="1"/>
  <c r="G18629" i="1"/>
  <c r="G18628" i="1"/>
  <c r="G18627" i="1"/>
  <c r="G18626" i="1"/>
  <c r="G18625" i="1"/>
  <c r="G18624" i="1"/>
  <c r="G18623" i="1"/>
  <c r="G18622" i="1"/>
  <c r="G18621" i="1"/>
  <c r="G18620" i="1"/>
  <c r="G18619" i="1"/>
  <c r="G18618" i="1"/>
  <c r="G18617" i="1"/>
  <c r="G18616" i="1"/>
  <c r="G18615" i="1"/>
  <c r="G18614" i="1"/>
  <c r="G18613" i="1"/>
  <c r="G18612" i="1"/>
  <c r="G18611" i="1"/>
  <c r="G18610" i="1"/>
  <c r="G18609" i="1"/>
  <c r="G18608" i="1"/>
  <c r="G18607" i="1"/>
  <c r="G18606" i="1"/>
  <c r="G18605" i="1"/>
  <c r="G18604" i="1"/>
  <c r="G18603" i="1"/>
  <c r="G18602" i="1"/>
  <c r="G18601" i="1"/>
  <c r="G18600" i="1"/>
  <c r="G18599" i="1"/>
  <c r="G18598" i="1"/>
  <c r="G18597" i="1"/>
  <c r="G18596" i="1"/>
  <c r="G18595" i="1"/>
  <c r="G18594" i="1"/>
  <c r="G18593" i="1"/>
  <c r="G18592" i="1"/>
  <c r="G18591" i="1"/>
  <c r="G18590" i="1"/>
  <c r="G18589" i="1"/>
  <c r="G18588" i="1"/>
  <c r="G18587" i="1"/>
  <c r="G18586" i="1"/>
  <c r="G18585" i="1"/>
  <c r="G18584" i="1"/>
  <c r="G18583" i="1"/>
  <c r="G18582" i="1"/>
  <c r="G18581" i="1"/>
  <c r="G18580" i="1"/>
  <c r="G18579" i="1"/>
  <c r="G18578" i="1"/>
  <c r="G18577" i="1"/>
  <c r="G18576" i="1"/>
  <c r="G18575" i="1"/>
  <c r="G18574" i="1"/>
  <c r="G18573" i="1"/>
  <c r="G18572" i="1"/>
  <c r="G18571" i="1"/>
  <c r="G18570" i="1"/>
  <c r="G18569" i="1"/>
  <c r="G18568" i="1"/>
  <c r="G18567" i="1"/>
  <c r="G18566" i="1"/>
  <c r="G18565" i="1"/>
  <c r="G18564" i="1"/>
  <c r="G18563" i="1"/>
  <c r="G18562" i="1"/>
  <c r="G18561" i="1"/>
  <c r="G18560" i="1"/>
  <c r="G18559" i="1"/>
  <c r="G18558" i="1"/>
  <c r="G18557" i="1"/>
  <c r="G18556" i="1"/>
  <c r="G18555" i="1"/>
  <c r="G18554" i="1"/>
  <c r="G18553" i="1"/>
  <c r="G18552" i="1"/>
  <c r="G18551" i="1"/>
  <c r="G18550" i="1"/>
  <c r="G18549" i="1"/>
  <c r="G18548" i="1"/>
  <c r="G18547" i="1"/>
  <c r="G18546" i="1"/>
  <c r="G18545" i="1"/>
  <c r="G18544" i="1"/>
  <c r="G18543" i="1"/>
  <c r="G18542" i="1"/>
  <c r="G18541" i="1"/>
  <c r="G18540" i="1"/>
  <c r="G18539" i="1"/>
  <c r="G18538" i="1"/>
  <c r="G18537" i="1"/>
  <c r="G18536" i="1"/>
  <c r="G18535" i="1"/>
  <c r="G18534" i="1"/>
  <c r="G18533" i="1"/>
  <c r="G18532" i="1"/>
  <c r="G18531" i="1"/>
  <c r="G18530" i="1"/>
  <c r="G18529" i="1"/>
  <c r="G18528" i="1"/>
  <c r="G18527" i="1"/>
  <c r="G18526" i="1"/>
  <c r="G18525" i="1"/>
  <c r="G18524" i="1"/>
  <c r="G18523" i="1"/>
  <c r="G18522" i="1"/>
  <c r="G18521" i="1"/>
  <c r="G18520" i="1"/>
  <c r="G18519" i="1"/>
  <c r="G18518" i="1"/>
  <c r="G18517" i="1"/>
  <c r="G18516" i="1"/>
  <c r="G18515" i="1"/>
  <c r="G18514" i="1"/>
  <c r="G18513" i="1"/>
  <c r="G18512" i="1"/>
  <c r="G18511" i="1"/>
  <c r="G18510" i="1"/>
  <c r="G18509" i="1"/>
  <c r="G18508" i="1"/>
  <c r="G18507" i="1"/>
  <c r="G18506" i="1"/>
  <c r="G18505" i="1"/>
  <c r="G18504" i="1"/>
  <c r="G18503" i="1"/>
  <c r="G18502" i="1"/>
  <c r="G18501" i="1"/>
  <c r="G18500" i="1"/>
  <c r="G18499" i="1"/>
  <c r="G18498" i="1"/>
  <c r="G18497" i="1"/>
  <c r="G18496" i="1"/>
  <c r="G18495" i="1"/>
  <c r="G18494" i="1"/>
  <c r="G18493" i="1"/>
  <c r="G18492" i="1"/>
  <c r="G18491" i="1"/>
  <c r="G18490" i="1"/>
  <c r="G18489" i="1"/>
  <c r="G18488" i="1"/>
  <c r="G18487" i="1"/>
  <c r="G18486" i="1"/>
  <c r="G18485" i="1"/>
  <c r="G18484" i="1"/>
  <c r="G18483" i="1"/>
  <c r="G18482" i="1"/>
  <c r="G18481" i="1"/>
  <c r="G18480" i="1"/>
  <c r="G18479" i="1"/>
  <c r="G18478" i="1"/>
  <c r="G18477" i="1"/>
  <c r="G18476" i="1"/>
  <c r="G18475" i="1"/>
  <c r="G18474" i="1"/>
  <c r="G18473" i="1"/>
  <c r="G18472" i="1"/>
  <c r="G18471" i="1"/>
  <c r="G18470" i="1"/>
  <c r="G18469" i="1"/>
  <c r="G18468" i="1"/>
  <c r="G18467" i="1"/>
  <c r="G18466" i="1"/>
  <c r="G18465" i="1"/>
  <c r="G18464" i="1"/>
  <c r="G18463" i="1"/>
  <c r="G18462" i="1"/>
  <c r="G18461" i="1"/>
  <c r="G18460" i="1"/>
  <c r="G18459" i="1"/>
  <c r="G18458" i="1"/>
  <c r="G18457" i="1"/>
  <c r="G18456" i="1"/>
  <c r="G18455" i="1"/>
  <c r="G18454" i="1"/>
  <c r="G18453" i="1"/>
  <c r="G18452" i="1"/>
  <c r="G18451" i="1"/>
  <c r="G18450" i="1"/>
  <c r="G18449" i="1"/>
  <c r="G18448" i="1"/>
  <c r="G18447" i="1"/>
  <c r="G18446" i="1"/>
  <c r="G18445" i="1"/>
  <c r="G18444" i="1"/>
  <c r="G18443" i="1"/>
  <c r="G18442" i="1"/>
  <c r="G18441" i="1"/>
  <c r="G18440" i="1"/>
  <c r="G18439" i="1"/>
  <c r="G18438" i="1"/>
  <c r="G18437" i="1"/>
  <c r="G18436" i="1"/>
  <c r="G18435" i="1"/>
  <c r="G18434" i="1"/>
  <c r="G18433" i="1"/>
  <c r="G18432" i="1"/>
  <c r="G18431" i="1"/>
  <c r="G18430" i="1"/>
  <c r="G18429" i="1"/>
  <c r="G18428" i="1"/>
  <c r="G18427" i="1"/>
  <c r="G18426" i="1"/>
  <c r="G18425" i="1"/>
  <c r="G18424" i="1"/>
  <c r="G18423" i="1"/>
  <c r="G18422" i="1"/>
  <c r="G18421" i="1"/>
  <c r="G18420" i="1"/>
  <c r="G18419" i="1"/>
  <c r="G18418" i="1"/>
  <c r="G18417" i="1"/>
  <c r="G18416" i="1"/>
  <c r="G18415" i="1"/>
  <c r="G18414" i="1"/>
  <c r="G18413" i="1"/>
  <c r="G18412" i="1"/>
  <c r="G18411" i="1"/>
  <c r="G18410" i="1"/>
  <c r="G18409" i="1"/>
  <c r="G18408" i="1"/>
  <c r="G18407" i="1"/>
  <c r="G18406" i="1"/>
  <c r="G18405" i="1"/>
  <c r="G18404" i="1"/>
  <c r="G18403" i="1"/>
  <c r="G18402" i="1"/>
  <c r="G18401" i="1"/>
  <c r="G18400" i="1"/>
  <c r="G18399" i="1"/>
  <c r="G18398" i="1"/>
  <c r="G18397" i="1"/>
  <c r="G18396" i="1"/>
  <c r="G18395" i="1"/>
  <c r="G18394" i="1"/>
  <c r="G18393" i="1"/>
  <c r="G18392" i="1"/>
  <c r="G18391" i="1"/>
  <c r="G18390" i="1"/>
  <c r="G18389" i="1"/>
  <c r="G18388" i="1"/>
  <c r="G18387" i="1"/>
  <c r="G18386" i="1"/>
  <c r="G18385" i="1"/>
  <c r="G18384" i="1"/>
  <c r="G18383" i="1"/>
  <c r="G18382" i="1"/>
  <c r="G18381" i="1"/>
  <c r="G18380" i="1"/>
  <c r="G18379" i="1"/>
  <c r="G18378" i="1"/>
  <c r="G18377" i="1"/>
  <c r="G18376" i="1"/>
  <c r="G18375" i="1"/>
  <c r="G18374" i="1"/>
  <c r="G18373" i="1"/>
  <c r="G18372" i="1"/>
  <c r="G18371" i="1"/>
  <c r="G18370" i="1"/>
  <c r="G18369" i="1"/>
  <c r="G18368" i="1"/>
  <c r="G18367" i="1"/>
  <c r="G18366" i="1"/>
  <c r="G18365" i="1"/>
  <c r="G18364" i="1"/>
  <c r="G18363" i="1"/>
  <c r="G18362" i="1"/>
  <c r="G18361" i="1"/>
  <c r="G18360" i="1"/>
  <c r="G18359" i="1"/>
  <c r="G18358" i="1"/>
  <c r="G18357" i="1"/>
  <c r="G18356" i="1"/>
  <c r="G18355" i="1"/>
  <c r="G18354" i="1"/>
  <c r="G18353" i="1"/>
  <c r="G18352" i="1"/>
  <c r="G18351" i="1"/>
  <c r="G18350" i="1"/>
  <c r="G18349" i="1"/>
  <c r="G18348" i="1"/>
  <c r="G18347" i="1"/>
  <c r="G18346" i="1"/>
  <c r="G18345" i="1"/>
  <c r="G18344" i="1"/>
  <c r="G18343" i="1"/>
  <c r="G18342" i="1"/>
  <c r="G18341" i="1"/>
  <c r="G18340" i="1"/>
  <c r="G18339" i="1"/>
  <c r="G18338" i="1"/>
  <c r="G18337" i="1"/>
  <c r="G18336" i="1"/>
  <c r="G18335" i="1"/>
  <c r="G18334" i="1"/>
  <c r="G18333" i="1"/>
  <c r="G18332" i="1"/>
  <c r="G18331" i="1"/>
  <c r="G18330" i="1"/>
  <c r="G18329" i="1"/>
  <c r="G18328" i="1"/>
  <c r="G18327" i="1"/>
  <c r="G18326" i="1"/>
  <c r="G18325" i="1"/>
  <c r="G18324" i="1"/>
  <c r="G18323" i="1"/>
  <c r="G18322" i="1"/>
  <c r="G18321" i="1"/>
  <c r="G18320" i="1"/>
  <c r="G18319" i="1"/>
  <c r="G18318" i="1"/>
  <c r="G18317" i="1"/>
  <c r="G18316" i="1"/>
  <c r="G18315" i="1"/>
  <c r="G18314" i="1"/>
  <c r="G18313" i="1"/>
  <c r="G18312" i="1"/>
  <c r="G18311" i="1"/>
  <c r="G18310" i="1"/>
  <c r="G18309" i="1"/>
  <c r="G18308" i="1"/>
  <c r="G18307" i="1"/>
  <c r="G18306" i="1"/>
  <c r="G18305" i="1"/>
  <c r="G18304" i="1"/>
  <c r="G18303" i="1"/>
  <c r="G18302" i="1"/>
  <c r="G18301" i="1"/>
  <c r="G18300" i="1"/>
  <c r="G18299" i="1"/>
  <c r="G18298" i="1"/>
  <c r="G18297" i="1"/>
  <c r="G18296" i="1"/>
  <c r="G18295" i="1"/>
  <c r="G18294" i="1"/>
  <c r="G18293" i="1"/>
  <c r="G18292" i="1"/>
  <c r="G18291" i="1"/>
  <c r="G18290" i="1"/>
  <c r="G18289" i="1"/>
  <c r="G18288" i="1"/>
  <c r="G18287" i="1"/>
  <c r="G18286" i="1"/>
  <c r="G18285" i="1"/>
  <c r="G18284" i="1"/>
  <c r="G18283" i="1"/>
  <c r="G18282" i="1"/>
  <c r="G18281" i="1"/>
  <c r="G18280" i="1"/>
  <c r="G18279" i="1"/>
  <c r="G18278" i="1"/>
  <c r="G18277" i="1"/>
  <c r="G18276" i="1"/>
  <c r="G18275" i="1"/>
  <c r="G18274" i="1"/>
  <c r="G18273" i="1"/>
  <c r="G18272" i="1"/>
  <c r="G18271" i="1"/>
  <c r="G18270" i="1"/>
  <c r="G18269" i="1"/>
  <c r="G18268" i="1"/>
  <c r="G18267" i="1"/>
  <c r="G18266" i="1"/>
  <c r="G18265" i="1"/>
  <c r="G18264" i="1"/>
  <c r="G18263" i="1"/>
  <c r="G18262" i="1"/>
  <c r="G18261" i="1"/>
  <c r="G18260" i="1"/>
  <c r="G18259" i="1"/>
  <c r="G18258" i="1"/>
  <c r="G18257" i="1"/>
  <c r="G18256" i="1"/>
  <c r="G18255" i="1"/>
  <c r="G18254" i="1"/>
  <c r="G18253" i="1"/>
  <c r="G18252" i="1"/>
  <c r="G18251" i="1"/>
  <c r="G18250" i="1"/>
  <c r="G18249" i="1"/>
  <c r="G18248" i="1"/>
  <c r="G18247" i="1"/>
  <c r="G18246" i="1"/>
  <c r="G18245" i="1"/>
  <c r="G18244" i="1"/>
  <c r="G18243" i="1"/>
  <c r="G18242" i="1"/>
  <c r="G18241" i="1"/>
  <c r="G18240" i="1"/>
  <c r="G18239" i="1"/>
  <c r="G18238" i="1"/>
  <c r="G18237" i="1"/>
  <c r="G18236" i="1"/>
  <c r="G18235" i="1"/>
  <c r="G18234" i="1"/>
  <c r="G18233" i="1"/>
  <c r="G18232" i="1"/>
  <c r="G18231" i="1"/>
  <c r="G18230" i="1"/>
  <c r="G18229" i="1"/>
  <c r="G18228" i="1"/>
  <c r="G18227" i="1"/>
  <c r="G18226" i="1"/>
  <c r="G18225" i="1"/>
  <c r="G18224" i="1"/>
  <c r="G18223" i="1"/>
  <c r="G18222" i="1"/>
  <c r="G18221" i="1"/>
  <c r="G18220" i="1"/>
  <c r="G18219" i="1"/>
  <c r="G18218" i="1"/>
  <c r="G18217" i="1"/>
  <c r="G18216" i="1"/>
  <c r="G18215" i="1"/>
  <c r="G18214" i="1"/>
  <c r="G18213" i="1"/>
  <c r="G18212" i="1"/>
  <c r="G18211" i="1"/>
  <c r="G18210" i="1"/>
  <c r="G18209" i="1"/>
  <c r="G18208" i="1"/>
  <c r="G18207" i="1"/>
  <c r="G18206" i="1"/>
  <c r="G18205" i="1"/>
  <c r="G18204" i="1"/>
  <c r="G18203" i="1"/>
  <c r="G18202" i="1"/>
  <c r="G18201" i="1"/>
  <c r="G18200" i="1"/>
  <c r="G18199" i="1"/>
  <c r="G18198" i="1"/>
  <c r="G18197" i="1"/>
  <c r="G18196" i="1"/>
  <c r="G18195" i="1"/>
  <c r="G18194" i="1"/>
  <c r="G18193" i="1"/>
  <c r="G18192" i="1"/>
  <c r="G18191" i="1"/>
  <c r="G18190" i="1"/>
  <c r="G18189" i="1"/>
  <c r="G18188" i="1"/>
  <c r="G18187" i="1"/>
  <c r="G18186" i="1"/>
  <c r="G18185" i="1"/>
  <c r="G18184" i="1"/>
  <c r="G18183" i="1"/>
  <c r="G18182" i="1"/>
  <c r="G18181" i="1"/>
  <c r="G18180" i="1"/>
  <c r="G18179" i="1"/>
  <c r="G18178" i="1"/>
  <c r="G18177" i="1"/>
  <c r="G18176" i="1"/>
  <c r="G18175" i="1"/>
  <c r="G18174" i="1"/>
  <c r="G18173" i="1"/>
  <c r="G18172" i="1"/>
  <c r="G18171" i="1"/>
  <c r="G18170" i="1"/>
  <c r="G18169" i="1"/>
  <c r="G18168" i="1"/>
  <c r="G18167" i="1"/>
  <c r="G18166" i="1"/>
  <c r="G18165" i="1"/>
  <c r="G18164" i="1"/>
  <c r="G18163" i="1"/>
  <c r="G18162" i="1"/>
  <c r="G18161" i="1"/>
  <c r="G18160" i="1"/>
  <c r="G18159" i="1"/>
  <c r="G18158" i="1"/>
  <c r="G18157" i="1"/>
  <c r="G18156" i="1"/>
  <c r="G18155" i="1"/>
  <c r="G18154" i="1"/>
  <c r="G18153" i="1"/>
  <c r="G18152" i="1"/>
  <c r="G18151" i="1"/>
  <c r="G18150" i="1"/>
  <c r="G18149" i="1"/>
  <c r="G18148" i="1"/>
  <c r="G18147" i="1"/>
  <c r="G18146" i="1"/>
  <c r="G18145" i="1"/>
  <c r="G18144" i="1"/>
  <c r="G18143" i="1"/>
  <c r="G18142" i="1"/>
  <c r="G18141" i="1"/>
  <c r="G18140" i="1"/>
  <c r="G18139" i="1"/>
  <c r="G18138" i="1"/>
  <c r="G18137" i="1"/>
  <c r="G18136" i="1"/>
  <c r="G18135" i="1"/>
  <c r="G18134" i="1"/>
  <c r="G18133" i="1"/>
  <c r="G18132" i="1"/>
  <c r="G18131" i="1"/>
  <c r="G18130" i="1"/>
  <c r="G18129" i="1"/>
  <c r="G18128" i="1"/>
  <c r="G18127" i="1"/>
  <c r="G18126" i="1"/>
  <c r="G18125" i="1"/>
  <c r="G18124" i="1"/>
  <c r="G18123" i="1"/>
  <c r="G18122" i="1"/>
  <c r="G18121" i="1"/>
  <c r="G18120" i="1"/>
  <c r="G18119" i="1"/>
  <c r="G18118" i="1"/>
  <c r="G18117" i="1"/>
  <c r="G18116" i="1"/>
  <c r="G18115" i="1"/>
  <c r="G18114" i="1"/>
  <c r="G18113" i="1"/>
  <c r="G18112" i="1"/>
  <c r="G18111" i="1"/>
  <c r="G18110" i="1"/>
  <c r="G18109" i="1"/>
  <c r="G18108" i="1"/>
  <c r="G18107" i="1"/>
  <c r="G18106" i="1"/>
  <c r="G18105" i="1"/>
  <c r="G18104" i="1"/>
  <c r="G18103" i="1"/>
  <c r="G18102" i="1"/>
  <c r="G18101" i="1"/>
  <c r="G18100" i="1"/>
  <c r="G18099" i="1"/>
  <c r="G18098" i="1"/>
  <c r="G18097" i="1"/>
  <c r="G18096" i="1"/>
  <c r="G18095" i="1"/>
  <c r="G18094" i="1"/>
  <c r="G18093" i="1"/>
  <c r="G18092" i="1"/>
  <c r="G18091" i="1"/>
  <c r="G18090" i="1"/>
  <c r="G18089" i="1"/>
  <c r="G18088" i="1"/>
  <c r="G18087" i="1"/>
  <c r="G18086" i="1"/>
  <c r="G18085" i="1"/>
  <c r="G18084" i="1"/>
  <c r="G18083" i="1"/>
  <c r="G18082" i="1"/>
  <c r="G18081" i="1"/>
  <c r="G18080" i="1"/>
  <c r="G18079" i="1"/>
  <c r="G18078" i="1"/>
  <c r="G18077" i="1"/>
  <c r="G18076" i="1"/>
  <c r="G18075" i="1"/>
  <c r="G18074" i="1"/>
  <c r="G18073" i="1"/>
  <c r="G18072" i="1"/>
  <c r="G18071" i="1"/>
  <c r="G18070" i="1"/>
  <c r="G18069" i="1"/>
  <c r="G18068" i="1"/>
  <c r="G18067" i="1"/>
  <c r="G18066" i="1"/>
  <c r="G18065" i="1"/>
  <c r="G18064" i="1"/>
  <c r="G18063" i="1"/>
  <c r="G18062" i="1"/>
  <c r="G18061" i="1"/>
  <c r="G18060" i="1"/>
  <c r="G18059" i="1"/>
  <c r="G18058" i="1"/>
  <c r="G18057" i="1"/>
  <c r="G18056" i="1"/>
  <c r="G18055" i="1"/>
  <c r="G18054" i="1"/>
  <c r="G18053" i="1"/>
  <c r="G18052" i="1"/>
  <c r="G18051" i="1"/>
  <c r="G18050" i="1"/>
  <c r="G18049" i="1"/>
  <c r="G18048" i="1"/>
  <c r="G18047" i="1"/>
  <c r="G18046" i="1"/>
  <c r="G18045" i="1"/>
  <c r="G18044" i="1"/>
  <c r="G18043" i="1"/>
  <c r="G18042" i="1"/>
  <c r="G18041" i="1"/>
  <c r="G18040" i="1"/>
  <c r="G18039" i="1"/>
  <c r="G18038" i="1"/>
  <c r="G18037" i="1"/>
  <c r="G18036" i="1"/>
  <c r="G18035" i="1"/>
  <c r="G18034" i="1"/>
  <c r="G18033" i="1"/>
  <c r="G18032" i="1"/>
  <c r="G18031" i="1"/>
  <c r="G18030" i="1"/>
  <c r="G18029" i="1"/>
  <c r="G18028" i="1"/>
  <c r="G18027" i="1"/>
  <c r="G18026" i="1"/>
  <c r="G18025" i="1"/>
  <c r="G18024" i="1"/>
  <c r="G18023" i="1"/>
  <c r="G18022" i="1"/>
  <c r="G18021" i="1"/>
  <c r="G18020" i="1"/>
  <c r="G18019" i="1"/>
  <c r="G18018" i="1"/>
  <c r="G18017" i="1"/>
  <c r="G18016" i="1"/>
  <c r="G18015" i="1"/>
  <c r="G18014" i="1"/>
  <c r="G18013" i="1"/>
  <c r="G18012" i="1"/>
  <c r="G18011" i="1"/>
  <c r="G18010" i="1"/>
  <c r="G18009" i="1"/>
  <c r="G18008" i="1"/>
  <c r="G18007" i="1"/>
  <c r="G18006" i="1"/>
  <c r="G18005" i="1"/>
  <c r="G18004" i="1"/>
  <c r="G18003" i="1"/>
  <c r="G18002" i="1"/>
  <c r="G18001" i="1"/>
  <c r="G18000" i="1"/>
  <c r="G17999" i="1"/>
  <c r="G17998" i="1"/>
  <c r="G17997" i="1"/>
  <c r="G17996" i="1"/>
  <c r="G17995" i="1"/>
  <c r="G17994" i="1"/>
  <c r="G17993" i="1"/>
  <c r="G17992" i="1"/>
  <c r="G17991" i="1"/>
  <c r="G17990" i="1"/>
  <c r="G17989" i="1"/>
  <c r="G17988" i="1"/>
  <c r="G17987" i="1"/>
  <c r="G17986" i="1"/>
  <c r="G17985" i="1"/>
  <c r="G17984" i="1"/>
  <c r="G17983" i="1"/>
  <c r="G17982" i="1"/>
  <c r="G17981" i="1"/>
  <c r="G17980" i="1"/>
  <c r="G17979" i="1"/>
  <c r="G17978" i="1"/>
  <c r="G17977" i="1"/>
  <c r="G17976" i="1"/>
  <c r="G17975" i="1"/>
  <c r="G17974" i="1"/>
  <c r="G17973" i="1"/>
  <c r="G17972" i="1"/>
  <c r="G17971" i="1"/>
  <c r="G17970" i="1"/>
  <c r="G17969" i="1"/>
  <c r="G17968" i="1"/>
  <c r="G17967" i="1"/>
  <c r="G17966" i="1"/>
  <c r="G17965" i="1"/>
  <c r="G17964" i="1"/>
  <c r="G17963" i="1"/>
  <c r="G17962" i="1"/>
  <c r="G17961" i="1"/>
  <c r="G17960" i="1"/>
  <c r="G17959" i="1"/>
  <c r="G17958" i="1"/>
  <c r="G17957" i="1"/>
  <c r="G17956" i="1"/>
  <c r="G17955" i="1"/>
  <c r="G17954" i="1"/>
  <c r="G17953" i="1"/>
  <c r="G17952" i="1"/>
  <c r="G17951" i="1"/>
  <c r="G17950" i="1"/>
  <c r="G17949" i="1"/>
  <c r="G17948" i="1"/>
  <c r="G17947" i="1"/>
  <c r="G17946" i="1"/>
  <c r="G17945" i="1"/>
  <c r="G17944" i="1"/>
  <c r="G17943" i="1"/>
  <c r="G17942" i="1"/>
  <c r="G17941" i="1"/>
  <c r="G17940" i="1"/>
  <c r="G17939" i="1"/>
  <c r="G17938" i="1"/>
  <c r="G17937" i="1"/>
  <c r="G17936" i="1"/>
  <c r="G17935" i="1"/>
  <c r="G17934" i="1"/>
  <c r="G17933" i="1"/>
  <c r="G17932" i="1"/>
  <c r="G17931" i="1"/>
  <c r="G17930" i="1"/>
  <c r="G17929" i="1"/>
  <c r="G17928" i="1"/>
  <c r="G17927" i="1"/>
  <c r="G17926" i="1"/>
  <c r="G17925" i="1"/>
  <c r="G17924" i="1"/>
  <c r="G17923" i="1"/>
  <c r="G17922" i="1"/>
  <c r="G17921" i="1"/>
  <c r="G17920" i="1"/>
  <c r="G17919" i="1"/>
  <c r="G17918" i="1"/>
  <c r="G17917" i="1"/>
  <c r="G17916" i="1"/>
  <c r="G17915" i="1"/>
  <c r="G17914" i="1"/>
  <c r="G17913" i="1"/>
  <c r="G17912" i="1"/>
  <c r="G17911" i="1"/>
  <c r="G17910" i="1"/>
  <c r="G17909" i="1"/>
  <c r="G17908" i="1"/>
  <c r="G17907" i="1"/>
  <c r="G17906" i="1"/>
  <c r="G17905" i="1"/>
  <c r="G17904" i="1"/>
  <c r="G17903" i="1"/>
  <c r="G17902" i="1"/>
  <c r="G17901" i="1"/>
  <c r="G17900" i="1"/>
  <c r="G17899" i="1"/>
  <c r="G17898" i="1"/>
  <c r="G17897" i="1"/>
  <c r="G17896" i="1"/>
  <c r="G17895" i="1"/>
  <c r="G17894" i="1"/>
  <c r="G17893" i="1"/>
  <c r="G17892" i="1"/>
  <c r="G17891" i="1"/>
  <c r="G17890" i="1"/>
  <c r="G17889" i="1"/>
  <c r="G17888" i="1"/>
  <c r="G17887" i="1"/>
  <c r="G17886" i="1"/>
  <c r="G17885" i="1"/>
  <c r="G17884" i="1"/>
  <c r="G17883" i="1"/>
  <c r="G17882" i="1"/>
  <c r="G17881" i="1"/>
  <c r="G17880" i="1"/>
  <c r="G17879" i="1"/>
  <c r="G17878" i="1"/>
  <c r="G17877" i="1"/>
  <c r="G17876" i="1"/>
  <c r="G17875" i="1"/>
  <c r="G17874" i="1"/>
  <c r="G17873" i="1"/>
  <c r="G17872" i="1"/>
  <c r="G17871" i="1"/>
  <c r="G17870" i="1"/>
  <c r="G17869" i="1"/>
  <c r="G17868" i="1"/>
  <c r="G17867" i="1"/>
  <c r="G17866" i="1"/>
  <c r="G17865" i="1"/>
  <c r="G17864" i="1"/>
  <c r="G17863" i="1"/>
  <c r="G17862" i="1"/>
  <c r="G17861" i="1"/>
  <c r="G17860" i="1"/>
  <c r="G17859" i="1"/>
  <c r="G17858" i="1"/>
  <c r="G17857" i="1"/>
  <c r="G17856" i="1"/>
  <c r="G17855" i="1"/>
  <c r="G17854" i="1"/>
  <c r="G17853" i="1"/>
  <c r="G17852" i="1"/>
  <c r="G17851" i="1"/>
  <c r="G17850" i="1"/>
  <c r="G17849" i="1"/>
  <c r="G17848" i="1"/>
  <c r="G17847" i="1"/>
  <c r="G17846" i="1"/>
  <c r="G17845" i="1"/>
  <c r="G17844" i="1"/>
  <c r="G17843" i="1"/>
  <c r="G17842" i="1"/>
  <c r="G17841" i="1"/>
  <c r="G17840" i="1"/>
  <c r="G17839" i="1"/>
  <c r="G17838" i="1"/>
  <c r="G17837" i="1"/>
  <c r="G17836" i="1"/>
  <c r="G17835" i="1"/>
  <c r="G17834" i="1"/>
  <c r="G17833" i="1"/>
  <c r="G17832" i="1"/>
  <c r="G17831" i="1"/>
  <c r="G17830" i="1"/>
  <c r="G17829" i="1"/>
  <c r="G17828" i="1"/>
  <c r="G17827" i="1"/>
  <c r="G17826" i="1"/>
  <c r="G17825" i="1"/>
  <c r="G17824" i="1"/>
  <c r="G17823" i="1"/>
  <c r="G17822" i="1"/>
  <c r="G17821" i="1"/>
  <c r="G17820" i="1"/>
  <c r="G17819" i="1"/>
  <c r="G17818" i="1"/>
  <c r="G17817" i="1"/>
  <c r="G17816" i="1"/>
  <c r="G17815" i="1"/>
  <c r="G17814" i="1"/>
  <c r="G17813" i="1"/>
  <c r="G17812" i="1"/>
  <c r="G17811" i="1"/>
  <c r="G17810" i="1"/>
  <c r="G17809" i="1"/>
  <c r="G17808" i="1"/>
  <c r="G17807" i="1"/>
  <c r="G17806" i="1"/>
  <c r="G17805" i="1"/>
  <c r="G17804" i="1"/>
  <c r="G17803" i="1"/>
  <c r="G17802" i="1"/>
  <c r="G17801" i="1"/>
  <c r="G17800" i="1"/>
  <c r="G17799" i="1"/>
  <c r="G17798" i="1"/>
  <c r="G17797" i="1"/>
  <c r="G17796" i="1"/>
  <c r="G17795" i="1"/>
  <c r="G17794" i="1"/>
  <c r="G17793" i="1"/>
  <c r="G17792" i="1"/>
  <c r="G17791" i="1"/>
  <c r="G17790" i="1"/>
  <c r="G17789" i="1"/>
  <c r="G17788" i="1"/>
  <c r="G17787" i="1"/>
  <c r="G17786" i="1"/>
  <c r="G17785" i="1"/>
  <c r="G17784" i="1"/>
  <c r="G17783" i="1"/>
  <c r="G17782" i="1"/>
  <c r="G17781" i="1"/>
  <c r="G17780" i="1"/>
  <c r="G17779" i="1"/>
  <c r="G17778" i="1"/>
  <c r="G17777" i="1"/>
  <c r="G17776" i="1"/>
  <c r="G17775" i="1"/>
  <c r="G17774" i="1"/>
  <c r="G17773" i="1"/>
  <c r="G17772" i="1"/>
  <c r="G17771" i="1"/>
  <c r="G17770" i="1"/>
  <c r="G17769" i="1"/>
  <c r="G17768" i="1"/>
  <c r="G17767" i="1"/>
  <c r="G17766" i="1"/>
  <c r="G17765" i="1"/>
  <c r="G17764" i="1"/>
  <c r="G17763" i="1"/>
  <c r="G17762" i="1"/>
  <c r="G17761" i="1"/>
  <c r="G17760" i="1"/>
  <c r="G17759" i="1"/>
  <c r="G17758" i="1"/>
  <c r="G17757" i="1"/>
  <c r="G17756" i="1"/>
  <c r="G17755" i="1"/>
  <c r="G17754" i="1"/>
  <c r="G17753" i="1"/>
  <c r="G17752" i="1"/>
  <c r="G17751" i="1"/>
  <c r="G17750" i="1"/>
  <c r="G17749" i="1"/>
  <c r="G17748" i="1"/>
  <c r="G17747" i="1"/>
  <c r="G17746" i="1"/>
  <c r="G17745" i="1"/>
  <c r="G17744" i="1"/>
  <c r="G17743" i="1"/>
  <c r="G17742" i="1"/>
  <c r="G17741" i="1"/>
  <c r="G17740" i="1"/>
  <c r="G17739" i="1"/>
  <c r="G17738" i="1"/>
  <c r="G17737" i="1"/>
  <c r="G17736" i="1"/>
  <c r="G17735" i="1"/>
  <c r="G17734" i="1"/>
  <c r="G17733" i="1"/>
  <c r="G17732" i="1"/>
  <c r="G17731" i="1"/>
  <c r="G17730" i="1"/>
  <c r="G17729" i="1"/>
  <c r="G17728" i="1"/>
  <c r="G17727" i="1"/>
  <c r="G17726" i="1"/>
  <c r="G17725" i="1"/>
  <c r="G17724" i="1"/>
  <c r="G17723" i="1"/>
  <c r="G17722" i="1"/>
  <c r="G17721" i="1"/>
  <c r="G17720" i="1"/>
  <c r="G17719" i="1"/>
  <c r="G17718" i="1"/>
  <c r="G17717" i="1"/>
  <c r="G17716" i="1"/>
  <c r="G17715" i="1"/>
  <c r="G17714" i="1"/>
  <c r="G17713" i="1"/>
  <c r="G17712" i="1"/>
  <c r="G17711" i="1"/>
  <c r="G17710" i="1"/>
  <c r="G17709" i="1"/>
  <c r="G17708" i="1"/>
  <c r="G17707" i="1"/>
  <c r="G17706" i="1"/>
  <c r="G17705" i="1"/>
  <c r="G17704" i="1"/>
  <c r="G17703" i="1"/>
  <c r="G17702" i="1"/>
  <c r="G17701" i="1"/>
  <c r="G17700" i="1"/>
  <c r="G17699" i="1"/>
  <c r="G17698" i="1"/>
  <c r="G17697" i="1"/>
  <c r="G17696" i="1"/>
  <c r="G17695" i="1"/>
  <c r="G17694" i="1"/>
  <c r="G17693" i="1"/>
  <c r="G17692" i="1"/>
  <c r="G17691" i="1"/>
  <c r="G17690" i="1"/>
  <c r="G17689" i="1"/>
  <c r="G17688" i="1"/>
  <c r="G17687" i="1"/>
  <c r="G17686" i="1"/>
  <c r="G17685" i="1"/>
  <c r="G17684" i="1"/>
  <c r="G17683" i="1"/>
  <c r="G17682" i="1"/>
  <c r="G17681" i="1"/>
  <c r="G17680" i="1"/>
  <c r="G17679" i="1"/>
  <c r="G17678" i="1"/>
  <c r="G17677" i="1"/>
  <c r="G17676" i="1"/>
  <c r="G17675" i="1"/>
  <c r="G17674" i="1"/>
  <c r="G17673" i="1"/>
  <c r="G17672" i="1"/>
  <c r="G17671" i="1"/>
  <c r="G17670" i="1"/>
  <c r="G17669" i="1"/>
  <c r="G17668" i="1"/>
  <c r="G17667" i="1"/>
  <c r="G17666" i="1"/>
  <c r="G17665" i="1"/>
  <c r="G17664" i="1"/>
  <c r="G17663" i="1"/>
  <c r="G17662" i="1"/>
  <c r="G17661" i="1"/>
  <c r="G17660" i="1"/>
  <c r="G17659" i="1"/>
  <c r="G17658" i="1"/>
  <c r="G17657" i="1"/>
  <c r="G17656" i="1"/>
  <c r="G17655" i="1"/>
  <c r="G17654" i="1"/>
  <c r="G17653" i="1"/>
  <c r="G17652" i="1"/>
  <c r="G17651" i="1"/>
  <c r="G17650" i="1"/>
  <c r="G17649" i="1"/>
  <c r="G17648" i="1"/>
  <c r="G17647" i="1"/>
  <c r="G17646" i="1"/>
  <c r="G17645" i="1"/>
  <c r="G17644" i="1"/>
  <c r="G17643" i="1"/>
  <c r="G17642" i="1"/>
  <c r="G17641" i="1"/>
  <c r="G17640" i="1"/>
  <c r="G17639" i="1"/>
  <c r="G17638" i="1"/>
  <c r="G17637" i="1"/>
  <c r="G17636" i="1"/>
  <c r="G17635" i="1"/>
  <c r="G17634" i="1"/>
  <c r="G17633" i="1"/>
  <c r="G17632" i="1"/>
  <c r="G17631" i="1"/>
  <c r="G17630" i="1"/>
  <c r="G17629" i="1"/>
  <c r="G17628" i="1"/>
  <c r="G17627" i="1"/>
  <c r="G17626" i="1"/>
  <c r="G17625" i="1"/>
  <c r="G17624" i="1"/>
  <c r="G17623" i="1"/>
  <c r="G17622" i="1"/>
  <c r="G17621" i="1"/>
  <c r="G17620" i="1"/>
  <c r="G17619" i="1"/>
  <c r="G17618" i="1"/>
  <c r="G17617" i="1"/>
  <c r="G17616" i="1"/>
  <c r="G17615" i="1"/>
  <c r="G17614" i="1"/>
  <c r="G17613" i="1"/>
  <c r="G17612" i="1"/>
  <c r="G17611" i="1"/>
  <c r="G17610" i="1"/>
  <c r="G17609" i="1"/>
  <c r="G17608" i="1"/>
  <c r="G17607" i="1"/>
  <c r="G17606" i="1"/>
  <c r="G17605" i="1"/>
  <c r="G17604" i="1"/>
  <c r="G17603" i="1"/>
  <c r="G17602" i="1"/>
  <c r="G17601" i="1"/>
  <c r="G17600" i="1"/>
  <c r="G17599" i="1"/>
  <c r="G17598" i="1"/>
  <c r="G17597" i="1"/>
  <c r="G17596" i="1"/>
  <c r="G17595" i="1"/>
  <c r="G17594" i="1"/>
  <c r="G17593" i="1"/>
  <c r="G17592" i="1"/>
  <c r="G17591" i="1"/>
  <c r="G17590" i="1"/>
  <c r="G17589" i="1"/>
  <c r="G17588" i="1"/>
  <c r="G17587" i="1"/>
  <c r="G17586" i="1"/>
  <c r="G17585" i="1"/>
  <c r="G17584" i="1"/>
  <c r="G17583" i="1"/>
  <c r="G17582" i="1"/>
  <c r="G17581" i="1"/>
  <c r="G17580" i="1"/>
  <c r="G17579" i="1"/>
  <c r="G17578" i="1"/>
  <c r="G17577" i="1"/>
  <c r="G17576" i="1"/>
  <c r="G17575" i="1"/>
  <c r="G17574" i="1"/>
  <c r="G17573" i="1"/>
  <c r="G17572" i="1"/>
  <c r="G17571" i="1"/>
  <c r="G17570" i="1"/>
  <c r="G17569" i="1"/>
  <c r="G17568" i="1"/>
  <c r="G17567" i="1"/>
  <c r="G17566" i="1"/>
  <c r="G17565" i="1"/>
  <c r="G17564" i="1"/>
  <c r="G17563" i="1"/>
  <c r="G17562" i="1"/>
  <c r="G17561" i="1"/>
  <c r="G17560" i="1"/>
  <c r="G17559" i="1"/>
  <c r="G17558" i="1"/>
  <c r="G17557" i="1"/>
  <c r="G17556" i="1"/>
  <c r="G17555" i="1"/>
  <c r="G17554" i="1"/>
  <c r="G17553" i="1"/>
  <c r="G17552" i="1"/>
  <c r="G17551" i="1"/>
  <c r="G17550" i="1"/>
  <c r="G17549" i="1"/>
  <c r="G17548" i="1"/>
  <c r="G17547" i="1"/>
  <c r="G17546" i="1"/>
  <c r="G17545" i="1"/>
  <c r="G17544" i="1"/>
  <c r="G17543" i="1"/>
  <c r="G17542" i="1"/>
  <c r="G17541" i="1"/>
  <c r="G17540" i="1"/>
  <c r="G17539" i="1"/>
  <c r="G17538" i="1"/>
  <c r="G17537" i="1"/>
  <c r="G17536" i="1"/>
  <c r="G17535" i="1"/>
  <c r="G17534" i="1"/>
  <c r="G17533" i="1"/>
  <c r="G17532" i="1"/>
  <c r="G17531" i="1"/>
  <c r="G17530" i="1"/>
  <c r="G17529" i="1"/>
  <c r="G17528" i="1"/>
  <c r="G17527" i="1"/>
  <c r="G17526" i="1"/>
  <c r="G17525" i="1"/>
  <c r="G17524" i="1"/>
  <c r="G17523" i="1"/>
  <c r="G17522" i="1"/>
  <c r="G17521" i="1"/>
  <c r="G17520" i="1"/>
  <c r="G17519" i="1"/>
  <c r="G17518" i="1"/>
  <c r="G17517" i="1"/>
  <c r="G17516" i="1"/>
  <c r="G17515" i="1"/>
  <c r="G17514" i="1"/>
  <c r="G17513" i="1"/>
  <c r="G17512" i="1"/>
  <c r="G17511" i="1"/>
  <c r="G17510" i="1"/>
  <c r="G17509" i="1"/>
  <c r="G17508" i="1"/>
  <c r="G17507" i="1"/>
  <c r="G17506" i="1"/>
  <c r="G17505" i="1"/>
  <c r="G17504" i="1"/>
  <c r="G17503" i="1"/>
  <c r="G17502" i="1"/>
  <c r="G17501" i="1"/>
  <c r="G17500" i="1"/>
  <c r="G17499" i="1"/>
  <c r="G17498" i="1"/>
  <c r="G17497" i="1"/>
  <c r="G17496" i="1"/>
  <c r="G17495" i="1"/>
  <c r="G17494" i="1"/>
  <c r="G17493" i="1"/>
  <c r="G17492" i="1"/>
  <c r="G17491" i="1"/>
  <c r="G17490" i="1"/>
  <c r="G17489" i="1"/>
  <c r="G17488" i="1"/>
  <c r="G17487" i="1"/>
  <c r="G17486" i="1"/>
  <c r="G17485" i="1"/>
  <c r="G17484" i="1"/>
  <c r="G17483" i="1"/>
  <c r="G17482" i="1"/>
  <c r="G17481" i="1"/>
  <c r="G17480" i="1"/>
  <c r="G17479" i="1"/>
  <c r="G17478" i="1"/>
  <c r="G17477" i="1"/>
  <c r="G17476" i="1"/>
  <c r="G17475" i="1"/>
  <c r="G17474" i="1"/>
  <c r="G17473" i="1"/>
  <c r="G17472" i="1"/>
  <c r="G17471" i="1"/>
  <c r="G17470" i="1"/>
  <c r="G17469" i="1"/>
  <c r="G17468" i="1"/>
  <c r="G17467" i="1"/>
  <c r="G17466" i="1"/>
  <c r="G17465" i="1"/>
  <c r="G17464" i="1"/>
  <c r="G17463" i="1"/>
  <c r="G17462" i="1"/>
  <c r="G17461" i="1"/>
  <c r="G17460" i="1"/>
  <c r="G17459" i="1"/>
  <c r="G17458" i="1"/>
  <c r="G17457" i="1"/>
  <c r="G17456" i="1"/>
  <c r="G17455" i="1"/>
  <c r="G17454" i="1"/>
  <c r="G17453" i="1"/>
  <c r="G17452" i="1"/>
  <c r="G17451" i="1"/>
  <c r="G17450" i="1"/>
  <c r="G17449" i="1"/>
  <c r="G17448" i="1"/>
  <c r="G17447" i="1"/>
  <c r="G17446" i="1"/>
  <c r="G17445" i="1"/>
  <c r="G17444" i="1"/>
  <c r="G17443" i="1"/>
  <c r="G17442" i="1"/>
  <c r="G17441" i="1"/>
  <c r="G17440" i="1"/>
  <c r="G17439" i="1"/>
  <c r="G17438" i="1"/>
  <c r="G17437" i="1"/>
  <c r="G17436" i="1"/>
  <c r="G17435" i="1"/>
  <c r="G17434" i="1"/>
  <c r="G17433" i="1"/>
  <c r="G17432" i="1"/>
  <c r="G17431" i="1"/>
  <c r="G17430" i="1"/>
  <c r="G17429" i="1"/>
  <c r="G17428" i="1"/>
  <c r="G17427" i="1"/>
  <c r="G17426" i="1"/>
  <c r="G17425" i="1"/>
  <c r="G17424" i="1"/>
  <c r="G17423" i="1"/>
  <c r="G17422" i="1"/>
  <c r="G17421" i="1"/>
  <c r="G17420" i="1"/>
  <c r="G17419" i="1"/>
  <c r="G17418" i="1"/>
  <c r="G17417" i="1"/>
  <c r="G17416" i="1"/>
  <c r="G17415" i="1"/>
  <c r="G17414" i="1"/>
  <c r="G17413" i="1"/>
  <c r="G17412" i="1"/>
  <c r="G17411" i="1"/>
  <c r="G17410" i="1"/>
  <c r="G17409" i="1"/>
  <c r="G17408" i="1"/>
  <c r="G17407" i="1"/>
  <c r="G17406" i="1"/>
  <c r="G17405" i="1"/>
  <c r="G17404" i="1"/>
  <c r="G17403" i="1"/>
  <c r="G17402" i="1"/>
  <c r="G17401" i="1"/>
  <c r="G17400" i="1"/>
  <c r="G17399" i="1"/>
  <c r="G17398" i="1"/>
  <c r="G17397" i="1"/>
  <c r="G17396" i="1"/>
  <c r="G17395" i="1"/>
  <c r="G17394" i="1"/>
  <c r="G17393" i="1"/>
  <c r="G17392" i="1"/>
  <c r="G17391" i="1"/>
  <c r="G17390" i="1"/>
  <c r="G17389" i="1"/>
  <c r="G17388" i="1"/>
  <c r="G17387" i="1"/>
  <c r="G17386" i="1"/>
  <c r="G17385" i="1"/>
  <c r="G17384" i="1"/>
  <c r="G17383" i="1"/>
  <c r="G17382" i="1"/>
  <c r="G17381" i="1"/>
  <c r="G17380" i="1"/>
  <c r="G17379" i="1"/>
  <c r="G17378" i="1"/>
  <c r="G17377" i="1"/>
  <c r="G17376" i="1"/>
  <c r="G17375" i="1"/>
  <c r="G17374" i="1"/>
  <c r="G17373" i="1"/>
  <c r="G17372" i="1"/>
  <c r="G17371" i="1"/>
  <c r="G17370" i="1"/>
  <c r="G17369" i="1"/>
  <c r="G17368" i="1"/>
  <c r="G17367" i="1"/>
  <c r="G17366" i="1"/>
  <c r="G17365" i="1"/>
  <c r="G17364" i="1"/>
  <c r="G17363" i="1"/>
  <c r="G17362" i="1"/>
  <c r="G17361" i="1"/>
  <c r="G17360" i="1"/>
  <c r="G17359" i="1"/>
  <c r="G17358" i="1"/>
  <c r="G17357" i="1"/>
  <c r="G17356" i="1"/>
  <c r="G17355" i="1"/>
  <c r="G17354" i="1"/>
  <c r="G17353" i="1"/>
  <c r="G17352" i="1"/>
  <c r="G17351" i="1"/>
  <c r="G17350" i="1"/>
  <c r="G17349" i="1"/>
  <c r="G17348" i="1"/>
  <c r="G17347" i="1"/>
  <c r="G17346" i="1"/>
  <c r="G17345" i="1"/>
  <c r="G17344" i="1"/>
  <c r="G17343" i="1"/>
  <c r="G17342" i="1"/>
  <c r="G17341" i="1"/>
  <c r="G17340" i="1"/>
  <c r="G17339" i="1"/>
  <c r="G17338" i="1"/>
  <c r="G17337" i="1"/>
  <c r="G17336" i="1"/>
  <c r="G17335" i="1"/>
  <c r="G17334" i="1"/>
  <c r="G17333" i="1"/>
  <c r="G17332" i="1"/>
  <c r="G17331" i="1"/>
  <c r="G17330" i="1"/>
  <c r="G17329" i="1"/>
  <c r="G17328" i="1"/>
  <c r="G17327" i="1"/>
  <c r="G17326" i="1"/>
  <c r="G17325" i="1"/>
  <c r="G17324" i="1"/>
  <c r="G17323" i="1"/>
  <c r="G17322" i="1"/>
  <c r="G17321" i="1"/>
  <c r="G17320" i="1"/>
  <c r="G17319" i="1"/>
  <c r="G17318" i="1"/>
  <c r="G17317" i="1"/>
  <c r="G17316" i="1"/>
  <c r="G17315" i="1"/>
  <c r="G17314" i="1"/>
  <c r="G17313" i="1"/>
  <c r="G17312" i="1"/>
  <c r="G17311" i="1"/>
  <c r="G17310" i="1"/>
  <c r="G17309" i="1"/>
  <c r="G17308" i="1"/>
  <c r="G17307" i="1"/>
  <c r="G17306" i="1"/>
  <c r="G17305" i="1"/>
  <c r="G17304" i="1"/>
  <c r="G17303" i="1"/>
  <c r="G17302" i="1"/>
  <c r="G17301" i="1"/>
  <c r="G17300" i="1"/>
  <c r="G17299" i="1"/>
  <c r="G17298" i="1"/>
  <c r="G17297" i="1"/>
  <c r="G17296" i="1"/>
  <c r="G17295" i="1"/>
  <c r="G17294" i="1"/>
  <c r="G17293" i="1"/>
  <c r="G17292" i="1"/>
  <c r="G17291" i="1"/>
  <c r="G17290" i="1"/>
  <c r="G17289" i="1"/>
  <c r="G17288" i="1"/>
  <c r="G17287" i="1"/>
  <c r="G17286" i="1"/>
  <c r="G17285" i="1"/>
  <c r="G17284" i="1"/>
  <c r="G17283" i="1"/>
  <c r="G17282" i="1"/>
  <c r="G17281" i="1"/>
  <c r="G17280" i="1"/>
  <c r="G17279" i="1"/>
  <c r="G17278" i="1"/>
  <c r="G17277" i="1"/>
  <c r="G17276" i="1"/>
  <c r="G17275" i="1"/>
  <c r="G17274" i="1"/>
  <c r="G17273" i="1"/>
  <c r="G17272" i="1"/>
  <c r="G17271" i="1"/>
  <c r="G17270" i="1"/>
  <c r="G17269" i="1"/>
  <c r="G17268" i="1"/>
  <c r="G17267" i="1"/>
  <c r="G17266" i="1"/>
  <c r="G17265" i="1"/>
  <c r="G17264" i="1"/>
  <c r="G17263" i="1"/>
  <c r="G17262" i="1"/>
  <c r="G17261" i="1"/>
  <c r="G17260" i="1"/>
  <c r="G17259" i="1"/>
  <c r="G17258" i="1"/>
  <c r="G17257" i="1"/>
  <c r="G17256" i="1"/>
  <c r="G17255" i="1"/>
  <c r="G17254" i="1"/>
  <c r="G17253" i="1"/>
  <c r="G17252" i="1"/>
  <c r="G17251" i="1"/>
  <c r="G17250" i="1"/>
  <c r="G17249" i="1"/>
  <c r="G17248" i="1"/>
  <c r="G17247" i="1"/>
  <c r="G17246" i="1"/>
  <c r="G17245" i="1"/>
  <c r="G17244" i="1"/>
  <c r="G17243" i="1"/>
  <c r="G17242" i="1"/>
  <c r="G17241" i="1"/>
  <c r="G17240" i="1"/>
  <c r="G17239" i="1"/>
  <c r="G17238" i="1"/>
  <c r="G17237" i="1"/>
  <c r="G17236" i="1"/>
  <c r="G17235" i="1"/>
  <c r="G17234" i="1"/>
  <c r="G17233" i="1"/>
  <c r="G17232" i="1"/>
  <c r="G17231" i="1"/>
  <c r="G17230" i="1"/>
  <c r="G17229" i="1"/>
  <c r="G17228" i="1"/>
  <c r="G17227" i="1"/>
  <c r="G17226" i="1"/>
  <c r="G17225" i="1"/>
  <c r="G17224" i="1"/>
  <c r="G17223" i="1"/>
  <c r="G17222" i="1"/>
  <c r="G17221" i="1"/>
  <c r="G17220" i="1"/>
  <c r="G17219" i="1"/>
  <c r="G17218" i="1"/>
  <c r="G17217" i="1"/>
  <c r="G17216" i="1"/>
  <c r="G17215" i="1"/>
  <c r="G17214" i="1"/>
  <c r="G17213" i="1"/>
  <c r="G17212" i="1"/>
  <c r="G17211" i="1"/>
  <c r="G17210" i="1"/>
  <c r="G17209" i="1"/>
  <c r="G17208" i="1"/>
  <c r="G17207" i="1"/>
  <c r="G17206" i="1"/>
  <c r="G17205" i="1"/>
  <c r="G17204" i="1"/>
  <c r="G17203" i="1"/>
  <c r="G17202" i="1"/>
  <c r="G17201" i="1"/>
  <c r="G17200" i="1"/>
  <c r="G17199" i="1"/>
  <c r="G17198" i="1"/>
  <c r="G17197" i="1"/>
  <c r="G17196" i="1"/>
  <c r="G17195" i="1"/>
  <c r="G17194" i="1"/>
  <c r="G17193" i="1"/>
  <c r="G17192" i="1"/>
  <c r="G17191" i="1"/>
  <c r="G17190" i="1"/>
  <c r="G17189" i="1"/>
  <c r="G17188" i="1"/>
  <c r="G17187" i="1"/>
  <c r="G17186" i="1"/>
  <c r="G17185" i="1"/>
  <c r="G17184" i="1"/>
  <c r="G17183" i="1"/>
  <c r="G17182" i="1"/>
  <c r="G17181" i="1"/>
  <c r="G17180" i="1"/>
  <c r="G17179" i="1"/>
  <c r="G17178" i="1"/>
  <c r="G17177" i="1"/>
  <c r="G17176" i="1"/>
  <c r="G17175" i="1"/>
  <c r="G17174" i="1"/>
  <c r="G17173" i="1"/>
  <c r="G17172" i="1"/>
  <c r="G17171" i="1"/>
  <c r="G17170" i="1"/>
  <c r="G17169" i="1"/>
  <c r="G17168" i="1"/>
  <c r="G17167" i="1"/>
  <c r="G17166" i="1"/>
  <c r="G17165" i="1"/>
  <c r="G17164" i="1"/>
  <c r="G17163" i="1"/>
  <c r="G17162" i="1"/>
  <c r="G17161" i="1"/>
  <c r="G17160" i="1"/>
  <c r="G17159" i="1"/>
  <c r="G17158" i="1"/>
  <c r="G17157" i="1"/>
  <c r="G17156" i="1"/>
  <c r="G17155" i="1"/>
  <c r="G17154" i="1"/>
  <c r="G17153" i="1"/>
  <c r="G17152" i="1"/>
  <c r="G17151" i="1"/>
  <c r="G17150" i="1"/>
  <c r="G17149" i="1"/>
  <c r="G17148" i="1"/>
  <c r="G17147" i="1"/>
  <c r="G17146" i="1"/>
  <c r="G17145" i="1"/>
  <c r="G17144" i="1"/>
  <c r="G17143" i="1"/>
  <c r="G17142" i="1"/>
  <c r="G17141" i="1"/>
  <c r="G17140" i="1"/>
  <c r="G17139" i="1"/>
  <c r="G17138" i="1"/>
  <c r="G17137" i="1"/>
  <c r="G17136" i="1"/>
  <c r="G17135" i="1"/>
  <c r="G17134" i="1"/>
  <c r="G17133" i="1"/>
  <c r="G17132" i="1"/>
  <c r="G17131" i="1"/>
  <c r="G17130" i="1"/>
  <c r="G17129" i="1"/>
  <c r="G17128" i="1"/>
  <c r="G17127" i="1"/>
  <c r="G17126" i="1"/>
  <c r="G17125" i="1"/>
  <c r="G17124" i="1"/>
  <c r="G17123" i="1"/>
  <c r="G17122" i="1"/>
  <c r="G17121" i="1"/>
  <c r="G17120" i="1"/>
  <c r="G17119" i="1"/>
  <c r="G17118" i="1"/>
  <c r="G17117" i="1"/>
  <c r="G17116" i="1"/>
  <c r="G17115" i="1"/>
  <c r="G17114" i="1"/>
  <c r="G17113" i="1"/>
  <c r="G17112" i="1"/>
  <c r="G17111" i="1"/>
  <c r="G17110" i="1"/>
  <c r="G17109" i="1"/>
  <c r="G17108" i="1"/>
  <c r="G17107" i="1"/>
  <c r="G17106" i="1"/>
  <c r="G17105" i="1"/>
  <c r="G17104" i="1"/>
  <c r="G17103" i="1"/>
  <c r="G17102" i="1"/>
  <c r="G17101" i="1"/>
  <c r="G17100" i="1"/>
  <c r="G17099" i="1"/>
  <c r="G17098" i="1"/>
  <c r="G17097" i="1"/>
  <c r="G17096" i="1"/>
  <c r="G17095" i="1"/>
  <c r="G17094" i="1"/>
  <c r="G17093" i="1"/>
  <c r="G17092" i="1"/>
  <c r="G17091" i="1"/>
  <c r="G17090" i="1"/>
  <c r="G17089" i="1"/>
  <c r="G17088" i="1"/>
  <c r="G17087" i="1"/>
  <c r="G17086" i="1"/>
  <c r="G17085" i="1"/>
  <c r="G17084" i="1"/>
  <c r="G17083" i="1"/>
  <c r="G17082" i="1"/>
  <c r="G17081" i="1"/>
  <c r="G17080" i="1"/>
  <c r="G17079" i="1"/>
  <c r="G17078" i="1"/>
  <c r="G17077" i="1"/>
  <c r="G17076" i="1"/>
  <c r="G17075" i="1"/>
  <c r="G17074" i="1"/>
  <c r="G17073" i="1"/>
  <c r="G17072" i="1"/>
  <c r="G17071" i="1"/>
  <c r="G17070" i="1"/>
  <c r="G17069" i="1"/>
  <c r="G17068" i="1"/>
  <c r="G17067" i="1"/>
  <c r="G17066" i="1"/>
  <c r="G17065" i="1"/>
  <c r="G17064" i="1"/>
  <c r="G17063" i="1"/>
  <c r="G17062" i="1"/>
  <c r="G17061" i="1"/>
  <c r="G17060" i="1"/>
  <c r="G17059" i="1"/>
  <c r="G17058" i="1"/>
  <c r="G17057" i="1"/>
  <c r="G17056" i="1"/>
  <c r="G17055" i="1"/>
  <c r="G17054" i="1"/>
  <c r="G17053" i="1"/>
  <c r="G17052" i="1"/>
  <c r="G17051" i="1"/>
  <c r="G17050" i="1"/>
  <c r="G17049" i="1"/>
  <c r="G17048" i="1"/>
  <c r="G17047" i="1"/>
  <c r="G17046" i="1"/>
  <c r="G17045" i="1"/>
  <c r="G17044" i="1"/>
  <c r="G17043" i="1"/>
  <c r="G17042" i="1"/>
  <c r="G17041" i="1"/>
  <c r="G17040" i="1"/>
  <c r="G17039" i="1"/>
  <c r="G17038" i="1"/>
  <c r="G17037" i="1"/>
  <c r="G17036" i="1"/>
  <c r="G17035" i="1"/>
  <c r="G17034" i="1"/>
  <c r="G17033" i="1"/>
  <c r="G17032" i="1"/>
  <c r="G17031" i="1"/>
  <c r="G17030" i="1"/>
  <c r="G17029" i="1"/>
  <c r="G17028" i="1"/>
  <c r="G17027" i="1"/>
  <c r="G17026" i="1"/>
  <c r="G17025" i="1"/>
  <c r="G17024" i="1"/>
  <c r="G17023" i="1"/>
  <c r="G17022" i="1"/>
  <c r="G17021" i="1"/>
  <c r="G17020" i="1"/>
  <c r="G17019" i="1"/>
  <c r="G17018" i="1"/>
  <c r="G17017" i="1"/>
  <c r="G17016" i="1"/>
  <c r="G17015" i="1"/>
  <c r="G17014" i="1"/>
  <c r="G17013" i="1"/>
  <c r="G17012" i="1"/>
  <c r="G17011" i="1"/>
  <c r="G17010" i="1"/>
  <c r="G17009" i="1"/>
  <c r="G17008" i="1"/>
  <c r="G17007" i="1"/>
  <c r="G17006" i="1"/>
  <c r="G17005" i="1"/>
  <c r="G17004" i="1"/>
  <c r="G17003" i="1"/>
  <c r="G17002" i="1"/>
  <c r="G17001" i="1"/>
  <c r="G17000" i="1"/>
  <c r="G16999" i="1"/>
  <c r="G16998" i="1"/>
  <c r="G16997" i="1"/>
  <c r="G16996" i="1"/>
  <c r="G16995" i="1"/>
  <c r="G16994" i="1"/>
  <c r="G16993" i="1"/>
  <c r="G16992" i="1"/>
  <c r="G16991" i="1"/>
  <c r="G16990" i="1"/>
  <c r="G16989" i="1"/>
  <c r="G16988" i="1"/>
  <c r="G16987" i="1"/>
  <c r="G16986" i="1"/>
  <c r="G16985" i="1"/>
  <c r="G16984" i="1"/>
  <c r="G16983" i="1"/>
  <c r="G16982" i="1"/>
  <c r="G16981" i="1"/>
  <c r="G16980" i="1"/>
  <c r="G16979" i="1"/>
  <c r="G16978" i="1"/>
  <c r="G16977" i="1"/>
  <c r="G16976" i="1"/>
  <c r="G16975" i="1"/>
  <c r="G16974" i="1"/>
  <c r="G16973" i="1"/>
  <c r="G16972" i="1"/>
  <c r="G16971" i="1"/>
  <c r="G16970" i="1"/>
  <c r="G16969" i="1"/>
  <c r="G16968" i="1"/>
  <c r="G16967" i="1"/>
  <c r="G16966" i="1"/>
  <c r="G16965" i="1"/>
  <c r="G16964" i="1"/>
  <c r="G16963" i="1"/>
  <c r="G16962" i="1"/>
  <c r="G16961" i="1"/>
  <c r="G16960" i="1"/>
  <c r="G16959" i="1"/>
  <c r="G16958" i="1"/>
  <c r="G16957" i="1"/>
  <c r="G16956" i="1"/>
  <c r="G16955" i="1"/>
  <c r="G16954" i="1"/>
  <c r="G16953" i="1"/>
  <c r="G16952" i="1"/>
  <c r="G16951" i="1"/>
  <c r="G16950" i="1"/>
  <c r="G16949" i="1"/>
  <c r="G16948" i="1"/>
  <c r="G16947" i="1"/>
  <c r="G16946" i="1"/>
  <c r="G16945" i="1"/>
  <c r="G16944" i="1"/>
  <c r="G16943" i="1"/>
  <c r="G16942" i="1"/>
  <c r="G16941" i="1"/>
  <c r="G16940" i="1"/>
  <c r="G16939" i="1"/>
  <c r="G16938" i="1"/>
  <c r="G16937" i="1"/>
  <c r="G16936" i="1"/>
  <c r="G16935" i="1"/>
  <c r="G16934" i="1"/>
  <c r="G16933" i="1"/>
  <c r="G16932" i="1"/>
  <c r="G16931" i="1"/>
  <c r="G16930" i="1"/>
  <c r="G16929" i="1"/>
  <c r="G16928" i="1"/>
  <c r="G16927" i="1"/>
  <c r="G16926" i="1"/>
  <c r="G16925" i="1"/>
  <c r="G16924" i="1"/>
  <c r="G16923" i="1"/>
  <c r="G16922" i="1"/>
  <c r="G16921" i="1"/>
  <c r="G16920" i="1"/>
  <c r="G16919" i="1"/>
  <c r="G16918" i="1"/>
  <c r="G16917" i="1"/>
  <c r="G16916" i="1"/>
  <c r="G16915" i="1"/>
  <c r="G16914" i="1"/>
  <c r="G16913" i="1"/>
  <c r="G16912" i="1"/>
  <c r="G16911" i="1"/>
  <c r="G16910" i="1"/>
  <c r="G16909" i="1"/>
  <c r="G16908" i="1"/>
  <c r="G16907" i="1"/>
  <c r="G16906" i="1"/>
  <c r="G16905" i="1"/>
  <c r="G16904" i="1"/>
  <c r="G16903" i="1"/>
  <c r="G16902" i="1"/>
  <c r="G16901" i="1"/>
  <c r="G16900" i="1"/>
  <c r="G16899" i="1"/>
  <c r="G16898" i="1"/>
  <c r="G16897" i="1"/>
  <c r="G16896" i="1"/>
  <c r="G16895" i="1"/>
  <c r="G16894" i="1"/>
  <c r="G16893" i="1"/>
  <c r="G16892" i="1"/>
  <c r="G16891" i="1"/>
  <c r="G16890" i="1"/>
  <c r="G16889" i="1"/>
  <c r="G16888" i="1"/>
  <c r="G16887" i="1"/>
  <c r="G16886" i="1"/>
  <c r="G16885" i="1"/>
  <c r="G16884" i="1"/>
  <c r="G16883" i="1"/>
  <c r="G16882" i="1"/>
  <c r="G16881" i="1"/>
  <c r="G16880" i="1"/>
  <c r="G16879" i="1"/>
  <c r="G16878" i="1"/>
  <c r="G16877" i="1"/>
  <c r="G16876" i="1"/>
  <c r="G16875" i="1"/>
  <c r="G16874" i="1"/>
  <c r="G16873" i="1"/>
  <c r="G16872" i="1"/>
  <c r="G16871" i="1"/>
  <c r="G16870" i="1"/>
  <c r="G16869" i="1"/>
  <c r="G16868" i="1"/>
  <c r="G16867" i="1"/>
  <c r="G16866" i="1"/>
  <c r="G16865" i="1"/>
  <c r="G16864" i="1"/>
  <c r="G16863" i="1"/>
  <c r="G16862" i="1"/>
  <c r="G16861" i="1"/>
  <c r="G16860" i="1"/>
  <c r="G16859" i="1"/>
  <c r="G16858" i="1"/>
  <c r="G16857" i="1"/>
  <c r="G16856" i="1"/>
  <c r="G16855" i="1"/>
  <c r="G16854" i="1"/>
  <c r="G16853" i="1"/>
  <c r="G16852" i="1"/>
  <c r="G16851" i="1"/>
  <c r="G16850" i="1"/>
  <c r="G16849" i="1"/>
  <c r="G16848" i="1"/>
  <c r="G16847" i="1"/>
  <c r="G16846" i="1"/>
  <c r="G16845" i="1"/>
  <c r="G16844" i="1"/>
  <c r="G16843" i="1"/>
  <c r="G16842" i="1"/>
  <c r="G16841" i="1"/>
  <c r="G16840" i="1"/>
  <c r="G16839" i="1"/>
  <c r="G16838" i="1"/>
  <c r="G16837" i="1"/>
  <c r="G16836" i="1"/>
  <c r="G16835" i="1"/>
  <c r="G16834" i="1"/>
  <c r="G16833" i="1"/>
  <c r="G16832" i="1"/>
  <c r="G16831" i="1"/>
  <c r="G16830" i="1"/>
  <c r="G16829" i="1"/>
  <c r="G16828" i="1"/>
  <c r="G16827" i="1"/>
  <c r="G16826" i="1"/>
  <c r="G16825" i="1"/>
  <c r="G16824" i="1"/>
  <c r="G16823" i="1"/>
  <c r="G16822" i="1"/>
  <c r="G16821" i="1"/>
  <c r="G16820" i="1"/>
  <c r="G16819" i="1"/>
  <c r="G16818" i="1"/>
  <c r="G16817" i="1"/>
  <c r="G16816" i="1"/>
  <c r="G16815" i="1"/>
  <c r="G16814" i="1"/>
  <c r="G16813" i="1"/>
  <c r="G16812" i="1"/>
  <c r="G16811" i="1"/>
  <c r="G16810" i="1"/>
  <c r="G16809" i="1"/>
  <c r="G16808" i="1"/>
  <c r="G16807" i="1"/>
  <c r="G16806" i="1"/>
  <c r="G16805" i="1"/>
  <c r="G16804" i="1"/>
  <c r="G16803" i="1"/>
  <c r="G16802" i="1"/>
  <c r="G16801" i="1"/>
  <c r="G16800" i="1"/>
  <c r="G16799" i="1"/>
  <c r="G16798" i="1"/>
  <c r="G16797" i="1"/>
  <c r="G16796" i="1"/>
  <c r="G16795" i="1"/>
  <c r="G16794" i="1"/>
  <c r="G16793" i="1"/>
  <c r="G16792" i="1"/>
  <c r="G16791" i="1"/>
  <c r="G16790" i="1"/>
  <c r="G16789" i="1"/>
  <c r="G16788" i="1"/>
  <c r="G16787" i="1"/>
  <c r="G16786" i="1"/>
  <c r="G16785" i="1"/>
  <c r="G16784" i="1"/>
  <c r="G16783" i="1"/>
  <c r="G16782" i="1"/>
  <c r="G16781" i="1"/>
  <c r="G16780" i="1"/>
  <c r="G16779" i="1"/>
  <c r="G16778" i="1"/>
  <c r="G16777" i="1"/>
  <c r="G16776" i="1"/>
  <c r="G16775" i="1"/>
  <c r="G16774" i="1"/>
  <c r="G16773" i="1"/>
  <c r="G16772" i="1"/>
  <c r="G16771" i="1"/>
  <c r="G16770" i="1"/>
  <c r="G16769" i="1"/>
  <c r="G16768" i="1"/>
  <c r="G16767" i="1"/>
  <c r="G16766" i="1"/>
  <c r="G16765" i="1"/>
  <c r="G16764" i="1"/>
  <c r="G16763" i="1"/>
  <c r="G16762" i="1"/>
  <c r="G16761" i="1"/>
  <c r="G16760" i="1"/>
  <c r="G16759" i="1"/>
  <c r="G16758" i="1"/>
  <c r="G16757" i="1"/>
  <c r="G16756" i="1"/>
  <c r="G16755" i="1"/>
  <c r="G16754" i="1"/>
  <c r="G16753" i="1"/>
  <c r="G16752" i="1"/>
  <c r="G16751" i="1"/>
  <c r="G16750" i="1"/>
  <c r="G16749" i="1"/>
  <c r="G16748" i="1"/>
  <c r="G16747" i="1"/>
  <c r="G16746" i="1"/>
  <c r="G16745" i="1"/>
  <c r="G16744" i="1"/>
  <c r="G16743" i="1"/>
  <c r="G16742" i="1"/>
  <c r="G16741" i="1"/>
  <c r="G16740" i="1"/>
  <c r="G16739" i="1"/>
  <c r="G16738" i="1"/>
  <c r="G16737" i="1"/>
  <c r="G16736" i="1"/>
  <c r="G16735" i="1"/>
  <c r="G16734" i="1"/>
  <c r="G16733" i="1"/>
  <c r="G16732" i="1"/>
  <c r="G16731" i="1"/>
  <c r="G16730" i="1"/>
  <c r="G16729" i="1"/>
  <c r="G16728" i="1"/>
  <c r="G16727" i="1"/>
  <c r="G16726" i="1"/>
  <c r="G16725" i="1"/>
  <c r="G16724" i="1"/>
  <c r="G16723" i="1"/>
  <c r="G16722" i="1"/>
  <c r="G16721" i="1"/>
  <c r="G16720" i="1"/>
  <c r="G16719" i="1"/>
  <c r="G16718" i="1"/>
  <c r="G16717" i="1"/>
  <c r="G16716" i="1"/>
  <c r="G16715" i="1"/>
  <c r="G16714" i="1"/>
  <c r="G16713" i="1"/>
  <c r="G16712" i="1"/>
  <c r="G16711" i="1"/>
  <c r="G16710" i="1"/>
  <c r="G16709" i="1"/>
  <c r="G16708" i="1"/>
  <c r="G16707" i="1"/>
  <c r="G16706" i="1"/>
  <c r="G16705" i="1"/>
  <c r="G16704" i="1"/>
  <c r="G16703" i="1"/>
  <c r="G16702" i="1"/>
  <c r="G16701" i="1"/>
  <c r="G16700" i="1"/>
  <c r="G16699" i="1"/>
  <c r="G16698" i="1"/>
  <c r="G16697" i="1"/>
  <c r="G16696" i="1"/>
  <c r="G16695" i="1"/>
  <c r="G16694" i="1"/>
  <c r="G16693" i="1"/>
  <c r="G16692" i="1"/>
  <c r="G16691" i="1"/>
  <c r="G16690" i="1"/>
  <c r="G16689" i="1"/>
  <c r="G16688" i="1"/>
  <c r="G16687" i="1"/>
  <c r="G16686" i="1"/>
  <c r="G16685" i="1"/>
  <c r="G16684" i="1"/>
  <c r="G16683" i="1"/>
  <c r="G16682" i="1"/>
  <c r="G16681" i="1"/>
  <c r="G16680" i="1"/>
  <c r="G16679" i="1"/>
  <c r="G16678" i="1"/>
  <c r="G16677" i="1"/>
  <c r="G16676" i="1"/>
  <c r="G16675" i="1"/>
  <c r="G16674" i="1"/>
  <c r="G16673" i="1"/>
  <c r="G16672" i="1"/>
  <c r="G16671" i="1"/>
  <c r="G16670" i="1"/>
  <c r="G16669" i="1"/>
  <c r="G16668" i="1"/>
  <c r="G16667" i="1"/>
  <c r="G16666" i="1"/>
  <c r="G16665" i="1"/>
  <c r="G16664" i="1"/>
  <c r="G16663" i="1"/>
  <c r="G16662" i="1"/>
  <c r="G16661" i="1"/>
  <c r="G16660" i="1"/>
  <c r="G16659" i="1"/>
  <c r="G16658" i="1"/>
  <c r="G16657" i="1"/>
  <c r="G16656" i="1"/>
  <c r="G16655" i="1"/>
  <c r="G16654" i="1"/>
  <c r="G16653" i="1"/>
  <c r="G16652" i="1"/>
  <c r="G16651" i="1"/>
  <c r="G16650" i="1"/>
  <c r="G16649" i="1"/>
  <c r="G16648" i="1"/>
  <c r="G16647" i="1"/>
  <c r="G16646" i="1"/>
  <c r="G16645" i="1"/>
  <c r="G16644" i="1"/>
  <c r="G16643" i="1"/>
  <c r="G16642" i="1"/>
  <c r="G16641" i="1"/>
  <c r="G16640" i="1"/>
  <c r="G16639" i="1"/>
  <c r="G16638" i="1"/>
  <c r="G16637" i="1"/>
  <c r="G16636" i="1"/>
  <c r="G16635" i="1"/>
  <c r="G16634" i="1"/>
  <c r="G16633" i="1"/>
  <c r="G16632" i="1"/>
  <c r="G16631" i="1"/>
  <c r="G16630" i="1"/>
  <c r="G16629" i="1"/>
  <c r="G16628" i="1"/>
  <c r="G16627" i="1"/>
  <c r="G16626" i="1"/>
  <c r="G16625" i="1"/>
  <c r="G16624" i="1"/>
  <c r="G16623" i="1"/>
  <c r="G16622" i="1"/>
  <c r="G16621" i="1"/>
  <c r="G16620" i="1"/>
  <c r="G16619" i="1"/>
  <c r="G16618" i="1"/>
  <c r="G16617" i="1"/>
  <c r="G16616" i="1"/>
  <c r="G16615" i="1"/>
  <c r="G16614" i="1"/>
  <c r="G16613" i="1"/>
  <c r="G16612" i="1"/>
  <c r="G16611" i="1"/>
  <c r="G16610" i="1"/>
  <c r="G16609" i="1"/>
  <c r="G16608" i="1"/>
  <c r="G16607" i="1"/>
  <c r="G16606" i="1"/>
  <c r="G16605" i="1"/>
  <c r="G16604" i="1"/>
  <c r="G16603" i="1"/>
  <c r="G16602" i="1"/>
  <c r="G16601" i="1"/>
  <c r="G16600" i="1"/>
  <c r="G16599" i="1"/>
  <c r="G16598" i="1"/>
  <c r="G16597" i="1"/>
  <c r="G16596" i="1"/>
  <c r="G16595" i="1"/>
  <c r="G16594" i="1"/>
  <c r="G16593" i="1"/>
  <c r="G16592" i="1"/>
  <c r="G16591" i="1"/>
  <c r="G16590" i="1"/>
  <c r="G16589" i="1"/>
  <c r="G16588" i="1"/>
  <c r="G16587" i="1"/>
  <c r="G16586" i="1"/>
  <c r="G16585" i="1"/>
  <c r="G16584" i="1"/>
  <c r="G16583" i="1"/>
  <c r="G16582" i="1"/>
  <c r="G16581" i="1"/>
  <c r="G16580" i="1"/>
  <c r="G16579" i="1"/>
  <c r="G16578" i="1"/>
  <c r="G16577" i="1"/>
  <c r="G16576" i="1"/>
  <c r="G16575" i="1"/>
  <c r="G16574" i="1"/>
  <c r="G16573" i="1"/>
  <c r="G16572" i="1"/>
  <c r="G16571" i="1"/>
  <c r="G16570" i="1"/>
  <c r="G16569" i="1"/>
  <c r="G16568" i="1"/>
  <c r="G16567" i="1"/>
  <c r="G16566" i="1"/>
  <c r="G16565" i="1"/>
  <c r="G16564" i="1"/>
  <c r="G16563" i="1"/>
  <c r="G16562" i="1"/>
  <c r="G16561" i="1"/>
  <c r="G16560" i="1"/>
  <c r="G16559" i="1"/>
  <c r="G16558" i="1"/>
  <c r="G16557" i="1"/>
  <c r="G16556" i="1"/>
  <c r="G16555" i="1"/>
  <c r="G16554" i="1"/>
  <c r="G16553" i="1"/>
  <c r="G16552" i="1"/>
  <c r="G16551" i="1"/>
  <c r="G16550" i="1"/>
  <c r="G16549" i="1"/>
  <c r="G16548" i="1"/>
  <c r="G16547" i="1"/>
  <c r="G16546" i="1"/>
  <c r="G16545" i="1"/>
  <c r="G16544" i="1"/>
  <c r="G16543" i="1"/>
  <c r="G16542" i="1"/>
  <c r="G16541" i="1"/>
  <c r="G16540" i="1"/>
  <c r="G16539" i="1"/>
  <c r="G16538" i="1"/>
  <c r="G16537" i="1"/>
  <c r="G16536" i="1"/>
  <c r="G16535" i="1"/>
  <c r="G16534" i="1"/>
  <c r="G16533" i="1"/>
  <c r="G16532" i="1"/>
  <c r="G16531" i="1"/>
  <c r="G16530" i="1"/>
  <c r="G16529" i="1"/>
  <c r="G16528" i="1"/>
  <c r="G16527" i="1"/>
  <c r="G16526" i="1"/>
  <c r="G16525" i="1"/>
  <c r="G16524" i="1"/>
  <c r="G16523" i="1"/>
  <c r="G16522" i="1"/>
  <c r="G16521" i="1"/>
  <c r="G16520" i="1"/>
  <c r="G16519" i="1"/>
  <c r="G16518" i="1"/>
  <c r="G16517" i="1"/>
  <c r="G16516" i="1"/>
  <c r="G16515" i="1"/>
  <c r="G16514" i="1"/>
  <c r="G16513" i="1"/>
  <c r="G16512" i="1"/>
  <c r="G16511" i="1"/>
  <c r="G16510" i="1"/>
  <c r="G16509" i="1"/>
  <c r="G16508" i="1"/>
  <c r="G16507" i="1"/>
  <c r="G16506" i="1"/>
  <c r="G16505" i="1"/>
  <c r="G16504" i="1"/>
  <c r="G16503" i="1"/>
  <c r="G16502" i="1"/>
  <c r="G16501" i="1"/>
  <c r="G16500" i="1"/>
  <c r="G16499" i="1"/>
  <c r="G16498" i="1"/>
  <c r="G16497" i="1"/>
  <c r="G16496" i="1"/>
  <c r="G16495" i="1"/>
  <c r="G16494" i="1"/>
  <c r="G16493" i="1"/>
  <c r="G16492" i="1"/>
  <c r="G16491" i="1"/>
  <c r="G16490" i="1"/>
  <c r="G16489" i="1"/>
  <c r="G16488" i="1"/>
  <c r="G16487" i="1"/>
  <c r="G16486" i="1"/>
  <c r="G16485" i="1"/>
  <c r="G16484" i="1"/>
  <c r="G16483" i="1"/>
  <c r="G16482" i="1"/>
  <c r="G16481" i="1"/>
  <c r="G16480" i="1"/>
  <c r="G16479" i="1"/>
  <c r="G16478" i="1"/>
  <c r="G16477" i="1"/>
  <c r="G16476" i="1"/>
  <c r="G16475" i="1"/>
  <c r="G16474" i="1"/>
  <c r="G16473" i="1"/>
  <c r="G16472" i="1"/>
  <c r="G16471" i="1"/>
  <c r="G16470" i="1"/>
  <c r="G16469" i="1"/>
  <c r="G16468" i="1"/>
  <c r="G16467" i="1"/>
  <c r="G16466" i="1"/>
  <c r="G16465" i="1"/>
  <c r="G16464" i="1"/>
  <c r="G16463" i="1"/>
  <c r="G16462" i="1"/>
  <c r="G16461" i="1"/>
  <c r="G16460" i="1"/>
  <c r="G16459" i="1"/>
  <c r="G16458" i="1"/>
  <c r="G16457" i="1"/>
  <c r="G16456" i="1"/>
  <c r="G16455" i="1"/>
  <c r="G16454" i="1"/>
  <c r="G16453" i="1"/>
  <c r="G16452" i="1"/>
  <c r="G16451" i="1"/>
  <c r="G16450" i="1"/>
  <c r="G16449" i="1"/>
  <c r="G16448" i="1"/>
  <c r="G16447" i="1"/>
  <c r="G16446" i="1"/>
  <c r="G16445" i="1"/>
  <c r="G16444" i="1"/>
  <c r="G16443" i="1"/>
  <c r="G16442" i="1"/>
  <c r="G16441" i="1"/>
  <c r="G16440" i="1"/>
  <c r="G16439" i="1"/>
  <c r="G16438" i="1"/>
  <c r="G16437" i="1"/>
  <c r="G16436" i="1"/>
  <c r="G16435" i="1"/>
  <c r="G16434" i="1"/>
  <c r="G16433" i="1"/>
  <c r="G16432" i="1"/>
  <c r="G16431" i="1"/>
  <c r="G16430" i="1"/>
  <c r="G16429" i="1"/>
  <c r="G16428" i="1"/>
  <c r="G16427" i="1"/>
  <c r="G16426" i="1"/>
  <c r="G16425" i="1"/>
  <c r="G16424" i="1"/>
  <c r="G16423" i="1"/>
  <c r="G16422" i="1"/>
  <c r="G16421" i="1"/>
  <c r="G16420" i="1"/>
  <c r="G16419" i="1"/>
  <c r="G16418" i="1"/>
  <c r="G16417" i="1"/>
  <c r="G16416" i="1"/>
  <c r="G16415" i="1"/>
  <c r="G16414" i="1"/>
  <c r="G16413" i="1"/>
  <c r="G16412" i="1"/>
  <c r="G16411" i="1"/>
  <c r="G16410" i="1"/>
  <c r="G16409" i="1"/>
  <c r="G16408" i="1"/>
  <c r="G16407" i="1"/>
  <c r="G16406" i="1"/>
  <c r="G16405" i="1"/>
  <c r="G16404" i="1"/>
  <c r="G16403" i="1"/>
  <c r="G16402" i="1"/>
  <c r="G16401" i="1"/>
  <c r="G16400" i="1"/>
  <c r="G16399" i="1"/>
  <c r="G16398" i="1"/>
  <c r="G16397" i="1"/>
  <c r="G16396" i="1"/>
  <c r="G16395" i="1"/>
  <c r="G16394" i="1"/>
  <c r="G16393" i="1"/>
  <c r="G16392" i="1"/>
  <c r="G16391" i="1"/>
  <c r="G16390" i="1"/>
  <c r="G16389" i="1"/>
  <c r="G16388" i="1"/>
  <c r="G16387" i="1"/>
  <c r="G16386" i="1"/>
  <c r="G16385" i="1"/>
  <c r="G16384" i="1"/>
  <c r="G16383" i="1"/>
  <c r="G16382" i="1"/>
  <c r="G16381" i="1"/>
  <c r="G16380" i="1"/>
  <c r="G16379" i="1"/>
  <c r="G16378" i="1"/>
  <c r="G16377" i="1"/>
  <c r="G16376" i="1"/>
  <c r="G16375" i="1"/>
  <c r="G16374" i="1"/>
  <c r="G16373" i="1"/>
  <c r="G16372" i="1"/>
  <c r="G16371" i="1"/>
  <c r="G16370" i="1"/>
  <c r="G16369" i="1"/>
  <c r="G16368" i="1"/>
  <c r="G16367" i="1"/>
  <c r="G16366" i="1"/>
  <c r="G16365" i="1"/>
  <c r="G16364" i="1"/>
  <c r="G16363" i="1"/>
  <c r="G16362" i="1"/>
  <c r="G16361" i="1"/>
  <c r="G16360" i="1"/>
  <c r="G16359" i="1"/>
  <c r="G16358" i="1"/>
  <c r="G16357" i="1"/>
  <c r="G16356" i="1"/>
  <c r="G16355" i="1"/>
  <c r="G16354" i="1"/>
  <c r="G16353" i="1"/>
  <c r="G16352" i="1"/>
  <c r="G16351" i="1"/>
  <c r="G16350" i="1"/>
  <c r="G16349" i="1"/>
  <c r="G16348" i="1"/>
  <c r="G16347" i="1"/>
  <c r="G16346" i="1"/>
  <c r="G16345" i="1"/>
  <c r="G16344" i="1"/>
  <c r="G16343" i="1"/>
  <c r="G16342" i="1"/>
  <c r="G16341" i="1"/>
  <c r="G16340" i="1"/>
  <c r="G16339" i="1"/>
  <c r="G16338" i="1"/>
  <c r="G16337" i="1"/>
  <c r="G16336" i="1"/>
  <c r="G16335" i="1"/>
  <c r="G16334" i="1"/>
  <c r="G16333" i="1"/>
  <c r="G16332" i="1"/>
  <c r="G16331" i="1"/>
  <c r="G16330" i="1"/>
  <c r="G16329" i="1"/>
  <c r="G16328" i="1"/>
  <c r="G16327" i="1"/>
  <c r="G16326" i="1"/>
  <c r="G16325" i="1"/>
  <c r="G16324" i="1"/>
  <c r="G16323" i="1"/>
  <c r="G16322" i="1"/>
  <c r="G16321" i="1"/>
  <c r="G16320" i="1"/>
  <c r="G16319" i="1"/>
  <c r="G16318" i="1"/>
  <c r="G16317" i="1"/>
  <c r="G16316" i="1"/>
  <c r="G16315" i="1"/>
  <c r="G16314" i="1"/>
  <c r="G16313" i="1"/>
  <c r="G16312" i="1"/>
  <c r="G16311" i="1"/>
  <c r="G16310" i="1"/>
  <c r="G16309" i="1"/>
  <c r="G16308" i="1"/>
  <c r="G16307" i="1"/>
  <c r="G16306" i="1"/>
  <c r="G16305" i="1"/>
  <c r="G16304" i="1"/>
  <c r="G16303" i="1"/>
  <c r="G16302" i="1"/>
  <c r="G16301" i="1"/>
  <c r="G16300" i="1"/>
  <c r="G16299" i="1"/>
  <c r="G16298" i="1"/>
  <c r="G16297" i="1"/>
  <c r="G16296" i="1"/>
  <c r="G16295" i="1"/>
  <c r="G16294" i="1"/>
  <c r="G16293" i="1"/>
  <c r="G16292" i="1"/>
  <c r="G16291" i="1"/>
  <c r="G16290" i="1"/>
  <c r="G16289" i="1"/>
  <c r="G16288" i="1"/>
  <c r="G16287" i="1"/>
  <c r="G16286" i="1"/>
  <c r="G16285" i="1"/>
  <c r="G16284" i="1"/>
  <c r="G16283" i="1"/>
  <c r="G16282" i="1"/>
  <c r="G16281" i="1"/>
  <c r="G16280" i="1"/>
  <c r="G16279" i="1"/>
  <c r="G16278" i="1"/>
  <c r="G16277" i="1"/>
  <c r="G16276" i="1"/>
  <c r="G16275" i="1"/>
  <c r="G16274" i="1"/>
  <c r="G16273" i="1"/>
  <c r="G16272" i="1"/>
  <c r="G16271" i="1"/>
  <c r="G16270" i="1"/>
  <c r="G16269" i="1"/>
  <c r="G16268" i="1"/>
  <c r="G16267" i="1"/>
  <c r="G16266" i="1"/>
  <c r="G16265" i="1"/>
  <c r="G16264" i="1"/>
  <c r="G16263" i="1"/>
  <c r="G16262" i="1"/>
  <c r="G16261" i="1"/>
  <c r="G16260" i="1"/>
  <c r="G16259" i="1"/>
  <c r="G16258" i="1"/>
  <c r="G16257" i="1"/>
  <c r="G16256" i="1"/>
  <c r="G16255" i="1"/>
  <c r="G16254" i="1"/>
  <c r="G16253" i="1"/>
  <c r="G16252" i="1"/>
  <c r="G16251" i="1"/>
  <c r="G16250" i="1"/>
  <c r="G16249" i="1"/>
  <c r="G16248" i="1"/>
  <c r="G16247" i="1"/>
  <c r="G16246" i="1"/>
  <c r="G16245" i="1"/>
  <c r="G16244" i="1"/>
  <c r="G16243" i="1"/>
  <c r="G16242" i="1"/>
  <c r="G16241" i="1"/>
  <c r="G16240" i="1"/>
  <c r="G16239" i="1"/>
  <c r="G16238" i="1"/>
  <c r="G16237" i="1"/>
  <c r="G16236" i="1"/>
  <c r="G16235" i="1"/>
  <c r="G16234" i="1"/>
  <c r="G16233" i="1"/>
  <c r="G16232" i="1"/>
  <c r="G16231" i="1"/>
  <c r="G16230" i="1"/>
  <c r="G16229" i="1"/>
  <c r="G16228" i="1"/>
  <c r="G16227" i="1"/>
  <c r="G16226" i="1"/>
  <c r="G16225" i="1"/>
  <c r="G16224" i="1"/>
  <c r="G16223" i="1"/>
  <c r="G16222" i="1"/>
  <c r="G16221" i="1"/>
  <c r="G16220" i="1"/>
  <c r="G16219" i="1"/>
  <c r="G16218" i="1"/>
  <c r="G16217" i="1"/>
  <c r="G16216" i="1"/>
  <c r="G16215" i="1"/>
  <c r="G16214" i="1"/>
  <c r="G16213" i="1"/>
  <c r="G16212" i="1"/>
  <c r="G16211" i="1"/>
  <c r="G16210" i="1"/>
  <c r="G16209" i="1"/>
  <c r="G16208" i="1"/>
  <c r="G16207" i="1"/>
  <c r="G16206" i="1"/>
  <c r="G16205" i="1"/>
  <c r="G16204" i="1"/>
  <c r="G16203" i="1"/>
  <c r="G16202" i="1"/>
  <c r="G16201" i="1"/>
  <c r="G16200" i="1"/>
  <c r="G16199" i="1"/>
  <c r="G16198" i="1"/>
  <c r="G16197" i="1"/>
  <c r="G16196" i="1"/>
  <c r="G16195" i="1"/>
  <c r="G16194" i="1"/>
  <c r="G16193" i="1"/>
  <c r="G16192" i="1"/>
  <c r="G16191" i="1"/>
  <c r="G16190" i="1"/>
  <c r="G16189" i="1"/>
  <c r="G16188" i="1"/>
  <c r="G16187" i="1"/>
  <c r="G16186" i="1"/>
  <c r="G16185" i="1"/>
  <c r="G16184" i="1"/>
  <c r="G16183" i="1"/>
  <c r="G16182" i="1"/>
  <c r="G16181" i="1"/>
  <c r="G16180" i="1"/>
  <c r="G16179" i="1"/>
  <c r="G16178" i="1"/>
  <c r="G16177" i="1"/>
  <c r="G16176" i="1"/>
  <c r="G16175" i="1"/>
  <c r="G16174" i="1"/>
  <c r="G16173" i="1"/>
  <c r="G16172" i="1"/>
  <c r="G16171" i="1"/>
  <c r="G16170" i="1"/>
  <c r="G16169" i="1"/>
  <c r="G16168" i="1"/>
  <c r="G16167" i="1"/>
  <c r="G16166" i="1"/>
  <c r="G16165" i="1"/>
  <c r="G16164" i="1"/>
  <c r="G16163" i="1"/>
  <c r="G16162" i="1"/>
  <c r="G16161" i="1"/>
  <c r="G16160" i="1"/>
  <c r="G16159" i="1"/>
  <c r="G16158" i="1"/>
  <c r="G16157" i="1"/>
  <c r="G16156" i="1"/>
  <c r="G16155" i="1"/>
  <c r="G16154" i="1"/>
  <c r="G16153" i="1"/>
  <c r="G16152" i="1"/>
  <c r="G16151" i="1"/>
  <c r="G16150" i="1"/>
  <c r="G16149" i="1"/>
  <c r="G16148" i="1"/>
  <c r="G16147" i="1"/>
  <c r="G16146" i="1"/>
  <c r="G16145" i="1"/>
  <c r="G16144" i="1"/>
  <c r="G16143" i="1"/>
  <c r="G16142" i="1"/>
  <c r="G16141" i="1"/>
  <c r="G16140" i="1"/>
  <c r="G16139" i="1"/>
  <c r="G16138" i="1"/>
  <c r="G16137" i="1"/>
  <c r="G16136" i="1"/>
  <c r="G16135" i="1"/>
  <c r="G16134" i="1"/>
  <c r="G16133" i="1"/>
  <c r="G16132" i="1"/>
  <c r="G16131" i="1"/>
  <c r="G16130" i="1"/>
  <c r="G16129" i="1"/>
  <c r="G16128" i="1"/>
  <c r="G16127" i="1"/>
  <c r="G16126" i="1"/>
  <c r="G16125" i="1"/>
  <c r="G16124" i="1"/>
  <c r="G16123" i="1"/>
  <c r="G16122" i="1"/>
  <c r="G16121" i="1"/>
  <c r="G16120" i="1"/>
  <c r="G16119" i="1"/>
  <c r="G16118" i="1"/>
  <c r="G16117" i="1"/>
  <c r="G16116" i="1"/>
  <c r="G16115" i="1"/>
  <c r="G16114" i="1"/>
  <c r="G16113" i="1"/>
  <c r="G16112" i="1"/>
  <c r="G16111" i="1"/>
  <c r="G16110" i="1"/>
  <c r="G16109" i="1"/>
  <c r="G16108" i="1"/>
  <c r="G16107" i="1"/>
  <c r="G16106" i="1"/>
  <c r="G16105" i="1"/>
  <c r="G16104" i="1"/>
  <c r="G16103" i="1"/>
  <c r="G16102" i="1"/>
  <c r="G16101" i="1"/>
  <c r="G16100" i="1"/>
  <c r="G16099" i="1"/>
  <c r="G16098" i="1"/>
  <c r="G16097" i="1"/>
  <c r="G16096" i="1"/>
  <c r="G16095" i="1"/>
  <c r="G16094" i="1"/>
  <c r="G16093" i="1"/>
  <c r="G16092" i="1"/>
  <c r="G16091" i="1"/>
  <c r="G16090" i="1"/>
  <c r="G16089" i="1"/>
  <c r="G16088" i="1"/>
  <c r="G16087" i="1"/>
  <c r="G16086" i="1"/>
  <c r="G16085" i="1"/>
  <c r="G16084" i="1"/>
  <c r="G16083" i="1"/>
  <c r="G16082" i="1"/>
  <c r="G16081" i="1"/>
  <c r="G16080" i="1"/>
  <c r="G16079" i="1"/>
  <c r="G16078" i="1"/>
  <c r="G16077" i="1"/>
  <c r="G16076" i="1"/>
  <c r="G16075" i="1"/>
  <c r="G16074" i="1"/>
  <c r="G16073" i="1"/>
  <c r="G16072" i="1"/>
  <c r="G16071" i="1"/>
  <c r="G16070" i="1"/>
  <c r="G16069" i="1"/>
  <c r="G16068" i="1"/>
  <c r="G16067" i="1"/>
  <c r="G16066" i="1"/>
  <c r="G16065" i="1"/>
  <c r="G16064" i="1"/>
  <c r="G16063" i="1"/>
  <c r="G16062" i="1"/>
  <c r="G16061" i="1"/>
  <c r="G16060" i="1"/>
  <c r="G16059" i="1"/>
  <c r="G16058" i="1"/>
  <c r="G16057" i="1"/>
  <c r="G16056" i="1"/>
  <c r="G16055" i="1"/>
  <c r="G16054" i="1"/>
  <c r="G16053" i="1"/>
  <c r="G16052" i="1"/>
  <c r="G16051" i="1"/>
  <c r="G16050" i="1"/>
  <c r="G16049" i="1"/>
  <c r="G16048" i="1"/>
  <c r="G16047" i="1"/>
  <c r="G16046" i="1"/>
  <c r="G16045" i="1"/>
  <c r="G16044" i="1"/>
  <c r="G16043" i="1"/>
  <c r="G16042" i="1"/>
  <c r="G16041" i="1"/>
  <c r="G16040" i="1"/>
  <c r="G16039" i="1"/>
  <c r="G16038" i="1"/>
  <c r="G16037" i="1"/>
  <c r="G16036" i="1"/>
  <c r="G16035" i="1"/>
  <c r="G16034" i="1"/>
  <c r="G16033" i="1"/>
  <c r="G16032" i="1"/>
  <c r="G16031" i="1"/>
  <c r="G16030" i="1"/>
  <c r="G16029" i="1"/>
  <c r="G16028" i="1"/>
  <c r="G16027" i="1"/>
  <c r="G16026" i="1"/>
  <c r="G16025" i="1"/>
  <c r="G16024" i="1"/>
  <c r="G16023" i="1"/>
  <c r="G16022" i="1"/>
  <c r="G16021" i="1"/>
  <c r="G16020" i="1"/>
  <c r="G16019" i="1"/>
  <c r="G16018" i="1"/>
  <c r="G16017" i="1"/>
  <c r="G16016" i="1"/>
  <c r="G16015" i="1"/>
  <c r="G16014" i="1"/>
  <c r="G16013" i="1"/>
  <c r="G16012" i="1"/>
  <c r="G16011" i="1"/>
  <c r="G16010" i="1"/>
  <c r="G16009" i="1"/>
  <c r="G16008" i="1"/>
  <c r="G16007" i="1"/>
  <c r="G16006" i="1"/>
  <c r="G16005" i="1"/>
  <c r="G16004" i="1"/>
  <c r="G16003" i="1"/>
  <c r="G16002" i="1"/>
  <c r="G16001" i="1"/>
  <c r="G16000" i="1"/>
  <c r="G15999" i="1"/>
  <c r="G15998" i="1"/>
  <c r="G15997" i="1"/>
  <c r="G15996" i="1"/>
  <c r="G15995" i="1"/>
  <c r="G15994" i="1"/>
  <c r="G15993" i="1"/>
  <c r="G15992" i="1"/>
  <c r="G15991" i="1"/>
  <c r="G15990" i="1"/>
  <c r="G15989" i="1"/>
  <c r="G15988" i="1"/>
  <c r="G15987" i="1"/>
  <c r="G15986" i="1"/>
  <c r="G15985" i="1"/>
  <c r="G15984" i="1"/>
  <c r="G15983" i="1"/>
  <c r="G15982" i="1"/>
  <c r="G15981" i="1"/>
  <c r="G15980" i="1"/>
  <c r="G15979" i="1"/>
  <c r="G15978" i="1"/>
  <c r="G15977" i="1"/>
  <c r="G15976" i="1"/>
  <c r="G15975" i="1"/>
  <c r="G15974" i="1"/>
  <c r="G15973" i="1"/>
  <c r="G15972" i="1"/>
  <c r="G15971" i="1"/>
  <c r="G15970" i="1"/>
  <c r="G15969" i="1"/>
  <c r="G15968" i="1"/>
  <c r="G15967" i="1"/>
  <c r="G15966" i="1"/>
  <c r="G15965" i="1"/>
  <c r="G15964" i="1"/>
  <c r="G15963" i="1"/>
  <c r="G15962" i="1"/>
  <c r="G15961" i="1"/>
  <c r="G15960" i="1"/>
  <c r="G15959" i="1"/>
  <c r="G15958" i="1"/>
  <c r="G15957" i="1"/>
  <c r="G15956" i="1"/>
  <c r="G15955" i="1"/>
  <c r="G15954" i="1"/>
  <c r="G15953" i="1"/>
  <c r="G15952" i="1"/>
  <c r="G15951" i="1"/>
  <c r="G15950" i="1"/>
  <c r="G15949" i="1"/>
  <c r="G15948" i="1"/>
  <c r="G15947" i="1"/>
  <c r="G15946" i="1"/>
  <c r="G15945" i="1"/>
  <c r="G15944" i="1"/>
  <c r="G15943" i="1"/>
  <c r="G15942" i="1"/>
  <c r="G15941" i="1"/>
  <c r="G15940" i="1"/>
  <c r="G15939" i="1"/>
  <c r="G15938" i="1"/>
  <c r="G15937" i="1"/>
  <c r="G15936" i="1"/>
  <c r="G15935" i="1"/>
  <c r="G15934" i="1"/>
  <c r="G15933" i="1"/>
  <c r="G15932" i="1"/>
  <c r="G15931" i="1"/>
  <c r="G15930" i="1"/>
  <c r="G15929" i="1"/>
  <c r="G15928" i="1"/>
  <c r="G15927" i="1"/>
  <c r="G15926" i="1"/>
  <c r="G15925" i="1"/>
  <c r="G15924" i="1"/>
  <c r="G15923" i="1"/>
  <c r="G15922" i="1"/>
  <c r="G15921" i="1"/>
  <c r="G15920" i="1"/>
  <c r="G15919" i="1"/>
  <c r="G15918" i="1"/>
  <c r="G15917" i="1"/>
  <c r="G15916" i="1"/>
  <c r="G15915" i="1"/>
  <c r="G15914" i="1"/>
  <c r="G15913" i="1"/>
  <c r="G15912" i="1"/>
  <c r="G15911" i="1"/>
  <c r="G15910" i="1"/>
  <c r="G15909" i="1"/>
  <c r="G15908" i="1"/>
  <c r="G15907" i="1"/>
  <c r="G15906" i="1"/>
  <c r="G15905" i="1"/>
  <c r="G15904" i="1"/>
  <c r="G15903" i="1"/>
  <c r="G15902" i="1"/>
  <c r="G15901" i="1"/>
  <c r="G15900" i="1"/>
  <c r="G15899" i="1"/>
  <c r="G15898" i="1"/>
  <c r="G15897" i="1"/>
  <c r="G15896" i="1"/>
  <c r="G15895" i="1"/>
  <c r="G15894" i="1"/>
  <c r="G15893" i="1"/>
  <c r="G15892" i="1"/>
  <c r="G15891" i="1"/>
  <c r="G15890" i="1"/>
  <c r="G15889" i="1"/>
  <c r="G15888" i="1"/>
  <c r="G15887" i="1"/>
  <c r="G15886" i="1"/>
  <c r="G15885" i="1"/>
  <c r="G15884" i="1"/>
  <c r="G15883" i="1"/>
  <c r="G15882" i="1"/>
  <c r="G15881" i="1"/>
  <c r="G15880" i="1"/>
  <c r="G15879" i="1"/>
  <c r="G15878" i="1"/>
  <c r="G15877" i="1"/>
  <c r="G15876" i="1"/>
  <c r="G15875" i="1"/>
  <c r="G15874" i="1"/>
  <c r="G15873" i="1"/>
  <c r="G15872" i="1"/>
  <c r="G15871" i="1"/>
  <c r="G15870" i="1"/>
  <c r="G15869" i="1"/>
  <c r="G15868" i="1"/>
  <c r="G15867" i="1"/>
  <c r="G15866" i="1"/>
  <c r="G15865" i="1"/>
  <c r="G15864" i="1"/>
  <c r="G15863" i="1"/>
  <c r="G15862" i="1"/>
  <c r="G15861" i="1"/>
  <c r="G15860" i="1"/>
  <c r="G15859" i="1"/>
  <c r="G15858" i="1"/>
  <c r="G15857" i="1"/>
  <c r="G15856" i="1"/>
  <c r="G15855" i="1"/>
  <c r="G15854" i="1"/>
  <c r="G15853" i="1"/>
  <c r="G15852" i="1"/>
  <c r="G15851" i="1"/>
  <c r="G15850" i="1"/>
  <c r="G15849" i="1"/>
  <c r="G15848" i="1"/>
  <c r="G15847" i="1"/>
  <c r="G15846" i="1"/>
  <c r="G15845" i="1"/>
  <c r="G15844" i="1"/>
  <c r="G15843" i="1"/>
  <c r="G15842" i="1"/>
  <c r="G15841" i="1"/>
  <c r="G15840" i="1"/>
  <c r="G15839" i="1"/>
  <c r="G15838" i="1"/>
  <c r="G15837" i="1"/>
  <c r="G15836" i="1"/>
  <c r="G15835" i="1"/>
  <c r="G15834" i="1"/>
  <c r="G15833" i="1"/>
  <c r="G15832" i="1"/>
  <c r="G15831" i="1"/>
  <c r="G15830" i="1"/>
  <c r="G15829" i="1"/>
  <c r="G15828" i="1"/>
  <c r="G15827" i="1"/>
  <c r="G15826" i="1"/>
  <c r="G15825" i="1"/>
  <c r="G15824" i="1"/>
  <c r="G15823" i="1"/>
  <c r="G15822" i="1"/>
  <c r="G15821" i="1"/>
  <c r="G15820" i="1"/>
  <c r="G15819" i="1"/>
  <c r="G15818" i="1"/>
  <c r="G15817" i="1"/>
  <c r="G15816" i="1"/>
  <c r="G15815" i="1"/>
  <c r="G15814" i="1"/>
  <c r="G15813" i="1"/>
  <c r="G15812" i="1"/>
  <c r="G15811" i="1"/>
  <c r="G15810" i="1"/>
  <c r="G15809" i="1"/>
  <c r="G15808" i="1"/>
  <c r="G15807" i="1"/>
  <c r="G15806" i="1"/>
  <c r="G15805" i="1"/>
  <c r="G15804" i="1"/>
  <c r="G15803" i="1"/>
  <c r="G15802" i="1"/>
  <c r="G15801" i="1"/>
  <c r="G15800" i="1"/>
  <c r="G15799" i="1"/>
  <c r="G15798" i="1"/>
  <c r="G15797" i="1"/>
  <c r="G15796" i="1"/>
  <c r="G15795" i="1"/>
  <c r="G15794" i="1"/>
  <c r="G15793" i="1"/>
  <c r="G15792" i="1"/>
  <c r="G15791" i="1"/>
  <c r="G15790" i="1"/>
  <c r="G15789" i="1"/>
  <c r="G15788" i="1"/>
  <c r="G15787" i="1"/>
  <c r="G15786" i="1"/>
  <c r="G15785" i="1"/>
  <c r="G15784" i="1"/>
  <c r="G15783" i="1"/>
  <c r="G15782" i="1"/>
  <c r="G15781" i="1"/>
  <c r="G15780" i="1"/>
  <c r="G15779" i="1"/>
  <c r="G15778" i="1"/>
  <c r="G15777" i="1"/>
  <c r="G15776" i="1"/>
  <c r="G15775" i="1"/>
  <c r="G15774" i="1"/>
  <c r="G15773" i="1"/>
  <c r="G15772" i="1"/>
  <c r="G15771" i="1"/>
  <c r="G15770" i="1"/>
  <c r="G15769" i="1"/>
  <c r="G15768" i="1"/>
  <c r="G15767" i="1"/>
  <c r="G15766" i="1"/>
  <c r="G15765" i="1"/>
  <c r="G15764" i="1"/>
  <c r="G15763" i="1"/>
  <c r="G15762" i="1"/>
  <c r="G15761" i="1"/>
  <c r="G15760" i="1"/>
  <c r="G15759" i="1"/>
  <c r="G15758" i="1"/>
  <c r="G15757" i="1"/>
  <c r="G15756" i="1"/>
  <c r="G15755" i="1"/>
  <c r="G15754" i="1"/>
  <c r="G15753" i="1"/>
  <c r="G15752" i="1"/>
  <c r="G15751" i="1"/>
  <c r="G15750" i="1"/>
  <c r="G15749" i="1"/>
  <c r="G15748" i="1"/>
  <c r="G15747" i="1"/>
  <c r="G15746" i="1"/>
  <c r="G15745" i="1"/>
  <c r="G15744" i="1"/>
  <c r="G15743" i="1"/>
  <c r="G15742" i="1"/>
  <c r="G15741" i="1"/>
  <c r="G15740" i="1"/>
  <c r="G15739" i="1"/>
  <c r="G15738" i="1"/>
  <c r="G15737" i="1"/>
  <c r="G15736" i="1"/>
  <c r="G15735" i="1"/>
  <c r="G15734" i="1"/>
  <c r="G15733" i="1"/>
  <c r="G15732" i="1"/>
  <c r="G15731" i="1"/>
  <c r="G15730" i="1"/>
  <c r="G15729" i="1"/>
  <c r="G15728" i="1"/>
  <c r="G15727" i="1"/>
  <c r="G15726" i="1"/>
  <c r="G15725" i="1"/>
  <c r="G15724" i="1"/>
  <c r="G15723" i="1"/>
  <c r="G15722" i="1"/>
  <c r="G15721" i="1"/>
  <c r="G15720" i="1"/>
  <c r="G15719" i="1"/>
  <c r="G15718" i="1"/>
  <c r="G15717" i="1"/>
  <c r="G15716" i="1"/>
  <c r="G15715" i="1"/>
  <c r="G15714" i="1"/>
  <c r="G15713" i="1"/>
  <c r="G15712" i="1"/>
  <c r="G15711" i="1"/>
  <c r="G15710" i="1"/>
  <c r="G15709" i="1"/>
  <c r="G15708" i="1"/>
  <c r="G15707" i="1"/>
  <c r="G15706" i="1"/>
  <c r="G15705" i="1"/>
  <c r="G15704" i="1"/>
  <c r="G15703" i="1"/>
  <c r="G15702" i="1"/>
  <c r="G15701" i="1"/>
  <c r="G15700" i="1"/>
  <c r="G15699" i="1"/>
  <c r="G15698" i="1"/>
  <c r="G15697" i="1"/>
  <c r="G15696" i="1"/>
  <c r="G15695" i="1"/>
  <c r="G15694" i="1"/>
  <c r="G15693" i="1"/>
  <c r="G15692" i="1"/>
  <c r="G15691" i="1"/>
  <c r="G15690" i="1"/>
  <c r="G15689" i="1"/>
  <c r="G15688" i="1"/>
  <c r="G15687" i="1"/>
  <c r="G15686" i="1"/>
  <c r="G15685" i="1"/>
  <c r="G15684" i="1"/>
  <c r="G15683" i="1"/>
  <c r="G15682" i="1"/>
  <c r="G15681" i="1"/>
  <c r="G15680" i="1"/>
  <c r="G15679" i="1"/>
  <c r="G15678" i="1"/>
  <c r="G15677" i="1"/>
  <c r="G15676" i="1"/>
  <c r="G15675" i="1"/>
  <c r="G15674" i="1"/>
  <c r="G15673" i="1"/>
  <c r="G15672" i="1"/>
  <c r="G15671" i="1"/>
  <c r="G15670" i="1"/>
  <c r="G15669" i="1"/>
  <c r="G15668" i="1"/>
  <c r="G15667" i="1"/>
  <c r="G15666" i="1"/>
  <c r="G15665" i="1"/>
  <c r="G15664" i="1"/>
  <c r="G15663" i="1"/>
  <c r="G15662" i="1"/>
  <c r="G15661" i="1"/>
  <c r="G15660" i="1"/>
  <c r="G15659" i="1"/>
  <c r="G15658" i="1"/>
  <c r="G15657" i="1"/>
  <c r="G15656" i="1"/>
  <c r="G15655" i="1"/>
  <c r="G15654" i="1"/>
  <c r="G15653" i="1"/>
  <c r="G15652" i="1"/>
  <c r="G15651" i="1"/>
  <c r="G15650" i="1"/>
  <c r="G15649" i="1"/>
  <c r="G15648" i="1"/>
  <c r="G15647" i="1"/>
  <c r="G15646" i="1"/>
  <c r="G15645" i="1"/>
  <c r="G15644" i="1"/>
  <c r="G15643" i="1"/>
  <c r="G15642" i="1"/>
  <c r="G15641" i="1"/>
  <c r="G15640" i="1"/>
  <c r="G15639" i="1"/>
  <c r="G15638" i="1"/>
  <c r="G15637" i="1"/>
  <c r="G15636" i="1"/>
  <c r="G15635" i="1"/>
  <c r="G15634" i="1"/>
  <c r="G15633" i="1"/>
  <c r="G15632" i="1"/>
  <c r="G15631" i="1"/>
  <c r="G15630" i="1"/>
  <c r="G15629" i="1"/>
  <c r="G15628" i="1"/>
  <c r="G15627" i="1"/>
  <c r="G15626" i="1"/>
  <c r="G15625" i="1"/>
  <c r="G15624" i="1"/>
  <c r="G15623" i="1"/>
  <c r="G15622" i="1"/>
  <c r="G15621" i="1"/>
  <c r="G15620" i="1"/>
  <c r="G15619" i="1"/>
  <c r="G15618" i="1"/>
  <c r="G15617" i="1"/>
  <c r="G15616" i="1"/>
  <c r="G15615" i="1"/>
  <c r="G15614" i="1"/>
  <c r="G15613" i="1"/>
  <c r="G15612" i="1"/>
  <c r="G15611" i="1"/>
  <c r="G15610" i="1"/>
  <c r="G15609" i="1"/>
  <c r="G15608" i="1"/>
  <c r="G15607" i="1"/>
  <c r="G15606" i="1"/>
  <c r="G15605" i="1"/>
  <c r="G15604" i="1"/>
  <c r="G15603" i="1"/>
  <c r="G15602" i="1"/>
  <c r="G15601" i="1"/>
  <c r="G15600" i="1"/>
  <c r="G15599" i="1"/>
  <c r="G15598" i="1"/>
  <c r="G15597" i="1"/>
  <c r="G15596" i="1"/>
  <c r="G15595" i="1"/>
  <c r="G15594" i="1"/>
  <c r="G15593" i="1"/>
  <c r="G15592" i="1"/>
  <c r="G15591" i="1"/>
  <c r="G15590" i="1"/>
  <c r="G15589" i="1"/>
  <c r="G15588" i="1"/>
  <c r="G15587" i="1"/>
  <c r="G15586" i="1"/>
  <c r="G15585" i="1"/>
  <c r="G15584" i="1"/>
  <c r="G15583" i="1"/>
  <c r="G15582" i="1"/>
  <c r="G15581" i="1"/>
  <c r="G15580" i="1"/>
  <c r="G15579" i="1"/>
  <c r="G15578" i="1"/>
  <c r="G15577" i="1"/>
  <c r="G15576" i="1"/>
  <c r="G15575" i="1"/>
  <c r="G15574" i="1"/>
  <c r="G15573" i="1"/>
  <c r="G15572" i="1"/>
  <c r="G15571" i="1"/>
  <c r="G15570" i="1"/>
  <c r="G15569" i="1"/>
  <c r="G15568" i="1"/>
  <c r="G15567" i="1"/>
  <c r="G15566" i="1"/>
  <c r="G15565" i="1"/>
  <c r="G15564" i="1"/>
  <c r="G15563" i="1"/>
  <c r="G15562" i="1"/>
  <c r="G15561" i="1"/>
  <c r="G15560" i="1"/>
  <c r="G15559" i="1"/>
  <c r="G15558" i="1"/>
  <c r="G15557" i="1"/>
  <c r="G15556" i="1"/>
  <c r="G15555" i="1"/>
  <c r="G15554" i="1"/>
  <c r="G15553" i="1"/>
  <c r="G15552" i="1"/>
  <c r="G15551" i="1"/>
  <c r="G15550" i="1"/>
  <c r="G15549" i="1"/>
  <c r="G15548" i="1"/>
  <c r="G15547" i="1"/>
  <c r="G15546" i="1"/>
  <c r="G15545" i="1"/>
  <c r="G15544" i="1"/>
  <c r="G15543" i="1"/>
  <c r="G15542" i="1"/>
  <c r="G15541" i="1"/>
  <c r="G15540" i="1"/>
  <c r="G15539" i="1"/>
  <c r="G15538" i="1"/>
  <c r="G15537" i="1"/>
  <c r="G15536" i="1"/>
  <c r="G15535" i="1"/>
  <c r="G15534" i="1"/>
  <c r="G15533" i="1"/>
  <c r="G15532" i="1"/>
  <c r="G15531" i="1"/>
  <c r="G15530" i="1"/>
  <c r="G15529" i="1"/>
  <c r="G15528" i="1"/>
  <c r="G15527" i="1"/>
  <c r="G15526" i="1"/>
  <c r="G15525" i="1"/>
  <c r="G15524" i="1"/>
  <c r="G15523" i="1"/>
  <c r="G15522" i="1"/>
  <c r="G15521" i="1"/>
  <c r="G15520" i="1"/>
  <c r="G15519" i="1"/>
  <c r="G15518" i="1"/>
  <c r="G15517" i="1"/>
  <c r="G15516" i="1"/>
  <c r="G15515" i="1"/>
  <c r="G15514" i="1"/>
  <c r="G15513" i="1"/>
  <c r="G15512" i="1"/>
  <c r="G15511" i="1"/>
  <c r="G15510" i="1"/>
  <c r="G15509" i="1"/>
  <c r="G15508" i="1"/>
  <c r="G15507" i="1"/>
  <c r="G15506" i="1"/>
  <c r="G15505" i="1"/>
  <c r="G15504" i="1"/>
  <c r="G15503" i="1"/>
  <c r="G15502" i="1"/>
  <c r="G15501" i="1"/>
  <c r="G15500" i="1"/>
  <c r="G15499" i="1"/>
  <c r="G15498" i="1"/>
  <c r="G15497" i="1"/>
  <c r="G15496" i="1"/>
  <c r="G15495" i="1"/>
  <c r="G15494" i="1"/>
  <c r="G15493" i="1"/>
  <c r="G15492" i="1"/>
  <c r="G15491" i="1"/>
  <c r="G15490" i="1"/>
  <c r="G15489" i="1"/>
  <c r="G15488" i="1"/>
  <c r="G15487" i="1"/>
  <c r="G15486" i="1"/>
  <c r="G15485" i="1"/>
  <c r="G15484" i="1"/>
  <c r="G15483" i="1"/>
  <c r="G15482" i="1"/>
  <c r="G15481" i="1"/>
  <c r="G15480" i="1"/>
  <c r="G15479" i="1"/>
  <c r="G15478" i="1"/>
  <c r="G15477" i="1"/>
  <c r="G15476" i="1"/>
  <c r="G15475" i="1"/>
  <c r="G15474" i="1"/>
  <c r="G15473" i="1"/>
  <c r="G15472" i="1"/>
  <c r="G15471" i="1"/>
  <c r="G15470" i="1"/>
  <c r="G15469" i="1"/>
  <c r="G15468" i="1"/>
  <c r="G15467" i="1"/>
  <c r="G15466" i="1"/>
  <c r="G15465" i="1"/>
  <c r="G15464" i="1"/>
  <c r="G15463" i="1"/>
  <c r="G15462" i="1"/>
  <c r="G15461" i="1"/>
  <c r="G15460" i="1"/>
  <c r="G15459" i="1"/>
  <c r="G15458" i="1"/>
  <c r="G15457" i="1"/>
  <c r="G15456" i="1"/>
  <c r="G15455" i="1"/>
  <c r="G15454" i="1"/>
  <c r="G15453" i="1"/>
  <c r="G15452" i="1"/>
  <c r="G15451" i="1"/>
  <c r="G15450" i="1"/>
  <c r="G15449" i="1"/>
  <c r="G15448" i="1"/>
  <c r="G15447" i="1"/>
  <c r="G15446" i="1"/>
  <c r="G15445" i="1"/>
  <c r="G15444" i="1"/>
  <c r="G15443" i="1"/>
  <c r="G15442" i="1"/>
  <c r="G15441" i="1"/>
  <c r="G15440" i="1"/>
  <c r="G15439" i="1"/>
  <c r="G15438" i="1"/>
  <c r="G15437" i="1"/>
  <c r="G15436" i="1"/>
  <c r="G15435" i="1"/>
  <c r="G15434" i="1"/>
  <c r="G15433" i="1"/>
  <c r="G15432" i="1"/>
  <c r="G15431" i="1"/>
  <c r="G15430" i="1"/>
  <c r="G15429" i="1"/>
  <c r="G15428" i="1"/>
  <c r="G15427" i="1"/>
  <c r="G15426" i="1"/>
  <c r="G15425" i="1"/>
  <c r="G15424" i="1"/>
  <c r="G15423" i="1"/>
  <c r="G15422" i="1"/>
  <c r="G15421" i="1"/>
  <c r="G15420" i="1"/>
  <c r="G15419" i="1"/>
  <c r="G15418" i="1"/>
  <c r="G15417" i="1"/>
  <c r="G15416" i="1"/>
  <c r="G15415" i="1"/>
  <c r="G15414" i="1"/>
  <c r="G15413" i="1"/>
  <c r="G15412" i="1"/>
  <c r="G15411" i="1"/>
  <c r="G15410" i="1"/>
  <c r="G15409" i="1"/>
  <c r="G15408" i="1"/>
  <c r="G15407" i="1"/>
  <c r="G15406" i="1"/>
  <c r="G15405" i="1"/>
  <c r="G15404" i="1"/>
  <c r="G15403" i="1"/>
  <c r="G15402" i="1"/>
  <c r="G15401" i="1"/>
  <c r="G15400" i="1"/>
  <c r="G15399" i="1"/>
  <c r="G15398" i="1"/>
  <c r="G15397" i="1"/>
  <c r="G15396" i="1"/>
  <c r="G15395" i="1"/>
  <c r="G15394" i="1"/>
  <c r="G15393" i="1"/>
  <c r="G15392" i="1"/>
  <c r="G15391" i="1"/>
  <c r="G15390" i="1"/>
  <c r="G15389" i="1"/>
  <c r="G15388" i="1"/>
  <c r="G15387" i="1"/>
  <c r="G15386" i="1"/>
  <c r="G15385" i="1"/>
  <c r="G15384" i="1"/>
  <c r="G15383" i="1"/>
  <c r="G15382" i="1"/>
  <c r="G15381" i="1"/>
  <c r="G15380" i="1"/>
  <c r="G15379" i="1"/>
  <c r="G15378" i="1"/>
  <c r="G15377" i="1"/>
  <c r="G15376" i="1"/>
  <c r="G15375" i="1"/>
  <c r="G15374" i="1"/>
  <c r="G15373" i="1"/>
  <c r="G15372" i="1"/>
  <c r="G15371" i="1"/>
  <c r="G15370" i="1"/>
  <c r="G15369" i="1"/>
  <c r="G15368" i="1"/>
  <c r="G15367" i="1"/>
  <c r="G15366" i="1"/>
  <c r="G15365" i="1"/>
  <c r="G15364" i="1"/>
  <c r="G15363" i="1"/>
  <c r="G15362" i="1"/>
  <c r="G15361" i="1"/>
  <c r="G15360" i="1"/>
  <c r="G15359" i="1"/>
  <c r="G15358" i="1"/>
  <c r="G15357" i="1"/>
  <c r="G15356" i="1"/>
  <c r="G15355" i="1"/>
  <c r="G15354" i="1"/>
  <c r="G15353" i="1"/>
  <c r="G15352" i="1"/>
  <c r="G15351" i="1"/>
  <c r="G15350" i="1"/>
  <c r="G15349" i="1"/>
  <c r="G15348" i="1"/>
  <c r="G15347" i="1"/>
  <c r="G15346" i="1"/>
  <c r="G15345" i="1"/>
  <c r="G15344" i="1"/>
  <c r="G15343" i="1"/>
  <c r="G15342" i="1"/>
  <c r="G15341" i="1"/>
  <c r="G15340" i="1"/>
  <c r="G15339" i="1"/>
  <c r="G15338" i="1"/>
  <c r="G15337" i="1"/>
  <c r="G15336" i="1"/>
  <c r="G15335" i="1"/>
  <c r="G15334" i="1"/>
  <c r="G15333" i="1"/>
  <c r="G15332" i="1"/>
  <c r="G15331" i="1"/>
  <c r="G15330" i="1"/>
  <c r="G15329" i="1"/>
  <c r="G15328" i="1"/>
  <c r="G15327" i="1"/>
  <c r="G15326" i="1"/>
  <c r="G15325" i="1"/>
  <c r="G15324" i="1"/>
  <c r="G15323" i="1"/>
  <c r="G15322" i="1"/>
  <c r="G15321" i="1"/>
  <c r="G15320" i="1"/>
  <c r="G15319" i="1"/>
  <c r="G15318" i="1"/>
  <c r="G15317" i="1"/>
  <c r="G15316" i="1"/>
  <c r="G15315" i="1"/>
  <c r="G15314" i="1"/>
  <c r="G15313" i="1"/>
  <c r="G15312" i="1"/>
  <c r="G15311" i="1"/>
  <c r="G15310" i="1"/>
  <c r="G15309" i="1"/>
  <c r="G15308" i="1"/>
  <c r="G15307" i="1"/>
  <c r="G15306" i="1"/>
  <c r="G15305" i="1"/>
  <c r="G15304" i="1"/>
  <c r="G15303" i="1"/>
  <c r="G15302" i="1"/>
  <c r="G15301" i="1"/>
  <c r="G15300" i="1"/>
  <c r="G15299" i="1"/>
  <c r="G15298" i="1"/>
  <c r="G15297" i="1"/>
  <c r="G15296" i="1"/>
  <c r="G15295" i="1"/>
  <c r="G15294" i="1"/>
  <c r="G15293" i="1"/>
  <c r="G15292" i="1"/>
  <c r="G15291" i="1"/>
  <c r="G15290" i="1"/>
  <c r="G15289" i="1"/>
  <c r="G15288" i="1"/>
  <c r="G15287" i="1"/>
  <c r="G15286" i="1"/>
  <c r="G15285" i="1"/>
  <c r="G15284" i="1"/>
  <c r="G15283" i="1"/>
  <c r="G15282" i="1"/>
  <c r="G15281" i="1"/>
  <c r="G15280" i="1"/>
  <c r="G15279" i="1"/>
  <c r="G15278" i="1"/>
  <c r="G15277" i="1"/>
  <c r="G15276" i="1"/>
  <c r="G15275" i="1"/>
  <c r="G15274" i="1"/>
  <c r="G15273" i="1"/>
  <c r="G15272" i="1"/>
  <c r="G15271" i="1"/>
  <c r="G15270" i="1"/>
  <c r="G15269" i="1"/>
  <c r="G15268" i="1"/>
  <c r="G15267" i="1"/>
  <c r="G15266" i="1"/>
  <c r="G15265" i="1"/>
  <c r="G15264" i="1"/>
  <c r="G15263" i="1"/>
  <c r="G15262" i="1"/>
  <c r="G15261" i="1"/>
  <c r="G15260" i="1"/>
  <c r="G15259" i="1"/>
  <c r="G15258" i="1"/>
  <c r="G15257" i="1"/>
  <c r="G15256" i="1"/>
  <c r="G15255" i="1"/>
  <c r="G15254" i="1"/>
  <c r="G15253" i="1"/>
  <c r="G15252" i="1"/>
  <c r="G15251" i="1"/>
  <c r="G15250" i="1"/>
  <c r="G15249" i="1"/>
  <c r="G15248" i="1"/>
  <c r="G15247" i="1"/>
  <c r="G15246" i="1"/>
  <c r="G15245" i="1"/>
  <c r="G15244" i="1"/>
  <c r="G15243" i="1"/>
  <c r="G15242" i="1"/>
  <c r="G15241" i="1"/>
  <c r="G15240" i="1"/>
  <c r="G15239" i="1"/>
  <c r="G15238" i="1"/>
  <c r="G15237" i="1"/>
  <c r="G15236" i="1"/>
  <c r="G15235" i="1"/>
  <c r="G15234" i="1"/>
  <c r="G15233" i="1"/>
  <c r="G15232" i="1"/>
  <c r="G15231" i="1"/>
  <c r="G15230" i="1"/>
  <c r="G15229" i="1"/>
  <c r="G15228" i="1"/>
  <c r="G15227" i="1"/>
  <c r="G15226" i="1"/>
  <c r="G15225" i="1"/>
  <c r="G15224" i="1"/>
  <c r="G15223" i="1"/>
  <c r="G15222" i="1"/>
  <c r="G15221" i="1"/>
  <c r="G15220" i="1"/>
  <c r="G15219" i="1"/>
  <c r="G15218" i="1"/>
  <c r="G15217" i="1"/>
  <c r="G15216" i="1"/>
  <c r="G15215" i="1"/>
  <c r="G15214" i="1"/>
  <c r="G15213" i="1"/>
  <c r="G15212" i="1"/>
  <c r="G15211" i="1"/>
  <c r="G15210" i="1"/>
  <c r="G15209" i="1"/>
  <c r="G15208" i="1"/>
  <c r="G15207" i="1"/>
  <c r="G15206" i="1"/>
  <c r="G15205" i="1"/>
  <c r="G15204" i="1"/>
  <c r="G15203" i="1"/>
  <c r="G15202" i="1"/>
  <c r="G15201" i="1"/>
  <c r="G15200" i="1"/>
  <c r="G15199" i="1"/>
  <c r="G15198" i="1"/>
  <c r="G15197" i="1"/>
  <c r="G15196" i="1"/>
  <c r="G15195" i="1"/>
  <c r="G15194" i="1"/>
  <c r="G15193" i="1"/>
  <c r="G15192" i="1"/>
  <c r="G15191" i="1"/>
  <c r="G15190" i="1"/>
  <c r="G15189" i="1"/>
  <c r="G15188" i="1"/>
  <c r="G15187" i="1"/>
  <c r="G15186" i="1"/>
  <c r="G15185" i="1"/>
  <c r="G15184" i="1"/>
  <c r="G15183" i="1"/>
  <c r="G15182" i="1"/>
  <c r="G15181" i="1"/>
  <c r="G15180" i="1"/>
  <c r="G15179" i="1"/>
  <c r="G15178" i="1"/>
  <c r="G15177" i="1"/>
  <c r="G15176" i="1"/>
  <c r="G15175" i="1"/>
  <c r="G15174" i="1"/>
  <c r="G15173" i="1"/>
  <c r="G15172" i="1"/>
  <c r="G15171" i="1"/>
  <c r="G15170" i="1"/>
  <c r="G15169" i="1"/>
  <c r="G15168" i="1"/>
  <c r="G15167" i="1"/>
  <c r="G15166" i="1"/>
  <c r="G15165" i="1"/>
  <c r="G15164" i="1"/>
  <c r="G15163" i="1"/>
  <c r="G15162" i="1"/>
  <c r="G15161" i="1"/>
  <c r="G15160" i="1"/>
  <c r="G15159" i="1"/>
  <c r="G15158" i="1"/>
  <c r="G15157" i="1"/>
  <c r="G15156" i="1"/>
  <c r="G15155" i="1"/>
  <c r="G15154" i="1"/>
  <c r="G15153" i="1"/>
  <c r="G15152" i="1"/>
  <c r="G15151" i="1"/>
  <c r="G15150" i="1"/>
  <c r="G15149" i="1"/>
  <c r="G15148" i="1"/>
  <c r="G15147" i="1"/>
  <c r="G15146" i="1"/>
  <c r="G15145" i="1"/>
  <c r="G15144" i="1"/>
  <c r="G15143" i="1"/>
  <c r="G15142" i="1"/>
  <c r="G15141" i="1"/>
  <c r="G15140" i="1"/>
  <c r="G15139" i="1"/>
  <c r="G15138" i="1"/>
  <c r="G15137" i="1"/>
  <c r="G15136" i="1"/>
  <c r="G15135" i="1"/>
  <c r="G15134" i="1"/>
  <c r="G15133" i="1"/>
  <c r="G15132" i="1"/>
  <c r="G15131" i="1"/>
  <c r="G15130" i="1"/>
  <c r="G15129" i="1"/>
  <c r="G15128" i="1"/>
  <c r="G15127" i="1"/>
  <c r="G15126" i="1"/>
  <c r="G15125" i="1"/>
  <c r="G15124" i="1"/>
  <c r="G15123" i="1"/>
  <c r="G15122" i="1"/>
  <c r="G15121" i="1"/>
  <c r="G15120" i="1"/>
  <c r="G15119" i="1"/>
  <c r="G15118" i="1"/>
  <c r="G15117" i="1"/>
  <c r="G15116" i="1"/>
  <c r="G15115" i="1"/>
  <c r="G15114" i="1"/>
  <c r="G15113" i="1"/>
  <c r="G15112" i="1"/>
  <c r="G15111" i="1"/>
  <c r="G15110" i="1"/>
  <c r="G15109" i="1"/>
  <c r="G15108" i="1"/>
  <c r="G15107" i="1"/>
  <c r="G15106" i="1"/>
  <c r="G15105" i="1"/>
  <c r="G15104" i="1"/>
  <c r="G15103" i="1"/>
  <c r="G15102" i="1"/>
  <c r="G15101" i="1"/>
  <c r="G15100" i="1"/>
  <c r="G15099" i="1"/>
  <c r="G15098" i="1"/>
  <c r="G15097" i="1"/>
  <c r="G15096" i="1"/>
  <c r="G15095" i="1"/>
  <c r="G15094" i="1"/>
  <c r="G15093" i="1"/>
  <c r="G15092" i="1"/>
  <c r="G15091" i="1"/>
  <c r="G15090" i="1"/>
  <c r="G15089" i="1"/>
  <c r="G15088" i="1"/>
  <c r="G15087" i="1"/>
  <c r="G15086" i="1"/>
  <c r="G15085" i="1"/>
  <c r="G15084" i="1"/>
  <c r="G15083" i="1"/>
  <c r="G15082" i="1"/>
  <c r="G15081" i="1"/>
  <c r="G15080" i="1"/>
  <c r="G15079" i="1"/>
  <c r="G15078" i="1"/>
  <c r="G15077" i="1"/>
  <c r="G15076" i="1"/>
  <c r="G15075" i="1"/>
  <c r="G15074" i="1"/>
  <c r="G15073" i="1"/>
  <c r="G15072" i="1"/>
  <c r="G15071" i="1"/>
  <c r="G15070" i="1"/>
  <c r="G15069" i="1"/>
  <c r="G15068" i="1"/>
  <c r="G15067" i="1"/>
  <c r="G15066" i="1"/>
  <c r="G15065" i="1"/>
  <c r="G15064" i="1"/>
  <c r="G15063" i="1"/>
  <c r="G15062" i="1"/>
  <c r="G15061" i="1"/>
  <c r="G15060" i="1"/>
  <c r="G15059" i="1"/>
  <c r="G15058" i="1"/>
  <c r="G15057" i="1"/>
  <c r="G15056" i="1"/>
  <c r="G15055" i="1"/>
  <c r="G15054" i="1"/>
  <c r="G15053" i="1"/>
  <c r="G15052" i="1"/>
  <c r="G15051" i="1"/>
  <c r="G15050" i="1"/>
  <c r="G15049" i="1"/>
  <c r="G15048" i="1"/>
  <c r="G15047" i="1"/>
  <c r="G15046" i="1"/>
  <c r="G15045" i="1"/>
  <c r="G15044" i="1"/>
  <c r="G15043" i="1"/>
  <c r="G15042" i="1"/>
  <c r="G15041" i="1"/>
  <c r="G15040" i="1"/>
  <c r="G15039" i="1"/>
  <c r="G15038" i="1"/>
  <c r="G15037" i="1"/>
  <c r="G15036" i="1"/>
  <c r="G15035" i="1"/>
  <c r="G15034" i="1"/>
  <c r="G15033" i="1"/>
  <c r="G15032" i="1"/>
  <c r="G15031" i="1"/>
  <c r="G15030" i="1"/>
  <c r="G15029" i="1"/>
  <c r="G15028" i="1"/>
  <c r="G15027" i="1"/>
  <c r="G15026" i="1"/>
  <c r="G15025" i="1"/>
  <c r="G15024" i="1"/>
  <c r="G15023" i="1"/>
  <c r="G15022" i="1"/>
  <c r="G15021" i="1"/>
  <c r="G15020" i="1"/>
  <c r="G15019" i="1"/>
  <c r="G15018" i="1"/>
  <c r="G15017" i="1"/>
  <c r="G15016" i="1"/>
  <c r="G15015" i="1"/>
  <c r="G15014" i="1"/>
  <c r="G15013" i="1"/>
  <c r="G15012" i="1"/>
  <c r="G15011" i="1"/>
  <c r="G15010" i="1"/>
  <c r="G15009" i="1"/>
  <c r="G15008" i="1"/>
  <c r="G15007" i="1"/>
  <c r="G15006" i="1"/>
  <c r="G15005" i="1"/>
  <c r="G15004" i="1"/>
  <c r="G15003" i="1"/>
  <c r="G15002" i="1"/>
  <c r="G15001" i="1"/>
  <c r="G15000" i="1"/>
  <c r="G14999" i="1"/>
  <c r="G14998" i="1"/>
  <c r="G14997" i="1"/>
  <c r="G14996" i="1"/>
  <c r="G14995" i="1"/>
  <c r="G14994" i="1"/>
  <c r="G14993" i="1"/>
  <c r="G14992" i="1"/>
  <c r="G14991" i="1"/>
  <c r="G14990" i="1"/>
  <c r="G14989" i="1"/>
  <c r="G14988" i="1"/>
  <c r="G14987" i="1"/>
  <c r="G14986" i="1"/>
  <c r="G14985" i="1"/>
  <c r="G14984" i="1"/>
  <c r="G14983" i="1"/>
  <c r="G14982" i="1"/>
  <c r="G14981" i="1"/>
  <c r="G14980" i="1"/>
  <c r="G14979" i="1"/>
  <c r="G14978" i="1"/>
  <c r="G14977" i="1"/>
  <c r="G14976" i="1"/>
  <c r="G14975" i="1"/>
  <c r="G14974" i="1"/>
  <c r="G14973" i="1"/>
  <c r="G14972" i="1"/>
  <c r="G14971" i="1"/>
  <c r="G14970" i="1"/>
  <c r="G14969" i="1"/>
  <c r="G14968" i="1"/>
  <c r="G14967" i="1"/>
  <c r="G14966" i="1"/>
  <c r="G14965" i="1"/>
  <c r="G14964" i="1"/>
  <c r="G14963" i="1"/>
  <c r="G14962" i="1"/>
  <c r="G14961" i="1"/>
  <c r="G14960" i="1"/>
  <c r="G14959" i="1"/>
  <c r="G14958" i="1"/>
  <c r="G14957" i="1"/>
  <c r="G14956" i="1"/>
  <c r="G14955" i="1"/>
  <c r="G14954" i="1"/>
  <c r="G14953" i="1"/>
  <c r="G14952" i="1"/>
  <c r="G14951" i="1"/>
  <c r="G14950" i="1"/>
  <c r="G14949" i="1"/>
  <c r="G14948" i="1"/>
  <c r="G14947" i="1"/>
  <c r="G14946" i="1"/>
  <c r="G14945" i="1"/>
  <c r="G14944" i="1"/>
  <c r="G14943" i="1"/>
  <c r="G14942" i="1"/>
  <c r="G14941" i="1"/>
  <c r="G14940" i="1"/>
  <c r="G14939" i="1"/>
  <c r="G14938" i="1"/>
  <c r="G14937" i="1"/>
  <c r="G14936" i="1"/>
  <c r="G14935" i="1"/>
  <c r="G14934" i="1"/>
  <c r="G14933" i="1"/>
  <c r="G14932" i="1"/>
  <c r="G14931" i="1"/>
  <c r="G14930" i="1"/>
  <c r="G14929" i="1"/>
  <c r="G14928" i="1"/>
  <c r="G14927" i="1"/>
  <c r="G14926" i="1"/>
  <c r="G14925" i="1"/>
  <c r="G14924" i="1"/>
  <c r="G14923" i="1"/>
  <c r="G14922" i="1"/>
  <c r="G14921" i="1"/>
  <c r="G14920" i="1"/>
  <c r="G14919" i="1"/>
  <c r="G14918" i="1"/>
  <c r="G14917" i="1"/>
  <c r="G14916" i="1"/>
  <c r="G14915" i="1"/>
  <c r="G14914" i="1"/>
  <c r="G14913" i="1"/>
  <c r="G14912" i="1"/>
  <c r="G14911" i="1"/>
  <c r="G14910" i="1"/>
  <c r="G14909" i="1"/>
  <c r="G14908" i="1"/>
  <c r="G14907" i="1"/>
  <c r="G14906" i="1"/>
  <c r="G14905" i="1"/>
  <c r="G14904" i="1"/>
  <c r="G14903" i="1"/>
  <c r="G14902" i="1"/>
  <c r="G14901" i="1"/>
  <c r="G14900" i="1"/>
  <c r="G14899" i="1"/>
  <c r="G14898" i="1"/>
  <c r="G14897" i="1"/>
  <c r="G14896" i="1"/>
  <c r="G14895" i="1"/>
  <c r="G14894" i="1"/>
  <c r="G14893" i="1"/>
  <c r="G14892" i="1"/>
  <c r="G14891" i="1"/>
  <c r="G14890" i="1"/>
  <c r="G14889" i="1"/>
  <c r="G14888" i="1"/>
  <c r="G14887" i="1"/>
  <c r="G14886" i="1"/>
  <c r="G14885" i="1"/>
  <c r="G14884" i="1"/>
  <c r="G14883" i="1"/>
  <c r="G14882" i="1"/>
  <c r="G14881" i="1"/>
  <c r="G14880" i="1"/>
  <c r="G14879" i="1"/>
  <c r="G14878" i="1"/>
  <c r="G14877" i="1"/>
  <c r="G14876" i="1"/>
  <c r="G14875" i="1"/>
  <c r="G14874" i="1"/>
  <c r="G14873" i="1"/>
  <c r="G14872" i="1"/>
  <c r="G14871" i="1"/>
  <c r="G14870" i="1"/>
  <c r="G14869" i="1"/>
  <c r="G14868" i="1"/>
  <c r="G14867" i="1"/>
  <c r="G14866" i="1"/>
  <c r="G14865" i="1"/>
  <c r="G14864" i="1"/>
  <c r="G14863" i="1"/>
  <c r="G14862" i="1"/>
  <c r="G14861" i="1"/>
  <c r="G14860" i="1"/>
  <c r="G14859" i="1"/>
  <c r="G14858" i="1"/>
  <c r="G14857" i="1"/>
  <c r="G14856" i="1"/>
  <c r="G14855" i="1"/>
  <c r="G14854" i="1"/>
  <c r="G14853" i="1"/>
  <c r="G14852" i="1"/>
  <c r="G14851" i="1"/>
  <c r="G14850" i="1"/>
  <c r="G14849" i="1"/>
  <c r="G14848" i="1"/>
  <c r="G14847" i="1"/>
  <c r="G14846" i="1"/>
  <c r="G14845" i="1"/>
  <c r="G14844" i="1"/>
  <c r="G14843" i="1"/>
  <c r="G14842" i="1"/>
  <c r="G14841" i="1"/>
  <c r="G14840" i="1"/>
  <c r="G14839" i="1"/>
  <c r="G14838" i="1"/>
  <c r="G14837" i="1"/>
  <c r="G14836" i="1"/>
  <c r="G14835" i="1"/>
  <c r="G14834" i="1"/>
  <c r="G14833" i="1"/>
  <c r="G14832" i="1"/>
  <c r="G14831" i="1"/>
  <c r="G14830" i="1"/>
  <c r="G14829" i="1"/>
  <c r="G14828" i="1"/>
  <c r="G14827" i="1"/>
  <c r="G14826" i="1"/>
  <c r="G14825" i="1"/>
  <c r="G14824" i="1"/>
  <c r="G14823" i="1"/>
  <c r="G14822" i="1"/>
  <c r="G14821" i="1"/>
  <c r="G14820" i="1"/>
  <c r="G14819" i="1"/>
  <c r="G14818" i="1"/>
  <c r="G14817" i="1"/>
  <c r="G14816" i="1"/>
  <c r="G14815" i="1"/>
  <c r="G14814" i="1"/>
  <c r="G14813" i="1"/>
  <c r="G14812" i="1"/>
  <c r="G14811" i="1"/>
  <c r="G14810" i="1"/>
  <c r="G14809" i="1"/>
  <c r="G14808" i="1"/>
  <c r="G14807" i="1"/>
  <c r="G14806" i="1"/>
  <c r="G14805" i="1"/>
  <c r="G14804" i="1"/>
  <c r="G14803" i="1"/>
  <c r="G14802" i="1"/>
  <c r="G14801" i="1"/>
  <c r="G14800" i="1"/>
  <c r="G14799" i="1"/>
  <c r="G14798" i="1"/>
  <c r="G14797" i="1"/>
  <c r="G14796" i="1"/>
  <c r="G14795" i="1"/>
  <c r="G14794" i="1"/>
  <c r="G14793" i="1"/>
  <c r="G14792" i="1"/>
  <c r="G14791" i="1"/>
  <c r="G14790" i="1"/>
  <c r="G14789" i="1"/>
  <c r="G14788" i="1"/>
  <c r="G14787" i="1"/>
  <c r="G14786" i="1"/>
  <c r="G14785" i="1"/>
  <c r="G14784" i="1"/>
  <c r="G14783" i="1"/>
  <c r="G14782" i="1"/>
  <c r="G14781" i="1"/>
  <c r="G14780" i="1"/>
  <c r="G14779" i="1"/>
  <c r="G14778" i="1"/>
  <c r="G14777" i="1"/>
  <c r="G14776" i="1"/>
  <c r="G14775" i="1"/>
  <c r="G14774" i="1"/>
  <c r="G14773" i="1"/>
  <c r="G14772" i="1"/>
  <c r="G14771" i="1"/>
  <c r="G14770" i="1"/>
  <c r="G14769" i="1"/>
  <c r="G14768" i="1"/>
  <c r="G14767" i="1"/>
  <c r="G14766" i="1"/>
  <c r="G14765" i="1"/>
  <c r="G14764" i="1"/>
  <c r="G14763" i="1"/>
  <c r="G14762" i="1"/>
  <c r="G14761" i="1"/>
  <c r="G14760" i="1"/>
  <c r="G14759" i="1"/>
  <c r="G14758" i="1"/>
  <c r="G14757" i="1"/>
  <c r="G14756" i="1"/>
  <c r="G14755" i="1"/>
  <c r="G14754" i="1"/>
  <c r="G14753" i="1"/>
  <c r="G14752" i="1"/>
  <c r="G14751" i="1"/>
  <c r="G14750" i="1"/>
  <c r="G14749" i="1"/>
  <c r="G14748" i="1"/>
  <c r="G14747" i="1"/>
  <c r="G14746" i="1"/>
  <c r="G14745" i="1"/>
  <c r="G14744" i="1"/>
  <c r="G14743" i="1"/>
  <c r="G14742" i="1"/>
  <c r="G14741" i="1"/>
  <c r="G14740" i="1"/>
  <c r="G14739" i="1"/>
  <c r="G14738" i="1"/>
  <c r="G14737" i="1"/>
  <c r="G14736" i="1"/>
  <c r="G14735" i="1"/>
  <c r="G14734" i="1"/>
  <c r="G14733" i="1"/>
  <c r="G14732" i="1"/>
  <c r="G14731" i="1"/>
  <c r="G14730" i="1"/>
  <c r="G14729" i="1"/>
  <c r="G14728" i="1"/>
  <c r="G14727" i="1"/>
  <c r="G14726" i="1"/>
  <c r="G14725" i="1"/>
  <c r="G14724" i="1"/>
  <c r="G14723" i="1"/>
  <c r="G14722" i="1"/>
  <c r="G14721" i="1"/>
  <c r="G14720" i="1"/>
  <c r="G14719" i="1"/>
  <c r="G14718" i="1"/>
  <c r="G14717" i="1"/>
  <c r="G14716" i="1"/>
  <c r="G14715" i="1"/>
  <c r="G14714" i="1"/>
  <c r="G14713" i="1"/>
  <c r="G14712" i="1"/>
  <c r="G14711" i="1"/>
  <c r="G14710" i="1"/>
  <c r="G14709" i="1"/>
  <c r="G14708" i="1"/>
  <c r="G14707" i="1"/>
  <c r="G14706" i="1"/>
  <c r="G14705" i="1"/>
  <c r="G14704" i="1"/>
  <c r="G14703" i="1"/>
  <c r="G14702" i="1"/>
  <c r="G14701" i="1"/>
  <c r="G14700" i="1"/>
  <c r="G14699" i="1"/>
  <c r="G14698" i="1"/>
  <c r="G14697" i="1"/>
  <c r="G14696" i="1"/>
  <c r="G14695" i="1"/>
  <c r="G14694" i="1"/>
  <c r="G14693" i="1"/>
  <c r="G14692" i="1"/>
  <c r="G14691" i="1"/>
  <c r="G14690" i="1"/>
  <c r="G14689" i="1"/>
  <c r="G14688" i="1"/>
  <c r="G14687" i="1"/>
  <c r="G14686" i="1"/>
  <c r="G14685" i="1"/>
  <c r="G14684" i="1"/>
  <c r="G14683" i="1"/>
  <c r="G14682" i="1"/>
  <c r="G14681" i="1"/>
  <c r="G14680" i="1"/>
  <c r="G14679" i="1"/>
  <c r="G14678" i="1"/>
  <c r="G14677" i="1"/>
  <c r="G14676" i="1"/>
  <c r="G14675" i="1"/>
  <c r="G14674" i="1"/>
  <c r="G14673" i="1"/>
  <c r="G14672" i="1"/>
  <c r="G14671" i="1"/>
  <c r="G14670" i="1"/>
  <c r="G14669" i="1"/>
  <c r="G14668" i="1"/>
  <c r="G14667" i="1"/>
  <c r="G14666" i="1"/>
  <c r="G14665" i="1"/>
  <c r="G14664" i="1"/>
  <c r="G14663" i="1"/>
  <c r="G14662" i="1"/>
  <c r="G14661" i="1"/>
  <c r="G14660" i="1"/>
  <c r="G14659" i="1"/>
  <c r="G14658" i="1"/>
  <c r="G14657" i="1"/>
  <c r="G14656" i="1"/>
  <c r="G14655" i="1"/>
  <c r="G14654" i="1"/>
  <c r="G14653" i="1"/>
  <c r="G14652" i="1"/>
  <c r="G14651" i="1"/>
  <c r="G14650" i="1"/>
  <c r="G14649" i="1"/>
  <c r="G14648" i="1"/>
  <c r="G14647" i="1"/>
  <c r="G14646" i="1"/>
  <c r="G14645" i="1"/>
  <c r="G14644" i="1"/>
  <c r="G14643" i="1"/>
  <c r="G14642" i="1"/>
  <c r="G14641" i="1"/>
  <c r="G14640" i="1"/>
  <c r="G14639" i="1"/>
  <c r="G14638" i="1"/>
  <c r="G14637" i="1"/>
  <c r="G14636" i="1"/>
  <c r="G14635" i="1"/>
  <c r="G14634" i="1"/>
  <c r="G14633" i="1"/>
  <c r="G14632" i="1"/>
  <c r="G14631" i="1"/>
  <c r="G14630" i="1"/>
  <c r="G14629" i="1"/>
  <c r="G14628" i="1"/>
  <c r="G14627" i="1"/>
  <c r="G14626" i="1"/>
  <c r="G14625" i="1"/>
  <c r="G14624" i="1"/>
  <c r="G14623" i="1"/>
  <c r="G14622" i="1"/>
  <c r="G14621" i="1"/>
  <c r="G14620" i="1"/>
  <c r="G14619" i="1"/>
  <c r="G14618" i="1"/>
  <c r="G14617" i="1"/>
  <c r="G14616" i="1"/>
  <c r="G14615" i="1"/>
  <c r="G14614" i="1"/>
  <c r="G14613" i="1"/>
  <c r="G14612" i="1"/>
  <c r="G14611" i="1"/>
  <c r="G14610" i="1"/>
  <c r="G14609" i="1"/>
  <c r="G14608" i="1"/>
  <c r="G14607" i="1"/>
  <c r="G14606" i="1"/>
  <c r="G14605" i="1"/>
  <c r="G14604" i="1"/>
  <c r="G14603" i="1"/>
  <c r="G14602" i="1"/>
  <c r="G14601" i="1"/>
  <c r="G14600" i="1"/>
  <c r="G14599" i="1"/>
  <c r="G14598" i="1"/>
  <c r="G14597" i="1"/>
  <c r="G14596" i="1"/>
  <c r="G14595" i="1"/>
  <c r="G14594" i="1"/>
  <c r="G14593" i="1"/>
  <c r="G14592" i="1"/>
  <c r="G14591" i="1"/>
  <c r="G14590" i="1"/>
  <c r="G14589" i="1"/>
  <c r="G14588" i="1"/>
  <c r="G14587" i="1"/>
  <c r="G14586" i="1"/>
  <c r="G14585" i="1"/>
  <c r="G14584" i="1"/>
  <c r="G14583" i="1"/>
  <c r="G14582" i="1"/>
  <c r="G14581" i="1"/>
  <c r="G14580" i="1"/>
  <c r="G14579" i="1"/>
  <c r="G14578" i="1"/>
  <c r="G14577" i="1"/>
  <c r="G14576" i="1"/>
  <c r="G14575" i="1"/>
  <c r="G14574" i="1"/>
  <c r="G14573" i="1"/>
  <c r="G14572" i="1"/>
  <c r="G14571" i="1"/>
  <c r="G14570" i="1"/>
  <c r="G14569" i="1"/>
  <c r="G14568" i="1"/>
  <c r="G14567" i="1"/>
  <c r="G14566" i="1"/>
  <c r="G14565" i="1"/>
  <c r="G14564" i="1"/>
  <c r="G14563" i="1"/>
  <c r="G14562" i="1"/>
  <c r="G14561" i="1"/>
  <c r="G14560" i="1"/>
  <c r="G14559" i="1"/>
  <c r="G14558" i="1"/>
  <c r="G14557" i="1"/>
  <c r="G14556" i="1"/>
  <c r="G14555" i="1"/>
  <c r="G14554" i="1"/>
  <c r="G14553" i="1"/>
  <c r="G14552" i="1"/>
  <c r="G14551" i="1"/>
  <c r="G14550" i="1"/>
  <c r="G14549" i="1"/>
  <c r="G14548" i="1"/>
  <c r="G14547" i="1"/>
  <c r="G14546" i="1"/>
  <c r="G14545" i="1"/>
  <c r="G14544" i="1"/>
  <c r="G14543" i="1"/>
  <c r="G14542" i="1"/>
  <c r="G14541" i="1"/>
  <c r="G14540" i="1"/>
  <c r="G14539" i="1"/>
  <c r="G14538" i="1"/>
  <c r="G14537" i="1"/>
  <c r="G14536" i="1"/>
  <c r="G14535" i="1"/>
  <c r="G14534" i="1"/>
  <c r="G14533" i="1"/>
  <c r="G14532" i="1"/>
  <c r="G14531" i="1"/>
  <c r="G14530" i="1"/>
  <c r="G14529" i="1"/>
  <c r="G14528" i="1"/>
  <c r="G14527" i="1"/>
  <c r="G14526" i="1"/>
  <c r="G14525" i="1"/>
  <c r="G14524" i="1"/>
  <c r="G14523" i="1"/>
  <c r="G14522" i="1"/>
  <c r="G14521" i="1"/>
  <c r="G14520" i="1"/>
  <c r="G14519" i="1"/>
  <c r="G14518" i="1"/>
  <c r="G14517" i="1"/>
  <c r="G14516" i="1"/>
  <c r="G14515" i="1"/>
  <c r="G14514" i="1"/>
  <c r="G14513" i="1"/>
  <c r="G14512" i="1"/>
  <c r="G14511" i="1"/>
  <c r="G14510" i="1"/>
  <c r="G14509" i="1"/>
  <c r="G14508" i="1"/>
  <c r="G14507" i="1"/>
  <c r="G14506" i="1"/>
  <c r="G14505" i="1"/>
  <c r="G14504" i="1"/>
  <c r="G14503" i="1"/>
  <c r="G14502" i="1"/>
  <c r="G14501" i="1"/>
  <c r="G14500" i="1"/>
  <c r="G14499" i="1"/>
  <c r="G14498" i="1"/>
  <c r="G14497" i="1"/>
  <c r="G14496" i="1"/>
  <c r="G14495" i="1"/>
  <c r="G14494" i="1"/>
  <c r="G14493" i="1"/>
  <c r="G14492" i="1"/>
  <c r="G14491" i="1"/>
  <c r="G14490" i="1"/>
  <c r="G14489" i="1"/>
  <c r="G14488" i="1"/>
  <c r="G14487" i="1"/>
  <c r="G14486" i="1"/>
  <c r="G14485" i="1"/>
  <c r="G14484" i="1"/>
  <c r="G14483" i="1"/>
  <c r="G14482" i="1"/>
  <c r="G14481" i="1"/>
  <c r="G14480" i="1"/>
  <c r="G14479" i="1"/>
  <c r="G14478" i="1"/>
  <c r="G14477" i="1"/>
  <c r="G14476" i="1"/>
  <c r="G14475" i="1"/>
  <c r="G14474" i="1"/>
  <c r="G14473" i="1"/>
  <c r="G14472" i="1"/>
  <c r="G14471" i="1"/>
  <c r="G14470" i="1"/>
  <c r="G14469" i="1"/>
  <c r="G14468" i="1"/>
  <c r="G14467" i="1"/>
  <c r="G14466" i="1"/>
  <c r="G14465" i="1"/>
  <c r="G14464" i="1"/>
  <c r="G14463" i="1"/>
  <c r="G14462" i="1"/>
  <c r="G14461" i="1"/>
  <c r="G14460" i="1"/>
  <c r="G14459" i="1"/>
  <c r="G14458" i="1"/>
  <c r="G14457" i="1"/>
  <c r="G14456" i="1"/>
  <c r="G14455" i="1"/>
  <c r="G14454" i="1"/>
  <c r="G14453" i="1"/>
  <c r="G14452" i="1"/>
  <c r="G14451" i="1"/>
  <c r="G14450" i="1"/>
  <c r="G14449" i="1"/>
  <c r="G14448" i="1"/>
  <c r="G14447" i="1"/>
  <c r="G14446" i="1"/>
  <c r="G14445" i="1"/>
  <c r="G14444" i="1"/>
  <c r="G14443" i="1"/>
  <c r="G14442" i="1"/>
  <c r="G14441" i="1"/>
  <c r="G14440" i="1"/>
  <c r="G14439" i="1"/>
  <c r="G14438" i="1"/>
  <c r="G14437" i="1"/>
  <c r="G14436" i="1"/>
  <c r="G14435" i="1"/>
  <c r="G14434" i="1"/>
  <c r="G14433" i="1"/>
  <c r="G14432" i="1"/>
  <c r="G14431" i="1"/>
  <c r="G14430" i="1"/>
  <c r="G14429" i="1"/>
  <c r="G14428" i="1"/>
  <c r="G14427" i="1"/>
  <c r="G14426" i="1"/>
  <c r="G14425" i="1"/>
  <c r="G14424" i="1"/>
  <c r="G14423" i="1"/>
  <c r="G14422" i="1"/>
  <c r="G14421" i="1"/>
  <c r="G14420" i="1"/>
  <c r="G14419" i="1"/>
  <c r="G14418" i="1"/>
  <c r="G14417" i="1"/>
  <c r="G14416" i="1"/>
  <c r="G14415" i="1"/>
  <c r="G14414" i="1"/>
  <c r="G14413" i="1"/>
  <c r="G14412" i="1"/>
  <c r="G14411" i="1"/>
  <c r="G14410" i="1"/>
  <c r="G14409" i="1"/>
  <c r="G14408" i="1"/>
  <c r="G14407" i="1"/>
  <c r="G14406" i="1"/>
  <c r="G14405" i="1"/>
  <c r="G14404" i="1"/>
  <c r="G14403" i="1"/>
  <c r="G14402" i="1"/>
  <c r="G14401" i="1"/>
  <c r="G14400" i="1"/>
  <c r="G14399" i="1"/>
  <c r="G14398" i="1"/>
  <c r="G14397" i="1"/>
  <c r="G14396" i="1"/>
  <c r="G14395" i="1"/>
  <c r="G14394" i="1"/>
  <c r="G14393" i="1"/>
  <c r="G14392" i="1"/>
  <c r="G14391" i="1"/>
  <c r="G14390" i="1"/>
  <c r="G14389" i="1"/>
  <c r="G14388" i="1"/>
  <c r="G14387" i="1"/>
  <c r="G14386" i="1"/>
  <c r="G14385" i="1"/>
  <c r="G14384" i="1"/>
  <c r="G14383" i="1"/>
  <c r="G14382" i="1"/>
  <c r="G14381" i="1"/>
  <c r="G14380" i="1"/>
  <c r="G14379" i="1"/>
  <c r="G14378" i="1"/>
  <c r="G14377" i="1"/>
  <c r="G14376" i="1"/>
  <c r="G14375" i="1"/>
  <c r="G14374" i="1"/>
  <c r="G14373" i="1"/>
  <c r="G14372" i="1"/>
  <c r="G14371" i="1"/>
  <c r="G14370" i="1"/>
  <c r="G14369" i="1"/>
  <c r="G14368" i="1"/>
  <c r="G14367" i="1"/>
  <c r="G14366" i="1"/>
  <c r="G14365" i="1"/>
  <c r="G14364" i="1"/>
  <c r="G14363" i="1"/>
  <c r="G14362" i="1"/>
  <c r="G14361" i="1"/>
  <c r="G14360" i="1"/>
  <c r="G14359" i="1"/>
  <c r="G14358" i="1"/>
  <c r="G14357" i="1"/>
  <c r="G14356" i="1"/>
  <c r="G14355" i="1"/>
  <c r="G14354" i="1"/>
  <c r="G14353" i="1"/>
  <c r="G14352" i="1"/>
  <c r="G14351" i="1"/>
  <c r="G14350" i="1"/>
  <c r="G14349" i="1"/>
  <c r="G14348" i="1"/>
  <c r="G14347" i="1"/>
  <c r="G14346" i="1"/>
  <c r="G14345" i="1"/>
  <c r="G14344" i="1"/>
  <c r="G14343" i="1"/>
  <c r="G14342" i="1"/>
  <c r="G14341" i="1"/>
  <c r="G14340" i="1"/>
  <c r="G14339" i="1"/>
  <c r="G14338" i="1"/>
  <c r="G14337" i="1"/>
  <c r="G14336" i="1"/>
  <c r="G14335" i="1"/>
  <c r="G14334" i="1"/>
  <c r="G14333" i="1"/>
  <c r="G14332" i="1"/>
  <c r="G14331" i="1"/>
  <c r="G14330" i="1"/>
  <c r="G14329" i="1"/>
  <c r="G14328" i="1"/>
  <c r="G14327" i="1"/>
  <c r="G14326" i="1"/>
  <c r="G14325" i="1"/>
  <c r="G14324" i="1"/>
  <c r="G14323" i="1"/>
  <c r="G14322" i="1"/>
  <c r="G14321" i="1"/>
  <c r="G14320" i="1"/>
  <c r="G14319" i="1"/>
  <c r="G14318" i="1"/>
  <c r="G14317" i="1"/>
  <c r="G14316" i="1"/>
  <c r="G14315" i="1"/>
  <c r="G14314" i="1"/>
  <c r="G14313" i="1"/>
  <c r="G14312" i="1"/>
  <c r="G14311" i="1"/>
  <c r="G14310" i="1"/>
  <c r="G14309" i="1"/>
  <c r="G14308" i="1"/>
  <c r="G14307" i="1"/>
  <c r="G14306" i="1"/>
  <c r="G14305" i="1"/>
  <c r="G14304" i="1"/>
  <c r="G14303" i="1"/>
  <c r="G14302" i="1"/>
  <c r="G14301" i="1"/>
  <c r="G14300" i="1"/>
  <c r="G14299" i="1"/>
  <c r="G14298" i="1"/>
  <c r="G14297" i="1"/>
  <c r="G14296" i="1"/>
  <c r="G14295" i="1"/>
  <c r="G14294" i="1"/>
  <c r="G14293" i="1"/>
  <c r="G14292" i="1"/>
  <c r="G14291" i="1"/>
  <c r="G14290" i="1"/>
  <c r="G14289" i="1"/>
  <c r="G14288" i="1"/>
  <c r="G14287" i="1"/>
  <c r="G14286" i="1"/>
  <c r="G14285" i="1"/>
  <c r="G14284" i="1"/>
  <c r="G14283" i="1"/>
  <c r="G14282" i="1"/>
  <c r="G14281" i="1"/>
  <c r="G14280" i="1"/>
  <c r="G14279" i="1"/>
  <c r="G14278" i="1"/>
  <c r="G14277" i="1"/>
  <c r="G14276" i="1"/>
  <c r="G14275" i="1"/>
  <c r="G14274" i="1"/>
  <c r="G14273" i="1"/>
  <c r="G14272" i="1"/>
  <c r="G14271" i="1"/>
  <c r="G14270" i="1"/>
  <c r="G14269" i="1"/>
  <c r="G14268" i="1"/>
  <c r="G14267" i="1"/>
  <c r="G14266" i="1"/>
  <c r="G14265" i="1"/>
  <c r="G14264" i="1"/>
  <c r="G14263" i="1"/>
  <c r="G14262" i="1"/>
  <c r="G14261" i="1"/>
  <c r="G14260" i="1"/>
  <c r="G14259" i="1"/>
  <c r="G14258" i="1"/>
  <c r="G14257" i="1"/>
  <c r="G14256" i="1"/>
  <c r="G14255" i="1"/>
  <c r="G14254" i="1"/>
  <c r="G14253" i="1"/>
  <c r="G14252" i="1"/>
  <c r="G14251" i="1"/>
  <c r="G14250" i="1"/>
  <c r="G14249" i="1"/>
  <c r="G14248" i="1"/>
  <c r="G14247" i="1"/>
  <c r="G14246" i="1"/>
  <c r="G14245" i="1"/>
  <c r="G14244" i="1"/>
  <c r="G14243" i="1"/>
  <c r="G14242" i="1"/>
  <c r="G14241" i="1"/>
  <c r="G14240" i="1"/>
  <c r="G14239" i="1"/>
  <c r="G14238" i="1"/>
  <c r="G14237" i="1"/>
  <c r="G14236" i="1"/>
  <c r="G14235" i="1"/>
  <c r="G14234" i="1"/>
  <c r="G14233" i="1"/>
  <c r="G14232" i="1"/>
  <c r="G14231" i="1"/>
  <c r="G14230" i="1"/>
  <c r="G14229" i="1"/>
  <c r="G14228" i="1"/>
  <c r="G14227" i="1"/>
  <c r="G14226" i="1"/>
  <c r="G14225" i="1"/>
  <c r="G14224" i="1"/>
  <c r="G14223" i="1"/>
  <c r="G14222" i="1"/>
  <c r="G14221" i="1"/>
  <c r="G14220" i="1"/>
  <c r="G14219" i="1"/>
  <c r="G14218" i="1"/>
  <c r="G14217" i="1"/>
  <c r="G14216" i="1"/>
  <c r="G14215" i="1"/>
  <c r="G14214" i="1"/>
  <c r="G14213" i="1"/>
  <c r="G14212" i="1"/>
  <c r="G14211" i="1"/>
  <c r="G14210" i="1"/>
  <c r="G14209" i="1"/>
  <c r="G14208" i="1"/>
  <c r="G14207" i="1"/>
  <c r="G14206" i="1"/>
  <c r="G14205" i="1"/>
  <c r="G14204" i="1"/>
  <c r="G14203" i="1"/>
  <c r="G14202" i="1"/>
  <c r="G14201" i="1"/>
  <c r="G14200" i="1"/>
  <c r="G14199" i="1"/>
  <c r="G14198" i="1"/>
  <c r="G14197" i="1"/>
  <c r="G14196" i="1"/>
  <c r="G14195" i="1"/>
  <c r="G14194" i="1"/>
  <c r="G14193" i="1"/>
  <c r="G14192" i="1"/>
  <c r="G14191" i="1"/>
  <c r="G14190" i="1"/>
  <c r="G14189" i="1"/>
  <c r="G14188" i="1"/>
  <c r="G14187" i="1"/>
  <c r="G14186" i="1"/>
  <c r="G14185" i="1"/>
  <c r="G14184" i="1"/>
  <c r="G14183" i="1"/>
  <c r="G14182" i="1"/>
  <c r="G14181" i="1"/>
  <c r="G14180" i="1"/>
  <c r="G14179" i="1"/>
  <c r="G14178" i="1"/>
  <c r="G14177" i="1"/>
  <c r="G14176" i="1"/>
  <c r="G14175" i="1"/>
  <c r="G14174" i="1"/>
  <c r="G14173" i="1"/>
  <c r="G14172" i="1"/>
  <c r="G14171" i="1"/>
  <c r="G14170" i="1"/>
  <c r="G14169" i="1"/>
  <c r="G14168" i="1"/>
  <c r="G14167" i="1"/>
  <c r="G14166" i="1"/>
  <c r="G14165" i="1"/>
  <c r="G14164" i="1"/>
  <c r="G14163" i="1"/>
  <c r="G14162" i="1"/>
  <c r="G14161" i="1"/>
  <c r="G14160" i="1"/>
  <c r="G14159" i="1"/>
  <c r="G14158" i="1"/>
  <c r="G14157" i="1"/>
  <c r="G14156" i="1"/>
  <c r="G14155" i="1"/>
  <c r="G14154" i="1"/>
  <c r="G14153" i="1"/>
  <c r="G14152" i="1"/>
  <c r="G14151" i="1"/>
  <c r="G14150" i="1"/>
  <c r="G14149" i="1"/>
  <c r="G14148" i="1"/>
  <c r="G14147" i="1"/>
  <c r="G14146" i="1"/>
  <c r="G14145" i="1"/>
  <c r="G14144" i="1"/>
  <c r="G14143" i="1"/>
  <c r="G14142" i="1"/>
  <c r="G14141" i="1"/>
  <c r="G14140" i="1"/>
  <c r="G14139" i="1"/>
  <c r="G14138" i="1"/>
  <c r="G14137" i="1"/>
  <c r="G14136" i="1"/>
  <c r="G14135" i="1"/>
  <c r="G14134" i="1"/>
  <c r="G14133" i="1"/>
  <c r="G14132" i="1"/>
  <c r="G14131" i="1"/>
  <c r="G14130" i="1"/>
  <c r="G14129" i="1"/>
  <c r="G14128" i="1"/>
  <c r="G14127" i="1"/>
  <c r="G14126" i="1"/>
  <c r="G14125" i="1"/>
  <c r="G14124" i="1"/>
  <c r="G14123" i="1"/>
  <c r="G14122" i="1"/>
  <c r="G14121" i="1"/>
  <c r="G14120" i="1"/>
  <c r="G14119" i="1"/>
  <c r="G14118" i="1"/>
  <c r="G14117" i="1"/>
  <c r="G14116" i="1"/>
  <c r="G14115" i="1"/>
  <c r="G14114" i="1"/>
  <c r="G14113" i="1"/>
  <c r="G14112" i="1"/>
  <c r="G14111" i="1"/>
  <c r="G14110" i="1"/>
  <c r="G14109" i="1"/>
  <c r="G14108" i="1"/>
  <c r="G14107" i="1"/>
  <c r="G14106" i="1"/>
  <c r="G14105" i="1"/>
  <c r="G14104" i="1"/>
  <c r="G14103" i="1"/>
  <c r="G14102" i="1"/>
  <c r="G14101" i="1"/>
  <c r="G14100" i="1"/>
  <c r="G14099" i="1"/>
  <c r="G14098" i="1"/>
  <c r="G14097" i="1"/>
  <c r="G14096" i="1"/>
  <c r="G14095" i="1"/>
  <c r="G14094" i="1"/>
  <c r="G14093" i="1"/>
  <c r="G14092" i="1"/>
  <c r="G14091" i="1"/>
  <c r="G14090" i="1"/>
  <c r="G14089" i="1"/>
  <c r="G14088" i="1"/>
  <c r="G14087" i="1"/>
  <c r="G14086" i="1"/>
  <c r="G14085" i="1"/>
  <c r="G14084" i="1"/>
  <c r="G14083" i="1"/>
  <c r="G14082" i="1"/>
  <c r="G14081" i="1"/>
  <c r="G14080" i="1"/>
  <c r="G14079" i="1"/>
  <c r="G14078" i="1"/>
  <c r="G14077" i="1"/>
  <c r="G14076" i="1"/>
  <c r="G14075" i="1"/>
  <c r="G14074" i="1"/>
  <c r="G14073" i="1"/>
  <c r="G14072" i="1"/>
  <c r="G14071" i="1"/>
  <c r="G14070" i="1"/>
  <c r="G14069" i="1"/>
  <c r="G14068" i="1"/>
  <c r="G14067" i="1"/>
  <c r="G14066" i="1"/>
  <c r="G14065" i="1"/>
  <c r="G14064" i="1"/>
  <c r="G14063" i="1"/>
  <c r="G14062" i="1"/>
  <c r="G14061" i="1"/>
  <c r="G14060" i="1"/>
  <c r="G14059" i="1"/>
  <c r="G14058" i="1"/>
  <c r="G14057" i="1"/>
  <c r="G14056" i="1"/>
  <c r="G14055" i="1"/>
  <c r="G14054" i="1"/>
  <c r="G14053" i="1"/>
  <c r="G14052" i="1"/>
  <c r="G14051" i="1"/>
  <c r="G14050" i="1"/>
  <c r="G14049" i="1"/>
  <c r="G14048" i="1"/>
  <c r="G14047" i="1"/>
  <c r="G14046" i="1"/>
  <c r="G14045" i="1"/>
  <c r="G14044" i="1"/>
  <c r="G14043" i="1"/>
  <c r="G14042" i="1"/>
  <c r="G14041" i="1"/>
  <c r="G14040" i="1"/>
  <c r="G14039" i="1"/>
  <c r="G14038" i="1"/>
  <c r="G14037" i="1"/>
  <c r="G14036" i="1"/>
  <c r="G14035" i="1"/>
  <c r="G14034" i="1"/>
  <c r="G14033" i="1"/>
  <c r="G14032" i="1"/>
  <c r="G14031" i="1"/>
  <c r="G14030" i="1"/>
  <c r="G14029" i="1"/>
  <c r="G14028" i="1"/>
  <c r="G14027" i="1"/>
  <c r="G14026" i="1"/>
  <c r="G14025" i="1"/>
  <c r="G14024" i="1"/>
  <c r="G14023" i="1"/>
  <c r="G14022" i="1"/>
  <c r="G14021" i="1"/>
  <c r="G14020" i="1"/>
  <c r="G14019" i="1"/>
  <c r="G14018" i="1"/>
  <c r="G14017" i="1"/>
  <c r="G14016" i="1"/>
  <c r="G14015" i="1"/>
  <c r="G14014" i="1"/>
  <c r="G14013" i="1"/>
  <c r="G14012" i="1"/>
  <c r="G14011" i="1"/>
  <c r="G14010" i="1"/>
  <c r="G14009" i="1"/>
  <c r="G14008" i="1"/>
  <c r="G14007" i="1"/>
  <c r="G14006" i="1"/>
  <c r="G14005" i="1"/>
  <c r="G14004" i="1"/>
  <c r="G14003" i="1"/>
  <c r="G14002" i="1"/>
  <c r="G14001" i="1"/>
  <c r="G14000" i="1"/>
  <c r="G13999" i="1"/>
  <c r="G13998" i="1"/>
  <c r="G13997" i="1"/>
  <c r="G13996" i="1"/>
  <c r="G13995" i="1"/>
  <c r="G13994" i="1"/>
  <c r="G13993" i="1"/>
  <c r="G13992" i="1"/>
  <c r="G13991" i="1"/>
  <c r="G13990" i="1"/>
  <c r="G13989" i="1"/>
  <c r="G13988" i="1"/>
  <c r="G13987" i="1"/>
  <c r="G13986" i="1"/>
  <c r="G13985" i="1"/>
  <c r="G13984" i="1"/>
  <c r="G13983" i="1"/>
  <c r="G13982" i="1"/>
  <c r="G13981" i="1"/>
  <c r="G13980" i="1"/>
  <c r="G13979" i="1"/>
  <c r="G13978" i="1"/>
  <c r="G13977" i="1"/>
  <c r="G13976" i="1"/>
  <c r="G13975" i="1"/>
  <c r="G13974" i="1"/>
  <c r="G13973" i="1"/>
  <c r="G13972" i="1"/>
  <c r="G13971" i="1"/>
  <c r="G13970" i="1"/>
  <c r="G13969" i="1"/>
  <c r="G13968" i="1"/>
  <c r="G13967" i="1"/>
  <c r="G13966" i="1"/>
  <c r="G13965" i="1"/>
  <c r="G13964" i="1"/>
  <c r="G13963" i="1"/>
  <c r="G13962" i="1"/>
  <c r="G13961" i="1"/>
  <c r="G13960" i="1"/>
  <c r="G13959" i="1"/>
  <c r="G13958" i="1"/>
  <c r="G13957" i="1"/>
  <c r="G13956" i="1"/>
  <c r="G13955" i="1"/>
  <c r="G13954" i="1"/>
  <c r="G13953" i="1"/>
  <c r="G13952" i="1"/>
  <c r="G13951" i="1"/>
  <c r="G13950" i="1"/>
  <c r="G13949" i="1"/>
  <c r="G13948" i="1"/>
  <c r="G13947" i="1"/>
  <c r="G13946" i="1"/>
  <c r="G13945" i="1"/>
  <c r="G13944" i="1"/>
  <c r="G13943" i="1"/>
  <c r="G13942" i="1"/>
  <c r="G13941" i="1"/>
  <c r="G13940" i="1"/>
  <c r="G13939" i="1"/>
  <c r="G13938" i="1"/>
  <c r="G13937" i="1"/>
  <c r="G13936" i="1"/>
  <c r="G13935" i="1"/>
  <c r="G13934" i="1"/>
  <c r="G13933" i="1"/>
  <c r="G13932" i="1"/>
  <c r="G13931" i="1"/>
  <c r="G13930" i="1"/>
  <c r="G13929" i="1"/>
  <c r="G13928" i="1"/>
  <c r="G13927" i="1"/>
  <c r="G13926" i="1"/>
  <c r="G13925" i="1"/>
  <c r="G13924" i="1"/>
  <c r="G13923" i="1"/>
  <c r="G13922" i="1"/>
  <c r="G13921" i="1"/>
  <c r="G13920" i="1"/>
  <c r="G13919" i="1"/>
  <c r="G13918" i="1"/>
  <c r="G13917" i="1"/>
  <c r="G13916" i="1"/>
  <c r="G13915" i="1"/>
  <c r="G13914" i="1"/>
  <c r="G13913" i="1"/>
  <c r="G13912" i="1"/>
  <c r="G13911" i="1"/>
  <c r="G13910" i="1"/>
  <c r="G13909" i="1"/>
  <c r="G13908" i="1"/>
  <c r="G13907" i="1"/>
  <c r="G13906" i="1"/>
  <c r="G13905" i="1"/>
  <c r="G13904" i="1"/>
  <c r="G13903" i="1"/>
  <c r="G13902" i="1"/>
  <c r="G13901" i="1"/>
  <c r="G13900" i="1"/>
  <c r="G13899" i="1"/>
  <c r="G13898" i="1"/>
  <c r="G13897" i="1"/>
  <c r="G13896" i="1"/>
  <c r="G13895" i="1"/>
  <c r="G13894" i="1"/>
  <c r="G13893" i="1"/>
  <c r="G13892" i="1"/>
  <c r="G13891" i="1"/>
  <c r="G13890" i="1"/>
  <c r="G13889" i="1"/>
  <c r="G13888" i="1"/>
  <c r="G13887" i="1"/>
  <c r="G13886" i="1"/>
  <c r="G13885" i="1"/>
  <c r="G13884" i="1"/>
  <c r="G13883" i="1"/>
  <c r="G13882" i="1"/>
  <c r="G13881" i="1"/>
  <c r="G13880" i="1"/>
  <c r="G13879" i="1"/>
  <c r="G13878" i="1"/>
  <c r="G13877" i="1"/>
  <c r="G13876" i="1"/>
  <c r="G13875" i="1"/>
  <c r="G13874" i="1"/>
  <c r="G13873" i="1"/>
  <c r="G13872" i="1"/>
  <c r="G13871" i="1"/>
  <c r="G13870" i="1"/>
  <c r="G13869" i="1"/>
  <c r="G13868" i="1"/>
  <c r="G13867" i="1"/>
  <c r="G13866" i="1"/>
  <c r="G13865" i="1"/>
  <c r="G13864" i="1"/>
  <c r="G13863" i="1"/>
  <c r="G13862" i="1"/>
  <c r="G13861" i="1"/>
  <c r="G13860" i="1"/>
  <c r="G13859" i="1"/>
  <c r="G13858" i="1"/>
  <c r="G13857" i="1"/>
  <c r="G13856" i="1"/>
  <c r="G13855" i="1"/>
  <c r="G13854" i="1"/>
  <c r="G13853" i="1"/>
  <c r="G13852" i="1"/>
  <c r="G13851" i="1"/>
  <c r="G13850" i="1"/>
  <c r="G13849" i="1"/>
  <c r="G13848" i="1"/>
  <c r="G13847" i="1"/>
  <c r="G13846" i="1"/>
  <c r="G13845" i="1"/>
  <c r="G13844" i="1"/>
  <c r="G13843" i="1"/>
  <c r="G13842" i="1"/>
  <c r="G13841" i="1"/>
  <c r="G13840" i="1"/>
  <c r="G13839" i="1"/>
  <c r="G13838" i="1"/>
  <c r="G13837" i="1"/>
  <c r="G13836" i="1"/>
  <c r="G13835" i="1"/>
  <c r="G13834" i="1"/>
  <c r="G13833" i="1"/>
  <c r="G13832" i="1"/>
  <c r="G13831" i="1"/>
  <c r="G13830" i="1"/>
  <c r="G13829" i="1"/>
  <c r="G13828" i="1"/>
  <c r="G13827" i="1"/>
  <c r="G13826" i="1"/>
  <c r="G13825" i="1"/>
  <c r="G13824" i="1"/>
  <c r="G13823" i="1"/>
  <c r="G13822" i="1"/>
  <c r="G13821" i="1"/>
  <c r="G13820" i="1"/>
  <c r="G13819" i="1"/>
  <c r="G13818" i="1"/>
  <c r="G13817" i="1"/>
  <c r="G13816" i="1"/>
  <c r="G13815" i="1"/>
  <c r="G13814" i="1"/>
  <c r="G13813" i="1"/>
  <c r="G13812" i="1"/>
  <c r="G13811" i="1"/>
  <c r="G13810" i="1"/>
  <c r="G13809" i="1"/>
  <c r="G13808" i="1"/>
  <c r="G13807" i="1"/>
  <c r="G13806" i="1"/>
  <c r="G13805" i="1"/>
  <c r="G13804" i="1"/>
  <c r="G13803" i="1"/>
  <c r="G13802" i="1"/>
  <c r="G13801" i="1"/>
  <c r="G13800" i="1"/>
  <c r="G13799" i="1"/>
  <c r="G13798" i="1"/>
  <c r="G13797" i="1"/>
  <c r="G13796" i="1"/>
  <c r="G13795" i="1"/>
  <c r="G13794" i="1"/>
  <c r="G13793" i="1"/>
  <c r="G13792" i="1"/>
  <c r="G13791" i="1"/>
  <c r="G13790" i="1"/>
  <c r="G13789" i="1"/>
  <c r="G13788" i="1"/>
  <c r="G13787" i="1"/>
  <c r="G13786" i="1"/>
  <c r="G13785" i="1"/>
  <c r="G13784" i="1"/>
  <c r="G13783" i="1"/>
  <c r="G13782" i="1"/>
  <c r="G13781" i="1"/>
  <c r="G13780" i="1"/>
  <c r="G13779" i="1"/>
  <c r="G13778" i="1"/>
  <c r="G13777" i="1"/>
  <c r="G13776" i="1"/>
  <c r="G13775" i="1"/>
  <c r="G13774" i="1"/>
  <c r="G13773" i="1"/>
  <c r="G13772" i="1"/>
  <c r="G13771" i="1"/>
  <c r="G13770" i="1"/>
  <c r="G13769" i="1"/>
  <c r="G13768" i="1"/>
  <c r="G13767" i="1"/>
  <c r="G13766" i="1"/>
  <c r="G13765" i="1"/>
  <c r="G13764" i="1"/>
  <c r="G13763" i="1"/>
  <c r="G13762" i="1"/>
  <c r="G13761" i="1"/>
  <c r="G13760" i="1"/>
  <c r="G13759" i="1"/>
  <c r="G13758" i="1"/>
  <c r="G13757" i="1"/>
  <c r="G13756" i="1"/>
  <c r="G13755" i="1"/>
  <c r="G13754" i="1"/>
  <c r="G13753" i="1"/>
  <c r="G13752" i="1"/>
  <c r="G13751" i="1"/>
  <c r="G13750" i="1"/>
  <c r="G13749" i="1"/>
  <c r="G13748" i="1"/>
  <c r="G13747" i="1"/>
  <c r="G13746" i="1"/>
  <c r="G13745" i="1"/>
  <c r="G13744" i="1"/>
  <c r="G13743" i="1"/>
  <c r="G13742" i="1"/>
  <c r="G13741" i="1"/>
  <c r="G13740" i="1"/>
  <c r="G13739" i="1"/>
  <c r="G13738" i="1"/>
  <c r="G13737" i="1"/>
  <c r="G13736" i="1"/>
  <c r="G13735" i="1"/>
  <c r="G13734" i="1"/>
  <c r="G13733" i="1"/>
  <c r="G13732" i="1"/>
  <c r="G13731" i="1"/>
  <c r="G13730" i="1"/>
  <c r="G13729" i="1"/>
  <c r="G13728" i="1"/>
  <c r="G13727" i="1"/>
  <c r="G13726" i="1"/>
  <c r="G13725" i="1"/>
  <c r="G13724" i="1"/>
  <c r="G13723" i="1"/>
  <c r="G13722" i="1"/>
  <c r="G13721" i="1"/>
  <c r="G13720" i="1"/>
  <c r="G13719" i="1"/>
  <c r="G13718" i="1"/>
  <c r="G13717" i="1"/>
  <c r="G13716" i="1"/>
  <c r="G13715" i="1"/>
  <c r="G13714" i="1"/>
  <c r="G13713" i="1"/>
  <c r="G13712" i="1"/>
  <c r="G13711" i="1"/>
  <c r="G13710" i="1"/>
  <c r="G13709" i="1"/>
  <c r="G13708" i="1"/>
  <c r="G13707" i="1"/>
  <c r="G13706" i="1"/>
  <c r="G13705" i="1"/>
  <c r="G13704" i="1"/>
  <c r="G13703" i="1"/>
  <c r="G13702" i="1"/>
  <c r="G13701" i="1"/>
  <c r="G13700" i="1"/>
  <c r="G13699" i="1"/>
  <c r="G13698" i="1"/>
  <c r="G13697" i="1"/>
  <c r="G13696" i="1"/>
  <c r="G13695" i="1"/>
  <c r="G13694" i="1"/>
  <c r="G13693" i="1"/>
  <c r="G13692" i="1"/>
  <c r="G13691" i="1"/>
  <c r="G13690" i="1"/>
  <c r="G13689" i="1"/>
  <c r="G13688" i="1"/>
  <c r="G13687" i="1"/>
  <c r="G13686" i="1"/>
  <c r="G13685" i="1"/>
  <c r="G13684" i="1"/>
  <c r="G13683" i="1"/>
  <c r="G13682" i="1"/>
  <c r="G13681" i="1"/>
  <c r="G13680" i="1"/>
  <c r="G13679" i="1"/>
  <c r="G13678" i="1"/>
  <c r="G13677" i="1"/>
  <c r="G13676" i="1"/>
  <c r="G13675" i="1"/>
  <c r="G13674" i="1"/>
  <c r="G13673" i="1"/>
  <c r="G13672" i="1"/>
  <c r="G13671" i="1"/>
  <c r="G13670" i="1"/>
  <c r="G13669" i="1"/>
  <c r="G13668" i="1"/>
  <c r="G13667" i="1"/>
  <c r="G13666" i="1"/>
  <c r="G13665" i="1"/>
  <c r="G13664" i="1"/>
  <c r="G13663" i="1"/>
  <c r="G13662" i="1"/>
  <c r="G13661" i="1"/>
  <c r="G13660" i="1"/>
  <c r="G13659" i="1"/>
  <c r="G13658" i="1"/>
  <c r="G13657" i="1"/>
  <c r="G13656" i="1"/>
  <c r="G13655" i="1"/>
  <c r="G13654" i="1"/>
  <c r="G13653" i="1"/>
  <c r="G13652" i="1"/>
  <c r="G13651" i="1"/>
  <c r="G13650" i="1"/>
  <c r="G13649" i="1"/>
  <c r="G13648" i="1"/>
  <c r="G13647" i="1"/>
  <c r="G13646" i="1"/>
  <c r="G13645" i="1"/>
  <c r="G13644" i="1"/>
  <c r="G13643" i="1"/>
  <c r="G13642" i="1"/>
  <c r="G13641" i="1"/>
  <c r="G13640" i="1"/>
  <c r="G13639" i="1"/>
  <c r="G13638" i="1"/>
  <c r="G13637" i="1"/>
  <c r="G13636" i="1"/>
  <c r="G13635" i="1"/>
  <c r="G13634" i="1"/>
  <c r="G13633" i="1"/>
  <c r="G13632" i="1"/>
  <c r="G13631" i="1"/>
  <c r="G13630" i="1"/>
  <c r="G13629" i="1"/>
  <c r="G13628" i="1"/>
  <c r="G13627" i="1"/>
  <c r="G13626" i="1"/>
  <c r="G13625" i="1"/>
  <c r="G13624" i="1"/>
  <c r="G13623" i="1"/>
  <c r="G13622" i="1"/>
  <c r="G13621" i="1"/>
  <c r="G13620" i="1"/>
  <c r="G13619" i="1"/>
  <c r="G13618" i="1"/>
  <c r="G13617" i="1"/>
  <c r="G13616" i="1"/>
  <c r="G13615" i="1"/>
  <c r="G13614" i="1"/>
  <c r="G13613" i="1"/>
  <c r="G13612" i="1"/>
  <c r="G13611" i="1"/>
  <c r="G13610" i="1"/>
  <c r="G13609" i="1"/>
  <c r="G13608" i="1"/>
  <c r="G13607" i="1"/>
  <c r="G13606" i="1"/>
  <c r="G13605" i="1"/>
  <c r="G13604" i="1"/>
  <c r="G13603" i="1"/>
  <c r="G13602" i="1"/>
  <c r="G13601" i="1"/>
  <c r="G13600" i="1"/>
  <c r="G13599" i="1"/>
  <c r="G13598" i="1"/>
  <c r="G13597" i="1"/>
  <c r="G13596" i="1"/>
  <c r="G13595" i="1"/>
  <c r="G13594" i="1"/>
  <c r="G13593" i="1"/>
  <c r="G13592" i="1"/>
  <c r="G13591" i="1"/>
  <c r="G13590" i="1"/>
  <c r="G13589" i="1"/>
  <c r="G13588" i="1"/>
  <c r="G13587" i="1"/>
  <c r="G13586" i="1"/>
  <c r="G13585" i="1"/>
  <c r="G13584" i="1"/>
  <c r="G13583" i="1"/>
  <c r="G13582" i="1"/>
  <c r="G13581" i="1"/>
  <c r="G13580" i="1"/>
  <c r="G13579" i="1"/>
  <c r="G13578" i="1"/>
  <c r="G13577" i="1"/>
  <c r="G13576" i="1"/>
  <c r="G13575" i="1"/>
  <c r="G13574" i="1"/>
  <c r="G13573" i="1"/>
  <c r="G13572" i="1"/>
  <c r="G13571" i="1"/>
  <c r="G13570" i="1"/>
  <c r="G13569" i="1"/>
  <c r="G13568" i="1"/>
  <c r="G13567" i="1"/>
  <c r="G13566" i="1"/>
  <c r="G13565" i="1"/>
  <c r="G13564" i="1"/>
  <c r="G13563" i="1"/>
  <c r="G13562" i="1"/>
  <c r="G13561" i="1"/>
  <c r="G13560" i="1"/>
  <c r="G13559" i="1"/>
  <c r="G13558" i="1"/>
  <c r="G13557" i="1"/>
  <c r="G13556" i="1"/>
  <c r="G13555" i="1"/>
  <c r="G13554" i="1"/>
  <c r="G13553" i="1"/>
  <c r="G13552" i="1"/>
  <c r="G13551" i="1"/>
  <c r="G13550" i="1"/>
  <c r="G13549" i="1"/>
  <c r="G13548" i="1"/>
  <c r="G13547" i="1"/>
  <c r="G13546" i="1"/>
  <c r="G13545" i="1"/>
  <c r="G13544" i="1"/>
  <c r="G13543" i="1"/>
  <c r="G13542" i="1"/>
  <c r="G13541" i="1"/>
  <c r="G13540" i="1"/>
  <c r="G13539" i="1"/>
  <c r="G13538" i="1"/>
  <c r="G13537" i="1"/>
  <c r="G13536" i="1"/>
  <c r="G13535" i="1"/>
  <c r="G13534" i="1"/>
  <c r="G13533" i="1"/>
  <c r="G13532" i="1"/>
  <c r="G13531" i="1"/>
  <c r="G13530" i="1"/>
  <c r="G13529" i="1"/>
  <c r="G13528" i="1"/>
  <c r="G13527" i="1"/>
  <c r="G13526" i="1"/>
  <c r="G13525" i="1"/>
  <c r="G13524" i="1"/>
  <c r="G13523" i="1"/>
  <c r="G13522" i="1"/>
  <c r="G13521" i="1"/>
  <c r="G13520" i="1"/>
  <c r="G13519" i="1"/>
  <c r="G13518" i="1"/>
  <c r="G13517" i="1"/>
  <c r="G13516" i="1"/>
  <c r="G13515" i="1"/>
  <c r="G13514" i="1"/>
  <c r="G13513" i="1"/>
  <c r="G13512" i="1"/>
  <c r="G13511" i="1"/>
  <c r="G13510" i="1"/>
  <c r="G13509" i="1"/>
  <c r="G13508" i="1"/>
  <c r="G13507" i="1"/>
  <c r="G13506" i="1"/>
  <c r="G13505" i="1"/>
  <c r="G13504" i="1"/>
  <c r="G13503" i="1"/>
  <c r="G13502" i="1"/>
  <c r="G13501" i="1"/>
  <c r="G13500" i="1"/>
  <c r="G13499" i="1"/>
  <c r="G13498" i="1"/>
  <c r="G13497" i="1"/>
  <c r="G13496" i="1"/>
  <c r="G13495" i="1"/>
  <c r="G13494" i="1"/>
  <c r="G13493" i="1"/>
  <c r="G13492" i="1"/>
  <c r="G13491" i="1"/>
  <c r="G13490" i="1"/>
  <c r="G13489" i="1"/>
  <c r="G13488" i="1"/>
  <c r="G13487" i="1"/>
  <c r="G13486" i="1"/>
  <c r="G13485" i="1"/>
  <c r="G13484" i="1"/>
  <c r="G13483" i="1"/>
  <c r="G13482" i="1"/>
  <c r="G13481" i="1"/>
  <c r="G13480" i="1"/>
  <c r="G13479" i="1"/>
  <c r="G13478" i="1"/>
  <c r="G13477" i="1"/>
  <c r="G13476" i="1"/>
  <c r="G13475" i="1"/>
  <c r="G13474" i="1"/>
  <c r="G13473" i="1"/>
  <c r="G13472" i="1"/>
  <c r="G13471" i="1"/>
  <c r="G13470" i="1"/>
  <c r="G13469" i="1"/>
  <c r="G13468" i="1"/>
  <c r="G13467" i="1"/>
  <c r="G13466" i="1"/>
  <c r="G13465" i="1"/>
  <c r="G13464" i="1"/>
  <c r="G13463" i="1"/>
  <c r="G13462" i="1"/>
  <c r="G13461" i="1"/>
  <c r="G13460" i="1"/>
  <c r="G13459" i="1"/>
  <c r="G13458" i="1"/>
  <c r="G13457" i="1"/>
  <c r="G13456" i="1"/>
  <c r="G13455" i="1"/>
  <c r="G13454" i="1"/>
  <c r="G13453" i="1"/>
  <c r="G13452" i="1"/>
  <c r="G13451" i="1"/>
  <c r="G13450" i="1"/>
  <c r="G13449" i="1"/>
  <c r="G13448" i="1"/>
  <c r="G13447" i="1"/>
  <c r="G13446" i="1"/>
  <c r="G13445" i="1"/>
  <c r="G13444" i="1"/>
  <c r="G13443" i="1"/>
  <c r="G13442" i="1"/>
  <c r="G13441" i="1"/>
  <c r="G13440" i="1"/>
  <c r="G13439" i="1"/>
  <c r="G13438" i="1"/>
  <c r="G13437" i="1"/>
  <c r="G13436" i="1"/>
  <c r="G13435" i="1"/>
  <c r="G13434" i="1"/>
  <c r="G13433" i="1"/>
  <c r="G13432" i="1"/>
  <c r="G13431" i="1"/>
  <c r="G13430" i="1"/>
  <c r="G13429" i="1"/>
  <c r="G13428" i="1"/>
  <c r="G13427" i="1"/>
  <c r="G13426" i="1"/>
  <c r="G13425" i="1"/>
  <c r="G13424" i="1"/>
  <c r="G13423" i="1"/>
  <c r="G13422" i="1"/>
  <c r="G13421" i="1"/>
  <c r="G13420" i="1"/>
  <c r="G13419" i="1"/>
  <c r="G13418" i="1"/>
  <c r="G13417" i="1"/>
  <c r="G13416" i="1"/>
  <c r="G13415" i="1"/>
  <c r="G13414" i="1"/>
  <c r="G13413" i="1"/>
  <c r="G13412" i="1"/>
  <c r="G13411" i="1"/>
  <c r="G13410" i="1"/>
  <c r="G13409" i="1"/>
  <c r="G13408" i="1"/>
  <c r="G13407" i="1"/>
  <c r="G13406" i="1"/>
  <c r="G13405" i="1"/>
  <c r="G13404" i="1"/>
  <c r="G13403" i="1"/>
  <c r="G13402" i="1"/>
  <c r="G13401" i="1"/>
  <c r="G13400" i="1"/>
  <c r="G13399" i="1"/>
  <c r="G13398" i="1"/>
  <c r="G13397" i="1"/>
  <c r="G13396" i="1"/>
  <c r="G13395" i="1"/>
  <c r="G13394" i="1"/>
  <c r="G13393" i="1"/>
  <c r="G13392" i="1"/>
  <c r="G13391" i="1"/>
  <c r="G13390" i="1"/>
  <c r="G13389" i="1"/>
  <c r="G13388" i="1"/>
  <c r="G13387" i="1"/>
  <c r="G13386" i="1"/>
  <c r="G13385" i="1"/>
  <c r="G13384" i="1"/>
  <c r="G13383" i="1"/>
  <c r="G13382" i="1"/>
  <c r="G13381" i="1"/>
  <c r="G13380" i="1"/>
  <c r="G13379" i="1"/>
  <c r="G13378" i="1"/>
  <c r="G13377" i="1"/>
  <c r="G13376" i="1"/>
  <c r="G13375" i="1"/>
  <c r="G13374" i="1"/>
  <c r="G13373" i="1"/>
  <c r="G13372" i="1"/>
  <c r="G13371" i="1"/>
  <c r="G13370" i="1"/>
  <c r="G13369" i="1"/>
  <c r="G13368" i="1"/>
  <c r="G13367" i="1"/>
  <c r="G13366" i="1"/>
  <c r="G13365" i="1"/>
  <c r="G13364" i="1"/>
  <c r="G13363" i="1"/>
  <c r="G13362" i="1"/>
  <c r="G13361" i="1"/>
  <c r="G13360" i="1"/>
  <c r="G13359" i="1"/>
  <c r="G13358" i="1"/>
  <c r="G13357" i="1"/>
  <c r="G13356" i="1"/>
  <c r="G13355" i="1"/>
  <c r="G13354" i="1"/>
  <c r="G13353" i="1"/>
  <c r="G13352" i="1"/>
  <c r="G13351" i="1"/>
  <c r="G13350" i="1"/>
  <c r="G13349" i="1"/>
  <c r="G13348" i="1"/>
  <c r="G13347" i="1"/>
  <c r="G13346" i="1"/>
  <c r="G13345" i="1"/>
  <c r="G13344" i="1"/>
  <c r="G13343" i="1"/>
  <c r="G13342" i="1"/>
  <c r="G13341" i="1"/>
  <c r="G13340" i="1"/>
  <c r="G13339" i="1"/>
  <c r="G13338" i="1"/>
  <c r="G13337" i="1"/>
  <c r="G13336" i="1"/>
  <c r="G13335" i="1"/>
  <c r="G13334" i="1"/>
  <c r="G13333" i="1"/>
  <c r="G13332" i="1"/>
  <c r="G13331" i="1"/>
  <c r="G13330" i="1"/>
  <c r="G13329" i="1"/>
  <c r="G13328" i="1"/>
  <c r="G13327" i="1"/>
  <c r="G13326" i="1"/>
  <c r="G13325" i="1"/>
  <c r="G13324" i="1"/>
  <c r="G13323" i="1"/>
  <c r="G13322" i="1"/>
  <c r="G13321" i="1"/>
  <c r="G13320" i="1"/>
  <c r="G13319" i="1"/>
  <c r="G13318" i="1"/>
  <c r="G13317" i="1"/>
  <c r="G13316" i="1"/>
  <c r="G13315" i="1"/>
  <c r="G13314" i="1"/>
  <c r="G13313" i="1"/>
  <c r="G13312" i="1"/>
  <c r="G13311" i="1"/>
  <c r="G13310" i="1"/>
  <c r="G13309" i="1"/>
  <c r="G13308" i="1"/>
  <c r="G13307" i="1"/>
  <c r="G13306" i="1"/>
  <c r="G13305" i="1"/>
  <c r="G13304" i="1"/>
  <c r="G13303" i="1"/>
  <c r="G13302" i="1"/>
  <c r="G13301" i="1"/>
  <c r="G13300" i="1"/>
  <c r="G13299" i="1"/>
  <c r="G13298" i="1"/>
  <c r="G13297" i="1"/>
  <c r="G13296" i="1"/>
  <c r="G13295" i="1"/>
  <c r="G13294" i="1"/>
  <c r="G13293" i="1"/>
  <c r="G13292" i="1"/>
  <c r="G13291" i="1"/>
  <c r="G13290" i="1"/>
  <c r="G13289" i="1"/>
  <c r="G13288" i="1"/>
  <c r="G13287" i="1"/>
  <c r="G13286" i="1"/>
  <c r="G13285" i="1"/>
  <c r="G13284" i="1"/>
  <c r="G13283" i="1"/>
  <c r="G13282" i="1"/>
  <c r="G13281" i="1"/>
  <c r="G13280" i="1"/>
  <c r="G13279" i="1"/>
  <c r="G13278" i="1"/>
  <c r="G13277" i="1"/>
  <c r="G13276" i="1"/>
  <c r="G13275" i="1"/>
  <c r="G13274" i="1"/>
  <c r="G13273" i="1"/>
  <c r="G13272" i="1"/>
  <c r="G13271" i="1"/>
  <c r="G13270" i="1"/>
  <c r="G13269" i="1"/>
  <c r="G13268" i="1"/>
  <c r="G13267" i="1"/>
  <c r="G13266" i="1"/>
  <c r="G13265" i="1"/>
  <c r="G13264" i="1"/>
  <c r="G13263" i="1"/>
  <c r="G13262" i="1"/>
  <c r="G13261" i="1"/>
  <c r="G13260" i="1"/>
  <c r="G13259" i="1"/>
  <c r="G13258" i="1"/>
  <c r="G13257" i="1"/>
  <c r="G13256" i="1"/>
  <c r="G13255" i="1"/>
  <c r="G13254" i="1"/>
  <c r="G13253" i="1"/>
  <c r="G13252" i="1"/>
  <c r="G13251" i="1"/>
  <c r="G13250" i="1"/>
  <c r="G13249" i="1"/>
  <c r="G13248" i="1"/>
  <c r="G13247" i="1"/>
  <c r="G13246" i="1"/>
  <c r="G13245" i="1"/>
  <c r="G13244" i="1"/>
  <c r="G13243" i="1"/>
  <c r="G13242" i="1"/>
  <c r="G13241" i="1"/>
  <c r="G13240" i="1"/>
  <c r="G13239" i="1"/>
  <c r="G13238" i="1"/>
  <c r="G13237" i="1"/>
  <c r="G13236" i="1"/>
  <c r="G13235" i="1"/>
  <c r="G13234" i="1"/>
  <c r="G13233" i="1"/>
  <c r="G13232" i="1"/>
  <c r="G13231" i="1"/>
  <c r="G13230" i="1"/>
  <c r="G13229" i="1"/>
  <c r="G13228" i="1"/>
  <c r="G13227" i="1"/>
  <c r="G13226" i="1"/>
  <c r="G13225" i="1"/>
  <c r="G13224" i="1"/>
  <c r="G13223" i="1"/>
  <c r="G13222" i="1"/>
  <c r="G13221" i="1"/>
  <c r="G13220" i="1"/>
  <c r="G13219" i="1"/>
  <c r="G13218" i="1"/>
  <c r="G13217" i="1"/>
  <c r="G13216" i="1"/>
  <c r="G13215" i="1"/>
  <c r="G13214" i="1"/>
  <c r="G13213" i="1"/>
  <c r="G13212" i="1"/>
  <c r="G13211" i="1"/>
  <c r="G13210" i="1"/>
  <c r="G13209" i="1"/>
  <c r="G13208" i="1"/>
  <c r="G13207" i="1"/>
  <c r="G13206" i="1"/>
  <c r="G13205" i="1"/>
  <c r="G13204" i="1"/>
  <c r="G13203" i="1"/>
  <c r="G13202" i="1"/>
  <c r="G13201" i="1"/>
  <c r="G13200" i="1"/>
  <c r="G13199" i="1"/>
  <c r="G13198" i="1"/>
  <c r="G13197" i="1"/>
  <c r="G13196" i="1"/>
  <c r="G13195" i="1"/>
  <c r="G13194" i="1"/>
  <c r="G13193" i="1"/>
  <c r="G13192" i="1"/>
  <c r="G13191" i="1"/>
  <c r="G13190" i="1"/>
  <c r="G13189" i="1"/>
  <c r="G13188" i="1"/>
  <c r="G13187" i="1"/>
  <c r="G13186" i="1"/>
  <c r="G13185" i="1"/>
  <c r="G13184" i="1"/>
  <c r="G13183" i="1"/>
  <c r="G13182" i="1"/>
  <c r="G13181" i="1"/>
  <c r="G13180" i="1"/>
  <c r="G13179" i="1"/>
  <c r="G13178" i="1"/>
  <c r="G13177" i="1"/>
  <c r="G13176" i="1"/>
  <c r="G13175" i="1"/>
  <c r="G13174" i="1"/>
  <c r="G13173" i="1"/>
  <c r="G13172" i="1"/>
  <c r="G13171" i="1"/>
  <c r="G13170" i="1"/>
  <c r="G13169" i="1"/>
  <c r="G13168" i="1"/>
  <c r="G13167" i="1"/>
  <c r="G13166" i="1"/>
  <c r="G13165" i="1"/>
  <c r="G13164" i="1"/>
  <c r="G13163" i="1"/>
  <c r="G13162" i="1"/>
  <c r="G13161" i="1"/>
  <c r="G13160" i="1"/>
  <c r="G13159" i="1"/>
  <c r="G13158" i="1"/>
  <c r="G13157" i="1"/>
  <c r="G13156" i="1"/>
  <c r="G13155" i="1"/>
  <c r="G13154" i="1"/>
  <c r="G13153" i="1"/>
  <c r="G13152" i="1"/>
  <c r="G13151" i="1"/>
  <c r="G13150" i="1"/>
  <c r="G13149" i="1"/>
  <c r="G13148" i="1"/>
  <c r="G13147" i="1"/>
  <c r="G13146" i="1"/>
  <c r="G13145" i="1"/>
  <c r="G13144" i="1"/>
  <c r="G13143" i="1"/>
  <c r="G13142" i="1"/>
  <c r="G13141" i="1"/>
  <c r="G13140" i="1"/>
  <c r="G13139" i="1"/>
  <c r="G13138" i="1"/>
  <c r="G13137" i="1"/>
  <c r="G13136" i="1"/>
  <c r="G13135" i="1"/>
  <c r="G13134" i="1"/>
  <c r="G13133" i="1"/>
  <c r="G13132" i="1"/>
  <c r="G13131" i="1"/>
  <c r="G13130" i="1"/>
  <c r="G13129" i="1"/>
  <c r="G13128" i="1"/>
  <c r="G13127" i="1"/>
  <c r="G13126" i="1"/>
  <c r="G13125" i="1"/>
  <c r="G13124" i="1"/>
  <c r="G13123" i="1"/>
  <c r="G13122" i="1"/>
  <c r="G13121" i="1"/>
  <c r="G13120" i="1"/>
  <c r="G13119" i="1"/>
  <c r="G13118" i="1"/>
  <c r="G13117" i="1"/>
  <c r="G13116" i="1"/>
  <c r="G13115" i="1"/>
  <c r="G13114" i="1"/>
  <c r="G13113" i="1"/>
  <c r="G13112" i="1"/>
  <c r="G13111" i="1"/>
  <c r="G13110" i="1"/>
  <c r="G13109" i="1"/>
  <c r="G13108" i="1"/>
  <c r="G13107" i="1"/>
  <c r="G13106" i="1"/>
  <c r="G13105" i="1"/>
  <c r="G13104" i="1"/>
  <c r="G13103" i="1"/>
  <c r="G13102" i="1"/>
  <c r="G13101" i="1"/>
  <c r="G13100" i="1"/>
  <c r="G13099" i="1"/>
  <c r="G13098" i="1"/>
  <c r="G13097" i="1"/>
  <c r="G13096" i="1"/>
  <c r="G13095" i="1"/>
  <c r="G13094" i="1"/>
  <c r="G13093" i="1"/>
  <c r="G13092" i="1"/>
  <c r="G13091" i="1"/>
  <c r="G13090" i="1"/>
  <c r="G13089" i="1"/>
  <c r="G13088" i="1"/>
  <c r="G13087" i="1"/>
  <c r="G13086" i="1"/>
  <c r="G13085" i="1"/>
  <c r="G13084" i="1"/>
  <c r="G13083" i="1"/>
  <c r="G13082" i="1"/>
  <c r="G13081" i="1"/>
  <c r="G13080" i="1"/>
  <c r="G13079" i="1"/>
  <c r="G13078" i="1"/>
  <c r="G13077" i="1"/>
  <c r="G13076" i="1"/>
  <c r="G13075" i="1"/>
  <c r="G13074" i="1"/>
  <c r="G13073" i="1"/>
  <c r="G13072" i="1"/>
  <c r="G13071" i="1"/>
  <c r="G13070" i="1"/>
  <c r="G13069" i="1"/>
  <c r="G13068" i="1"/>
  <c r="G13067" i="1"/>
  <c r="G13066" i="1"/>
  <c r="G13065" i="1"/>
  <c r="G13064" i="1"/>
  <c r="G13063" i="1"/>
  <c r="G13062" i="1"/>
  <c r="G13061" i="1"/>
  <c r="G13060" i="1"/>
  <c r="G13059" i="1"/>
  <c r="G13058" i="1"/>
  <c r="G13057" i="1"/>
  <c r="G13056" i="1"/>
  <c r="G13055" i="1"/>
  <c r="G13054" i="1"/>
  <c r="G13053" i="1"/>
  <c r="G13052" i="1"/>
  <c r="G13051" i="1"/>
  <c r="G13050" i="1"/>
  <c r="G13049" i="1"/>
  <c r="G13048" i="1"/>
  <c r="G13047" i="1"/>
  <c r="G13046" i="1"/>
  <c r="G13045" i="1"/>
  <c r="G13044" i="1"/>
  <c r="G13043" i="1"/>
  <c r="G13042" i="1"/>
  <c r="G13041" i="1"/>
  <c r="G13040" i="1"/>
  <c r="G13039" i="1"/>
  <c r="G13038" i="1"/>
  <c r="G13037" i="1"/>
  <c r="G13036" i="1"/>
  <c r="G13035" i="1"/>
  <c r="G13034" i="1"/>
  <c r="G13033" i="1"/>
  <c r="G13032" i="1"/>
  <c r="G13031" i="1"/>
  <c r="G13030" i="1"/>
  <c r="G13029" i="1"/>
  <c r="G13028" i="1"/>
  <c r="G13027" i="1"/>
  <c r="G13026" i="1"/>
  <c r="G13025" i="1"/>
  <c r="G13024" i="1"/>
  <c r="G13023" i="1"/>
  <c r="G13022" i="1"/>
  <c r="G13021" i="1"/>
  <c r="G13020" i="1"/>
  <c r="G13019" i="1"/>
  <c r="G13018" i="1"/>
  <c r="G13017" i="1"/>
  <c r="G13016" i="1"/>
  <c r="G13015" i="1"/>
  <c r="G13014" i="1"/>
  <c r="G13013" i="1"/>
  <c r="G13012" i="1"/>
  <c r="G13011" i="1"/>
  <c r="G13010" i="1"/>
  <c r="G13009" i="1"/>
  <c r="G13008" i="1"/>
  <c r="G13007" i="1"/>
  <c r="G13006" i="1"/>
  <c r="G13005" i="1"/>
  <c r="G13004" i="1"/>
  <c r="G13003" i="1"/>
  <c r="G13002" i="1"/>
  <c r="G13001" i="1"/>
  <c r="G13000" i="1"/>
  <c r="G12999" i="1"/>
  <c r="G12998" i="1"/>
  <c r="G12997" i="1"/>
  <c r="G12996" i="1"/>
  <c r="G12995" i="1"/>
  <c r="G12994" i="1"/>
  <c r="G12993" i="1"/>
  <c r="G12992" i="1"/>
  <c r="G12991" i="1"/>
  <c r="G12990" i="1"/>
  <c r="G12989" i="1"/>
  <c r="G12988" i="1"/>
  <c r="G12987" i="1"/>
  <c r="G12986" i="1"/>
  <c r="G12985" i="1"/>
  <c r="G12984" i="1"/>
  <c r="G12983" i="1"/>
  <c r="G12982" i="1"/>
  <c r="G12981" i="1"/>
  <c r="G12980" i="1"/>
  <c r="G12979" i="1"/>
  <c r="G12978" i="1"/>
  <c r="G12977" i="1"/>
  <c r="G12976" i="1"/>
  <c r="G12975" i="1"/>
  <c r="G12974" i="1"/>
  <c r="G12973" i="1"/>
  <c r="G12972" i="1"/>
  <c r="G12971" i="1"/>
  <c r="G12970" i="1"/>
  <c r="G12969" i="1"/>
  <c r="G12968" i="1"/>
  <c r="G12967" i="1"/>
  <c r="G12966" i="1"/>
  <c r="G12965" i="1"/>
  <c r="G12964" i="1"/>
  <c r="G12963" i="1"/>
  <c r="G12962" i="1"/>
  <c r="G12961" i="1"/>
  <c r="G12960" i="1"/>
  <c r="G12959" i="1"/>
  <c r="G12958" i="1"/>
  <c r="G12957" i="1"/>
  <c r="G12956" i="1"/>
  <c r="G12955" i="1"/>
  <c r="G12954" i="1"/>
  <c r="G12953" i="1"/>
  <c r="G12952" i="1"/>
  <c r="G12951" i="1"/>
  <c r="G12950" i="1"/>
  <c r="G12949" i="1"/>
  <c r="G12948" i="1"/>
  <c r="G12947" i="1"/>
  <c r="G12946" i="1"/>
  <c r="G12945" i="1"/>
  <c r="G12944" i="1"/>
  <c r="G12943" i="1"/>
  <c r="G12942" i="1"/>
  <c r="G12941" i="1"/>
  <c r="G12940" i="1"/>
  <c r="G12939" i="1"/>
  <c r="G12938" i="1"/>
  <c r="G12937" i="1"/>
  <c r="G12936" i="1"/>
  <c r="G12935" i="1"/>
  <c r="G12934" i="1"/>
  <c r="G12933" i="1"/>
  <c r="G12932" i="1"/>
  <c r="G12931" i="1"/>
  <c r="G12930" i="1"/>
  <c r="G12929" i="1"/>
  <c r="G12928" i="1"/>
  <c r="G12927" i="1"/>
  <c r="G12926" i="1"/>
  <c r="G12925" i="1"/>
  <c r="G12924" i="1"/>
  <c r="G12923" i="1"/>
  <c r="G12922" i="1"/>
  <c r="G12921" i="1"/>
  <c r="G12920" i="1"/>
  <c r="G12919" i="1"/>
  <c r="G12918" i="1"/>
  <c r="G12917" i="1"/>
  <c r="G12916" i="1"/>
  <c r="G12915" i="1"/>
  <c r="G12914" i="1"/>
  <c r="G12913" i="1"/>
  <c r="G12912" i="1"/>
  <c r="G12911" i="1"/>
  <c r="G12910" i="1"/>
  <c r="G12909" i="1"/>
  <c r="G12908" i="1"/>
  <c r="G12907" i="1"/>
  <c r="G12906" i="1"/>
  <c r="G12905" i="1"/>
  <c r="G12904" i="1"/>
  <c r="G12903" i="1"/>
  <c r="G12902" i="1"/>
  <c r="G12901" i="1"/>
  <c r="G12900" i="1"/>
  <c r="G12899" i="1"/>
  <c r="G12898" i="1"/>
  <c r="G12897" i="1"/>
  <c r="G12896" i="1"/>
  <c r="G12895" i="1"/>
  <c r="G12894" i="1"/>
  <c r="G12893" i="1"/>
  <c r="G12892" i="1"/>
  <c r="G12891" i="1"/>
  <c r="G12890" i="1"/>
  <c r="G12889" i="1"/>
  <c r="G12888" i="1"/>
  <c r="G12887" i="1"/>
  <c r="G12886" i="1"/>
  <c r="G12885" i="1"/>
  <c r="G12884" i="1"/>
  <c r="G12883" i="1"/>
  <c r="G12882" i="1"/>
  <c r="G12881" i="1"/>
  <c r="G12880" i="1"/>
  <c r="G12879" i="1"/>
  <c r="G12878" i="1"/>
  <c r="G12877" i="1"/>
  <c r="G12876" i="1"/>
  <c r="G12875" i="1"/>
  <c r="G12874" i="1"/>
  <c r="G12873" i="1"/>
  <c r="G12872" i="1"/>
  <c r="G12871" i="1"/>
  <c r="G12870" i="1"/>
  <c r="G12869" i="1"/>
  <c r="G12868" i="1"/>
  <c r="G12867" i="1"/>
  <c r="G12866" i="1"/>
  <c r="G12865" i="1"/>
  <c r="G12864" i="1"/>
  <c r="G12863" i="1"/>
  <c r="G12862" i="1"/>
  <c r="G12861" i="1"/>
  <c r="G12860" i="1"/>
  <c r="G12859" i="1"/>
  <c r="G12858" i="1"/>
  <c r="G12857" i="1"/>
  <c r="G12856" i="1"/>
  <c r="G12855" i="1"/>
  <c r="G12854" i="1"/>
  <c r="G12853" i="1"/>
  <c r="G12852" i="1"/>
  <c r="G12851" i="1"/>
  <c r="G12850" i="1"/>
  <c r="G12849" i="1"/>
  <c r="G12848" i="1"/>
  <c r="G12847" i="1"/>
  <c r="G12846" i="1"/>
  <c r="G12845" i="1"/>
  <c r="G12844" i="1"/>
  <c r="G12843" i="1"/>
  <c r="G12842" i="1"/>
  <c r="G12841" i="1"/>
  <c r="G12840" i="1"/>
  <c r="G12839" i="1"/>
  <c r="G12838" i="1"/>
  <c r="G12837" i="1"/>
  <c r="G12836" i="1"/>
  <c r="G12835" i="1"/>
  <c r="G12834" i="1"/>
  <c r="G12833" i="1"/>
  <c r="G12832" i="1"/>
  <c r="G12831" i="1"/>
  <c r="G12830" i="1"/>
  <c r="G12829" i="1"/>
  <c r="G12828" i="1"/>
  <c r="G12827" i="1"/>
  <c r="G12826" i="1"/>
  <c r="G12825" i="1"/>
  <c r="G12824" i="1"/>
  <c r="G12823" i="1"/>
  <c r="G12822" i="1"/>
  <c r="G12821" i="1"/>
  <c r="G12820" i="1"/>
  <c r="G12819" i="1"/>
  <c r="G12818" i="1"/>
  <c r="G12817" i="1"/>
  <c r="G12816" i="1"/>
  <c r="G12815" i="1"/>
  <c r="G12814" i="1"/>
  <c r="G12813" i="1"/>
  <c r="G12812" i="1"/>
  <c r="G12811" i="1"/>
  <c r="G12810" i="1"/>
  <c r="G12809" i="1"/>
  <c r="G12808" i="1"/>
  <c r="G12807" i="1"/>
  <c r="G12806" i="1"/>
  <c r="G12805" i="1"/>
  <c r="G12804" i="1"/>
  <c r="G12803" i="1"/>
  <c r="G12802" i="1"/>
  <c r="G12801" i="1"/>
  <c r="G12800" i="1"/>
  <c r="G12799" i="1"/>
  <c r="G12798" i="1"/>
  <c r="G12797" i="1"/>
  <c r="G12796" i="1"/>
  <c r="G12795" i="1"/>
  <c r="G12794" i="1"/>
  <c r="G12793" i="1"/>
  <c r="G12792" i="1"/>
  <c r="G12791" i="1"/>
  <c r="G12790" i="1"/>
  <c r="G12789" i="1"/>
  <c r="G12788" i="1"/>
  <c r="G12787" i="1"/>
  <c r="G12786" i="1"/>
  <c r="G12785" i="1"/>
  <c r="G12784" i="1"/>
  <c r="G12783" i="1"/>
  <c r="G12782" i="1"/>
  <c r="G12781" i="1"/>
  <c r="G12780" i="1"/>
  <c r="G12779" i="1"/>
  <c r="G12778" i="1"/>
  <c r="G12777" i="1"/>
  <c r="G12776" i="1"/>
  <c r="G12775" i="1"/>
  <c r="G12774" i="1"/>
  <c r="G12773" i="1"/>
  <c r="G12772" i="1"/>
  <c r="G12771" i="1"/>
  <c r="G12770" i="1"/>
  <c r="G12769" i="1"/>
  <c r="G12768" i="1"/>
  <c r="G12767" i="1"/>
  <c r="G12766" i="1"/>
  <c r="G12765" i="1"/>
  <c r="G12764" i="1"/>
  <c r="G12763" i="1"/>
  <c r="G12762" i="1"/>
  <c r="G12761" i="1"/>
  <c r="G12760" i="1"/>
  <c r="G12759" i="1"/>
  <c r="G12758" i="1"/>
  <c r="G12757" i="1"/>
  <c r="G12756" i="1"/>
  <c r="G12755" i="1"/>
  <c r="G12754" i="1"/>
  <c r="G12753" i="1"/>
  <c r="G12752" i="1"/>
  <c r="G12751" i="1"/>
  <c r="G12750" i="1"/>
  <c r="G12749" i="1"/>
  <c r="G12748" i="1"/>
  <c r="G12747" i="1"/>
  <c r="G12746" i="1"/>
  <c r="G12745" i="1"/>
  <c r="G12744" i="1"/>
  <c r="G12743" i="1"/>
  <c r="G12742" i="1"/>
  <c r="G12741" i="1"/>
  <c r="G12740" i="1"/>
  <c r="G12739" i="1"/>
  <c r="G12738" i="1"/>
  <c r="G12737" i="1"/>
  <c r="G12736" i="1"/>
  <c r="G12735" i="1"/>
  <c r="G12734" i="1"/>
  <c r="G12733" i="1"/>
  <c r="G12732" i="1"/>
  <c r="G12731" i="1"/>
  <c r="G12730" i="1"/>
  <c r="G12729" i="1"/>
  <c r="G12728" i="1"/>
  <c r="G12727" i="1"/>
  <c r="G12726" i="1"/>
  <c r="G12725" i="1"/>
  <c r="G12724" i="1"/>
  <c r="G12723" i="1"/>
  <c r="G12722" i="1"/>
  <c r="G12721" i="1"/>
  <c r="G12720" i="1"/>
  <c r="G12719" i="1"/>
  <c r="G12718" i="1"/>
  <c r="G12717" i="1"/>
  <c r="G12716" i="1"/>
  <c r="G12715" i="1"/>
  <c r="G12714" i="1"/>
  <c r="G12713" i="1"/>
  <c r="G12712" i="1"/>
  <c r="G12711" i="1"/>
  <c r="G12710" i="1"/>
  <c r="G12709" i="1"/>
  <c r="G12708" i="1"/>
  <c r="G12707" i="1"/>
  <c r="G12706" i="1"/>
  <c r="G12705" i="1"/>
  <c r="G12704" i="1"/>
  <c r="G12703" i="1"/>
  <c r="G12702" i="1"/>
  <c r="G12701" i="1"/>
  <c r="G12700" i="1"/>
  <c r="G12699" i="1"/>
  <c r="G12698" i="1"/>
  <c r="G12697" i="1"/>
  <c r="G12696" i="1"/>
  <c r="G12695" i="1"/>
  <c r="G12694" i="1"/>
  <c r="G12693" i="1"/>
  <c r="G12692" i="1"/>
  <c r="G12691" i="1"/>
  <c r="G12690" i="1"/>
  <c r="G12689" i="1"/>
  <c r="G12688" i="1"/>
  <c r="G12687" i="1"/>
  <c r="G12686" i="1"/>
  <c r="G12685" i="1"/>
  <c r="G12684" i="1"/>
  <c r="G12683" i="1"/>
  <c r="G12682" i="1"/>
  <c r="G12681" i="1"/>
  <c r="G12680" i="1"/>
  <c r="G12679" i="1"/>
  <c r="G12678" i="1"/>
  <c r="G12677" i="1"/>
  <c r="G12676" i="1"/>
  <c r="G12675" i="1"/>
  <c r="G12674" i="1"/>
  <c r="G12673" i="1"/>
  <c r="G12672" i="1"/>
  <c r="G12671" i="1"/>
  <c r="G12670" i="1"/>
  <c r="G12669" i="1"/>
  <c r="G12668" i="1"/>
  <c r="G12667" i="1"/>
  <c r="G12666" i="1"/>
  <c r="G12665" i="1"/>
  <c r="G12664" i="1"/>
  <c r="G12663" i="1"/>
  <c r="G12662" i="1"/>
  <c r="G12661" i="1"/>
  <c r="G12660" i="1"/>
  <c r="G12659" i="1"/>
  <c r="G12658" i="1"/>
  <c r="G12657" i="1"/>
  <c r="G12656" i="1"/>
  <c r="G12655" i="1"/>
  <c r="G12654" i="1"/>
  <c r="G12653" i="1"/>
  <c r="G12652" i="1"/>
  <c r="G12651" i="1"/>
  <c r="G12650" i="1"/>
  <c r="G12649" i="1"/>
  <c r="G12648" i="1"/>
  <c r="G12647" i="1"/>
  <c r="G12646" i="1"/>
  <c r="G12645" i="1"/>
  <c r="G12644" i="1"/>
  <c r="G12643" i="1"/>
  <c r="G12642" i="1"/>
  <c r="G12641" i="1"/>
  <c r="G12640" i="1"/>
  <c r="G12639" i="1"/>
  <c r="G12638" i="1"/>
  <c r="G12637" i="1"/>
  <c r="G12636" i="1"/>
  <c r="G12635" i="1"/>
  <c r="G12634" i="1"/>
  <c r="G12633" i="1"/>
  <c r="G12632" i="1"/>
  <c r="G12631" i="1"/>
  <c r="G12630" i="1"/>
  <c r="G12629" i="1"/>
  <c r="G12628" i="1"/>
  <c r="G12627" i="1"/>
  <c r="G12626" i="1"/>
  <c r="G12625" i="1"/>
  <c r="G12624" i="1"/>
  <c r="G12623" i="1"/>
  <c r="G12622" i="1"/>
  <c r="G12621" i="1"/>
  <c r="G12620" i="1"/>
  <c r="G12619" i="1"/>
  <c r="G12618" i="1"/>
  <c r="G12617" i="1"/>
  <c r="G12616" i="1"/>
  <c r="G12615" i="1"/>
  <c r="G12614" i="1"/>
  <c r="G12613" i="1"/>
  <c r="G12612" i="1"/>
  <c r="G12611" i="1"/>
  <c r="G12610" i="1"/>
  <c r="G12609" i="1"/>
  <c r="G12608" i="1"/>
  <c r="G12607" i="1"/>
  <c r="G12606" i="1"/>
  <c r="G12605" i="1"/>
  <c r="G12604" i="1"/>
  <c r="G12603" i="1"/>
  <c r="G12602" i="1"/>
  <c r="G12601" i="1"/>
  <c r="G12600" i="1"/>
  <c r="G12599" i="1"/>
  <c r="G12598" i="1"/>
  <c r="G12597" i="1"/>
  <c r="G12596" i="1"/>
  <c r="G12595" i="1"/>
  <c r="G12594" i="1"/>
  <c r="G12593" i="1"/>
  <c r="G12592" i="1"/>
  <c r="G12591" i="1"/>
  <c r="G12590" i="1"/>
  <c r="G12589" i="1"/>
  <c r="G12588" i="1"/>
  <c r="G12587" i="1"/>
  <c r="G12586" i="1"/>
  <c r="G12585" i="1"/>
  <c r="G12584" i="1"/>
  <c r="G12583" i="1"/>
  <c r="G12582" i="1"/>
  <c r="G12581" i="1"/>
  <c r="G12580" i="1"/>
  <c r="G12579" i="1"/>
  <c r="G12578" i="1"/>
  <c r="G12577" i="1"/>
  <c r="G12576" i="1"/>
  <c r="G12575" i="1"/>
  <c r="G12574" i="1"/>
  <c r="G12573" i="1"/>
  <c r="G12572" i="1"/>
  <c r="G12571" i="1"/>
  <c r="G12570" i="1"/>
  <c r="G12569" i="1"/>
  <c r="G12568" i="1"/>
  <c r="G12567" i="1"/>
  <c r="G12566" i="1"/>
  <c r="G12565" i="1"/>
  <c r="G12564" i="1"/>
  <c r="G12563" i="1"/>
  <c r="G12562" i="1"/>
  <c r="G12561" i="1"/>
  <c r="G12560" i="1"/>
  <c r="G12559" i="1"/>
  <c r="G12558" i="1"/>
  <c r="G12557" i="1"/>
  <c r="G12556" i="1"/>
  <c r="G12555" i="1"/>
  <c r="G12554" i="1"/>
  <c r="G12553" i="1"/>
  <c r="G12552" i="1"/>
  <c r="G12551" i="1"/>
  <c r="G12550" i="1"/>
  <c r="G12549" i="1"/>
  <c r="G12548" i="1"/>
  <c r="G12547" i="1"/>
  <c r="G12546" i="1"/>
  <c r="G12545" i="1"/>
  <c r="G12544" i="1"/>
  <c r="G12543" i="1"/>
  <c r="G12542" i="1"/>
  <c r="G12541" i="1"/>
  <c r="G12540" i="1"/>
  <c r="G12539" i="1"/>
  <c r="G12538" i="1"/>
  <c r="G12537" i="1"/>
  <c r="G12536" i="1"/>
  <c r="G12535" i="1"/>
  <c r="G12534" i="1"/>
  <c r="G12533" i="1"/>
  <c r="G12532" i="1"/>
  <c r="G12531" i="1"/>
  <c r="G12530" i="1"/>
  <c r="G12529" i="1"/>
  <c r="G12528" i="1"/>
  <c r="G12527" i="1"/>
  <c r="G12526" i="1"/>
  <c r="G12525" i="1"/>
  <c r="G12524" i="1"/>
  <c r="G12523" i="1"/>
  <c r="G12522" i="1"/>
  <c r="G12521" i="1"/>
  <c r="G12520" i="1"/>
  <c r="G12519" i="1"/>
  <c r="G12518" i="1"/>
  <c r="G12517" i="1"/>
  <c r="G12516" i="1"/>
  <c r="G12515" i="1"/>
  <c r="G12514" i="1"/>
  <c r="G12513" i="1"/>
  <c r="G12512" i="1"/>
  <c r="G12511" i="1"/>
  <c r="G12510" i="1"/>
  <c r="G12509" i="1"/>
  <c r="G12508" i="1"/>
  <c r="G12507" i="1"/>
  <c r="G12506" i="1"/>
  <c r="G12505" i="1"/>
  <c r="G12504" i="1"/>
  <c r="G12503" i="1"/>
  <c r="G12502" i="1"/>
  <c r="G12501" i="1"/>
  <c r="G12500" i="1"/>
  <c r="G12499" i="1"/>
  <c r="G12498" i="1"/>
  <c r="G12497" i="1"/>
  <c r="G12496" i="1"/>
  <c r="G12495" i="1"/>
  <c r="G12494" i="1"/>
  <c r="G12493" i="1"/>
  <c r="G12492" i="1"/>
  <c r="G12491" i="1"/>
  <c r="G12490" i="1"/>
  <c r="G12489" i="1"/>
  <c r="G12488" i="1"/>
  <c r="G12487" i="1"/>
  <c r="G12486" i="1"/>
  <c r="G12485" i="1"/>
  <c r="G12484" i="1"/>
  <c r="G12483" i="1"/>
  <c r="G12482" i="1"/>
  <c r="G12481" i="1"/>
  <c r="G12480" i="1"/>
  <c r="G12479" i="1"/>
  <c r="G12478" i="1"/>
  <c r="G12477" i="1"/>
  <c r="G12476" i="1"/>
  <c r="G12475" i="1"/>
  <c r="G12474" i="1"/>
  <c r="G12473" i="1"/>
  <c r="G12472" i="1"/>
  <c r="G12471" i="1"/>
  <c r="G12470" i="1"/>
  <c r="G12469" i="1"/>
  <c r="G12468" i="1"/>
  <c r="G12467" i="1"/>
  <c r="G12466" i="1"/>
  <c r="G12465" i="1"/>
  <c r="G12464" i="1"/>
  <c r="G12463" i="1"/>
  <c r="G12462" i="1"/>
  <c r="G12461" i="1"/>
  <c r="G12460" i="1"/>
  <c r="G12459" i="1"/>
  <c r="G12458" i="1"/>
  <c r="G12457" i="1"/>
  <c r="G12456" i="1"/>
  <c r="G12455" i="1"/>
  <c r="G12454" i="1"/>
  <c r="G12453" i="1"/>
  <c r="G12452" i="1"/>
  <c r="G12451" i="1"/>
  <c r="G12450" i="1"/>
  <c r="G12449" i="1"/>
  <c r="G12448" i="1"/>
  <c r="G12447" i="1"/>
  <c r="G12446" i="1"/>
  <c r="G12445" i="1"/>
  <c r="G12444" i="1"/>
  <c r="G12443" i="1"/>
  <c r="G12442" i="1"/>
  <c r="G12441" i="1"/>
  <c r="G12440" i="1"/>
  <c r="G12439" i="1"/>
  <c r="G12438" i="1"/>
  <c r="G12437" i="1"/>
  <c r="G12436" i="1"/>
  <c r="G12435" i="1"/>
  <c r="G12434" i="1"/>
  <c r="G12433" i="1"/>
  <c r="G12432" i="1"/>
  <c r="G12431" i="1"/>
  <c r="G12430" i="1"/>
  <c r="G12429" i="1"/>
  <c r="G12428" i="1"/>
  <c r="G12427" i="1"/>
  <c r="G12426" i="1"/>
  <c r="G12425" i="1"/>
  <c r="G12424" i="1"/>
  <c r="G12423" i="1"/>
  <c r="G12422" i="1"/>
  <c r="G12421" i="1"/>
  <c r="G12420" i="1"/>
  <c r="G12419" i="1"/>
  <c r="G12418" i="1"/>
  <c r="G12417" i="1"/>
  <c r="G12416" i="1"/>
  <c r="G12415" i="1"/>
  <c r="G12414" i="1"/>
  <c r="G12413" i="1"/>
  <c r="G12412" i="1"/>
  <c r="G12411" i="1"/>
  <c r="G12410" i="1"/>
  <c r="G12409" i="1"/>
  <c r="G12408" i="1"/>
  <c r="G12407" i="1"/>
  <c r="G12406" i="1"/>
  <c r="G12405" i="1"/>
  <c r="G12404" i="1"/>
  <c r="G12403" i="1"/>
  <c r="G12402" i="1"/>
  <c r="G12401" i="1"/>
  <c r="G12400" i="1"/>
  <c r="G12399" i="1"/>
  <c r="G12398" i="1"/>
  <c r="G12397" i="1"/>
  <c r="G12396" i="1"/>
  <c r="G12395" i="1"/>
  <c r="G12394" i="1"/>
  <c r="G12393" i="1"/>
  <c r="G12392" i="1"/>
  <c r="G12391" i="1"/>
  <c r="G12390" i="1"/>
  <c r="G12389" i="1"/>
  <c r="G12388" i="1"/>
  <c r="G12387" i="1"/>
  <c r="G12386" i="1"/>
  <c r="G12385" i="1"/>
  <c r="G12384" i="1"/>
  <c r="G12383" i="1"/>
  <c r="G12382" i="1"/>
  <c r="G12381" i="1"/>
  <c r="G12380" i="1"/>
  <c r="G12379" i="1"/>
  <c r="G12378" i="1"/>
  <c r="G12377" i="1"/>
  <c r="G12376" i="1"/>
  <c r="G12375" i="1"/>
  <c r="G12374" i="1"/>
  <c r="G12373" i="1"/>
  <c r="G12372" i="1"/>
  <c r="G12371" i="1"/>
  <c r="G12370" i="1"/>
  <c r="G12369" i="1"/>
  <c r="G12368" i="1"/>
  <c r="G12367" i="1"/>
  <c r="G12366" i="1"/>
  <c r="G12365" i="1"/>
  <c r="G12364" i="1"/>
  <c r="G12363" i="1"/>
  <c r="G12362" i="1"/>
  <c r="G12361" i="1"/>
  <c r="G12360" i="1"/>
  <c r="G12359" i="1"/>
  <c r="G12358" i="1"/>
  <c r="G12357" i="1"/>
  <c r="G12356" i="1"/>
  <c r="G12355" i="1"/>
  <c r="G12354" i="1"/>
  <c r="G12353" i="1"/>
  <c r="G12352" i="1"/>
  <c r="G12351" i="1"/>
  <c r="G12350" i="1"/>
  <c r="G12349" i="1"/>
  <c r="G12348" i="1"/>
  <c r="G12347" i="1"/>
  <c r="G12346" i="1"/>
  <c r="G12345" i="1"/>
  <c r="G12344" i="1"/>
  <c r="G12343" i="1"/>
  <c r="G12342" i="1"/>
  <c r="G12341" i="1"/>
  <c r="G12340" i="1"/>
  <c r="G12339" i="1"/>
  <c r="G12338" i="1"/>
  <c r="G12337" i="1"/>
  <c r="G12336" i="1"/>
  <c r="G12335" i="1"/>
  <c r="G12334" i="1"/>
  <c r="G12333" i="1"/>
  <c r="G12332" i="1"/>
  <c r="G12331" i="1"/>
  <c r="G12330" i="1"/>
  <c r="G12329" i="1"/>
  <c r="G12328" i="1"/>
  <c r="G12327" i="1"/>
  <c r="G12326" i="1"/>
  <c r="G12325" i="1"/>
  <c r="G12324" i="1"/>
  <c r="G12323" i="1"/>
  <c r="G12322" i="1"/>
  <c r="G12321" i="1"/>
  <c r="G12320" i="1"/>
  <c r="G12319" i="1"/>
  <c r="G12318" i="1"/>
  <c r="G12317" i="1"/>
  <c r="G12316" i="1"/>
  <c r="G12315" i="1"/>
  <c r="G12314" i="1"/>
  <c r="G12313" i="1"/>
  <c r="G12312" i="1"/>
  <c r="G12311" i="1"/>
  <c r="G12310" i="1"/>
  <c r="G12309" i="1"/>
  <c r="G12308" i="1"/>
  <c r="G12307" i="1"/>
  <c r="G12306" i="1"/>
  <c r="G12305" i="1"/>
  <c r="G12304" i="1"/>
  <c r="G12303" i="1"/>
  <c r="G12302" i="1"/>
  <c r="G12301" i="1"/>
  <c r="G12300" i="1"/>
  <c r="G12299" i="1"/>
  <c r="G12298" i="1"/>
  <c r="G12297" i="1"/>
  <c r="G12296" i="1"/>
  <c r="G12295" i="1"/>
  <c r="G12294" i="1"/>
  <c r="G12293" i="1"/>
  <c r="G12292" i="1"/>
  <c r="G12291" i="1"/>
  <c r="G12290" i="1"/>
  <c r="G12289" i="1"/>
  <c r="G12288" i="1"/>
  <c r="G12287" i="1"/>
  <c r="G12286" i="1"/>
  <c r="G12285" i="1"/>
  <c r="G12284" i="1"/>
  <c r="G12283" i="1"/>
  <c r="G12282" i="1"/>
  <c r="G12281" i="1"/>
  <c r="G12280" i="1"/>
  <c r="G12279" i="1"/>
  <c r="G12278" i="1"/>
  <c r="G12277" i="1"/>
  <c r="G12276" i="1"/>
  <c r="G12275" i="1"/>
  <c r="G12274" i="1"/>
  <c r="G12273" i="1"/>
  <c r="G12272" i="1"/>
  <c r="G12271" i="1"/>
  <c r="G12270" i="1"/>
  <c r="G12269" i="1"/>
  <c r="G12268" i="1"/>
  <c r="G12267" i="1"/>
  <c r="G12266" i="1"/>
  <c r="G12265" i="1"/>
  <c r="G12264" i="1"/>
  <c r="G12263" i="1"/>
  <c r="G12262" i="1"/>
  <c r="G12261" i="1"/>
  <c r="G12260" i="1"/>
  <c r="G12259" i="1"/>
  <c r="G12258" i="1"/>
  <c r="G12257" i="1"/>
  <c r="G12256" i="1"/>
  <c r="G12255" i="1"/>
  <c r="G12254" i="1"/>
  <c r="G12253" i="1"/>
  <c r="G12252" i="1"/>
  <c r="G12251" i="1"/>
  <c r="G12250" i="1"/>
  <c r="G12249" i="1"/>
  <c r="G12248" i="1"/>
  <c r="G12247" i="1"/>
  <c r="G12246" i="1"/>
  <c r="G12245" i="1"/>
  <c r="G12244" i="1"/>
  <c r="G12243" i="1"/>
  <c r="G12242" i="1"/>
  <c r="G12241" i="1"/>
  <c r="G12240" i="1"/>
  <c r="G12239" i="1"/>
  <c r="G12238" i="1"/>
  <c r="G12237" i="1"/>
  <c r="G12236" i="1"/>
  <c r="G12235" i="1"/>
  <c r="G12234" i="1"/>
  <c r="G12233" i="1"/>
  <c r="G12232" i="1"/>
  <c r="G12231" i="1"/>
  <c r="G12230" i="1"/>
  <c r="G12229" i="1"/>
  <c r="G12228" i="1"/>
  <c r="G12227" i="1"/>
  <c r="G12226" i="1"/>
  <c r="G12225" i="1"/>
  <c r="G12224" i="1"/>
  <c r="G12223" i="1"/>
  <c r="G12222" i="1"/>
  <c r="G12221" i="1"/>
  <c r="G12220" i="1"/>
  <c r="G12219" i="1"/>
  <c r="G12218" i="1"/>
  <c r="G12217" i="1"/>
  <c r="G12216" i="1"/>
  <c r="G12215" i="1"/>
  <c r="G12214" i="1"/>
  <c r="G12213" i="1"/>
  <c r="G12212" i="1"/>
  <c r="G12211" i="1"/>
  <c r="G12210" i="1"/>
  <c r="G12209" i="1"/>
  <c r="G12208" i="1"/>
  <c r="G12207" i="1"/>
  <c r="G12206" i="1"/>
  <c r="G12205" i="1"/>
  <c r="G12204" i="1"/>
  <c r="G12203" i="1"/>
  <c r="G12202" i="1"/>
  <c r="G12201" i="1"/>
  <c r="G12200" i="1"/>
  <c r="G12199" i="1"/>
  <c r="G12198" i="1"/>
  <c r="G12197" i="1"/>
  <c r="G12196" i="1"/>
  <c r="G12195" i="1"/>
  <c r="G12194" i="1"/>
  <c r="G12193" i="1"/>
  <c r="G12192" i="1"/>
  <c r="G12191" i="1"/>
  <c r="G12190" i="1"/>
  <c r="G12189" i="1"/>
  <c r="G12188" i="1"/>
  <c r="G12187" i="1"/>
  <c r="G12186" i="1"/>
  <c r="G12185" i="1"/>
  <c r="G12184" i="1"/>
  <c r="G12183" i="1"/>
  <c r="G12182" i="1"/>
  <c r="G12181" i="1"/>
  <c r="G12180" i="1"/>
  <c r="G12179" i="1"/>
  <c r="G12178" i="1"/>
  <c r="G12177" i="1"/>
  <c r="G12176" i="1"/>
  <c r="G12175" i="1"/>
  <c r="G12174" i="1"/>
  <c r="G12173" i="1"/>
  <c r="G12172" i="1"/>
  <c r="G12171" i="1"/>
  <c r="G12170" i="1"/>
  <c r="G12169" i="1"/>
  <c r="G12168" i="1"/>
  <c r="G12167" i="1"/>
  <c r="G12166" i="1"/>
  <c r="G12165" i="1"/>
  <c r="G12164" i="1"/>
  <c r="G12163" i="1"/>
  <c r="G12162" i="1"/>
  <c r="G12161" i="1"/>
  <c r="G12160" i="1"/>
  <c r="G12159" i="1"/>
  <c r="G12158" i="1"/>
  <c r="G12157" i="1"/>
  <c r="G12156" i="1"/>
  <c r="G12155" i="1"/>
  <c r="G12154" i="1"/>
  <c r="G12153" i="1"/>
  <c r="G12152" i="1"/>
  <c r="G12151" i="1"/>
  <c r="G12150" i="1"/>
  <c r="G12149" i="1"/>
  <c r="G12148" i="1"/>
  <c r="G12147" i="1"/>
  <c r="G12146" i="1"/>
  <c r="G12145" i="1"/>
  <c r="G12144" i="1"/>
  <c r="G12143" i="1"/>
  <c r="G12142" i="1"/>
  <c r="G12141" i="1"/>
  <c r="G12140" i="1"/>
  <c r="G12139" i="1"/>
  <c r="G12138" i="1"/>
  <c r="G12137" i="1"/>
  <c r="G12136" i="1"/>
  <c r="G12135" i="1"/>
  <c r="G12134" i="1"/>
  <c r="G12133" i="1"/>
  <c r="G12132" i="1"/>
  <c r="G12131" i="1"/>
  <c r="G12130" i="1"/>
  <c r="G12129" i="1"/>
  <c r="G12128" i="1"/>
  <c r="G12127" i="1"/>
  <c r="G12126" i="1"/>
  <c r="G12125" i="1"/>
  <c r="G12124" i="1"/>
  <c r="G12123" i="1"/>
  <c r="G12122" i="1"/>
  <c r="G12121" i="1"/>
  <c r="G12120" i="1"/>
  <c r="G12119" i="1"/>
  <c r="G12118" i="1"/>
  <c r="G12117" i="1"/>
  <c r="G12116" i="1"/>
  <c r="G12115" i="1"/>
  <c r="G12114" i="1"/>
  <c r="G12113" i="1"/>
  <c r="G12112" i="1"/>
  <c r="G12111" i="1"/>
  <c r="G12110" i="1"/>
  <c r="G12109" i="1"/>
  <c r="G12108" i="1"/>
  <c r="G12107" i="1"/>
  <c r="G12106" i="1"/>
  <c r="G12105" i="1"/>
  <c r="G12104" i="1"/>
  <c r="G12103" i="1"/>
  <c r="G12102" i="1"/>
  <c r="G12101" i="1"/>
  <c r="G12100" i="1"/>
  <c r="G12099" i="1"/>
  <c r="G12098" i="1"/>
  <c r="G12097" i="1"/>
  <c r="G12096" i="1"/>
  <c r="G12095" i="1"/>
  <c r="G12094" i="1"/>
  <c r="G12093" i="1"/>
  <c r="G12092" i="1"/>
  <c r="G12091" i="1"/>
  <c r="G12090" i="1"/>
  <c r="G12089" i="1"/>
  <c r="G12088" i="1"/>
  <c r="G12087" i="1"/>
  <c r="G12086" i="1"/>
  <c r="G12085" i="1"/>
  <c r="G12084" i="1"/>
  <c r="G12083" i="1"/>
  <c r="G12082" i="1"/>
  <c r="G12081" i="1"/>
  <c r="G12080" i="1"/>
  <c r="G12079" i="1"/>
  <c r="G12078" i="1"/>
  <c r="G12077" i="1"/>
  <c r="G12076" i="1"/>
  <c r="G12075" i="1"/>
  <c r="G12074" i="1"/>
  <c r="G12073" i="1"/>
  <c r="G12072" i="1"/>
  <c r="G12071" i="1"/>
  <c r="G12070" i="1"/>
  <c r="G12069" i="1"/>
  <c r="G12068" i="1"/>
  <c r="G12067" i="1"/>
  <c r="G12066" i="1"/>
  <c r="G12065" i="1"/>
  <c r="G12064" i="1"/>
  <c r="G12063" i="1"/>
  <c r="G12062" i="1"/>
  <c r="G12061" i="1"/>
  <c r="G12060" i="1"/>
  <c r="G12059" i="1"/>
  <c r="G12058" i="1"/>
  <c r="G12057" i="1"/>
  <c r="G12056" i="1"/>
  <c r="G12055" i="1"/>
  <c r="G12054" i="1"/>
  <c r="G12053" i="1"/>
  <c r="G12052" i="1"/>
  <c r="G12051" i="1"/>
  <c r="G12050" i="1"/>
  <c r="G12049" i="1"/>
  <c r="G12048" i="1"/>
  <c r="G12047" i="1"/>
  <c r="G12046" i="1"/>
  <c r="G12045" i="1"/>
  <c r="G12044" i="1"/>
  <c r="G12043" i="1"/>
  <c r="G12042" i="1"/>
  <c r="G12041" i="1"/>
  <c r="G12040" i="1"/>
  <c r="G12039" i="1"/>
  <c r="G12038" i="1"/>
  <c r="G12037" i="1"/>
  <c r="G12036" i="1"/>
  <c r="G12035" i="1"/>
  <c r="G12034" i="1"/>
  <c r="G12033" i="1"/>
  <c r="G12032" i="1"/>
  <c r="G12031" i="1"/>
  <c r="G12030" i="1"/>
  <c r="G12029" i="1"/>
  <c r="G12028" i="1"/>
  <c r="G12027" i="1"/>
  <c r="G12026" i="1"/>
  <c r="G12025" i="1"/>
  <c r="G12024" i="1"/>
  <c r="G12023" i="1"/>
  <c r="G12022" i="1"/>
  <c r="G12021" i="1"/>
  <c r="G12020" i="1"/>
  <c r="G12019" i="1"/>
  <c r="G12018" i="1"/>
  <c r="G12017" i="1"/>
  <c r="G12016" i="1"/>
  <c r="G12015" i="1"/>
  <c r="G12014" i="1"/>
  <c r="G12013" i="1"/>
  <c r="G12012" i="1"/>
  <c r="G12011" i="1"/>
  <c r="G12010" i="1"/>
  <c r="G12009" i="1"/>
  <c r="G12008" i="1"/>
  <c r="G12007" i="1"/>
  <c r="G12006" i="1"/>
  <c r="G12005" i="1"/>
  <c r="G12004" i="1"/>
  <c r="G12003" i="1"/>
  <c r="G12002" i="1"/>
  <c r="G12001" i="1"/>
  <c r="G12000" i="1"/>
  <c r="G11999" i="1"/>
  <c r="G11998" i="1"/>
  <c r="G11997" i="1"/>
  <c r="G11996" i="1"/>
  <c r="G11995" i="1"/>
  <c r="G11994" i="1"/>
  <c r="G11993" i="1"/>
  <c r="G11992" i="1"/>
  <c r="G11991" i="1"/>
  <c r="G11990" i="1"/>
  <c r="G11989" i="1"/>
  <c r="G11988" i="1"/>
  <c r="G11987" i="1"/>
  <c r="G11986" i="1"/>
  <c r="G11985" i="1"/>
  <c r="G11984" i="1"/>
  <c r="G11983" i="1"/>
  <c r="G11982" i="1"/>
  <c r="G11981" i="1"/>
  <c r="G11980" i="1"/>
  <c r="G11979" i="1"/>
  <c r="G11978" i="1"/>
  <c r="G11977" i="1"/>
  <c r="G11976" i="1"/>
  <c r="G11975" i="1"/>
  <c r="G11974" i="1"/>
  <c r="G11973" i="1"/>
  <c r="G11972" i="1"/>
  <c r="G11971" i="1"/>
  <c r="G11970" i="1"/>
  <c r="G11969" i="1"/>
  <c r="G11968" i="1"/>
  <c r="G11967" i="1"/>
  <c r="G11966" i="1"/>
  <c r="G11965" i="1"/>
  <c r="G11964" i="1"/>
  <c r="G11963" i="1"/>
  <c r="G11962" i="1"/>
  <c r="G11961" i="1"/>
  <c r="G11960" i="1"/>
  <c r="G11959" i="1"/>
  <c r="G11958" i="1"/>
  <c r="G11957" i="1"/>
  <c r="G11956" i="1"/>
  <c r="G11955" i="1"/>
  <c r="G11954" i="1"/>
  <c r="G11953" i="1"/>
  <c r="G11952" i="1"/>
  <c r="G11951" i="1"/>
  <c r="G11950" i="1"/>
  <c r="G11949" i="1"/>
  <c r="G11948" i="1"/>
  <c r="G11947" i="1"/>
  <c r="G11946" i="1"/>
  <c r="G11945" i="1"/>
  <c r="G11944" i="1"/>
  <c r="G11943" i="1"/>
  <c r="G11942" i="1"/>
  <c r="G11941" i="1"/>
  <c r="G11940" i="1"/>
  <c r="G11939" i="1"/>
  <c r="G11938" i="1"/>
  <c r="G11937" i="1"/>
  <c r="G11936" i="1"/>
  <c r="G11935" i="1"/>
  <c r="G11934" i="1"/>
  <c r="G11933" i="1"/>
  <c r="G11932" i="1"/>
  <c r="G11931" i="1"/>
  <c r="G11930" i="1"/>
  <c r="G11929" i="1"/>
  <c r="G11928" i="1"/>
  <c r="G11927" i="1"/>
  <c r="G11926" i="1"/>
  <c r="G11925" i="1"/>
  <c r="G11924" i="1"/>
  <c r="G11923" i="1"/>
  <c r="G11922" i="1"/>
  <c r="G11921" i="1"/>
  <c r="G11920" i="1"/>
  <c r="G11919" i="1"/>
  <c r="G11918" i="1"/>
  <c r="G11917" i="1"/>
  <c r="G11916" i="1"/>
  <c r="G11915" i="1"/>
  <c r="G11914" i="1"/>
  <c r="G11913" i="1"/>
  <c r="G11912" i="1"/>
  <c r="G11911" i="1"/>
  <c r="G11910" i="1"/>
  <c r="G11909" i="1"/>
  <c r="G11908" i="1"/>
  <c r="G11907" i="1"/>
  <c r="G11906" i="1"/>
  <c r="G11905" i="1"/>
  <c r="G11904" i="1"/>
  <c r="G11903" i="1"/>
  <c r="G11902" i="1"/>
  <c r="G11901" i="1"/>
  <c r="G11900" i="1"/>
  <c r="G11899" i="1"/>
  <c r="G11898" i="1"/>
  <c r="G11897" i="1"/>
  <c r="G11896" i="1"/>
  <c r="G11895" i="1"/>
  <c r="G11894" i="1"/>
  <c r="G11893" i="1"/>
  <c r="G11892" i="1"/>
  <c r="G11891" i="1"/>
  <c r="G11890" i="1"/>
  <c r="G11889" i="1"/>
  <c r="G11888" i="1"/>
  <c r="G11887" i="1"/>
  <c r="G11886" i="1"/>
  <c r="G11885" i="1"/>
  <c r="G11884" i="1"/>
  <c r="G11883" i="1"/>
  <c r="G11882" i="1"/>
  <c r="G11881" i="1"/>
  <c r="G11880" i="1"/>
  <c r="G11879" i="1"/>
  <c r="G11878" i="1"/>
  <c r="G11877" i="1"/>
  <c r="G11876" i="1"/>
  <c r="G11875" i="1"/>
  <c r="G11874" i="1"/>
  <c r="G11873" i="1"/>
  <c r="G11872" i="1"/>
  <c r="G11871" i="1"/>
  <c r="G11870" i="1"/>
  <c r="G11869" i="1"/>
  <c r="G11868" i="1"/>
  <c r="G11867" i="1"/>
  <c r="G11866" i="1"/>
  <c r="G11865" i="1"/>
  <c r="G11864" i="1"/>
  <c r="G11863" i="1"/>
  <c r="G11862" i="1"/>
  <c r="G11861" i="1"/>
  <c r="G11860" i="1"/>
  <c r="G11859" i="1"/>
  <c r="G11858" i="1"/>
  <c r="G11857" i="1"/>
  <c r="G11856" i="1"/>
  <c r="G11855" i="1"/>
  <c r="G11854" i="1"/>
  <c r="G11853" i="1"/>
  <c r="G11852" i="1"/>
  <c r="G11851" i="1"/>
  <c r="G11850" i="1"/>
  <c r="G11849" i="1"/>
  <c r="G11848" i="1"/>
  <c r="G11847" i="1"/>
  <c r="G11846" i="1"/>
  <c r="G11845" i="1"/>
  <c r="G11844" i="1"/>
  <c r="G11843" i="1"/>
  <c r="G11842" i="1"/>
  <c r="G11841" i="1"/>
  <c r="G11840" i="1"/>
  <c r="G11839" i="1"/>
  <c r="G11838" i="1"/>
  <c r="G11837" i="1"/>
  <c r="G11836" i="1"/>
  <c r="G11835" i="1"/>
  <c r="G11834" i="1"/>
  <c r="G11833" i="1"/>
  <c r="G11832" i="1"/>
  <c r="G11831" i="1"/>
  <c r="G11830" i="1"/>
  <c r="G11829" i="1"/>
  <c r="G11828" i="1"/>
  <c r="G11827" i="1"/>
  <c r="G11826" i="1"/>
  <c r="G11825" i="1"/>
  <c r="G11824" i="1"/>
  <c r="G11823" i="1"/>
  <c r="G11822" i="1"/>
  <c r="G11821" i="1"/>
  <c r="G11820" i="1"/>
  <c r="G11819" i="1"/>
  <c r="G11818" i="1"/>
  <c r="G11817" i="1"/>
  <c r="G11816" i="1"/>
  <c r="G11815" i="1"/>
  <c r="G11814" i="1"/>
  <c r="G11813" i="1"/>
  <c r="G11812" i="1"/>
  <c r="G11811" i="1"/>
  <c r="G11810" i="1"/>
  <c r="G11809" i="1"/>
  <c r="G11808" i="1"/>
  <c r="G11807" i="1"/>
  <c r="G11806" i="1"/>
  <c r="G11805" i="1"/>
  <c r="G11804" i="1"/>
  <c r="G11803" i="1"/>
  <c r="G11802" i="1"/>
  <c r="G11801" i="1"/>
  <c r="G11800" i="1"/>
  <c r="G11799" i="1"/>
  <c r="G11798" i="1"/>
  <c r="G11797" i="1"/>
  <c r="G11796" i="1"/>
  <c r="G11795" i="1"/>
  <c r="G11794" i="1"/>
  <c r="G11793" i="1"/>
  <c r="G11792" i="1"/>
  <c r="G11791" i="1"/>
  <c r="G11790" i="1"/>
  <c r="G11789" i="1"/>
  <c r="G11788" i="1"/>
  <c r="G11787" i="1"/>
  <c r="G11786" i="1"/>
  <c r="G11785" i="1"/>
  <c r="G11784" i="1"/>
  <c r="G11783" i="1"/>
  <c r="G11782" i="1"/>
  <c r="G11781" i="1"/>
  <c r="G11780" i="1"/>
  <c r="G11779" i="1"/>
  <c r="G11778" i="1"/>
  <c r="G11777" i="1"/>
  <c r="G11776" i="1"/>
  <c r="G11775" i="1"/>
  <c r="G11774" i="1"/>
  <c r="G11773" i="1"/>
  <c r="G11772" i="1"/>
  <c r="G11771" i="1"/>
  <c r="G11770" i="1"/>
  <c r="G11769" i="1"/>
  <c r="G11768" i="1"/>
  <c r="G11767" i="1"/>
  <c r="G11766" i="1"/>
  <c r="G11765" i="1"/>
  <c r="G11764" i="1"/>
  <c r="G11763" i="1"/>
  <c r="G11762" i="1"/>
  <c r="G11761" i="1"/>
  <c r="G11760" i="1"/>
  <c r="G11759" i="1"/>
  <c r="G11758" i="1"/>
  <c r="G11757" i="1"/>
  <c r="G11756" i="1"/>
  <c r="G11755" i="1"/>
  <c r="G11754" i="1"/>
  <c r="G11753" i="1"/>
  <c r="G11752" i="1"/>
  <c r="G11751" i="1"/>
  <c r="G11750" i="1"/>
  <c r="G11749" i="1"/>
  <c r="G11748" i="1"/>
  <c r="G11747" i="1"/>
  <c r="G11746" i="1"/>
  <c r="G11745" i="1"/>
  <c r="G11744" i="1"/>
  <c r="G11743" i="1"/>
  <c r="G11742" i="1"/>
  <c r="G11741" i="1"/>
  <c r="G11740" i="1"/>
  <c r="G11739" i="1"/>
  <c r="G11738" i="1"/>
  <c r="G11737" i="1"/>
  <c r="G11736" i="1"/>
  <c r="G11735" i="1"/>
  <c r="G11734" i="1"/>
  <c r="G11733" i="1"/>
  <c r="G11732" i="1"/>
  <c r="G11731" i="1"/>
  <c r="G11730" i="1"/>
  <c r="G11729" i="1"/>
  <c r="G11728" i="1"/>
  <c r="G11727" i="1"/>
  <c r="G11726" i="1"/>
  <c r="G11725" i="1"/>
  <c r="G11724" i="1"/>
  <c r="G11723" i="1"/>
  <c r="G11722" i="1"/>
  <c r="G11721" i="1"/>
  <c r="G11720" i="1"/>
  <c r="G11719" i="1"/>
  <c r="G11718" i="1"/>
  <c r="G11717" i="1"/>
  <c r="G11716" i="1"/>
  <c r="G11715" i="1"/>
  <c r="G11714" i="1"/>
  <c r="G11713" i="1"/>
  <c r="G11712" i="1"/>
  <c r="G11711" i="1"/>
  <c r="G11710" i="1"/>
  <c r="G11709" i="1"/>
  <c r="G11708" i="1"/>
  <c r="G11707" i="1"/>
  <c r="G11706" i="1"/>
  <c r="G11705" i="1"/>
  <c r="G11704" i="1"/>
  <c r="G11703" i="1"/>
  <c r="G11702" i="1"/>
  <c r="G11701" i="1"/>
  <c r="G11700" i="1"/>
  <c r="G11699" i="1"/>
  <c r="G11698" i="1"/>
  <c r="G11697" i="1"/>
  <c r="G11696" i="1"/>
  <c r="G11695" i="1"/>
  <c r="G11694" i="1"/>
  <c r="G11693" i="1"/>
  <c r="G11692" i="1"/>
  <c r="G11691" i="1"/>
  <c r="G11690" i="1"/>
  <c r="G11689" i="1"/>
  <c r="G11688" i="1"/>
  <c r="G11687" i="1"/>
  <c r="G11686" i="1"/>
  <c r="G11685" i="1"/>
  <c r="G11684" i="1"/>
  <c r="G11683" i="1"/>
  <c r="G11682" i="1"/>
  <c r="G11681" i="1"/>
  <c r="G11680" i="1"/>
  <c r="G11679" i="1"/>
  <c r="G11678" i="1"/>
  <c r="G11677" i="1"/>
  <c r="G11676" i="1"/>
  <c r="G11675" i="1"/>
  <c r="G11674" i="1"/>
  <c r="G11673" i="1"/>
  <c r="G11672" i="1"/>
  <c r="G11671" i="1"/>
  <c r="G11670" i="1"/>
  <c r="G11669" i="1"/>
  <c r="G11668" i="1"/>
  <c r="G11667" i="1"/>
  <c r="G11666" i="1"/>
  <c r="G11665" i="1"/>
  <c r="G11664" i="1"/>
  <c r="G11663" i="1"/>
  <c r="G11662" i="1"/>
  <c r="G11661" i="1"/>
  <c r="G11660" i="1"/>
  <c r="G11659" i="1"/>
  <c r="G11658" i="1"/>
  <c r="G11657" i="1"/>
  <c r="G11656" i="1"/>
  <c r="G11655" i="1"/>
  <c r="G11654" i="1"/>
  <c r="G11653" i="1"/>
  <c r="G11652" i="1"/>
  <c r="G11651" i="1"/>
  <c r="G11650" i="1"/>
  <c r="G11649" i="1"/>
  <c r="G11648" i="1"/>
  <c r="G11647" i="1"/>
  <c r="G11646" i="1"/>
  <c r="G11645" i="1"/>
  <c r="G11644" i="1"/>
  <c r="G11643" i="1"/>
  <c r="G11642" i="1"/>
  <c r="G11641" i="1"/>
  <c r="G11640" i="1"/>
  <c r="G11639" i="1"/>
  <c r="G11638" i="1"/>
  <c r="G11637" i="1"/>
  <c r="G11636" i="1"/>
  <c r="G11635" i="1"/>
  <c r="G11634" i="1"/>
  <c r="G11633" i="1"/>
  <c r="G11632" i="1"/>
  <c r="G11631" i="1"/>
  <c r="G11630" i="1"/>
  <c r="G11629" i="1"/>
  <c r="G11628" i="1"/>
  <c r="G11627" i="1"/>
  <c r="G11626" i="1"/>
  <c r="G11625" i="1"/>
  <c r="G11624" i="1"/>
  <c r="G11623" i="1"/>
  <c r="G11622" i="1"/>
  <c r="G11621" i="1"/>
  <c r="G11620" i="1"/>
  <c r="G11619" i="1"/>
  <c r="G11618" i="1"/>
  <c r="G11617" i="1"/>
  <c r="G11616" i="1"/>
  <c r="G11615" i="1"/>
  <c r="G11614" i="1"/>
  <c r="G11613" i="1"/>
  <c r="G11612" i="1"/>
  <c r="G11611" i="1"/>
  <c r="G11610" i="1"/>
  <c r="G11609" i="1"/>
  <c r="G11608" i="1"/>
  <c r="G11607" i="1"/>
  <c r="G11606" i="1"/>
  <c r="G11605" i="1"/>
  <c r="G11604" i="1"/>
  <c r="G11603" i="1"/>
  <c r="G11602" i="1"/>
  <c r="G11601" i="1"/>
  <c r="G11600" i="1"/>
  <c r="G11599" i="1"/>
  <c r="G11598" i="1"/>
  <c r="G11597" i="1"/>
  <c r="G11596" i="1"/>
  <c r="G11595" i="1"/>
  <c r="G11594" i="1"/>
  <c r="G11593" i="1"/>
  <c r="G11592" i="1"/>
  <c r="G11591" i="1"/>
  <c r="G11590" i="1"/>
  <c r="G11589" i="1"/>
  <c r="G11588" i="1"/>
  <c r="G11587" i="1"/>
  <c r="G11586" i="1"/>
  <c r="G11585" i="1"/>
  <c r="G11584" i="1"/>
  <c r="G11583" i="1"/>
  <c r="G11582" i="1"/>
  <c r="G11581" i="1"/>
  <c r="G11580" i="1"/>
  <c r="G11579" i="1"/>
  <c r="G11578" i="1"/>
  <c r="G11577" i="1"/>
  <c r="G11576" i="1"/>
  <c r="G11575" i="1"/>
  <c r="G11574" i="1"/>
  <c r="G11573" i="1"/>
  <c r="G11572" i="1"/>
  <c r="G11571" i="1"/>
  <c r="G11570" i="1"/>
  <c r="G11569" i="1"/>
  <c r="G11568" i="1"/>
  <c r="G11567" i="1"/>
  <c r="G11566" i="1"/>
  <c r="G11565" i="1"/>
  <c r="G11564" i="1"/>
  <c r="G11563" i="1"/>
  <c r="G11562" i="1"/>
  <c r="G11561" i="1"/>
  <c r="G11560" i="1"/>
  <c r="G11559" i="1"/>
  <c r="G11558" i="1"/>
  <c r="G11557" i="1"/>
  <c r="G11556" i="1"/>
  <c r="G11555" i="1"/>
  <c r="G11554" i="1"/>
  <c r="G11553" i="1"/>
  <c r="G11552" i="1"/>
  <c r="G11551" i="1"/>
  <c r="G11550" i="1"/>
  <c r="G11549" i="1"/>
  <c r="G11548" i="1"/>
  <c r="G11547" i="1"/>
  <c r="G11546" i="1"/>
  <c r="G11545" i="1"/>
  <c r="G11544" i="1"/>
  <c r="G11543" i="1"/>
  <c r="G11542" i="1"/>
  <c r="G11541" i="1"/>
  <c r="G11540" i="1"/>
  <c r="G11539" i="1"/>
  <c r="G11538" i="1"/>
  <c r="G11537" i="1"/>
  <c r="G11536" i="1"/>
  <c r="G11535" i="1"/>
  <c r="G11534" i="1"/>
  <c r="G11533" i="1"/>
  <c r="G11532" i="1"/>
  <c r="G11531" i="1"/>
  <c r="G11530" i="1"/>
  <c r="G11529" i="1"/>
  <c r="G11528" i="1"/>
  <c r="G11527" i="1"/>
  <c r="G11526" i="1"/>
  <c r="G11525" i="1"/>
  <c r="G11524" i="1"/>
  <c r="G11523" i="1"/>
  <c r="G11522" i="1"/>
  <c r="G11521" i="1"/>
  <c r="G11520" i="1"/>
  <c r="G11519" i="1"/>
  <c r="G11518" i="1"/>
  <c r="G11517" i="1"/>
  <c r="G11516" i="1"/>
  <c r="G11515" i="1"/>
  <c r="G11514" i="1"/>
  <c r="G11513" i="1"/>
  <c r="G11512" i="1"/>
  <c r="G11511" i="1"/>
  <c r="G11510" i="1"/>
  <c r="G11509" i="1"/>
  <c r="G11508" i="1"/>
  <c r="G11507" i="1"/>
  <c r="G11506" i="1"/>
  <c r="G11505" i="1"/>
  <c r="G11504" i="1"/>
  <c r="G11503" i="1"/>
  <c r="G11502" i="1"/>
  <c r="G11501" i="1"/>
  <c r="G11500" i="1"/>
  <c r="G11499" i="1"/>
  <c r="G11498" i="1"/>
  <c r="G11497" i="1"/>
  <c r="G11496" i="1"/>
  <c r="G11495" i="1"/>
  <c r="G11494" i="1"/>
  <c r="G11493" i="1"/>
  <c r="G11492" i="1"/>
  <c r="G11491" i="1"/>
  <c r="G11490" i="1"/>
  <c r="G11489" i="1"/>
  <c r="G11488" i="1"/>
  <c r="G11487" i="1"/>
  <c r="G11486" i="1"/>
  <c r="G11485" i="1"/>
  <c r="G11484" i="1"/>
  <c r="G11483" i="1"/>
  <c r="G11482" i="1"/>
  <c r="G11481" i="1"/>
  <c r="G11480" i="1"/>
  <c r="G11479" i="1"/>
  <c r="G11478" i="1"/>
  <c r="G11477" i="1"/>
  <c r="G11476" i="1"/>
  <c r="G11475" i="1"/>
  <c r="G11474" i="1"/>
  <c r="G11473" i="1"/>
  <c r="G11472" i="1"/>
  <c r="G11471" i="1"/>
  <c r="G11470" i="1"/>
  <c r="G11469" i="1"/>
  <c r="G11468" i="1"/>
  <c r="G11467" i="1"/>
  <c r="G11466" i="1"/>
  <c r="G11465" i="1"/>
  <c r="G11464" i="1"/>
  <c r="G11463" i="1"/>
  <c r="G11462" i="1"/>
  <c r="G11461" i="1"/>
  <c r="G11460" i="1"/>
  <c r="G11459" i="1"/>
  <c r="G11458" i="1"/>
  <c r="G11457" i="1"/>
  <c r="G11456" i="1"/>
  <c r="G11455" i="1"/>
  <c r="G11454" i="1"/>
  <c r="G11453" i="1"/>
  <c r="G11452" i="1"/>
  <c r="G11451" i="1"/>
  <c r="G11450" i="1"/>
  <c r="G11449" i="1"/>
  <c r="G11448" i="1"/>
  <c r="G11447" i="1"/>
  <c r="G11446" i="1"/>
  <c r="G11445" i="1"/>
  <c r="G11444" i="1"/>
  <c r="G11443" i="1"/>
  <c r="G11442" i="1"/>
  <c r="G11441" i="1"/>
  <c r="G11440" i="1"/>
  <c r="G11439" i="1"/>
  <c r="G11438" i="1"/>
  <c r="G11437" i="1"/>
  <c r="G11436" i="1"/>
  <c r="G11435" i="1"/>
  <c r="G11434" i="1"/>
  <c r="G11433" i="1"/>
  <c r="G11432" i="1"/>
  <c r="G11431" i="1"/>
  <c r="G11430" i="1"/>
  <c r="G11429" i="1"/>
  <c r="G11428" i="1"/>
  <c r="G11427" i="1"/>
  <c r="G11426" i="1"/>
  <c r="G11425" i="1"/>
  <c r="G11424" i="1"/>
  <c r="G11423" i="1"/>
  <c r="G11422" i="1"/>
  <c r="G11421" i="1"/>
  <c r="G11420" i="1"/>
  <c r="G11419" i="1"/>
  <c r="G11418" i="1"/>
  <c r="G11417" i="1"/>
  <c r="G11416" i="1"/>
  <c r="G11415" i="1"/>
  <c r="G11414" i="1"/>
  <c r="G11413" i="1"/>
  <c r="G11412" i="1"/>
  <c r="G11411" i="1"/>
  <c r="G11410" i="1"/>
  <c r="G11409" i="1"/>
  <c r="G11408" i="1"/>
  <c r="G11407" i="1"/>
  <c r="G11406" i="1"/>
  <c r="G11405" i="1"/>
  <c r="G11404" i="1"/>
  <c r="G11403" i="1"/>
  <c r="G11402" i="1"/>
  <c r="G11401" i="1"/>
  <c r="G11400" i="1"/>
  <c r="G11399" i="1"/>
  <c r="G11398" i="1"/>
  <c r="G11397" i="1"/>
  <c r="G11396" i="1"/>
  <c r="G11395" i="1"/>
  <c r="G11394" i="1"/>
  <c r="G11393" i="1"/>
  <c r="G11392" i="1"/>
  <c r="G11391" i="1"/>
  <c r="G11390" i="1"/>
  <c r="G11389" i="1"/>
  <c r="G11388" i="1"/>
  <c r="G11387" i="1"/>
  <c r="G11386" i="1"/>
  <c r="G11385" i="1"/>
  <c r="G11384" i="1"/>
  <c r="G11383" i="1"/>
  <c r="G11382" i="1"/>
  <c r="G11381" i="1"/>
  <c r="G11380" i="1"/>
  <c r="G11379" i="1"/>
  <c r="G11378" i="1"/>
  <c r="G11377" i="1"/>
  <c r="G11376" i="1"/>
  <c r="G11375" i="1"/>
  <c r="G11374" i="1"/>
  <c r="G11373" i="1"/>
  <c r="G11372" i="1"/>
  <c r="G11371" i="1"/>
  <c r="G11370" i="1"/>
  <c r="G11369" i="1"/>
  <c r="G11368" i="1"/>
  <c r="G11367" i="1"/>
  <c r="G11366" i="1"/>
  <c r="G11365" i="1"/>
  <c r="G11364" i="1"/>
  <c r="G11363" i="1"/>
  <c r="G11362" i="1"/>
  <c r="G11361" i="1"/>
  <c r="G11360" i="1"/>
  <c r="G11359" i="1"/>
  <c r="G11358" i="1"/>
  <c r="G11357" i="1"/>
  <c r="G11356" i="1"/>
  <c r="G11355" i="1"/>
  <c r="G11354" i="1"/>
  <c r="G11353" i="1"/>
  <c r="G11352" i="1"/>
  <c r="G11351" i="1"/>
  <c r="G11350" i="1"/>
  <c r="G11349" i="1"/>
  <c r="G11348" i="1"/>
  <c r="G11347" i="1"/>
  <c r="G11346" i="1"/>
  <c r="G11345" i="1"/>
  <c r="G11344" i="1"/>
  <c r="G11343" i="1"/>
  <c r="G11342" i="1"/>
  <c r="G11341" i="1"/>
  <c r="G11340" i="1"/>
  <c r="G11339" i="1"/>
  <c r="G11338" i="1"/>
  <c r="G11337" i="1"/>
  <c r="G11336" i="1"/>
  <c r="G11335" i="1"/>
  <c r="G11334" i="1"/>
  <c r="G11333" i="1"/>
  <c r="G11332" i="1"/>
  <c r="G11331" i="1"/>
  <c r="G11330" i="1"/>
  <c r="G11329" i="1"/>
  <c r="G11328" i="1"/>
  <c r="G11327" i="1"/>
  <c r="G11326" i="1"/>
  <c r="G11325" i="1"/>
  <c r="G11324" i="1"/>
  <c r="G11323" i="1"/>
  <c r="G11322" i="1"/>
  <c r="G11321" i="1"/>
  <c r="G11320" i="1"/>
  <c r="G11319" i="1"/>
  <c r="G11318" i="1"/>
  <c r="G11317" i="1"/>
  <c r="G11316" i="1"/>
  <c r="G11315" i="1"/>
  <c r="G11314" i="1"/>
  <c r="G11313" i="1"/>
  <c r="G11312" i="1"/>
  <c r="G11311" i="1"/>
  <c r="G11310" i="1"/>
  <c r="G11309" i="1"/>
  <c r="G11308" i="1"/>
  <c r="G11307" i="1"/>
  <c r="G11306" i="1"/>
  <c r="G11305" i="1"/>
  <c r="G11304" i="1"/>
  <c r="G11303" i="1"/>
  <c r="G11302" i="1"/>
  <c r="G11301" i="1"/>
  <c r="G11300" i="1"/>
  <c r="G11299" i="1"/>
  <c r="G11298" i="1"/>
  <c r="G11297" i="1"/>
  <c r="G11296" i="1"/>
  <c r="G11295" i="1"/>
  <c r="G11294" i="1"/>
  <c r="G11293" i="1"/>
  <c r="G11292" i="1"/>
  <c r="G11291" i="1"/>
  <c r="G11290" i="1"/>
  <c r="G11289" i="1"/>
  <c r="G11288" i="1"/>
  <c r="G11287" i="1"/>
  <c r="G11286" i="1"/>
  <c r="G11285" i="1"/>
  <c r="G11284" i="1"/>
  <c r="G11283" i="1"/>
  <c r="G11282" i="1"/>
  <c r="G11281" i="1"/>
  <c r="G11280" i="1"/>
  <c r="G11279" i="1"/>
  <c r="G11278" i="1"/>
  <c r="G11277" i="1"/>
  <c r="G11276" i="1"/>
  <c r="G11275" i="1"/>
  <c r="G11274" i="1"/>
  <c r="G11273" i="1"/>
  <c r="G11272" i="1"/>
  <c r="G11271" i="1"/>
  <c r="G11270" i="1"/>
  <c r="G11269" i="1"/>
  <c r="G11268" i="1"/>
  <c r="G11267" i="1"/>
  <c r="G11266" i="1"/>
  <c r="G11265" i="1"/>
  <c r="G11264" i="1"/>
  <c r="G11263" i="1"/>
  <c r="G11262" i="1"/>
  <c r="G11261" i="1"/>
  <c r="G11260" i="1"/>
  <c r="G11259" i="1"/>
  <c r="G11258" i="1"/>
  <c r="G11257" i="1"/>
  <c r="G11256" i="1"/>
  <c r="G11255" i="1"/>
  <c r="G11254" i="1"/>
  <c r="G11253" i="1"/>
  <c r="G11252" i="1"/>
  <c r="G11251" i="1"/>
  <c r="G11250" i="1"/>
  <c r="G11249" i="1"/>
  <c r="G11248" i="1"/>
  <c r="G11247" i="1"/>
  <c r="G11246" i="1"/>
  <c r="G11245" i="1"/>
  <c r="G11244" i="1"/>
  <c r="G11243" i="1"/>
  <c r="G11242" i="1"/>
  <c r="G11241" i="1"/>
  <c r="G11240" i="1"/>
  <c r="G11239" i="1"/>
  <c r="G11238" i="1"/>
  <c r="G11237" i="1"/>
  <c r="G11236" i="1"/>
  <c r="G11235" i="1"/>
  <c r="G11234" i="1"/>
  <c r="G11233" i="1"/>
  <c r="G11232" i="1"/>
  <c r="G11231" i="1"/>
  <c r="G11230" i="1"/>
  <c r="G11229" i="1"/>
  <c r="G11228" i="1"/>
  <c r="G11227" i="1"/>
  <c r="G11226" i="1"/>
  <c r="G11225" i="1"/>
  <c r="G11224" i="1"/>
  <c r="G11223" i="1"/>
  <c r="G11222" i="1"/>
  <c r="G11221" i="1"/>
  <c r="G11220" i="1"/>
  <c r="G11219" i="1"/>
  <c r="G11218" i="1"/>
  <c r="G11217" i="1"/>
  <c r="G11216" i="1"/>
  <c r="G11215" i="1"/>
  <c r="G11214" i="1"/>
  <c r="G11213" i="1"/>
  <c r="G11212" i="1"/>
  <c r="G11211" i="1"/>
  <c r="G11210" i="1"/>
  <c r="G11209" i="1"/>
  <c r="G11208" i="1"/>
  <c r="G11207" i="1"/>
  <c r="G11206" i="1"/>
  <c r="G11205" i="1"/>
  <c r="G11204" i="1"/>
  <c r="G11203" i="1"/>
  <c r="G11202" i="1"/>
  <c r="G11201" i="1"/>
  <c r="G11200" i="1"/>
  <c r="G11199" i="1"/>
  <c r="G11198" i="1"/>
  <c r="G11197" i="1"/>
  <c r="G11196" i="1"/>
  <c r="G11195" i="1"/>
  <c r="G11194" i="1"/>
  <c r="G11193" i="1"/>
  <c r="G11192" i="1"/>
  <c r="G11191" i="1"/>
  <c r="G11190" i="1"/>
  <c r="G11189" i="1"/>
  <c r="G11188" i="1"/>
  <c r="G11187" i="1"/>
  <c r="G11186" i="1"/>
  <c r="G11185" i="1"/>
  <c r="G11184" i="1"/>
  <c r="G11183" i="1"/>
  <c r="G11182" i="1"/>
  <c r="G11181" i="1"/>
  <c r="G11180" i="1"/>
  <c r="G11179" i="1"/>
  <c r="G11178" i="1"/>
  <c r="G11177" i="1"/>
  <c r="G11176" i="1"/>
  <c r="G11175" i="1"/>
  <c r="G11174" i="1"/>
  <c r="G11173" i="1"/>
  <c r="G11172" i="1"/>
  <c r="G11171" i="1"/>
  <c r="G11170" i="1"/>
  <c r="G11169" i="1"/>
  <c r="G11168" i="1"/>
  <c r="G11167" i="1"/>
  <c r="G11166" i="1"/>
  <c r="G11165" i="1"/>
  <c r="G11164" i="1"/>
  <c r="G11163" i="1"/>
  <c r="G11162" i="1"/>
  <c r="G11161" i="1"/>
  <c r="G11160" i="1"/>
  <c r="G11159" i="1"/>
  <c r="G11158" i="1"/>
  <c r="G11157" i="1"/>
  <c r="G11156" i="1"/>
  <c r="G11155" i="1"/>
  <c r="G11154" i="1"/>
  <c r="G11153" i="1"/>
  <c r="G11152" i="1"/>
  <c r="G11151" i="1"/>
  <c r="G11150" i="1"/>
  <c r="G11149" i="1"/>
  <c r="G11148" i="1"/>
  <c r="G11147" i="1"/>
  <c r="G11146" i="1"/>
  <c r="G11145" i="1"/>
  <c r="G11144" i="1"/>
  <c r="G11143" i="1"/>
  <c r="G11142" i="1"/>
  <c r="G11141" i="1"/>
  <c r="G11140" i="1"/>
  <c r="G11139" i="1"/>
  <c r="G11138" i="1"/>
  <c r="G11137" i="1"/>
  <c r="G11136" i="1"/>
  <c r="G11135" i="1"/>
  <c r="G11134" i="1"/>
  <c r="G11133" i="1"/>
  <c r="G11132" i="1"/>
  <c r="G11131" i="1"/>
  <c r="G11130" i="1"/>
  <c r="G11129" i="1"/>
  <c r="G11128" i="1"/>
  <c r="G11127" i="1"/>
  <c r="G11126" i="1"/>
  <c r="G11125" i="1"/>
  <c r="G11124" i="1"/>
  <c r="G11123" i="1"/>
  <c r="G11122" i="1"/>
  <c r="G11121" i="1"/>
  <c r="G11120" i="1"/>
  <c r="G11119" i="1"/>
  <c r="G11118" i="1"/>
  <c r="G11117" i="1"/>
  <c r="G11116" i="1"/>
  <c r="G11115" i="1"/>
  <c r="G11114" i="1"/>
  <c r="G11113" i="1"/>
  <c r="G11112" i="1"/>
  <c r="G11111" i="1"/>
  <c r="G11110" i="1"/>
  <c r="G11109" i="1"/>
  <c r="G11108" i="1"/>
  <c r="G11107" i="1"/>
  <c r="G11106" i="1"/>
  <c r="G11105" i="1"/>
  <c r="G11104" i="1"/>
  <c r="G11103" i="1"/>
  <c r="G11102" i="1"/>
  <c r="G11101" i="1"/>
  <c r="G11100" i="1"/>
  <c r="G11099" i="1"/>
  <c r="G11098" i="1"/>
  <c r="G11097" i="1"/>
  <c r="G11096" i="1"/>
  <c r="G11095" i="1"/>
  <c r="G11094" i="1"/>
  <c r="G11093" i="1"/>
  <c r="G11092" i="1"/>
  <c r="G11091" i="1"/>
  <c r="G11090" i="1"/>
  <c r="G11089" i="1"/>
  <c r="G11088" i="1"/>
  <c r="G11087" i="1"/>
  <c r="G11086" i="1"/>
  <c r="G11085" i="1"/>
  <c r="G11084" i="1"/>
  <c r="G11083" i="1"/>
  <c r="G11082" i="1"/>
  <c r="G11081" i="1"/>
  <c r="G11080" i="1"/>
  <c r="G11079" i="1"/>
  <c r="G11078" i="1"/>
  <c r="G11077" i="1"/>
  <c r="G11076" i="1"/>
  <c r="G11075" i="1"/>
  <c r="G11074" i="1"/>
  <c r="G11073" i="1"/>
  <c r="G11072" i="1"/>
  <c r="G11071" i="1"/>
  <c r="G11070" i="1"/>
  <c r="G11069" i="1"/>
  <c r="G11068" i="1"/>
  <c r="G11067" i="1"/>
  <c r="G11066" i="1"/>
  <c r="G11065" i="1"/>
  <c r="G11064" i="1"/>
  <c r="G11063" i="1"/>
  <c r="G11062" i="1"/>
  <c r="G11061" i="1"/>
  <c r="G11060" i="1"/>
  <c r="G11059" i="1"/>
  <c r="G11058" i="1"/>
  <c r="G11057" i="1"/>
  <c r="G11056" i="1"/>
  <c r="G11055" i="1"/>
  <c r="G11054" i="1"/>
  <c r="G11053" i="1"/>
  <c r="G11052" i="1"/>
  <c r="G11051" i="1"/>
  <c r="G11050" i="1"/>
  <c r="G11049" i="1"/>
  <c r="G11048" i="1"/>
  <c r="G11047" i="1"/>
  <c r="G11046" i="1"/>
  <c r="G11045" i="1"/>
  <c r="G11044" i="1"/>
  <c r="G11043" i="1"/>
  <c r="G11042" i="1"/>
  <c r="G11041" i="1"/>
  <c r="G11040" i="1"/>
  <c r="G11039" i="1"/>
  <c r="G11038" i="1"/>
  <c r="G11037" i="1"/>
  <c r="G11036" i="1"/>
  <c r="G11035" i="1"/>
  <c r="G11034" i="1"/>
  <c r="G11033" i="1"/>
  <c r="G11032" i="1"/>
  <c r="G11031" i="1"/>
  <c r="G11030" i="1"/>
  <c r="G11029" i="1"/>
  <c r="G11028" i="1"/>
  <c r="G11027" i="1"/>
  <c r="G11026" i="1"/>
  <c r="G11025" i="1"/>
  <c r="G11024" i="1"/>
  <c r="G11023" i="1"/>
  <c r="G11022" i="1"/>
  <c r="G11021" i="1"/>
  <c r="G11020" i="1"/>
  <c r="G11019" i="1"/>
  <c r="G11018" i="1"/>
  <c r="G11017" i="1"/>
  <c r="G11016" i="1"/>
  <c r="G11015" i="1"/>
  <c r="G11014" i="1"/>
  <c r="G11013" i="1"/>
  <c r="G11012" i="1"/>
  <c r="G11011" i="1"/>
  <c r="G11010" i="1"/>
  <c r="G11009" i="1"/>
  <c r="G11008" i="1"/>
  <c r="G11007" i="1"/>
  <c r="G11006" i="1"/>
  <c r="G11005" i="1"/>
  <c r="G11004" i="1"/>
  <c r="G11003" i="1"/>
  <c r="G11002" i="1"/>
  <c r="G11001" i="1"/>
  <c r="G11000" i="1"/>
  <c r="G10999" i="1"/>
  <c r="G10998" i="1"/>
  <c r="G10997" i="1"/>
  <c r="G10996" i="1"/>
  <c r="G10995" i="1"/>
  <c r="G10994" i="1"/>
  <c r="G10993" i="1"/>
  <c r="G10992" i="1"/>
  <c r="G10991" i="1"/>
  <c r="G10990" i="1"/>
  <c r="G10989" i="1"/>
  <c r="G10988" i="1"/>
  <c r="G10987" i="1"/>
  <c r="G10986" i="1"/>
  <c r="G10985" i="1"/>
  <c r="G10984" i="1"/>
  <c r="G10983" i="1"/>
  <c r="G10982" i="1"/>
  <c r="G10981" i="1"/>
  <c r="G10980" i="1"/>
  <c r="G10979" i="1"/>
  <c r="G10978" i="1"/>
  <c r="G10977" i="1"/>
  <c r="G10976" i="1"/>
  <c r="G10975" i="1"/>
  <c r="G10974" i="1"/>
  <c r="G10973" i="1"/>
  <c r="G10972" i="1"/>
  <c r="G10971" i="1"/>
  <c r="G10970" i="1"/>
  <c r="G10969" i="1"/>
  <c r="G10968" i="1"/>
  <c r="G10967" i="1"/>
  <c r="G10966" i="1"/>
  <c r="G10965" i="1"/>
  <c r="G10964" i="1"/>
  <c r="G10963" i="1"/>
  <c r="G10962" i="1"/>
  <c r="G10961" i="1"/>
  <c r="G10960" i="1"/>
  <c r="G10959" i="1"/>
  <c r="G10958" i="1"/>
  <c r="G10957" i="1"/>
  <c r="G10956" i="1"/>
  <c r="G10955" i="1"/>
  <c r="G10954" i="1"/>
  <c r="G10953" i="1"/>
  <c r="G10952" i="1"/>
  <c r="G10951" i="1"/>
  <c r="G10950" i="1"/>
  <c r="G10949" i="1"/>
  <c r="G10948" i="1"/>
  <c r="G10947" i="1"/>
  <c r="G10946" i="1"/>
  <c r="G10945" i="1"/>
  <c r="G10944" i="1"/>
  <c r="G10943" i="1"/>
  <c r="G10942" i="1"/>
  <c r="G10941" i="1"/>
  <c r="G10940" i="1"/>
  <c r="G10939" i="1"/>
  <c r="G10938" i="1"/>
  <c r="G10937" i="1"/>
  <c r="G10936" i="1"/>
  <c r="G10935" i="1"/>
  <c r="G10934" i="1"/>
  <c r="G10933" i="1"/>
  <c r="G10932" i="1"/>
  <c r="G10931" i="1"/>
  <c r="G10930" i="1"/>
  <c r="G10929" i="1"/>
  <c r="G10928" i="1"/>
  <c r="G10927" i="1"/>
  <c r="G10926" i="1"/>
  <c r="G10925" i="1"/>
  <c r="G10924" i="1"/>
  <c r="G10923" i="1"/>
  <c r="G10922" i="1"/>
  <c r="G10921" i="1"/>
  <c r="G10920" i="1"/>
  <c r="G10919" i="1"/>
  <c r="G10918" i="1"/>
  <c r="G10917" i="1"/>
  <c r="G10916" i="1"/>
  <c r="G10915" i="1"/>
  <c r="G10914" i="1"/>
  <c r="G10913" i="1"/>
  <c r="G10912" i="1"/>
  <c r="G10911" i="1"/>
  <c r="G10910" i="1"/>
  <c r="G10909" i="1"/>
  <c r="G10908" i="1"/>
  <c r="G10907" i="1"/>
  <c r="G10906" i="1"/>
  <c r="G10905" i="1"/>
  <c r="G10904" i="1"/>
  <c r="G10903" i="1"/>
  <c r="G10902" i="1"/>
  <c r="G10901" i="1"/>
  <c r="G10900" i="1"/>
  <c r="G10899" i="1"/>
  <c r="G10898" i="1"/>
  <c r="G10897" i="1"/>
  <c r="G10896" i="1"/>
  <c r="G10895" i="1"/>
  <c r="G10894" i="1"/>
  <c r="G10893" i="1"/>
  <c r="G10892" i="1"/>
  <c r="G10891" i="1"/>
  <c r="G10890" i="1"/>
  <c r="G10889" i="1"/>
  <c r="G10888" i="1"/>
  <c r="G10887" i="1"/>
  <c r="G10886" i="1"/>
  <c r="G10885" i="1"/>
  <c r="G10884" i="1"/>
  <c r="G10883" i="1"/>
  <c r="G10882" i="1"/>
  <c r="G10881" i="1"/>
  <c r="G10880" i="1"/>
  <c r="G10879" i="1"/>
  <c r="G10878" i="1"/>
  <c r="G10877" i="1"/>
  <c r="G10876" i="1"/>
  <c r="G10875" i="1"/>
  <c r="G10874" i="1"/>
  <c r="G10873" i="1"/>
  <c r="G10872" i="1"/>
  <c r="G10871" i="1"/>
  <c r="G10870" i="1"/>
  <c r="G10869" i="1"/>
  <c r="G10868" i="1"/>
  <c r="G10867" i="1"/>
  <c r="G10866" i="1"/>
  <c r="G10865" i="1"/>
  <c r="G10864" i="1"/>
  <c r="G10863" i="1"/>
  <c r="G10862" i="1"/>
  <c r="G10861" i="1"/>
  <c r="G10860" i="1"/>
  <c r="G10859" i="1"/>
  <c r="G10858" i="1"/>
  <c r="G10857" i="1"/>
  <c r="G10856" i="1"/>
  <c r="G10855" i="1"/>
  <c r="G10854" i="1"/>
  <c r="G10853" i="1"/>
  <c r="G10852" i="1"/>
  <c r="G10851" i="1"/>
  <c r="G10850" i="1"/>
  <c r="G10849" i="1"/>
  <c r="G10848" i="1"/>
  <c r="G10847" i="1"/>
  <c r="G10846" i="1"/>
  <c r="G10845" i="1"/>
  <c r="G10844" i="1"/>
  <c r="G10843" i="1"/>
  <c r="G10842" i="1"/>
  <c r="G10841" i="1"/>
  <c r="G10840" i="1"/>
  <c r="G10839" i="1"/>
  <c r="G10838" i="1"/>
  <c r="G10837" i="1"/>
  <c r="G10836" i="1"/>
  <c r="G10835" i="1"/>
  <c r="G10834" i="1"/>
  <c r="G10833" i="1"/>
  <c r="G10832" i="1"/>
  <c r="G10831" i="1"/>
  <c r="G10830" i="1"/>
  <c r="G10829" i="1"/>
  <c r="G10828" i="1"/>
  <c r="G10827" i="1"/>
  <c r="G10826" i="1"/>
  <c r="G10825" i="1"/>
  <c r="G10824" i="1"/>
  <c r="G10823" i="1"/>
  <c r="G10822" i="1"/>
  <c r="G10821" i="1"/>
  <c r="G10820" i="1"/>
  <c r="G10819" i="1"/>
  <c r="G10818" i="1"/>
  <c r="G10817" i="1"/>
  <c r="G10816" i="1"/>
  <c r="G10815" i="1"/>
  <c r="G10814" i="1"/>
  <c r="G10813" i="1"/>
  <c r="G10812" i="1"/>
  <c r="G10811" i="1"/>
  <c r="G10810" i="1"/>
  <c r="G10809" i="1"/>
  <c r="G10808" i="1"/>
  <c r="G10807" i="1"/>
  <c r="G10806" i="1"/>
  <c r="G10805" i="1"/>
  <c r="G10804" i="1"/>
  <c r="G10803" i="1"/>
  <c r="G10802" i="1"/>
  <c r="G10801" i="1"/>
  <c r="G10800" i="1"/>
  <c r="G10799" i="1"/>
  <c r="G10798" i="1"/>
  <c r="G10797" i="1"/>
  <c r="G10796" i="1"/>
  <c r="G10795" i="1"/>
  <c r="G10794" i="1"/>
  <c r="G10793" i="1"/>
  <c r="G10792" i="1"/>
  <c r="G10791" i="1"/>
  <c r="G10790" i="1"/>
  <c r="G10789" i="1"/>
  <c r="G10788" i="1"/>
  <c r="G10787" i="1"/>
  <c r="G10786" i="1"/>
  <c r="G10785" i="1"/>
  <c r="G10784" i="1"/>
  <c r="G10783" i="1"/>
  <c r="G10782" i="1"/>
  <c r="G10781" i="1"/>
  <c r="G10780" i="1"/>
  <c r="G10779" i="1"/>
  <c r="G10778" i="1"/>
  <c r="G10777" i="1"/>
  <c r="G10776" i="1"/>
  <c r="G10775" i="1"/>
  <c r="G10774" i="1"/>
  <c r="G10773" i="1"/>
  <c r="G10772" i="1"/>
  <c r="G10771" i="1"/>
  <c r="G10770" i="1"/>
  <c r="G10769" i="1"/>
  <c r="G10768" i="1"/>
  <c r="G10767" i="1"/>
  <c r="G10766" i="1"/>
  <c r="G10765" i="1"/>
  <c r="G10764" i="1"/>
  <c r="G10763" i="1"/>
  <c r="G10762" i="1"/>
  <c r="G10761" i="1"/>
  <c r="G10760" i="1"/>
  <c r="G10759" i="1"/>
  <c r="G10758" i="1"/>
  <c r="G10757" i="1"/>
  <c r="G10756" i="1"/>
  <c r="G10755" i="1"/>
  <c r="G10754" i="1"/>
  <c r="G10753" i="1"/>
  <c r="G10752" i="1"/>
  <c r="G10751" i="1"/>
  <c r="G10750" i="1"/>
  <c r="G10749" i="1"/>
  <c r="G10748" i="1"/>
  <c r="G10747" i="1"/>
  <c r="G10746" i="1"/>
  <c r="G10745" i="1"/>
  <c r="G10744" i="1"/>
  <c r="G10743" i="1"/>
  <c r="G10742" i="1"/>
  <c r="G10741" i="1"/>
  <c r="G10740" i="1"/>
  <c r="G10739" i="1"/>
  <c r="G10738" i="1"/>
  <c r="G10737" i="1"/>
  <c r="G10736" i="1"/>
  <c r="G10735" i="1"/>
  <c r="G10734" i="1"/>
  <c r="G10733" i="1"/>
  <c r="G10732" i="1"/>
  <c r="G10731" i="1"/>
  <c r="G10730" i="1"/>
  <c r="G10729" i="1"/>
  <c r="G10728" i="1"/>
  <c r="G10727" i="1"/>
  <c r="G10726" i="1"/>
  <c r="G10725" i="1"/>
  <c r="G10724" i="1"/>
  <c r="G10723" i="1"/>
  <c r="G10722" i="1"/>
  <c r="G10721" i="1"/>
  <c r="G10720" i="1"/>
  <c r="G10719" i="1"/>
  <c r="G10718" i="1"/>
  <c r="G10717" i="1"/>
  <c r="G10716" i="1"/>
  <c r="G10715" i="1"/>
  <c r="G10714" i="1"/>
  <c r="G10713" i="1"/>
  <c r="G10712" i="1"/>
  <c r="G10711" i="1"/>
  <c r="G10710" i="1"/>
  <c r="G10709" i="1"/>
  <c r="G10708" i="1"/>
  <c r="G10707" i="1"/>
  <c r="G10706" i="1"/>
  <c r="G10705" i="1"/>
  <c r="G10704" i="1"/>
  <c r="G10703" i="1"/>
  <c r="G10702" i="1"/>
  <c r="G10701" i="1"/>
  <c r="G10700" i="1"/>
  <c r="G10699" i="1"/>
  <c r="G10698" i="1"/>
  <c r="G10697" i="1"/>
  <c r="G10696" i="1"/>
  <c r="G10695" i="1"/>
  <c r="G10694" i="1"/>
  <c r="G10693" i="1"/>
  <c r="G10692" i="1"/>
  <c r="G10691" i="1"/>
  <c r="G10690" i="1"/>
  <c r="G10689" i="1"/>
  <c r="G10688" i="1"/>
  <c r="G10687" i="1"/>
  <c r="G10686" i="1"/>
  <c r="G10685" i="1"/>
  <c r="G10684" i="1"/>
  <c r="G10683" i="1"/>
  <c r="G10682" i="1"/>
  <c r="G10681" i="1"/>
  <c r="G10680" i="1"/>
  <c r="G10679" i="1"/>
  <c r="G10678" i="1"/>
  <c r="G10677" i="1"/>
  <c r="G10676" i="1"/>
  <c r="G10675" i="1"/>
  <c r="G10674" i="1"/>
  <c r="G10673" i="1"/>
  <c r="G10672" i="1"/>
  <c r="G10671" i="1"/>
  <c r="G10670" i="1"/>
  <c r="G10669" i="1"/>
  <c r="G10668" i="1"/>
  <c r="G10667" i="1"/>
  <c r="G10666" i="1"/>
  <c r="G10665" i="1"/>
  <c r="G10664" i="1"/>
  <c r="G10663" i="1"/>
  <c r="G10662" i="1"/>
  <c r="G10661" i="1"/>
  <c r="G10660" i="1"/>
  <c r="G10659" i="1"/>
  <c r="G10658" i="1"/>
  <c r="G10657" i="1"/>
  <c r="G10656" i="1"/>
  <c r="G10655" i="1"/>
  <c r="G10654" i="1"/>
  <c r="G10653" i="1"/>
  <c r="G10652" i="1"/>
  <c r="G10651" i="1"/>
  <c r="G10650" i="1"/>
  <c r="G10649" i="1"/>
  <c r="G10648" i="1"/>
  <c r="G10647" i="1"/>
  <c r="G10646" i="1"/>
  <c r="G10645" i="1"/>
  <c r="G10644" i="1"/>
  <c r="G10643" i="1"/>
  <c r="G10642" i="1"/>
  <c r="G10641" i="1"/>
  <c r="G10640" i="1"/>
  <c r="G10639" i="1"/>
  <c r="G10638" i="1"/>
  <c r="G10637" i="1"/>
  <c r="G10636" i="1"/>
  <c r="G10635" i="1"/>
  <c r="G10634" i="1"/>
  <c r="G10633" i="1"/>
  <c r="G10632" i="1"/>
  <c r="G10631" i="1"/>
  <c r="G10630" i="1"/>
  <c r="G10629" i="1"/>
  <c r="G10628" i="1"/>
  <c r="G10627" i="1"/>
  <c r="G10626" i="1"/>
  <c r="G10625" i="1"/>
  <c r="G10624" i="1"/>
  <c r="G10623" i="1"/>
  <c r="G10622" i="1"/>
  <c r="G10621" i="1"/>
  <c r="G10620" i="1"/>
  <c r="G10619" i="1"/>
  <c r="G10618" i="1"/>
  <c r="G10617" i="1"/>
  <c r="G10616" i="1"/>
  <c r="G10615" i="1"/>
  <c r="G10614" i="1"/>
  <c r="G10613" i="1"/>
  <c r="G10612" i="1"/>
  <c r="G10611" i="1"/>
  <c r="G10610" i="1"/>
  <c r="G10609" i="1"/>
  <c r="G10608" i="1"/>
  <c r="G10607" i="1"/>
  <c r="G10606" i="1"/>
  <c r="G10605" i="1"/>
  <c r="G10604" i="1"/>
  <c r="G10603" i="1"/>
  <c r="G10602" i="1"/>
  <c r="G10601" i="1"/>
  <c r="G10600" i="1"/>
  <c r="G10599" i="1"/>
  <c r="G10598" i="1"/>
  <c r="G10597" i="1"/>
  <c r="G10596" i="1"/>
  <c r="G10595" i="1"/>
  <c r="G10594" i="1"/>
  <c r="G10593" i="1"/>
  <c r="G10592" i="1"/>
  <c r="G10591" i="1"/>
  <c r="G10590" i="1"/>
  <c r="G10589" i="1"/>
  <c r="G10588" i="1"/>
  <c r="G10587" i="1"/>
  <c r="G10586" i="1"/>
  <c r="G10585" i="1"/>
  <c r="G10584" i="1"/>
  <c r="G10583" i="1"/>
  <c r="G10582" i="1"/>
  <c r="G10581" i="1"/>
  <c r="G10580" i="1"/>
  <c r="G10579" i="1"/>
  <c r="G10578" i="1"/>
  <c r="G10577" i="1"/>
  <c r="G10576" i="1"/>
  <c r="G10575" i="1"/>
  <c r="G10574" i="1"/>
  <c r="G10573" i="1"/>
  <c r="G10572" i="1"/>
  <c r="G10571" i="1"/>
  <c r="G10570" i="1"/>
  <c r="G10569" i="1"/>
  <c r="G10568" i="1"/>
  <c r="G10567" i="1"/>
  <c r="G10566" i="1"/>
  <c r="G10565" i="1"/>
  <c r="G10564" i="1"/>
  <c r="G10563" i="1"/>
  <c r="G10562" i="1"/>
  <c r="G10561" i="1"/>
  <c r="G10560" i="1"/>
  <c r="G10559" i="1"/>
  <c r="G10558" i="1"/>
  <c r="G10557" i="1"/>
  <c r="G10556" i="1"/>
  <c r="G10555" i="1"/>
  <c r="G10554" i="1"/>
  <c r="G10553" i="1"/>
  <c r="G10552" i="1"/>
  <c r="G10551" i="1"/>
  <c r="G10550" i="1"/>
  <c r="G10549" i="1"/>
  <c r="G10548" i="1"/>
  <c r="G10547" i="1"/>
  <c r="G10546" i="1"/>
  <c r="G10545" i="1"/>
  <c r="G10544" i="1"/>
  <c r="G10543" i="1"/>
  <c r="G10542" i="1"/>
  <c r="G10541" i="1"/>
  <c r="G10540" i="1"/>
  <c r="G10539" i="1"/>
  <c r="G10538" i="1"/>
  <c r="G10537" i="1"/>
  <c r="G10536" i="1"/>
  <c r="G10535" i="1"/>
  <c r="G10534" i="1"/>
  <c r="G10533" i="1"/>
  <c r="G10532" i="1"/>
  <c r="G10531" i="1"/>
  <c r="G10530" i="1"/>
  <c r="G10529" i="1"/>
  <c r="G10528" i="1"/>
  <c r="G10527" i="1"/>
  <c r="G10526" i="1"/>
  <c r="G10525" i="1"/>
  <c r="G10524" i="1"/>
  <c r="G10523" i="1"/>
  <c r="G10522" i="1"/>
  <c r="G10521" i="1"/>
  <c r="G10520" i="1"/>
  <c r="G10519" i="1"/>
  <c r="G10518" i="1"/>
  <c r="G10517" i="1"/>
  <c r="G10516" i="1"/>
  <c r="G10515" i="1"/>
  <c r="G10514" i="1"/>
  <c r="G10513" i="1"/>
  <c r="G10512" i="1"/>
  <c r="G10511" i="1"/>
  <c r="G10510" i="1"/>
  <c r="G10509" i="1"/>
  <c r="G10508" i="1"/>
  <c r="G10507" i="1"/>
  <c r="G10506" i="1"/>
  <c r="G10505" i="1"/>
  <c r="G10504" i="1"/>
  <c r="G10503" i="1"/>
  <c r="G10502" i="1"/>
  <c r="G10501" i="1"/>
  <c r="G10500" i="1"/>
  <c r="G10499" i="1"/>
  <c r="G10498" i="1"/>
  <c r="G10497" i="1"/>
  <c r="G10496" i="1"/>
  <c r="G10495" i="1"/>
  <c r="G10494" i="1"/>
  <c r="G10493" i="1"/>
  <c r="G10492" i="1"/>
  <c r="G10491" i="1"/>
  <c r="G10490" i="1"/>
  <c r="G10489" i="1"/>
  <c r="G10488" i="1"/>
  <c r="G10487" i="1"/>
  <c r="G10486" i="1"/>
  <c r="G10485" i="1"/>
  <c r="G10484" i="1"/>
  <c r="G10483" i="1"/>
  <c r="G10482" i="1"/>
  <c r="G10481" i="1"/>
  <c r="G10480" i="1"/>
  <c r="G10479" i="1"/>
  <c r="G10478" i="1"/>
  <c r="G10477" i="1"/>
  <c r="G10476" i="1"/>
  <c r="G10475" i="1"/>
  <c r="G10474" i="1"/>
  <c r="G10473" i="1"/>
  <c r="G10472" i="1"/>
  <c r="G10471" i="1"/>
  <c r="G10470" i="1"/>
  <c r="G10469" i="1"/>
  <c r="G10468" i="1"/>
  <c r="G10467" i="1"/>
  <c r="G10466" i="1"/>
  <c r="G10465" i="1"/>
  <c r="G10464" i="1"/>
  <c r="G10463" i="1"/>
  <c r="G10462" i="1"/>
  <c r="G10461" i="1"/>
  <c r="G10460" i="1"/>
  <c r="G10459" i="1"/>
  <c r="G10458" i="1"/>
  <c r="G10457" i="1"/>
  <c r="G10456" i="1"/>
  <c r="G10455" i="1"/>
  <c r="G10454" i="1"/>
  <c r="G10453" i="1"/>
  <c r="G10452" i="1"/>
  <c r="G10451" i="1"/>
  <c r="G10450" i="1"/>
  <c r="G10449" i="1"/>
  <c r="G10448" i="1"/>
  <c r="G10447" i="1"/>
  <c r="G10446" i="1"/>
  <c r="G10445" i="1"/>
  <c r="G10444" i="1"/>
  <c r="G10443" i="1"/>
  <c r="G10442" i="1"/>
  <c r="G10441" i="1"/>
  <c r="G10440" i="1"/>
  <c r="G10439" i="1"/>
  <c r="G10438" i="1"/>
  <c r="G10437" i="1"/>
  <c r="G10436" i="1"/>
  <c r="G10435" i="1"/>
  <c r="G10434" i="1"/>
  <c r="G10433" i="1"/>
  <c r="G10432" i="1"/>
  <c r="G10431" i="1"/>
  <c r="G10430" i="1"/>
  <c r="G10429" i="1"/>
  <c r="G10428" i="1"/>
  <c r="G10427" i="1"/>
  <c r="G10426" i="1"/>
  <c r="G10425" i="1"/>
  <c r="G10424" i="1"/>
  <c r="G10423" i="1"/>
  <c r="G10422" i="1"/>
  <c r="G10421" i="1"/>
  <c r="G10420" i="1"/>
  <c r="G10419" i="1"/>
  <c r="G10418" i="1"/>
  <c r="G10417" i="1"/>
  <c r="G10416" i="1"/>
  <c r="G10415" i="1"/>
  <c r="G10414" i="1"/>
  <c r="G10413" i="1"/>
  <c r="G10412" i="1"/>
  <c r="G10411" i="1"/>
  <c r="G10410" i="1"/>
  <c r="G10409" i="1"/>
  <c r="G10408" i="1"/>
  <c r="G10407" i="1"/>
  <c r="G10406" i="1"/>
  <c r="G10405" i="1"/>
  <c r="G10404" i="1"/>
  <c r="G10403" i="1"/>
  <c r="G10402" i="1"/>
  <c r="G10401" i="1"/>
  <c r="G10400" i="1"/>
  <c r="G10399" i="1"/>
  <c r="G10398" i="1"/>
  <c r="G10397" i="1"/>
  <c r="G10396" i="1"/>
  <c r="G10395" i="1"/>
  <c r="G10394" i="1"/>
  <c r="G10393" i="1"/>
  <c r="G10392" i="1"/>
  <c r="G10391" i="1"/>
  <c r="G10390" i="1"/>
  <c r="G10389" i="1"/>
  <c r="G10388" i="1"/>
  <c r="G10387" i="1"/>
  <c r="G10386" i="1"/>
  <c r="G10385" i="1"/>
  <c r="G10384" i="1"/>
  <c r="G10383" i="1"/>
  <c r="G10382" i="1"/>
  <c r="G10381" i="1"/>
  <c r="G10380" i="1"/>
  <c r="G10379" i="1"/>
  <c r="G10378" i="1"/>
  <c r="G10377" i="1"/>
  <c r="G10376" i="1"/>
  <c r="G10375" i="1"/>
  <c r="G10374" i="1"/>
  <c r="G10373" i="1"/>
  <c r="G10372" i="1"/>
  <c r="G10371" i="1"/>
  <c r="G10370" i="1"/>
  <c r="G10369" i="1"/>
  <c r="G10368" i="1"/>
  <c r="G10367" i="1"/>
  <c r="G10366" i="1"/>
  <c r="G10365" i="1"/>
  <c r="G10364" i="1"/>
  <c r="G10363" i="1"/>
  <c r="G10362" i="1"/>
  <c r="G10361" i="1"/>
  <c r="G10360" i="1"/>
  <c r="G10359" i="1"/>
  <c r="G10358" i="1"/>
  <c r="G10357" i="1"/>
  <c r="G10356" i="1"/>
  <c r="G10355" i="1"/>
  <c r="G10354" i="1"/>
  <c r="G10353" i="1"/>
  <c r="G10352" i="1"/>
  <c r="G10351" i="1"/>
  <c r="G10350" i="1"/>
  <c r="G10349" i="1"/>
  <c r="G10348" i="1"/>
  <c r="G10347" i="1"/>
  <c r="G10346" i="1"/>
  <c r="G10345" i="1"/>
  <c r="G10344" i="1"/>
  <c r="G10343" i="1"/>
  <c r="G10342" i="1"/>
  <c r="G10341" i="1"/>
  <c r="G10340" i="1"/>
  <c r="G10339" i="1"/>
  <c r="G10338" i="1"/>
  <c r="G10337" i="1"/>
  <c r="G10336" i="1"/>
  <c r="G10335" i="1"/>
  <c r="G10334" i="1"/>
  <c r="G10333" i="1"/>
  <c r="G10332" i="1"/>
  <c r="G10331" i="1"/>
  <c r="G10330" i="1"/>
  <c r="G10329" i="1"/>
  <c r="G10328" i="1"/>
  <c r="G10327" i="1"/>
  <c r="G10326" i="1"/>
  <c r="G10325" i="1"/>
  <c r="G10324" i="1"/>
  <c r="G10323" i="1"/>
  <c r="G10322" i="1"/>
  <c r="G10321" i="1"/>
  <c r="G10320" i="1"/>
  <c r="G10319" i="1"/>
  <c r="G10318" i="1"/>
  <c r="G10317" i="1"/>
  <c r="G10316" i="1"/>
  <c r="G10315" i="1"/>
  <c r="G10314" i="1"/>
  <c r="G10313" i="1"/>
  <c r="G10312" i="1"/>
  <c r="G10311" i="1"/>
  <c r="G10310" i="1"/>
  <c r="G10309" i="1"/>
  <c r="G10308" i="1"/>
  <c r="G10307" i="1"/>
  <c r="G10306" i="1"/>
  <c r="G10305" i="1"/>
  <c r="G10304" i="1"/>
  <c r="G10303" i="1"/>
  <c r="G10302" i="1"/>
  <c r="G10301" i="1"/>
  <c r="G10300" i="1"/>
  <c r="G10299" i="1"/>
  <c r="G10298" i="1"/>
  <c r="G10297" i="1"/>
  <c r="G10296" i="1"/>
  <c r="G10295" i="1"/>
  <c r="G10294" i="1"/>
  <c r="G10293" i="1"/>
  <c r="G10292" i="1"/>
  <c r="G10291" i="1"/>
  <c r="G10290" i="1"/>
  <c r="G10289" i="1"/>
  <c r="G10288" i="1"/>
  <c r="G10287" i="1"/>
  <c r="G10286" i="1"/>
  <c r="G10285" i="1"/>
  <c r="G10284" i="1"/>
  <c r="G10283" i="1"/>
  <c r="G10282" i="1"/>
  <c r="G10281" i="1"/>
  <c r="G10280" i="1"/>
  <c r="G10279" i="1"/>
  <c r="G10278" i="1"/>
  <c r="G10277" i="1"/>
  <c r="G10276" i="1"/>
  <c r="G10275" i="1"/>
  <c r="G10274" i="1"/>
  <c r="G10273" i="1"/>
  <c r="G10272" i="1"/>
  <c r="G10271" i="1"/>
  <c r="G10270" i="1"/>
  <c r="G10269" i="1"/>
  <c r="G10268" i="1"/>
  <c r="G10267" i="1"/>
  <c r="G10266" i="1"/>
  <c r="G10265" i="1"/>
  <c r="G10264" i="1"/>
  <c r="G10263" i="1"/>
  <c r="G10262" i="1"/>
  <c r="G10261" i="1"/>
  <c r="G10260" i="1"/>
  <c r="G10259" i="1"/>
  <c r="G10258" i="1"/>
  <c r="G10257" i="1"/>
  <c r="G10256" i="1"/>
  <c r="G10255" i="1"/>
  <c r="G10254" i="1"/>
  <c r="G10253" i="1"/>
  <c r="G10252" i="1"/>
  <c r="G10251" i="1"/>
  <c r="G10250" i="1"/>
  <c r="G10249" i="1"/>
  <c r="G10248" i="1"/>
  <c r="G10247" i="1"/>
  <c r="G10246" i="1"/>
  <c r="G10245" i="1"/>
  <c r="G10244" i="1"/>
  <c r="G10243" i="1"/>
  <c r="G10242" i="1"/>
  <c r="G10241" i="1"/>
  <c r="G10240" i="1"/>
  <c r="G10239" i="1"/>
  <c r="G10238" i="1"/>
  <c r="G10237" i="1"/>
  <c r="G10236" i="1"/>
  <c r="G10235" i="1"/>
  <c r="G10234" i="1"/>
  <c r="G10233" i="1"/>
  <c r="G10232" i="1"/>
  <c r="G10231" i="1"/>
  <c r="G10230" i="1"/>
  <c r="G10229" i="1"/>
  <c r="G10228" i="1"/>
  <c r="G10227" i="1"/>
  <c r="G10226" i="1"/>
  <c r="G10225" i="1"/>
  <c r="G10224" i="1"/>
  <c r="G10223" i="1"/>
  <c r="G10222" i="1"/>
  <c r="G10221" i="1"/>
  <c r="G10220" i="1"/>
  <c r="G10219" i="1"/>
  <c r="G10218" i="1"/>
  <c r="G10217" i="1"/>
  <c r="G10216" i="1"/>
  <c r="G10215" i="1"/>
  <c r="G10214" i="1"/>
  <c r="G10213" i="1"/>
  <c r="G10212" i="1"/>
  <c r="G10211" i="1"/>
  <c r="G10210" i="1"/>
  <c r="G10209" i="1"/>
  <c r="G10208" i="1"/>
  <c r="G10207" i="1"/>
  <c r="G10206" i="1"/>
  <c r="G10205" i="1"/>
  <c r="G10204" i="1"/>
  <c r="G10203" i="1"/>
  <c r="G10202" i="1"/>
  <c r="G10201" i="1"/>
  <c r="G10200" i="1"/>
  <c r="G10199" i="1"/>
  <c r="G10198" i="1"/>
  <c r="G10197" i="1"/>
  <c r="G10196" i="1"/>
  <c r="G10195" i="1"/>
  <c r="G10194" i="1"/>
  <c r="G10193" i="1"/>
  <c r="G10192" i="1"/>
  <c r="G10191" i="1"/>
  <c r="G10190" i="1"/>
  <c r="G10189" i="1"/>
  <c r="G10188" i="1"/>
  <c r="G10187" i="1"/>
  <c r="G10186" i="1"/>
  <c r="G10185" i="1"/>
  <c r="G10184" i="1"/>
  <c r="G10183" i="1"/>
  <c r="G10182" i="1"/>
  <c r="G10181" i="1"/>
  <c r="G10180" i="1"/>
  <c r="G10179" i="1"/>
  <c r="G10178" i="1"/>
  <c r="G10177" i="1"/>
  <c r="G10176" i="1"/>
  <c r="G10175" i="1"/>
  <c r="G10174" i="1"/>
  <c r="G10173" i="1"/>
  <c r="G10172" i="1"/>
  <c r="G10171" i="1"/>
  <c r="G10170" i="1"/>
  <c r="G10169" i="1"/>
  <c r="G10168" i="1"/>
  <c r="G10167" i="1"/>
  <c r="G10166" i="1"/>
  <c r="G10165" i="1"/>
  <c r="G10164" i="1"/>
  <c r="G10163" i="1"/>
  <c r="G10162" i="1"/>
  <c r="G10161" i="1"/>
  <c r="G10160" i="1"/>
  <c r="G10159" i="1"/>
  <c r="G10158" i="1"/>
  <c r="G10157" i="1"/>
  <c r="G10156" i="1"/>
  <c r="G10155" i="1"/>
  <c r="G10154" i="1"/>
  <c r="G10153" i="1"/>
  <c r="G10152" i="1"/>
  <c r="G10151" i="1"/>
  <c r="G10150" i="1"/>
  <c r="G10149" i="1"/>
  <c r="G10148" i="1"/>
  <c r="G10147" i="1"/>
  <c r="G10146" i="1"/>
  <c r="G10145" i="1"/>
  <c r="G10144" i="1"/>
  <c r="G10143" i="1"/>
  <c r="G10142" i="1"/>
  <c r="G10141" i="1"/>
  <c r="G10140" i="1"/>
  <c r="G10139" i="1"/>
  <c r="G10138" i="1"/>
  <c r="G10137" i="1"/>
  <c r="G10136" i="1"/>
  <c r="G10135" i="1"/>
  <c r="G10134" i="1"/>
  <c r="G10133" i="1"/>
  <c r="G10132" i="1"/>
  <c r="G10131" i="1"/>
  <c r="G10130" i="1"/>
  <c r="G10129" i="1"/>
  <c r="G10128" i="1"/>
  <c r="G10127" i="1"/>
  <c r="G10126" i="1"/>
  <c r="G10125" i="1"/>
  <c r="G10124" i="1"/>
  <c r="G10123" i="1"/>
  <c r="G10122" i="1"/>
  <c r="G10121" i="1"/>
  <c r="G10120" i="1"/>
  <c r="G10119" i="1"/>
  <c r="G10118" i="1"/>
  <c r="G10117" i="1"/>
  <c r="G10116" i="1"/>
  <c r="G10115" i="1"/>
  <c r="G10114" i="1"/>
  <c r="G10113" i="1"/>
  <c r="G10112" i="1"/>
  <c r="G10111" i="1"/>
  <c r="G10110" i="1"/>
  <c r="G10109" i="1"/>
  <c r="G10108" i="1"/>
  <c r="G10107" i="1"/>
  <c r="G10106" i="1"/>
  <c r="G10105" i="1"/>
  <c r="G10104" i="1"/>
  <c r="G10103" i="1"/>
  <c r="G10102" i="1"/>
  <c r="G10101" i="1"/>
  <c r="G10100" i="1"/>
  <c r="G10099" i="1"/>
  <c r="G10098" i="1"/>
  <c r="G10097" i="1"/>
  <c r="G10096" i="1"/>
  <c r="G10095" i="1"/>
  <c r="G10094" i="1"/>
  <c r="G10093" i="1"/>
  <c r="G10092" i="1"/>
  <c r="G10091" i="1"/>
  <c r="G10090" i="1"/>
  <c r="G10089" i="1"/>
  <c r="G10088" i="1"/>
  <c r="G10087" i="1"/>
  <c r="G10086" i="1"/>
  <c r="G10085" i="1"/>
  <c r="G10084" i="1"/>
  <c r="G10083" i="1"/>
  <c r="G10082" i="1"/>
  <c r="G10081" i="1"/>
  <c r="G10080" i="1"/>
  <c r="G10079" i="1"/>
  <c r="G10078" i="1"/>
  <c r="G10077" i="1"/>
  <c r="G10076" i="1"/>
  <c r="G10075" i="1"/>
  <c r="G10074" i="1"/>
  <c r="G10073" i="1"/>
  <c r="G10072" i="1"/>
  <c r="G10071" i="1"/>
  <c r="G10070" i="1"/>
  <c r="G10069" i="1"/>
  <c r="G10068" i="1"/>
  <c r="G10067" i="1"/>
  <c r="G10066" i="1"/>
  <c r="G10065" i="1"/>
  <c r="G10064" i="1"/>
  <c r="G10063" i="1"/>
  <c r="G10062" i="1"/>
  <c r="G10061" i="1"/>
  <c r="G10060" i="1"/>
  <c r="G10059" i="1"/>
  <c r="G10058" i="1"/>
  <c r="G10057" i="1"/>
  <c r="G10056" i="1"/>
  <c r="G10055" i="1"/>
  <c r="G10054" i="1"/>
  <c r="G10053" i="1"/>
  <c r="G10052" i="1"/>
  <c r="G10051" i="1"/>
  <c r="G10050" i="1"/>
  <c r="G10049" i="1"/>
  <c r="G10048" i="1"/>
  <c r="G10047" i="1"/>
  <c r="G10046" i="1"/>
  <c r="G10045" i="1"/>
  <c r="G10044" i="1"/>
  <c r="G10043" i="1"/>
  <c r="G10042" i="1"/>
  <c r="G10041" i="1"/>
  <c r="G10040" i="1"/>
  <c r="G10039" i="1"/>
  <c r="G10038" i="1"/>
  <c r="G10037" i="1"/>
  <c r="G10036" i="1"/>
  <c r="G10035" i="1"/>
  <c r="G10034" i="1"/>
  <c r="G10033" i="1"/>
  <c r="G10032" i="1"/>
  <c r="G10031" i="1"/>
  <c r="G10030" i="1"/>
  <c r="G10029" i="1"/>
  <c r="G10028" i="1"/>
  <c r="G10027" i="1"/>
  <c r="G10026" i="1"/>
  <c r="G10025" i="1"/>
  <c r="G10024" i="1"/>
  <c r="G10023" i="1"/>
  <c r="G10022" i="1"/>
  <c r="G10021" i="1"/>
  <c r="G10020" i="1"/>
  <c r="G10019" i="1"/>
  <c r="G10018" i="1"/>
  <c r="G10017" i="1"/>
  <c r="G10016" i="1"/>
  <c r="G10015" i="1"/>
  <c r="G10014" i="1"/>
  <c r="G10013" i="1"/>
  <c r="G10012" i="1"/>
  <c r="G10011" i="1"/>
  <c r="G10010" i="1"/>
  <c r="G10009" i="1"/>
  <c r="G10008" i="1"/>
  <c r="G10007" i="1"/>
  <c r="G10006" i="1"/>
  <c r="G10005" i="1"/>
  <c r="G10004" i="1"/>
  <c r="G10003" i="1"/>
  <c r="G10002" i="1"/>
  <c r="G10001" i="1"/>
  <c r="G10000" i="1"/>
  <c r="G9999" i="1"/>
  <c r="G9998" i="1"/>
  <c r="G9997" i="1"/>
  <c r="G9996" i="1"/>
  <c r="G9995" i="1"/>
  <c r="G9994" i="1"/>
  <c r="G9993" i="1"/>
  <c r="G9992" i="1"/>
  <c r="G9991" i="1"/>
  <c r="G9990" i="1"/>
  <c r="G9989" i="1"/>
  <c r="G9988" i="1"/>
  <c r="G9987" i="1"/>
  <c r="G9986" i="1"/>
  <c r="G9985" i="1"/>
  <c r="G9984" i="1"/>
  <c r="G9983" i="1"/>
  <c r="G9982" i="1"/>
  <c r="G9981" i="1"/>
  <c r="G9980" i="1"/>
  <c r="G9979" i="1"/>
  <c r="G9978" i="1"/>
  <c r="G9977" i="1"/>
  <c r="G9976" i="1"/>
  <c r="G9975" i="1"/>
  <c r="G9974" i="1"/>
  <c r="G9973" i="1"/>
  <c r="G9972" i="1"/>
  <c r="G9971" i="1"/>
  <c r="G9970" i="1"/>
  <c r="G9969" i="1"/>
  <c r="G9968" i="1"/>
  <c r="G9967" i="1"/>
  <c r="G9966" i="1"/>
  <c r="G9965" i="1"/>
  <c r="G9964" i="1"/>
  <c r="G9963" i="1"/>
  <c r="G9962" i="1"/>
  <c r="G9961" i="1"/>
  <c r="G9960" i="1"/>
  <c r="G9959" i="1"/>
  <c r="G9958" i="1"/>
  <c r="G9957" i="1"/>
  <c r="G9956" i="1"/>
  <c r="G9955" i="1"/>
  <c r="G9954" i="1"/>
  <c r="G9953" i="1"/>
  <c r="G9952" i="1"/>
  <c r="G9951" i="1"/>
  <c r="G9950" i="1"/>
  <c r="G9949" i="1"/>
  <c r="G9948" i="1"/>
  <c r="G9947" i="1"/>
  <c r="G9946" i="1"/>
  <c r="G9945" i="1"/>
  <c r="G9944" i="1"/>
  <c r="G9943" i="1"/>
  <c r="G9942" i="1"/>
  <c r="G9941" i="1"/>
  <c r="G9940" i="1"/>
  <c r="G9939" i="1"/>
  <c r="G9938" i="1"/>
  <c r="G9937" i="1"/>
  <c r="G9936" i="1"/>
  <c r="G9935" i="1"/>
  <c r="G9934" i="1"/>
  <c r="G9933" i="1"/>
  <c r="G9932" i="1"/>
  <c r="G9931" i="1"/>
  <c r="G9930" i="1"/>
  <c r="G9929" i="1"/>
  <c r="G9928" i="1"/>
  <c r="G9927" i="1"/>
  <c r="G9926" i="1"/>
  <c r="G9925" i="1"/>
  <c r="G9924" i="1"/>
  <c r="G9923" i="1"/>
  <c r="G9922" i="1"/>
  <c r="G9921" i="1"/>
  <c r="G9920" i="1"/>
  <c r="G9919" i="1"/>
  <c r="G9918" i="1"/>
  <c r="G9917" i="1"/>
  <c r="G9916" i="1"/>
  <c r="G9915" i="1"/>
  <c r="G9914" i="1"/>
  <c r="G9913" i="1"/>
  <c r="G9912" i="1"/>
  <c r="G9911" i="1"/>
  <c r="G9910" i="1"/>
  <c r="G9909" i="1"/>
  <c r="G9908" i="1"/>
  <c r="G9907" i="1"/>
  <c r="G9906" i="1"/>
  <c r="G9905" i="1"/>
  <c r="G9904" i="1"/>
  <c r="G9903" i="1"/>
  <c r="G9902" i="1"/>
  <c r="G9901" i="1"/>
  <c r="G9900" i="1"/>
  <c r="G9899" i="1"/>
  <c r="G9898" i="1"/>
  <c r="G9897" i="1"/>
  <c r="G9896" i="1"/>
  <c r="G9895" i="1"/>
  <c r="G9894" i="1"/>
  <c r="G9893" i="1"/>
  <c r="G9892" i="1"/>
  <c r="G9891" i="1"/>
  <c r="G9890" i="1"/>
  <c r="G9889" i="1"/>
  <c r="G9888" i="1"/>
  <c r="G9887" i="1"/>
  <c r="G9886" i="1"/>
  <c r="G9885" i="1"/>
  <c r="G9884" i="1"/>
  <c r="G9883" i="1"/>
  <c r="G9882" i="1"/>
  <c r="G9881" i="1"/>
  <c r="G9880" i="1"/>
  <c r="G9879" i="1"/>
  <c r="G9878" i="1"/>
  <c r="G9877" i="1"/>
  <c r="G9876" i="1"/>
  <c r="G9875" i="1"/>
  <c r="G9874" i="1"/>
  <c r="G9873" i="1"/>
  <c r="G9872" i="1"/>
  <c r="G9871" i="1"/>
  <c r="G9870" i="1"/>
  <c r="G9869" i="1"/>
  <c r="G9868" i="1"/>
  <c r="G9867" i="1"/>
  <c r="G9866" i="1"/>
  <c r="G9865" i="1"/>
  <c r="G9864" i="1"/>
  <c r="G9863" i="1"/>
  <c r="G9862" i="1"/>
  <c r="G9861" i="1"/>
  <c r="G9860" i="1"/>
  <c r="G9859" i="1"/>
  <c r="G9858" i="1"/>
  <c r="G9857" i="1"/>
  <c r="G9856" i="1"/>
  <c r="G9855" i="1"/>
  <c r="G9854" i="1"/>
  <c r="G9853" i="1"/>
  <c r="G9852" i="1"/>
  <c r="G9851" i="1"/>
  <c r="G9850" i="1"/>
  <c r="G9849" i="1"/>
  <c r="G9848" i="1"/>
  <c r="G9847" i="1"/>
  <c r="G9846" i="1"/>
  <c r="G9845" i="1"/>
  <c r="G9844" i="1"/>
  <c r="G9843" i="1"/>
  <c r="G9842" i="1"/>
  <c r="G9841" i="1"/>
  <c r="G9840" i="1"/>
  <c r="G9839" i="1"/>
  <c r="G9838" i="1"/>
  <c r="G9837" i="1"/>
  <c r="G9836" i="1"/>
  <c r="G9835" i="1"/>
  <c r="G9834" i="1"/>
  <c r="G9833" i="1"/>
  <c r="G9832" i="1"/>
  <c r="G9831" i="1"/>
  <c r="G9830" i="1"/>
  <c r="G9829" i="1"/>
  <c r="G9828" i="1"/>
  <c r="G9827" i="1"/>
  <c r="G9826" i="1"/>
  <c r="G9825" i="1"/>
  <c r="G9824" i="1"/>
  <c r="G9823" i="1"/>
  <c r="G9822" i="1"/>
  <c r="G9821" i="1"/>
  <c r="G9820" i="1"/>
  <c r="G9819" i="1"/>
  <c r="G9818" i="1"/>
  <c r="G9817" i="1"/>
  <c r="G9816" i="1"/>
  <c r="G9815" i="1"/>
  <c r="G9814" i="1"/>
  <c r="G9813" i="1"/>
  <c r="G9812" i="1"/>
  <c r="G9811" i="1"/>
  <c r="G9810" i="1"/>
  <c r="G9809" i="1"/>
  <c r="G9808" i="1"/>
  <c r="G9807" i="1"/>
  <c r="G9806" i="1"/>
  <c r="G9805" i="1"/>
  <c r="G9804" i="1"/>
  <c r="G9803" i="1"/>
  <c r="G9802" i="1"/>
  <c r="G9801" i="1"/>
  <c r="G9800" i="1"/>
  <c r="G9799" i="1"/>
  <c r="G9798" i="1"/>
  <c r="G9797" i="1"/>
  <c r="G9796" i="1"/>
  <c r="G9795" i="1"/>
  <c r="G9794" i="1"/>
  <c r="G9793" i="1"/>
  <c r="G9792" i="1"/>
  <c r="G9791" i="1"/>
  <c r="G9790" i="1"/>
  <c r="G9789" i="1"/>
  <c r="G9788" i="1"/>
  <c r="G9787" i="1"/>
  <c r="G9786" i="1"/>
  <c r="G9785" i="1"/>
  <c r="G9784" i="1"/>
  <c r="G9783" i="1"/>
  <c r="G9782" i="1"/>
  <c r="G9781" i="1"/>
  <c r="G9780" i="1"/>
  <c r="G9779" i="1"/>
  <c r="G9778" i="1"/>
  <c r="G9777" i="1"/>
  <c r="G9776" i="1"/>
  <c r="G9775" i="1"/>
  <c r="G9774" i="1"/>
  <c r="G9773" i="1"/>
  <c r="G9772" i="1"/>
  <c r="G9771" i="1"/>
  <c r="G9770" i="1"/>
  <c r="G9769" i="1"/>
  <c r="G9768" i="1"/>
  <c r="G9767" i="1"/>
  <c r="G9766" i="1"/>
  <c r="G9765" i="1"/>
  <c r="G9764" i="1"/>
  <c r="G9763" i="1"/>
  <c r="G9762" i="1"/>
  <c r="G9761" i="1"/>
  <c r="G9760" i="1"/>
  <c r="G9759" i="1"/>
  <c r="G9758" i="1"/>
  <c r="G9757" i="1"/>
  <c r="G9756" i="1"/>
  <c r="G9755" i="1"/>
  <c r="G9754" i="1"/>
  <c r="G9753" i="1"/>
  <c r="G9752" i="1"/>
  <c r="G9751" i="1"/>
  <c r="G9750" i="1"/>
  <c r="G9749" i="1"/>
  <c r="G9748" i="1"/>
  <c r="G9747" i="1"/>
  <c r="G9746" i="1"/>
  <c r="G9745" i="1"/>
  <c r="G9744" i="1"/>
  <c r="G9743" i="1"/>
  <c r="G9742" i="1"/>
  <c r="G9741" i="1"/>
  <c r="G9740" i="1"/>
  <c r="G9739" i="1"/>
  <c r="G9738" i="1"/>
  <c r="G9737" i="1"/>
  <c r="G9736" i="1"/>
  <c r="G9735" i="1"/>
  <c r="G9734" i="1"/>
  <c r="G9733" i="1"/>
  <c r="G9732" i="1"/>
  <c r="G9731" i="1"/>
  <c r="G9730" i="1"/>
  <c r="G9729" i="1"/>
  <c r="G9728" i="1"/>
  <c r="G9727" i="1"/>
  <c r="G9726" i="1"/>
  <c r="G9725" i="1"/>
  <c r="G9724" i="1"/>
  <c r="G9723" i="1"/>
  <c r="G9722" i="1"/>
  <c r="G9721" i="1"/>
  <c r="G9720" i="1"/>
  <c r="G9719" i="1"/>
  <c r="G9718" i="1"/>
  <c r="G9717" i="1"/>
  <c r="G9716" i="1"/>
  <c r="G9715" i="1"/>
  <c r="G9714" i="1"/>
  <c r="G9713" i="1"/>
  <c r="G9712" i="1"/>
  <c r="G9711" i="1"/>
  <c r="G9710" i="1"/>
  <c r="G9709" i="1"/>
  <c r="G9708" i="1"/>
  <c r="G9707" i="1"/>
  <c r="G9706" i="1"/>
  <c r="G9705" i="1"/>
  <c r="G9704" i="1"/>
  <c r="G9703" i="1"/>
  <c r="G9702" i="1"/>
  <c r="G9701" i="1"/>
  <c r="G9700" i="1"/>
  <c r="G9699" i="1"/>
  <c r="G9698" i="1"/>
  <c r="G9697" i="1"/>
  <c r="G9696" i="1"/>
  <c r="G9695" i="1"/>
  <c r="G9694" i="1"/>
  <c r="G9693" i="1"/>
  <c r="G9692" i="1"/>
  <c r="G9691" i="1"/>
  <c r="G9690" i="1"/>
  <c r="G9689" i="1"/>
  <c r="G9688" i="1"/>
  <c r="G9687" i="1"/>
  <c r="G9686" i="1"/>
  <c r="G9685" i="1"/>
  <c r="G9684" i="1"/>
  <c r="G9683" i="1"/>
  <c r="G9682" i="1"/>
  <c r="G9681" i="1"/>
  <c r="G9680" i="1"/>
  <c r="G9679" i="1"/>
  <c r="G9678" i="1"/>
  <c r="G9677" i="1"/>
  <c r="G9676" i="1"/>
  <c r="G9675" i="1"/>
  <c r="G9674" i="1"/>
  <c r="G9673" i="1"/>
  <c r="G9672" i="1"/>
  <c r="G9671" i="1"/>
  <c r="G9670" i="1"/>
  <c r="G9669" i="1"/>
  <c r="G9668" i="1"/>
  <c r="G9667" i="1"/>
  <c r="G9666" i="1"/>
  <c r="G9665" i="1"/>
  <c r="G9664" i="1"/>
  <c r="G9663" i="1"/>
  <c r="G9662" i="1"/>
  <c r="G9661" i="1"/>
  <c r="G9660" i="1"/>
  <c r="G9659" i="1"/>
  <c r="G9658" i="1"/>
  <c r="G9657" i="1"/>
  <c r="G9656" i="1"/>
  <c r="G9655" i="1"/>
  <c r="G9654" i="1"/>
  <c r="G9653" i="1"/>
  <c r="G9652" i="1"/>
  <c r="G9651" i="1"/>
  <c r="G9650" i="1"/>
  <c r="G9649" i="1"/>
  <c r="G9648" i="1"/>
  <c r="G9647" i="1"/>
  <c r="G9646" i="1"/>
  <c r="G9645" i="1"/>
  <c r="G9644" i="1"/>
  <c r="G9643" i="1"/>
  <c r="G9642" i="1"/>
  <c r="G9641" i="1"/>
  <c r="G9640" i="1"/>
  <c r="G9639" i="1"/>
  <c r="G9638" i="1"/>
  <c r="G9637" i="1"/>
  <c r="G9636" i="1"/>
  <c r="G9635" i="1"/>
  <c r="G9634" i="1"/>
  <c r="G9633" i="1"/>
  <c r="G9632" i="1"/>
  <c r="G9631" i="1"/>
  <c r="G9630" i="1"/>
  <c r="G9629" i="1"/>
  <c r="G9628" i="1"/>
  <c r="G9627" i="1"/>
  <c r="G9626" i="1"/>
  <c r="G9625" i="1"/>
  <c r="G9624" i="1"/>
  <c r="G9623" i="1"/>
  <c r="G9622" i="1"/>
  <c r="G9621" i="1"/>
  <c r="G9620" i="1"/>
  <c r="G9619" i="1"/>
  <c r="G9618" i="1"/>
  <c r="G9617" i="1"/>
  <c r="G9616" i="1"/>
  <c r="G9615" i="1"/>
  <c r="G9614" i="1"/>
  <c r="G9613" i="1"/>
  <c r="G9612" i="1"/>
  <c r="G9611" i="1"/>
  <c r="G9610" i="1"/>
  <c r="G9609" i="1"/>
  <c r="G9608" i="1"/>
  <c r="G9607" i="1"/>
  <c r="G9606" i="1"/>
  <c r="G9605" i="1"/>
  <c r="G9604" i="1"/>
  <c r="G9603" i="1"/>
  <c r="G9602" i="1"/>
  <c r="G9601" i="1"/>
  <c r="G9600" i="1"/>
  <c r="G9599" i="1"/>
  <c r="G9598" i="1"/>
  <c r="G9597" i="1"/>
  <c r="G9596" i="1"/>
  <c r="G9595" i="1"/>
  <c r="G9594" i="1"/>
  <c r="G9593" i="1"/>
  <c r="G9592" i="1"/>
  <c r="G9591" i="1"/>
  <c r="G9590" i="1"/>
  <c r="G9589" i="1"/>
  <c r="G9588" i="1"/>
  <c r="G9587" i="1"/>
  <c r="G9586" i="1"/>
  <c r="G9585" i="1"/>
  <c r="G9584" i="1"/>
  <c r="G9583" i="1"/>
  <c r="G9582" i="1"/>
  <c r="G9581" i="1"/>
  <c r="G9580" i="1"/>
  <c r="G9579" i="1"/>
  <c r="G9578" i="1"/>
  <c r="G9577" i="1"/>
  <c r="G9576" i="1"/>
  <c r="G9575" i="1"/>
  <c r="G9574" i="1"/>
  <c r="G9573" i="1"/>
  <c r="G9572" i="1"/>
  <c r="G9571" i="1"/>
  <c r="G9570" i="1"/>
  <c r="G9569" i="1"/>
  <c r="G9568" i="1"/>
  <c r="G9567" i="1"/>
  <c r="G9566" i="1"/>
  <c r="G9565" i="1"/>
  <c r="G9564" i="1"/>
  <c r="G9563" i="1"/>
  <c r="G9562" i="1"/>
  <c r="G9561" i="1"/>
  <c r="G9560" i="1"/>
  <c r="G9559" i="1"/>
  <c r="G9558" i="1"/>
  <c r="G9557" i="1"/>
  <c r="G9556" i="1"/>
  <c r="G9555" i="1"/>
  <c r="G9554" i="1"/>
  <c r="G9553" i="1"/>
  <c r="G9552" i="1"/>
  <c r="G9551" i="1"/>
  <c r="G9550" i="1"/>
  <c r="G9549" i="1"/>
  <c r="G9548" i="1"/>
  <c r="G9547" i="1"/>
  <c r="G9546" i="1"/>
  <c r="G9545" i="1"/>
  <c r="G9544" i="1"/>
  <c r="G9543" i="1"/>
  <c r="G9542" i="1"/>
  <c r="G9541" i="1"/>
  <c r="G9540" i="1"/>
  <c r="G9539" i="1"/>
  <c r="G9538" i="1"/>
  <c r="G9537" i="1"/>
  <c r="G9536" i="1"/>
  <c r="G9535" i="1"/>
  <c r="G9534" i="1"/>
  <c r="G9533" i="1"/>
  <c r="G9532" i="1"/>
  <c r="G9531" i="1"/>
  <c r="G9530" i="1"/>
  <c r="G9529" i="1"/>
  <c r="G9528" i="1"/>
  <c r="G9527" i="1"/>
  <c r="G9526" i="1"/>
  <c r="G9525" i="1"/>
  <c r="G9524" i="1"/>
  <c r="G9523" i="1"/>
  <c r="G9522" i="1"/>
  <c r="G9521" i="1"/>
  <c r="G9520" i="1"/>
  <c r="G9519" i="1"/>
  <c r="G9518" i="1"/>
  <c r="G9517" i="1"/>
  <c r="G9516" i="1"/>
  <c r="G9515" i="1"/>
  <c r="G9514" i="1"/>
  <c r="G9513" i="1"/>
  <c r="G9512" i="1"/>
  <c r="G9511" i="1"/>
  <c r="G9510" i="1"/>
  <c r="G9509" i="1"/>
  <c r="G9508" i="1"/>
  <c r="G9507" i="1"/>
  <c r="G9506" i="1"/>
  <c r="G9505" i="1"/>
  <c r="G9504" i="1"/>
  <c r="G9503" i="1"/>
  <c r="G9502" i="1"/>
  <c r="G9501" i="1"/>
  <c r="G9500" i="1"/>
  <c r="G9499" i="1"/>
  <c r="G9498" i="1"/>
  <c r="G9497" i="1"/>
  <c r="G9496" i="1"/>
  <c r="G9495" i="1"/>
  <c r="G9494" i="1"/>
  <c r="G9493" i="1"/>
  <c r="G9492" i="1"/>
  <c r="G9491" i="1"/>
  <c r="G9490" i="1"/>
  <c r="G9489" i="1"/>
  <c r="G9488" i="1"/>
  <c r="G9487" i="1"/>
  <c r="G9486" i="1"/>
  <c r="G9485" i="1"/>
  <c r="G9484" i="1"/>
  <c r="G9483" i="1"/>
  <c r="G9482" i="1"/>
  <c r="G9481" i="1"/>
  <c r="G9480" i="1"/>
  <c r="G9479" i="1"/>
  <c r="G9478" i="1"/>
  <c r="G9477" i="1"/>
  <c r="G9476" i="1"/>
  <c r="G9475" i="1"/>
  <c r="G9474" i="1"/>
  <c r="G9473" i="1"/>
  <c r="G9472" i="1"/>
  <c r="G9471" i="1"/>
  <c r="G9470" i="1"/>
  <c r="G9469" i="1"/>
  <c r="G9468" i="1"/>
  <c r="G9467" i="1"/>
  <c r="G9466" i="1"/>
  <c r="G9465" i="1"/>
  <c r="G9464" i="1"/>
  <c r="G9463" i="1"/>
  <c r="G9462" i="1"/>
  <c r="G9461" i="1"/>
  <c r="G9460" i="1"/>
  <c r="G9459" i="1"/>
  <c r="G9458" i="1"/>
  <c r="G9457" i="1"/>
  <c r="G9456" i="1"/>
  <c r="G9455" i="1"/>
  <c r="G9454" i="1"/>
  <c r="G9453" i="1"/>
  <c r="G9452" i="1"/>
  <c r="G9451" i="1"/>
  <c r="G9450" i="1"/>
  <c r="G9449" i="1"/>
  <c r="G9448" i="1"/>
  <c r="G9447" i="1"/>
  <c r="G9446" i="1"/>
  <c r="G9445" i="1"/>
  <c r="G9444" i="1"/>
  <c r="G9443" i="1"/>
  <c r="G9442" i="1"/>
  <c r="G9441" i="1"/>
  <c r="G9440" i="1"/>
  <c r="G9439" i="1"/>
  <c r="G9438" i="1"/>
  <c r="G9437" i="1"/>
  <c r="G9436" i="1"/>
  <c r="G9435" i="1"/>
  <c r="G9434" i="1"/>
  <c r="G9433" i="1"/>
  <c r="G9432" i="1"/>
  <c r="G9431" i="1"/>
  <c r="G9430" i="1"/>
  <c r="G9429" i="1"/>
  <c r="G9428" i="1"/>
  <c r="G9427" i="1"/>
  <c r="G9426" i="1"/>
  <c r="G9425" i="1"/>
  <c r="G9424" i="1"/>
  <c r="G9423" i="1"/>
  <c r="G9422" i="1"/>
  <c r="G9421" i="1"/>
  <c r="G9420" i="1"/>
  <c r="G9419" i="1"/>
  <c r="G9418" i="1"/>
  <c r="G9417" i="1"/>
  <c r="G9416" i="1"/>
  <c r="G9415" i="1"/>
  <c r="G9414" i="1"/>
  <c r="G9413" i="1"/>
  <c r="G9412" i="1"/>
  <c r="G9411" i="1"/>
  <c r="G9410" i="1"/>
  <c r="G9409" i="1"/>
  <c r="G9408" i="1"/>
  <c r="G9407" i="1"/>
  <c r="G9406" i="1"/>
  <c r="G9405" i="1"/>
  <c r="G9404" i="1"/>
  <c r="G9403" i="1"/>
  <c r="G9402" i="1"/>
  <c r="G9401" i="1"/>
  <c r="G9400" i="1"/>
  <c r="G9399" i="1"/>
  <c r="G9398" i="1"/>
  <c r="G9397" i="1"/>
  <c r="G9396" i="1"/>
  <c r="G9395" i="1"/>
  <c r="G9394" i="1"/>
  <c r="G9393" i="1"/>
  <c r="G9392" i="1"/>
  <c r="G9391" i="1"/>
  <c r="G9390" i="1"/>
  <c r="G9389" i="1"/>
  <c r="G9388" i="1"/>
  <c r="G9387" i="1"/>
  <c r="G9386" i="1"/>
  <c r="G9385" i="1"/>
  <c r="G9384" i="1"/>
  <c r="G9383" i="1"/>
  <c r="G9382" i="1"/>
  <c r="G9381" i="1"/>
  <c r="G9380" i="1"/>
  <c r="G9379" i="1"/>
  <c r="G9378" i="1"/>
  <c r="G9377" i="1"/>
  <c r="G9376" i="1"/>
  <c r="G9375" i="1"/>
  <c r="G9374" i="1"/>
  <c r="G9373" i="1"/>
  <c r="G9372" i="1"/>
  <c r="G9371" i="1"/>
  <c r="G9370" i="1"/>
  <c r="G9369" i="1"/>
  <c r="G9368" i="1"/>
  <c r="G9367" i="1"/>
  <c r="G9366" i="1"/>
  <c r="G9365" i="1"/>
  <c r="G9364" i="1"/>
  <c r="G9363" i="1"/>
  <c r="G9362" i="1"/>
  <c r="G9361" i="1"/>
  <c r="G9360" i="1"/>
  <c r="G9359" i="1"/>
  <c r="G9358" i="1"/>
  <c r="G9357" i="1"/>
  <c r="G9356" i="1"/>
  <c r="G9355" i="1"/>
  <c r="G9354" i="1"/>
  <c r="G9353" i="1"/>
  <c r="G9352" i="1"/>
  <c r="G9351" i="1"/>
  <c r="G9350" i="1"/>
  <c r="G9349" i="1"/>
  <c r="G9348" i="1"/>
  <c r="G9347" i="1"/>
  <c r="G9346" i="1"/>
  <c r="G9345" i="1"/>
  <c r="G9344" i="1"/>
  <c r="G9343" i="1"/>
  <c r="G9342" i="1"/>
  <c r="G9341" i="1"/>
  <c r="G9340" i="1"/>
  <c r="G9339" i="1"/>
  <c r="G9338" i="1"/>
  <c r="G9337" i="1"/>
  <c r="G9336" i="1"/>
  <c r="G9335" i="1"/>
  <c r="G9334" i="1"/>
  <c r="G9333" i="1"/>
  <c r="G9332" i="1"/>
  <c r="G9331" i="1"/>
  <c r="G9330" i="1"/>
  <c r="G9329" i="1"/>
  <c r="G9328" i="1"/>
  <c r="G9327" i="1"/>
  <c r="G9326" i="1"/>
  <c r="G9325" i="1"/>
  <c r="G9324" i="1"/>
  <c r="G9323" i="1"/>
  <c r="G9322" i="1"/>
  <c r="G9321" i="1"/>
  <c r="G9320" i="1"/>
  <c r="G9319" i="1"/>
  <c r="G9318" i="1"/>
  <c r="G9317" i="1"/>
  <c r="G9316" i="1"/>
  <c r="G9315" i="1"/>
  <c r="G9314" i="1"/>
  <c r="G9313" i="1"/>
  <c r="G9312" i="1"/>
  <c r="G9311" i="1"/>
  <c r="G9310" i="1"/>
  <c r="G9309" i="1"/>
  <c r="G9308" i="1"/>
  <c r="G9307" i="1"/>
  <c r="G9306" i="1"/>
  <c r="G9305" i="1"/>
  <c r="G9304" i="1"/>
  <c r="G9303" i="1"/>
  <c r="G9302" i="1"/>
  <c r="G9301" i="1"/>
  <c r="G9300" i="1"/>
  <c r="G9299" i="1"/>
  <c r="G9298" i="1"/>
  <c r="G9297" i="1"/>
  <c r="G9296" i="1"/>
  <c r="G9295" i="1"/>
  <c r="G9294" i="1"/>
  <c r="G9293" i="1"/>
  <c r="G9292" i="1"/>
  <c r="G9291" i="1"/>
  <c r="G9290" i="1"/>
  <c r="G9289" i="1"/>
  <c r="G9288" i="1"/>
  <c r="G9287" i="1"/>
  <c r="G9286" i="1"/>
  <c r="G9285" i="1"/>
  <c r="G9284" i="1"/>
  <c r="G9283" i="1"/>
  <c r="G9282" i="1"/>
  <c r="G9281" i="1"/>
  <c r="G9280" i="1"/>
  <c r="G9279" i="1"/>
  <c r="G9278" i="1"/>
  <c r="G9277" i="1"/>
  <c r="G9276" i="1"/>
  <c r="G9275" i="1"/>
  <c r="G9274" i="1"/>
  <c r="G9273" i="1"/>
  <c r="G9272" i="1"/>
  <c r="G9271" i="1"/>
  <c r="G9270" i="1"/>
  <c r="G9269" i="1"/>
  <c r="G9268" i="1"/>
  <c r="G9267" i="1"/>
  <c r="G9266" i="1"/>
  <c r="G9265" i="1"/>
  <c r="G9264" i="1"/>
  <c r="G9263" i="1"/>
  <c r="G9262" i="1"/>
  <c r="G9261" i="1"/>
  <c r="G9260" i="1"/>
  <c r="G9259" i="1"/>
  <c r="G9258" i="1"/>
  <c r="G9257" i="1"/>
  <c r="G9256" i="1"/>
  <c r="G9255" i="1"/>
  <c r="G9254" i="1"/>
  <c r="G9253" i="1"/>
  <c r="G9252" i="1"/>
  <c r="G9251" i="1"/>
  <c r="G9250" i="1"/>
  <c r="G9249" i="1"/>
  <c r="G9248" i="1"/>
  <c r="G9247" i="1"/>
  <c r="G9246" i="1"/>
  <c r="G9245" i="1"/>
  <c r="G9244" i="1"/>
  <c r="G9243" i="1"/>
  <c r="G9242" i="1"/>
  <c r="G9241" i="1"/>
  <c r="G9240" i="1"/>
  <c r="G9239" i="1"/>
  <c r="G9238" i="1"/>
  <c r="G9237" i="1"/>
  <c r="G9236" i="1"/>
  <c r="G9235" i="1"/>
  <c r="G9234" i="1"/>
  <c r="G9233" i="1"/>
  <c r="G9232" i="1"/>
  <c r="G9231" i="1"/>
  <c r="G9230" i="1"/>
  <c r="G9229" i="1"/>
  <c r="G9228" i="1"/>
  <c r="G9227" i="1"/>
  <c r="G9226" i="1"/>
  <c r="G9225" i="1"/>
  <c r="G9224" i="1"/>
  <c r="G9223" i="1"/>
  <c r="G9222" i="1"/>
  <c r="G9221" i="1"/>
  <c r="G9220" i="1"/>
  <c r="G9219" i="1"/>
  <c r="G9218" i="1"/>
  <c r="G9217" i="1"/>
  <c r="G9216" i="1"/>
  <c r="G9215" i="1"/>
  <c r="G9214" i="1"/>
  <c r="G9213" i="1"/>
  <c r="G9212" i="1"/>
  <c r="G9211" i="1"/>
  <c r="G9210" i="1"/>
  <c r="G9209" i="1"/>
  <c r="G9208" i="1"/>
  <c r="G9207" i="1"/>
  <c r="G9206" i="1"/>
  <c r="G9205" i="1"/>
  <c r="G9204" i="1"/>
  <c r="G9203" i="1"/>
  <c r="G9202" i="1"/>
  <c r="G9201" i="1"/>
  <c r="G9200" i="1"/>
  <c r="G9199" i="1"/>
  <c r="G9198" i="1"/>
  <c r="G9197" i="1"/>
  <c r="G9196" i="1"/>
  <c r="G9195" i="1"/>
  <c r="G9194" i="1"/>
  <c r="G9193" i="1"/>
  <c r="G9192" i="1"/>
  <c r="G9191" i="1"/>
  <c r="G9190" i="1"/>
  <c r="G9189" i="1"/>
  <c r="G9188" i="1"/>
  <c r="G9187" i="1"/>
  <c r="G9186" i="1"/>
  <c r="G9185" i="1"/>
  <c r="G9184" i="1"/>
  <c r="G9183" i="1"/>
  <c r="G9182" i="1"/>
  <c r="G9181" i="1"/>
  <c r="G9180" i="1"/>
  <c r="G9179" i="1"/>
  <c r="G9178" i="1"/>
  <c r="G9177" i="1"/>
  <c r="G9176" i="1"/>
  <c r="G9175" i="1"/>
  <c r="G9174" i="1"/>
  <c r="G9173" i="1"/>
  <c r="G9172" i="1"/>
  <c r="G9171" i="1"/>
  <c r="G9170" i="1"/>
  <c r="G9169" i="1"/>
  <c r="G9168" i="1"/>
  <c r="G9167" i="1"/>
  <c r="G9166" i="1"/>
  <c r="G9165" i="1"/>
  <c r="G9164" i="1"/>
  <c r="G9163" i="1"/>
  <c r="G9162" i="1"/>
  <c r="G9161" i="1"/>
  <c r="G9160" i="1"/>
  <c r="G9159" i="1"/>
  <c r="G9158" i="1"/>
  <c r="G9157" i="1"/>
  <c r="G9156" i="1"/>
  <c r="G9155" i="1"/>
  <c r="G9154" i="1"/>
  <c r="G9153" i="1"/>
  <c r="G9152" i="1"/>
  <c r="G9151" i="1"/>
  <c r="G9150" i="1"/>
  <c r="G9149" i="1"/>
  <c r="G9148" i="1"/>
  <c r="G9147" i="1"/>
  <c r="G9146" i="1"/>
  <c r="G9145" i="1"/>
  <c r="G9144" i="1"/>
  <c r="G9143" i="1"/>
  <c r="G9142" i="1"/>
  <c r="G9141" i="1"/>
  <c r="G9140" i="1"/>
  <c r="G9139" i="1"/>
  <c r="G9138" i="1"/>
  <c r="G9137" i="1"/>
  <c r="G9136" i="1"/>
  <c r="G9135" i="1"/>
  <c r="G9134" i="1"/>
  <c r="G9133" i="1"/>
  <c r="G9132" i="1"/>
  <c r="G9131" i="1"/>
  <c r="G9130" i="1"/>
  <c r="G9129" i="1"/>
  <c r="G9128" i="1"/>
  <c r="G9127" i="1"/>
  <c r="G9126" i="1"/>
  <c r="G9125" i="1"/>
  <c r="G9124" i="1"/>
  <c r="G9123" i="1"/>
  <c r="G9122" i="1"/>
  <c r="G9121" i="1"/>
  <c r="G9120" i="1"/>
  <c r="G9119" i="1"/>
  <c r="G9118" i="1"/>
  <c r="G9117" i="1"/>
  <c r="G9116" i="1"/>
  <c r="G9115" i="1"/>
  <c r="G9114" i="1"/>
  <c r="G9113" i="1"/>
  <c r="G9112" i="1"/>
  <c r="G9111" i="1"/>
  <c r="G9110" i="1"/>
  <c r="G9109" i="1"/>
  <c r="G9108" i="1"/>
  <c r="G9107" i="1"/>
  <c r="G9106" i="1"/>
  <c r="G9105" i="1"/>
  <c r="G9104" i="1"/>
  <c r="G9103" i="1"/>
  <c r="G9102" i="1"/>
  <c r="G9101" i="1"/>
  <c r="G9100" i="1"/>
  <c r="G9099" i="1"/>
  <c r="G9098" i="1"/>
  <c r="G9097" i="1"/>
  <c r="G9096" i="1"/>
  <c r="G9095" i="1"/>
  <c r="G9094" i="1"/>
  <c r="G9093" i="1"/>
  <c r="G9092" i="1"/>
  <c r="G9091" i="1"/>
  <c r="G9090" i="1"/>
  <c r="G9089" i="1"/>
  <c r="G9088" i="1"/>
  <c r="G9087" i="1"/>
  <c r="G9086" i="1"/>
  <c r="G9085" i="1"/>
  <c r="G9084" i="1"/>
  <c r="G9083" i="1"/>
  <c r="G9082" i="1"/>
  <c r="G9081" i="1"/>
  <c r="G9080" i="1"/>
  <c r="G9079" i="1"/>
  <c r="G9078" i="1"/>
  <c r="G9077" i="1"/>
  <c r="G9076" i="1"/>
  <c r="G9075" i="1"/>
  <c r="G9074" i="1"/>
  <c r="G9073" i="1"/>
  <c r="G9072" i="1"/>
  <c r="G9071" i="1"/>
  <c r="G9070" i="1"/>
  <c r="G9069" i="1"/>
  <c r="G9068" i="1"/>
  <c r="G9067" i="1"/>
  <c r="G9066" i="1"/>
  <c r="G9065" i="1"/>
  <c r="G9064" i="1"/>
  <c r="G9063" i="1"/>
  <c r="G9062" i="1"/>
  <c r="G9061" i="1"/>
  <c r="G9060" i="1"/>
  <c r="G9059" i="1"/>
  <c r="G9058" i="1"/>
  <c r="G9057" i="1"/>
  <c r="G9056" i="1"/>
  <c r="G9055" i="1"/>
  <c r="G9054" i="1"/>
  <c r="G9053" i="1"/>
  <c r="G9052" i="1"/>
  <c r="G9051" i="1"/>
  <c r="G9050" i="1"/>
  <c r="G9049" i="1"/>
  <c r="G9048" i="1"/>
  <c r="G9047" i="1"/>
  <c r="G9046" i="1"/>
  <c r="G9045" i="1"/>
  <c r="G9044" i="1"/>
  <c r="G9043" i="1"/>
  <c r="G9042" i="1"/>
  <c r="G9041" i="1"/>
  <c r="G9040" i="1"/>
  <c r="G9039" i="1"/>
  <c r="G9038" i="1"/>
  <c r="G9037" i="1"/>
  <c r="G9036" i="1"/>
  <c r="G9035" i="1"/>
  <c r="G9034" i="1"/>
  <c r="G9033" i="1"/>
  <c r="G9032" i="1"/>
  <c r="G9031" i="1"/>
  <c r="G9030" i="1"/>
  <c r="G9029" i="1"/>
  <c r="G9028" i="1"/>
  <c r="G9027" i="1"/>
  <c r="G9026" i="1"/>
  <c r="G9025" i="1"/>
  <c r="G9024" i="1"/>
  <c r="G9023" i="1"/>
  <c r="G9022" i="1"/>
  <c r="G9021" i="1"/>
  <c r="G9020" i="1"/>
  <c r="G9019" i="1"/>
  <c r="G9018" i="1"/>
  <c r="G9017" i="1"/>
  <c r="G9016" i="1"/>
  <c r="G9015" i="1"/>
  <c r="G9014" i="1"/>
  <c r="G9013" i="1"/>
  <c r="G9012" i="1"/>
  <c r="G9011" i="1"/>
  <c r="G9010" i="1"/>
  <c r="G9009" i="1"/>
  <c r="G9008" i="1"/>
  <c r="G9007" i="1"/>
  <c r="G9006" i="1"/>
  <c r="G9005" i="1"/>
  <c r="G9004" i="1"/>
  <c r="G9003" i="1"/>
  <c r="G9002" i="1"/>
  <c r="G9001" i="1"/>
  <c r="G9000" i="1"/>
  <c r="G8999" i="1"/>
  <c r="G8998" i="1"/>
  <c r="G8997" i="1"/>
  <c r="G8996" i="1"/>
  <c r="G8995" i="1"/>
  <c r="G8994" i="1"/>
  <c r="G8993" i="1"/>
  <c r="G8992" i="1"/>
  <c r="G8991" i="1"/>
  <c r="G8990" i="1"/>
  <c r="G8989" i="1"/>
  <c r="G8988" i="1"/>
  <c r="G8987" i="1"/>
  <c r="G8986" i="1"/>
  <c r="G8985" i="1"/>
  <c r="G8984" i="1"/>
  <c r="G8983" i="1"/>
  <c r="G8982" i="1"/>
  <c r="G8981" i="1"/>
  <c r="G8980" i="1"/>
  <c r="G8979" i="1"/>
  <c r="G8978" i="1"/>
  <c r="G8977" i="1"/>
  <c r="G8976" i="1"/>
  <c r="G8975" i="1"/>
  <c r="G8974" i="1"/>
  <c r="G8973" i="1"/>
  <c r="G8972" i="1"/>
  <c r="G8971" i="1"/>
  <c r="G8970" i="1"/>
  <c r="G8969" i="1"/>
  <c r="G8968" i="1"/>
  <c r="G8967" i="1"/>
  <c r="G8966" i="1"/>
  <c r="G8965" i="1"/>
  <c r="G8964" i="1"/>
  <c r="G8963" i="1"/>
  <c r="G8962" i="1"/>
  <c r="G8961" i="1"/>
  <c r="G8960" i="1"/>
  <c r="G8959" i="1"/>
  <c r="G8958" i="1"/>
  <c r="G8957" i="1"/>
  <c r="G8956" i="1"/>
  <c r="G8955" i="1"/>
  <c r="G8954" i="1"/>
  <c r="G8953" i="1"/>
  <c r="G8952" i="1"/>
  <c r="G8951" i="1"/>
  <c r="G8950" i="1"/>
  <c r="G8949" i="1"/>
  <c r="G8948" i="1"/>
  <c r="G8947" i="1"/>
  <c r="G8946" i="1"/>
  <c r="G8945" i="1"/>
  <c r="G8944" i="1"/>
  <c r="G8943" i="1"/>
  <c r="G8942" i="1"/>
  <c r="G8941" i="1"/>
  <c r="G8940" i="1"/>
  <c r="G8939" i="1"/>
  <c r="G8938" i="1"/>
  <c r="G8937" i="1"/>
  <c r="G8936" i="1"/>
  <c r="G8935" i="1"/>
  <c r="G8934" i="1"/>
  <c r="G8933" i="1"/>
  <c r="G8932" i="1"/>
  <c r="G8931" i="1"/>
  <c r="G8930" i="1"/>
  <c r="G8929" i="1"/>
  <c r="G8928" i="1"/>
  <c r="G8927" i="1"/>
  <c r="G8926" i="1"/>
  <c r="G8925" i="1"/>
  <c r="G8924" i="1"/>
  <c r="G8923" i="1"/>
  <c r="G8922" i="1"/>
  <c r="G8921" i="1"/>
  <c r="G8920" i="1"/>
  <c r="G8919" i="1"/>
  <c r="G8918" i="1"/>
  <c r="G8917" i="1"/>
  <c r="G8916" i="1"/>
  <c r="G8915" i="1"/>
  <c r="G8914" i="1"/>
  <c r="G8913" i="1"/>
  <c r="G8912" i="1"/>
  <c r="G8911" i="1"/>
  <c r="G8910" i="1"/>
  <c r="G8909" i="1"/>
  <c r="G8908" i="1"/>
  <c r="G8907" i="1"/>
  <c r="G8906" i="1"/>
  <c r="G8905" i="1"/>
  <c r="G8904" i="1"/>
  <c r="G8903" i="1"/>
  <c r="G8902" i="1"/>
  <c r="G8901" i="1"/>
  <c r="G8900" i="1"/>
  <c r="G8899" i="1"/>
  <c r="G8898" i="1"/>
  <c r="G8897" i="1"/>
  <c r="G8896" i="1"/>
  <c r="G8895" i="1"/>
  <c r="G8894" i="1"/>
  <c r="G8893" i="1"/>
  <c r="G8892" i="1"/>
  <c r="G8891" i="1"/>
  <c r="G8890" i="1"/>
  <c r="G8889" i="1"/>
  <c r="G8888" i="1"/>
  <c r="G8887" i="1"/>
  <c r="G8886" i="1"/>
  <c r="G8885" i="1"/>
  <c r="G8884" i="1"/>
  <c r="G8883" i="1"/>
  <c r="G8882" i="1"/>
  <c r="G8881" i="1"/>
  <c r="G8880" i="1"/>
  <c r="G8879" i="1"/>
  <c r="G8878" i="1"/>
  <c r="G8877" i="1"/>
  <c r="G8876" i="1"/>
  <c r="G8875" i="1"/>
  <c r="G8874" i="1"/>
  <c r="G8873" i="1"/>
  <c r="G8872" i="1"/>
  <c r="G8871" i="1"/>
  <c r="G8870" i="1"/>
  <c r="G8869" i="1"/>
  <c r="G8868" i="1"/>
  <c r="G8867" i="1"/>
  <c r="G8866" i="1"/>
  <c r="G8865" i="1"/>
  <c r="G8864" i="1"/>
  <c r="G8863" i="1"/>
  <c r="G8862" i="1"/>
  <c r="G8861" i="1"/>
  <c r="G8860" i="1"/>
  <c r="G8859" i="1"/>
  <c r="G8858" i="1"/>
  <c r="G8857" i="1"/>
  <c r="G8856" i="1"/>
  <c r="G8855" i="1"/>
  <c r="G8854" i="1"/>
  <c r="G8853" i="1"/>
  <c r="G8852" i="1"/>
  <c r="G8851" i="1"/>
  <c r="G8850" i="1"/>
  <c r="G8849" i="1"/>
  <c r="G8848" i="1"/>
  <c r="G8847" i="1"/>
  <c r="G8846" i="1"/>
  <c r="G8845" i="1"/>
  <c r="G8844" i="1"/>
  <c r="G8843" i="1"/>
  <c r="G8842" i="1"/>
  <c r="G8841" i="1"/>
  <c r="G8840" i="1"/>
  <c r="G8839" i="1"/>
  <c r="G8838" i="1"/>
  <c r="G8837" i="1"/>
  <c r="G8836" i="1"/>
  <c r="G8835" i="1"/>
  <c r="G8834" i="1"/>
  <c r="G8833" i="1"/>
  <c r="G8832" i="1"/>
  <c r="G8831" i="1"/>
  <c r="G8830" i="1"/>
  <c r="G8829" i="1"/>
  <c r="G8828" i="1"/>
  <c r="G8827" i="1"/>
  <c r="G8826" i="1"/>
  <c r="G8825" i="1"/>
  <c r="G8824" i="1"/>
  <c r="G8823" i="1"/>
  <c r="G8822" i="1"/>
  <c r="G8821" i="1"/>
  <c r="G8820" i="1"/>
  <c r="G8819" i="1"/>
  <c r="G8818" i="1"/>
  <c r="G8817" i="1"/>
  <c r="G8816" i="1"/>
  <c r="G8815" i="1"/>
  <c r="G8814" i="1"/>
  <c r="G8813" i="1"/>
  <c r="G8812" i="1"/>
  <c r="G8811" i="1"/>
  <c r="G8810" i="1"/>
  <c r="G8809" i="1"/>
  <c r="G8808" i="1"/>
  <c r="G8807" i="1"/>
  <c r="G8806" i="1"/>
  <c r="G8805" i="1"/>
  <c r="G8804" i="1"/>
  <c r="G8803" i="1"/>
  <c r="G8802" i="1"/>
  <c r="G8801" i="1"/>
  <c r="G8800" i="1"/>
  <c r="G8799" i="1"/>
  <c r="G8798" i="1"/>
  <c r="G8797" i="1"/>
  <c r="G8796" i="1"/>
  <c r="G8795" i="1"/>
  <c r="G8794" i="1"/>
  <c r="G8793" i="1"/>
  <c r="G8792" i="1"/>
  <c r="G8791" i="1"/>
  <c r="G8790" i="1"/>
  <c r="G8789" i="1"/>
  <c r="G8788" i="1"/>
  <c r="G8787" i="1"/>
  <c r="G8786" i="1"/>
  <c r="G8785" i="1"/>
  <c r="G8784" i="1"/>
  <c r="G8783" i="1"/>
  <c r="G8782" i="1"/>
  <c r="G8781" i="1"/>
  <c r="G8780" i="1"/>
  <c r="G8779" i="1"/>
  <c r="G8778" i="1"/>
  <c r="G8777" i="1"/>
  <c r="G8776" i="1"/>
  <c r="G8775" i="1"/>
  <c r="G8774" i="1"/>
  <c r="G8773" i="1"/>
  <c r="G8772" i="1"/>
  <c r="G8771" i="1"/>
  <c r="G8770" i="1"/>
  <c r="G8769" i="1"/>
  <c r="G8768" i="1"/>
  <c r="G8767" i="1"/>
  <c r="G8766" i="1"/>
  <c r="G8765" i="1"/>
  <c r="G8764" i="1"/>
  <c r="G8763" i="1"/>
  <c r="G8762" i="1"/>
  <c r="G8761" i="1"/>
  <c r="G8760" i="1"/>
  <c r="G8759" i="1"/>
  <c r="G8758" i="1"/>
  <c r="G8757" i="1"/>
  <c r="G8756" i="1"/>
  <c r="G8755" i="1"/>
  <c r="G8754" i="1"/>
  <c r="G8753" i="1"/>
  <c r="G8752" i="1"/>
  <c r="G8751" i="1"/>
  <c r="G8750" i="1"/>
  <c r="G8749" i="1"/>
  <c r="G8748" i="1"/>
  <c r="G8747" i="1"/>
  <c r="G8746" i="1"/>
  <c r="G8745" i="1"/>
  <c r="G8744" i="1"/>
  <c r="G8743" i="1"/>
  <c r="G8742" i="1"/>
  <c r="G8741" i="1"/>
  <c r="G8740" i="1"/>
  <c r="G8739" i="1"/>
  <c r="G8738" i="1"/>
  <c r="G8737" i="1"/>
  <c r="G8736" i="1"/>
  <c r="G8735" i="1"/>
  <c r="G8734" i="1"/>
  <c r="G8733" i="1"/>
  <c r="G8732" i="1"/>
  <c r="G8731" i="1"/>
  <c r="G8730" i="1"/>
  <c r="G8729" i="1"/>
  <c r="G8728" i="1"/>
  <c r="G8727" i="1"/>
  <c r="G8726" i="1"/>
  <c r="G8725" i="1"/>
  <c r="G8724" i="1"/>
  <c r="G8723" i="1"/>
  <c r="G8722" i="1"/>
  <c r="G8721" i="1"/>
  <c r="G8720" i="1"/>
  <c r="G8719" i="1"/>
  <c r="G8718" i="1"/>
  <c r="G8717" i="1"/>
  <c r="G8716" i="1"/>
  <c r="G8715" i="1"/>
  <c r="G8714" i="1"/>
  <c r="G8713" i="1"/>
  <c r="G8712" i="1"/>
  <c r="G8711" i="1"/>
  <c r="G8710" i="1"/>
  <c r="G8709" i="1"/>
  <c r="G8708" i="1"/>
  <c r="G8707" i="1"/>
  <c r="G8706" i="1"/>
  <c r="G8705" i="1"/>
  <c r="G8704" i="1"/>
  <c r="G8703" i="1"/>
  <c r="G8702" i="1"/>
  <c r="G8701" i="1"/>
  <c r="G8700" i="1"/>
  <c r="G8699" i="1"/>
  <c r="G8698" i="1"/>
  <c r="G8697" i="1"/>
  <c r="G8696" i="1"/>
  <c r="G8695" i="1"/>
  <c r="G8694" i="1"/>
  <c r="G8693" i="1"/>
  <c r="G8692" i="1"/>
  <c r="G8691" i="1"/>
  <c r="G8690" i="1"/>
  <c r="G8689" i="1"/>
  <c r="G8688" i="1"/>
  <c r="G8687" i="1"/>
  <c r="G8686" i="1"/>
  <c r="G8685" i="1"/>
  <c r="G8684" i="1"/>
  <c r="G8683" i="1"/>
  <c r="G8682" i="1"/>
  <c r="G8681" i="1"/>
  <c r="G8680" i="1"/>
  <c r="G8679" i="1"/>
  <c r="G8678" i="1"/>
  <c r="G8677" i="1"/>
  <c r="G8676" i="1"/>
  <c r="G8675" i="1"/>
  <c r="G8674" i="1"/>
  <c r="G8673" i="1"/>
  <c r="G8672" i="1"/>
  <c r="G8671" i="1"/>
  <c r="G8670" i="1"/>
  <c r="G8669" i="1"/>
  <c r="G8668" i="1"/>
  <c r="G8667" i="1"/>
  <c r="G8666" i="1"/>
  <c r="G8665" i="1"/>
  <c r="G8664" i="1"/>
  <c r="G8663" i="1"/>
  <c r="G8662" i="1"/>
  <c r="G8661" i="1"/>
  <c r="G8660" i="1"/>
  <c r="G8659" i="1"/>
  <c r="G8658" i="1"/>
  <c r="G8657" i="1"/>
  <c r="G8656" i="1"/>
  <c r="G8655" i="1"/>
  <c r="G8654" i="1"/>
  <c r="G8653" i="1"/>
  <c r="G8652" i="1"/>
  <c r="G8651" i="1"/>
  <c r="G8650" i="1"/>
  <c r="G8649" i="1"/>
  <c r="G8648" i="1"/>
  <c r="G8647" i="1"/>
  <c r="G8646" i="1"/>
  <c r="G8645" i="1"/>
  <c r="G8644" i="1"/>
  <c r="G8643" i="1"/>
  <c r="G8642" i="1"/>
  <c r="G8641" i="1"/>
  <c r="G8640" i="1"/>
  <c r="G8639" i="1"/>
  <c r="G8638" i="1"/>
  <c r="G8637" i="1"/>
  <c r="G8636" i="1"/>
  <c r="G8635" i="1"/>
  <c r="G8634" i="1"/>
  <c r="G8633" i="1"/>
  <c r="G8632" i="1"/>
  <c r="G8631" i="1"/>
  <c r="G8630" i="1"/>
  <c r="G8629" i="1"/>
  <c r="G8628" i="1"/>
  <c r="G8627" i="1"/>
  <c r="G8626" i="1"/>
  <c r="G8625" i="1"/>
  <c r="G8624" i="1"/>
  <c r="G8623" i="1"/>
  <c r="G8622" i="1"/>
  <c r="G8621" i="1"/>
  <c r="G8620" i="1"/>
  <c r="G8619" i="1"/>
  <c r="G8618" i="1"/>
  <c r="G8617" i="1"/>
  <c r="G8616" i="1"/>
  <c r="G8615" i="1"/>
  <c r="G8614" i="1"/>
  <c r="G8613" i="1"/>
  <c r="G8612" i="1"/>
  <c r="G8611" i="1"/>
  <c r="G8610" i="1"/>
  <c r="G8609" i="1"/>
  <c r="G8608" i="1"/>
  <c r="G8607" i="1"/>
  <c r="G8606" i="1"/>
  <c r="G8605" i="1"/>
  <c r="G8604" i="1"/>
  <c r="G8603" i="1"/>
  <c r="G8602" i="1"/>
  <c r="G8601" i="1"/>
  <c r="G8600" i="1"/>
  <c r="G8599" i="1"/>
  <c r="G8598" i="1"/>
  <c r="G8597" i="1"/>
  <c r="G8596" i="1"/>
  <c r="G8595" i="1"/>
  <c r="G8594" i="1"/>
  <c r="G8593" i="1"/>
  <c r="G8592" i="1"/>
  <c r="G8591" i="1"/>
  <c r="G8590" i="1"/>
  <c r="G8589" i="1"/>
  <c r="G8588" i="1"/>
  <c r="G8587" i="1"/>
  <c r="G8586" i="1"/>
  <c r="G8585" i="1"/>
  <c r="G8584" i="1"/>
  <c r="G8583" i="1"/>
  <c r="G8582" i="1"/>
  <c r="G8581" i="1"/>
  <c r="G8580" i="1"/>
  <c r="G8579" i="1"/>
  <c r="G8578" i="1"/>
  <c r="G8577" i="1"/>
  <c r="G8576" i="1"/>
  <c r="G8575" i="1"/>
  <c r="G8574" i="1"/>
  <c r="G8573" i="1"/>
  <c r="G8572" i="1"/>
  <c r="G8571" i="1"/>
  <c r="G8570" i="1"/>
  <c r="G8569" i="1"/>
  <c r="G8568" i="1"/>
  <c r="G8567" i="1"/>
  <c r="G8566" i="1"/>
  <c r="G8565" i="1"/>
  <c r="G8564" i="1"/>
  <c r="G8563" i="1"/>
  <c r="G8562" i="1"/>
  <c r="G8561" i="1"/>
  <c r="G8560" i="1"/>
  <c r="G8559" i="1"/>
  <c r="G8558" i="1"/>
  <c r="G8557" i="1"/>
  <c r="G8556" i="1"/>
  <c r="G8555" i="1"/>
  <c r="G8554" i="1"/>
  <c r="G8553" i="1"/>
  <c r="G8552" i="1"/>
  <c r="G8551" i="1"/>
  <c r="G8550" i="1"/>
  <c r="G8549" i="1"/>
  <c r="G8548" i="1"/>
  <c r="G8547" i="1"/>
  <c r="G8546" i="1"/>
  <c r="G8545" i="1"/>
  <c r="G8544" i="1"/>
  <c r="G8543" i="1"/>
  <c r="G8542" i="1"/>
  <c r="G8541" i="1"/>
  <c r="G8540" i="1"/>
  <c r="G8539" i="1"/>
  <c r="G8538" i="1"/>
  <c r="G8537" i="1"/>
  <c r="G8536" i="1"/>
  <c r="G8535" i="1"/>
  <c r="G8534" i="1"/>
  <c r="G8533" i="1"/>
  <c r="G8532" i="1"/>
  <c r="G8531" i="1"/>
  <c r="G8530" i="1"/>
  <c r="G8529" i="1"/>
  <c r="G8528" i="1"/>
  <c r="G8527" i="1"/>
  <c r="G8526" i="1"/>
  <c r="G8525" i="1"/>
  <c r="G8524" i="1"/>
  <c r="G8523" i="1"/>
  <c r="G8522" i="1"/>
  <c r="G8521" i="1"/>
  <c r="G8520" i="1"/>
  <c r="G8519" i="1"/>
  <c r="G8518" i="1"/>
  <c r="G8517" i="1"/>
  <c r="G8516" i="1"/>
  <c r="G8515" i="1"/>
  <c r="G8514" i="1"/>
  <c r="G8513" i="1"/>
  <c r="G8512" i="1"/>
  <c r="G8511" i="1"/>
  <c r="G8510" i="1"/>
  <c r="G8509" i="1"/>
  <c r="G8508" i="1"/>
  <c r="G8507" i="1"/>
  <c r="G8506" i="1"/>
  <c r="G8505" i="1"/>
  <c r="G8504" i="1"/>
  <c r="G8503" i="1"/>
  <c r="G8502" i="1"/>
  <c r="G8501" i="1"/>
  <c r="G8500" i="1"/>
  <c r="G8499" i="1"/>
  <c r="G8498" i="1"/>
  <c r="G8497" i="1"/>
  <c r="G8496" i="1"/>
  <c r="G8495" i="1"/>
  <c r="G8494" i="1"/>
  <c r="G8493" i="1"/>
  <c r="G8492" i="1"/>
  <c r="G8491" i="1"/>
  <c r="G8490" i="1"/>
  <c r="G8489" i="1"/>
  <c r="G8488" i="1"/>
  <c r="G8487" i="1"/>
  <c r="G8486" i="1"/>
  <c r="G8485" i="1"/>
  <c r="G8484" i="1"/>
  <c r="G8483" i="1"/>
  <c r="G8482" i="1"/>
  <c r="G8481" i="1"/>
  <c r="G8480" i="1"/>
  <c r="G8479" i="1"/>
  <c r="G8478" i="1"/>
  <c r="G8477" i="1"/>
  <c r="G8476" i="1"/>
  <c r="G8475" i="1"/>
  <c r="G8474" i="1"/>
  <c r="G8473" i="1"/>
  <c r="G8472" i="1"/>
  <c r="G8471" i="1"/>
  <c r="G8470" i="1"/>
  <c r="G8469" i="1"/>
  <c r="G8468" i="1"/>
  <c r="G8467" i="1"/>
  <c r="G8466" i="1"/>
  <c r="G8465" i="1"/>
  <c r="G8464" i="1"/>
  <c r="G8463" i="1"/>
  <c r="G8462" i="1"/>
  <c r="G8461" i="1"/>
  <c r="G8460" i="1"/>
  <c r="G8459" i="1"/>
  <c r="G8458" i="1"/>
  <c r="G8457" i="1"/>
  <c r="G8456" i="1"/>
  <c r="G8455" i="1"/>
  <c r="G8454" i="1"/>
  <c r="G8453" i="1"/>
  <c r="G8452" i="1"/>
  <c r="G8451" i="1"/>
  <c r="G8450" i="1"/>
  <c r="G8449" i="1"/>
  <c r="G8448" i="1"/>
  <c r="G8447" i="1"/>
  <c r="G8446" i="1"/>
  <c r="G8445" i="1"/>
  <c r="G8444" i="1"/>
  <c r="G8443" i="1"/>
  <c r="G8442" i="1"/>
  <c r="G8441" i="1"/>
  <c r="G8440" i="1"/>
  <c r="G8439" i="1"/>
  <c r="G8438" i="1"/>
  <c r="G8437" i="1"/>
  <c r="G8436" i="1"/>
  <c r="G8435" i="1"/>
  <c r="G8434" i="1"/>
  <c r="G8433" i="1"/>
  <c r="G8432" i="1"/>
  <c r="G8431" i="1"/>
  <c r="G8430" i="1"/>
  <c r="G8429" i="1"/>
  <c r="G8428" i="1"/>
  <c r="G8427" i="1"/>
  <c r="G8426" i="1"/>
  <c r="G8425" i="1"/>
  <c r="G8424" i="1"/>
  <c r="G8423" i="1"/>
  <c r="G8422" i="1"/>
  <c r="G8421" i="1"/>
  <c r="G8420" i="1"/>
  <c r="G8419" i="1"/>
  <c r="G8418" i="1"/>
  <c r="G8417" i="1"/>
  <c r="G8416" i="1"/>
  <c r="G8415" i="1"/>
  <c r="G8414" i="1"/>
  <c r="G8413" i="1"/>
  <c r="G8412" i="1"/>
  <c r="G8411" i="1"/>
  <c r="G8410" i="1"/>
  <c r="G8409" i="1"/>
  <c r="G8408" i="1"/>
  <c r="G8407" i="1"/>
  <c r="G8406" i="1"/>
  <c r="G8405" i="1"/>
  <c r="G8404" i="1"/>
  <c r="G8403" i="1"/>
  <c r="G8402" i="1"/>
  <c r="G8401" i="1"/>
  <c r="G8400" i="1"/>
  <c r="G8399" i="1"/>
  <c r="G8398" i="1"/>
  <c r="G8397" i="1"/>
  <c r="G8396" i="1"/>
  <c r="G8395" i="1"/>
  <c r="G8394" i="1"/>
  <c r="G8393" i="1"/>
  <c r="G8392" i="1"/>
  <c r="G8391" i="1"/>
  <c r="G8390" i="1"/>
  <c r="G8389" i="1"/>
  <c r="G8388" i="1"/>
  <c r="G8387" i="1"/>
  <c r="G8386" i="1"/>
  <c r="G8385" i="1"/>
  <c r="G8384" i="1"/>
  <c r="G8383" i="1"/>
  <c r="G8382" i="1"/>
  <c r="G8381" i="1"/>
  <c r="G8380" i="1"/>
  <c r="G8379" i="1"/>
  <c r="G8378" i="1"/>
  <c r="G8377" i="1"/>
  <c r="G8376" i="1"/>
  <c r="G8375" i="1"/>
  <c r="G8374" i="1"/>
  <c r="G8373" i="1"/>
  <c r="G8372" i="1"/>
  <c r="G8371" i="1"/>
  <c r="G8370" i="1"/>
  <c r="G8369" i="1"/>
  <c r="G8368" i="1"/>
  <c r="G8367" i="1"/>
  <c r="G8366" i="1"/>
  <c r="G8365" i="1"/>
  <c r="G8364" i="1"/>
  <c r="G8363" i="1"/>
  <c r="G8362" i="1"/>
  <c r="G8361" i="1"/>
  <c r="G8360" i="1"/>
  <c r="G8359" i="1"/>
  <c r="G8358" i="1"/>
  <c r="G8357" i="1"/>
  <c r="G8356" i="1"/>
  <c r="G8355" i="1"/>
  <c r="G8354" i="1"/>
  <c r="G8353" i="1"/>
  <c r="G8352" i="1"/>
  <c r="G8351" i="1"/>
  <c r="G8350" i="1"/>
  <c r="G8349" i="1"/>
  <c r="G8348" i="1"/>
  <c r="G8347" i="1"/>
  <c r="G8346" i="1"/>
  <c r="G8345" i="1"/>
  <c r="G8344" i="1"/>
  <c r="G8343" i="1"/>
  <c r="G8342" i="1"/>
  <c r="G8341" i="1"/>
  <c r="G8340" i="1"/>
  <c r="G8339" i="1"/>
  <c r="G8338" i="1"/>
  <c r="G8337" i="1"/>
  <c r="G8336" i="1"/>
  <c r="G8335" i="1"/>
  <c r="G8334" i="1"/>
  <c r="G8333" i="1"/>
  <c r="G8332" i="1"/>
  <c r="G8331" i="1"/>
  <c r="G8330" i="1"/>
  <c r="G8329" i="1"/>
  <c r="G8328" i="1"/>
  <c r="G8327" i="1"/>
  <c r="G8326" i="1"/>
  <c r="G8325" i="1"/>
  <c r="G8324" i="1"/>
  <c r="G8323" i="1"/>
  <c r="G8322" i="1"/>
  <c r="G8321" i="1"/>
  <c r="G8320" i="1"/>
  <c r="G8319" i="1"/>
  <c r="G8318" i="1"/>
  <c r="G8317" i="1"/>
  <c r="G8316" i="1"/>
  <c r="G8315" i="1"/>
  <c r="G8314" i="1"/>
  <c r="G8313" i="1"/>
  <c r="G8312" i="1"/>
  <c r="G8311" i="1"/>
  <c r="G8310" i="1"/>
  <c r="G8309" i="1"/>
  <c r="G8308" i="1"/>
  <c r="G8307" i="1"/>
  <c r="G8306" i="1"/>
  <c r="G8305" i="1"/>
  <c r="G8304" i="1"/>
  <c r="G8303" i="1"/>
  <c r="G8302" i="1"/>
  <c r="G8301" i="1"/>
  <c r="G8300" i="1"/>
  <c r="G8299" i="1"/>
  <c r="G8298" i="1"/>
  <c r="G8297" i="1"/>
  <c r="G8296" i="1"/>
  <c r="G8295" i="1"/>
  <c r="G8294" i="1"/>
  <c r="G8293" i="1"/>
  <c r="G8292" i="1"/>
  <c r="G8291" i="1"/>
  <c r="G8290" i="1"/>
  <c r="G8289" i="1"/>
  <c r="G8288" i="1"/>
  <c r="G8287" i="1"/>
  <c r="G8286" i="1"/>
  <c r="G8285" i="1"/>
  <c r="G8284" i="1"/>
  <c r="G8283" i="1"/>
  <c r="G8282" i="1"/>
  <c r="G8281" i="1"/>
  <c r="G8280" i="1"/>
  <c r="G8279" i="1"/>
  <c r="G8278" i="1"/>
  <c r="G8277" i="1"/>
  <c r="G8276" i="1"/>
  <c r="G8275" i="1"/>
  <c r="G8274" i="1"/>
  <c r="G8273" i="1"/>
  <c r="G8272" i="1"/>
  <c r="G8271" i="1"/>
  <c r="G8270" i="1"/>
  <c r="G8269" i="1"/>
  <c r="G8268" i="1"/>
  <c r="G8267" i="1"/>
  <c r="G8266" i="1"/>
  <c r="G8265" i="1"/>
  <c r="G8264" i="1"/>
  <c r="G8263" i="1"/>
  <c r="G8262" i="1"/>
  <c r="G8261" i="1"/>
  <c r="G8260" i="1"/>
  <c r="G8259" i="1"/>
  <c r="G8258" i="1"/>
  <c r="G8257" i="1"/>
  <c r="G8256" i="1"/>
  <c r="G8255" i="1"/>
  <c r="G8254" i="1"/>
  <c r="G8253" i="1"/>
  <c r="G8252" i="1"/>
  <c r="G8251" i="1"/>
  <c r="G8250" i="1"/>
  <c r="G8249" i="1"/>
  <c r="G8248" i="1"/>
  <c r="G8247" i="1"/>
  <c r="G8246" i="1"/>
  <c r="G8245" i="1"/>
  <c r="G8244" i="1"/>
  <c r="G8243" i="1"/>
  <c r="G8242" i="1"/>
  <c r="G8241" i="1"/>
  <c r="G8240" i="1"/>
  <c r="G8239" i="1"/>
  <c r="G8238" i="1"/>
  <c r="G8237" i="1"/>
  <c r="G8236" i="1"/>
  <c r="G8235" i="1"/>
  <c r="G8234" i="1"/>
  <c r="G8233" i="1"/>
  <c r="G8232" i="1"/>
  <c r="G8231" i="1"/>
  <c r="G8230" i="1"/>
  <c r="G8229" i="1"/>
  <c r="G8228" i="1"/>
  <c r="G8227" i="1"/>
  <c r="G8226" i="1"/>
  <c r="G8225" i="1"/>
  <c r="G8224" i="1"/>
  <c r="G8223" i="1"/>
  <c r="G8222" i="1"/>
  <c r="G8221" i="1"/>
  <c r="G8220" i="1"/>
  <c r="G8219" i="1"/>
  <c r="G8218" i="1"/>
  <c r="G8217" i="1"/>
  <c r="G8216" i="1"/>
  <c r="G8215" i="1"/>
  <c r="G8214" i="1"/>
  <c r="G8213" i="1"/>
  <c r="G8212" i="1"/>
  <c r="G8211" i="1"/>
  <c r="G8210" i="1"/>
  <c r="G8209" i="1"/>
  <c r="G8208" i="1"/>
  <c r="G8207" i="1"/>
  <c r="G8206" i="1"/>
  <c r="G8205" i="1"/>
  <c r="G8204" i="1"/>
  <c r="G8203" i="1"/>
  <c r="G8202" i="1"/>
  <c r="G8201" i="1"/>
  <c r="G8200" i="1"/>
  <c r="G8199" i="1"/>
  <c r="G8198" i="1"/>
  <c r="G8197" i="1"/>
  <c r="G8196" i="1"/>
  <c r="G8195" i="1"/>
  <c r="G8194" i="1"/>
  <c r="G8193" i="1"/>
  <c r="G8192" i="1"/>
  <c r="G8191" i="1"/>
  <c r="G8190" i="1"/>
  <c r="G8189" i="1"/>
  <c r="G8188" i="1"/>
  <c r="G8187" i="1"/>
  <c r="G8186" i="1"/>
  <c r="G8185" i="1"/>
  <c r="G8184" i="1"/>
  <c r="G8183" i="1"/>
  <c r="G8182" i="1"/>
  <c r="G8181" i="1"/>
  <c r="G8180" i="1"/>
  <c r="G8179" i="1"/>
  <c r="G8178" i="1"/>
  <c r="G8177" i="1"/>
  <c r="G8176" i="1"/>
  <c r="G8175" i="1"/>
  <c r="G8174" i="1"/>
  <c r="G8173" i="1"/>
  <c r="G8172" i="1"/>
  <c r="G8171" i="1"/>
  <c r="G8170" i="1"/>
  <c r="G8169" i="1"/>
  <c r="G8168" i="1"/>
  <c r="G8167" i="1"/>
  <c r="G8166" i="1"/>
  <c r="G8165" i="1"/>
  <c r="G8164" i="1"/>
  <c r="G8163" i="1"/>
  <c r="G8162" i="1"/>
  <c r="G8161" i="1"/>
  <c r="G8160" i="1"/>
  <c r="G8159" i="1"/>
  <c r="G8158" i="1"/>
  <c r="G8157" i="1"/>
  <c r="G8156" i="1"/>
  <c r="G8155" i="1"/>
  <c r="G8154" i="1"/>
  <c r="G8153" i="1"/>
  <c r="G8152" i="1"/>
  <c r="G8151" i="1"/>
  <c r="G8150" i="1"/>
  <c r="G8149" i="1"/>
  <c r="G8148" i="1"/>
  <c r="G8147" i="1"/>
  <c r="G8146" i="1"/>
  <c r="G8145" i="1"/>
  <c r="G8144" i="1"/>
  <c r="G8143" i="1"/>
  <c r="G8142" i="1"/>
  <c r="G8141" i="1"/>
  <c r="G8140" i="1"/>
  <c r="G8139" i="1"/>
  <c r="G8138" i="1"/>
  <c r="G8137" i="1"/>
  <c r="G8136" i="1"/>
  <c r="G8135" i="1"/>
  <c r="G8134" i="1"/>
  <c r="G8133" i="1"/>
  <c r="G8132" i="1"/>
  <c r="G8131" i="1"/>
  <c r="G8130" i="1"/>
  <c r="G8129" i="1"/>
  <c r="G8128" i="1"/>
  <c r="G8127" i="1"/>
  <c r="G8126" i="1"/>
  <c r="G8125" i="1"/>
  <c r="G8124" i="1"/>
  <c r="G8123" i="1"/>
  <c r="G8122" i="1"/>
  <c r="G8121" i="1"/>
  <c r="G8120" i="1"/>
  <c r="G8119" i="1"/>
  <c r="G8118" i="1"/>
  <c r="G8117" i="1"/>
  <c r="G8116" i="1"/>
  <c r="G8115" i="1"/>
  <c r="G8114" i="1"/>
  <c r="G8113" i="1"/>
  <c r="G8112" i="1"/>
  <c r="G8111" i="1"/>
  <c r="G8110" i="1"/>
  <c r="G8109" i="1"/>
  <c r="G8108" i="1"/>
  <c r="G8107" i="1"/>
  <c r="G8106" i="1"/>
  <c r="G8105" i="1"/>
  <c r="G8104" i="1"/>
  <c r="G8103" i="1"/>
  <c r="G8102" i="1"/>
  <c r="G8101" i="1"/>
  <c r="G8100" i="1"/>
  <c r="G8099" i="1"/>
  <c r="G8098" i="1"/>
  <c r="G8097" i="1"/>
  <c r="G8096" i="1"/>
  <c r="G8095" i="1"/>
  <c r="G8094" i="1"/>
  <c r="G8093" i="1"/>
  <c r="G8092" i="1"/>
  <c r="G8091" i="1"/>
  <c r="G8090" i="1"/>
  <c r="G8089" i="1"/>
  <c r="G8088" i="1"/>
  <c r="G8087" i="1"/>
  <c r="G8086" i="1"/>
  <c r="G8085" i="1"/>
  <c r="G8084" i="1"/>
  <c r="G8083" i="1"/>
  <c r="G8082" i="1"/>
  <c r="G8081" i="1"/>
  <c r="G8080" i="1"/>
  <c r="G8079" i="1"/>
  <c r="G8078" i="1"/>
  <c r="G8077" i="1"/>
  <c r="G8076" i="1"/>
  <c r="G8075" i="1"/>
  <c r="G8074" i="1"/>
  <c r="G8073" i="1"/>
  <c r="G8072" i="1"/>
  <c r="G8071" i="1"/>
  <c r="G8070" i="1"/>
  <c r="G8069" i="1"/>
  <c r="G8068" i="1"/>
  <c r="G8067" i="1"/>
  <c r="G8066" i="1"/>
  <c r="G8065" i="1"/>
  <c r="G8064" i="1"/>
  <c r="G8063" i="1"/>
  <c r="G8062" i="1"/>
  <c r="G8061" i="1"/>
  <c r="G8060" i="1"/>
  <c r="G8059" i="1"/>
  <c r="G8058" i="1"/>
  <c r="G8057" i="1"/>
  <c r="G8056" i="1"/>
  <c r="G8055" i="1"/>
  <c r="G8054" i="1"/>
  <c r="G8053" i="1"/>
  <c r="G8052" i="1"/>
  <c r="G8051" i="1"/>
  <c r="G8050" i="1"/>
  <c r="G8049" i="1"/>
  <c r="G8048" i="1"/>
  <c r="G8047" i="1"/>
  <c r="G8046" i="1"/>
  <c r="G8045" i="1"/>
  <c r="G8044" i="1"/>
  <c r="G8043" i="1"/>
  <c r="G8042" i="1"/>
  <c r="G8041" i="1"/>
  <c r="G8040" i="1"/>
  <c r="G8039" i="1"/>
  <c r="G8038" i="1"/>
  <c r="G8037" i="1"/>
  <c r="G8036" i="1"/>
  <c r="G8035" i="1"/>
  <c r="G8034" i="1"/>
  <c r="G8033" i="1"/>
  <c r="G8032" i="1"/>
  <c r="G8031" i="1"/>
  <c r="G8030" i="1"/>
  <c r="G8029" i="1"/>
  <c r="G8028" i="1"/>
  <c r="G8027" i="1"/>
  <c r="G8026" i="1"/>
  <c r="G8025" i="1"/>
  <c r="G8024" i="1"/>
  <c r="G8023" i="1"/>
  <c r="G8022" i="1"/>
  <c r="G8021" i="1"/>
  <c r="G8020" i="1"/>
  <c r="G8019" i="1"/>
  <c r="G8018" i="1"/>
  <c r="G8017" i="1"/>
  <c r="G8016" i="1"/>
  <c r="G8015" i="1"/>
  <c r="G8014" i="1"/>
  <c r="G8013" i="1"/>
  <c r="G8012" i="1"/>
  <c r="G8011" i="1"/>
  <c r="G8010" i="1"/>
  <c r="G8009" i="1"/>
  <c r="G8008" i="1"/>
  <c r="G8007" i="1"/>
  <c r="G8006" i="1"/>
  <c r="G8005" i="1"/>
  <c r="G8004" i="1"/>
  <c r="G8003" i="1"/>
  <c r="G8002" i="1"/>
  <c r="G8001" i="1"/>
  <c r="G8000" i="1"/>
  <c r="G7999" i="1"/>
  <c r="G7998" i="1"/>
  <c r="G7997" i="1"/>
  <c r="G7996" i="1"/>
  <c r="G7995" i="1"/>
  <c r="G7994" i="1"/>
  <c r="G7993" i="1"/>
  <c r="G7992" i="1"/>
  <c r="G7991" i="1"/>
  <c r="G7990" i="1"/>
  <c r="G7989" i="1"/>
  <c r="G7988" i="1"/>
  <c r="G7987" i="1"/>
  <c r="G7986" i="1"/>
  <c r="G7985" i="1"/>
  <c r="G7984" i="1"/>
  <c r="G7983" i="1"/>
  <c r="G7982" i="1"/>
  <c r="G7981" i="1"/>
  <c r="G7980" i="1"/>
  <c r="G7979" i="1"/>
  <c r="G7978" i="1"/>
  <c r="G7977" i="1"/>
  <c r="G7976" i="1"/>
  <c r="G7975" i="1"/>
  <c r="G7974" i="1"/>
  <c r="G7973" i="1"/>
  <c r="G7972" i="1"/>
  <c r="G7971" i="1"/>
  <c r="G7970" i="1"/>
  <c r="G7969" i="1"/>
  <c r="G7968" i="1"/>
  <c r="G7967" i="1"/>
  <c r="G7966" i="1"/>
  <c r="G7965" i="1"/>
  <c r="G7964" i="1"/>
  <c r="G7963" i="1"/>
  <c r="G7962" i="1"/>
  <c r="G7961" i="1"/>
  <c r="G7960" i="1"/>
  <c r="G7959" i="1"/>
  <c r="G7958" i="1"/>
  <c r="G7957" i="1"/>
  <c r="G7956" i="1"/>
  <c r="G7955" i="1"/>
  <c r="G7954" i="1"/>
  <c r="G7953" i="1"/>
  <c r="G7952" i="1"/>
  <c r="G7951" i="1"/>
  <c r="G7950" i="1"/>
  <c r="G7949" i="1"/>
  <c r="G7948" i="1"/>
  <c r="G7947" i="1"/>
  <c r="G7946" i="1"/>
  <c r="G7945" i="1"/>
  <c r="G7944" i="1"/>
  <c r="G7943" i="1"/>
  <c r="G7942" i="1"/>
  <c r="G7941" i="1"/>
  <c r="G7940" i="1"/>
  <c r="G7939" i="1"/>
  <c r="G7938" i="1"/>
  <c r="G7937" i="1"/>
  <c r="G7936" i="1"/>
  <c r="G7935" i="1"/>
  <c r="G7934" i="1"/>
  <c r="G7933" i="1"/>
  <c r="G7932" i="1"/>
  <c r="G7931" i="1"/>
  <c r="G7930" i="1"/>
  <c r="G7929" i="1"/>
  <c r="G7928" i="1"/>
  <c r="G7927" i="1"/>
  <c r="G7926" i="1"/>
  <c r="G7925" i="1"/>
  <c r="G7924" i="1"/>
  <c r="G7923" i="1"/>
  <c r="G7922" i="1"/>
  <c r="G7921" i="1"/>
  <c r="G7920" i="1"/>
  <c r="G7919" i="1"/>
  <c r="G7918" i="1"/>
  <c r="G7917" i="1"/>
  <c r="G7916" i="1"/>
  <c r="G7915" i="1"/>
  <c r="G7914" i="1"/>
  <c r="G7913" i="1"/>
  <c r="G7912" i="1"/>
  <c r="G7911" i="1"/>
  <c r="G7910" i="1"/>
  <c r="G7909" i="1"/>
  <c r="G7908" i="1"/>
  <c r="G7907" i="1"/>
  <c r="G7906" i="1"/>
  <c r="G7905" i="1"/>
  <c r="G7904" i="1"/>
  <c r="G7903" i="1"/>
  <c r="G7902" i="1"/>
  <c r="G7901" i="1"/>
  <c r="G7900" i="1"/>
  <c r="G7899" i="1"/>
  <c r="G7898" i="1"/>
  <c r="G7897" i="1"/>
  <c r="G7896" i="1"/>
  <c r="G7895" i="1"/>
  <c r="G7894" i="1"/>
  <c r="G7893" i="1"/>
  <c r="G7892" i="1"/>
  <c r="G7891" i="1"/>
  <c r="G7890" i="1"/>
  <c r="G7889" i="1"/>
  <c r="G7888" i="1"/>
  <c r="G7887" i="1"/>
  <c r="G7886" i="1"/>
  <c r="G7885" i="1"/>
  <c r="G7884" i="1"/>
  <c r="G7883" i="1"/>
  <c r="G7882" i="1"/>
  <c r="G7881" i="1"/>
  <c r="G7880" i="1"/>
  <c r="G7879" i="1"/>
  <c r="G7878" i="1"/>
  <c r="G7877" i="1"/>
  <c r="G7876" i="1"/>
  <c r="G7875" i="1"/>
  <c r="G7874" i="1"/>
  <c r="G7873" i="1"/>
  <c r="G7872" i="1"/>
  <c r="G7871" i="1"/>
  <c r="G7870" i="1"/>
  <c r="G7869" i="1"/>
  <c r="G7868" i="1"/>
  <c r="G7867" i="1"/>
  <c r="G7866" i="1"/>
  <c r="G7865" i="1"/>
  <c r="G7864" i="1"/>
  <c r="G7863" i="1"/>
  <c r="G7862" i="1"/>
  <c r="G7861" i="1"/>
  <c r="G7860" i="1"/>
  <c r="G7859" i="1"/>
  <c r="G7858" i="1"/>
  <c r="G7857" i="1"/>
  <c r="G7856" i="1"/>
  <c r="G7855" i="1"/>
  <c r="G7854" i="1"/>
  <c r="G7853" i="1"/>
  <c r="G7852" i="1"/>
  <c r="G7851" i="1"/>
  <c r="G7850" i="1"/>
  <c r="G7849" i="1"/>
  <c r="G7848" i="1"/>
  <c r="G7847" i="1"/>
  <c r="G7846" i="1"/>
  <c r="G7845" i="1"/>
  <c r="G7844" i="1"/>
  <c r="G7843" i="1"/>
  <c r="G7842" i="1"/>
  <c r="G7841" i="1"/>
  <c r="G7840" i="1"/>
  <c r="G7839" i="1"/>
  <c r="G7838" i="1"/>
  <c r="G7837" i="1"/>
  <c r="G7836" i="1"/>
  <c r="G7835" i="1"/>
  <c r="G7834" i="1"/>
  <c r="G7833" i="1"/>
  <c r="G7832" i="1"/>
  <c r="G7831" i="1"/>
  <c r="G7830" i="1"/>
  <c r="G7829" i="1"/>
  <c r="G7828" i="1"/>
  <c r="G7827" i="1"/>
  <c r="G7826" i="1"/>
  <c r="G7825" i="1"/>
  <c r="G7824" i="1"/>
  <c r="G7823" i="1"/>
  <c r="G7822" i="1"/>
  <c r="G7821" i="1"/>
  <c r="G7820" i="1"/>
  <c r="G7819" i="1"/>
  <c r="G7818" i="1"/>
  <c r="G7817" i="1"/>
  <c r="G7816" i="1"/>
  <c r="G7815" i="1"/>
  <c r="G7814" i="1"/>
  <c r="G7813" i="1"/>
  <c r="G7812" i="1"/>
  <c r="G7811" i="1"/>
  <c r="G7810" i="1"/>
  <c r="G7809" i="1"/>
  <c r="G7808" i="1"/>
  <c r="G7807" i="1"/>
  <c r="G7806" i="1"/>
  <c r="G7805" i="1"/>
  <c r="G7804" i="1"/>
  <c r="G7803" i="1"/>
  <c r="G7802" i="1"/>
  <c r="G7801" i="1"/>
  <c r="G7800" i="1"/>
  <c r="G7799" i="1"/>
  <c r="G7798" i="1"/>
  <c r="G7797" i="1"/>
  <c r="G7796" i="1"/>
  <c r="G7795" i="1"/>
  <c r="G7794" i="1"/>
  <c r="G7793" i="1"/>
  <c r="G7792" i="1"/>
  <c r="G7791" i="1"/>
  <c r="G7790" i="1"/>
  <c r="G7789" i="1"/>
  <c r="G7788" i="1"/>
  <c r="G7787" i="1"/>
  <c r="G7786" i="1"/>
  <c r="G7785" i="1"/>
  <c r="G7784" i="1"/>
  <c r="G7783" i="1"/>
  <c r="G7782" i="1"/>
  <c r="G7781" i="1"/>
  <c r="G7780" i="1"/>
  <c r="G7779" i="1"/>
  <c r="G7778" i="1"/>
  <c r="G7777" i="1"/>
  <c r="G7776" i="1"/>
  <c r="G7775" i="1"/>
  <c r="G7774" i="1"/>
  <c r="G7773" i="1"/>
  <c r="G7772" i="1"/>
  <c r="G7771" i="1"/>
  <c r="G7770" i="1"/>
  <c r="G7769" i="1"/>
  <c r="G7768" i="1"/>
  <c r="G7767" i="1"/>
  <c r="G7766" i="1"/>
  <c r="G7765" i="1"/>
  <c r="G7764" i="1"/>
  <c r="G7763" i="1"/>
  <c r="G7762" i="1"/>
  <c r="G7761" i="1"/>
  <c r="G7760" i="1"/>
  <c r="G7759" i="1"/>
  <c r="G7758" i="1"/>
  <c r="G7757" i="1"/>
  <c r="G7756" i="1"/>
  <c r="G7755" i="1"/>
  <c r="G7754" i="1"/>
  <c r="G7753" i="1"/>
  <c r="G7752" i="1"/>
  <c r="G7751" i="1"/>
  <c r="G7750" i="1"/>
  <c r="G7749" i="1"/>
  <c r="G7748" i="1"/>
  <c r="G7747" i="1"/>
  <c r="G7746" i="1"/>
  <c r="G7745" i="1"/>
  <c r="G7744" i="1"/>
  <c r="G7743" i="1"/>
  <c r="G7742" i="1"/>
  <c r="G7741" i="1"/>
  <c r="G7740" i="1"/>
  <c r="G7739" i="1"/>
  <c r="G7738" i="1"/>
  <c r="G7737" i="1"/>
  <c r="G7736" i="1"/>
  <c r="G7735" i="1"/>
  <c r="G7734" i="1"/>
  <c r="G7733" i="1"/>
  <c r="G7732" i="1"/>
  <c r="G7731" i="1"/>
  <c r="G7730" i="1"/>
  <c r="G7729" i="1"/>
  <c r="G7728" i="1"/>
  <c r="G7727" i="1"/>
  <c r="G7726" i="1"/>
  <c r="G7725" i="1"/>
  <c r="G7724" i="1"/>
  <c r="G7723" i="1"/>
  <c r="G7722" i="1"/>
  <c r="G7721" i="1"/>
  <c r="G7720" i="1"/>
  <c r="G7719" i="1"/>
  <c r="G7718" i="1"/>
  <c r="G7717" i="1"/>
  <c r="G7716" i="1"/>
  <c r="G7715" i="1"/>
  <c r="G7714" i="1"/>
  <c r="G7713" i="1"/>
  <c r="G7712" i="1"/>
  <c r="G7711" i="1"/>
  <c r="G7710" i="1"/>
  <c r="G7709" i="1"/>
  <c r="G7708" i="1"/>
  <c r="G7707" i="1"/>
  <c r="G7706" i="1"/>
  <c r="G7705" i="1"/>
  <c r="G7704" i="1"/>
  <c r="G7703" i="1"/>
  <c r="G7702" i="1"/>
  <c r="G7701" i="1"/>
  <c r="G7700" i="1"/>
  <c r="G7699" i="1"/>
  <c r="G7698" i="1"/>
  <c r="G7697" i="1"/>
  <c r="G7696" i="1"/>
  <c r="G7695" i="1"/>
  <c r="G7694" i="1"/>
  <c r="G7693" i="1"/>
  <c r="G7692" i="1"/>
  <c r="G7691" i="1"/>
  <c r="G7690" i="1"/>
  <c r="G7689" i="1"/>
  <c r="G7688" i="1"/>
  <c r="G7687" i="1"/>
  <c r="G7686" i="1"/>
  <c r="G7685" i="1"/>
  <c r="G7684" i="1"/>
  <c r="G7683" i="1"/>
  <c r="G7682" i="1"/>
  <c r="G7681" i="1"/>
  <c r="G7680" i="1"/>
  <c r="G7679" i="1"/>
  <c r="G7678" i="1"/>
  <c r="G7677" i="1"/>
  <c r="G7676" i="1"/>
  <c r="G7675" i="1"/>
  <c r="G7674" i="1"/>
  <c r="G7673" i="1"/>
  <c r="G7672" i="1"/>
  <c r="G7671" i="1"/>
  <c r="G7670" i="1"/>
  <c r="G7669" i="1"/>
  <c r="G7668" i="1"/>
  <c r="G7667" i="1"/>
  <c r="G7666" i="1"/>
  <c r="G7665" i="1"/>
  <c r="G7664" i="1"/>
  <c r="G7663" i="1"/>
  <c r="G7662" i="1"/>
  <c r="G7661" i="1"/>
  <c r="G7660" i="1"/>
  <c r="G7659" i="1"/>
  <c r="G7658" i="1"/>
  <c r="G7657" i="1"/>
  <c r="G7656" i="1"/>
  <c r="G7655" i="1"/>
  <c r="G7654" i="1"/>
  <c r="G7653" i="1"/>
  <c r="G7652" i="1"/>
  <c r="G7651" i="1"/>
  <c r="G7650" i="1"/>
  <c r="G7649" i="1"/>
  <c r="G7648" i="1"/>
  <c r="G7647" i="1"/>
  <c r="G7646" i="1"/>
  <c r="G7645" i="1"/>
  <c r="G7644" i="1"/>
  <c r="G7643" i="1"/>
  <c r="G7642" i="1"/>
  <c r="G7641" i="1"/>
  <c r="G7640" i="1"/>
  <c r="G7639" i="1"/>
  <c r="G7638" i="1"/>
  <c r="G7637" i="1"/>
  <c r="G7636" i="1"/>
  <c r="G7635" i="1"/>
  <c r="G7634" i="1"/>
  <c r="G7633" i="1"/>
  <c r="G7632" i="1"/>
  <c r="G7631" i="1"/>
  <c r="G7630" i="1"/>
  <c r="G7629" i="1"/>
  <c r="G7628" i="1"/>
  <c r="G7627" i="1"/>
  <c r="G7626" i="1"/>
  <c r="G7625" i="1"/>
  <c r="G7624" i="1"/>
  <c r="G7623" i="1"/>
  <c r="G7622" i="1"/>
  <c r="G7621" i="1"/>
  <c r="G7620" i="1"/>
  <c r="G7619" i="1"/>
  <c r="G7618" i="1"/>
  <c r="G7617" i="1"/>
  <c r="G7616" i="1"/>
  <c r="G7615" i="1"/>
  <c r="G7614" i="1"/>
  <c r="G7613" i="1"/>
  <c r="G7612" i="1"/>
  <c r="G7611" i="1"/>
  <c r="G7610" i="1"/>
  <c r="G7609" i="1"/>
  <c r="G7608" i="1"/>
  <c r="G7607" i="1"/>
  <c r="G7606" i="1"/>
  <c r="G7605" i="1"/>
  <c r="G7604" i="1"/>
  <c r="G7603" i="1"/>
  <c r="G7602" i="1"/>
  <c r="G7601" i="1"/>
  <c r="G7600" i="1"/>
  <c r="G7599" i="1"/>
  <c r="G7598" i="1"/>
  <c r="G7597" i="1"/>
  <c r="G7596" i="1"/>
  <c r="G7595" i="1"/>
  <c r="G7594" i="1"/>
  <c r="G7593" i="1"/>
  <c r="G7592" i="1"/>
  <c r="G7591" i="1"/>
  <c r="G7590" i="1"/>
  <c r="G7589" i="1"/>
  <c r="G7588" i="1"/>
  <c r="G7587" i="1"/>
  <c r="G7586" i="1"/>
  <c r="G7585" i="1"/>
  <c r="G7584" i="1"/>
  <c r="G7583" i="1"/>
  <c r="G7582" i="1"/>
  <c r="G7581" i="1"/>
  <c r="G7580" i="1"/>
  <c r="G7579" i="1"/>
  <c r="G7578" i="1"/>
  <c r="G7577" i="1"/>
  <c r="G7576" i="1"/>
  <c r="G7575" i="1"/>
  <c r="G7574" i="1"/>
  <c r="G7573" i="1"/>
  <c r="G7572" i="1"/>
  <c r="G7571" i="1"/>
  <c r="G7570" i="1"/>
  <c r="G7569" i="1"/>
  <c r="G7568" i="1"/>
  <c r="G7567" i="1"/>
  <c r="G7566" i="1"/>
  <c r="G7565" i="1"/>
  <c r="G7564" i="1"/>
  <c r="G7563" i="1"/>
  <c r="G7562" i="1"/>
  <c r="G7561" i="1"/>
  <c r="G7560" i="1"/>
  <c r="G7559" i="1"/>
  <c r="G7558" i="1"/>
  <c r="G7557" i="1"/>
  <c r="G7556" i="1"/>
  <c r="G7555" i="1"/>
  <c r="G7554" i="1"/>
  <c r="G7553" i="1"/>
  <c r="G7552" i="1"/>
  <c r="G7551" i="1"/>
  <c r="G7550" i="1"/>
  <c r="G7549" i="1"/>
  <c r="G7548" i="1"/>
  <c r="G7547" i="1"/>
  <c r="G7546" i="1"/>
  <c r="G7545" i="1"/>
  <c r="G7544" i="1"/>
  <c r="G7543" i="1"/>
  <c r="G7542" i="1"/>
  <c r="G7541" i="1"/>
  <c r="G7540" i="1"/>
  <c r="G7539" i="1"/>
  <c r="G7538" i="1"/>
  <c r="G7537" i="1"/>
  <c r="G7536" i="1"/>
  <c r="G7535" i="1"/>
  <c r="G7534" i="1"/>
  <c r="G7533" i="1"/>
  <c r="G7532" i="1"/>
  <c r="G7531" i="1"/>
  <c r="G7530" i="1"/>
  <c r="G7529" i="1"/>
  <c r="G7528" i="1"/>
  <c r="G7527" i="1"/>
  <c r="G7526" i="1"/>
  <c r="G7525" i="1"/>
  <c r="G7524" i="1"/>
  <c r="G7523" i="1"/>
  <c r="G7522" i="1"/>
  <c r="G7521" i="1"/>
  <c r="G7520" i="1"/>
  <c r="G7519" i="1"/>
  <c r="G7518" i="1"/>
  <c r="G7517" i="1"/>
  <c r="G7516" i="1"/>
  <c r="G7515" i="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<sst xmlns="http://schemas.openxmlformats.org/spreadsheetml/2006/main" count="118333" uniqueCount="59680">
  <si>
    <t>Регион</t>
  </si>
  <si>
    <t>Адрес</t>
  </si>
  <si>
    <t>Название организации</t>
  </si>
  <si>
    <t>ИНН</t>
  </si>
  <si>
    <t>Спецучет организации</t>
  </si>
  <si>
    <t>Номер магазина</t>
  </si>
  <si>
    <t>Ссылка на QR-код</t>
  </si>
  <si>
    <t>Алтайский край</t>
  </si>
  <si>
    <t>659900 Алтайский край город Белокуриха улица Академика Мясникова дом 9</t>
  </si>
  <si>
    <t>ИП Байкулова Фатима Алиевна</t>
  </si>
  <si>
    <t>91902180093</t>
  </si>
  <si>
    <t>ИП2304035812</t>
  </si>
  <si>
    <t>ИП230403581200000</t>
  </si>
  <si>
    <t>659900 Алтайский край город Белокуриха улица Славского дом 33</t>
  </si>
  <si>
    <t>ИП230403581200001</t>
  </si>
  <si>
    <t>658130 Алтайский край город Алейск улица Комсомольская дом 128</t>
  </si>
  <si>
    <t>ИП Герасименко Светлана Алексеевна</t>
  </si>
  <si>
    <t>220100088092</t>
  </si>
  <si>
    <t>ИП2208013957</t>
  </si>
  <si>
    <t>ИП220801395700000</t>
  </si>
  <si>
    <t>659070 Алтайский край село Топчиха улица Ленина дом 3а</t>
  </si>
  <si>
    <t>ИП220801395700001</t>
  </si>
  <si>
    <t>658150 Алтайский край село Усть-Калманка улица Ленина дом 28</t>
  </si>
  <si>
    <t>ИП220801395700002</t>
  </si>
  <si>
    <t>658560 Алтайский край село Мамонтово улица Партизанская 147</t>
  </si>
  <si>
    <t>ИП220801395700003</t>
  </si>
  <si>
    <t>658130 Алтайский край город Алейск улица Пионерская владение 125б</t>
  </si>
  <si>
    <t>ИП220801395700004</t>
  </si>
  <si>
    <t>658130 Алтайский край город Алейск улица Пионерская дом 134</t>
  </si>
  <si>
    <t>ИП220801395700005</t>
  </si>
  <si>
    <t>656031 Алтайский край город Барнаул проспект Строителей 117   Отдел "ЭЛИТ_GOLD"</t>
  </si>
  <si>
    <t>ИП Гирько Наталья Викторовна</t>
  </si>
  <si>
    <t>220100788601</t>
  </si>
  <si>
    <t>ИП2208011645</t>
  </si>
  <si>
    <t>ИП220801164500000</t>
  </si>
  <si>
    <t>658130 Алтайский край город Алейск улица Комсомольская дом 115А</t>
  </si>
  <si>
    <t>ИП220801164500001</t>
  </si>
  <si>
    <t>656057 Алтайский край город Барнаул тракт Павловский здание 251в</t>
  </si>
  <si>
    <t>ИП220801164500004</t>
  </si>
  <si>
    <t>659900 Алтайский край город Белокуриха улица Славского дом 45 строение 1</t>
  </si>
  <si>
    <t>ИП Легчилина Елена Васильевна</t>
  </si>
  <si>
    <t>220300007020</t>
  </si>
  <si>
    <t>ИП2208016792</t>
  </si>
  <si>
    <t>ИП220801679200000</t>
  </si>
  <si>
    <t>659900 Алтайский край Город Белокуриха Улица Славского Дом 33   Офис 5</t>
  </si>
  <si>
    <t>ИП Богомолова Людмила Степановна</t>
  </si>
  <si>
    <t>220300141667</t>
  </si>
  <si>
    <t>ИП2208011943</t>
  </si>
  <si>
    <t>ИП220801194300000</t>
  </si>
  <si>
    <t>659900 Алтайский край Город Белокуриха Улица Славского Дом 33   Офис 3</t>
  </si>
  <si>
    <t>ИП220801194300002</t>
  </si>
  <si>
    <t>659900 Алтайский край Город Белокуриха Улица Ак. Мясникова Дом 18</t>
  </si>
  <si>
    <t>ИП Некрасова Оксана Николаевна</t>
  </si>
  <si>
    <t>220301034971</t>
  </si>
  <si>
    <t>ИП2208009074</t>
  </si>
  <si>
    <t>ИП220800907400000</t>
  </si>
  <si>
    <t>659900 Алтайский край город Белокуриха Славского 18</t>
  </si>
  <si>
    <t>ИП220800907400004</t>
  </si>
  <si>
    <t>659900 Алтайский край город Белокуриха улица Славского владение 9</t>
  </si>
  <si>
    <t>ООО "РЯБИНОВЫЙ МОСТ"</t>
  </si>
  <si>
    <t>2203020126</t>
  </si>
  <si>
    <t>ЮЛ2208036438</t>
  </si>
  <si>
    <t>ЮЛ220803643800001</t>
  </si>
  <si>
    <t>659900 Алтайский край город Белокуриха улица Славского владение 39</t>
  </si>
  <si>
    <t>ЮЛ220803643800002</t>
  </si>
  <si>
    <t>659900 Алтайский край город Белокуриха улица Академика Мясникова дом 18</t>
  </si>
  <si>
    <t>ЮЛ220803643800003</t>
  </si>
  <si>
    <t>659900 Алтайский край город Белокуриха улица Славского владение 18</t>
  </si>
  <si>
    <t>ЮЛ220803643800004</t>
  </si>
  <si>
    <t>659303 Алтайский край город Бийск улица Петра Мерлина дом 19</t>
  </si>
  <si>
    <t>ООО "АТИКС"</t>
  </si>
  <si>
    <t>2204022239</t>
  </si>
  <si>
    <t>ЮЛ2208015261</t>
  </si>
  <si>
    <t>ЮЛ220801526100000</t>
  </si>
  <si>
    <t>659540 Алтайский край село Советское улица Ленина владение 70</t>
  </si>
  <si>
    <t>ЮЛ220801526100001</t>
  </si>
  <si>
    <t>659600 Алтайский край село Смоленское улица Красноярская дом 100А</t>
  </si>
  <si>
    <t>ЮЛ220801526100002</t>
  </si>
  <si>
    <t>659325 Алтайский край город Бийск проспект Сергея Кирова дом 8   комнаты 1,2,3,3а,4,13,14</t>
  </si>
  <si>
    <t>ИП Милехина Людмила Николаевна</t>
  </si>
  <si>
    <t>220405266536</t>
  </si>
  <si>
    <t>ИП2208014088</t>
  </si>
  <si>
    <t>ИП220801408800000</t>
  </si>
  <si>
    <t>659321 Алтайский край город Бийск улица Советская дом 205/2</t>
  </si>
  <si>
    <t>ИП Стукачева Раиса Владимировна</t>
  </si>
  <si>
    <t>220407035284</t>
  </si>
  <si>
    <t>ИП2208011616</t>
  </si>
  <si>
    <t>ИП220801161600000</t>
  </si>
  <si>
    <t>659303 Алтайский край город Бийск улица Михаила Митрофанова владение 12</t>
  </si>
  <si>
    <t>ИП220801161600001</t>
  </si>
  <si>
    <t>659315 Алтайский край город Бийск улица имени Героя Советского Союза Васильева дом 59/2</t>
  </si>
  <si>
    <t>ИП220801161600002</t>
  </si>
  <si>
    <t>659306 Алтайский край город Бийск улица Владимира Ленина дом 252   помещение Н-10,17</t>
  </si>
  <si>
    <t>ИП Ковшов Иван Николаевич</t>
  </si>
  <si>
    <t>220408581832</t>
  </si>
  <si>
    <t>ИП2208014804</t>
  </si>
  <si>
    <t>ИП220801480400000</t>
  </si>
  <si>
    <t>659300 Алтайский край Бийск Митрофанова 12</t>
  </si>
  <si>
    <t>ИП Абубакирова Жанна Петровна</t>
  </si>
  <si>
    <t>220408702614</t>
  </si>
  <si>
    <t>ИП2208036100</t>
  </si>
  <si>
    <t>ИП220803610000000</t>
  </si>
  <si>
    <t>659300 Алтайский край город Бийск улица Советская дом 40</t>
  </si>
  <si>
    <t>ИП220803610000001</t>
  </si>
  <si>
    <t>659306 Алтайский край город Бийск Владимира Ленина 250/1   Торговый центр "ЦУМ" место 30</t>
  </si>
  <si>
    <t>ИП Шиликова Елена Петровна</t>
  </si>
  <si>
    <t>220414387914</t>
  </si>
  <si>
    <t>ИП2208014437</t>
  </si>
  <si>
    <t>ИП220801443700000</t>
  </si>
  <si>
    <t>659300 Алтайский край город Бийск переулок Коммунарский здание 18   Маг-н"Мария-Ра"Золото России</t>
  </si>
  <si>
    <t>ИП Новичихина Диана Александровна</t>
  </si>
  <si>
    <t>220415999116</t>
  </si>
  <si>
    <t>ИП7803012722</t>
  </si>
  <si>
    <t>ИП780301272200000</t>
  </si>
  <si>
    <t>659321 Алтайский край город Бийск улица Советская дом 205/2   ТРЦ"Ривьера"Золото России</t>
  </si>
  <si>
    <t>ИП780301272200001</t>
  </si>
  <si>
    <t>656057 Алтайский край город Барнаул тракт Павловский здание 251в   ТРЦ"Европа"Золото России</t>
  </si>
  <si>
    <t>ИП Буланов Данила Александрович</t>
  </si>
  <si>
    <t>220420890393</t>
  </si>
  <si>
    <t>ИП2208005126</t>
  </si>
  <si>
    <t>ИП220800512600000</t>
  </si>
  <si>
    <t>656054 Алтайский край город Барнаул улица Антона Петрова дом 219Б   ТРЦ "Огни"Золото России</t>
  </si>
  <si>
    <t>ИП220800512600001</t>
  </si>
  <si>
    <t>656023 Алтайский край город Барнаул проспект Космонавтов дом 6В   ТЦ"Алтай"Золото России</t>
  </si>
  <si>
    <t>ИП220800512600002</t>
  </si>
  <si>
    <t>656062 Алтайский край город Барнаул улица Попова дом 82   ТРЦ"Малина"Золото России</t>
  </si>
  <si>
    <t>ИП220800512600003</t>
  </si>
  <si>
    <t>659100 Алтайский край город Заринск улица Таратынова здание  6   помещение 27</t>
  </si>
  <si>
    <t>ИП Макеева Ирина Николаевна</t>
  </si>
  <si>
    <t>220500071103</t>
  </si>
  <si>
    <t>ИП2208018345</t>
  </si>
  <si>
    <t>ИП220801834500000</t>
  </si>
  <si>
    <t>659100 Алтайский край город Заринск улица Металлургов дом 12   офис Магазин "Лабиринт"</t>
  </si>
  <si>
    <t>ИП Шмидт Альбина Владимировна</t>
  </si>
  <si>
    <t>220500579472</t>
  </si>
  <si>
    <t>ИП2208006037</t>
  </si>
  <si>
    <t>ИП220800603700000</t>
  </si>
  <si>
    <t>659100 Алтайский край город Заринск проспект Строителей дом 14   помещение 328</t>
  </si>
  <si>
    <t>ИП Дульцев Антон Сергеевич</t>
  </si>
  <si>
    <t>220502484762</t>
  </si>
  <si>
    <t>ИП2208012695</t>
  </si>
  <si>
    <t>ИП220801269500000</t>
  </si>
  <si>
    <t>658820 Алтайский край город Славгород улица Ленина дом 98   офис 1</t>
  </si>
  <si>
    <t>ИП Нелидов Константин Павлович</t>
  </si>
  <si>
    <t>220502484900</t>
  </si>
  <si>
    <t>ИП2208005812</t>
  </si>
  <si>
    <t>ИП220800581200000</t>
  </si>
  <si>
    <t>658480 Алтайский край город Змеиногорск улица Пугачева дом 5а</t>
  </si>
  <si>
    <t>ИП Трунова И.Г.</t>
  </si>
  <si>
    <t>220600360934</t>
  </si>
  <si>
    <t>ИП2208016888</t>
  </si>
  <si>
    <t>ИП220801688800000</t>
  </si>
  <si>
    <t>658700 Алтайский край Камень-на-Оби Пушкина 16</t>
  </si>
  <si>
    <t>ИП Братышев Борис Александрович</t>
  </si>
  <si>
    <t>220700233111</t>
  </si>
  <si>
    <t>ИП2208016892</t>
  </si>
  <si>
    <t>ИП220801689200000</t>
  </si>
  <si>
    <t>658700 Алтайский край город Камень-на-Оби Улица Пушкина Дом 27  Н4</t>
  </si>
  <si>
    <t>ИП Корнилова Галина Ивановна</t>
  </si>
  <si>
    <t>220700593403</t>
  </si>
  <si>
    <t>ИП2208011636</t>
  </si>
  <si>
    <t>ИП220801163600000</t>
  </si>
  <si>
    <t>658701 Алтайский край город Камень на Оби улица Гагарина дом 105 А</t>
  </si>
  <si>
    <t>ООО "СИЛЬВЕР"</t>
  </si>
  <si>
    <t>2207010256</t>
  </si>
  <si>
    <t>ЮЛ2208015919</t>
  </si>
  <si>
    <t>ЮЛ220801591900000</t>
  </si>
  <si>
    <t>658700 Алтайский край город Камень-на-Оби улица Ленина  дом 56</t>
  </si>
  <si>
    <t>ИП Чеснокова Наталья Валерьевна</t>
  </si>
  <si>
    <t>220702943117</t>
  </si>
  <si>
    <t>ИП5408031932</t>
  </si>
  <si>
    <t>ИП540803193200000</t>
  </si>
  <si>
    <t>658030 Алтайский край рабочий поселок Тальменка улица Партизанская дом 55С</t>
  </si>
  <si>
    <t>ИП Гринин Юрий Анатольевич</t>
  </si>
  <si>
    <t>220804577100</t>
  </si>
  <si>
    <t>ИП2208032789</t>
  </si>
  <si>
    <t>ИП220803278900000</t>
  </si>
  <si>
    <t>658076 Алтайский край поселок ЗАТО Сибирский улица 40 лет РВСН дом 4</t>
  </si>
  <si>
    <t>ИП Гринин Юрий Юрьевич</t>
  </si>
  <si>
    <t>220805643411</t>
  </si>
  <si>
    <t>ИП2208032055</t>
  </si>
  <si>
    <t>ИП220803205500000</t>
  </si>
  <si>
    <t>658200 Алтайский край город Рубцовск улица Комсомольская дом 69   помещение 22</t>
  </si>
  <si>
    <t>ИП Скачкаускас Сергей Антанасович</t>
  </si>
  <si>
    <t>220900054303</t>
  </si>
  <si>
    <t>ИП2208040816</t>
  </si>
  <si>
    <t>ИП220804081600000</t>
  </si>
  <si>
    <t>658220 Алтайский край город Рубцовск улица Тракторная дом 17</t>
  </si>
  <si>
    <t>ИП Чиликин Виктор Васильевич</t>
  </si>
  <si>
    <t>220900680149</t>
  </si>
  <si>
    <t>ИП2208013367</t>
  </si>
  <si>
    <t>ИП220801336700000</t>
  </si>
  <si>
    <t>658224 Алтайский край город Рубцовск проспект Ленина дом 58</t>
  </si>
  <si>
    <t>ИП Рязанова Ирина Иоганнесовна</t>
  </si>
  <si>
    <t>220900858382</t>
  </si>
  <si>
    <t>ИП2208008458</t>
  </si>
  <si>
    <t>ИП220800845800000</t>
  </si>
  <si>
    <t>658201 Алтайский край город Рубцовск улица Калинина дом 14   помещение 125</t>
  </si>
  <si>
    <t>ИП Долгополова Жанна Владимировна</t>
  </si>
  <si>
    <t>220907773561</t>
  </si>
  <si>
    <t>ИП2208011613</t>
  </si>
  <si>
    <t>ИП220801161300000</t>
  </si>
  <si>
    <t>658200 Алтайский край город Рубцовск улица Тракторная дом 17</t>
  </si>
  <si>
    <t>ИП220801161300001</t>
  </si>
  <si>
    <t>658222 Алтайский край город Рубцовск улица Северная дом 13 1 этаж</t>
  </si>
  <si>
    <t>ИП220801161300002</t>
  </si>
  <si>
    <t>658204 Алтайский край город Рубцовск улица Комсомольская дом 88  А 1 этаж</t>
  </si>
  <si>
    <t>ИП220801161300003</t>
  </si>
  <si>
    <t>658224 Алтайский край город Рубцовск улица Комсомольская 149 ООО "центральный рынок"  ряд 5, место 1</t>
  </si>
  <si>
    <t>ИП Авксентюк Татьяна Юрьевна</t>
  </si>
  <si>
    <t>220908959209</t>
  </si>
  <si>
    <t>ИП2208019174</t>
  </si>
  <si>
    <t>ИП220801917400000</t>
  </si>
  <si>
    <t>ИП Кудашов Владислав Юрьевич</t>
  </si>
  <si>
    <t>220909621973</t>
  </si>
  <si>
    <t>ИП2208006854</t>
  </si>
  <si>
    <t>ИП220800685400000</t>
  </si>
  <si>
    <t>658224 Алтайский край город Рубцовск проспект Ленина дом 58   3</t>
  </si>
  <si>
    <t>ИП Пофалит Наталья Николаевна</t>
  </si>
  <si>
    <t>220911681881</t>
  </si>
  <si>
    <t>ИП2208015241</t>
  </si>
  <si>
    <t>ИП220801524100000</t>
  </si>
  <si>
    <t>658213 Алтайский край город Рубцовск проспект Ленина дом 27   нежилое помещение 43</t>
  </si>
  <si>
    <t>ИП Медведев Юрий Иванович</t>
  </si>
  <si>
    <t>220912807907</t>
  </si>
  <si>
    <t>ИП2208003734</t>
  </si>
  <si>
    <t>ИП220800373400000</t>
  </si>
  <si>
    <t>658200 Алтайский край город Рубцовск проспект Рубцовский дом 15   квартира 82</t>
  </si>
  <si>
    <t>ИП Речицкий Алексей Васильевич</t>
  </si>
  <si>
    <t>220914304842</t>
  </si>
  <si>
    <t>ИП2208017398</t>
  </si>
  <si>
    <t>ИП220801739800000</t>
  </si>
  <si>
    <t>658820 Алтайский край Славгород Карла Маркса  143   помещение площадью 27,6 м2</t>
  </si>
  <si>
    <t>ИП Панасенко Юрий Алексеевич</t>
  </si>
  <si>
    <t>221000079836</t>
  </si>
  <si>
    <t>ИП2208006973</t>
  </si>
  <si>
    <t>ИП220800697300001</t>
  </si>
  <si>
    <t>658820 Алтайский край Славгород Карла Маркса 143   помещение площадью 7,5м2</t>
  </si>
  <si>
    <t>ИП220800697300002</t>
  </si>
  <si>
    <t>658820 Алтайский край Славгород Карла Маркса 143   помещение площадью 9,03м2</t>
  </si>
  <si>
    <t>ИП220800697300003</t>
  </si>
  <si>
    <t>656002 Алтайский край город Барнаул Проспект Ленина Дом 100   Помещение Н4</t>
  </si>
  <si>
    <t>ИП Загорулько Сергей Яковлевич</t>
  </si>
  <si>
    <t>221000080172</t>
  </si>
  <si>
    <t>ИП2208006824</t>
  </si>
  <si>
    <t>ИП220800682400000</t>
  </si>
  <si>
    <t>658820 Алтайский край город Славгород улица К.Маркса владение 143   павильон № 49,50</t>
  </si>
  <si>
    <t>ИП Пернай Любовь Ивановна</t>
  </si>
  <si>
    <t>221000456298</t>
  </si>
  <si>
    <t>ИП2208003941</t>
  </si>
  <si>
    <t>ИП220800394100000</t>
  </si>
  <si>
    <t>658820 Алтайский край город Славгород улица Ленина дом 119 Магазин "Изумрудный"  17</t>
  </si>
  <si>
    <t>ИП Наумова Ульяна Александровна</t>
  </si>
  <si>
    <t>221001411211</t>
  </si>
  <si>
    <t>ИП2208014754</t>
  </si>
  <si>
    <t>ИП220801475400000</t>
  </si>
  <si>
    <t>658820 Алтайский край город Славгород улица К.Маркса владение 143 Торговый комплекс "Славянский"  Магазин "Топаз"</t>
  </si>
  <si>
    <t>ИП220801475400001</t>
  </si>
  <si>
    <t>ИП Переверзина Елена Дмитриевна</t>
  </si>
  <si>
    <t>222100002684</t>
  </si>
  <si>
    <t>ИП2208011093</t>
  </si>
  <si>
    <t>ИП220801109300000</t>
  </si>
  <si>
    <t>656052 Алтайский край город Барнаул улица Антона Петрова дом 106    оф.23</t>
  </si>
  <si>
    <t>ИП Гоманица Елена Анатольевна</t>
  </si>
  <si>
    <t>222100139336</t>
  </si>
  <si>
    <t>ИП2208005855</t>
  </si>
  <si>
    <t>ИП220800585500000</t>
  </si>
  <si>
    <t>656031 Алтайский край город Барнаул проспект Строителей дом 117</t>
  </si>
  <si>
    <t>ИП Борнысова Елена Васильевна</t>
  </si>
  <si>
    <t>222102652328</t>
  </si>
  <si>
    <t>ИП2208006782</t>
  </si>
  <si>
    <t>ИП220800678200002</t>
  </si>
  <si>
    <t>ИП220800678200003</t>
  </si>
  <si>
    <t>656023 Алтайский край город Барнаул проспект Космонавтов дом 6В</t>
  </si>
  <si>
    <t>ИП220800678200006</t>
  </si>
  <si>
    <t>656922 Алтайский край город Барнаул тракт Павловский дом 188</t>
  </si>
  <si>
    <t>ИП220800678200008</t>
  </si>
  <si>
    <t>656054 Алтайский край город Барнаул улица Малахова дом 86В   ЮВИС</t>
  </si>
  <si>
    <t>ИП Лейко Алексей Юрьевич</t>
  </si>
  <si>
    <t>222108797150</t>
  </si>
  <si>
    <t>ИП2208010130</t>
  </si>
  <si>
    <t>ИП220801013000000</t>
  </si>
  <si>
    <t>656052 Алтайский край город Барнаул улица Антона Петрова дом 106   офис 23</t>
  </si>
  <si>
    <t>ООО "ТЕХНОПОЛИС - ЛОМБАРД"</t>
  </si>
  <si>
    <t>2221117836</t>
  </si>
  <si>
    <t>ЮЛ2208008441</t>
  </si>
  <si>
    <t>ЮЛ220800844100000</t>
  </si>
  <si>
    <t>656011 Алтайский край город Барнаул проспект Ленина дом 131</t>
  </si>
  <si>
    <t>ООО "ЗЛАТО"</t>
  </si>
  <si>
    <t>2221179751</t>
  </si>
  <si>
    <t>ЮЛ2208004519</t>
  </si>
  <si>
    <t>ЮЛ220800451900000</t>
  </si>
  <si>
    <t>656037 Алтайский край город Барнаул проспект Ленина дом 159</t>
  </si>
  <si>
    <t>ЮЛ220800451900001</t>
  </si>
  <si>
    <t>ИП Немировский Лев Соломонович</t>
  </si>
  <si>
    <t>222200145598</t>
  </si>
  <si>
    <t>ИП2208004971</t>
  </si>
  <si>
    <t>ИП220800497100000</t>
  </si>
  <si>
    <t>656065 Алтайский край город Барнаул проспект Ленина дом 14   офис 1</t>
  </si>
  <si>
    <t>ИП Александров Евгений Александрович</t>
  </si>
  <si>
    <t>222202972402</t>
  </si>
  <si>
    <t>ИП2208019490</t>
  </si>
  <si>
    <t>ИП220801949000000</t>
  </si>
  <si>
    <t>ООО "АДАМАНТ"</t>
  </si>
  <si>
    <t>2222041587</t>
  </si>
  <si>
    <t>ЮЛ2208015724</t>
  </si>
  <si>
    <t>ЮЛ220801572400000</t>
  </si>
  <si>
    <t>ЮЛ220801572400001</t>
  </si>
  <si>
    <t>656056 Алтайский край город Барнаул улица Ленина дом 14   офис 1</t>
  </si>
  <si>
    <t>ООО "ЮД" АЛЕКСАНДРОВ И К"</t>
  </si>
  <si>
    <t>2222047317</t>
  </si>
  <si>
    <t>ЮЛ2208007800</t>
  </si>
  <si>
    <t>ЮЛ220800780000001</t>
  </si>
  <si>
    <t>658080 Алтайский край город Новоалтайск улица Деповская дом 22</t>
  </si>
  <si>
    <t>ИП Гринина Любовь Анатольевна</t>
  </si>
  <si>
    <t>222211663538</t>
  </si>
  <si>
    <t>ИП2208015509</t>
  </si>
  <si>
    <t>ИП220801550900000</t>
  </si>
  <si>
    <t>ИП Терещенко Яна Николаевна</t>
  </si>
  <si>
    <t>222266713107</t>
  </si>
  <si>
    <t>ИП2208034929</t>
  </si>
  <si>
    <t>ИП220803492900000</t>
  </si>
  <si>
    <t>656056 Алтайский край город Барнаул улица Мало-Тобольская 18А   411</t>
  </si>
  <si>
    <t>ООО ТПК "ТРАСТИНВЕСТ"</t>
  </si>
  <si>
    <t>2222836907</t>
  </si>
  <si>
    <t>ЮЛ2208017999</t>
  </si>
  <si>
    <t>ЮЛ220801799900000</t>
  </si>
  <si>
    <t>656055 Алтайский край город Барнаул улица Юрина дом 265а</t>
  </si>
  <si>
    <t>ООО "КОЛИБРИ"</t>
  </si>
  <si>
    <t>2222852338</t>
  </si>
  <si>
    <t>ЮЛ2208003929</t>
  </si>
  <si>
    <t>ЮЛ220800392900000</t>
  </si>
  <si>
    <t>658041 Алтайский край город Новоалтайск улица Октябрьская дом 9   Первый этаж, отдельный вход</t>
  </si>
  <si>
    <t>ИП Аладинская Татьяна Всеволодовна</t>
  </si>
  <si>
    <t>222300150150</t>
  </si>
  <si>
    <t>ИП2208016487</t>
  </si>
  <si>
    <t>ИП220801648700000</t>
  </si>
  <si>
    <t>656056 Алтайский край Барнаул Гоголя 47</t>
  </si>
  <si>
    <t>ИП Баранова Наталья Ивановна</t>
  </si>
  <si>
    <t>222301175856</t>
  </si>
  <si>
    <t>ИП2208005229</t>
  </si>
  <si>
    <t>ИП220800522900000</t>
  </si>
  <si>
    <t>656019 Алтайский край город Барнаул улица Юрина дом 206Е   офис, склад</t>
  </si>
  <si>
    <t>ООО "ЗОЛОТОЙ ТЕЛЕЦ"</t>
  </si>
  <si>
    <t>2223032095</t>
  </si>
  <si>
    <t>ЮЛ2208006783</t>
  </si>
  <si>
    <t>ЮЛ220800678300000</t>
  </si>
  <si>
    <t>656062 Алтайский край город Барнаул улица Попова дом 82</t>
  </si>
  <si>
    <t>ЮЛ220800678300004</t>
  </si>
  <si>
    <t>656015 Алтайский край город Барнаул проспект Ленина дом 73</t>
  </si>
  <si>
    <t>ЮЛ220800678300005</t>
  </si>
  <si>
    <t>ЮЛ220800678300006</t>
  </si>
  <si>
    <t>659315 Алтайский край город Бийск улица имени Героя Советского Союза Васильева дом 44</t>
  </si>
  <si>
    <t>ЮЛ220800678300007</t>
  </si>
  <si>
    <t>ЮЛ220800678300011</t>
  </si>
  <si>
    <t>ЮЛ220800678300012</t>
  </si>
  <si>
    <t>656054 Алтайский край город Барнаул улица Малахова дом 86в</t>
  </si>
  <si>
    <t>ЮЛ220800678300013</t>
  </si>
  <si>
    <t>656066 Алтайский край город Барнаул улица Севастопольская дом 20А</t>
  </si>
  <si>
    <t>ООО "СИБИРСКИЙ ЮВЕЛИРНЫЙ ЗАВОД"</t>
  </si>
  <si>
    <t>2223050802</t>
  </si>
  <si>
    <t>ЮЛ2208007795</t>
  </si>
  <si>
    <t>ЮЛ220800779500000</t>
  </si>
  <si>
    <t>656049 Алтайский край город Барнаул проспект Красноармейский дом 47А</t>
  </si>
  <si>
    <t>ЮЛ220800779500002</t>
  </si>
  <si>
    <t>656054 Алтайский край город Барнаул улица Гоголя дом 47</t>
  </si>
  <si>
    <t>ООО "ЗОЛОТЕЯ"</t>
  </si>
  <si>
    <t>2223057692</t>
  </si>
  <si>
    <t>ЮЛ2208010071</t>
  </si>
  <si>
    <t>ЮЛ220801007100000</t>
  </si>
  <si>
    <t>656057 Алтайский край город Барнаул улица Павловский тракт дом 251В   помещение 1</t>
  </si>
  <si>
    <t>ЮЛ220801007100001</t>
  </si>
  <si>
    <t>656056 Алтайский край город Барнаул проспект Гоголя дом 47</t>
  </si>
  <si>
    <t>ИП Богдан Павел Алексеевич</t>
  </si>
  <si>
    <t>222309781827</t>
  </si>
  <si>
    <t>ИП2208011026</t>
  </si>
  <si>
    <t>ИП220801102600000</t>
  </si>
  <si>
    <t>ИП220801102600001</t>
  </si>
  <si>
    <t>656906 Алтайский край город Барнаул улица Белинского дом 12</t>
  </si>
  <si>
    <t>ИП Уткаев Андрей Александрович</t>
  </si>
  <si>
    <t>222310618649</t>
  </si>
  <si>
    <t>ИП2208014697</t>
  </si>
  <si>
    <t>ИП220801469700000</t>
  </si>
  <si>
    <t>656922 Алтайский край город Барнаул улица Фестивальная дом 3</t>
  </si>
  <si>
    <t>ИП220801469700002</t>
  </si>
  <si>
    <t>656039 Алтайский край город Барнаул улица Антона Петрова дом 203</t>
  </si>
  <si>
    <t>ООО "ЛОМБАРД КАРАТ"</t>
  </si>
  <si>
    <t>2223967123</t>
  </si>
  <si>
    <t>ЮЛ2208012077</t>
  </si>
  <si>
    <t>ЮЛ220801207700000</t>
  </si>
  <si>
    <t>656049 Алтайский край город Барнаул проспект Космонавтов  дом 8/2</t>
  </si>
  <si>
    <t xml:space="preserve">ИП Кривоносов Дмитрий Яковлевич </t>
  </si>
  <si>
    <t>222401618808</t>
  </si>
  <si>
    <t>ИП2208013431</t>
  </si>
  <si>
    <t>ИП220801343100000</t>
  </si>
  <si>
    <t>656002 Алтайский край город Барнаул площадь Победы  12</t>
  </si>
  <si>
    <t>ИП Левкина Ирина Васильевна</t>
  </si>
  <si>
    <t>222401618974</t>
  </si>
  <si>
    <t>ИП2208018226</t>
  </si>
  <si>
    <t>ИП220801822600000</t>
  </si>
  <si>
    <t>656062 Алтайский край город Барнаул улица Попова 70   Ювелирный салон "Золотой век"</t>
  </si>
  <si>
    <t>ИП Ковалева Галина Михайловна</t>
  </si>
  <si>
    <t>222403265001</t>
  </si>
  <si>
    <t>ИП2208011096</t>
  </si>
  <si>
    <t>ИП220801109600000</t>
  </si>
  <si>
    <t>656057 Алтайский край город Барнаул тракт Павловский здание 251в   Ювелирный салон "Золотой век"</t>
  </si>
  <si>
    <t>ИП Ковалев Станислав Альбертович</t>
  </si>
  <si>
    <t>222407421798</t>
  </si>
  <si>
    <t>ИП2208011092</t>
  </si>
  <si>
    <t>ИП220801109200000</t>
  </si>
  <si>
    <t>656023 Алтайский край Город Барнаул проспект Космонавтов Дом 6В   Ювелирный салон "Золотой век"</t>
  </si>
  <si>
    <t>ИП220801109200001</t>
  </si>
  <si>
    <t>656070 Алтайский край город Барнаул улица Балтийская здание 116   1 этаж, помещение Н1,Н3</t>
  </si>
  <si>
    <t>ООО "ДЕ ГРАНД ПРИКСИ"</t>
  </si>
  <si>
    <t>2224183280</t>
  </si>
  <si>
    <t>ЮЛ2208011173</t>
  </si>
  <si>
    <t>ЮЛ220801117300000</t>
  </si>
  <si>
    <t>656058 Алтайский край город Барнаул тракт Павловский здание 251   1 этаж</t>
  </si>
  <si>
    <t>ЮЛ220801117300001</t>
  </si>
  <si>
    <t>656038 Алтайский край гор.Барнаул Шевченко 52-а   магазин Золотник</t>
  </si>
  <si>
    <t>ИП Лавниченко Игорь Дмитриевич</t>
  </si>
  <si>
    <t>222500068834</t>
  </si>
  <si>
    <t>ИП2208014184</t>
  </si>
  <si>
    <t>ИП220801418400000</t>
  </si>
  <si>
    <t>656062 Алтайский край город Барнаул улица Попова дом 64   Т.ц. Раздолье</t>
  </si>
  <si>
    <t>ИП Матыцина Светлана Иосиповна</t>
  </si>
  <si>
    <t>222500142816</t>
  </si>
  <si>
    <t>ИП2208012582</t>
  </si>
  <si>
    <t>ИП220801258200000</t>
  </si>
  <si>
    <t>656006 Алтайский край город Барнаул улица Малахова дом 156   помещение 14.5 кв. м.  на 1 этаже</t>
  </si>
  <si>
    <t>ИП Мухина Татьяна Ивановна</t>
  </si>
  <si>
    <t>222500285412</t>
  </si>
  <si>
    <t>ИП2208001391</t>
  </si>
  <si>
    <t>ИП220800139100000</t>
  </si>
  <si>
    <t>656056 Алтайский край город Барнаул Гоголя 47</t>
  </si>
  <si>
    <t>ИП Тарасова Наталья Арнольдовна</t>
  </si>
  <si>
    <t>222500485877</t>
  </si>
  <si>
    <t>ИП2208016196</t>
  </si>
  <si>
    <t>ИП220801619600000</t>
  </si>
  <si>
    <t>656062 Алтайский край город Барнаул улица Попова дом 64</t>
  </si>
  <si>
    <t>ИП Лузина Ирина Владимировна</t>
  </si>
  <si>
    <t>222500621583</t>
  </si>
  <si>
    <t>ИП2208016358</t>
  </si>
  <si>
    <t>ИП220801635800000</t>
  </si>
  <si>
    <t>656057 Алтайский край город Барнаул тракт Павловский дом 134</t>
  </si>
  <si>
    <t>ИП220801635800003</t>
  </si>
  <si>
    <t>656011 Алтайский край город Барнаул проспект Ленина дом 155А</t>
  </si>
  <si>
    <t>ИП Стрельченко Светлана Александровна</t>
  </si>
  <si>
    <t>222500687457</t>
  </si>
  <si>
    <t>ИП2208013934</t>
  </si>
  <si>
    <t>ИП220801393400000</t>
  </si>
  <si>
    <t>656015 Алтайский край город Барнаул улица Советская дом 9   Н5</t>
  </si>
  <si>
    <t>ИП Околелов Геннадий Владимирович</t>
  </si>
  <si>
    <t>222500784796</t>
  </si>
  <si>
    <t>ИП2208011065</t>
  </si>
  <si>
    <t>ИП220801106500000</t>
  </si>
  <si>
    <t>ИП220801106500009</t>
  </si>
  <si>
    <t>656015 Алтайский край город Барнаул проспект Строителей дом 18 корпус 1</t>
  </si>
  <si>
    <t>ИП Матыцин Андрей Александрович</t>
  </si>
  <si>
    <t>222501360006</t>
  </si>
  <si>
    <t>ИП2208012581</t>
  </si>
  <si>
    <t>ИП220801258100000</t>
  </si>
  <si>
    <t>656049 Алтайский край город Барнаул проспект Ленина дом 43   помещение Н8</t>
  </si>
  <si>
    <t>ИП Казьмин Владимир Алексеевич</t>
  </si>
  <si>
    <t>222503706034</t>
  </si>
  <si>
    <t>ИП2208010028</t>
  </si>
  <si>
    <t>ИП220801002800000</t>
  </si>
  <si>
    <t>656058 Алтайский край город Барнаул улица Балтийская дом 44   офис DAVID</t>
  </si>
  <si>
    <t>ИП Лукьянченко Виталий Александрович</t>
  </si>
  <si>
    <t>222504242635</t>
  </si>
  <si>
    <t>ИП2304007448</t>
  </si>
  <si>
    <t>ИП230400744800000</t>
  </si>
  <si>
    <t>656057 Алтайский край город Барнаул улица Павловский тракт дом 251 корпус В  офис DAVID</t>
  </si>
  <si>
    <t>ИП230400744800001</t>
  </si>
  <si>
    <t>656031 Алтайский край Барнаул Строителей 117</t>
  </si>
  <si>
    <t>ИП230400744800003</t>
  </si>
  <si>
    <t>656015 Алтайский край город Барнаул проспект Красноармейский дом 118   Ювелирный салон "Золотой век"</t>
  </si>
  <si>
    <t>ИП Капустин Игорь Иванович</t>
  </si>
  <si>
    <t>222508203620</t>
  </si>
  <si>
    <t>ИП2208011071</t>
  </si>
  <si>
    <t>ИП220801107100000</t>
  </si>
  <si>
    <t>656002 Алтайский край город Барнаул проспект Ленина здание 102в</t>
  </si>
  <si>
    <t>ИП220801107100001</t>
  </si>
  <si>
    <t>656065 Алтайский край город Барнаул улица Попова дом 77А</t>
  </si>
  <si>
    <t>ИП Неверова Анастасия Павловна</t>
  </si>
  <si>
    <t>222509036509</t>
  </si>
  <si>
    <t>ИП2208037124</t>
  </si>
  <si>
    <t>ИП220803712400000</t>
  </si>
  <si>
    <t>656099 Алтайский край город Барнаул проспект Комсомольский дом 61</t>
  </si>
  <si>
    <t>ООО ЛОМБАРД "ТРАДИЦИЯ"</t>
  </si>
  <si>
    <t>2225098197</t>
  </si>
  <si>
    <t>ЮЛ2208016597</t>
  </si>
  <si>
    <t>ЮЛ220801659700000</t>
  </si>
  <si>
    <t>656000 Алтайский край город Барнаул Павловский тракт 251в</t>
  </si>
  <si>
    <t>ИП Мурзаканова Алена Игоревна</t>
  </si>
  <si>
    <t>222511380259</t>
  </si>
  <si>
    <t>ИП2208011076</t>
  </si>
  <si>
    <t>ИП220801107600000</t>
  </si>
  <si>
    <t>656049 Алтайский край барнаул переулок Ядринцева 65   2</t>
  </si>
  <si>
    <t>ООО ЮВЕЛИРНЫЙ ЗАВОД "ЕРМОЛА"</t>
  </si>
  <si>
    <t>2225232029</t>
  </si>
  <si>
    <t>ЮЛ2208036086</t>
  </si>
  <si>
    <t>ЮЛ220803608600000</t>
  </si>
  <si>
    <t>659305 Алтайский край город Бийск улица Вали Максимовой дом 88</t>
  </si>
  <si>
    <t>ИП Бускина Марина Владимировна</t>
  </si>
  <si>
    <t>222600318647</t>
  </si>
  <si>
    <t>ИП2208003623</t>
  </si>
  <si>
    <t>ИП220800362300000</t>
  </si>
  <si>
    <t>659315 Алтайский край город Бийск улица имени Героя Советского Союза Васильева дом 46   Ювелирный дом "Золото России" ( Н-4)</t>
  </si>
  <si>
    <t>ИП Мальцева Анна Евгеньевна</t>
  </si>
  <si>
    <t>222700142725</t>
  </si>
  <si>
    <t>ИП2208005014</t>
  </si>
  <si>
    <t>ИП220800501400000</t>
  </si>
  <si>
    <t>656031 Алтайский край город Барнаул проспект Строителей дом 117   ТРЦ"Galaxy"Золото России</t>
  </si>
  <si>
    <t>ИП220800501400001</t>
  </si>
  <si>
    <t>656922 Алтайский край город Барнаул тракт Павловский дом 188   ТРЦ "Арена" Золото России</t>
  </si>
  <si>
    <t>ИП220800501400003</t>
  </si>
  <si>
    <t>659335 Алтайский край  город Бийск улица Ильи Мухачева дом 200   ТРК"Воскресенье"Золото России</t>
  </si>
  <si>
    <t>ИП220800501400006</t>
  </si>
  <si>
    <t>659650 Алтайский край село Алтайское улица Советская дом 88   Торговая секция №1</t>
  </si>
  <si>
    <t>ИП Мананикова Елена Михайловна</t>
  </si>
  <si>
    <t>223200728908</t>
  </si>
  <si>
    <t>ИП2208001195</t>
  </si>
  <si>
    <t>ИП220800119500000</t>
  </si>
  <si>
    <t>659650 Алтайский край Село Алтайское Советская 187</t>
  </si>
  <si>
    <t>ООО "АЛЬТАИР 1"</t>
  </si>
  <si>
    <t>2232009180</t>
  </si>
  <si>
    <t>ЮЛ2208032676</t>
  </si>
  <si>
    <t>ЮЛ220803267600000</t>
  </si>
  <si>
    <t>659900 Алтайский край город Белокуриха улица Славского 55А</t>
  </si>
  <si>
    <t>ИП Воробьева Крестина Владимировна</t>
  </si>
  <si>
    <t>223201912554</t>
  </si>
  <si>
    <t>ИП2208005263</t>
  </si>
  <si>
    <t>ИП220800526300000</t>
  </si>
  <si>
    <t>659303 Алтайский край город Бийск улица Вали Максимовой дом 88</t>
  </si>
  <si>
    <t>ИП Фотьянов Сергей Сергеевич</t>
  </si>
  <si>
    <t>223400400536</t>
  </si>
  <si>
    <t>ИП2208007140</t>
  </si>
  <si>
    <t>ИП220800714000000</t>
  </si>
  <si>
    <t>658655 Алтайский край р.п.Степное Озеро Микитона 1</t>
  </si>
  <si>
    <t>ИП Федоров Алексей Николаевич</t>
  </si>
  <si>
    <t>223503126123</t>
  </si>
  <si>
    <t>ИП2208007804</t>
  </si>
  <si>
    <t>ИП220800780400000</t>
  </si>
  <si>
    <t>658670 Алтайский край Благовещенка Пушкина 95</t>
  </si>
  <si>
    <t>ИП Шампоров Никита Вадимович</t>
  </si>
  <si>
    <t>223504399081</t>
  </si>
  <si>
    <t>ИП5408001111</t>
  </si>
  <si>
    <t>ИП540800111100000</t>
  </si>
  <si>
    <t>659780 Алтайский край село Родино улица Ленина дом 163Б</t>
  </si>
  <si>
    <t>ИП540800111100002</t>
  </si>
  <si>
    <t>658810 Алтайский край село Бурла улица Победы дом 15</t>
  </si>
  <si>
    <t>ИП Половинкина Валентина Алексеевна</t>
  </si>
  <si>
    <t>223600099820</t>
  </si>
  <si>
    <t>ИП2208006007</t>
  </si>
  <si>
    <t>ИП220800600700000</t>
  </si>
  <si>
    <t>658930 Алтайский край село Волчиха Ленина 248   ТЦ Мария Ра</t>
  </si>
  <si>
    <t>ИП Зуева Елена Геннадьевна</t>
  </si>
  <si>
    <t>223800123661</t>
  </si>
  <si>
    <t>ИП5408005984</t>
  </si>
  <si>
    <t>ИП540800598400000</t>
  </si>
  <si>
    <t>658920 Алтайский край село Кулунда улица Первомайская дом 23   помещение 7</t>
  </si>
  <si>
    <t>ИП Булгакова Альфия Айратовна</t>
  </si>
  <si>
    <t>223800364949</t>
  </si>
  <si>
    <t>ИП2208015535</t>
  </si>
  <si>
    <t>ИП220801553500000</t>
  </si>
  <si>
    <t>658620 Алтайский край село Завьялово улица Советская дом 126А строение 1</t>
  </si>
  <si>
    <t>ИП Рытик Марина Анатольевна</t>
  </si>
  <si>
    <t>224101832410</t>
  </si>
  <si>
    <t>ИП2208016004</t>
  </si>
  <si>
    <t>ИП220801600400000</t>
  </si>
  <si>
    <t>659220 Алтайский край Залесово Комсомольская 9   2</t>
  </si>
  <si>
    <t>ИП Каречникова Татьяна Полияктовна</t>
  </si>
  <si>
    <t>224210019370</t>
  </si>
  <si>
    <t>ИП2208007837</t>
  </si>
  <si>
    <t>ИП220800783700000</t>
  </si>
  <si>
    <t>658980 Алтайский край село Ключи улица Центральная дом 28</t>
  </si>
  <si>
    <t>ИП Жук Петр Петрович</t>
  </si>
  <si>
    <t>224800943480</t>
  </si>
  <si>
    <t>ИП2208001388</t>
  </si>
  <si>
    <t>ИП220800138800000</t>
  </si>
  <si>
    <t>659500 Алтайский край с.Красногорское Советская 105</t>
  </si>
  <si>
    <t>ПО "МАЯК"</t>
  </si>
  <si>
    <t>2250003897</t>
  </si>
  <si>
    <t>ЮЛ2208014717</t>
  </si>
  <si>
    <t>ЮЛ220801471700000</t>
  </si>
  <si>
    <t>658340 Алтайский край Краснощёково Ленина 146</t>
  </si>
  <si>
    <t>ИП Жидких Людмила Павловна</t>
  </si>
  <si>
    <t>225100657245</t>
  </si>
  <si>
    <t>ИП2208005232</t>
  </si>
  <si>
    <t>ИП220800523200000</t>
  </si>
  <si>
    <t>ИП Муфазданов Раиль Раильевич</t>
  </si>
  <si>
    <t>225303265726</t>
  </si>
  <si>
    <t>ИП2208037180</t>
  </si>
  <si>
    <t>ИП220803718000000</t>
  </si>
  <si>
    <t>658960 Алтайский край село Михайловское улица Садовая дом 19А</t>
  </si>
  <si>
    <t>ИП Агурина Лада Олеговна</t>
  </si>
  <si>
    <t>225800539092</t>
  </si>
  <si>
    <t>ИП2208038121</t>
  </si>
  <si>
    <t>ИП220803812100000</t>
  </si>
  <si>
    <t>658960 Алтайский край село Михайловское  улица Садовая   дом 21 помещение 1  кабинет 22</t>
  </si>
  <si>
    <t>ИП Усов Евгений Александрович</t>
  </si>
  <si>
    <t>225801842101</t>
  </si>
  <si>
    <t>ИП2208002017</t>
  </si>
  <si>
    <t>ИП220800201700000</t>
  </si>
  <si>
    <t>659000 Алтайский край село Павловск улица Ленина дом 16б</t>
  </si>
  <si>
    <t>ИП Однодворцева Ирина Николаевна</t>
  </si>
  <si>
    <t>226100022913</t>
  </si>
  <si>
    <t>ИП2208003932</t>
  </si>
  <si>
    <t>ИП220800393200000</t>
  </si>
  <si>
    <t>56031 Алтайский край город Барнаул проспект Строителей дом 117</t>
  </si>
  <si>
    <t>ИП Чепурина Светлана Николаевна</t>
  </si>
  <si>
    <t>226102198334</t>
  </si>
  <si>
    <t>ИП2208011559</t>
  </si>
  <si>
    <t>ИП220801155900000</t>
  </si>
  <si>
    <t>658080 Алтайский край город Новоалтайск улица Прудская дом 13</t>
  </si>
  <si>
    <t>ООО "ПОДАРОК ЛЮБИМОЙ"</t>
  </si>
  <si>
    <t>2263015307</t>
  </si>
  <si>
    <t>ЮЛ2208003445</t>
  </si>
  <si>
    <t>ЮЛ220800344500000</t>
  </si>
  <si>
    <t>659700 Алтайский край село Поспелиха улица Коммунистическая дом 41   помещение 1</t>
  </si>
  <si>
    <t>ИП Корсак Елена Александровна</t>
  </si>
  <si>
    <t>226500230330</t>
  </si>
  <si>
    <t>ИП2208016893</t>
  </si>
  <si>
    <t>ИП220801689300000</t>
  </si>
  <si>
    <t>659780 Алтайский край село Родино улица Ленина дом 209</t>
  </si>
  <si>
    <t>ИП Откидач Андрей Алексеевич</t>
  </si>
  <si>
    <t>226700019831</t>
  </si>
  <si>
    <t>ИП2208016788</t>
  </si>
  <si>
    <t>ИП220801678800000</t>
  </si>
  <si>
    <t>658960 Алтайский край село Михайловское улица Советская дом 1</t>
  </si>
  <si>
    <t>ИП220801678800001</t>
  </si>
  <si>
    <t>659600 Алтайский край село Смоленское улица Заводская владение 65</t>
  </si>
  <si>
    <t>ИП Вишнивецкая Виктория Андреевна</t>
  </si>
  <si>
    <t>227114982383</t>
  </si>
  <si>
    <t>ИП2208015933</t>
  </si>
  <si>
    <t>ИП220801593300000</t>
  </si>
  <si>
    <t>659900 Алтайский край город Белокуриха улица Советская владение 18/1</t>
  </si>
  <si>
    <t>ИП220801593300002</t>
  </si>
  <si>
    <t>659690 Алтайский край село Солонешное улица Партизанская дом 6/4</t>
  </si>
  <si>
    <t>ИП Затеев Андрей Леонидович</t>
  </si>
  <si>
    <t>227300784220</t>
  </si>
  <si>
    <t>ИП2208016601</t>
  </si>
  <si>
    <t>ИП220801660100000</t>
  </si>
  <si>
    <t>658450 Алтайский край село Староалейское улица Октябрьская владение 38Г помещение 4</t>
  </si>
  <si>
    <t>ИП Емельянова Елена Сергеевна</t>
  </si>
  <si>
    <t>228001122396</t>
  </si>
  <si>
    <t>ИП2208019177</t>
  </si>
  <si>
    <t>ИП220801917700000</t>
  </si>
  <si>
    <t>658780 Алтайский край село Хабары переулок Октябрьский дом 2</t>
  </si>
  <si>
    <t>ИП Морозов Юрий Васильевич</t>
  </si>
  <si>
    <t>228600004271</t>
  </si>
  <si>
    <t>ИП2208013785</t>
  </si>
  <si>
    <t>ИП220801378500000</t>
  </si>
  <si>
    <t>658390 Алтайский край село Шипуново проспект Комсомольский владение 95</t>
  </si>
  <si>
    <t>ИП Петрова Елена Валерьевна</t>
  </si>
  <si>
    <t>228900018839</t>
  </si>
  <si>
    <t>ИП2208012001</t>
  </si>
  <si>
    <t>ИП220801200100000</t>
  </si>
  <si>
    <t>658837 Алтайский край город Яровое улица Пушкина дом 6а</t>
  </si>
  <si>
    <t>ИП Супряго Светлана Александровна</t>
  </si>
  <si>
    <t>382007197341</t>
  </si>
  <si>
    <t>ИП3808019166</t>
  </si>
  <si>
    <t>ИП380801916600002</t>
  </si>
  <si>
    <t>656054 Алтайский край Барнаул улица Антона Петрова дом 219Б</t>
  </si>
  <si>
    <t>ООО "РИЧ ГОЛД"</t>
  </si>
  <si>
    <t>4217193588</t>
  </si>
  <si>
    <t>ЮЛ4208013202</t>
  </si>
  <si>
    <t>ЮЛ420801320200012</t>
  </si>
  <si>
    <t>656015 Алтайский край город Барнаул Строителей  18 1</t>
  </si>
  <si>
    <t>ЮЛ420801320200016</t>
  </si>
  <si>
    <t>ИП Саванеев Вячеслав Владимирович</t>
  </si>
  <si>
    <t>501004383504</t>
  </si>
  <si>
    <t>ИП5001004455</t>
  </si>
  <si>
    <t>ИП500100445500037</t>
  </si>
  <si>
    <t>656049 Алтайский край город Барнаул проспект Красноармейский дом 47А   помещение Н3</t>
  </si>
  <si>
    <t>ООО "БЛЭК ДАЙМОНД"</t>
  </si>
  <si>
    <t>5027291349</t>
  </si>
  <si>
    <t>ЮЛ5001007092</t>
  </si>
  <si>
    <t>ЮЛ500100709200000</t>
  </si>
  <si>
    <t>659300 Алтайский край город Бийск улица Советская дом 205/2</t>
  </si>
  <si>
    <t>ИП Терских Евгения Евгеньевна</t>
  </si>
  <si>
    <t>525626580650</t>
  </si>
  <si>
    <t>ИП5206008078</t>
  </si>
  <si>
    <t>ИП520600807800034</t>
  </si>
  <si>
    <t>656006 Алтайский край город Барнаул улица Балтийская дом 16</t>
  </si>
  <si>
    <t>ООО ФИРМА "ЭСТЕРЕЛЛА"</t>
  </si>
  <si>
    <t>5402122819</t>
  </si>
  <si>
    <t>ЮЛ5408013211</t>
  </si>
  <si>
    <t>ЮЛ540801321100002</t>
  </si>
  <si>
    <t>656049 Алтайский край город Барнаул проспект Красноармейский дом 51А</t>
  </si>
  <si>
    <t>ЮЛ540801321100008</t>
  </si>
  <si>
    <t>ЮЛ540801321100009</t>
  </si>
  <si>
    <t>656049 Алтайский край город Барнаул проспект Красноармейский дом 47А   Салон "Жененва"</t>
  </si>
  <si>
    <t>ООО "АКСИОМ"</t>
  </si>
  <si>
    <t>5407226201</t>
  </si>
  <si>
    <t>ЮЛ5408012006</t>
  </si>
  <si>
    <t>ЮЛ540801200600004</t>
  </si>
  <si>
    <t>658030 Алтайский край р.п.Тальменка пер.Банковский  2Б</t>
  </si>
  <si>
    <t>ИП Марков Александр Сергеевич</t>
  </si>
  <si>
    <t>540786781502</t>
  </si>
  <si>
    <t>ИП5408011206</t>
  </si>
  <si>
    <t>ИП540801120600000</t>
  </si>
  <si>
    <t>ИП Церцвадзе Евгений Амиранович</t>
  </si>
  <si>
    <t>610802252478</t>
  </si>
  <si>
    <t>ИП6104004266</t>
  </si>
  <si>
    <t>ИП610400426600012</t>
  </si>
  <si>
    <t>656049 Алтайский край город Барнаул проспект Красноармейский 72   холл</t>
  </si>
  <si>
    <t>ИП Завьялов Евгений Арнольдович</t>
  </si>
  <si>
    <t>701703768559</t>
  </si>
  <si>
    <t>ИП2208007826</t>
  </si>
  <si>
    <t>ИП220800782600004</t>
  </si>
  <si>
    <t>659321 Алтайский край город Бийск улица Советская дом 205/2   этаж 1</t>
  </si>
  <si>
    <t>ООО "СВ РИТЕЙЛ"</t>
  </si>
  <si>
    <t>7716918034</t>
  </si>
  <si>
    <t>ЮЛ7701012166</t>
  </si>
  <si>
    <t>ЮЛ770101216600132</t>
  </si>
  <si>
    <t>656031 Алтайский край город Барнаул проспект Строителей дом 117   этаж 1</t>
  </si>
  <si>
    <t>ЮЛ770101216600295</t>
  </si>
  <si>
    <t>656002 Алтайский край город Барнаул проспект Ленина здание 102в   помещение Н1, этаж 1</t>
  </si>
  <si>
    <t>ЮЛ770101216600309</t>
  </si>
  <si>
    <t>656054 Алтайский край город Барнаул улица Малахова дом 86В   этаж 1, часть помещения №127</t>
  </si>
  <si>
    <t>ЮЛ770101216600468</t>
  </si>
  <si>
    <t>656049 Алтайский край город Барнаул проспект Красноармейский дом 47А   помещение Н3, этаж 1</t>
  </si>
  <si>
    <t>ЮЛ770101216600488</t>
  </si>
  <si>
    <t>656058 Алтайский край город Барнаул тракт Павловский дом 251в   этаж 1, часть помещения Н1-25</t>
  </si>
  <si>
    <t>ЮЛ770101216600545</t>
  </si>
  <si>
    <t>656070 Алтайский край город Барнаул тракт Павловский дом 188   помещение Н2, этаж 1</t>
  </si>
  <si>
    <t>ЮЛ770101216600546</t>
  </si>
  <si>
    <t>659100 Алтайский край город Заринск проспект Строителей здание 22   этаж 1</t>
  </si>
  <si>
    <t>ЮЛ770101216600599</t>
  </si>
  <si>
    <t>659300 Алтайский край город Бийск переулок Коммунарский дом 18   помещение  Н-1 ,  этаж 1</t>
  </si>
  <si>
    <t>ЮЛ770101216600664</t>
  </si>
  <si>
    <t>656006 Алтайский край город Барнаул улица Власихинская дом 65   1 этаж</t>
  </si>
  <si>
    <t>ЮЛ770101216600715</t>
  </si>
  <si>
    <t>656015 Алтайский край город Барнаул проспект Строителей дом 18 корпус 1  этаж 1</t>
  </si>
  <si>
    <t>ЮЛ770101216600738</t>
  </si>
  <si>
    <t>658220 Алтайский край город Рубцовск улица Тракторная здание 17   1 этаж, нежилое помещение</t>
  </si>
  <si>
    <t>ЮЛ770101216600758</t>
  </si>
  <si>
    <t>656054 Алтайский край город Барнаул улица Малахова дом 86В   1 этаж, нежилое помещение № 8 (часть)</t>
  </si>
  <si>
    <t>ЮЛ770101216600824</t>
  </si>
  <si>
    <t>659335 Алтайский край город Бийск переулок Коммунарский здание 53   1 этаж, нежилое помещение № 22</t>
  </si>
  <si>
    <t>ЮЛ770101216600876</t>
  </si>
  <si>
    <t>656054 Алтайский край город Барнаул улица Малахова дом 86В   этаж 1, часть нежилого помещения № 8</t>
  </si>
  <si>
    <t>ЮЛ770101216600922</t>
  </si>
  <si>
    <t>656070 Алтайский край город Барнаул улица Балтийская здание 116   этаж 1, помещение 3Н</t>
  </si>
  <si>
    <t>ЮЛ770101216601006</t>
  </si>
  <si>
    <t>659335 Алтайский край город Бийск улица Мухачева дом 200   2 этаж, помещение Н1</t>
  </si>
  <si>
    <t>ООО "СОЛНЕЧНЫЙ СВЕТ"</t>
  </si>
  <si>
    <t>7731316845</t>
  </si>
  <si>
    <t>ЮЛ7701001935</t>
  </si>
  <si>
    <t>ЮЛ770100193500306</t>
  </si>
  <si>
    <t>656006 Алтайский край город Барнаул тракт Павловский дом 251В    часть помещения Н1-29, 1 этаж</t>
  </si>
  <si>
    <t>ЮЛ770100193500307</t>
  </si>
  <si>
    <t>656054 Алтайский край город Барнаул улица Малахова дом 86В   помещение № 158</t>
  </si>
  <si>
    <t>ЮЛ770100193500308</t>
  </si>
  <si>
    <t>656002 Алтайский край город Барнаул проспект Ленина дом 102В   часть помещения № Н2</t>
  </si>
  <si>
    <t>ЮЛ770100193500309</t>
  </si>
  <si>
    <t>656070 Алтайский край город Барнаул тракт Павловский дом 188   помещение Н2-13, этаж 1 (первый)</t>
  </si>
  <si>
    <t>ЮЛ770100193500659</t>
  </si>
  <si>
    <t>656031 Алтайский край город Барнаул проспект Строителей дом 117   этаж 1 (первый)</t>
  </si>
  <si>
    <t>ЮЛ770100193500706</t>
  </si>
  <si>
    <t>656023 Алтайский край город Барнаул проспект Космонавтов дом 6В   помещение № 219, этаж 1 (первый)</t>
  </si>
  <si>
    <t>ЮЛ770100193500747</t>
  </si>
  <si>
    <t>658220 Алтайский край город Рубцовск улица Тракторная дом 17   этаж 1 (первый)</t>
  </si>
  <si>
    <t>ЮЛ770100193500793</t>
  </si>
  <si>
    <t>659321 Алтайский край город Бийск улица Советская дом 205/2   1 этаж</t>
  </si>
  <si>
    <t>ЮЛ770100193500827</t>
  </si>
  <si>
    <t>656031 Алтайский край город Барнаул проспект Строителей дом 117   помещение 2H, 1 этаж</t>
  </si>
  <si>
    <t>ЮЛ770100193501122</t>
  </si>
  <si>
    <t>656070 Алтайский край город Барнаул улица Балтийская здание 116   помещение 3Н, 1 этаж</t>
  </si>
  <si>
    <t>ЮЛ770100193501140</t>
  </si>
  <si>
    <t>656015 Алтайский край г. Барнаул проспект Строителей д. 16</t>
  </si>
  <si>
    <t>ООО "ЛОМБАРД ЮС-585"</t>
  </si>
  <si>
    <t>7805550747</t>
  </si>
  <si>
    <t>ЮЛ7803001313</t>
  </si>
  <si>
    <t>ЮЛ780300131300094</t>
  </si>
  <si>
    <t>659303 Алтайский край город Бийск улица  Митрофанова 37</t>
  </si>
  <si>
    <t>ЮЛ780300131300309</t>
  </si>
  <si>
    <t>658080 Алтайский край город Новоалтайск улица Деповская 22</t>
  </si>
  <si>
    <t>ЮЛ780300131300310</t>
  </si>
  <si>
    <t>ЮЛ780300131300311</t>
  </si>
  <si>
    <t>656002 Алтайский край город Барнаул проспект Ленина 100а</t>
  </si>
  <si>
    <t>ЮЛ780300131300314</t>
  </si>
  <si>
    <t>656056 Алтайский край город Барнаул улица Мало-Тобольская дом 24</t>
  </si>
  <si>
    <t>ЮЛ780300131300387</t>
  </si>
  <si>
    <t>659315 Алтайский край город Бийск улица имени Героя Советского Союза Васильева дом 46</t>
  </si>
  <si>
    <t>ООО "ЛОМБАРД ВЫГОДА"</t>
  </si>
  <si>
    <t>7806275525</t>
  </si>
  <si>
    <t>ЮЛ7803003280</t>
  </si>
  <si>
    <t>ЮЛ780300328000143</t>
  </si>
  <si>
    <t>ООО "ОРО"</t>
  </si>
  <si>
    <t>7811753181</t>
  </si>
  <si>
    <t>ЮЛ7803003235</t>
  </si>
  <si>
    <t>ЮЛ780300323500039</t>
  </si>
  <si>
    <t>656002 Алтайский край город Барнаул проспект Ленина здание 102в   помещение Н1</t>
  </si>
  <si>
    <t>ЮЛ780300323500207</t>
  </si>
  <si>
    <t>656002 Алтайский край город Барнаул проспект Ленина здание 100а   пом. H1</t>
  </si>
  <si>
    <t>ООО "РЕГЕНТ ГОЛД"</t>
  </si>
  <si>
    <t>7814566648</t>
  </si>
  <si>
    <t>ЮЛ7803003082</t>
  </si>
  <si>
    <t>ЮЛ780300308200159</t>
  </si>
  <si>
    <t>ЮЛ780300308200160</t>
  </si>
  <si>
    <t>658201 Алтайский край город Рубцовск улица Дзержинского дом 13   помещение 39</t>
  </si>
  <si>
    <t>ЮЛ780300308200305</t>
  </si>
  <si>
    <t>ЮЛ780300308200334</t>
  </si>
  <si>
    <t>ЮЛ780300308200335</t>
  </si>
  <si>
    <t>659303 Алтайский край город Бийск улица Михаила Митрофанова дом 35   помещение Н-66</t>
  </si>
  <si>
    <t>ЮЛ780300308200336</t>
  </si>
  <si>
    <t>658087 Алтайский край город Новоалтайск улица Октябрьская дом 13</t>
  </si>
  <si>
    <t>ЮЛ780300308200350</t>
  </si>
  <si>
    <t>656002 Алтайский край город Барнаул проспект Ленина дом 102в   часть помещения Н1</t>
  </si>
  <si>
    <t>ЮЛ780300308200366</t>
  </si>
  <si>
    <t>659303 Алтайский край город Бийск улица Митрофанова дом 37</t>
  </si>
  <si>
    <t>ЮЛ780300308200905</t>
  </si>
  <si>
    <t>ЮЛ780300308200918</t>
  </si>
  <si>
    <t>ЮЛ780300308200942</t>
  </si>
  <si>
    <t>ЮЛ780300308200954</t>
  </si>
  <si>
    <t>ЮЛ780300308201040</t>
  </si>
  <si>
    <t>656054 Алтайский край город Барнаул улица Малахова дом 86В   нежилое помещение № 127 (часть), № 7</t>
  </si>
  <si>
    <t>ЮЛ780300308201102</t>
  </si>
  <si>
    <t>656057 Алтайский край город Барнаул тракт Павловский здание 251В</t>
  </si>
  <si>
    <t>ЮЛ780300308201117</t>
  </si>
  <si>
    <t>ООО "ЛОМБАРД АСС"</t>
  </si>
  <si>
    <t>7814642673</t>
  </si>
  <si>
    <t>ЮЛ7803003635</t>
  </si>
  <si>
    <t>ЮЛ780300363500061</t>
  </si>
  <si>
    <t>656002 Алтайский край город Барнаул проспект Ленина дом 102В    помещение А15</t>
  </si>
  <si>
    <t>ЮЛ780300363500300</t>
  </si>
  <si>
    <t>Амурская область</t>
  </si>
  <si>
    <t>675000 Амурская область город Благовещенск улица Кузнечная дом 27</t>
  </si>
  <si>
    <t>ИП Круговой Валерий Викторович</t>
  </si>
  <si>
    <t>143402290952</t>
  </si>
  <si>
    <t>ИП2809018217</t>
  </si>
  <si>
    <t>ИП280901821700000</t>
  </si>
  <si>
    <t>675028 Амурская область Благовещенск Василенко 7</t>
  </si>
  <si>
    <t>ИП280901821700001</t>
  </si>
  <si>
    <t>675001 Амурская область город Благовещенск улица Пионерская дом 66</t>
  </si>
  <si>
    <t>АО "КОМДРАГМЕТАЛЛ РС(Я)"</t>
  </si>
  <si>
    <t>1435343333</t>
  </si>
  <si>
    <t>ЮЛ1409003434</t>
  </si>
  <si>
    <t>ЮЛ140900343400006</t>
  </si>
  <si>
    <t>675000 Амурская область город Благовещенск Мухина 114</t>
  </si>
  <si>
    <t>ИП Ильенко Кристина Владимировна</t>
  </si>
  <si>
    <t>253615506073</t>
  </si>
  <si>
    <t>ИП2509031902</t>
  </si>
  <si>
    <t>ИП250903190200013</t>
  </si>
  <si>
    <t>675028 Амурская область город Благовещенск улица Институтская дом 1</t>
  </si>
  <si>
    <t>ИП Ромашкина Елена Геннадьевна</t>
  </si>
  <si>
    <t>272109630815</t>
  </si>
  <si>
    <t>ИП2709011937</t>
  </si>
  <si>
    <t>ИП270901193700005</t>
  </si>
  <si>
    <t>675029 Амурская область город Благовещенск улица Мухина дом 114/1</t>
  </si>
  <si>
    <t>ИП Абакарова Александра Леонидовна</t>
  </si>
  <si>
    <t>272212330621</t>
  </si>
  <si>
    <t>ИП2709000397</t>
  </si>
  <si>
    <t>ИП270900039700002</t>
  </si>
  <si>
    <t>676770 Амурская область город Райчихинск улица Победы дом 18   квартира 3</t>
  </si>
  <si>
    <t>ИП Вандышев Александр Владимирович</t>
  </si>
  <si>
    <t>272406000397</t>
  </si>
  <si>
    <t>ИП2709003409</t>
  </si>
  <si>
    <t>ИП270900340900005</t>
  </si>
  <si>
    <t>676244 Амурская область город Зея площадь  Шохина дом 13</t>
  </si>
  <si>
    <t>ООО ТД "ЗОЛОТАЯ РУСЬ"</t>
  </si>
  <si>
    <t>2724231260</t>
  </si>
  <si>
    <t>ЮЛ2709002112</t>
  </si>
  <si>
    <t>ЮЛ270900211200014</t>
  </si>
  <si>
    <t>676246 Амурская область город Зея переулок Пушкина дом 1</t>
  </si>
  <si>
    <t>ЮЛ270900211200015</t>
  </si>
  <si>
    <t>676456 Амурская область город Свободный улица Ленина дом 72 1</t>
  </si>
  <si>
    <t>ЮЛ270900211200016</t>
  </si>
  <si>
    <t>676850 Амурская область город Белогорск улица Скорикова дом 17А</t>
  </si>
  <si>
    <t>ЮЛ270900211200020</t>
  </si>
  <si>
    <t>676454 Амурская область город Свободный улица Ленина дом 46</t>
  </si>
  <si>
    <t>ЮЛ270900211200037</t>
  </si>
  <si>
    <t>676282 Амурская область город Тында улица Красная Пресня дом 27/1</t>
  </si>
  <si>
    <t>ЮЛ270900211200038</t>
  </si>
  <si>
    <t>675004 Амурская область город Благовещенск улица 50 лет Октября дом 27</t>
  </si>
  <si>
    <t>ЮЛ270900211200046</t>
  </si>
  <si>
    <t>676850 Амурская область город Белогорск улица Кирова дом 78</t>
  </si>
  <si>
    <t>ЮЛ270900211200050</t>
  </si>
  <si>
    <t>676722 Амурская область поселок городского типа Новобурейский улица Советская дом 33   помещение 69</t>
  </si>
  <si>
    <t>ЮЛ270900211200051</t>
  </si>
  <si>
    <t>675029 Амурская область город Благовещенск улица Мухина дом 114</t>
  </si>
  <si>
    <t>ЮЛ270900211200075</t>
  </si>
  <si>
    <t>ИП Коробко Алексей Сергеевич</t>
  </si>
  <si>
    <t>272514089794</t>
  </si>
  <si>
    <t>ИП2709000183</t>
  </si>
  <si>
    <t>ИП270900018300005</t>
  </si>
  <si>
    <t>675004 Амурская область город Благовещенск улица 50 лет Октября дом 20   секция 38б</t>
  </si>
  <si>
    <t>ИП Курочкина Оксана Васильевна</t>
  </si>
  <si>
    <t>280100034560</t>
  </si>
  <si>
    <t>ИП2809002887</t>
  </si>
  <si>
    <t>ИП280900288700001</t>
  </si>
  <si>
    <t>675004 Амурская область город Благовещенск улица 50 лет Октября дом 20   секция 50</t>
  </si>
  <si>
    <t>ИП280900288700002</t>
  </si>
  <si>
    <t>675001 Амурская область город Благовещенск улица Красноармейская дом 102   секция 117</t>
  </si>
  <si>
    <t>ИП280900288700003</t>
  </si>
  <si>
    <t>675001 Амурская область город Благовещенск улица 50 лет Октября дом 29   секция 126</t>
  </si>
  <si>
    <t>ИП280900288700004</t>
  </si>
  <si>
    <t>675029 Амурская область город Благовещенск улица Тенистая дом 160   секция 28</t>
  </si>
  <si>
    <t>ИП280900288700005</t>
  </si>
  <si>
    <t>676290 Амурская область город Тында улица Красная Пресня здание 27/1   111</t>
  </si>
  <si>
    <t>ИП Симоненко Александр Сергеевич</t>
  </si>
  <si>
    <t>280100153494</t>
  </si>
  <si>
    <t>ИП2809010906</t>
  </si>
  <si>
    <t>ИП280901090600001</t>
  </si>
  <si>
    <t>676246 Амурская область город Зея переулок Пушкина дом 1   9</t>
  </si>
  <si>
    <t>ИП280901090600002</t>
  </si>
  <si>
    <t>676124 Амурская область поселок городского типа Магдагачи улица Дзержинского дом 42</t>
  </si>
  <si>
    <t>ИП280901090600004</t>
  </si>
  <si>
    <t>675004 Амурская область город Благовещенск улица 50 лет Октября дом 15   18</t>
  </si>
  <si>
    <t>ИП280901090600005</t>
  </si>
  <si>
    <t>676450 Амурская область город Свободный улица Ленина 48   секция 129</t>
  </si>
  <si>
    <t>ИП280901090600006</t>
  </si>
  <si>
    <t>675001 Амурская область город Благовещенск улица 50 лет Октября дом 61   210</t>
  </si>
  <si>
    <t>ИП280901090600007</t>
  </si>
  <si>
    <t>676770 Амурская область город Райчихинск улица Победы дом 7   помещение 12</t>
  </si>
  <si>
    <t>ИП280901090600009</t>
  </si>
  <si>
    <t>675001 Амурская область город Благовещенск улица Красноармейская дом 102</t>
  </si>
  <si>
    <t>ИП280901090600010</t>
  </si>
  <si>
    <t>676870 Амурская область город Завитинск улица Куйбышева дом 26</t>
  </si>
  <si>
    <t>ИП280901090600011</t>
  </si>
  <si>
    <t>675004 Амурская область город Благовещенск улица Амурская дом 170</t>
  </si>
  <si>
    <t>ИП280901090600013</t>
  </si>
  <si>
    <t>676454 Амурская область город Свободный улица Ленина дом 70/1   119</t>
  </si>
  <si>
    <t>ИП280901090600014</t>
  </si>
  <si>
    <t>676014 Амурская область город Сковородино улица Красноармейская дом 7</t>
  </si>
  <si>
    <t>ИП280901090600015</t>
  </si>
  <si>
    <t>675004 Амурская область город Благовещенск улица 50 лет Октября дом 20</t>
  </si>
  <si>
    <t>ИП280901090600016</t>
  </si>
  <si>
    <t>675004 Амурская область город Благовещенск улица 50 лет Октября дом 27   пом. 12 1 этаж</t>
  </si>
  <si>
    <t>ИП280901090600017</t>
  </si>
  <si>
    <t>676306 Амурская область город Шимановск улица Орджоникидзе дом 38   отдел 8</t>
  </si>
  <si>
    <t>ИП280901090600020</t>
  </si>
  <si>
    <t>675000 Амурская область город Благовещенск улица 50 лет Октября дом 27   пом. 12 2 этаж</t>
  </si>
  <si>
    <t>ИП280901090600021</t>
  </si>
  <si>
    <t>675000 Амурская область Баговещенск Пионерская 72   секция № М-3</t>
  </si>
  <si>
    <t>ИП Бумагина Татьяна Викторовна</t>
  </si>
  <si>
    <t>280100257310</t>
  </si>
  <si>
    <t>ИП2809011564</t>
  </si>
  <si>
    <t>ИП280901156400000</t>
  </si>
  <si>
    <t>675004 Амурская область город Благовещенск улица 50 лет Октября дом 27   пом. 25011</t>
  </si>
  <si>
    <t>ИП Жук Татьяна Николаевна</t>
  </si>
  <si>
    <t>280100446148</t>
  </si>
  <si>
    <t>ИП2809002475</t>
  </si>
  <si>
    <t>ИП280900247500000</t>
  </si>
  <si>
    <t>675001 Амурская область город Благовещенск улица Пионерская дом 66  А</t>
  </si>
  <si>
    <t>ИП280900247500001</t>
  </si>
  <si>
    <t>ИП280900247500002</t>
  </si>
  <si>
    <t>675001 Амурская область город Благовещенск улица 50 лет Октября дом 61   секция 223</t>
  </si>
  <si>
    <t>ИП Заиченко Алла Ахбировна</t>
  </si>
  <si>
    <t>280100468769</t>
  </si>
  <si>
    <t>ИП2809004949</t>
  </si>
  <si>
    <t>ИП280900494900001</t>
  </si>
  <si>
    <t>675001 Амурская область город Благовещенск улица 50 лет Октября дом 61   секция 224</t>
  </si>
  <si>
    <t>ИП280900494900002</t>
  </si>
  <si>
    <t>ИП280900494900003</t>
  </si>
  <si>
    <t>ИП280900494900004</t>
  </si>
  <si>
    <t>675001 Амурская область город Благовещенск улица Красноармейская дом 102/49</t>
  </si>
  <si>
    <t>ИП280900494900005</t>
  </si>
  <si>
    <t>675001 Амурская область город Благовещенск улица Островского дом 65</t>
  </si>
  <si>
    <t>ИП Иванова Татьяна Сергеевна</t>
  </si>
  <si>
    <t>280100679400</t>
  </si>
  <si>
    <t>ИП2809000510</t>
  </si>
  <si>
    <t>ИП280900051000000</t>
  </si>
  <si>
    <t>675004 Амурская область город Благовещенск улица 50 лет Октября дом 15   22</t>
  </si>
  <si>
    <t>ИП280900051000003</t>
  </si>
  <si>
    <t>675004 Амурская область город Благовещенск улица Островского дом 6   кабинет 102</t>
  </si>
  <si>
    <t>ИП Боднарюк Алексей Владимирович</t>
  </si>
  <si>
    <t>280100848320</t>
  </si>
  <si>
    <t>ИП2809018388</t>
  </si>
  <si>
    <t>ИП280901838800000</t>
  </si>
  <si>
    <t>676950 Амурская область село Тамбовка улица 50 лет Октября здание 15</t>
  </si>
  <si>
    <t>ИП Пантелеева Инна Анатольевна</t>
  </si>
  <si>
    <t>280102116642</t>
  </si>
  <si>
    <t>ИП2809005671</t>
  </si>
  <si>
    <t>ИП280900567100000</t>
  </si>
  <si>
    <t>676355 Амурская область поселок городского типа Серышево улица Ленина здание 9</t>
  </si>
  <si>
    <t>ИП280900567100001</t>
  </si>
  <si>
    <t>675000 Амурская область город Благовещенск улица 50 лет Октября дом 15   секция 15</t>
  </si>
  <si>
    <t>ИП Солодуха Елена Егоровна</t>
  </si>
  <si>
    <t>280102468500</t>
  </si>
  <si>
    <t>ИП2809003390</t>
  </si>
  <si>
    <t>ИП280900339000000</t>
  </si>
  <si>
    <t>675000 Амурская область город Благовещенск улица Мухина дом 114   помещение 20004</t>
  </si>
  <si>
    <t>ИП280900339000001</t>
  </si>
  <si>
    <t>675000 Амурская область город Благовещенск улица Мухина дом 114/1</t>
  </si>
  <si>
    <t>ИП280900339000002</t>
  </si>
  <si>
    <t>675000 Амурская область город Благовещенск улица Красноармейская  дом 102   секция 116</t>
  </si>
  <si>
    <t>ИП280900339000003</t>
  </si>
  <si>
    <t>676850 Амурская область город Белогорск  улица Кирова дом 129   офис 3</t>
  </si>
  <si>
    <t>ИП280900339000004</t>
  </si>
  <si>
    <t>ИП Шишелова Ирина Евгеньевна</t>
  </si>
  <si>
    <t>280103805814</t>
  </si>
  <si>
    <t>ИП2809000184</t>
  </si>
  <si>
    <t>ИП280900018400000</t>
  </si>
  <si>
    <t>676454 Амурская область город Свободный улица Ленина дом 51</t>
  </si>
  <si>
    <t>ИП Пальчиков Сергей Леонтьевич</t>
  </si>
  <si>
    <t>280114002946</t>
  </si>
  <si>
    <t>ИП2809002133</t>
  </si>
  <si>
    <t>ИП280900213300000</t>
  </si>
  <si>
    <t>676306 Амурская область город Шимановск улица Орджоникидзе здание 34</t>
  </si>
  <si>
    <t>ИП280900213300003</t>
  </si>
  <si>
    <t>675000 Амурская область город Благовещенск улица Ленина 157</t>
  </si>
  <si>
    <t>ИП Буторина Наталья Николаевна</t>
  </si>
  <si>
    <t>280115149116</t>
  </si>
  <si>
    <t>ИП2809005703</t>
  </si>
  <si>
    <t>ИП280900570300000</t>
  </si>
  <si>
    <t>675004 Амурская область Благовещенск 50 лет Октября 29   342</t>
  </si>
  <si>
    <t>ИП Блюденова София Михайловна</t>
  </si>
  <si>
    <t>280119077046</t>
  </si>
  <si>
    <t>ИП2809035003</t>
  </si>
  <si>
    <t>ИП280903500300000</t>
  </si>
  <si>
    <t>676770 Амурская область город Райчихинск улица Победы дом 4</t>
  </si>
  <si>
    <t>ИП Пальчиков Александр Леонтьевич</t>
  </si>
  <si>
    <t>280120123360</t>
  </si>
  <si>
    <t>ИП2809004965</t>
  </si>
  <si>
    <t>ИП280900496500000</t>
  </si>
  <si>
    <t>675001 Амурская область город Благовещенск улица Красноармейская дом 102   помещение 29</t>
  </si>
  <si>
    <t>ООО "ЮД"АФРОДИТА"</t>
  </si>
  <si>
    <t>2801221005</t>
  </si>
  <si>
    <t>ЮЛ2809001216</t>
  </si>
  <si>
    <t>ЮЛ280900121600000</t>
  </si>
  <si>
    <t>675002 Амурская область город Благовещенск улица Политехническая дом 1   пом 111</t>
  </si>
  <si>
    <t>ИП Селин Вячеслав Витальевич</t>
  </si>
  <si>
    <t>280122362879</t>
  </si>
  <si>
    <t>ИП2809018723</t>
  </si>
  <si>
    <t>ИП280901872300000</t>
  </si>
  <si>
    <t>675004 Амурская область город Благовещенск улица Амурская дом 165</t>
  </si>
  <si>
    <t>ООО "ЛОМБАРД "РУБЛЬ"</t>
  </si>
  <si>
    <t>2801235209</t>
  </si>
  <si>
    <t>ЮЛ2809002975</t>
  </si>
  <si>
    <t>ЮЛ280900297500000</t>
  </si>
  <si>
    <t>675000 Амурская область город Благовещенск улица Б.Хмельницкого 17</t>
  </si>
  <si>
    <t>ООО "ХЭНТА"</t>
  </si>
  <si>
    <t>2801255082</t>
  </si>
  <si>
    <t>ЮЛ2809035172</t>
  </si>
  <si>
    <t>ЮЛ280903517200000</t>
  </si>
  <si>
    <t>ИП Паймуратова Яна Тарасовна</t>
  </si>
  <si>
    <t>280125649157</t>
  </si>
  <si>
    <t>ИП2809000158</t>
  </si>
  <si>
    <t>ИП280900015800000</t>
  </si>
  <si>
    <t>ИП280900015800001</t>
  </si>
  <si>
    <t>ИП280900015800002</t>
  </si>
  <si>
    <t>675000 Амурская область город Благовещенск улица Красноармейская дом 102   секция 116</t>
  </si>
  <si>
    <t>ИП280900015800003</t>
  </si>
  <si>
    <t>676850 Амурская область город Белогорск улица Кирова дом 129   офис 3</t>
  </si>
  <si>
    <t>ИП280900015800004</t>
  </si>
  <si>
    <t>675001 Амурская область город Благовещенск улица Шевченко дом 85   помещение 20014</t>
  </si>
  <si>
    <t>Общество с ограниченной ответственностью "Ломбард Хотей"</t>
  </si>
  <si>
    <t>2801261826</t>
  </si>
  <si>
    <t>ЮЛ2809006746</t>
  </si>
  <si>
    <t>ЮЛ280900674600000</t>
  </si>
  <si>
    <t>675001 Амурская область город Благовещенск улица 50 лет Октября дом 27   помещение 17</t>
  </si>
  <si>
    <t>ЮЛ280900674600001</t>
  </si>
  <si>
    <t>675028 Амурская область город Благовещенск улица Василенко дом 11 помещение 20101</t>
  </si>
  <si>
    <t>ООО "ЛАВ"</t>
  </si>
  <si>
    <t>2801272610</t>
  </si>
  <si>
    <t>ЮЛ2809032971</t>
  </si>
  <si>
    <t>ЮЛ280903297100000</t>
  </si>
  <si>
    <t>675001 Амурская область город Благовещенск улица 50 лет Октября дом 44</t>
  </si>
  <si>
    <t>ЮЛ280903297100001</t>
  </si>
  <si>
    <t>675004 Амурская область город Благовещенск площадь Ленина дом 1</t>
  </si>
  <si>
    <t>ЮЛ280903297100004</t>
  </si>
  <si>
    <t>675000 Амурская область Благовещенск 50 лет Октября 27</t>
  </si>
  <si>
    <t>ИП Краснова Наталья Николаевна</t>
  </si>
  <si>
    <t>280128139210</t>
  </si>
  <si>
    <t>ИП2809035430</t>
  </si>
  <si>
    <t>ИП280903543000000</t>
  </si>
  <si>
    <t>675004 Амурская область город Благовещенск улица Пионерская дом 2   20009</t>
  </si>
  <si>
    <t>ООО "ИЛО"</t>
  </si>
  <si>
    <t>2801281935</t>
  </si>
  <si>
    <t>ЮЛ2809037954</t>
  </si>
  <si>
    <t>ЮЛ280903795400000</t>
  </si>
  <si>
    <t>675028 Амурская область город Благовещенск улица Институтская дом 6</t>
  </si>
  <si>
    <t>ИП Курилов Андрей Юрьевич</t>
  </si>
  <si>
    <t>280128234545</t>
  </si>
  <si>
    <t>ИП2809014961</t>
  </si>
  <si>
    <t>ИП280901496100000</t>
  </si>
  <si>
    <t>676850 Амурская область город Белогорск улица Партизанская 28</t>
  </si>
  <si>
    <t>ИП Сапрыкин Владимир Васильевич</t>
  </si>
  <si>
    <t>280401059520</t>
  </si>
  <si>
    <t>ИП2809010927</t>
  </si>
  <si>
    <t>ИП280901092700000</t>
  </si>
  <si>
    <t>676805 Амурская область город Белогорск улица Садовая дом 18</t>
  </si>
  <si>
    <t>ИП Фролова Наталья Игоревна</t>
  </si>
  <si>
    <t>280401059914</t>
  </si>
  <si>
    <t>ИП2809005719</t>
  </si>
  <si>
    <t>ИП280900571900002</t>
  </si>
  <si>
    <t>676853 Амурская область город Белогорск улица Никольское шоссе дом 38</t>
  </si>
  <si>
    <t>ИП280900571900003</t>
  </si>
  <si>
    <t>676850 Амурская область город Белогорск улица Кирова 117</t>
  </si>
  <si>
    <t>ИП Фролов Сергей Леонидович</t>
  </si>
  <si>
    <t>280401692651</t>
  </si>
  <si>
    <t>ИП2809033787</t>
  </si>
  <si>
    <t>ИП280903378700000</t>
  </si>
  <si>
    <t>676805 Амурская область город Белогорск улица Кирова дом 125</t>
  </si>
  <si>
    <t>ИП280903378700001</t>
  </si>
  <si>
    <t>676790 Амурская область поселок городского типа Прогресс улица Заводская дом 62   34</t>
  </si>
  <si>
    <t>ИП Картавцева Виктория Юрьевна</t>
  </si>
  <si>
    <t>280600051772</t>
  </si>
  <si>
    <t>ИП2809017383</t>
  </si>
  <si>
    <t>ИП280901738300000</t>
  </si>
  <si>
    <t>676722 Амурская область поселок городского типа Новобурейский улица Советская дом 35/2</t>
  </si>
  <si>
    <t>ООО "АСК"</t>
  </si>
  <si>
    <t>2806008337</t>
  </si>
  <si>
    <t>ЮЛ2809014407</t>
  </si>
  <si>
    <t>ЮЛ280901440700000</t>
  </si>
  <si>
    <t>676282 Амурская область город Тында улица Привокзальная дом 1   часть помещения 97</t>
  </si>
  <si>
    <t>ИП Мальцев Артем Сергеевич</t>
  </si>
  <si>
    <t>280882492540</t>
  </si>
  <si>
    <t>ИП2809031666</t>
  </si>
  <si>
    <t>ИП280903166600000</t>
  </si>
  <si>
    <t>676306 Амурская область город Шимановск улица Орджоникидзе дом 26   помещение  4</t>
  </si>
  <si>
    <t>ИП Шевелева Эмилия Викторовна</t>
  </si>
  <si>
    <t>280900037306</t>
  </si>
  <si>
    <t>ИП2809001602</t>
  </si>
  <si>
    <t>ИП280900160200000</t>
  </si>
  <si>
    <t>676740 Амурская область поселок городского типа Архара Ленина 91</t>
  </si>
  <si>
    <t>ИП Пальвинская Елена Владимировна</t>
  </si>
  <si>
    <t>281000588373</t>
  </si>
  <si>
    <t>ИП2809011964</t>
  </si>
  <si>
    <t>ИП280901196400000</t>
  </si>
  <si>
    <t>ИП Борзенкова Марина Васильевна</t>
  </si>
  <si>
    <t>281001515868</t>
  </si>
  <si>
    <t>ИП2809031776</t>
  </si>
  <si>
    <t>ИП280903177600000</t>
  </si>
  <si>
    <t>675002 Амурская область город Благовещенск улица Ленина дом 77</t>
  </si>
  <si>
    <t>ООО "АИТ"</t>
  </si>
  <si>
    <t>2813007976</t>
  </si>
  <si>
    <t>ЮЛ2809012526</t>
  </si>
  <si>
    <t>ЮЛ280901252600000</t>
  </si>
  <si>
    <t>676720 Амурская область поселок городского типа Новобурейский улица Комсомольская дом 5Б</t>
  </si>
  <si>
    <t>ИП Армаева Анна Анатольевна</t>
  </si>
  <si>
    <t>281302571633</t>
  </si>
  <si>
    <t>ИП2809005145</t>
  </si>
  <si>
    <t>ИП280900514500000</t>
  </si>
  <si>
    <t>676246 Амурская область город Зея площадь Рыночная 12</t>
  </si>
  <si>
    <t>ИП Петров Павел Петрович</t>
  </si>
  <si>
    <t>281501152556</t>
  </si>
  <si>
    <t>ИП2809005220</t>
  </si>
  <si>
    <t>ИП280900522000000</t>
  </si>
  <si>
    <t>675000 Амурская область город Благовещенск Улица Мухина Дом 114</t>
  </si>
  <si>
    <t>ИП Черней Ольга Николаевна</t>
  </si>
  <si>
    <t>281600210520</t>
  </si>
  <si>
    <t>ИП2809035173</t>
  </si>
  <si>
    <t>ИП280903517300000</t>
  </si>
  <si>
    <t>676530 Амурская область село Новокиевский Увал улица 40 лет Победы 22</t>
  </si>
  <si>
    <t>ИП Чихтисова Людмила Олеговна</t>
  </si>
  <si>
    <t>281901055740</t>
  </si>
  <si>
    <t>ИП2709032167</t>
  </si>
  <si>
    <t>ИП270903216700000</t>
  </si>
  <si>
    <t>676620 Амурская область село Ромны Советская 102   2</t>
  </si>
  <si>
    <t>ИП Сильченкова Светлана Юрьевна</t>
  </si>
  <si>
    <t>282200004838</t>
  </si>
  <si>
    <t>ИП2809030523</t>
  </si>
  <si>
    <t>ИП280903052300000</t>
  </si>
  <si>
    <t>675001 Амурская область город Благовещенск улица 50 лет Октября дом 61   324</t>
  </si>
  <si>
    <t>ИП Чернецова Виктория Федоровна</t>
  </si>
  <si>
    <t>282900222581</t>
  </si>
  <si>
    <t>ИП2809039076</t>
  </si>
  <si>
    <t>ИП280903907600000</t>
  </si>
  <si>
    <t>675004 Амурская область город Благовещенск улица 50 лет Октября дом 27   помещение 13</t>
  </si>
  <si>
    <t>ИП Чупраков Эдуард Викторович</t>
  </si>
  <si>
    <t>282911267256</t>
  </si>
  <si>
    <t>ИП2809000137</t>
  </si>
  <si>
    <t>ИП280900013700000</t>
  </si>
  <si>
    <t>675001 Амурская область город Благовещенск улица Шевченко дом 85   пом 20014</t>
  </si>
  <si>
    <t>ИП280900013700001</t>
  </si>
  <si>
    <t>675004 Амурская область город Благовещенск улица 50 лет Октября дом 28</t>
  </si>
  <si>
    <t>ЮЛ770100193500068</t>
  </si>
  <si>
    <t>675029 Амурская область город Благовещенск улица Мухина дом 114   первый этаж</t>
  </si>
  <si>
    <t>ЮЛ770100193500069</t>
  </si>
  <si>
    <t>676805 Амурская область город Белогорск улица Кирова дом 82   этаж 1 (первый)</t>
  </si>
  <si>
    <t>ЮЛ770100193500661</t>
  </si>
  <si>
    <t>ЮЛ780300308200026</t>
  </si>
  <si>
    <t>676805 Амурская область город Белогорск улица Кирова дом 118</t>
  </si>
  <si>
    <t>ЮЛ780300308200058</t>
  </si>
  <si>
    <t>Архангельская область</t>
  </si>
  <si>
    <t>163000 Архангельская область город Архангельск проспект Троицкий дом 17</t>
  </si>
  <si>
    <t>ИП Басик Константин Сергеевич</t>
  </si>
  <si>
    <t>290106315194</t>
  </si>
  <si>
    <t>ИП7701037670</t>
  </si>
  <si>
    <t>ИП770103767000000</t>
  </si>
  <si>
    <t>163046 Архангельская область город Архангельск проспект Обводный канал дом 48   помещение 8-Н</t>
  </si>
  <si>
    <t>ИП Боркичева Анна Сергеевна</t>
  </si>
  <si>
    <t>290106418841</t>
  </si>
  <si>
    <t>ИП8003017335</t>
  </si>
  <si>
    <t>ИП800301733500000</t>
  </si>
  <si>
    <t>164200 Архангельская область город Няндома улица Ленина дом 48а</t>
  </si>
  <si>
    <t>ИП800301733500001</t>
  </si>
  <si>
    <t>164110 Архангельская область город Каргополь улица Ленинградская дом 13</t>
  </si>
  <si>
    <t>ИП800301733500002</t>
  </si>
  <si>
    <t>164262 Архангельская область рабочий поселок Плесецк улица Партизанская дом 15А</t>
  </si>
  <si>
    <t>ИП800301733500003</t>
  </si>
  <si>
    <t>164900 Архангельская область город Новодвинск улица Бумажников дом 6</t>
  </si>
  <si>
    <t>ИП800301733500005</t>
  </si>
  <si>
    <t>163001 Архангельская область город Архангельск проспект Троицкий дом 121 корпус 1</t>
  </si>
  <si>
    <t>ИП800301733500007</t>
  </si>
  <si>
    <t>163020 Архангельская область город Архангельск улица Терехина дом 5</t>
  </si>
  <si>
    <t>ИП800301733500008</t>
  </si>
  <si>
    <t>163062 Архангельская область город Архангельск проспект Ленинградский дом 255</t>
  </si>
  <si>
    <t>ИП800301733500012</t>
  </si>
  <si>
    <t>163012 Архангельская область город Архангельск улица Кировская дом 6</t>
  </si>
  <si>
    <t>ИП800301733500013</t>
  </si>
  <si>
    <t>164010 Архангельская область рабочий поселок Коноша проспект Октябрьский дом 37</t>
  </si>
  <si>
    <t>ИП800301733500014</t>
  </si>
  <si>
    <t>163062 Архангельская область город Архангельск улица Никитова 6   помещ. 1</t>
  </si>
  <si>
    <t>ООО "ЛОМБАРД "РОМАНОВ КРЕДИТ"</t>
  </si>
  <si>
    <t>2901117696</t>
  </si>
  <si>
    <t>ЮЛ2903000793</t>
  </si>
  <si>
    <t>ЮЛ290300079300000</t>
  </si>
  <si>
    <t>163045 Архангельская область город Архангельск улица Гагарина дом 5</t>
  </si>
  <si>
    <t>ЮЛ290300079300001</t>
  </si>
  <si>
    <t>164902 Архангельская область город Новодвинск улица 50-летия Октября 39</t>
  </si>
  <si>
    <t>ЮЛ290300079300002</t>
  </si>
  <si>
    <t>163002 Архангельская область город Архангельск улица Урицкого дом 2   помещ. 158Н</t>
  </si>
  <si>
    <t>ЮЛ290300079300003</t>
  </si>
  <si>
    <t>163009 Архангельская область город Архангельск улица Прокопия Галушина дом 15</t>
  </si>
  <si>
    <t>ЮЛ290300079300004</t>
  </si>
  <si>
    <t>163046 Архангельская область город Архангельск проспект Обводный канал дом 48</t>
  </si>
  <si>
    <t>ООО "ЛОМБАРД ЦЕНТР "ЮВЕЛИР"</t>
  </si>
  <si>
    <t>2901170636</t>
  </si>
  <si>
    <t>ЮЛ2903003642</t>
  </si>
  <si>
    <t>ЮЛ290300364200000</t>
  </si>
  <si>
    <t>ЮЛ290300364200006</t>
  </si>
  <si>
    <t>164500 Архангельская область город Северодвинск Приморский будьвар 24</t>
  </si>
  <si>
    <t>ИП Рябов Сергей Львович</t>
  </si>
  <si>
    <t>290202165752</t>
  </si>
  <si>
    <t>ИП2903013032</t>
  </si>
  <si>
    <t>ИП290301303200000</t>
  </si>
  <si>
    <t>163046 Архангельская область город Архангельск проспект Ломоносова дом 152   помещение 1</t>
  </si>
  <si>
    <t>ИП Парфенов Павел Валентинович</t>
  </si>
  <si>
    <t>290202487929</t>
  </si>
  <si>
    <t>ИП2903040025</t>
  </si>
  <si>
    <t>ИП290304002500000</t>
  </si>
  <si>
    <t>164509 Архангельская область город Северодвинск проезд Машиностроителей дом 12</t>
  </si>
  <si>
    <t>АО "ЦС "ЗВЕЗДОЧКА"</t>
  </si>
  <si>
    <t>2902060361</t>
  </si>
  <si>
    <t>ЮЛ2903009589</t>
  </si>
  <si>
    <t>ЮЛ290300958900000</t>
  </si>
  <si>
    <t>164524 Архангельская область город Северодвинск проспект Бутомы дом 2</t>
  </si>
  <si>
    <t>ЮЛ290300958900009</t>
  </si>
  <si>
    <t>164512 Архангельская область город Северодвинск улица Ломоносова дом 98А</t>
  </si>
  <si>
    <t>ЮЛ290300958900010</t>
  </si>
  <si>
    <t>164500 Архангельская область город Северодвинск улица Ломоносова дом 81</t>
  </si>
  <si>
    <t>ЮЛ290300958900011</t>
  </si>
  <si>
    <t>163069 Архангельская область город Архангельск проспект Троицкий дом 20</t>
  </si>
  <si>
    <t>ЮЛ290300958900012</t>
  </si>
  <si>
    <t>164900 Архангельская область город Новодвинск Уборевича 16</t>
  </si>
  <si>
    <t>ИП Байбиков Олег Феритович</t>
  </si>
  <si>
    <t>290302996694</t>
  </si>
  <si>
    <t>ИП2903018083</t>
  </si>
  <si>
    <t>ИП290301808300000</t>
  </si>
  <si>
    <t>163000 Архангельская область город Архангельск проспект Троицкий дом 16   16</t>
  </si>
  <si>
    <t>ИП Новосельцева Анастасия Викторовна</t>
  </si>
  <si>
    <t>290303659469</t>
  </si>
  <si>
    <t>ИП2903013519</t>
  </si>
  <si>
    <t>ИП290301351900000</t>
  </si>
  <si>
    <t>165430 Архангельская область село Красноборск улица Гагарина дом 34 корпус 1  помещение №17</t>
  </si>
  <si>
    <t>ИП Ирхин Павел Николаевич</t>
  </si>
  <si>
    <t>290400654762</t>
  </si>
  <si>
    <t>ИП2903007579</t>
  </si>
  <si>
    <t>ИП290300757900000</t>
  </si>
  <si>
    <t>165340 Архангельская область город Котлас, п. Вычегодский улица Театральная дом 15А корпус 1</t>
  </si>
  <si>
    <t>ИП290300757900001</t>
  </si>
  <si>
    <t>165653 Архангельская область город Коряжма проспект Ленина дом 17   нежилое помещение № 29</t>
  </si>
  <si>
    <t>ООО "УСОЛЬСКИЕ ЭМАЛИ"</t>
  </si>
  <si>
    <t>2904008712</t>
  </si>
  <si>
    <t>ЮЛ2903005493</t>
  </si>
  <si>
    <t>ЮЛ290300549300001</t>
  </si>
  <si>
    <t>165313 Архангельская область город Котлас проспект Мира дом 33   помещение № 10; 11</t>
  </si>
  <si>
    <t>ЮЛ290300549300004</t>
  </si>
  <si>
    <t>165302 Архангельская область город Котлас пр-кт Мира дом 18   нежилое помещение № 41</t>
  </si>
  <si>
    <t>ЮЛ290300549300008</t>
  </si>
  <si>
    <t>165300 Архангельская область город Котлас улица Маяковского дом 7   Помещение №1, №2</t>
  </si>
  <si>
    <t>ЮЛ290300549300009</t>
  </si>
  <si>
    <t>165313 Архангельская область город Котлас улица Кузнецова / Кедрова  дом 8/1   помещение 3</t>
  </si>
  <si>
    <t>ИП Паршина Наталья Александровна</t>
  </si>
  <si>
    <t>290401125673</t>
  </si>
  <si>
    <t>ИП2903002655</t>
  </si>
  <si>
    <t>ИП290300265500000</t>
  </si>
  <si>
    <t>165300 Архангельская область город Котлас проспект Мира дом 18   помещение 57</t>
  </si>
  <si>
    <t>ИП290300265500001</t>
  </si>
  <si>
    <t>165150 Архангельская область город Вельск Улица Дзержинского Дом 86 строение 3  секция 28</t>
  </si>
  <si>
    <t>ИП290300265500003</t>
  </si>
  <si>
    <t>165300 Архангельская область город Котлас проспект Мира дом 18</t>
  </si>
  <si>
    <t>ИП Попов Александр Александрович</t>
  </si>
  <si>
    <t>290407269760</t>
  </si>
  <si>
    <t>ИП2903007536</t>
  </si>
  <si>
    <t>ИП290300753600000</t>
  </si>
  <si>
    <t>165313 Архангельская область город Котлас улица Кузнецова дом 8   помещения № 38, 39, 40</t>
  </si>
  <si>
    <t>ИП Ерофеевский Дмитрий Валерьевич</t>
  </si>
  <si>
    <t>290500799507</t>
  </si>
  <si>
    <t>ИП2903003492</t>
  </si>
  <si>
    <t>ИП290300349200000</t>
  </si>
  <si>
    <t>164840 Архангельская область город Онега улица Шаревского дом 8</t>
  </si>
  <si>
    <t>ИП Богданова Наталья Геннадьевна</t>
  </si>
  <si>
    <t>290600002203</t>
  </si>
  <si>
    <t>ИП2903017004</t>
  </si>
  <si>
    <t>ИП290301700400000</t>
  </si>
  <si>
    <t>165500 Архангельская область село Верхняя Тойма улица Кировская дом 4</t>
  </si>
  <si>
    <t>ПО "ВЕРХНЕТОЕМСКОЕ"</t>
  </si>
  <si>
    <t>2908003095</t>
  </si>
  <si>
    <t>ЮЛ2903010439</t>
  </si>
  <si>
    <t>ЮЛ290301043900000</t>
  </si>
  <si>
    <t>164010 Архангельская область рабочий поселок Коноша проспект Октябрьский дом 25</t>
  </si>
  <si>
    <t>ИП Перхина Татьяна Васильевна</t>
  </si>
  <si>
    <t>291200059550</t>
  </si>
  <si>
    <t>ИП2903000357</t>
  </si>
  <si>
    <t>ИП290300035700000</t>
  </si>
  <si>
    <t>164200 Архангельская область город Няндома улица 60 лет Октября дом 18в</t>
  </si>
  <si>
    <t>ИП Сниг Людмила Васильевна</t>
  </si>
  <si>
    <t>291800180999</t>
  </si>
  <si>
    <t>ИП2903016764</t>
  </si>
  <si>
    <t>ИП290301676400000</t>
  </si>
  <si>
    <t>164110 Архангельская область город Каргополь улица Победы дом 10</t>
  </si>
  <si>
    <t>ИП290301676400002</t>
  </si>
  <si>
    <t>164200 Архангельская область город Няндома улица Леваневского дом 40</t>
  </si>
  <si>
    <t>ИП Богданов Алексей Альбертович</t>
  </si>
  <si>
    <t>291802094880</t>
  </si>
  <si>
    <t>ИП2903032451</t>
  </si>
  <si>
    <t>ИП290303245100000</t>
  </si>
  <si>
    <t>164600 Архангельская область село Карпогоры улица Федора Абрамова дом 28</t>
  </si>
  <si>
    <t>ПО "КАРПОГОРСКОЕ"</t>
  </si>
  <si>
    <t>2919004439</t>
  </si>
  <si>
    <t>ЮЛ2903019195</t>
  </si>
  <si>
    <t>ЮЛ290301919500000</t>
  </si>
  <si>
    <t>164262 Архангельская область рабочий поселок Плесецк улица Кооперативная дом 4Б</t>
  </si>
  <si>
    <t>ИП Кузнецов Дмитрий Владимирович</t>
  </si>
  <si>
    <t>292001287514</t>
  </si>
  <si>
    <t>ИП2903011499</t>
  </si>
  <si>
    <t>ИП290301149900000</t>
  </si>
  <si>
    <t>164262 Архангельская область рабочий поселок Плесецк улица Уборевича дом 9д</t>
  </si>
  <si>
    <t>ИП Иванова Мария Владимировна</t>
  </si>
  <si>
    <t>292004371965</t>
  </si>
  <si>
    <t>ИП2903014177</t>
  </si>
  <si>
    <t>ИП290301417700001</t>
  </si>
  <si>
    <t>165160 Архангельская область город Шенкурск Ленина 19 А</t>
  </si>
  <si>
    <t>ООО "ЗОЛОТО ПЛЮС"</t>
  </si>
  <si>
    <t>2924005830</t>
  </si>
  <si>
    <t>ЮЛ2903032969</t>
  </si>
  <si>
    <t>ЮЛ290303296900000</t>
  </si>
  <si>
    <t>164172 Архангельская область город Мирный улица Циргвава дом 8   помещение 1</t>
  </si>
  <si>
    <t>ИП Топорищева Анна Александровна</t>
  </si>
  <si>
    <t>292500008452</t>
  </si>
  <si>
    <t>ИП2903003881</t>
  </si>
  <si>
    <t>ИП290300388100000</t>
  </si>
  <si>
    <t>164173 Архангельская область город Мирный улица Советская дом 8   Часть нежилого помещения в здании МКД, состоящая из комнат № 51-66, общей пл. 145,2 кв.м., в т.ч.: осн. пл. – 110,9 кв.м., складские помещ. - 4,0 кв.м., вспом. пл. – 30,3 кв.м. (план помещения Приложение № 1). Кадастровый номер 29:25:010105:2694</t>
  </si>
  <si>
    <t>ИП Левченко Наталья Игоревна</t>
  </si>
  <si>
    <t>292500041594</t>
  </si>
  <si>
    <t>ИП2903005801</t>
  </si>
  <si>
    <t>ИП290300580100000</t>
  </si>
  <si>
    <t>164172 Архангельская область Город Мирный Улица Циргвава Дом 8   Помещение 1</t>
  </si>
  <si>
    <t>ИП Топорищев Николай Михайлович</t>
  </si>
  <si>
    <t>292500491748</t>
  </si>
  <si>
    <t>ИП2903034935</t>
  </si>
  <si>
    <t>ИП290303493500000</t>
  </si>
  <si>
    <t>ИП Логачева Инна Николаевна</t>
  </si>
  <si>
    <t>292600388945</t>
  </si>
  <si>
    <t>ИП2903002381</t>
  </si>
  <si>
    <t>ИП290300238100002</t>
  </si>
  <si>
    <t>164500 Архангельская область город Северодвинск улица Ломоносова дом 81   1 этаж</t>
  </si>
  <si>
    <t>ИП290300238100003</t>
  </si>
  <si>
    <t>163000 Архангельская область город Архангельск Попова 14   3 этаж помещения 22,23,24,24а,25,26,27</t>
  </si>
  <si>
    <t>ИП290300238100006</t>
  </si>
  <si>
    <t>ИП290300238100008</t>
  </si>
  <si>
    <t>163000 Архангельская область город Архангельск проспект Ломоносова  152   помещений 1</t>
  </si>
  <si>
    <t>ИП Чучин Никита Викторович</t>
  </si>
  <si>
    <t>352606638589</t>
  </si>
  <si>
    <t>ИП3503032595</t>
  </si>
  <si>
    <t>ИП350303259500001</t>
  </si>
  <si>
    <t>164500 Архангельская область город Северодвинск проспект Победы 1 строение 11</t>
  </si>
  <si>
    <t>ИП Моисеева Лариса Валентиновна</t>
  </si>
  <si>
    <t>441500022258</t>
  </si>
  <si>
    <t>ИП2903007422</t>
  </si>
  <si>
    <t>ИП290300742200000</t>
  </si>
  <si>
    <t>165300 Архангельская область город Котлас улица Невского дом 11</t>
  </si>
  <si>
    <t>ИП290300742200001</t>
  </si>
  <si>
    <t>164900 Архангельская область город Новодвинск улица Советов дом 27 корпус 1</t>
  </si>
  <si>
    <t>ИП290300742200003</t>
  </si>
  <si>
    <t>164500 Архангельская область город Северодвинск улица Ломоносова дом 98А корпус 1</t>
  </si>
  <si>
    <t>ИП290300742200006</t>
  </si>
  <si>
    <t>163020 Архангельская область город Архангельск улица Советская дом 25   этаж 1, помещение 52</t>
  </si>
  <si>
    <t>ИП Бойко Александр Дмитриевич</t>
  </si>
  <si>
    <t>503003474142</t>
  </si>
  <si>
    <t>ИП5001017746</t>
  </si>
  <si>
    <t>ИП500101774600014</t>
  </si>
  <si>
    <t>165150 Архангельская область город Вельск улица Дзержинского дом 86 строение 3  часть секция №1</t>
  </si>
  <si>
    <t>ИП Тюкина Оксана Владимировна</t>
  </si>
  <si>
    <t>682709437218</t>
  </si>
  <si>
    <t>ИП2903015839</t>
  </si>
  <si>
    <t>ИП290301583900000</t>
  </si>
  <si>
    <t>163057 Архангельская область город Архангельск проспект Ленинградский дом 255   2-й этаж</t>
  </si>
  <si>
    <t>ИП Кириченко Ирина Константиновна</t>
  </si>
  <si>
    <t>760707872500</t>
  </si>
  <si>
    <t>ИП2903001919</t>
  </si>
  <si>
    <t>ИП290300191900000</t>
  </si>
  <si>
    <t>163020 Архангельская область город Архангельск улица Советская дом 25   часть помещения 57, этаж 1</t>
  </si>
  <si>
    <t>ЮЛ770101216600141</t>
  </si>
  <si>
    <t>164500 Архангельская область город Северодвинск улица Ломоносова дом 81   часть нежилого помещения 4, этаж 1</t>
  </si>
  <si>
    <t>ЮЛ770101216600147</t>
  </si>
  <si>
    <t>163009 Архангельская область город Архангельск проспект Ленинградский дом 38   помещение 1.39, этаж 1</t>
  </si>
  <si>
    <t>ЮЛ770101216600223</t>
  </si>
  <si>
    <t>164523 Архангельская область город Северодвинск проспект Морской дом 70   этаж 1</t>
  </si>
  <si>
    <t>ЮЛ770101216600257</t>
  </si>
  <si>
    <t>163046 Архангельская область город Архангельск улица Воскресенская дом 20   этаж 1, часть нежилого помещения 35, 35а</t>
  </si>
  <si>
    <t>ЮЛ770101216600359</t>
  </si>
  <si>
    <t>163045 Архангельская область город Архангельск улица Розинга дом 10   помещение 1н, 1 этаж, часть помещения №88</t>
  </si>
  <si>
    <t>ЮЛ770101216600853</t>
  </si>
  <si>
    <t>163000 Архангельская область город Архангельск проспект Троицкий дом 17   1 этаж, часть нежилого помещения № 8</t>
  </si>
  <si>
    <t>ЮЛ770101216600889</t>
  </si>
  <si>
    <t>164500 Архангельская область город Северодвинск шоссе Архангельское дом 120   1 этаж, часть нежилого помещения №85</t>
  </si>
  <si>
    <t>ЮЛ770101216600914</t>
  </si>
  <si>
    <t>163046 Архангельская область город Архангельск улица Воскресенская дом 20</t>
  </si>
  <si>
    <t>АО "МЮЗ"</t>
  </si>
  <si>
    <t>7724181241</t>
  </si>
  <si>
    <t>ЮЛ7701004194</t>
  </si>
  <si>
    <t>ЮЛ770100419400206</t>
  </si>
  <si>
    <t>163009 Архангельская область город Архангельск проспект Ленинградский дом 38   помещение 1.24, первый этаж</t>
  </si>
  <si>
    <t>ЮЛ770100193500093</t>
  </si>
  <si>
    <t>163046 Архангельская область город Архангельск улица Воскресенская дом 20   помещения 130, 130а, 130б</t>
  </si>
  <si>
    <t>ЮЛ770100193500094</t>
  </si>
  <si>
    <t>163069 Архангельская область город Архангельск проспект Троицкий дом 17   1 (первый) этаж</t>
  </si>
  <si>
    <t>ЮЛ770100193500095</t>
  </si>
  <si>
    <t>164500 Архангельская область город Северодвинск шоссе Архангельское дом 120    помещения 18, 19, 20, 1 этаж</t>
  </si>
  <si>
    <t>ЮЛ770100193500096</t>
  </si>
  <si>
    <t>165300 Архангельская область город Котлас улица Невского/ улица Калинина дом 11/ дом 14</t>
  </si>
  <si>
    <t>ЮЛ780300131300030</t>
  </si>
  <si>
    <t>165651 Архангельская область город Коряжма проспект Ленина дом 25</t>
  </si>
  <si>
    <t>ЮЛ780300131300031</t>
  </si>
  <si>
    <t>ЮЛ780300131300440</t>
  </si>
  <si>
    <t>163009 Архангельская область город Архангельск проспект Ленинградский дом 38   помещение 1.25</t>
  </si>
  <si>
    <t>ООО "ЮК ТРЦ 1"</t>
  </si>
  <si>
    <t>7806264682</t>
  </si>
  <si>
    <t>ЮЛ7803002179</t>
  </si>
  <si>
    <t>ЮЛ780300217900000</t>
  </si>
  <si>
    <t>164523 Архангельская область город Северодвинск проспект Морской дом 70   часть нежилого помещения № 1 и помещение № 111</t>
  </si>
  <si>
    <t>ЮЛ780300328000178</t>
  </si>
  <si>
    <t>163000 Архангельская область город Архангельск улица Воскресенская дом 6   магазин "Рубин"</t>
  </si>
  <si>
    <t>АО "ЮВЕЛИРТОРГ"</t>
  </si>
  <si>
    <t>7808030658</t>
  </si>
  <si>
    <t>ЮЛ7803001797</t>
  </si>
  <si>
    <t>ЮЛ780300179700013</t>
  </si>
  <si>
    <t>164512 Архангельская область город Северодвинск улица Ломоносова дом 92   магазин "Алмаз"</t>
  </si>
  <si>
    <t>ЮЛ780300179700021</t>
  </si>
  <si>
    <t>164500 Архангельская область город Северодвинск улица Ломоносова дом 81   помещения №№1, 2</t>
  </si>
  <si>
    <t>ЮЛ780300323500027</t>
  </si>
  <si>
    <t>163046 Архангельская область город Архангельск улица Воскресенская дом 20   помещение 15</t>
  </si>
  <si>
    <t>ЮЛ780300323500071</t>
  </si>
  <si>
    <t>163051 Архангельская область город Архангельск улица Воскресенская дом 101</t>
  </si>
  <si>
    <t>ЮЛ780300323500073</t>
  </si>
  <si>
    <t>163009 Архангельская область город Архангельск проспект Ленинградский дом 38   помещение 1.37</t>
  </si>
  <si>
    <t>ЮЛ780300323500074</t>
  </si>
  <si>
    <t>163000 Архангельская область город Архангельск улица Попова дом 16</t>
  </si>
  <si>
    <t>ЮЛ780300323500075</t>
  </si>
  <si>
    <t>163069 Архангельская область город Архангельск проспект Троицкий дом 20   помещения 72, 73, 75, 76</t>
  </si>
  <si>
    <t>ЮЛ780300323500076</t>
  </si>
  <si>
    <t>ЮЛ780300308200016</t>
  </si>
  <si>
    <t>ЮЛ780300308200039</t>
  </si>
  <si>
    <t>163051 Архангельская область город Архангельск улица Воскресенская дом 114   помещение 5</t>
  </si>
  <si>
    <t>ЮЛ780300308200040</t>
  </si>
  <si>
    <t>163009 Архангельская область город Архангельск проспект Ленинградский дом 38   часть нежилого помещения № 1.84</t>
  </si>
  <si>
    <t>ЮЛ780300308200041</t>
  </si>
  <si>
    <t>163069 Архангельская область город Архангельск проспект Троицкий дом 17</t>
  </si>
  <si>
    <t>ЮЛ780300308200149</t>
  </si>
  <si>
    <t>164170 Архангельская область город Мирный улица Ленина дом 41</t>
  </si>
  <si>
    <t>ЮЛ780300308200373</t>
  </si>
  <si>
    <t>164509 Архангельская область город Северодвинск улица Мира дом 15</t>
  </si>
  <si>
    <t>ЮЛ780300308200381</t>
  </si>
  <si>
    <t>164523 Архангельская область город Северодвинск проспект Морской дом 70   помещение 1 и 111</t>
  </si>
  <si>
    <t>ЮЛ780300308200382</t>
  </si>
  <si>
    <t>ЮЛ780300308200475</t>
  </si>
  <si>
    <t>165309 Архангельская область город Котлас проспект Мира дом 18</t>
  </si>
  <si>
    <t>ЮЛ780300308200840</t>
  </si>
  <si>
    <t>164515 Архангельская область город Северодвинск улица Ломоносова дом 81   часть нежилого помещения № 2</t>
  </si>
  <si>
    <t>ЮЛ780300308201064</t>
  </si>
  <si>
    <t>163046 Архангельская область город Архангельск улица Воскресенская дом 20   нежилые помещения № 124, № 125</t>
  </si>
  <si>
    <t>ЮЛ780300308201169</t>
  </si>
  <si>
    <t>ЮЛ780300363500038</t>
  </si>
  <si>
    <t>ЮЛ780300363500049</t>
  </si>
  <si>
    <t>ЮЛ780300363500050</t>
  </si>
  <si>
    <t>163009 Архангельская область город Архангельск проспект Ленинградский дом 38</t>
  </si>
  <si>
    <t>ЮЛ780300363500051</t>
  </si>
  <si>
    <t>163069 Архангельская область город Архангельск улица Попова дом 16</t>
  </si>
  <si>
    <t>ЮЛ780300363500052</t>
  </si>
  <si>
    <t>163000 Архангельская область город Архангельск проспект Троицкий дом 20</t>
  </si>
  <si>
    <t>ЮЛ780300363500053</t>
  </si>
  <si>
    <t>163009 Архангельская область город Архангельск проспект Ленинградский дом 38   помещение № 1.34</t>
  </si>
  <si>
    <t>ООО "ЗОЛОТОГРАД"</t>
  </si>
  <si>
    <t>7816324330</t>
  </si>
  <si>
    <t>ЮЛ7803012612</t>
  </si>
  <si>
    <t>ЮЛ780301261200025</t>
  </si>
  <si>
    <t>164500 Архангельская область город Северодвинск пр-т Морской 70   помещение условный №164,часть</t>
  </si>
  <si>
    <t>ИП Кормачева Жанна Владимировна</t>
  </si>
  <si>
    <t>781907094267</t>
  </si>
  <si>
    <t>ИП7803032215</t>
  </si>
  <si>
    <t>ИП780303221500000</t>
  </si>
  <si>
    <t>ИП780303221500001</t>
  </si>
  <si>
    <t>163046 Архангельская область город Архангельск улица Воскресенская дом 20   этаж 1, помещения 35,36</t>
  </si>
  <si>
    <t>АО "1 ЮВЕЛИРНАЯ СЕТЬ"</t>
  </si>
  <si>
    <t>9715334311</t>
  </si>
  <si>
    <t>ЮЛ7701004392</t>
  </si>
  <si>
    <t>ЮЛ770100439200177</t>
  </si>
  <si>
    <t>Астраханская область</t>
  </si>
  <si>
    <t>414000 Астраханская область город Астрахань улица Свердлова/Красная набережная дом 99-101/100-102  литер 2</t>
  </si>
  <si>
    <t>ИП Ефимова Елена Николаевна</t>
  </si>
  <si>
    <t>54702187341</t>
  </si>
  <si>
    <t>ИП3004009475</t>
  </si>
  <si>
    <t>ИП300400947500000</t>
  </si>
  <si>
    <t>414000 Астраханская область город Астрахань улица Ахматовская дом 5  025</t>
  </si>
  <si>
    <t>ИП Заев В.В.</t>
  </si>
  <si>
    <t>132605833490</t>
  </si>
  <si>
    <t>ИП1306039122</t>
  </si>
  <si>
    <t>ИП130603912200000</t>
  </si>
  <si>
    <t>414047 Астраханская область город Астрахань улица Минусинская дом 8  литер А</t>
  </si>
  <si>
    <t>ИП Сундурбеков Рустам Расулович</t>
  </si>
  <si>
    <t>201100425999</t>
  </si>
  <si>
    <t>ИП2005036653</t>
  </si>
  <si>
    <t>ИП200503665300000</t>
  </si>
  <si>
    <t>416506 Астраханская область город Ахтубинск улица Жуковского дом 18</t>
  </si>
  <si>
    <t>ИП Симко Юлия Владимировна</t>
  </si>
  <si>
    <t>300114284210</t>
  </si>
  <si>
    <t>ИП3004009712</t>
  </si>
  <si>
    <t>ИП300400971200000</t>
  </si>
  <si>
    <t>414056 Астраханская область город Астрахань улица Савушкина/улица 28-й Армии дом 7/2</t>
  </si>
  <si>
    <t>ИП Ажбаева Гульнара Текебаевна</t>
  </si>
  <si>
    <t>300203588202</t>
  </si>
  <si>
    <t>ИП3004002819</t>
  </si>
  <si>
    <t>ИП300400281900000</t>
  </si>
  <si>
    <t>414032 Астраханская область город Астрахань улица Жилая дом 9  литер А</t>
  </si>
  <si>
    <t>ИП300400281900002</t>
  </si>
  <si>
    <t>414056 Астраханская область город Астрахань улица Савушкина дом 5</t>
  </si>
  <si>
    <t>ИП300400281900003</t>
  </si>
  <si>
    <t>414024 Астраханская область город Астрахань улица Богдана Хмельницкого/ул.Боевая д.27/ д.48   торговый зал №5</t>
  </si>
  <si>
    <t>ИП300400281900004</t>
  </si>
  <si>
    <t>416150 Астраханская область село Красный Яр улица Советская дом 64И</t>
  </si>
  <si>
    <t>ИП300400281900005</t>
  </si>
  <si>
    <t>416370 Астраханская область село Икряное улица Советская дом 22Б</t>
  </si>
  <si>
    <t>ИП Алиева Зухра Шахбановна</t>
  </si>
  <si>
    <t>300403314569</t>
  </si>
  <si>
    <t>ИП3004006128</t>
  </si>
  <si>
    <t>ИП300400612800000</t>
  </si>
  <si>
    <t>414000 Астраханская область город Астрахань улица Свердлова/Чалабяна дом 100/21</t>
  </si>
  <si>
    <t>ИП Расулова Оксана Сергеевна</t>
  </si>
  <si>
    <t>300501971820</t>
  </si>
  <si>
    <t>ИП3004006719</t>
  </si>
  <si>
    <t>ИП300400671900000</t>
  </si>
  <si>
    <t>414024 Астраханская область город Астрахань улица Боевая дом 25  литер А</t>
  </si>
  <si>
    <t>ИП Туликова Гульмира Бикбулатовна</t>
  </si>
  <si>
    <t>300902905334</t>
  </si>
  <si>
    <t>ИП3004003688</t>
  </si>
  <si>
    <t>ИП300400368800000</t>
  </si>
  <si>
    <t>416010 Астраханская область город Харабали улица Б.Хмельницкого дом 6</t>
  </si>
  <si>
    <t>ИП Шилин Валерий Валериевич</t>
  </si>
  <si>
    <t>301000013289</t>
  </si>
  <si>
    <t>ИП3004038405</t>
  </si>
  <si>
    <t>ИП300403840500000</t>
  </si>
  <si>
    <t>416540 Астраханская область город Знаменск улица Проспект 9 Мая дом 12А</t>
  </si>
  <si>
    <t>ИП Герцен Андрей Владимирович</t>
  </si>
  <si>
    <t>301300031391</t>
  </si>
  <si>
    <t>ИП3004003117</t>
  </si>
  <si>
    <t>ИП300400311700000</t>
  </si>
  <si>
    <t>416550 Астраханская область город Знаменск улица Проспект 9 Мая дом 14</t>
  </si>
  <si>
    <t>ИП300400311700001</t>
  </si>
  <si>
    <t>416506 Астраханская область город Ахтубинск улица Нестерова дом 5Б</t>
  </si>
  <si>
    <t>ИП300400311700002</t>
  </si>
  <si>
    <t>416540 Астраханская область город Знаменск улица Проспект 9 Мая дом 8   помещение 04</t>
  </si>
  <si>
    <t>ИП300400311700003</t>
  </si>
  <si>
    <t>416501 Астраханская область город Ахтубинск улица Добролюбова дом 26</t>
  </si>
  <si>
    <t>ИП300400311700004</t>
  </si>
  <si>
    <t>416540 Астраханская область город Знаменск улица Ленина дом 52Б   ком. 206</t>
  </si>
  <si>
    <t>ИП Тюрин Андрей Николаевич</t>
  </si>
  <si>
    <t>301301059664</t>
  </si>
  <si>
    <t>ИП3004008337</t>
  </si>
  <si>
    <t>ИП300400833700000</t>
  </si>
  <si>
    <t>414047 Астраханская область город Астрахань улица Минусинская дом 8  Литер строения "Б" павильон № 9/6 в нежилом помещении 27А</t>
  </si>
  <si>
    <t>ИП Джалилов Эмиль Кафисович</t>
  </si>
  <si>
    <t>301500785340</t>
  </si>
  <si>
    <t>ИП3004002542</t>
  </si>
  <si>
    <t>ИП300400254200000</t>
  </si>
  <si>
    <t>414000 Астраханская область город Астрахань улица Кирова/Ахматовская дом 15/6  А помещение 35</t>
  </si>
  <si>
    <t>ИП Смирнов Александр Викторович</t>
  </si>
  <si>
    <t>301500805268</t>
  </si>
  <si>
    <t>ИП3004003106</t>
  </si>
  <si>
    <t>ИП300400310600000</t>
  </si>
  <si>
    <t>414000 Астраханская область город Астрахань улица Свердлова дом 99-101   помещение 2</t>
  </si>
  <si>
    <t>ИП Фомина Ольга Михайловна</t>
  </si>
  <si>
    <t>301500863414</t>
  </si>
  <si>
    <t>ИП3004002135</t>
  </si>
  <si>
    <t>ИП300400213500000</t>
  </si>
  <si>
    <t>414000 Астраханская область город Астрахань улица Ногина дом 2 литер строения Б  помещение 45</t>
  </si>
  <si>
    <t>ИП Благова Тамара Михайловна</t>
  </si>
  <si>
    <t>301501833606</t>
  </si>
  <si>
    <t>ИП3004007067</t>
  </si>
  <si>
    <t>ИП300400706700000</t>
  </si>
  <si>
    <t>414000 Астраханская область г. Астрахань ул. Ногина дом 2   пом. 43</t>
  </si>
  <si>
    <t>ИП Преображенская Татьяна Юрьевна</t>
  </si>
  <si>
    <t>301502132473</t>
  </si>
  <si>
    <t>ИП5001032382</t>
  </si>
  <si>
    <t>ИП500103238200000</t>
  </si>
  <si>
    <t>414000 Астраханская область г. Астрахань ул. Ногина д. 2   пом. 45</t>
  </si>
  <si>
    <t>ИП500103238200001</t>
  </si>
  <si>
    <t>414000 Астраханская область г. Астрахань ул. Ногина д. 2   пом 55</t>
  </si>
  <si>
    <t>ИП500103238200002</t>
  </si>
  <si>
    <t>414024 Астраханская область город Астрахань улица Боевая дом 53   помещение 1</t>
  </si>
  <si>
    <t>ИП Захаркина Елена Геннадиевна</t>
  </si>
  <si>
    <t>301503166122</t>
  </si>
  <si>
    <t>ИП3004006678</t>
  </si>
  <si>
    <t>ИП300400667800000</t>
  </si>
  <si>
    <t>414000 Астраханская область город Астрахань улица Советская/улица Тредиаковского/улица Чернышевского дом 2/7/1  А 13</t>
  </si>
  <si>
    <t>ООО ФИРМА "АНТИКВАР"</t>
  </si>
  <si>
    <t>3015047913</t>
  </si>
  <si>
    <t>ЮЛ3004008309</t>
  </si>
  <si>
    <t>ЮЛ300400830900000</t>
  </si>
  <si>
    <t>414000 Астраханская область город Астрахань улица Ахматовская дом 5  литер А помещение 23</t>
  </si>
  <si>
    <t>ООО "ТКФ "САПФИР"</t>
  </si>
  <si>
    <t>3015064475</t>
  </si>
  <si>
    <t>ЮЛ3004004862</t>
  </si>
  <si>
    <t>ЮЛ300400486200000</t>
  </si>
  <si>
    <t>414000 Астраханская область город Астрахань улица Ахматовская дом 5</t>
  </si>
  <si>
    <t>ОАО "САПФИР"</t>
  </si>
  <si>
    <t>3015070510</t>
  </si>
  <si>
    <t>ЮЛ0004010345</t>
  </si>
  <si>
    <t>ЮЛ000401034500000</t>
  </si>
  <si>
    <t>414000 Астраханская область город Астрахань улица Красная Набережная дом 120а</t>
  </si>
  <si>
    <t>ООО "АГИССА-ЛОМБАРД"</t>
  </si>
  <si>
    <t>3015075149</t>
  </si>
  <si>
    <t>ЮЛ3004010542</t>
  </si>
  <si>
    <t>ЮЛ300401054200000</t>
  </si>
  <si>
    <t>ИП Яковлева Евгения Евгеньевна</t>
  </si>
  <si>
    <t>301507550700</t>
  </si>
  <si>
    <t>ИП3004008304</t>
  </si>
  <si>
    <t>ИП300400830400000</t>
  </si>
  <si>
    <t>414000 Астраханская область город Астрахань улица Красная Набережная дом 98/1  литер строения А</t>
  </si>
  <si>
    <t>ИП Тимофеев Александр Дмитриевич</t>
  </si>
  <si>
    <t>301510242350</t>
  </si>
  <si>
    <t>ИП3004004256</t>
  </si>
  <si>
    <t>ИП300400425600000</t>
  </si>
  <si>
    <t>414000 Астраханская область город Астрахань улица Свердлова\Кр. набережная дом 99-101\100-102</t>
  </si>
  <si>
    <t>ИП Дмитриева Лилия Георгиевна</t>
  </si>
  <si>
    <t>301606825835</t>
  </si>
  <si>
    <t>ИП3004038611</t>
  </si>
  <si>
    <t>ИП300403861100000</t>
  </si>
  <si>
    <t>414000 Астраханская область город Астрахань улица Ногина строение 1</t>
  </si>
  <si>
    <t>ИП Могушкова Эльмира Рубиновна</t>
  </si>
  <si>
    <t>301610553849</t>
  </si>
  <si>
    <t>ИП3004007275</t>
  </si>
  <si>
    <t>ИП300400727500000</t>
  </si>
  <si>
    <t>414000 Астраханская область город Астрахань улица Красная Набережная дом 98/1  Литер А</t>
  </si>
  <si>
    <t>ИП Климов Дмитрий Александрович</t>
  </si>
  <si>
    <t>301700460331</t>
  </si>
  <si>
    <t>ИП3004004257</t>
  </si>
  <si>
    <t>ИП300400425700000</t>
  </si>
  <si>
    <t>414000 Астраханская область город Астрахань улица Ногина дом 3  литера б</t>
  </si>
  <si>
    <t>ИП300400425700001</t>
  </si>
  <si>
    <t>414000 Астраханская область город Астрахань улица Кирова/Эспланадная дом 12/10а</t>
  </si>
  <si>
    <t>ИП Шабанова Рашида Исхаковна</t>
  </si>
  <si>
    <t>301700756057</t>
  </si>
  <si>
    <t>ИП3004012505</t>
  </si>
  <si>
    <t>ИП300401250500000</t>
  </si>
  <si>
    <t>414000 Астраханская область город Астрахань улица Кирова дом 12/10А</t>
  </si>
  <si>
    <t>ИП Деев Андрей Владимирович</t>
  </si>
  <si>
    <t>301704636307</t>
  </si>
  <si>
    <t>ИП3004032194</t>
  </si>
  <si>
    <t>ИП300403219400000</t>
  </si>
  <si>
    <t>414000 Астраханская область город Астрахань улица Свердлова/ЧАЛАБЯНА дом 100/21</t>
  </si>
  <si>
    <t>ИП Расулова Елена Александровна</t>
  </si>
  <si>
    <t>301705353301</t>
  </si>
  <si>
    <t>ИП3004008361</t>
  </si>
  <si>
    <t>ИП300400836100000</t>
  </si>
  <si>
    <t>414000 Астраханская область город Астрахань улица Свердлова дом 55  Литер строения А помещение 017</t>
  </si>
  <si>
    <t>ИП Омаров Гаджибулгай Магомедович</t>
  </si>
  <si>
    <t>301707235818</t>
  </si>
  <si>
    <t>ИП3004004789</t>
  </si>
  <si>
    <t>ИП300400478900000</t>
  </si>
  <si>
    <t>414024 Астраханская область Астрахань Улица Боевая Дом 25  Литера А</t>
  </si>
  <si>
    <t>ИП Джадраева Эльмира Ханатовна</t>
  </si>
  <si>
    <t>301712178604</t>
  </si>
  <si>
    <t>ИП5001011850</t>
  </si>
  <si>
    <t>ИП500101185000000</t>
  </si>
  <si>
    <t>414000 Астраханская область город Астрахань улица Красная Набережная/Ногина дом  98/1 помещение 9</t>
  </si>
  <si>
    <t>ИП Прытков Герман Германович</t>
  </si>
  <si>
    <t>301712688002</t>
  </si>
  <si>
    <t>ИП3004015548</t>
  </si>
  <si>
    <t>ИП300401554800000</t>
  </si>
  <si>
    <t>414024 Астраханская область город Астрахань улица Свердлова/Ногина/Кр.Набережная дом 97/2/96 помещение 48 литера В</t>
  </si>
  <si>
    <t>ИП300401554800001</t>
  </si>
  <si>
    <t>414000 Астраханская область город Астрахань улица Свердлова/Ногина/Красная набережная дом 97/2/96 помещение 46а</t>
  </si>
  <si>
    <t>ИП300401554800002</t>
  </si>
  <si>
    <t>416170 Астраханская область поселок Володарский площадь Октябрьская дом 4 "а"</t>
  </si>
  <si>
    <t>ИП Усманова Луиза Равильевна</t>
  </si>
  <si>
    <t>301725668885</t>
  </si>
  <si>
    <t>ИП3004005381</t>
  </si>
  <si>
    <t>ИП300400538100000</t>
  </si>
  <si>
    <t>414042 Астраханская область город Астрахань улица Магистральная  29</t>
  </si>
  <si>
    <t>ИП Яковлева Ирина Николаевна</t>
  </si>
  <si>
    <t>301726234873</t>
  </si>
  <si>
    <t>ИП3004007779</t>
  </si>
  <si>
    <t>ИП300400777900000</t>
  </si>
  <si>
    <t>414024 Астраханская область город Астрахань улица Боевая дом 25  литер а</t>
  </si>
  <si>
    <t>ИП Сенектутова Инара Мусаевна</t>
  </si>
  <si>
    <t>301727649214</t>
  </si>
  <si>
    <t>ИП3004000479</t>
  </si>
  <si>
    <t>ИП300400047900000</t>
  </si>
  <si>
    <t>414000 Астраханская область город Астрахань улица Красная Набережная дом 106 лит.А</t>
  </si>
  <si>
    <t>ООО "ФПК "ДЕЛЬТА" ЛОМБАРД"</t>
  </si>
  <si>
    <t>3018014218</t>
  </si>
  <si>
    <t>ЮЛ3004000804</t>
  </si>
  <si>
    <t>ЮЛ300400080400009</t>
  </si>
  <si>
    <t>ООО "АХТУБИНСКИЙ ГОРОДСКОЙ ЛОМБАРД"</t>
  </si>
  <si>
    <t>3022003000</t>
  </si>
  <si>
    <t>ЮЛ3004009916</t>
  </si>
  <si>
    <t>ЮЛ300400991600000</t>
  </si>
  <si>
    <t>414041 Астраханская область город Астрахань улица Минусинская дом 8 1  помещение 38</t>
  </si>
  <si>
    <t>ООО "СЕРЕБРЯНЫЙ СЛОНЪ-АСТРАХАНЬ"</t>
  </si>
  <si>
    <t>3025013367</t>
  </si>
  <si>
    <t>ЮЛ3004001175</t>
  </si>
  <si>
    <t>ЮЛ300400117500000</t>
  </si>
  <si>
    <t>414009 Астраханская область город Астрахань улица Новороссийская строение 1в</t>
  </si>
  <si>
    <t>ИП Тимакова Алла Михайловна</t>
  </si>
  <si>
    <t>343508807996</t>
  </si>
  <si>
    <t>ИП3404009932</t>
  </si>
  <si>
    <t>ИП340400993200026</t>
  </si>
  <si>
    <t>414032 Астраханская область город Астрахань улица Бабаевского строение 39г</t>
  </si>
  <si>
    <t>ИП340400993200027</t>
  </si>
  <si>
    <t>ООО "ЛОМБАРД ЦАРИЦЫН"</t>
  </si>
  <si>
    <t>3445040331</t>
  </si>
  <si>
    <t>ЮЛ3404009643</t>
  </si>
  <si>
    <t>ЮЛ340400964300027</t>
  </si>
  <si>
    <t>ЮЛ340400964300028</t>
  </si>
  <si>
    <t>414040 Астраханская область город Астрахань площадь Вокзальная дом 13  литера а</t>
  </si>
  <si>
    <t>ИП500100445500039</t>
  </si>
  <si>
    <t>414000 Астраханская область город Астрахань площадь Вокзальная дом 13  литера А помещение К65</t>
  </si>
  <si>
    <t>Центральный ООО "ТРИУМФ"</t>
  </si>
  <si>
    <t>5257189004</t>
  </si>
  <si>
    <t>ЮЛ5206033766</t>
  </si>
  <si>
    <t>ЮЛ520603376600104</t>
  </si>
  <si>
    <t>414040 Астраханская область город Астрахань улица Вокзальная дом 13  А ЧП К13</t>
  </si>
  <si>
    <t>ООО "ДИНАСТИЯ"</t>
  </si>
  <si>
    <t>7606117183</t>
  </si>
  <si>
    <t>ЮЛ7602011907</t>
  </si>
  <si>
    <t>ЮЛ760201190700081</t>
  </si>
  <si>
    <t>414021 Астраханская область город Астрахань улица Заводская дом 38   нежилое помещение № 016, 1 этаж (первый)</t>
  </si>
  <si>
    <t>ООО "МОЙ ЛОМБАРД"</t>
  </si>
  <si>
    <t>7702377882</t>
  </si>
  <si>
    <t>ЮЛ7701002015</t>
  </si>
  <si>
    <t>ЮЛ770100201500512</t>
  </si>
  <si>
    <t>414045 Астраханская область город Астрахань улица Боевая дом 53а-55а</t>
  </si>
  <si>
    <t>ЮЛ770100201500515</t>
  </si>
  <si>
    <t>414000 Астраханская область город Астрахань улица Красная Набережная дом 118а   помещение 2</t>
  </si>
  <si>
    <t>ЮЛ770100201500516</t>
  </si>
  <si>
    <t>414000 Астраханская область город Астрахань улица Фиолетова дом 31  Литер А</t>
  </si>
  <si>
    <t>ЮЛ770100201500517</t>
  </si>
  <si>
    <t>414052 Астраханская область город Астрахань улица Яблочкова/улица Маркина  дом 22/дом 44   помещение 94</t>
  </si>
  <si>
    <t>ЮЛ770100201500518</t>
  </si>
  <si>
    <t>414009 Астраханская область город Астрахань улица Новороссийская дом 12</t>
  </si>
  <si>
    <t>ЮЛ770100201500711</t>
  </si>
  <si>
    <t>414000 Астраханская область город Астрахань улица Красная Набережная дом 106   помещение 2</t>
  </si>
  <si>
    <t>ЮЛ770100201500871</t>
  </si>
  <si>
    <t>414040 Астраханская область город Астрахань площадь Вокзальная дом 13  Литер А помещение 116, этаж 1</t>
  </si>
  <si>
    <t>ЮЛ770101216600108</t>
  </si>
  <si>
    <t>414041 Астраханская область город Астрахань улица Минусинская дом 8  Литер Б Помещение 38</t>
  </si>
  <si>
    <t>ЮЛ770101216600165</t>
  </si>
  <si>
    <t>414057 Астраханская область город Астрахань проезд Воробьева дом 10   этаж 1</t>
  </si>
  <si>
    <t>ЮЛ770101216600562</t>
  </si>
  <si>
    <t>414042 Астраханская область город Астрахань улица Магистральная дом 29   этаж 1, часть помещения №2</t>
  </si>
  <si>
    <t>ЮЛ770101216600644</t>
  </si>
  <si>
    <t>414000 Астраханская область город Астрахань улица Ахматовская /улица Кирова дом 7 / 14  Литера Б  этаж 1, часть нежилого помещения 001а, нежилое помещение 003</t>
  </si>
  <si>
    <t>ЮЛ770101216600731</t>
  </si>
  <si>
    <t>414045 Астраханская область город Астрахань улица Боевая строение 25   1 этаж, нежилое помещение № 15</t>
  </si>
  <si>
    <t>ЮЛ770101216600771</t>
  </si>
  <si>
    <t>414056 Астраханская область город Астрахань улица Савушкина здание 5   этаж 1, нежилое помещение № Р-12</t>
  </si>
  <si>
    <t>ЮЛ770101216600977</t>
  </si>
  <si>
    <t>414024 Астраханская область город Астрахань улица Бакинская/Донбасская дом 39/40  литер А</t>
  </si>
  <si>
    <t>ЮЛ770100419400096</t>
  </si>
  <si>
    <t>414040 Астраханская область город Астрахань площадь Вокзальная дом 13   помещение №176</t>
  </si>
  <si>
    <t>ЮЛ770100419400240</t>
  </si>
  <si>
    <t>414024 Астраханская область город Астрахань улица Боевая дом 25  литер А комнаты 26, 27, 28, 1 (первый) этаж</t>
  </si>
  <si>
    <t>ЮЛ770100193500097</t>
  </si>
  <si>
    <t>414040 Астраханская область город Астрахань Вокзальная площадь дом 13  литер А помещение 12, комната 173</t>
  </si>
  <si>
    <t>ЮЛ770100193500098</t>
  </si>
  <si>
    <t>414047 Астраханская область город Астрахань улица Минусинская дом 8   часть нежилого помещения № 38, этаж 1 (первый)</t>
  </si>
  <si>
    <t>ЮЛ770100193500505</t>
  </si>
  <si>
    <t>ЮЛ770100193500886</t>
  </si>
  <si>
    <t>414045 Астраханская область город Астрахань улица Боевая здание 53а-55а</t>
  </si>
  <si>
    <t>ЮЛ770100193500888</t>
  </si>
  <si>
    <t>414015 Астраханская область город Астрахань площадь Заводская дом 38   часть нежилого помещения № 016, этаж 1 (первый)</t>
  </si>
  <si>
    <t>ЮЛ770100193500923</t>
  </si>
  <si>
    <t>414052 Астраханская область город Астрахань улица Яблочкова/ Маркина дом 22/ 44   помещение 94</t>
  </si>
  <si>
    <t>ЮЛ770100193500941</t>
  </si>
  <si>
    <t>414000 Астраханская область город Астрахань улица Фиолетова дом 31  литера стр.А</t>
  </si>
  <si>
    <t>ЮЛ770100193500965</t>
  </si>
  <si>
    <t>414057 Астраханская область город Астрахань проезд Воробьева дом 7а</t>
  </si>
  <si>
    <t>ЮЛ770100193500969</t>
  </si>
  <si>
    <t>416370 Астраханская область село Икряное улица Советская дом 36   помещение 10</t>
  </si>
  <si>
    <t>ЮЛ770100193500978</t>
  </si>
  <si>
    <t>ЮЛ770100193501005</t>
  </si>
  <si>
    <t>414000 Астраханская область город Астрахань улица Ахматовская/ улица Кирова дом 7/дом 14  литер Б помещение 001а</t>
  </si>
  <si>
    <t>ЮЛ770100193501035</t>
  </si>
  <si>
    <t>414040 Астраханская область город Астрахань площадь Вокзальная дом 13   часть помещения 12, комната 97, 1 этаж</t>
  </si>
  <si>
    <t>ЮЛ770100193501063</t>
  </si>
  <si>
    <t>414015 Астраханская область город Астрахань площадь Заводская дом 38   квартира 17</t>
  </si>
  <si>
    <t>ЮЛ770100193501099</t>
  </si>
  <si>
    <t>414041 Астраханская область город Астрахань улица Яблочкова дом 11   помещение 005</t>
  </si>
  <si>
    <t>ЮЛ770100193501103</t>
  </si>
  <si>
    <t>414052 Астраханская область город Астрахань улица Яблочкова дом 32   помещение 18</t>
  </si>
  <si>
    <t>ЮЛ770100193501105</t>
  </si>
  <si>
    <t>414000 Астраханская область город Астрахань улица Красная Набережная дом 6   помещение 2</t>
  </si>
  <si>
    <t>ЮЛ770100193501109</t>
  </si>
  <si>
    <t>414000 Астраханская область город Астрахань улица Свердлова/ улица Ногина/ улица Кр. Набережная  дом 97 / дом 2/ дом 96 литер ВВ1В2  помещение 50</t>
  </si>
  <si>
    <t>ЮЛ780300131300016</t>
  </si>
  <si>
    <t>414013 Астраханская область город Астрахань улица Победы дом 53 литер строения А2</t>
  </si>
  <si>
    <t>ЮЛ780300131300017</t>
  </si>
  <si>
    <t>414000 Астраханская область город Астрахань улица Чалабяна / улица Интернациональная 3-я / улица Ногина дом 26/ дом 21-23/ дом 9 литер строение Г</t>
  </si>
  <si>
    <t>ЮЛ780300131300018</t>
  </si>
  <si>
    <t>414000 Астраханская область город Астрахань улица Эспланадная/ улица Кирова 12/11 литер строения Б  часть помещения 006 "а"</t>
  </si>
  <si>
    <t>ЮЛ780300131300297</t>
  </si>
  <si>
    <t>414040 Астраханская область город Астрахань площадь Вокзальная дом №13  литера А помещение под номером 164</t>
  </si>
  <si>
    <t>ЮЛ780300328000181</t>
  </si>
  <si>
    <t>414024 Астраханская область город Астрахань улица Боевая д. 53а</t>
  </si>
  <si>
    <t>ЮЛ780300328000182</t>
  </si>
  <si>
    <t>414000 Астраханская область город Астрахань улица Кирова / улица Эспланадная дом 12 /дом 10А  литера А помещение 40</t>
  </si>
  <si>
    <t>ЮЛ780300323500115</t>
  </si>
  <si>
    <t>414040 Астраханская область город Астрахань улица Вокзальная дом 13  литера а помещение 164</t>
  </si>
  <si>
    <t>ЮЛ780300308200508</t>
  </si>
  <si>
    <t>414041 Астраханская область город Астрахань район Кировский, улица Минусинская дом 8   помещение 38</t>
  </si>
  <si>
    <t>ЮЛ780300308200509</t>
  </si>
  <si>
    <t>414000 Астраханская область город Астрахань улица Ногина дом 9  литер строения Г</t>
  </si>
  <si>
    <t>ЮЛ780300308200510</t>
  </si>
  <si>
    <t>414024 Астраханская область город Астрахань улица Боевая строение 53а</t>
  </si>
  <si>
    <t>ЮЛ780300308200511</t>
  </si>
  <si>
    <t>414000 Астраханская область город Астрахань улица Эспланадная/ул. Кирова дом 12/11</t>
  </si>
  <si>
    <t>ЮЛ780300308200845</t>
  </si>
  <si>
    <t>414040 Астраханская область город Астрахань улица Победы дом 53 литер строения А2</t>
  </si>
  <si>
    <t>ЮЛ780300308200869</t>
  </si>
  <si>
    <t>ЮЛ780300308200987</t>
  </si>
  <si>
    <t>414000 Астраханская область город Астрахань улица Свердлова\улица Ногина\ улица Красная нбережная дом 97\2\96   помещение 50</t>
  </si>
  <si>
    <t>ЮЛ780300308200990</t>
  </si>
  <si>
    <t>414045 Астраханская область город Астрахань улица Боевая строение 25   часть нежилого помещения 1 этаж (секция А), Торговое 31</t>
  </si>
  <si>
    <t>ЮЛ780300308201199</t>
  </si>
  <si>
    <t>414015 Астраханская область город Астрахань площадь Заводская дом 39   пом. 74 (часть нежилого помещения 74)</t>
  </si>
  <si>
    <t>ЮЛ780300308201202</t>
  </si>
  <si>
    <t>414000 Астраханская область город Астрахань Красная Набережная улица строение 116а   помещение 2</t>
  </si>
  <si>
    <t>ЮЛ780300308201247</t>
  </si>
  <si>
    <t>414000 Астраханская область город Астрахань улица Кирова/ улица Эспланадная дом 12/10А   комната 1, 2</t>
  </si>
  <si>
    <t>ЮЛ780300363500056</t>
  </si>
  <si>
    <t>414040 Астраханская область город Астрахань площадь Вокзальная строение 13А  А 1 этаж Здания помещение № 117</t>
  </si>
  <si>
    <t>ЮЛ770100439200091</t>
  </si>
  <si>
    <t>414047 Астраханская область город Астрахань улица Минусинская дом 8   35а</t>
  </si>
  <si>
    <t>ЮЛ770100439200275</t>
  </si>
  <si>
    <t>414040 Астраханская область город Астрахань площадь Вокзальная дом 13   помещение 12, комната 97 (по плану - 1.13), 1 (первый) этаж</t>
  </si>
  <si>
    <t>ООО "АКАДЕМИЯ БРИЛЛИАНТОВ"</t>
  </si>
  <si>
    <t>9734015568</t>
  </si>
  <si>
    <t>ЮЛ7701040005</t>
  </si>
  <si>
    <t>ЮЛ770104000500012</t>
  </si>
  <si>
    <t>Байконур</t>
  </si>
  <si>
    <t>468320 Байконур город Байконур проспект Абая дом 14</t>
  </si>
  <si>
    <t>ИП Хрыпко Оксана Николаевна</t>
  </si>
  <si>
    <t>990100937060</t>
  </si>
  <si>
    <t>ИП9901032728</t>
  </si>
  <si>
    <t>ИП990103272800000</t>
  </si>
  <si>
    <t>468320 Байконур город Байконур проспект Абая дом 5   комнаты № 103, 105</t>
  </si>
  <si>
    <t>ИП Шаназаров Мансур Абдигапарович</t>
  </si>
  <si>
    <t>990103767829</t>
  </si>
  <si>
    <t>ИП9901013753</t>
  </si>
  <si>
    <t>ИП990101375300000</t>
  </si>
  <si>
    <t>Белгородская область</t>
  </si>
  <si>
    <t>309640 Белгородская область город Новый Оскол улица Рождественская</t>
  </si>
  <si>
    <t>ИП Шатунов Андрей Викторович</t>
  </si>
  <si>
    <t>245700115198</t>
  </si>
  <si>
    <t>ИП3101007981</t>
  </si>
  <si>
    <t>ИП310100798100000</t>
  </si>
  <si>
    <t>309560 Белгородская область поселок Чернянка улица Магистральная дом 2</t>
  </si>
  <si>
    <t>ИП310100798100001</t>
  </si>
  <si>
    <t>309210 Белгородская область город Короча улица Интернациональная дом 25</t>
  </si>
  <si>
    <t>ИП310100798100002</t>
  </si>
  <si>
    <t>309560 Белгородская область поселок Чернянка улица Октябрьская дом 2</t>
  </si>
  <si>
    <t>ИП310100798100003</t>
  </si>
  <si>
    <t>309110 Белгородская область рабочий поселок Ивня Советская 2</t>
  </si>
  <si>
    <t>ИП Батырева Мария Ивановна</t>
  </si>
  <si>
    <t>310900116475</t>
  </si>
  <si>
    <t>ИП3101015797</t>
  </si>
  <si>
    <t>ИП310101579700000</t>
  </si>
  <si>
    <t>309920 Белгородская область город Бирюч площадь Соборная дом 24</t>
  </si>
  <si>
    <t>ИП Быкова Ирина Закановна</t>
  </si>
  <si>
    <t>311100053098</t>
  </si>
  <si>
    <t>ИП3101005640</t>
  </si>
  <si>
    <t>ИП310100564000000</t>
  </si>
  <si>
    <t>309640 Белгородская область город Новый Оскол улица Колхозная дом 50а</t>
  </si>
  <si>
    <t>ИП Радченко Артем Михайлович</t>
  </si>
  <si>
    <t>311402575823</t>
  </si>
  <si>
    <t>ИП3101007765</t>
  </si>
  <si>
    <t>ИП310100776500000</t>
  </si>
  <si>
    <t>309640 Белгородская область город Новый Оскол улица Славы дом 25</t>
  </si>
  <si>
    <t>ИП310100776500001</t>
  </si>
  <si>
    <t>308027 Белгородская область город Белгород улица Щорса дом 8д   цокольный этаж</t>
  </si>
  <si>
    <t>ИП310100776500002</t>
  </si>
  <si>
    <t>309210 Белгородская область город Короча улица Красная Площадь дом 30</t>
  </si>
  <si>
    <t>ИП310100776500003</t>
  </si>
  <si>
    <t>309650 Белгородская область поселок Волоконовка улица Ленина дом 1</t>
  </si>
  <si>
    <t>ИП310100776500004</t>
  </si>
  <si>
    <t>309640 Белгородская область город Новый Оскол площадь Центральная дом 5   помещение 34</t>
  </si>
  <si>
    <t>ИП310100776500005</t>
  </si>
  <si>
    <t>309740 Белгородская область поселок Ровеньки улица Кирова дом 16</t>
  </si>
  <si>
    <t>ИП Орлова Валентина Викторовна</t>
  </si>
  <si>
    <t>311701125773</t>
  </si>
  <si>
    <t>ИП3101012634</t>
  </si>
  <si>
    <t>ИП310101263400000</t>
  </si>
  <si>
    <t>309296 Белгородская область город Шебекино улица Ленина дом 2/1</t>
  </si>
  <si>
    <t>ИП Шаповалов Александр Алексеевич</t>
  </si>
  <si>
    <t>312000115546</t>
  </si>
  <si>
    <t>ИП3101003845</t>
  </si>
  <si>
    <t>ИП310100384500000</t>
  </si>
  <si>
    <t>309290 Белгородская область город Шебекино улица Ржевское шоссе дом 3 б</t>
  </si>
  <si>
    <t>ИП310100384500001</t>
  </si>
  <si>
    <t>309296 Белгородская область город Шебекино улица Ленина дом 12   Офис</t>
  </si>
  <si>
    <t>ИП Цапенко Анастасия Юрьевна</t>
  </si>
  <si>
    <t>312012517994</t>
  </si>
  <si>
    <t>ИП3101040481</t>
  </si>
  <si>
    <t>ИП310104048100000</t>
  </si>
  <si>
    <t>309070 Белгородская область Город Строитель Улица Ленина дом № 15</t>
  </si>
  <si>
    <t>ИП Новиков Виктор Анатольевич</t>
  </si>
  <si>
    <t>312100001743</t>
  </si>
  <si>
    <t>ИП3101000640</t>
  </si>
  <si>
    <t>ИП310100064000000</t>
  </si>
  <si>
    <t>309850 Белгородская область город Алексеевка улица Мостовая дом 74</t>
  </si>
  <si>
    <t>ООО "ЮВЕЛИР-ЭКОНОМ"</t>
  </si>
  <si>
    <t>3122014045</t>
  </si>
  <si>
    <t>ЮЛ3101007689</t>
  </si>
  <si>
    <t>ЮЛ310100768900000</t>
  </si>
  <si>
    <t>309850 Белгородская область Город Алексеевка Переулок 1 Мостовой Дом 5   этаж 1</t>
  </si>
  <si>
    <t>ИП Чернов Андрей Юрьевич</t>
  </si>
  <si>
    <t>312203464920</t>
  </si>
  <si>
    <t>ИП3101003867</t>
  </si>
  <si>
    <t>ИП310100386700001</t>
  </si>
  <si>
    <t>309640 Белгородская область Город Новый Оскол Улица Славы Дом 27</t>
  </si>
  <si>
    <t>ИП310100386700002</t>
  </si>
  <si>
    <t>309740 Белгородская область Поселок Ровеньки Улица Мира Дом 4 А</t>
  </si>
  <si>
    <t>ИП310100386700003</t>
  </si>
  <si>
    <t>309850 Белгородская область город Алексеевка 1 переулок Мостовой дом 2 Б</t>
  </si>
  <si>
    <t>ИП310100386700004</t>
  </si>
  <si>
    <t>309857 Белгородская область Город Алексеевка площадь Победы дом 31   офис 4</t>
  </si>
  <si>
    <t>ИП Савченко Алексей Алексеевич</t>
  </si>
  <si>
    <t>312250587703</t>
  </si>
  <si>
    <t>ИП3101001950</t>
  </si>
  <si>
    <t>ИП310100195000000</t>
  </si>
  <si>
    <t>309340 Белгородская область поселок Борисовка Луначарского  15</t>
  </si>
  <si>
    <t>ИП Гладкова Татьяна Валентиновна</t>
  </si>
  <si>
    <t>312301123597</t>
  </si>
  <si>
    <t>ИП3101003828</t>
  </si>
  <si>
    <t>ИП310100382800000</t>
  </si>
  <si>
    <t>309650 Белгородская область поселок Волоконовка улица Ленина дом 72</t>
  </si>
  <si>
    <t>ИП310100382800001</t>
  </si>
  <si>
    <t>309000 Белгородская область поселок городского типа Прохоровка улица Советская дом 61</t>
  </si>
  <si>
    <t>ИП310100382800003</t>
  </si>
  <si>
    <t>309310 Белгородская область поселок Ракитное площадь Советская дом 5</t>
  </si>
  <si>
    <t>ИП310100382800004</t>
  </si>
  <si>
    <t>309560 Белгородская область поселок Чернянка площадь Октябрьская  тц</t>
  </si>
  <si>
    <t>ИП310100382800006</t>
  </si>
  <si>
    <t>308000 Белгородская область  Белгород Народный бульвар 99 0 0 0</t>
  </si>
  <si>
    <t>ИП Бычковский Павел Владимирович</t>
  </si>
  <si>
    <t>312301182169</t>
  </si>
  <si>
    <t>ИП3101040997</t>
  </si>
  <si>
    <t>ИП310104099700000</t>
  </si>
  <si>
    <t>308033 Белгородская область город Белгород улица Королева дом 2а корпус 2  этаж 3, уровень 2 (5 этаж)</t>
  </si>
  <si>
    <t>ИП Пашкова Светлана Владимировна</t>
  </si>
  <si>
    <t>312302225136</t>
  </si>
  <si>
    <t>ИП3101001173</t>
  </si>
  <si>
    <t>ИП310100117300000</t>
  </si>
  <si>
    <t>308000 Белгородская область город Белгород улица Королева дом 2а корпус №3  офис 107</t>
  </si>
  <si>
    <t>ИП310100117300001</t>
  </si>
  <si>
    <t>308600 Белгородская область город Белгород улица 50-летия Белгородской области дом 17 корпус б</t>
  </si>
  <si>
    <t>ООО "ПРИИСК"</t>
  </si>
  <si>
    <t>3123067498</t>
  </si>
  <si>
    <t>ЮЛ3101016999</t>
  </si>
  <si>
    <t>ЮЛ310101699900000</t>
  </si>
  <si>
    <t>308015 Белгородская область город Белгород улица Чапаева дом 91   (Центр)</t>
  </si>
  <si>
    <t>ИП Подлесная Ирина Викторовна</t>
  </si>
  <si>
    <t>312308716525</t>
  </si>
  <si>
    <t>ИП3101034126</t>
  </si>
  <si>
    <t>ИП310103412600000</t>
  </si>
  <si>
    <t>308010 Белгородская область город Белгород проспект Б.Хмельницкого дом 137т   1 этаж, помещение 151</t>
  </si>
  <si>
    <t>ИП310103412600001</t>
  </si>
  <si>
    <t>308009 Белгородская область город Белгород улица Попова дом 17   цокольный этаж, 1 уровень</t>
  </si>
  <si>
    <t>ИП310103412600003</t>
  </si>
  <si>
    <t>309516 Белгородская область город Старый Оскол микрорайон Ольминского дом 17   1 этаж</t>
  </si>
  <si>
    <t>ИП310103412600004</t>
  </si>
  <si>
    <t>308501 Белгородская область Белгородский район, поселок Дубовое, микрорайон Пригородный улица Щорса дом 64   1 этаж</t>
  </si>
  <si>
    <t>ИП310103412600010</t>
  </si>
  <si>
    <t>308027 Белгородская область город Белгород улица Щорса дом 8 Д   ТЦ Атлас</t>
  </si>
  <si>
    <t>ИП Яковенко Алла Николаевна</t>
  </si>
  <si>
    <t>312310368949</t>
  </si>
  <si>
    <t>ИП3101015860</t>
  </si>
  <si>
    <t>ИП310101586000000</t>
  </si>
  <si>
    <t>308015 Белгородская область город Белгород улица Преображенская дом 188А</t>
  </si>
  <si>
    <t>АО "САМОЦВЕТЫ ПЛЮС"</t>
  </si>
  <si>
    <t>3123114638</t>
  </si>
  <si>
    <t>ЮЛ3101002162</t>
  </si>
  <si>
    <t>ЮЛ310100216200000</t>
  </si>
  <si>
    <t>308010 Белгородская область город Белгород проспект Б.Хмельницкого дом 137Т   помещение №141 этаж 1</t>
  </si>
  <si>
    <t>ЮЛ310100216200001</t>
  </si>
  <si>
    <t>308501 Белгородская область поселок Дубовое, микрорайон "Пригородный" улица Щорса дом 64   этаж 1</t>
  </si>
  <si>
    <t>ЮЛ310100216200005</t>
  </si>
  <si>
    <t>308010 Белгородская область город Белгород проспект Б.Хмельницкого дом 164   помещение № А 35 этаж 1</t>
  </si>
  <si>
    <t>ЮЛ310100216200006</t>
  </si>
  <si>
    <t>308033 Белгородская область город Белгород улица Щорса дом 43А   помещения №№ 39,46,47 этаж 2</t>
  </si>
  <si>
    <t>ЮЛ310100216200009</t>
  </si>
  <si>
    <t>308023 Белгородская область город Белгород улица Студенческая дом 40   офис 23, 21, 22, 24, 25, 29</t>
  </si>
  <si>
    <t>ООО "ТД "ГАЛАТЕЯ"</t>
  </si>
  <si>
    <t>3123191008</t>
  </si>
  <si>
    <t>ЮЛ3101004474</t>
  </si>
  <si>
    <t>ЮЛ310100447400000</t>
  </si>
  <si>
    <t>308033 Белгородская область город Белгород улица Королева дом 2а корпус 3  офис 317 комната 7</t>
  </si>
  <si>
    <t>ИП Лунева Ирина Ивановна</t>
  </si>
  <si>
    <t>312328905873</t>
  </si>
  <si>
    <t>ИП3101013646</t>
  </si>
  <si>
    <t>ИП310101364600000</t>
  </si>
  <si>
    <t>308033 Белгородская область город Белгород улица Королева дом 2а корпус 3  офис 317 комната 8</t>
  </si>
  <si>
    <t>ИП Лунёв Андрей Игоревич</t>
  </si>
  <si>
    <t>312332923642</t>
  </si>
  <si>
    <t>ИП3101031946</t>
  </si>
  <si>
    <t>ИП310103194600000</t>
  </si>
  <si>
    <t>308009 Белгородская область город Белгород улица 50- летия Белгородской области дом 10  литера А комната 7, 8, 9, 10, 11, 12, 12а</t>
  </si>
  <si>
    <t>ИП Фадеев Виталий Евгеньевич</t>
  </si>
  <si>
    <t>312333489097</t>
  </si>
  <si>
    <t>ИП3101003547</t>
  </si>
  <si>
    <t>ИП310100354700000</t>
  </si>
  <si>
    <t>308001 Белгородская область город Белгород улица Николая Чумичова дом 62А   подвал 1,помещение 1</t>
  </si>
  <si>
    <t>ООО "АСКИДА"</t>
  </si>
  <si>
    <t>3123349051</t>
  </si>
  <si>
    <t>ЮЛ3101011501</t>
  </si>
  <si>
    <t>ЮЛ310101150100000</t>
  </si>
  <si>
    <t>308036 Белгородская область город Белгород улица Есенина дом 7   1 этаж,помещение</t>
  </si>
  <si>
    <t>ЮЛ310101150100001</t>
  </si>
  <si>
    <t>308015 Белгородская область город Белгород улица Победы дом 147   1 этаж,помещение</t>
  </si>
  <si>
    <t>ЮЛ310101150100002</t>
  </si>
  <si>
    <t>309514 Белгородская область город Старый Оскол улица Комсомольская дом 40  Литера Б этаж 1</t>
  </si>
  <si>
    <t>ООО "САМОЦВЕТЫ"</t>
  </si>
  <si>
    <t>3123353548</t>
  </si>
  <si>
    <t>ЮЛ3101001894</t>
  </si>
  <si>
    <t>ЮЛ310100189400005</t>
  </si>
  <si>
    <t>308009 Белгородская область город Белгород проспект Богдана Хмельницкого дом 103</t>
  </si>
  <si>
    <t>ЮЛ310100189400007</t>
  </si>
  <si>
    <t>308000 Белгородская область город Белгород проспект Б.Хмельницкого дом 111В</t>
  </si>
  <si>
    <t>ООО БЮЗ "АРТ-КАРАТ"</t>
  </si>
  <si>
    <t>3123362920</t>
  </si>
  <si>
    <t>ЮЛ3101001682</t>
  </si>
  <si>
    <t>ЮЛ310100168200000</t>
  </si>
  <si>
    <t>308009 Белгородская область город Белгород проспект Белгородский дом 87</t>
  </si>
  <si>
    <t>ЮЛ310100168200012</t>
  </si>
  <si>
    <t>308033 Белгородская область город Белгород улица Королева дом 2А корпус 2  этаж 3, уровень 2 (5 этаж), помещение №2</t>
  </si>
  <si>
    <t>ИП Пашков Николай Владимирович</t>
  </si>
  <si>
    <t>312336371216</t>
  </si>
  <si>
    <t>ИП3101000868</t>
  </si>
  <si>
    <t>ИП310100086800000</t>
  </si>
  <si>
    <t>308023 Белгородская область город Белгород улица Студенческая дом 17Б   офис 12</t>
  </si>
  <si>
    <t>ИП Иваненко Дмитрий Сергеевич</t>
  </si>
  <si>
    <t>312345216986</t>
  </si>
  <si>
    <t>ИП0001007160</t>
  </si>
  <si>
    <t>ИП000100716000000</t>
  </si>
  <si>
    <t>309990 Белгородская область Город Валуйки Улица 1 Мая Дом 18</t>
  </si>
  <si>
    <t>ИП Васюков Олег Анатольевич</t>
  </si>
  <si>
    <t>312600046968</t>
  </si>
  <si>
    <t>ИП3101005440</t>
  </si>
  <si>
    <t>ИП310100544000000</t>
  </si>
  <si>
    <t>309996 Белгородская область город Валуйки улица М.Горького дом 3</t>
  </si>
  <si>
    <t>ИП Васюкова Ольга Владимировна</t>
  </si>
  <si>
    <t>312600049461</t>
  </si>
  <si>
    <t>ИП3101012704</t>
  </si>
  <si>
    <t>ИП310101270400000</t>
  </si>
  <si>
    <t>309996 Белгородская область город Валуйки улица М.Горького дом 2</t>
  </si>
  <si>
    <t>ООО "ИЗУМРУД"</t>
  </si>
  <si>
    <t>3126018724</t>
  </si>
  <si>
    <t>ЮЛ3101012711</t>
  </si>
  <si>
    <t>ЮЛ310101271100001</t>
  </si>
  <si>
    <t>309996 Белгородская область город Валуйки улица Тимирязева 113</t>
  </si>
  <si>
    <t>ЮЛ310101271100002</t>
  </si>
  <si>
    <t>308010 Белгородская область город Белгород Улица Богдана Хмельницкого Дом 137Т   Этаж 1,часть помещения №140</t>
  </si>
  <si>
    <t>ИП Махортов Евгений Викторович</t>
  </si>
  <si>
    <t>312605486641</t>
  </si>
  <si>
    <t>ИП3101037863</t>
  </si>
  <si>
    <t>ИП310103786300000</t>
  </si>
  <si>
    <t>309181 Белгородская область город Губкин улица Кирова дом 42   объект нежилого назначения</t>
  </si>
  <si>
    <t>ИП Пархоменко Наталья Николаевна</t>
  </si>
  <si>
    <t>312700133156</t>
  </si>
  <si>
    <t>ИП7701007567</t>
  </si>
  <si>
    <t>ИП770100756700000</t>
  </si>
  <si>
    <t>309182 Белгородская область город Губкин  улица Космонавтов дом 14   помещение 99</t>
  </si>
  <si>
    <t>ИП770100756700001</t>
  </si>
  <si>
    <t>309516 Белгородская область город Старый Оскол микрорайон Ольминского дом 17   этаж 1</t>
  </si>
  <si>
    <t>ИП770100756700002</t>
  </si>
  <si>
    <t>309511 Белгородская область город Старый Оскол микрорайон Олимпийский дом 63   помещение 6</t>
  </si>
  <si>
    <t>ИП770100756700006</t>
  </si>
  <si>
    <t>309181 Белгородская область город Губкин улица Кирова дом 42</t>
  </si>
  <si>
    <t>ИП Филатова Лариса Александровна</t>
  </si>
  <si>
    <t>312700906303</t>
  </si>
  <si>
    <t>ИП3101016996</t>
  </si>
  <si>
    <t>ИП310101699600000</t>
  </si>
  <si>
    <t>309186 Белгородская область город Губкин улица Пролетарская дом 3  этаж 1</t>
  </si>
  <si>
    <t>ООО "ЛОМБАРД ЮВЕЛИЯ"</t>
  </si>
  <si>
    <t>3127512534</t>
  </si>
  <si>
    <t>ЮЛ3101006612</t>
  </si>
  <si>
    <t>ЮЛ310100661200000</t>
  </si>
  <si>
    <t>309560 Белгородская область поселок Чернянка улица Октябрьская дом 11   помещение 1</t>
  </si>
  <si>
    <t>ИП Атаманкин Николай Викторович</t>
  </si>
  <si>
    <t>312800455492</t>
  </si>
  <si>
    <t>ИП7701004106</t>
  </si>
  <si>
    <t>ИП770100410600000</t>
  </si>
  <si>
    <t>309650 Белгородская область поселок Волоконовка улица Ленина дом 4</t>
  </si>
  <si>
    <t>ИП770100410600001</t>
  </si>
  <si>
    <t>309512 Белгородская область город Старый Оскол микрорайон Жукова дом 24 а</t>
  </si>
  <si>
    <t>ИП770100410600005</t>
  </si>
  <si>
    <t>309516 Белгородская область город Старый Оскол проспект Алексея Угарова дом 2   132</t>
  </si>
  <si>
    <t>ИП Поляновский Евгений Евгеньевич</t>
  </si>
  <si>
    <t>312800608438</t>
  </si>
  <si>
    <t>ИП3101015331</t>
  </si>
  <si>
    <t>ИП310101533100000</t>
  </si>
  <si>
    <t>309502 Белгородская область город Старый Оскол микрорайон Королева дом 3</t>
  </si>
  <si>
    <t>ИП Соболев Александр Николаевич</t>
  </si>
  <si>
    <t>312801090879</t>
  </si>
  <si>
    <t>ИП3101004740</t>
  </si>
  <si>
    <t>ИП310100474000000</t>
  </si>
  <si>
    <t>309502 Белгородская область город Старый Оскол микрорайон Солнечный дом 5</t>
  </si>
  <si>
    <t>ИП310100474000001</t>
  </si>
  <si>
    <t>309509 Белгородская область город Старый Оскол микрорайон Северный дом 7А</t>
  </si>
  <si>
    <t>ИП310100474000002</t>
  </si>
  <si>
    <t>309516 Белгородская область город Старый Оскол микрорайон Ольминского дом 17 ТРЦ "БОШЕ"  помещение № 42  этаж 1</t>
  </si>
  <si>
    <t>ИП310100474000003</t>
  </si>
  <si>
    <t>309186 Белгородская область город Губкин улица Кирова дом 26</t>
  </si>
  <si>
    <t>ИП310100474000004</t>
  </si>
  <si>
    <t>309181 Белгородская область город Губкин улица Кирова дом 37</t>
  </si>
  <si>
    <t>ИП310100474000005</t>
  </si>
  <si>
    <t>309511 Белгородская область город Старый Оскол микрорайон Олимпийский дом 52</t>
  </si>
  <si>
    <t>ООО "Е.В.А.-БЫТТЕХНИКА"</t>
  </si>
  <si>
    <t>3128015743</t>
  </si>
  <si>
    <t>ЮЛ3101005211</t>
  </si>
  <si>
    <t>ЮЛ310100521100000</t>
  </si>
  <si>
    <t>309504 Белгородская область город Старый Оскол микрорайон Приборостроитель дом 4   квартира 1</t>
  </si>
  <si>
    <t>ЮЛ310100521100001</t>
  </si>
  <si>
    <t>309181 Белгородская область город Губкин улица Дзержинского дом 92/23</t>
  </si>
  <si>
    <t>ЮЛ310100521100002</t>
  </si>
  <si>
    <t>309186 Белгородская область город Губкин улица Пролетарская дом 3</t>
  </si>
  <si>
    <t>ЮЛ310100521100003</t>
  </si>
  <si>
    <t>309504 Белгородская область город Старый Оскол проспект Губкина дом 5</t>
  </si>
  <si>
    <t>ИП Евсеева Наталья Николаевна</t>
  </si>
  <si>
    <t>312804597265</t>
  </si>
  <si>
    <t>ИП3101011862</t>
  </si>
  <si>
    <t>ИП310101186200000</t>
  </si>
  <si>
    <t>309502 Белгородская область город Старый Оскол микрорайон Королева 5</t>
  </si>
  <si>
    <t>ООО ЛОМБАРД "АЛМАЗ-ХОЛДИНГ"</t>
  </si>
  <si>
    <t>3128076753</t>
  </si>
  <si>
    <t>ЮЛ3101009517</t>
  </si>
  <si>
    <t>ЮЛ310100951700000</t>
  </si>
  <si>
    <t>309514 Белгородская область город Старый Оскол улица Октябрьская дом 3 - - -</t>
  </si>
  <si>
    <t>ИП Кущ Ольга Викторовна</t>
  </si>
  <si>
    <t>312816229900</t>
  </si>
  <si>
    <t>ИП3101002085</t>
  </si>
  <si>
    <t>ИП310100208500000</t>
  </si>
  <si>
    <t>309500 Белгородская область город Старый Оскол микрорайон Дубрава квартал 1 дом 23</t>
  </si>
  <si>
    <t>ИП Тычинкин Алексей Сергеевич</t>
  </si>
  <si>
    <t>331603033823</t>
  </si>
  <si>
    <t>ИП3101013178</t>
  </si>
  <si>
    <t>ИП310101317800000</t>
  </si>
  <si>
    <t>309070 Белгородская область город Строитель улица 5 Августа дом 28   1 этаж, помещение №51 (торговый павильон №7)</t>
  </si>
  <si>
    <t>ИП Воронина Ольга Викторовна</t>
  </si>
  <si>
    <t>362004954880</t>
  </si>
  <si>
    <t>ИП3101003222</t>
  </si>
  <si>
    <t>ИП310100322200000</t>
  </si>
  <si>
    <t>309516 Белгородская область город Старый Оскол микрорайон Ольминского дом 17   1 этаж, часть нежилого помещения</t>
  </si>
  <si>
    <t>ООО "ВЕСТА"</t>
  </si>
  <si>
    <t>4401159437</t>
  </si>
  <si>
    <t>ЮЛ5001006025</t>
  </si>
  <si>
    <t>ЮЛ500100602500021</t>
  </si>
  <si>
    <t>309340 Белгородская область поселок Борисовка улица Советская дом 2</t>
  </si>
  <si>
    <t>ИП Глазатов Александр Сергеевич</t>
  </si>
  <si>
    <t>463222803807</t>
  </si>
  <si>
    <t>ИП4601039584</t>
  </si>
  <si>
    <t>ИП460103958400002</t>
  </si>
  <si>
    <t>309640 Белгородская область город Новый Оскол улица Славы дом 21</t>
  </si>
  <si>
    <t>ИП460103958400005</t>
  </si>
  <si>
    <t>309300 Белгородская область поселок Пролетарский переулок Кирпичного завода дом 1ж</t>
  </si>
  <si>
    <t>ИП460103958400006</t>
  </si>
  <si>
    <t>309511 Белгородская область город Старый Оскол микрорайон Олимпийский дом 63   часть помещения №13</t>
  </si>
  <si>
    <t>ООО "ЮВЕЛИРНЫЙ ДОМ "КРИСТАЛЛ"</t>
  </si>
  <si>
    <t>4824030956</t>
  </si>
  <si>
    <t>ЮЛ4801002150</t>
  </si>
  <si>
    <t>ЮЛ480100215000005</t>
  </si>
  <si>
    <t>309183 Белгородская область город Губкин улица Космонавтов дом 14   помещения №№6,7,8</t>
  </si>
  <si>
    <t>ЮЛ480100215000019</t>
  </si>
  <si>
    <t>309516 Белгородская область город Старый Оскол микрорайон Ольминского дом 17</t>
  </si>
  <si>
    <t>ИП500100445500087</t>
  </si>
  <si>
    <t>308501 Белгородская область поселок Дубовое микрорайон Пригородный, улица Щорса дом 64</t>
  </si>
  <si>
    <t>ЮЛ520603376600052</t>
  </si>
  <si>
    <t>ЮЛ520603376600086</t>
  </si>
  <si>
    <t>309516 Белгородская область город Старый Оскол проспект Молодежный дом 10</t>
  </si>
  <si>
    <t>ИП Боков Вадим Анатольевич</t>
  </si>
  <si>
    <t>631800531150</t>
  </si>
  <si>
    <t>ИП6306014254</t>
  </si>
  <si>
    <t>ИП630601425400034</t>
  </si>
  <si>
    <t>309183 Белгородская область город Губкин улица Космонавтов дом 14</t>
  </si>
  <si>
    <t>ИП630601425400046</t>
  </si>
  <si>
    <t>308012 Белгородская область город Белгород проспект Ватутина остановочный комплекс "Проспект Ватутина"</t>
  </si>
  <si>
    <t>ООО "АВРОРА"</t>
  </si>
  <si>
    <t>6321286987</t>
  </si>
  <si>
    <t>ЮЛ6306030372</t>
  </si>
  <si>
    <t>ЮЛ630603037200079</t>
  </si>
  <si>
    <t>308007 Белгородская область город Белгород улица Садовая дом 25а</t>
  </si>
  <si>
    <t>ЮЛ630603037200085</t>
  </si>
  <si>
    <t>308009 Белгородская область город Белгород бульвар Народный дом 78</t>
  </si>
  <si>
    <t>ЮЛ630603037200089</t>
  </si>
  <si>
    <t>308036 Белгородская область город Белгород улица Конева дом 25</t>
  </si>
  <si>
    <t>ЮЛ630603037200093</t>
  </si>
  <si>
    <t>308010 Белгородская область город Белгород проспект Б.Хмельницкого дом 154 корпус 1</t>
  </si>
  <si>
    <t>ЮЛ630603037200094</t>
  </si>
  <si>
    <t>309502 Белгородская область город Старый Оскол микрорайон Солнечный дом 5в</t>
  </si>
  <si>
    <t>ЮЛ630603037200096</t>
  </si>
  <si>
    <t>308501 Белгородская область микрорайон Пригородный (поселок Дубовое) улица Щорса дом 64   1 этаж</t>
  </si>
  <si>
    <t>ИП Черенков Дмитрий Евгеньевич</t>
  </si>
  <si>
    <t>710500016484</t>
  </si>
  <si>
    <t>ИП7101007753</t>
  </si>
  <si>
    <t>ИП710100775300001</t>
  </si>
  <si>
    <t>308010 Белгородская область город Белгород проспект Б.Хмельницкого дом 137т   помещение №144</t>
  </si>
  <si>
    <t>ИП710100775300008</t>
  </si>
  <si>
    <t>309516 Белгородская область город Старый Оскол микрорайон Ольминского дом 17   помещение 139, этаж 1</t>
  </si>
  <si>
    <t>ИП Алехина Лариса Юрьевна</t>
  </si>
  <si>
    <t>710602591317</t>
  </si>
  <si>
    <t>ИП7101010619</t>
  </si>
  <si>
    <t>ИП710101061900005</t>
  </si>
  <si>
    <t>309516 Белгородская область город Старый Оскол микрорайон Ольминского дом 17   первый этаж</t>
  </si>
  <si>
    <t>ИП Габараев Никита Владимирович</t>
  </si>
  <si>
    <t>710608671470</t>
  </si>
  <si>
    <t>ИП0001005349</t>
  </si>
  <si>
    <t>ИП000100534900000</t>
  </si>
  <si>
    <t>309516 Белгородская область город Старый Оскол микрорайон Ольминского дом 17   помещение № 139</t>
  </si>
  <si>
    <t>ИП000100534900028</t>
  </si>
  <si>
    <t>308010 Белгородская область город Белгород проспект Б.Хмельницкого дом 164   помещение А16, этаж 1</t>
  </si>
  <si>
    <t>ЮЛ770101216600136</t>
  </si>
  <si>
    <t>308010 Белгородская область город Белгород проспект Б.Хмельницкого дом 137т   помещение 120, этаж 1</t>
  </si>
  <si>
    <t>ЮЛ770101216600278</t>
  </si>
  <si>
    <t>308036 Белгородская область город Белгород улица Щорса дом 64   этаж 1</t>
  </si>
  <si>
    <t>ЮЛ770101216600462</t>
  </si>
  <si>
    <t>308009 Белгородская область город Белгород улица 50-летия Белгородской области дом 11   этаж 1, нежилое помещение № А2</t>
  </si>
  <si>
    <t>ЮЛ770101216600640</t>
  </si>
  <si>
    <t>309183 Белгородская область город Губкин улица Космонавтов дом 14   этаж 1, часть нежилого помещения №108</t>
  </si>
  <si>
    <t>ЮЛ770101216600677</t>
  </si>
  <si>
    <t>308010 Белгородская область город Белгород проспект Богдана Хмельницкого дом 164  литера А помещение А39</t>
  </si>
  <si>
    <t>ЮЛ770100193500100</t>
  </si>
  <si>
    <t>308009 Белгородская область город Белгород улица Попова дом 36   помещения 24,25,26,26а,26б,26в</t>
  </si>
  <si>
    <t>ЮЛ770100193500101</t>
  </si>
  <si>
    <t>309518 Белгородская область город Старый Оскол микрорайон Ольминского дом 17   помещение № 43</t>
  </si>
  <si>
    <t>ЮЛ770100193500104</t>
  </si>
  <si>
    <t>308010 Белгородская область город Белгород проспект Б.Хмельницкого 137т</t>
  </si>
  <si>
    <t>ЮЛ770100193500493</t>
  </si>
  <si>
    <t>309516 Белгородская область город Старый Оскол проспект Молодежный дом 10   помещение 11, 1 этаж</t>
  </si>
  <si>
    <t>ЮЛ770100193500516</t>
  </si>
  <si>
    <t>309183 Белгородская область город Губкин улица Космонавтов дом 14   нежилое помещение № 116, этаж 1 (первый)</t>
  </si>
  <si>
    <t>ЮЛ770100193500593</t>
  </si>
  <si>
    <t>308501 Белгородская область поселок Дубовое, микрорайон Пригородный улица Щорса дом 64   этаж 1 (первый)</t>
  </si>
  <si>
    <t>ЮЛ770100193500664</t>
  </si>
  <si>
    <t>309183 Белгородская область город Губкин улица Космонавтов дом 14   часть нежилого помещения №108</t>
  </si>
  <si>
    <t>ЮЛ780300308200226</t>
  </si>
  <si>
    <t>308501 Белгородская область поселок Дубовое, микрорайон "Пригородный" улица Щорса дом 64</t>
  </si>
  <si>
    <t>ЮЛ780300308200277</t>
  </si>
  <si>
    <t>309517 Белгородская область город Старый Оскол проспект Губкина дом 1   часть нежилого помещения №17</t>
  </si>
  <si>
    <t>ЮЛ780300308200401</t>
  </si>
  <si>
    <t>309514 Белгородская область город Старый Оскол улица Ленина дом 22</t>
  </si>
  <si>
    <t>ЮЛ780300308200425</t>
  </si>
  <si>
    <t>ЮЛ780300308200426</t>
  </si>
  <si>
    <t>308009 Белгородская область город Белгород бульвар Народный дом 76а   часть помещения №1, помещения № 2, №3,№4, №5</t>
  </si>
  <si>
    <t>ЮЛ780300308200552</t>
  </si>
  <si>
    <t>308009 Белгородская область город Белгород бульвар Свято-Троицкий дом 26а/24</t>
  </si>
  <si>
    <t>ЮЛ780300308200553</t>
  </si>
  <si>
    <t>308009 Белгородская область город Белгород проспект Б.Хмельницкого дом 103   часть нежилого помещения №1, комн №11</t>
  </si>
  <si>
    <t>ЮЛ780300308200773</t>
  </si>
  <si>
    <t>308010 Белгородская область город Белгород проспект Б.Хмельницкого дом 164   нежилое помещение № 240</t>
  </si>
  <si>
    <t>ЮЛ780300308201023</t>
  </si>
  <si>
    <t>ЮЛ780300308201122</t>
  </si>
  <si>
    <t>308501 Белгородская область микрорайон Пригородный (поселок Дубовое) улица Щорса здание 64   помещение №1 нежилое помещение №179</t>
  </si>
  <si>
    <t>ЮЛ780300308201130</t>
  </si>
  <si>
    <t>308010 Белгородская область город Белгород проспект Б.Хмельницкого дом 137т   помещение 119, 1 этаж</t>
  </si>
  <si>
    <t>ЮЛ780301261200047</t>
  </si>
  <si>
    <t>308501 Белгородская область микрорайон Пригородный (поселок Дубовое) улица Щорса здание 64   1 этаж</t>
  </si>
  <si>
    <t>ЮЛ780301261200056</t>
  </si>
  <si>
    <t>308007 Белгородская область город Белгород проспект Б.Хмельницкого дом 84</t>
  </si>
  <si>
    <t>ООО "ЛОМБАРД ГАРАНТ"</t>
  </si>
  <si>
    <t>9705243658</t>
  </si>
  <si>
    <t>ЮЛ7701040382</t>
  </si>
  <si>
    <t>ЮЛ770104038200001</t>
  </si>
  <si>
    <t>308009 Белгородская область город Белгород проспект Гражданский дом 19а</t>
  </si>
  <si>
    <t>ЮЛ770104038200002</t>
  </si>
  <si>
    <t>308004 Белгородская область город Белгород улица Щорса дом 43а</t>
  </si>
  <si>
    <t>ЮЛ770104038200003</t>
  </si>
  <si>
    <t>308001 Белгородская область город Белгород улица Князя Трубецкого дом 68</t>
  </si>
  <si>
    <t>ЮЛ770104038200007</t>
  </si>
  <si>
    <t>309181 Белгородская область город Губкин улица Фрунзе дом 21</t>
  </si>
  <si>
    <t>ЮЛ770104038200008</t>
  </si>
  <si>
    <t>308004 Белгородская область город Белгород улица Губкина дом 25</t>
  </si>
  <si>
    <t>ЮЛ770104038200011</t>
  </si>
  <si>
    <t>309502 Белгородская область город Старый Оскол микрорайон Королева дом 28   помещение 4</t>
  </si>
  <si>
    <t>ЮЛ770104038200032</t>
  </si>
  <si>
    <t>309504 Белгородская область город Старый Оскол микрорайон Интернациональный дом 12</t>
  </si>
  <si>
    <t>ЮЛ770104038200039</t>
  </si>
  <si>
    <t>308002 Белгородская область город Белгород проспект Б.Хмельницкого здание 111в</t>
  </si>
  <si>
    <t>ЮЛ770100439200230</t>
  </si>
  <si>
    <t>308000 Белгородская область город Белгород проспект Б.Хмельницкого 111в   пом. 46</t>
  </si>
  <si>
    <t>ЮЛ770100439200279</t>
  </si>
  <si>
    <t>Брянская область</t>
  </si>
  <si>
    <t>242600 Брянская область город Дятьково Улица Ленина дом 123</t>
  </si>
  <si>
    <t>ИП Никулин Анатолий Андреевич</t>
  </si>
  <si>
    <t>320200168516</t>
  </si>
  <si>
    <t>ИП3201019677</t>
  </si>
  <si>
    <t>ИП320101967700000</t>
  </si>
  <si>
    <t>241023 Брянская область город Брянск улица Объездная дом 30</t>
  </si>
  <si>
    <t>ИП Федичкина Елена Викторовна</t>
  </si>
  <si>
    <t>320201315403</t>
  </si>
  <si>
    <t>ИП7701003238</t>
  </si>
  <si>
    <t>ИП770100323800000</t>
  </si>
  <si>
    <t>241035 Брянская область город Брянск улица 3-го Интернационала дом 8</t>
  </si>
  <si>
    <t>ИП770100323800001</t>
  </si>
  <si>
    <t>241000 Брянская область город Брянск улица Объездная  дом 30  помещение А063</t>
  </si>
  <si>
    <t>ИП770100323800002</t>
  </si>
  <si>
    <t>241000 Брянская область город  Брянск улица Объездная дом 30  помещение А085/1</t>
  </si>
  <si>
    <t>ИП770100323800003</t>
  </si>
  <si>
    <t>243140 Брянская область город Клинцы улица Александрова дом 1   помещение 77</t>
  </si>
  <si>
    <t>ИП Татаринова Татьяна Станиславовна</t>
  </si>
  <si>
    <t>320302518618</t>
  </si>
  <si>
    <t>ИП3201010552</t>
  </si>
  <si>
    <t>ИП320101055200000</t>
  </si>
  <si>
    <t>243020 Брянская область город Новозыбков улица Первомайская дом 72   этаж 1 квартира 54</t>
  </si>
  <si>
    <t>ИП Волкова Елена Викторовна</t>
  </si>
  <si>
    <t>320400100307</t>
  </si>
  <si>
    <t>ИП3201001948</t>
  </si>
  <si>
    <t>ИП320100194800000</t>
  </si>
  <si>
    <t>243020 Брянская область город Новозыбков улица Коммунистическая дом 29   2 этаж</t>
  </si>
  <si>
    <t>ИП320100194800001</t>
  </si>
  <si>
    <t>243022 Брянская область город Новозыбков улица Ленина дом 4</t>
  </si>
  <si>
    <t>ИП Ватрас Екатерина Тихоновна</t>
  </si>
  <si>
    <t>320400201802</t>
  </si>
  <si>
    <t>ИП3201012381</t>
  </si>
  <si>
    <t>ИП320101238100000</t>
  </si>
  <si>
    <t>241029 Брянская область город Брянск проспект Московский дом 36   помещение II</t>
  </si>
  <si>
    <t>ИП Барынкин Андрей Николаевич</t>
  </si>
  <si>
    <t>320500066032</t>
  </si>
  <si>
    <t>ИП3201002077</t>
  </si>
  <si>
    <t>ИП320100207700000</t>
  </si>
  <si>
    <t>241035 Брянская область город Брянск улица 3 Интернационала дом 6А   помещение 34</t>
  </si>
  <si>
    <t>ИП320100207700001</t>
  </si>
  <si>
    <t>241050 Брянская область город Брянск проспект Ленина  дом 39   1 этаж</t>
  </si>
  <si>
    <t>ИП Барынкин Сергей Владимирович</t>
  </si>
  <si>
    <t>320500084955</t>
  </si>
  <si>
    <t>ИП3201008903</t>
  </si>
  <si>
    <t>ИП320100890300000</t>
  </si>
  <si>
    <t>241023 Брянская область город Брянск улица Объездная дом 30   1 этаж</t>
  </si>
  <si>
    <t>ИП320100890300001</t>
  </si>
  <si>
    <t>241022 Брянская область город Брянск улица Димитрова дом 82   помещение XII</t>
  </si>
  <si>
    <t>ИП320100890300002</t>
  </si>
  <si>
    <t>241020 Брянская область город Брянск проспект Московский дом 40</t>
  </si>
  <si>
    <t>ИП Казаков Олег Владимирович</t>
  </si>
  <si>
    <t>320700135815</t>
  </si>
  <si>
    <t>ИП3201008508</t>
  </si>
  <si>
    <t>ИП320100850800000</t>
  </si>
  <si>
    <t>243140 Брянская область город Клинцы улица Дзержинского дом 57</t>
  </si>
  <si>
    <t>ИП320100850800002</t>
  </si>
  <si>
    <t>243140 Брянская область город Клинцы улица Октябрьская дом 5</t>
  </si>
  <si>
    <t>ИП Гасенко Мария Григорьевна</t>
  </si>
  <si>
    <t>320800060088</t>
  </si>
  <si>
    <t>ИП3201020267</t>
  </si>
  <si>
    <t>ИП320102026700000</t>
  </si>
  <si>
    <t>ИП Чемадова Мариола Алексеевна</t>
  </si>
  <si>
    <t>320900040310</t>
  </si>
  <si>
    <t>ИП3201002565</t>
  </si>
  <si>
    <t>ИП320100256500000</t>
  </si>
  <si>
    <t>243160 Брянская область поселок городского типа Красная Гора улица Советская дом 50Б</t>
  </si>
  <si>
    <t>ИП320100256500001</t>
  </si>
  <si>
    <t>243500 Брянская область город Сураж улица Октябрьская дом 18Б</t>
  </si>
  <si>
    <t>ИП320100256500004</t>
  </si>
  <si>
    <t>243020 Брянская область город Новозыбков улица Комсомольская дом 12</t>
  </si>
  <si>
    <t>ИП Пирютко Михаил Николаевич</t>
  </si>
  <si>
    <t>322200003123</t>
  </si>
  <si>
    <t>ИП3201031038</t>
  </si>
  <si>
    <t>ИП320103103800000</t>
  </si>
  <si>
    <t>243550 Брянская область поселок городского типа Погар улица Октябрьская дом 6</t>
  </si>
  <si>
    <t>ИП Богун Людмила Владимировна</t>
  </si>
  <si>
    <t>322300017497</t>
  </si>
  <si>
    <t>ИП3201010635</t>
  </si>
  <si>
    <t>ИП320101063500000</t>
  </si>
  <si>
    <t>242190 Брянская область поселок Суземка улица Первомайская дом 18</t>
  </si>
  <si>
    <t>ИП320101063500002</t>
  </si>
  <si>
    <t>242130 Брянская область рабочий поселок Навля улица Красных Партизан дом 17 торговый объект 11 этаж 1</t>
  </si>
  <si>
    <t>ИП320101063500003</t>
  </si>
  <si>
    <t>243140 Брянская область город Клинцы улица Дзержинского владение 57</t>
  </si>
  <si>
    <t>ИП320101063500006</t>
  </si>
  <si>
    <t>243240 Брянская область город Стародуб улица Первомайская дом 10А</t>
  </si>
  <si>
    <t>ИП320101063500008</t>
  </si>
  <si>
    <t>243300 Брянская область город Унеча улица Иванова дом 10  2 этаж Помещение №20а</t>
  </si>
  <si>
    <t>ИП320101063500009</t>
  </si>
  <si>
    <t>243020 Брянская область город Новозыбков улица Первомайская дом 42   помещение 71</t>
  </si>
  <si>
    <t>ИП Фейгин Сергей Владимирович</t>
  </si>
  <si>
    <t>322400173394</t>
  </si>
  <si>
    <t>ИП3201004754</t>
  </si>
  <si>
    <t>ИП320100475400001</t>
  </si>
  <si>
    <t>241520 Брянская область город Клинцы улица Дзержинского дом 57</t>
  </si>
  <si>
    <t>ИП320100475400002</t>
  </si>
  <si>
    <t>243400 Брянская область город Почеп улица Ленина дом 5   этаж 1</t>
  </si>
  <si>
    <t>ИП Свист Елена Александровна</t>
  </si>
  <si>
    <t>322400259002</t>
  </si>
  <si>
    <t>ИП3201004493</t>
  </si>
  <si>
    <t>ИП320100449300000</t>
  </si>
  <si>
    <t>241019 Брянская область город Брянск улица Красноармейская дом 130   помещение 4</t>
  </si>
  <si>
    <t>ИП Фейгина Елена Викторовна</t>
  </si>
  <si>
    <t>322400383070</t>
  </si>
  <si>
    <t>ИП3201004757</t>
  </si>
  <si>
    <t>ИП320100475700000</t>
  </si>
  <si>
    <t>243240 Брянская область город Стародуб улица Первомайская дом 9   помещение 11</t>
  </si>
  <si>
    <t>ИП320100475700001</t>
  </si>
  <si>
    <t>243300 Брянская область город Унеча улица Коммунистическая дом 2</t>
  </si>
  <si>
    <t>ИП320100475700002</t>
  </si>
  <si>
    <t>241019 Брянская область город Брянск  улица Красноармейская дом 130   помещение 4</t>
  </si>
  <si>
    <t>ИП320100475700003</t>
  </si>
  <si>
    <t>243400 Брянская область город Почеп проезд 1-й Октябрьский дом 3   помещение 5</t>
  </si>
  <si>
    <t>ИП320100475700004</t>
  </si>
  <si>
    <t>242700 Брянская область город Жуковка переулок Почтовый дом 7</t>
  </si>
  <si>
    <t>ИП Васильченко Сеня Константиновна</t>
  </si>
  <si>
    <t>323201589209</t>
  </si>
  <si>
    <t>ИП3201003807</t>
  </si>
  <si>
    <t>ИП320100380700000</t>
  </si>
  <si>
    <t>241021 Брянская область город Брянск улица Димитрова дом 82</t>
  </si>
  <si>
    <t>ООО "ЗОЛОТОЙ ОРЕЛ"</t>
  </si>
  <si>
    <t>3233008872</t>
  </si>
  <si>
    <t>ЮЛ3201013602</t>
  </si>
  <si>
    <t>ЮЛ320101360200000</t>
  </si>
  <si>
    <t>241035 Брянская область город Брянск улица 3 Интернационала дом 4</t>
  </si>
  <si>
    <t>ЮЛ320101360200001</t>
  </si>
  <si>
    <t>241035 Брянская область город Брянск улица Куйбышева дом 19</t>
  </si>
  <si>
    <t>ООО "ЗОЛОТОЙ МИР"</t>
  </si>
  <si>
    <t>3233503757</t>
  </si>
  <si>
    <t>ЮЛ3201009416</t>
  </si>
  <si>
    <t>ЮЛ320100941600000</t>
  </si>
  <si>
    <t>241029 Брянская область город Брянск проспект Московский дом 34</t>
  </si>
  <si>
    <t>ЮЛ320100941600001</t>
  </si>
  <si>
    <t>242220 Брянская область город Трубчевск улица Урицкого дом 43   этаж 1</t>
  </si>
  <si>
    <t>ИП Салов Александр Михайлович</t>
  </si>
  <si>
    <t>323403776882</t>
  </si>
  <si>
    <t>ИП7701001934</t>
  </si>
  <si>
    <t>ИП770100193400004</t>
  </si>
  <si>
    <t>241050 Брянская область город Брянск проспект Ленина дом 24</t>
  </si>
  <si>
    <t>ИП Ушкалов Сергей Валерьевич</t>
  </si>
  <si>
    <t>323500837900</t>
  </si>
  <si>
    <t>ИП3201001976</t>
  </si>
  <si>
    <t>ИП320100197600000</t>
  </si>
  <si>
    <t>241050 Брянская область город Брянск проспект Ленина дом 24   помещение 1</t>
  </si>
  <si>
    <t>ИП320100197600001</t>
  </si>
  <si>
    <t>241029 Брянская область город Брянск проспект Московский дом 38/1</t>
  </si>
  <si>
    <t>ИП Розанов Олег Васильевич</t>
  </si>
  <si>
    <t>323502800367</t>
  </si>
  <si>
    <t>ИП7701001766</t>
  </si>
  <si>
    <t>ИП770100176600000</t>
  </si>
  <si>
    <t>241037 Брянская область город Брянск улица Брянского Фронта дом 2   нежилое помещение №12 (торговый павильон №9) этаж 1</t>
  </si>
  <si>
    <t>ИП770100176600001</t>
  </si>
  <si>
    <t>242700 Брянская область город Жуковка улица Карла Маркса здание 13   часть нежилого помещения в здании магазина №10</t>
  </si>
  <si>
    <t>ИП770100176600003</t>
  </si>
  <si>
    <t>242500 Брянская область город Карачев улица Дзержинского дом 2   часть нежилого помещения на 1 этаже</t>
  </si>
  <si>
    <t>ИП770100176600004</t>
  </si>
  <si>
    <t>243300 Брянская область город Унеча улица Луначарского дом 23   нежилое помещение</t>
  </si>
  <si>
    <t>ИП770100176600005</t>
  </si>
  <si>
    <t>241022 Брянская область город Брянск улица Димитрова дом 80</t>
  </si>
  <si>
    <t>ИП770100176600007</t>
  </si>
  <si>
    <t>241020 Брянская область город Брянск проспект Московский дом 49 В   нежилое помещение на 1 этаже</t>
  </si>
  <si>
    <t>ИП770100176600009</t>
  </si>
  <si>
    <t>242600 Брянская область город Дятьково улица Ленина дом 180   часть нежилого помещения на 1 этаже</t>
  </si>
  <si>
    <t>ИП770100176600010</t>
  </si>
  <si>
    <t>242600 Брянская область город Дятьково улица Ленина дом 184 корпус 18  1 этаж</t>
  </si>
  <si>
    <t>ИП770100176600012</t>
  </si>
  <si>
    <t>243600 Брянская область город Злынка улица Коммунальная дом 14</t>
  </si>
  <si>
    <t>ООО ЛОМБАРД "ЗОЛОТОЕ РУНО"</t>
  </si>
  <si>
    <t>3241012495</t>
  </si>
  <si>
    <t>ЮЛ3201012926</t>
  </si>
  <si>
    <t>ЮЛ320101292600000</t>
  </si>
  <si>
    <t>243040 Брянская область рабочий поселок Климово площадь Ленина дом 6   офис 9</t>
  </si>
  <si>
    <t>ООО "КАРАТ"</t>
  </si>
  <si>
    <t>3241018761</t>
  </si>
  <si>
    <t>ЮЛ3201032074</t>
  </si>
  <si>
    <t>ЮЛ320103207400000</t>
  </si>
  <si>
    <t>241012 Брянская область город Брянск улица 3 Интернационала дом 10   помещение XII</t>
  </si>
  <si>
    <t>ООО "ЭКСПРЕСС-ЛОМБАРД"</t>
  </si>
  <si>
    <t>3250515745</t>
  </si>
  <si>
    <t>ЮЛ3201003076</t>
  </si>
  <si>
    <t>ЮЛ320100307600000</t>
  </si>
  <si>
    <t>241037 Брянская область город Брянск улица Брянского Фронта дом 4</t>
  </si>
  <si>
    <t>ЮЛ320100307600003</t>
  </si>
  <si>
    <t>243550 Брянская область поселок городского типа Погар улица Октябрьская дом 3</t>
  </si>
  <si>
    <t>ИП Фейгин Евгений Сергеевич</t>
  </si>
  <si>
    <t>325200991800</t>
  </si>
  <si>
    <t>ИП7701000940</t>
  </si>
  <si>
    <t>ИП770100094000001</t>
  </si>
  <si>
    <t>242220 Брянская область город Трубчевск улица Брянская  дом 66   квартира 1</t>
  </si>
  <si>
    <t>ИП770100094000002</t>
  </si>
  <si>
    <t>243240 Брянская область город Стародуб улица Краснооктябрьская  дом 11</t>
  </si>
  <si>
    <t>ИП770100094000003</t>
  </si>
  <si>
    <t>243400 Брянская область город Почеп улица Ленина дом 3   помещение 2</t>
  </si>
  <si>
    <t>ИП770100094000004</t>
  </si>
  <si>
    <t>241035 Брянская область город Брянск улица Вокзальная дом 128   кабинет 210</t>
  </si>
  <si>
    <t>ИП Ледовских Артур Борисович</t>
  </si>
  <si>
    <t>325501359506</t>
  </si>
  <si>
    <t>ИП3201037547</t>
  </si>
  <si>
    <t>ИП320103754700000</t>
  </si>
  <si>
    <t>241037 Брянская область город Брянск улица Брянского Фронта дом 2   этаж 1, гипермаркет "ЛИНИЯ-1"</t>
  </si>
  <si>
    <t>ИП Годунова Дарья Игоревна</t>
  </si>
  <si>
    <t>325502947660</t>
  </si>
  <si>
    <t>ИП3201019914</t>
  </si>
  <si>
    <t>ИП320101991400000</t>
  </si>
  <si>
    <t>241020 Брянская область город Брянск проспект Московский дом 49   помещение № 88, этаж 1 в Торговом Центре</t>
  </si>
  <si>
    <t>ИП320101991400007</t>
  </si>
  <si>
    <t>241035 Брянская область город Брянск улица 3 Интернационала дом 17А   этаж 1, торговый центр ВЕСНА</t>
  </si>
  <si>
    <t>ИП320101991400008</t>
  </si>
  <si>
    <t>241050 Брянская область город Брянск проспект Ленина дом 6А   помещение 1, этаж 1</t>
  </si>
  <si>
    <t>ИП320101991400010</t>
  </si>
  <si>
    <t>242600 Брянская область город Дятьково улица Ленина дом 184 корпус 18  этаж 1</t>
  </si>
  <si>
    <t>ИП320101991400013</t>
  </si>
  <si>
    <t>241022 Брянская область город Брянск улица Димитрова дом 82   1 этаж</t>
  </si>
  <si>
    <t>ИП320101991400015</t>
  </si>
  <si>
    <t>241023 Брянская область город Брянск улица 3 Интернационала  дом 8 1 этаж</t>
  </si>
  <si>
    <t>ИП Федичкин Максим Игоревич</t>
  </si>
  <si>
    <t>325506225055</t>
  </si>
  <si>
    <t>ИП7701032101</t>
  </si>
  <si>
    <t>ИП770103210100000</t>
  </si>
  <si>
    <t>ИП770103210100001</t>
  </si>
  <si>
    <t>241050 Брянская область город Брянск улица Фокина дом 41</t>
  </si>
  <si>
    <t>ИП770103210100002</t>
  </si>
  <si>
    <t>241028 Брянская область город Брянск проспект Станке Димитрова дом 75   этаж 1,нежилое помещение №2</t>
  </si>
  <si>
    <t>ИП Поддуева Ольга Васильевна</t>
  </si>
  <si>
    <t>352601450061</t>
  </si>
  <si>
    <t>ИП3201004496</t>
  </si>
  <si>
    <t>ИП320100449600000</t>
  </si>
  <si>
    <t>241023 Брянская область город Брянск улица Объездная дом 30   помещение №64</t>
  </si>
  <si>
    <t>ЮЛ480100215000021</t>
  </si>
  <si>
    <t>ИП500100445500076</t>
  </si>
  <si>
    <t>241019 Брянская область город Брянск улица Красноармейская дом 100   помещение 112</t>
  </si>
  <si>
    <t>ИП ТРИФОНОВ С. М.</t>
  </si>
  <si>
    <t>501305824960</t>
  </si>
  <si>
    <t>ИП5001037238</t>
  </si>
  <si>
    <t>ИП500103723800000</t>
  </si>
  <si>
    <t>ЮЛ520603376600016</t>
  </si>
  <si>
    <t>242500 Брянская область город Карачев улица Советская дом 47</t>
  </si>
  <si>
    <t>ООО ТД "ЗОЛОТОЙ ОРЕЛ"</t>
  </si>
  <si>
    <t>5753076569</t>
  </si>
  <si>
    <t>ЮЛ5701002728</t>
  </si>
  <si>
    <t>ЮЛ570100272800002</t>
  </si>
  <si>
    <t>241035 Брянская область город Брянск улица 3 Интернационала дом 8   этаж 1</t>
  </si>
  <si>
    <t>ИП Цацурин Сергей Андреевич</t>
  </si>
  <si>
    <t>672509364037</t>
  </si>
  <si>
    <t>ИП6701002934</t>
  </si>
  <si>
    <t>ИП670100293400001</t>
  </si>
  <si>
    <t>241023 Брянская область город Брянск улица Объездная дом 30   Торгово-развлекательный центр "АЭРО ПАРК", этаж 1</t>
  </si>
  <si>
    <t>ИП670100293400002</t>
  </si>
  <si>
    <t>241023 Брянская область город Брянск улица Объездная дом 30   Торгово-развлекательный центр "АЭРО ПАРК", 1 этаж, салон, площадью 95 кв.м.</t>
  </si>
  <si>
    <t>ИП670100293400004</t>
  </si>
  <si>
    <t>241029 Брянская область город Брянск проспект Московский дом 38   этаж 1</t>
  </si>
  <si>
    <t>ИП670100293400005</t>
  </si>
  <si>
    <t>241023 Брянская область город Брянск улица Объездная дом 30   Торгово-развлекательный центр "АЭРО ПАРК", 1 этаж, пом. 21.12 кв.м. "DIAMANT"</t>
  </si>
  <si>
    <t>ИП670100293400008</t>
  </si>
  <si>
    <t>241022 Брянская область город Брянск улица Пушкина  строение 79  ТЦ "КОСМОС" 1 этаж</t>
  </si>
  <si>
    <t>ИП670100293400010</t>
  </si>
  <si>
    <t>241020 Брянская область город Брянск проспект Московский дом 49 В   1 этаж, часть нежилого помещения  №79</t>
  </si>
  <si>
    <t>ИП670100293400012</t>
  </si>
  <si>
    <t>243140 Брянская область город Клинцы улица Дзержинского дом 57   ТРЦ "Гранд Парк" 1 этаж</t>
  </si>
  <si>
    <t>ИП670100293400013</t>
  </si>
  <si>
    <t>241019 Брянская область город Брянск улица Красноармейская дом 100   этаж 1</t>
  </si>
  <si>
    <t>ИП670100293400016</t>
  </si>
  <si>
    <t>ИП Цацурина Марина Георгиевна</t>
  </si>
  <si>
    <t>673105005806</t>
  </si>
  <si>
    <t>ИП6701003294</t>
  </si>
  <si>
    <t>ИП670100329400023</t>
  </si>
  <si>
    <t>ИП670100329400026</t>
  </si>
  <si>
    <t>241050 Брянская область город Брянск улица Красноармейская дом 62/1</t>
  </si>
  <si>
    <t>ЮЛ770100201500522</t>
  </si>
  <si>
    <t>241035 Брянская область город Брянск улица 3 Интернационала дом 6   часть помещения №14</t>
  </si>
  <si>
    <t>ЮЛ770100201500527</t>
  </si>
  <si>
    <t>241047 Брянская область город Брянск улица 2-я Мичурина  строение 42Б</t>
  </si>
  <si>
    <t>ЮЛ770100201500529</t>
  </si>
  <si>
    <t>241035 Брянская область город Брянск улица 3 Интернационала дом 8   1 этаж</t>
  </si>
  <si>
    <t>ИП Кондратенко Александр Олегович</t>
  </si>
  <si>
    <t>770900434692</t>
  </si>
  <si>
    <t>ИП7701003201</t>
  </si>
  <si>
    <t>ИП770100320100000</t>
  </si>
  <si>
    <t>241012 Брянская область город Брянск улица 3 Интернационала дом 8</t>
  </si>
  <si>
    <t>ИП Кондратенко Галина Геннадьевна</t>
  </si>
  <si>
    <t>770900532273</t>
  </si>
  <si>
    <t>ИП7701032428</t>
  </si>
  <si>
    <t>ИП770103242800000</t>
  </si>
  <si>
    <t>241035 Брянская область город Брянск улица 3 Интернационала дом 8</t>
  </si>
  <si>
    <t>ИП Кондратенко Олег Иванович</t>
  </si>
  <si>
    <t>770900578310</t>
  </si>
  <si>
    <t>ИП7701003488</t>
  </si>
  <si>
    <t>ИП770100348800000</t>
  </si>
  <si>
    <t>241050 Брянская область город Брянск улица Фокина дом 41   1этаж,сектор 1,6</t>
  </si>
  <si>
    <t>ИП770100348800001</t>
  </si>
  <si>
    <t>ЮЛ770100419400126</t>
  </si>
  <si>
    <t>241019 Брянская область город Брянск улица Красноармейская дом 100   помещение V</t>
  </si>
  <si>
    <t>ЮЛ770100193500105</t>
  </si>
  <si>
    <t>241023 Брянская область город Брянск улица Объездная дом 32   2 этаж</t>
  </si>
  <si>
    <t>ЮЛ770100193500106</t>
  </si>
  <si>
    <t>ЮЛ770100193500879</t>
  </si>
  <si>
    <t>241035 Брянская область город Брянск улица 3 Интернационала дом 6</t>
  </si>
  <si>
    <t>ЮЛ770100193500891</t>
  </si>
  <si>
    <t>241047 Брянская область город Брянск улица 2-я Мичурина строение 42Б</t>
  </si>
  <si>
    <t>ЮЛ770100193500928</t>
  </si>
  <si>
    <t>241012 Брянская область город Брянск улица 3 Интернационала дом 10</t>
  </si>
  <si>
    <t>ЮЛ770100193500935</t>
  </si>
  <si>
    <t>ИП Кондратенко Екатерина Михайловна</t>
  </si>
  <si>
    <t>773370066319</t>
  </si>
  <si>
    <t>ИП7701032721</t>
  </si>
  <si>
    <t>ИП770103272100000</t>
  </si>
  <si>
    <t>ЮЛ780300131300037</t>
  </si>
  <si>
    <t>241050 Брянская область город Брянск улица Красноармейская дом 62 корпус 1</t>
  </si>
  <si>
    <t>ЮЛ780300323500040</t>
  </si>
  <si>
    <t>241035 Брянская область город Брянск улица Союзная дом 5</t>
  </si>
  <si>
    <t>ЮЛ780300323500041</t>
  </si>
  <si>
    <t>ЮЛ780300323500206</t>
  </si>
  <si>
    <t>243140 Брянская область город Клинцы улица Дзержинского дом 57   нежилое помещение 4</t>
  </si>
  <si>
    <t>ЮЛ780300308200207</t>
  </si>
  <si>
    <t>243020 Брянская область город Новозыбков улица Первомайская дом 22   часть комнаты 1,9,10</t>
  </si>
  <si>
    <t>ЮЛ780300308200211</t>
  </si>
  <si>
    <t>241035 Брянская область город Брянск улица Куйбышева дом 18</t>
  </si>
  <si>
    <t>ЮЛ780300308200554</t>
  </si>
  <si>
    <t>241050 Брянская область город Брянск улица Красноармейская дом 62/1   номер на поэтажном плане V</t>
  </si>
  <si>
    <t>ЮЛ780300308200739</t>
  </si>
  <si>
    <t>ЮЛ780300308201124</t>
  </si>
  <si>
    <t>241047 Брянская область город Брянск улица 2-я Мичурина строение 42 Б</t>
  </si>
  <si>
    <t>ЮЛ780300308201207</t>
  </si>
  <si>
    <t>ЮЛ780300363500070</t>
  </si>
  <si>
    <t>ЮЛ780300363500072</t>
  </si>
  <si>
    <t>ЮЛ780300363500073</t>
  </si>
  <si>
    <t>241047 Брянская область город Брянск улица Никитина дом 1   помещение 1</t>
  </si>
  <si>
    <t>ООО "ПЕРВЫЙ БРОКЕР"</t>
  </si>
  <si>
    <t>9705077746</t>
  </si>
  <si>
    <t>ЮЛ7701009020</t>
  </si>
  <si>
    <t>ЮЛ770100902000061</t>
  </si>
  <si>
    <t>Владимирская область</t>
  </si>
  <si>
    <t>602264 Владимирская область город Муром шоссе Радиозаводское дом 23</t>
  </si>
  <si>
    <t>ИП Пяташов Николай Егорович</t>
  </si>
  <si>
    <t>110500033010</t>
  </si>
  <si>
    <t>ИП3301001982</t>
  </si>
  <si>
    <t>ИП330100198200000</t>
  </si>
  <si>
    <t>601144 Владимирская область город Петушки улица Вокзальная дом 87   помещение 7,8,9,10</t>
  </si>
  <si>
    <t>ИП Зелинская Елена Николаевна</t>
  </si>
  <si>
    <t>230601135046</t>
  </si>
  <si>
    <t>ИП6104000071</t>
  </si>
  <si>
    <t>ИП610400007100047</t>
  </si>
  <si>
    <t>601144 Владимирская область город Петушки улица Вокзальная дом 85</t>
  </si>
  <si>
    <t>ИП610400007100048</t>
  </si>
  <si>
    <t>601650 Владимирская область микрорайон Александровский городское поселение город Александров улица Свердлова дом 6   павильон №13</t>
  </si>
  <si>
    <t>ООО "ЛОМБАРД ЛАЗУРИТ"</t>
  </si>
  <si>
    <t>3300008567</t>
  </si>
  <si>
    <t>ЮЛ3301036068</t>
  </si>
  <si>
    <t>ЮЛ330103606800000</t>
  </si>
  <si>
    <t>601650 Владимирская область Город Александров Улица Ленина Дом 13 Строение 2А  1 этаж, нежилое помещение №13</t>
  </si>
  <si>
    <t>ИП Игнатьев Олег Львович</t>
  </si>
  <si>
    <t>330100974903</t>
  </si>
  <si>
    <t>ИП3301010395</t>
  </si>
  <si>
    <t>ИП330101039500000</t>
  </si>
  <si>
    <t>601650 Владимирская область город Александров улица Свердлова дом 6   павильон 2</t>
  </si>
  <si>
    <t>ООО "ДИАДЕМА"</t>
  </si>
  <si>
    <t>3301022275</t>
  </si>
  <si>
    <t>ЮЛ3301000934</t>
  </si>
  <si>
    <t>ЮЛ330100093400000</t>
  </si>
  <si>
    <t>601650 Владимирская область город Александров улица Ленина дом 26</t>
  </si>
  <si>
    <t>ИП Якимочкова Анастасия Александровна</t>
  </si>
  <si>
    <t>330103583506</t>
  </si>
  <si>
    <t>ИП3301010315</t>
  </si>
  <si>
    <t>ИП330101031500000</t>
  </si>
  <si>
    <t>601654 Владимирская область город Александров улица Свердлова дом 3   Помещение II этаж 1</t>
  </si>
  <si>
    <t>3301036285</t>
  </si>
  <si>
    <t>ЮЛ3301009776</t>
  </si>
  <si>
    <t>ЮЛ330100977600000</t>
  </si>
  <si>
    <t>601655 Владимирская область город Александров улица Терешковой дом 14   Помещение 1</t>
  </si>
  <si>
    <t>ИП Небыловская Наталья Германовна</t>
  </si>
  <si>
    <t>330103733342</t>
  </si>
  <si>
    <t>ИП3301015070</t>
  </si>
  <si>
    <t>ИП330101507000000</t>
  </si>
  <si>
    <t>601010 Владимирская область город Киржач улица Привокзальная дом 22А</t>
  </si>
  <si>
    <t>ИП330101507000002</t>
  </si>
  <si>
    <t>600000 Владимирская область город Владимир Большая Московская 19</t>
  </si>
  <si>
    <t>ООО "АКВАМАРИН"</t>
  </si>
  <si>
    <t>3302017430</t>
  </si>
  <si>
    <t>ЮЛ3301010738</t>
  </si>
  <si>
    <t>ЮЛ330101073800000</t>
  </si>
  <si>
    <t>601441 Владимирская область город Вязники улица Советская дом 66</t>
  </si>
  <si>
    <t>ИП Корнилов Олег Александрович</t>
  </si>
  <si>
    <t>330300293549</t>
  </si>
  <si>
    <t>ИП3301032258</t>
  </si>
  <si>
    <t>ИП330103225800000</t>
  </si>
  <si>
    <t>601443 Владимирская область город Вязники улица 1 Мая дом 16/15   помещение 100</t>
  </si>
  <si>
    <t>ИП Обашкина Елена Станиславовна</t>
  </si>
  <si>
    <t>330300775341</t>
  </si>
  <si>
    <t>ИП3301032364</t>
  </si>
  <si>
    <t>ИП330103236400000</t>
  </si>
  <si>
    <t>601443 Владимирская область город Вязники улица Ленина дом 45</t>
  </si>
  <si>
    <t>ИП330103236400001</t>
  </si>
  <si>
    <t>601440 Владимирская область город Вязники Улица Ленина дом 21   помещение №1, 1 Этаж  Магазин "Альянс"</t>
  </si>
  <si>
    <t>ИП Тупыгин Александр Павлович</t>
  </si>
  <si>
    <t>330300819253</t>
  </si>
  <si>
    <t>ИП3301001491</t>
  </si>
  <si>
    <t>ИП330100149100000</t>
  </si>
  <si>
    <t>601443 Владимирская область город Вязники улица Владимирская дом 6</t>
  </si>
  <si>
    <t>ИП Курганов Сергей Валентинович</t>
  </si>
  <si>
    <t>330303012718</t>
  </si>
  <si>
    <t>ИП3301004463</t>
  </si>
  <si>
    <t>ИП330100446300000</t>
  </si>
  <si>
    <t>601501 Владимирская область город Гусь-Хрустальный улица Калинина дом 19/16   этаж 1, помещение № 63; этаж 2, часть помещения № 37</t>
  </si>
  <si>
    <t>ИП Туник Алексей Николаевич</t>
  </si>
  <si>
    <t>330401119530</t>
  </si>
  <si>
    <t>ИП3301000606</t>
  </si>
  <si>
    <t>ИП330100060600000</t>
  </si>
  <si>
    <t>601501 Владимирская область город Гусь-Хрустальный улица Революции дом 6А   квартира 19</t>
  </si>
  <si>
    <t>ООО ЛОМБАРД "ГОЛД"</t>
  </si>
  <si>
    <t>3304023615</t>
  </si>
  <si>
    <t>ЮЛ3301015421</t>
  </si>
  <si>
    <t>ЮЛ330101542100000</t>
  </si>
  <si>
    <t>601570 Владимирская область город Курлово улица Школьная дом 2   торговый зал 13</t>
  </si>
  <si>
    <t>ООО "ДИАМОНТ"</t>
  </si>
  <si>
    <t>3304027472</t>
  </si>
  <si>
    <t>ЮЛ3301031765</t>
  </si>
  <si>
    <t>ЮЛ330103176500000</t>
  </si>
  <si>
    <t>601501 Владимирская область город Гусь-Хрустальный улица Революции дом 4   этаж 1, помещение № 20</t>
  </si>
  <si>
    <t>ИП Зарипова Ольга Олеговна</t>
  </si>
  <si>
    <t>330406702463</t>
  </si>
  <si>
    <t>ИП3301007321</t>
  </si>
  <si>
    <t>ИП330100732100000</t>
  </si>
  <si>
    <t>601501 Владимирская область город Гусь-Хрустальный улица Калинина здание 46</t>
  </si>
  <si>
    <t>ИП330100732100002</t>
  </si>
  <si>
    <t>601501 Владимирская область город Гусь-Хрустальный улица Калинина дом 19/16   этаж 1, нежилое помещение №63</t>
  </si>
  <si>
    <t>ИП Туник Ксения Александровна</t>
  </si>
  <si>
    <t>330407240758</t>
  </si>
  <si>
    <t>ИП3301009032</t>
  </si>
  <si>
    <t>ИП330100903200000</t>
  </si>
  <si>
    <t>601501 Владимирская область город Гусь-Хрустальный улица Калинина дом 28б   1 этаж ТЦ "КРУИЗ"</t>
  </si>
  <si>
    <t>ИП Карандаев Арсений Павлович</t>
  </si>
  <si>
    <t>330407560388</t>
  </si>
  <si>
    <t>ИП7701031607</t>
  </si>
  <si>
    <t>ИП770103160700000</t>
  </si>
  <si>
    <t>601910 Владимирская область город Ковров улица Ватутина дом 2А   нежилое помещение №2</t>
  </si>
  <si>
    <t>ИП Кудинова Ирина Юрьевна</t>
  </si>
  <si>
    <t>330500176070</t>
  </si>
  <si>
    <t>ИП3301005452</t>
  </si>
  <si>
    <t>ИП330100545200000</t>
  </si>
  <si>
    <t>601901 Владимирская область город Ковров проспект Ленина дом 35   Нежилое помещение 36</t>
  </si>
  <si>
    <t>ИП330100545200001</t>
  </si>
  <si>
    <t>601915 Владимирская область город Ковров улица Строителей  строение 25  Помещение 154</t>
  </si>
  <si>
    <t>ИП330100545200004</t>
  </si>
  <si>
    <t>601900 Владимирская область город Ковров улица Лопатина 7а    Павильон № А42</t>
  </si>
  <si>
    <t>ИП Соколова Надежда Вячеславовна</t>
  </si>
  <si>
    <t>330500518239</t>
  </si>
  <si>
    <t>ИП3301003340</t>
  </si>
  <si>
    <t>ИП330100334000000</t>
  </si>
  <si>
    <t>601915 Владимирская область город Ковров улица Ватутина дом 59   помещение 57</t>
  </si>
  <si>
    <t>ИП Абанина Любовь Семеновна</t>
  </si>
  <si>
    <t>330502903003</t>
  </si>
  <si>
    <t>ИП3301004523</t>
  </si>
  <si>
    <t>ИП330100452300000</t>
  </si>
  <si>
    <t>601900 Владимирская область город Ковров улица Кузнечная дом 130   2 этаж, помещение 1, 6, 7, 8, 9</t>
  </si>
  <si>
    <t>ИП Каширкин Дмитрий Александрович</t>
  </si>
  <si>
    <t>330505263619</t>
  </si>
  <si>
    <t>ИП3301006649</t>
  </si>
  <si>
    <t>ИП330100664900000</t>
  </si>
  <si>
    <t>601907 Владимирская область город Ковров улица Лопатина  дом 46 - - помещение 43</t>
  </si>
  <si>
    <t>ИП Алексинская Светлана Валентиновна</t>
  </si>
  <si>
    <t>330508505376</t>
  </si>
  <si>
    <t>ИП3301016854</t>
  </si>
  <si>
    <t>ИП330101685400000</t>
  </si>
  <si>
    <t>601900 Владимирская область город Ковров улица Кузнечная дом 130   помещение 6</t>
  </si>
  <si>
    <t>ИП Каширкина Алла Валентиновна</t>
  </si>
  <si>
    <t>330571862277</t>
  </si>
  <si>
    <t>ИП3301036735</t>
  </si>
  <si>
    <t>ИП330103673500000</t>
  </si>
  <si>
    <t>600005 Владимирская область город Владимир улица Горького дом 58   1 этаж, нежилое помещение</t>
  </si>
  <si>
    <t>ИП Миронова Анна Александровна</t>
  </si>
  <si>
    <t>330575207600</t>
  </si>
  <si>
    <t>ИП3301037804</t>
  </si>
  <si>
    <t>ИП330103780400000</t>
  </si>
  <si>
    <t>601443 Владимирская область город Вязники улица Ленина дом 53</t>
  </si>
  <si>
    <t>ООО "СИСТЕМА 3"</t>
  </si>
  <si>
    <t>3305792780</t>
  </si>
  <si>
    <t>ЮЛ3301006450</t>
  </si>
  <si>
    <t>ЮЛ330100645000000</t>
  </si>
  <si>
    <t>601780 Владимирская область город Кольчугино улица Гагарина дом 1   помещение 7</t>
  </si>
  <si>
    <t>ИП Колядина Елена Вячеславовна</t>
  </si>
  <si>
    <t>330600301631</t>
  </si>
  <si>
    <t>ИП3301013268</t>
  </si>
  <si>
    <t>ИП330101326800000</t>
  </si>
  <si>
    <t>601785 Владимирская область город Кольчугино Площадь Ленина дом 6</t>
  </si>
  <si>
    <t>ООО "ШАНС"</t>
  </si>
  <si>
    <t>3306004329</t>
  </si>
  <si>
    <t>ЮЛ3301002149</t>
  </si>
  <si>
    <t>ЮЛ330100214900000</t>
  </si>
  <si>
    <t>601785 Владимирская область город Кольчугино улица Добровольского дом 5</t>
  </si>
  <si>
    <t>ИП Арутюнян Рафик Жораевич</t>
  </si>
  <si>
    <t>330600633919</t>
  </si>
  <si>
    <t>ИП3301006316</t>
  </si>
  <si>
    <t>ИП330100631600000</t>
  </si>
  <si>
    <t>601785 Владимирская область город Кольчугино улица Карла Маркса дом 3</t>
  </si>
  <si>
    <t>ООО "КОЛЬЧУГИНСКИЙ МЕЛЬХИОР"</t>
  </si>
  <si>
    <t>3306019438</t>
  </si>
  <si>
    <t>ЮЛ3301009406</t>
  </si>
  <si>
    <t>ЮЛ330100940600000</t>
  </si>
  <si>
    <t>600000 Владимирская область город Владимир улица Большая Московская дом 19 1 этаж   помещения 43. 43а.44. 45.</t>
  </si>
  <si>
    <t>ЮЛ330100940600001</t>
  </si>
  <si>
    <t>601785 Владимирская область город Кольчугино улица 3 Интернационала дом 66   помещение 6, 6А, 6Б</t>
  </si>
  <si>
    <t>ИП Миронов Вадим Вячеславович</t>
  </si>
  <si>
    <t>330603398903</t>
  </si>
  <si>
    <t>ИП7701038400</t>
  </si>
  <si>
    <t>ИП770103840000000</t>
  </si>
  <si>
    <t>600032 Владимирская область город Владимир улица Комиссарова дом 53А   офис 410</t>
  </si>
  <si>
    <t>ООО "ВАЛЕНТА"</t>
  </si>
  <si>
    <t>3307021091</t>
  </si>
  <si>
    <t>ЮЛ3301002355</t>
  </si>
  <si>
    <t>ЮЛ330100235500000</t>
  </si>
  <si>
    <t>602267 Владимирская область город Муром улица Советская дом 23</t>
  </si>
  <si>
    <t>ИП Махорина Людмила Владимировна</t>
  </si>
  <si>
    <t>330703036840</t>
  </si>
  <si>
    <t>ИП7701013908</t>
  </si>
  <si>
    <t>ИП770101390800000</t>
  </si>
  <si>
    <t>602267 Владимирская область город Муром улица Московская дом 46 1 этаж</t>
  </si>
  <si>
    <t>ИП Белова Елена Александровна</t>
  </si>
  <si>
    <t>330708096716</t>
  </si>
  <si>
    <t>ИП3301009526</t>
  </si>
  <si>
    <t>ИП330100952600000</t>
  </si>
  <si>
    <t>601204 Владимирская область город Собинка проспект Рабочий дом 2</t>
  </si>
  <si>
    <t>ИП Жолобов Алексей Рудольфович</t>
  </si>
  <si>
    <t>330900999417</t>
  </si>
  <si>
    <t>ИП3301002616</t>
  </si>
  <si>
    <t>ИП330100261600000</t>
  </si>
  <si>
    <t>601241 Владимирская область город Лакинск улица Лермонтова дом 40</t>
  </si>
  <si>
    <t>ИП Федорова Ксения Геннадьевна</t>
  </si>
  <si>
    <t>330972173901</t>
  </si>
  <si>
    <t>ИП3301011280</t>
  </si>
  <si>
    <t>ИП330101128000000</t>
  </si>
  <si>
    <t>601293 Владимирская область город Суздаль улица Ленина дом 63А</t>
  </si>
  <si>
    <t>ИП Кучерук СС</t>
  </si>
  <si>
    <t>331000570909</t>
  </si>
  <si>
    <t>ИП3301006530</t>
  </si>
  <si>
    <t>ИП330100653000000</t>
  </si>
  <si>
    <t>601441 Владимирская область город Вязники площадь Соборная дом 26</t>
  </si>
  <si>
    <t>ИП Голыгин Олег Федорович</t>
  </si>
  <si>
    <t>331200043307</t>
  </si>
  <si>
    <t>ИП3301011736</t>
  </si>
  <si>
    <t>ИП330101173600000</t>
  </si>
  <si>
    <t>601443 Владимирская область город Вязники улица Ленина дом 45 здание  №4  1 этаж</t>
  </si>
  <si>
    <t>ИП330101173600002</t>
  </si>
  <si>
    <t>601408 Владимирская область поселок Мстёра улица Советская дом 89</t>
  </si>
  <si>
    <t>АО "МСТЕРСКИЙ ЮВЕЛИР"</t>
  </si>
  <si>
    <t>3312000795</t>
  </si>
  <si>
    <t>ЮЛ3301000389</t>
  </si>
  <si>
    <t>ЮЛ330100038900000</t>
  </si>
  <si>
    <t>601010 Владимирская область город Киржач улица Гагарина дом 29</t>
  </si>
  <si>
    <t>ИП Тычинкина Нина Валентиновна</t>
  </si>
  <si>
    <t>331600171342</t>
  </si>
  <si>
    <t>ИП3101008830</t>
  </si>
  <si>
    <t>ИП310100883000000</t>
  </si>
  <si>
    <t>601021 Владимирская область город Киржач улица Фурманова дом 53</t>
  </si>
  <si>
    <t>ИП310100883000001</t>
  </si>
  <si>
    <t>601901 Владимирская область город Ковров Ленина проспект 35</t>
  </si>
  <si>
    <t>ООО "ТРИУМФ"</t>
  </si>
  <si>
    <t>3317008847</t>
  </si>
  <si>
    <t>ЮЛ3301011513</t>
  </si>
  <si>
    <t>ЮЛ330101151300000</t>
  </si>
  <si>
    <t>602205 Владимирская область город Муром Советская 10   257/1</t>
  </si>
  <si>
    <t>ИП Илюхина Нина Ивановна</t>
  </si>
  <si>
    <t>332000483327</t>
  </si>
  <si>
    <t>ИП3301008259</t>
  </si>
  <si>
    <t>ИП330100825900000</t>
  </si>
  <si>
    <t>602267 Владимирская область город Муром улица Советская дом 10 секция 257</t>
  </si>
  <si>
    <t>ИП330100825900001</t>
  </si>
  <si>
    <t>601120 Владимирская область город Покров улица Ленина дом 71   полуподвал №1</t>
  </si>
  <si>
    <t>ООО "ЛОМБАРД "РУБЛЕВЪ"</t>
  </si>
  <si>
    <t>3321013656</t>
  </si>
  <si>
    <t>ЮЛ3301000988</t>
  </si>
  <si>
    <t>ЮЛ330100098800000</t>
  </si>
  <si>
    <t>601120 Владимирская область город Покров улица Ленина дом 122 строение 2  офис Б (помещение № 8, 26, 28)</t>
  </si>
  <si>
    <t>ООО ЮЗ "ЗОЛОТЫЕ КУПОЛА"</t>
  </si>
  <si>
    <t>3321021079</t>
  </si>
  <si>
    <t>ЮЛ3301002492</t>
  </si>
  <si>
    <t>ЮЛ330100249200000</t>
  </si>
  <si>
    <t>601120 Владимирская область город Покров улица Ленина дом 122 строение 2Б - часть нежилого помещения №6</t>
  </si>
  <si>
    <t>ИП Полунина Ольга Сергеевна</t>
  </si>
  <si>
    <t>332105268454</t>
  </si>
  <si>
    <t>ИП3301002568</t>
  </si>
  <si>
    <t>ИП330100256800000</t>
  </si>
  <si>
    <t>600005 Владимирская область город Владимир улица Горького дом 60   ком. 23,24,25, часть ком 27,31а,28</t>
  </si>
  <si>
    <t>ИП Иванов Евгений Георгиевич</t>
  </si>
  <si>
    <t>332400070290</t>
  </si>
  <si>
    <t>ИП3301006522</t>
  </si>
  <si>
    <t>ИП330100652200000</t>
  </si>
  <si>
    <t>600014 Владимирская область город Владимир проспект Строителей дом 9б   нежилое помещение № А28/1, этаж 1</t>
  </si>
  <si>
    <t>ИП Морозова Елена Алексеевна</t>
  </si>
  <si>
    <t>332500100068</t>
  </si>
  <si>
    <t>ИП3301002183</t>
  </si>
  <si>
    <t>ИП330100218300000</t>
  </si>
  <si>
    <t>600020 Владимирская область город Владимир улица Большая Нижегородская дом 88а   нежилое помещение №31, этаж 1</t>
  </si>
  <si>
    <t>ИП330100218300002</t>
  </si>
  <si>
    <t>600031 Владимирская область город Владимир улица Добросельская дом 169б   часть нежилого помещения, секция №4, этаж 1</t>
  </si>
  <si>
    <t>ИП330100218300004</t>
  </si>
  <si>
    <t>600031 Владимирская область город Владимир улица Егорова дом 8б   часть нежилого помещения №66, этаж 1</t>
  </si>
  <si>
    <t>ИП330100218300005</t>
  </si>
  <si>
    <t>600032 Владимирская область город Владимир улица Комиссарова дом 53а   офис 411</t>
  </si>
  <si>
    <t>ИП Иванова Оксана Владимировна</t>
  </si>
  <si>
    <t>332502057354</t>
  </si>
  <si>
    <t>ИП3301004561</t>
  </si>
  <si>
    <t>ИП330100456100000</t>
  </si>
  <si>
    <t>601800 Владимирская область город Юрьев-Польский площадь Советская дом 2-В   помещения №3,4</t>
  </si>
  <si>
    <t>ИП Леонова Валентина Николаевна</t>
  </si>
  <si>
    <t>332600009133</t>
  </si>
  <si>
    <t>ИП3301013599</t>
  </si>
  <si>
    <t>ИП330101359900000</t>
  </si>
  <si>
    <t>601800 Владимирская область город Юрьев-Польский улица Владимирская дом 20</t>
  </si>
  <si>
    <t>ИП330101359900001</t>
  </si>
  <si>
    <t>601800 Владимирская область город Юрьев-Польский улица Краснооктябрьская дом 30   этаж 3</t>
  </si>
  <si>
    <t>ИП330101359900002</t>
  </si>
  <si>
    <t>602256 Владимирская область город Муром улица Войкова дом 1б</t>
  </si>
  <si>
    <t>ИП Косолапова Елена Николаевна</t>
  </si>
  <si>
    <t>332705790165</t>
  </si>
  <si>
    <t>ИП3301010158</t>
  </si>
  <si>
    <t>ИП330101015800000</t>
  </si>
  <si>
    <t>600000 Владимирская область город Владимир улица Гагарина дом 1</t>
  </si>
  <si>
    <t>ИП Савельева Оксана Александровна</t>
  </si>
  <si>
    <t>332708106037</t>
  </si>
  <si>
    <t>ИП3301009003</t>
  </si>
  <si>
    <t>ИП330100900300000</t>
  </si>
  <si>
    <t>601911 Владимирская область город Ковров улица Ватутина дом 59    1 этаж, помещение №84</t>
  </si>
  <si>
    <t>ИП Белобаба Евгений Васильевич</t>
  </si>
  <si>
    <t>332708715960</t>
  </si>
  <si>
    <t>ИП3301003994</t>
  </si>
  <si>
    <t>ИП330100399400001</t>
  </si>
  <si>
    <t>600022 Владимирская область город Владимир проспект Ленина дом 46 - - -</t>
  </si>
  <si>
    <t>ИП Пичугин Валерий Геннадьевич</t>
  </si>
  <si>
    <t>332800449195</t>
  </si>
  <si>
    <t>ИП3301008241</t>
  </si>
  <si>
    <t>ИП330100824100000</t>
  </si>
  <si>
    <t>600000 Владимирская область город Владимир улица Гагарина дом 4а</t>
  </si>
  <si>
    <t>ИП Белянкина Альбина Ивановна</t>
  </si>
  <si>
    <t>332800750250</t>
  </si>
  <si>
    <t>ИП3301004531</t>
  </si>
  <si>
    <t>ИП330100453100000</t>
  </si>
  <si>
    <t>600014 Владимирская область город Владимир проспект Строителей дом 28</t>
  </si>
  <si>
    <t>ИП330100453100002</t>
  </si>
  <si>
    <t>600007 Владимирская область город Владимир улица 1-я Пионерская дом 47   помещение 4</t>
  </si>
  <si>
    <t>ИП Коломоец Алексей Михайлович</t>
  </si>
  <si>
    <t>332801681105</t>
  </si>
  <si>
    <t>ИП3301008236</t>
  </si>
  <si>
    <t>ИП330100823600000</t>
  </si>
  <si>
    <t>600007 Владимирская область город Владимир улица 1-я Пионерская 47</t>
  </si>
  <si>
    <t>ИП Лебедев Андрей Борисович</t>
  </si>
  <si>
    <t>332806664449</t>
  </si>
  <si>
    <t>ИП3004037344</t>
  </si>
  <si>
    <t>ИП300403734400000</t>
  </si>
  <si>
    <t>600015 Владимирская область город Владимир улица Ново-Ямская дом 26   помещение 5</t>
  </si>
  <si>
    <t>ИП Кондратьев Андрей Александрович</t>
  </si>
  <si>
    <t>332807890120</t>
  </si>
  <si>
    <t>ИП3301000195</t>
  </si>
  <si>
    <t>ИП330100019500000</t>
  </si>
  <si>
    <t>600000 Владимирская область город Владимир улица Гагарина дом 2</t>
  </si>
  <si>
    <t>ООО "ТАСС"</t>
  </si>
  <si>
    <t>3328410490</t>
  </si>
  <si>
    <t>ЮЛ3301017308</t>
  </si>
  <si>
    <t>ЮЛ330101730800000</t>
  </si>
  <si>
    <t>600021 Владимирская область город Владимир, городок Перекопский военный  дом 24   кабинет 12</t>
  </si>
  <si>
    <t>ООО СЕРЕБРЯНАЯ ВЕНЕЦИЯ</t>
  </si>
  <si>
    <t>3328456135</t>
  </si>
  <si>
    <t>ЮЛ3301003741</t>
  </si>
  <si>
    <t>ЮЛ330100374100000</t>
  </si>
  <si>
    <t>600000 Владимирская область город Владимир проспект Октябрьский дом 3   2 этаж  помещение 4</t>
  </si>
  <si>
    <t>ООО "СУЗДАЛЬСКИЙ ЮВЕЛИР"</t>
  </si>
  <si>
    <t>3328471790</t>
  </si>
  <si>
    <t>ЮЛ3301002660</t>
  </si>
  <si>
    <t>ЮЛ330100266000000</t>
  </si>
  <si>
    <t>600007 Владимирская область город Владимир улица Мира дом 55в   этаж 2, офис 10</t>
  </si>
  <si>
    <t>ООО "М-РИТЕЙЛ"</t>
  </si>
  <si>
    <t>3328494451</t>
  </si>
  <si>
    <t>ЮЛ3301007426</t>
  </si>
  <si>
    <t>ЮЛ330100742600000</t>
  </si>
  <si>
    <t>600026 Владимирская область город Владимир улица Горького дом 84   помещение V</t>
  </si>
  <si>
    <t>ООО "ЛОМБАРД ЗОДИАК"</t>
  </si>
  <si>
    <t>3328495663</t>
  </si>
  <si>
    <t>ЮЛ3301006467</t>
  </si>
  <si>
    <t>ЮЛ330100646700000</t>
  </si>
  <si>
    <t>601901 Владимирская область город Ковров улица Фурманова дом 31   Помещение 101-102</t>
  </si>
  <si>
    <t>ЮЛ330100646700001</t>
  </si>
  <si>
    <t>600005 Владимирская область город Владимир улица Горького дом 58   Нежилое помещение , 1 этаж</t>
  </si>
  <si>
    <t>ЮЛ330100646700004</t>
  </si>
  <si>
    <t>601901 Владимирская область город Ковров проспект Ленина дом 35   Помещение 36, 1 этаж</t>
  </si>
  <si>
    <t>ЮЛ330100646700005</t>
  </si>
  <si>
    <t>601910 Владимирская область город Ковров улица Ватутина дом 2А   1 этаж ,нежилое помещение -квартира 2</t>
  </si>
  <si>
    <t>ЮЛ330100646700006</t>
  </si>
  <si>
    <t>601915 Владимирская область город Ковров улица Строителей дом 25   помещение №154</t>
  </si>
  <si>
    <t>ЮЛ330100646700007</t>
  </si>
  <si>
    <t>600006 Владимирская область город Владимир улица Большая Московская дом 71   офис 219</t>
  </si>
  <si>
    <t>ИП Сомова Елена Валерьевна</t>
  </si>
  <si>
    <t>332900049546</t>
  </si>
  <si>
    <t>ИП3301000345</t>
  </si>
  <si>
    <t>ИП330100034500000</t>
  </si>
  <si>
    <t>600017 Владимирская область город Владимир улица Батурина дом 28 корпус 4  место №29</t>
  </si>
  <si>
    <t>ИП Буньковская Елена Сергеевна</t>
  </si>
  <si>
    <t>332900768460</t>
  </si>
  <si>
    <t>ИП3301013892</t>
  </si>
  <si>
    <t>ИП330101389200000</t>
  </si>
  <si>
    <t>600017 Владимирская область город Владимир улица Батурина дом 20    комнаты № 11,11а</t>
  </si>
  <si>
    <t>ИП330101389200001</t>
  </si>
  <si>
    <t>600006 Владимирская область город Владимир улица Большая Московская дом 71</t>
  </si>
  <si>
    <t>ИП Назаров Дмитрий Александрович</t>
  </si>
  <si>
    <t>332901481131</t>
  </si>
  <si>
    <t>ИП3301003799</t>
  </si>
  <si>
    <t>ИП330100379900000</t>
  </si>
  <si>
    <t>600031 Владимирская область город Владимир улица Егорова дом 8б</t>
  </si>
  <si>
    <t>ООО "ЛОМБАРД-ИЗУМРУД"</t>
  </si>
  <si>
    <t>3329019709</t>
  </si>
  <si>
    <t>ЮЛ3301003244</t>
  </si>
  <si>
    <t>ЮЛ330100324400000</t>
  </si>
  <si>
    <t>600000 Владимирская область город Владимир Большая Московская дом 19  литера А</t>
  </si>
  <si>
    <t>ИП Басинских Ирина Владимировна</t>
  </si>
  <si>
    <t>332903714575</t>
  </si>
  <si>
    <t>ИП3301012685</t>
  </si>
  <si>
    <t>ИП330101268500000</t>
  </si>
  <si>
    <t>600031 Владимирская область город Владимир улица Егорова дом 8б   помещение №62 (часть)</t>
  </si>
  <si>
    <t>ИП Назарова Светлана Викторовна</t>
  </si>
  <si>
    <t>332908959804</t>
  </si>
  <si>
    <t>ИП3301030782</t>
  </si>
  <si>
    <t>ИП330103078200000</t>
  </si>
  <si>
    <t>600000 Владимирская область город Владимир улица Большая Московская дом 19а   помещение 48</t>
  </si>
  <si>
    <t>ИП Гельд Элизабет Александровна</t>
  </si>
  <si>
    <t>332916072646</t>
  </si>
  <si>
    <t>ИП7701032965</t>
  </si>
  <si>
    <t>ИП770103296500000</t>
  </si>
  <si>
    <t>602267 Владимирская область город Муром улица Советская дом 10   торговая секция №109-3</t>
  </si>
  <si>
    <t>ООО "ГРЭЙС"</t>
  </si>
  <si>
    <t>3334009569</t>
  </si>
  <si>
    <t>ЮЛ3301015627</t>
  </si>
  <si>
    <t>ЮЛ330101562700000</t>
  </si>
  <si>
    <t>602267 Владимирская область город Муром улица Московская дом 6</t>
  </si>
  <si>
    <t>ЮЛ330101562700002</t>
  </si>
  <si>
    <t>602102 Владимирская область город Меленки улица 1 Мая дом 25   1 этаж</t>
  </si>
  <si>
    <t>ЮЛ330101562700003</t>
  </si>
  <si>
    <t>602102 Владимирская область город Меленки улица Ленина дом 65</t>
  </si>
  <si>
    <t>ЮЛ330101562700004</t>
  </si>
  <si>
    <t>602251 Владимирская область город Муром улица Куликова дом 7а   2 этаж</t>
  </si>
  <si>
    <t>ЮЛ330101562700005</t>
  </si>
  <si>
    <t>602267 Владимирская область город Муром улица Московская дом 8</t>
  </si>
  <si>
    <t>ЮЛ330101562700006</t>
  </si>
  <si>
    <t>601911 Владимирская область город Ковров улица Грибоедова дом 15   торговое место № 226</t>
  </si>
  <si>
    <t>ИП Нечаева Юлия Александровна</t>
  </si>
  <si>
    <t>370500336844</t>
  </si>
  <si>
    <t>ИП3702002917</t>
  </si>
  <si>
    <t>ИП370200291700000</t>
  </si>
  <si>
    <t>601900 Владимирская область город Ковров улица Чернышевского дом 2</t>
  </si>
  <si>
    <t>ИП Орлова Мария Алексеевна</t>
  </si>
  <si>
    <t>371900240480</t>
  </si>
  <si>
    <t>ИП3702004200</t>
  </si>
  <si>
    <t>ИП370200420000003</t>
  </si>
  <si>
    <t>600007 Владимирская область город Владимир улица 1-я Пионерская дом 47   цокольный этаж, общей площадью 15 кв.м</t>
  </si>
  <si>
    <t>ИП Мосейко Алексей Александрович</t>
  </si>
  <si>
    <t>382105511990</t>
  </si>
  <si>
    <t>ИП3808038003</t>
  </si>
  <si>
    <t>ИП380803800300000</t>
  </si>
  <si>
    <t>602205 Владимирская область город Муром улица Карла Маркса дом 75</t>
  </si>
  <si>
    <t>ЮЛ480100215000036</t>
  </si>
  <si>
    <t>600005 Владимирская область город Владимир улица Тракторная дом 45</t>
  </si>
  <si>
    <t>ИП500100445500036</t>
  </si>
  <si>
    <t>601785 Владимирская область город Кольчугино улица 3 Интернационала дом 57</t>
  </si>
  <si>
    <t>ИП Кузнецова Ирина Николаевна</t>
  </si>
  <si>
    <t>501214858105</t>
  </si>
  <si>
    <t>ИП5001008627</t>
  </si>
  <si>
    <t>ИП500100862700000</t>
  </si>
  <si>
    <t>601654 Владимирская область город Александров улица Вокзальная дом 7 строение 2  помещение 16</t>
  </si>
  <si>
    <t>ООО "ЛОМБАРД ЮВЕЛИРНЫЙ"</t>
  </si>
  <si>
    <t>5029259100</t>
  </si>
  <si>
    <t>ЮЛ5001002529</t>
  </si>
  <si>
    <t>ЮЛ500100252900004</t>
  </si>
  <si>
    <t>601654 Владимирская область город Александров улица Ленина дом 18   Помещение 1</t>
  </si>
  <si>
    <t>ЮЛ500100252900021</t>
  </si>
  <si>
    <t>602332 Владимирская область поселок Красная Горбатка улица Пролетарская дом 9</t>
  </si>
  <si>
    <t>5031122801</t>
  </si>
  <si>
    <t>ЮЛ5001011829</t>
  </si>
  <si>
    <t>ЮЛ500101182900005</t>
  </si>
  <si>
    <t>601501 Владимирская область город Гусь-Хрустальный улица Калинина дом 28б   часть нежилого здания 2, этаж 1</t>
  </si>
  <si>
    <t>ЮЛ500101182900006</t>
  </si>
  <si>
    <t>601785 Владимирская область город Кольчугино улица 3 Интернационала дом 38</t>
  </si>
  <si>
    <t>ИП Дубровина Лариса Анатольевна</t>
  </si>
  <si>
    <t>503408971329</t>
  </si>
  <si>
    <t>ИП5001004684</t>
  </si>
  <si>
    <t>ИП500100468400002</t>
  </si>
  <si>
    <t>601501 Владимирская область город Гусь-Хрустальный улица Калинина дом 28б   1 этаж, бутик №6</t>
  </si>
  <si>
    <t>ИП500100468400005</t>
  </si>
  <si>
    <t>ИП500100468400007</t>
  </si>
  <si>
    <t>ИП500100468400013</t>
  </si>
  <si>
    <t>601650 Владимирская область город Александров улица Ленина дом 30</t>
  </si>
  <si>
    <t>ИП Запольская Вера Константиновна</t>
  </si>
  <si>
    <t>504203460420</t>
  </si>
  <si>
    <t>ИП5001002186</t>
  </si>
  <si>
    <t>ИП500100218600003</t>
  </si>
  <si>
    <t>601443 Владимирская область город Вязники улица Ленина дом 29</t>
  </si>
  <si>
    <t>ИП Зеленов Алексей Викторович</t>
  </si>
  <si>
    <t>521400092004</t>
  </si>
  <si>
    <t>ИП3301004745</t>
  </si>
  <si>
    <t>ИП330100474500001</t>
  </si>
  <si>
    <t>601900 Владимирская область город Ковров проспект Ленина дом 18</t>
  </si>
  <si>
    <t>ИП330100474500002</t>
  </si>
  <si>
    <t>601480 Владимирская область город Гороховец улица Ленина дом 34</t>
  </si>
  <si>
    <t>ИП330100474500005</t>
  </si>
  <si>
    <t>602267 Владимирская область Город Муром Улица Московская Дом 122б</t>
  </si>
  <si>
    <t>ИП Ширшова Елена Александровна</t>
  </si>
  <si>
    <t>522302129755</t>
  </si>
  <si>
    <t>ИП3301005282</t>
  </si>
  <si>
    <t>ИП330100528200000</t>
  </si>
  <si>
    <t>600000 Владимирская область город Владимир улица Тракторная дом 45</t>
  </si>
  <si>
    <t>ЮЛ520603376600074</t>
  </si>
  <si>
    <t>ИП Ковалев Сергей Васильевич</t>
  </si>
  <si>
    <t>526200071077</t>
  </si>
  <si>
    <t>ИП5206017902</t>
  </si>
  <si>
    <t>ИП520601790200017</t>
  </si>
  <si>
    <t>601501 Владимирская область город Гусь-Хрустальный улица Калинина дом 28 б</t>
  </si>
  <si>
    <t>ИП520601790200023</t>
  </si>
  <si>
    <t>601900 Владимирская область город Ковров улица Лопатина дом 7а</t>
  </si>
  <si>
    <t>ИП520601790200031</t>
  </si>
  <si>
    <t>602267 Владимирская область город Муром улица Советская дом 10</t>
  </si>
  <si>
    <t>ИП520601790200051</t>
  </si>
  <si>
    <t>601654 Владимирская область город Александров улица Вокзальная дом 7 строение 2  Помещения 16,17,18</t>
  </si>
  <si>
    <t>ИП Кинякина Екатерина Викторовна</t>
  </si>
  <si>
    <t>583710641506</t>
  </si>
  <si>
    <t>ИП5001003887</t>
  </si>
  <si>
    <t>ИП500100388700001</t>
  </si>
  <si>
    <t>ИП610400426600021</t>
  </si>
  <si>
    <t>601120 Владимирская область город Покров улица Герасимова дом 18</t>
  </si>
  <si>
    <t>ИП Ливадняя Юлия Александровна</t>
  </si>
  <si>
    <t>614108405250</t>
  </si>
  <si>
    <t>ИП6104012941</t>
  </si>
  <si>
    <t>ИП610401294100007</t>
  </si>
  <si>
    <t>601300 Владимирская область город Камешково улица Школьная дом 6   офис 103</t>
  </si>
  <si>
    <t>ИП Честнова Полина Ивановна</t>
  </si>
  <si>
    <t>740412808634</t>
  </si>
  <si>
    <t>ИП3301039225</t>
  </si>
  <si>
    <t>ИП330103922500000</t>
  </si>
  <si>
    <t>600005 Владимирская область город Владимир улица Тракторная дом 45 - - -</t>
  </si>
  <si>
    <t>ЮЛ760201190700010</t>
  </si>
  <si>
    <t>600005 Владимирская область город Владимир улица Горького дом 60   помещение №4</t>
  </si>
  <si>
    <t>ЮЛ770100201500521</t>
  </si>
  <si>
    <t>601785 Владимирская область город Кольчугино улица К.Маркса дом 3</t>
  </si>
  <si>
    <t>АО "ИНТЕРСИЛЬВЕРЛАЙН"</t>
  </si>
  <si>
    <t>7705465086</t>
  </si>
  <si>
    <t>ЮЛ3301004925</t>
  </si>
  <si>
    <t>ЮЛ330100492500000</t>
  </si>
  <si>
    <t>601141 Владимирская область город Петушки улица Клязьменская дом 1-а</t>
  </si>
  <si>
    <t>ИП Зеленина Нелли Николаевна</t>
  </si>
  <si>
    <t>771318817054</t>
  </si>
  <si>
    <t>ИП7701014142</t>
  </si>
  <si>
    <t>ИП770101414200000</t>
  </si>
  <si>
    <t>601501 Владимирская область город Гусь-Хрустальный улица Калинина дом 28Б   этаж 1 бутик БН</t>
  </si>
  <si>
    <t>ИП Гумеров Артур Флунович</t>
  </si>
  <si>
    <t>771474090930</t>
  </si>
  <si>
    <t>ИП7701004179</t>
  </si>
  <si>
    <t>ИП770100417900012</t>
  </si>
  <si>
    <t>600005 Владимирская область город Владимир улица Тракторная дом 45   помещение на 1 этаже</t>
  </si>
  <si>
    <t>ИП770100417900052</t>
  </si>
  <si>
    <t>601501 Владимирская область город Гусь-Хрустальный улица Калинина дом 28б   островное место Г1/1-50-20, этаж 1</t>
  </si>
  <si>
    <t>ЮЛ770101216600281</t>
  </si>
  <si>
    <t>600005 Владимирская область город Владимир улица Тракторная дом 45   этаж 1</t>
  </si>
  <si>
    <t>ЮЛ770101216600326</t>
  </si>
  <si>
    <t>600000 Владимирская область город Владимир улица Большая Московская дом 19а   этаж 1, помщение №61, торговая площадь №2к</t>
  </si>
  <si>
    <t>ЮЛ770101216600388</t>
  </si>
  <si>
    <t>600014 Владимирская область город Владимир проспект Строителей дом 9б   этаж 1</t>
  </si>
  <si>
    <t>ЮЛ770101216600470</t>
  </si>
  <si>
    <t>601900 Владимирская область город Ковров улица Лопатина дом 7а   этаж 1</t>
  </si>
  <si>
    <t>ЮЛ770101216600548</t>
  </si>
  <si>
    <t>601501 Владимирская область город Гусь-Хрустальный улица Калинина дом 28б   1 этаж, нежилое помещение</t>
  </si>
  <si>
    <t>ЮЛ770101216600878</t>
  </si>
  <si>
    <t>602251 Владимирская область город Муром улица Куликова дом 7а   этаж 1, часть нежилого помещения № 113</t>
  </si>
  <si>
    <t>ЮЛ770101216600918</t>
  </si>
  <si>
    <t>600000 Владимирская область город Владимир улица Большая Московская дом 19А</t>
  </si>
  <si>
    <t>ЮЛ770100419400067</t>
  </si>
  <si>
    <t>ЮЛ770100419400073</t>
  </si>
  <si>
    <t>601770 Владимирская область город Кольчугино, поселок Белая Речка улица Мелиораторов дом 9</t>
  </si>
  <si>
    <t>ООО "ФЕНИКС"</t>
  </si>
  <si>
    <t>7725498192</t>
  </si>
  <si>
    <t>ЮЛ7701004900</t>
  </si>
  <si>
    <t>ЮЛ770100490000001</t>
  </si>
  <si>
    <t>601650 Владимирская область город Александров улица Ленина дом 22</t>
  </si>
  <si>
    <t>ИП Гумеров Феликс Флунович</t>
  </si>
  <si>
    <t>772901468176</t>
  </si>
  <si>
    <t>ИП7701006547</t>
  </si>
  <si>
    <t>ИП770100654700009</t>
  </si>
  <si>
    <t>601650 Владимирская область город Александров улица Ленина дом 13 корпус 1</t>
  </si>
  <si>
    <t>ИП770100654700010</t>
  </si>
  <si>
    <t>601655 Владимирская область город Александров улица Королёва дом 6А   павильон 14, 2 этаж (помещение №31)</t>
  </si>
  <si>
    <t>ИП770100654700015</t>
  </si>
  <si>
    <t>601900 Владимирская область город Ковров улица Лопатина дом 7 корпус А  помещение А57/1</t>
  </si>
  <si>
    <t>ЮЛ770100193500107</t>
  </si>
  <si>
    <t>602251 Владимирская область город Муром улица Куликова дом 7А   1 (первый) этаж</t>
  </si>
  <si>
    <t>ЮЛ770100193500108</t>
  </si>
  <si>
    <t>600005 Владимирская область город Владимир улица Тракторная дом 45   1 (первый) этаж</t>
  </si>
  <si>
    <t>ЮЛ770100193500109</t>
  </si>
  <si>
    <t>600000 Владимирская область город Владимир улица Большая Московская дом 19 корпус А  помещения 21, 22, 23</t>
  </si>
  <si>
    <t>ЮЛ770100193500110</t>
  </si>
  <si>
    <t>601650 Владимирская область город Александров улица Ленина дом 13 корпус 1  нежилое помещение № 60, этаж 1 (первый)</t>
  </si>
  <si>
    <t>ЮЛ770100193500518</t>
  </si>
  <si>
    <t>601501 Владимирская область город Гусь-Хрустальный улица Калинина дом 28б   1 этаж</t>
  </si>
  <si>
    <t>ЮЛ770100193500577</t>
  </si>
  <si>
    <t>600026 Владимирская область город Владимир улица Горького дом 84</t>
  </si>
  <si>
    <t>ЮЛ770100193500887</t>
  </si>
  <si>
    <t>600005 Владимирская область город Владимир улица Горького дом 60   помещение 4</t>
  </si>
  <si>
    <t>ЮЛ770100193500902</t>
  </si>
  <si>
    <t>600000 Владимирская область город Владимир улица Большая Московская дом 19а</t>
  </si>
  <si>
    <t>ЮЛ780300131300492</t>
  </si>
  <si>
    <t>602267 Владимирская область город Муром улица Свердлова дом 12   нежилое помещение № 1 и часть нежилого помещения № 2</t>
  </si>
  <si>
    <t>ЮЛ780300328000052</t>
  </si>
  <si>
    <t>600000 Владимирская область город Владимир улица Гагарина дом 5  А помещение 14</t>
  </si>
  <si>
    <t>ЮЛ780300323500054</t>
  </si>
  <si>
    <t>601900 Владимирская область город Ковров улица Лопатина дом 7А   часть помещения А44</t>
  </si>
  <si>
    <t>ЮЛ780300308200208</t>
  </si>
  <si>
    <t>ЮЛ780300308200602</t>
  </si>
  <si>
    <t>600027 Владимирская область город Владимир проспект Суздальский дом 28   помещение №65 (MI08)</t>
  </si>
  <si>
    <t>ЮЛ780300308200626</t>
  </si>
  <si>
    <t>600000 Владимирская область г. Владимир ул. Гагарина д. 2   пом. №№ 3,4,5,9,11,12,12а, часть пом. №14</t>
  </si>
  <si>
    <t>ЮЛ780300308200728</t>
  </si>
  <si>
    <t>ЮЛ780300308200740</t>
  </si>
  <si>
    <t>600000 Владимирская область город Владимир улица Гагарина дом 5   помещение 14</t>
  </si>
  <si>
    <t>ЮЛ780300363500009</t>
  </si>
  <si>
    <t>600027 Владимирская область город Владимир проспект Суздальский дом 15</t>
  </si>
  <si>
    <t>ЮЛ770104038200009</t>
  </si>
  <si>
    <t>600022 Владимирская область город Владимир улица Верхняя Дуброва дом 31</t>
  </si>
  <si>
    <t>ЮЛ770104038200015</t>
  </si>
  <si>
    <t>600005 Владимирская область город Владимир улица Тракторная дом 45   1 этаж помещении № II</t>
  </si>
  <si>
    <t>ЮЛ770100439200016</t>
  </si>
  <si>
    <t>600000 Владимирская область город Владимир улица Большая Московская дом 19А   1 этаж "Торговые ряды" №58, №58а, №57ж</t>
  </si>
  <si>
    <t>ЮЛ770100439200017</t>
  </si>
  <si>
    <t>Волгоградская область</t>
  </si>
  <si>
    <t>403874 Волгоградская область город Камышин улица Некрасова дом 27</t>
  </si>
  <si>
    <t>ИП Исламгулова Анастасия Аркадьевна</t>
  </si>
  <si>
    <t>27415901400</t>
  </si>
  <si>
    <t>ИП0206034036</t>
  </si>
  <si>
    <t>ИП020603403600000</t>
  </si>
  <si>
    <t>400081 Волгоградская область город Волгоград ул. Ангарская дом 17   офис 511,512,513,514</t>
  </si>
  <si>
    <t>ИП Суворова Марина Николаевна</t>
  </si>
  <si>
    <t>211201157132</t>
  </si>
  <si>
    <t>ИП3404000976</t>
  </si>
  <si>
    <t>ИП340400097600000</t>
  </si>
  <si>
    <t>400137 Волгоградская область город Волгоград улица им. Землячки дом 110б   помещение 127</t>
  </si>
  <si>
    <t>ИП Дерягина Елена Константиновна</t>
  </si>
  <si>
    <t>231001106479</t>
  </si>
  <si>
    <t>ИП2304006189</t>
  </si>
  <si>
    <t>ИП230400618900055</t>
  </si>
  <si>
    <t>400137 Волгоградская область город Волгоград улица им. Землячки дом 110Б   75</t>
  </si>
  <si>
    <t>ИП300400971200001</t>
  </si>
  <si>
    <t>400137 Волгоградская область город Волгоград улица 8-й Воздушной Армии дом 21А</t>
  </si>
  <si>
    <t>ИП Мосесян Антон Ашотович</t>
  </si>
  <si>
    <t>301509191132</t>
  </si>
  <si>
    <t>ИП3004007380</t>
  </si>
  <si>
    <t>ИП300400738000000</t>
  </si>
  <si>
    <t>404062 Волгоградская область рабочий поселок Быково улица Куйбышева дом 14</t>
  </si>
  <si>
    <t>ИП Кикнадзе Мариам Григорьевна</t>
  </si>
  <si>
    <t>340202547086</t>
  </si>
  <si>
    <t>ИП3404033696</t>
  </si>
  <si>
    <t>ИП340403369600000</t>
  </si>
  <si>
    <t>403003 Волгоградская область рабочий поселок Городище улица Промышленная дом 7</t>
  </si>
  <si>
    <t>ИП Ежов Владимир Валерьевич</t>
  </si>
  <si>
    <t>340304101847</t>
  </si>
  <si>
    <t>ИП7803041055</t>
  </si>
  <si>
    <t>ИП780304105500000</t>
  </si>
  <si>
    <t>403732 Волгоградская область рабочий поселок Елань улица Красная дом 24</t>
  </si>
  <si>
    <t>ИП Семибратов Дмитрий Александрович</t>
  </si>
  <si>
    <t>340602963595</t>
  </si>
  <si>
    <t>ИП3404004243</t>
  </si>
  <si>
    <t>ИП340400424300000</t>
  </si>
  <si>
    <t>403071 Волгоградская область рабочий посёлок Иловля улица Кирова дом 47/1 0 0 0</t>
  </si>
  <si>
    <t>ИП Пешикова Надежда Юрьевна</t>
  </si>
  <si>
    <t>340800710966</t>
  </si>
  <si>
    <t>ИП3404003897</t>
  </si>
  <si>
    <t>ИП340400389700000</t>
  </si>
  <si>
    <t>403071 Волгоградская область рабочий поселок Иловля улица Буденного владение 43</t>
  </si>
  <si>
    <t>ИП Глухова Надежда Васильевна</t>
  </si>
  <si>
    <t>340801462314</t>
  </si>
  <si>
    <t>ИП3404006739</t>
  </si>
  <si>
    <t>ИП340400673900000</t>
  </si>
  <si>
    <t>403732 Волгоградская область рабочий поселок Елань улица Красная дом 25</t>
  </si>
  <si>
    <t>ИП340400673900001</t>
  </si>
  <si>
    <t>404503 Волгоградская область Калач на Дону  Чекмарева 16   1</t>
  </si>
  <si>
    <t>ИП Касабян Наталья Юрьевна</t>
  </si>
  <si>
    <t>340900004259</t>
  </si>
  <si>
    <t>ИП3404009521</t>
  </si>
  <si>
    <t>ИП340400952100000</t>
  </si>
  <si>
    <t>404503 Волгоградская область город Калач-на-Дону улица Октябрьская дом 240</t>
  </si>
  <si>
    <t>ИП340400952100001</t>
  </si>
  <si>
    <t>4045055 Волгоградская область город Калач-на-Дону улица Октябрьская дом 305 Б</t>
  </si>
  <si>
    <t>ИП Махина Марина Викторовна</t>
  </si>
  <si>
    <t>340900315430</t>
  </si>
  <si>
    <t>ИП3404000945</t>
  </si>
  <si>
    <t>ИП340400094500000</t>
  </si>
  <si>
    <t>403840 Волгоградская область город Петров Вал улица Ленина дом 66</t>
  </si>
  <si>
    <t>ИП Захарова Наталья Витальевна</t>
  </si>
  <si>
    <t>341000955246</t>
  </si>
  <si>
    <t>ИП3404031500</t>
  </si>
  <si>
    <t>ИП340403150000000</t>
  </si>
  <si>
    <t>404353 Волгоградская область город Котельниково улица Первомайская дом 1б</t>
  </si>
  <si>
    <t>ИП Близнюкова Наталья Владимировна</t>
  </si>
  <si>
    <t>341302730513</t>
  </si>
  <si>
    <t>ИП3404034096</t>
  </si>
  <si>
    <t>ИП340403409600000</t>
  </si>
  <si>
    <t>404033 Волгоградская область город Николаевск улица Чайковского дом 41</t>
  </si>
  <si>
    <t>ИП Белицкая Ирина Васильевна</t>
  </si>
  <si>
    <t>341800028755</t>
  </si>
  <si>
    <t>ИП3404008943</t>
  </si>
  <si>
    <t>ИП340400894300000</t>
  </si>
  <si>
    <t>404033 Волгоградская область город Николаевск улица Чайковского дом 20</t>
  </si>
  <si>
    <t>ИП Попова Надежда Ивановна</t>
  </si>
  <si>
    <t>341800059898</t>
  </si>
  <si>
    <t>ИП3404013209</t>
  </si>
  <si>
    <t>ИП340401320900000</t>
  </si>
  <si>
    <t>403958 Волгоградская область город Новоаннинский улица Ленина дом 64   пом. 1</t>
  </si>
  <si>
    <t>ИП Назарова Ольга Робертовна</t>
  </si>
  <si>
    <t>341900026663</t>
  </si>
  <si>
    <t>ИП3404002399</t>
  </si>
  <si>
    <t>ИП340400239900000</t>
  </si>
  <si>
    <t>403958 Волгоградская область город Новоаннинский улица Советская дом 15к</t>
  </si>
  <si>
    <t>ИП Матвеева Наталья Павловна</t>
  </si>
  <si>
    <t>341900074561</t>
  </si>
  <si>
    <t>ИП3404008312</t>
  </si>
  <si>
    <t>ИП340400831200000</t>
  </si>
  <si>
    <t>403221 Волгоградская область станица Преображенская улица Мира владение 56</t>
  </si>
  <si>
    <t>ИП340400831200001</t>
  </si>
  <si>
    <t>403241 Волгоградская область станица Алексеевская улица Красногвардейская дом 79</t>
  </si>
  <si>
    <t>ИП340400831200002</t>
  </si>
  <si>
    <t>404353 Волгоградская область город Котельниково улица Первомайская дом 3</t>
  </si>
  <si>
    <t>ИП Чипликов Георгий Петрович</t>
  </si>
  <si>
    <t>342100518019</t>
  </si>
  <si>
    <t>ИП3404005639</t>
  </si>
  <si>
    <t>ИП340400563900000</t>
  </si>
  <si>
    <t>404321 Волгоградская область рабочий поселок Октябрьский улица Ленина дом 56</t>
  </si>
  <si>
    <t>ИП Макеев Роман Юрьевич</t>
  </si>
  <si>
    <t>342102423877</t>
  </si>
  <si>
    <t>ИП3404039395</t>
  </si>
  <si>
    <t>ИП340403939500000</t>
  </si>
  <si>
    <t>404264 Волгоградская область город Палласовка Улица Ленина дом  2А</t>
  </si>
  <si>
    <t>ИП Исаев Альберт Борисович</t>
  </si>
  <si>
    <t>342303090307</t>
  </si>
  <si>
    <t>ИП3404037724</t>
  </si>
  <si>
    <t>ИП340403772400000</t>
  </si>
  <si>
    <t>404102 Волгоградская область город Волжский бульвар Профсоюзов дом 1б</t>
  </si>
  <si>
    <t>ИП Исаева Селима Алхазуровна</t>
  </si>
  <si>
    <t>342303102506</t>
  </si>
  <si>
    <t>ИП3404000499</t>
  </si>
  <si>
    <t>ИП340400049900000</t>
  </si>
  <si>
    <t>400001 Волгоградская область город Волгоград улица Профсоюзная дом 15/1   помещение 4</t>
  </si>
  <si>
    <t>ИП Бормотов Игорь Михайлович</t>
  </si>
  <si>
    <t>342501102032</t>
  </si>
  <si>
    <t>ИП3404007725</t>
  </si>
  <si>
    <t>ИП340400772500000</t>
  </si>
  <si>
    <t>400075 Волгоградская область город Волгоград улица Краснополянская дом 5а</t>
  </si>
  <si>
    <t>ИП Маняхин Константин Александрович</t>
  </si>
  <si>
    <t>342501372127</t>
  </si>
  <si>
    <t>ИП3404004254</t>
  </si>
  <si>
    <t>ИП340400425400000</t>
  </si>
  <si>
    <t>400038 Волгоградская область Город Волгоград Улица Волгоградская Дом 166б</t>
  </si>
  <si>
    <t>ИП340400425400001</t>
  </si>
  <si>
    <t>403441 Волгоградская область город Серафимович улица Республиканская дом 74   комната 4</t>
  </si>
  <si>
    <t>ИП Тодорица Татьяна Николаевна</t>
  </si>
  <si>
    <t>342700329623</t>
  </si>
  <si>
    <t>ИП3404004631</t>
  </si>
  <si>
    <t>ИП340400463100000</t>
  </si>
  <si>
    <t>404211 Волгоградская область село Старая Полтавка улица Победа 88   2</t>
  </si>
  <si>
    <t>ИП Дроботов А.В.</t>
  </si>
  <si>
    <t>342900510890</t>
  </si>
  <si>
    <t>ИП3404014048</t>
  </si>
  <si>
    <t>ИП340401404800000</t>
  </si>
  <si>
    <t>404415 Волгоградская область Суровикино город 2 микрорайон дом 9</t>
  </si>
  <si>
    <t>ИП Ляшенко Елена Рудольфовна</t>
  </si>
  <si>
    <t>343000030300</t>
  </si>
  <si>
    <t>ИП3404001891</t>
  </si>
  <si>
    <t>ИП340400189100000</t>
  </si>
  <si>
    <t>403113 Волгоградская область город Урюпинск улица Гагарина дом 33   помещение 11</t>
  </si>
  <si>
    <t>ИП Пундикова Елена Юрьевна</t>
  </si>
  <si>
    <t>343100049640</t>
  </si>
  <si>
    <t>ИП3404009352</t>
  </si>
  <si>
    <t>ИП340400935200000</t>
  </si>
  <si>
    <t>404127 Волгоградская область город Волжский проспект им. Ленина дом 43   III</t>
  </si>
  <si>
    <t>ИП Черняховская Марина Владимировна</t>
  </si>
  <si>
    <t>343500351581</t>
  </si>
  <si>
    <t>ИП3404005241</t>
  </si>
  <si>
    <t>ИП340400524100000</t>
  </si>
  <si>
    <t>404102 Волгоградская область город Волжский бульвар Профсоюзов дом 7б</t>
  </si>
  <si>
    <t>ИП Васильева Наталья Алексеевна</t>
  </si>
  <si>
    <t>343501503903</t>
  </si>
  <si>
    <t>ИП3404012503</t>
  </si>
  <si>
    <t>ИП340401250300000</t>
  </si>
  <si>
    <t>404111 Волгоградская область Город Волжский Проспект Ленина Дом 84  Литера А</t>
  </si>
  <si>
    <t>ИП Настина Татьяна Михайловна</t>
  </si>
  <si>
    <t>343502120300</t>
  </si>
  <si>
    <t>ИП3404008307</t>
  </si>
  <si>
    <t>ИП340400830700000</t>
  </si>
  <si>
    <t>404130 Волгоградская область город Волжский улица Логинова дом 2б</t>
  </si>
  <si>
    <t>ИП340400830700003</t>
  </si>
  <si>
    <t>400119 Волгоградская область город Волгоград улица Горячеводская дом 21</t>
  </si>
  <si>
    <t>ИП340400993200000</t>
  </si>
  <si>
    <t>400075 Волгоградская область город Волгоград улица Краснополянская дом 1</t>
  </si>
  <si>
    <t>ИП340400993200001</t>
  </si>
  <si>
    <t>400059 Волгоградская область город Волгоград улица 64-й Армии дом 61</t>
  </si>
  <si>
    <t>ИП340400993200002</t>
  </si>
  <si>
    <t>400075 Волгоградская область город Волгоград улица Краснополянская дом 16</t>
  </si>
  <si>
    <t>ИП340400993200003</t>
  </si>
  <si>
    <t>400120 Волгоградская область город Волгоград улица Елецкая домовладение 6   помещение 1003</t>
  </si>
  <si>
    <t>ИП340400993200004</t>
  </si>
  <si>
    <t>400055 Волгоградская область город Волгоград улица 50 лет Октября дом 3</t>
  </si>
  <si>
    <t>ИП340400993200005</t>
  </si>
  <si>
    <t>400002 Волгоградская область город Волгоград улица Казахская дом 25</t>
  </si>
  <si>
    <t>ИП340400993200006</t>
  </si>
  <si>
    <t>400038 Волгоградская область город Волгоград улица им. Валентины Терешковой дом 20</t>
  </si>
  <si>
    <t>ИП340400993200007</t>
  </si>
  <si>
    <t>400066 Волгоградская область город Волгоград улица Мира дом 20</t>
  </si>
  <si>
    <t>ИП340400993200008</t>
  </si>
  <si>
    <t>404503 Волгоградская область город Калач-на-Дону улица Чекмарева дом 8   помещение 1</t>
  </si>
  <si>
    <t>ИП340400993200009</t>
  </si>
  <si>
    <t>404415 Волгоградская область город Суровикино улица Ленина дом 72/1</t>
  </si>
  <si>
    <t>ИП340400993200010</t>
  </si>
  <si>
    <t>404131 Волгоградская область город Волжский улица Александрова д.20   пом.1</t>
  </si>
  <si>
    <t>ООО "ЛАВЕРНА"</t>
  </si>
  <si>
    <t>3435128548</t>
  </si>
  <si>
    <t>ЮЛ3404009044</t>
  </si>
  <si>
    <t>ЮЛ340400904400000</t>
  </si>
  <si>
    <t>404130 Волгоградская область город Волжский улица Пушкина дом 97Г</t>
  </si>
  <si>
    <t>ИП Кравченко Анна Александровна</t>
  </si>
  <si>
    <t>343522935492</t>
  </si>
  <si>
    <t>ИП3404002386</t>
  </si>
  <si>
    <t>ИП340400238600000</t>
  </si>
  <si>
    <t>400001 Волгоградская область город Волгоград улица Рабоче-Крестьянская дом 9б   помещение №1,9</t>
  </si>
  <si>
    <t>ИП Тимаков Ян Тимурович</t>
  </si>
  <si>
    <t>343525093325</t>
  </si>
  <si>
    <t>ИП7803014938</t>
  </si>
  <si>
    <t>ИП780301493800004</t>
  </si>
  <si>
    <t>403874 Волгоградская область город Камышин улица Ленина дом 26</t>
  </si>
  <si>
    <t>ИП Сорокопудов Евгений Васильевич</t>
  </si>
  <si>
    <t>343600471138</t>
  </si>
  <si>
    <t>ИП3404012509</t>
  </si>
  <si>
    <t>ИП340401250900000</t>
  </si>
  <si>
    <t>403870 Волгоградская область город Камышин 5 мкр 48б</t>
  </si>
  <si>
    <t>ИП340401250900001</t>
  </si>
  <si>
    <t>403805 Волгоградская область город Котово улица Чапаева дом 1   4</t>
  </si>
  <si>
    <t>ИП Готовцева Екатерина Николаевна</t>
  </si>
  <si>
    <t>343600597902</t>
  </si>
  <si>
    <t>ИП3404013200</t>
  </si>
  <si>
    <t>ИП340401320000000</t>
  </si>
  <si>
    <t>403791 Волгоградская область город Жирновск улица Ломоносова дом 58   помещение 2</t>
  </si>
  <si>
    <t>ИП340401320000001</t>
  </si>
  <si>
    <t>403874 Волгоградская область город Камышин улица Ленина дом 22   помещение 4</t>
  </si>
  <si>
    <t>ИП Комар Ирина Ивановна</t>
  </si>
  <si>
    <t>343600664122</t>
  </si>
  <si>
    <t>ИП3404000235</t>
  </si>
  <si>
    <t>ИП340400023500000</t>
  </si>
  <si>
    <t>404264 Волгоградская область город Палласовка улица Коммунистическая здание 16</t>
  </si>
  <si>
    <t>ИП340400023500001</t>
  </si>
  <si>
    <t>403873 Волгоградская область Город Камышин Улица Пролетарская Дом 68</t>
  </si>
  <si>
    <t>ИП Зарецкая Любовь Васильевна</t>
  </si>
  <si>
    <t>343601141372</t>
  </si>
  <si>
    <t>ИП3404000397</t>
  </si>
  <si>
    <t>ИП340400039700001</t>
  </si>
  <si>
    <t>403876 Волгоградская область Город Камышин Микрорайон 5-й Дом 48 Б  литер А помещение 5</t>
  </si>
  <si>
    <t>ИП340400039700002</t>
  </si>
  <si>
    <t>403874 Волгоградская область город Камышин Ленина 30  этаж 1 6В</t>
  </si>
  <si>
    <t>ИП340400039700003</t>
  </si>
  <si>
    <t>403870 Волгоградская область город Камышин улица Пролетарская дом 103  литера а</t>
  </si>
  <si>
    <t>ИП Пицик Лариса Леонидовна</t>
  </si>
  <si>
    <t>343601362501</t>
  </si>
  <si>
    <t>ИП3404014026</t>
  </si>
  <si>
    <t>ИП340401402600000</t>
  </si>
  <si>
    <t>403791 Волгоградская область город Жирновск улица Ломоносова дом 52 1 этаж, помещение 1  часть нежилого помещения 2</t>
  </si>
  <si>
    <t>ИП340401402600002</t>
  </si>
  <si>
    <t>403874 Волгоградская область город Камышин улица Мира дом 12   97</t>
  </si>
  <si>
    <t>ИП Рябова Любовь Николаевна</t>
  </si>
  <si>
    <t>343607128748</t>
  </si>
  <si>
    <t>ИП3404000185</t>
  </si>
  <si>
    <t>ИП340400018500000</t>
  </si>
  <si>
    <t>403342 Волгоградская область город Михайловка улица 2 Краснознаменская дом 22/60</t>
  </si>
  <si>
    <t>ИП Коваленко Елена Николаевна</t>
  </si>
  <si>
    <t>343700319627</t>
  </si>
  <si>
    <t>ИП3404001181</t>
  </si>
  <si>
    <t>ИП340400118100000</t>
  </si>
  <si>
    <t>403343 Волгоградская область город Михайловка улица Обороны дом 65/3</t>
  </si>
  <si>
    <t>ООО "СЕБРЯКОВСКИЙ ЛОМБАРД"</t>
  </si>
  <si>
    <t>3437004611</t>
  </si>
  <si>
    <t>ЮЛ3404000729</t>
  </si>
  <si>
    <t>ЮЛ340400072900000</t>
  </si>
  <si>
    <t>403343 Волгоградская область город Михайловка улица Коммуны дом 166</t>
  </si>
  <si>
    <t>ООО "ЗОЛОТОЙ ЛАРЕЦ"</t>
  </si>
  <si>
    <t>3437007411</t>
  </si>
  <si>
    <t>ЮЛ3404000672</t>
  </si>
  <si>
    <t>ЮЛ340400067200000</t>
  </si>
  <si>
    <t>403343 Волгоградская область город Михайловка улица Обороны дом 65/3А</t>
  </si>
  <si>
    <t>ЮЛ340400067200001</t>
  </si>
  <si>
    <t>403310 Волгоградская область город Михайловка улица Некрасова дом28</t>
  </si>
  <si>
    <t>ИП Весов Дмитрий Дмитриевич</t>
  </si>
  <si>
    <t>343701010951</t>
  </si>
  <si>
    <t>ИП3404014801</t>
  </si>
  <si>
    <t>ИП340401480100000</t>
  </si>
  <si>
    <t>403343 Волгоградская область город Михайловка улица Энгельса дом 13а/38</t>
  </si>
  <si>
    <t>ИП Ткачева Людмила Анатольевна</t>
  </si>
  <si>
    <t>343702218688</t>
  </si>
  <si>
    <t>ИП3404012501</t>
  </si>
  <si>
    <t>ИП340401250100000</t>
  </si>
  <si>
    <t>403113 Волгоградская область город Урюпинск улица Гагарина дом 31</t>
  </si>
  <si>
    <t>ИП Рябич Ольга Николаевна</t>
  </si>
  <si>
    <t>343800001450</t>
  </si>
  <si>
    <t>ИП3404001488</t>
  </si>
  <si>
    <t>ИП340400148800000</t>
  </si>
  <si>
    <t>403113 Волгоградская область город Урюпинск улица Гагарина дом 33   торговое место 9,12,13</t>
  </si>
  <si>
    <t>ИП Федорова Татьяна Петровна</t>
  </si>
  <si>
    <t>343800095000</t>
  </si>
  <si>
    <t>ИП3404004628</t>
  </si>
  <si>
    <t>ИП340400462800000</t>
  </si>
  <si>
    <t>403113 Волгоградская область город Урюпинск улица Гагарина дом 33</t>
  </si>
  <si>
    <t>ИП Подоляка Людмила Павловна</t>
  </si>
  <si>
    <t>343800110273</t>
  </si>
  <si>
    <t>ИП3404007382</t>
  </si>
  <si>
    <t>ИП340400738200000</t>
  </si>
  <si>
    <t>403113 Волгоградская область Город Урюпинск переулок Дзержинского 6</t>
  </si>
  <si>
    <t>ИП Завялик Николай Николаевич</t>
  </si>
  <si>
    <t>343800842196</t>
  </si>
  <si>
    <t>ИП3404037814</t>
  </si>
  <si>
    <t>ИП340403781400000</t>
  </si>
  <si>
    <t>403540 Волгоградская область город Фролово улица Народная дом 27/3</t>
  </si>
  <si>
    <t>ООО КФ "ПОСУДА-ПОДАРКИ"</t>
  </si>
  <si>
    <t>3439000965</t>
  </si>
  <si>
    <t>ЮЛ3404014837</t>
  </si>
  <si>
    <t>ЮЛ340401483700000</t>
  </si>
  <si>
    <t>400010 Волгоградская область город Волгоград улица Качинцев дом 87А</t>
  </si>
  <si>
    <t>ИП Басов Дмитрий Владимирович</t>
  </si>
  <si>
    <t>344100394568</t>
  </si>
  <si>
    <t>ИП3404036668</t>
  </si>
  <si>
    <t>ИП340403666800000</t>
  </si>
  <si>
    <t>400033 Волгоградская область город Волгоград улица им. Николая Отрады дом 13</t>
  </si>
  <si>
    <t>ИП Конкрова Анжелика Эдуардовна</t>
  </si>
  <si>
    <t>344106964905</t>
  </si>
  <si>
    <t>ИП3404009554</t>
  </si>
  <si>
    <t>ИП340400955400000</t>
  </si>
  <si>
    <t>400007 Волгоградская область город Волгоград проспект Металлургов дом 11</t>
  </si>
  <si>
    <t>ЗАО "РУБИН"</t>
  </si>
  <si>
    <t>3442001013</t>
  </si>
  <si>
    <t>ЮЛ3404001180</t>
  </si>
  <si>
    <t>ЮЛ340400118000000</t>
  </si>
  <si>
    <t>400064 Волгоградская область город Волгоград улица им. маршала Еременко 74</t>
  </si>
  <si>
    <t>ИП Шамаева Людмила Васильевна</t>
  </si>
  <si>
    <t>344204677000</t>
  </si>
  <si>
    <t>ИП3404001517</t>
  </si>
  <si>
    <t>ИП340400151700000</t>
  </si>
  <si>
    <t>400006 Волгоградская область город Волгоград площадь имени  Дзержинского дом 1Б</t>
  </si>
  <si>
    <t>ИП340400151700001</t>
  </si>
  <si>
    <t>400015 Волгоградская область город Волгоград проспект им. В.И. Ленина дом 205</t>
  </si>
  <si>
    <t>ИП Рубцов Владимир Иванович</t>
  </si>
  <si>
    <t>344205746859</t>
  </si>
  <si>
    <t>ИП3404006433</t>
  </si>
  <si>
    <t>ИП340400643300000</t>
  </si>
  <si>
    <t>400123 Волгоградская область город Волгоград улица им. Германа Титова дом 36А</t>
  </si>
  <si>
    <t>ИП Шалаби Наталья Александровна</t>
  </si>
  <si>
    <t>344211559374</t>
  </si>
  <si>
    <t>ИП3404012507</t>
  </si>
  <si>
    <t>ИП340401250700000</t>
  </si>
  <si>
    <t>ИП Ковалева Наталья Юрьевна</t>
  </si>
  <si>
    <t>344300137060</t>
  </si>
  <si>
    <t>ИП3404006679</t>
  </si>
  <si>
    <t>ИП340400667900000</t>
  </si>
  <si>
    <t>400012 Волгоградская область город Волгоград улица Качинцев дом 95 нет нет нет</t>
  </si>
  <si>
    <t>ИП Гндоян Тигран Грантович</t>
  </si>
  <si>
    <t>344300513004</t>
  </si>
  <si>
    <t>ИП3404006552</t>
  </si>
  <si>
    <t>ИП340400655200002</t>
  </si>
  <si>
    <t>400000 Волгоградская область город Волгоград 64 армии 121</t>
  </si>
  <si>
    <t>ИП Шулико Андрей Евгеньевич</t>
  </si>
  <si>
    <t>344301204658</t>
  </si>
  <si>
    <t>ИП3404013516</t>
  </si>
  <si>
    <t>ИП340401351600000</t>
  </si>
  <si>
    <t>400066 Волгоградская область город Волгоград улица Мира дом 11</t>
  </si>
  <si>
    <t>ООО "ГЕММА"</t>
  </si>
  <si>
    <t>3443038560</t>
  </si>
  <si>
    <t>ЮЛ3404012205</t>
  </si>
  <si>
    <t>ЮЛ340401220500000</t>
  </si>
  <si>
    <t>400001 Волгоградская область Волгоград Профсоюзная 15 Б   20</t>
  </si>
  <si>
    <t>ИП Ляхов Константин Алексеевич</t>
  </si>
  <si>
    <t>344307140425</t>
  </si>
  <si>
    <t>ИП3404037880</t>
  </si>
  <si>
    <t>ИП340403788000000</t>
  </si>
  <si>
    <t>400001 Волгоградская область город Волгоград улица Рабоче-Крестьянская дом 9</t>
  </si>
  <si>
    <t>ИП Федунов Михаил Сергеевич</t>
  </si>
  <si>
    <t>344311825453</t>
  </si>
  <si>
    <t>ИП3404038055</t>
  </si>
  <si>
    <t>ИП340403805500000</t>
  </si>
  <si>
    <t>400066 Волгоградская область город Волгоград улица Новороссийская дом 11   офис 16</t>
  </si>
  <si>
    <t>ООО "АЛМАЗ"</t>
  </si>
  <si>
    <t>3443136616</t>
  </si>
  <si>
    <t>ЮЛ3404002090</t>
  </si>
  <si>
    <t>ЮЛ340400209000000</t>
  </si>
  <si>
    <t>400001 Волгоградская область город Волгоград улица Рабоче-Крестьянская дом 9Б</t>
  </si>
  <si>
    <t>ИП Егозарьян Грета Ашотовна</t>
  </si>
  <si>
    <t>344314177017</t>
  </si>
  <si>
    <t>ИП3404002088</t>
  </si>
  <si>
    <t>ИП340400208800000</t>
  </si>
  <si>
    <t>ИП340400208800001</t>
  </si>
  <si>
    <t>400062 Волгоградская область город Волгоград улица им. Полухина дом 2/1</t>
  </si>
  <si>
    <t>ИП Петросов Михаил Степанович</t>
  </si>
  <si>
    <t>344314977077</t>
  </si>
  <si>
    <t>ИП3404036565</t>
  </si>
  <si>
    <t>ИП340403656500000</t>
  </si>
  <si>
    <t>400137 Волгоградская область город Волгоград бульвар 30-летия Победы дом 21   помещения 116,117</t>
  </si>
  <si>
    <t>ИП Назарова Ольга Витальевна</t>
  </si>
  <si>
    <t>344400014104</t>
  </si>
  <si>
    <t>ИП3404002807</t>
  </si>
  <si>
    <t>ИП340400280700000</t>
  </si>
  <si>
    <t>400006 Волгоградская область город Волгоград площадь им. Дзержинского дом 1б</t>
  </si>
  <si>
    <t>ИП340400280700002</t>
  </si>
  <si>
    <t>400137 Волгоградская область город Волгоград бульвар 30-летия Победы дом 21   помещение 116,117</t>
  </si>
  <si>
    <t>ИП340400280700005</t>
  </si>
  <si>
    <t>400001 Волгоградская область город Волгоград улица Рабоче-Крестьянская дом 9б   помещение 1.45</t>
  </si>
  <si>
    <t>ИП340400280700006</t>
  </si>
  <si>
    <t>400066 Волгоградская область город Волгоград проспект им. В.И. Ленина дом 15</t>
  </si>
  <si>
    <t>АО "ТИЖА"</t>
  </si>
  <si>
    <t>3444043788</t>
  </si>
  <si>
    <t>ЮЛ3404000482</t>
  </si>
  <si>
    <t>ЮЛ340400048200000</t>
  </si>
  <si>
    <t>400075 Волгоградская область город Волгоград улица Краснополянская дом 5А</t>
  </si>
  <si>
    <t>ИП Иващенко Анастасия Владимировна</t>
  </si>
  <si>
    <t>344407270192</t>
  </si>
  <si>
    <t>ИП3404003198</t>
  </si>
  <si>
    <t>ИП340400319800000</t>
  </si>
  <si>
    <t>400066 Волгоградская область город Волгоград улица Коммунистическая дом 10</t>
  </si>
  <si>
    <t>ИП Жидкова Виктория Владимировна</t>
  </si>
  <si>
    <t>344408525703</t>
  </si>
  <si>
    <t>ИП3404019848</t>
  </si>
  <si>
    <t>ИП340401984800000</t>
  </si>
  <si>
    <t>400066 Волгоградская область город Волгоград улица Орловская владение 20</t>
  </si>
  <si>
    <t>ООО "ГОРОДСКОЙ ЛОМБАРД"</t>
  </si>
  <si>
    <t>3444087908</t>
  </si>
  <si>
    <t>ЮЛ3404006184</t>
  </si>
  <si>
    <t>ЮЛ340400618400000</t>
  </si>
  <si>
    <t>400033 Волгоградская область город Волгоград улица им. Менжинского владение 25а</t>
  </si>
  <si>
    <t>ЮЛ340400618400001</t>
  </si>
  <si>
    <t>400067 Волгоградская область город Волгоград улица 64-й Армии дом 81</t>
  </si>
  <si>
    <t>ЮЛ340400618400003</t>
  </si>
  <si>
    <t>400082 Волгоградская область город Волгоград улица 50 лет Октября дом 17</t>
  </si>
  <si>
    <t>ЮЛ340400618400004</t>
  </si>
  <si>
    <t>400075 Волгоградская область город Волгоград улица Краснополянская дом 46   офис 21</t>
  </si>
  <si>
    <t>ООО "ЗВЕЗДА"</t>
  </si>
  <si>
    <t>3444258952</t>
  </si>
  <si>
    <t>ЮЛ3404002014</t>
  </si>
  <si>
    <t>ЮЛ340400201400000</t>
  </si>
  <si>
    <t>400006 Волгоградская область город Волгоград улица Шурухина дом 18</t>
  </si>
  <si>
    <t>ИП Хомутецкий Андрей Иванович</t>
  </si>
  <si>
    <t>344501013724</t>
  </si>
  <si>
    <t>ИП3404000715</t>
  </si>
  <si>
    <t>ИП340400071500000</t>
  </si>
  <si>
    <t>400001 Волгоградская область город Волгоград улица Рабоче-Крестьянская дом 9б</t>
  </si>
  <si>
    <t>ИП Дорофеев Владимир Викторович</t>
  </si>
  <si>
    <t>344502842925</t>
  </si>
  <si>
    <t>ИП3404004823</t>
  </si>
  <si>
    <t>ИП340400482300000</t>
  </si>
  <si>
    <t>404105 Волгоградская область город Волжский улица Александрова дом 18а</t>
  </si>
  <si>
    <t>ИП340400482300001</t>
  </si>
  <si>
    <t>400137 Волгоградская область город Волгоград улица им. Землячки дом 110Б</t>
  </si>
  <si>
    <t>ИП340400482300002</t>
  </si>
  <si>
    <t>ЮЛ340400964300000</t>
  </si>
  <si>
    <t>ЮЛ340400964300001</t>
  </si>
  <si>
    <t>ЮЛ340400964300002</t>
  </si>
  <si>
    <t>ЮЛ340400964300003</t>
  </si>
  <si>
    <t>ЮЛ340400964300004</t>
  </si>
  <si>
    <t>400082 Волгоградская область город Волгоград улица 50 лет Октября дом 15А</t>
  </si>
  <si>
    <t>ЮЛ340400964300008</t>
  </si>
  <si>
    <t>ЮЛ340400964300011</t>
  </si>
  <si>
    <t>ЮЛ340400964300016</t>
  </si>
  <si>
    <t>ЮЛ340400964300017</t>
  </si>
  <si>
    <t>ЮЛ340400964300018</t>
  </si>
  <si>
    <t>ЮЛ340400964300019</t>
  </si>
  <si>
    <t>ЮЛ340400964300020</t>
  </si>
  <si>
    <t>400001 Волгоградская область город Волгоград улица Рабоче-Крестьянская дом 14</t>
  </si>
  <si>
    <t>АО "ЮВЕЛИРНЫЙ МАГАЗИН "АЛМАЗ"</t>
  </si>
  <si>
    <t>3445051140</t>
  </si>
  <si>
    <t>ЮЛ3404000796</t>
  </si>
  <si>
    <t>ЮЛ340400079600000</t>
  </si>
  <si>
    <t>400074 Волгоградская область город Волгоград улица Рабоче-Крестьянская дом 9б</t>
  </si>
  <si>
    <t>ИП Аветисян Наринэ Сергеевна</t>
  </si>
  <si>
    <t>344596287590</t>
  </si>
  <si>
    <t>ИП3404008578</t>
  </si>
  <si>
    <t>ИП340400857800000</t>
  </si>
  <si>
    <t>400000 Волгоградская область город Волгоград Майкопская 4</t>
  </si>
  <si>
    <t>ИП Авдонин Сергей Сергеевич</t>
  </si>
  <si>
    <t>344600237725</t>
  </si>
  <si>
    <t>ИП3404014895</t>
  </si>
  <si>
    <t>ИП340401489500000</t>
  </si>
  <si>
    <t>404171 Волгоградская область рабочий поселок Светлый Яр улица Сидорова дом 42</t>
  </si>
  <si>
    <t>ИП Рак Анжела Владимировна</t>
  </si>
  <si>
    <t>344603857332</t>
  </si>
  <si>
    <t>ИП3404012718</t>
  </si>
  <si>
    <t>ИП340401271800000</t>
  </si>
  <si>
    <t>404620 Волгоградская область город Ленинск улица Им Ленина дом 204б   помещение № 4 (часть), помещение № 6 (часть)</t>
  </si>
  <si>
    <t>ИП340401271800001</t>
  </si>
  <si>
    <t>404161 Волгоградская область город Краснослободск улица Ленина дом 144</t>
  </si>
  <si>
    <t>ИП340401271800002</t>
  </si>
  <si>
    <t>404002 Волгоградская область город Дубовка улица Московская дом 31   этаж 1, квартира 1</t>
  </si>
  <si>
    <t>ИП340401271800003</t>
  </si>
  <si>
    <t>400001 Волгоградская область Волгоград Рабоче-Крестьянская 14</t>
  </si>
  <si>
    <t>ИП Фисенко Дарья Игоревна</t>
  </si>
  <si>
    <t>344691610860</t>
  </si>
  <si>
    <t>ИП3404038752</t>
  </si>
  <si>
    <t>ИП340403875200000</t>
  </si>
  <si>
    <t>400002 Волгоградская область город Волгоград проспект Университетский дом 25</t>
  </si>
  <si>
    <t>ИП Басова Юлия Владимировна</t>
  </si>
  <si>
    <t>344745580485</t>
  </si>
  <si>
    <t>ИП3404017230</t>
  </si>
  <si>
    <t>ИП340401723000001</t>
  </si>
  <si>
    <t>400010 Волгоградская область город Волгоград улица Качинцев дом 87</t>
  </si>
  <si>
    <t>ИП340401723000002</t>
  </si>
  <si>
    <t>400051 Волгоградская область город Волгоград улица им. Копецкого дом 15</t>
  </si>
  <si>
    <t>ИП Макушин Владимир Иванович</t>
  </si>
  <si>
    <t>344800271586</t>
  </si>
  <si>
    <t>ИП3404004123</t>
  </si>
  <si>
    <t>ИП340400412300000</t>
  </si>
  <si>
    <t>400112 Волгоградская область город Волгоград проспект им. Героев Сталинграда дом 33</t>
  </si>
  <si>
    <t>ЗАО "ЮВЕЛИРНЫЙ МАГАЗИН "ИЗУМРУД"</t>
  </si>
  <si>
    <t>3448025388</t>
  </si>
  <si>
    <t>ЮЛ3404009806</t>
  </si>
  <si>
    <t>ЮЛ340400980600000</t>
  </si>
  <si>
    <t>400055 Волгоградская область город Волгоград проспект имени Героев Сталинграда дом 4 - - -</t>
  </si>
  <si>
    <t>ООО "ЛОМБАРД "АНТЕЙ ПЛЮС"</t>
  </si>
  <si>
    <t>3448030684</t>
  </si>
  <si>
    <t>ЮЛ3404000665</t>
  </si>
  <si>
    <t>ЮЛ340400066500000</t>
  </si>
  <si>
    <t>400067 Волгоградская область город Волгоград улица 64-й Армии дом 111</t>
  </si>
  <si>
    <t>3459064572</t>
  </si>
  <si>
    <t>ЮЛ3404000847</t>
  </si>
  <si>
    <t>ЮЛ340400084700001</t>
  </si>
  <si>
    <t>400067 Волгоградская область город Волгоград улица 64-й Армии дом 113</t>
  </si>
  <si>
    <t>ЮЛ340400084700002</t>
  </si>
  <si>
    <t>400082 Волгоградская область город Волгоград улица 50 лет Октября дом 4</t>
  </si>
  <si>
    <t>ЮЛ340400084700003</t>
  </si>
  <si>
    <t>ООО "ЛОМБАРД "МИР"</t>
  </si>
  <si>
    <t>3459073739</t>
  </si>
  <si>
    <t>ЮЛ3404000782</t>
  </si>
  <si>
    <t>ЮЛ340400078200007</t>
  </si>
  <si>
    <t>400062 Волгоградская область город Волгоград проспект Университетский дом 107</t>
  </si>
  <si>
    <t>ООО "ДРАГОЦЕННЫЕ ПОДАРКИ"</t>
  </si>
  <si>
    <t>3460081050</t>
  </si>
  <si>
    <t>ЮЛ3404009761</t>
  </si>
  <si>
    <t>ЮЛ340400976100003</t>
  </si>
  <si>
    <t>ЮЛ340400976100004</t>
  </si>
  <si>
    <t>400137 Волгоградская область город Волгоград улица им. Землячки дом 110Б   помещение 63</t>
  </si>
  <si>
    <t>ЮЛ340400976100005</t>
  </si>
  <si>
    <t>400137 Волгоградская область город Волгоград улица им. Землячки дом 110Б   помещение 159</t>
  </si>
  <si>
    <t>ЮЛ340400976100006</t>
  </si>
  <si>
    <t>ЮЛ340400976100007</t>
  </si>
  <si>
    <t>ООО "ЛОМБАРД ЭЛИТ"</t>
  </si>
  <si>
    <t>3460086274</t>
  </si>
  <si>
    <t>ЮЛ3404037728</t>
  </si>
  <si>
    <t>ЮЛ340403772800000</t>
  </si>
  <si>
    <t>400010 Волгоградская область город Волгоград улица Качинцев дом 89   помещение 25,26</t>
  </si>
  <si>
    <t>ИП Махарадзе Рамази Тамазиевич</t>
  </si>
  <si>
    <t>410100309576</t>
  </si>
  <si>
    <t>ИП3404001687</t>
  </si>
  <si>
    <t>ИП340400168700000</t>
  </si>
  <si>
    <t>ООО "АУРИС-ВВА"</t>
  </si>
  <si>
    <t>4704103881</t>
  </si>
  <si>
    <t>ЮЛ4703002195</t>
  </si>
  <si>
    <t>ЮЛ470300219500004</t>
  </si>
  <si>
    <t>400066 Волгоградская область город Волгоград проспект им. В.И. Ленина дом 6</t>
  </si>
  <si>
    <t>ИП500100445500003</t>
  </si>
  <si>
    <t>400137 Волгоградская область город Волгоград улица им. Землячки дом 110Б   ТРК Мармелад , TM1-73</t>
  </si>
  <si>
    <t>ИП500100445500101</t>
  </si>
  <si>
    <t>400137 Волгоградская область город Волгоград улица им. Землячки дом 110Б   помещение 140 этаж 1</t>
  </si>
  <si>
    <t>ИП520600807800016</t>
  </si>
  <si>
    <t>ЮЛ520603376600014</t>
  </si>
  <si>
    <t>400066 Волгоградская область город Волгоград бульвар 30-летия Победы дом 21</t>
  </si>
  <si>
    <t>ЮЛ520603376600079</t>
  </si>
  <si>
    <t>400137 Волгоградская область город Волгоград бульвар 30-летия Победы дом 21</t>
  </si>
  <si>
    <t>ИП520601790200059</t>
  </si>
  <si>
    <t>400051 Волгоградская область город Волгоград улица им. Копецкого владение 15</t>
  </si>
  <si>
    <t>ИП Маркова Анастасия Александровна</t>
  </si>
  <si>
    <t>532127611705</t>
  </si>
  <si>
    <t>ИП2304032164</t>
  </si>
  <si>
    <t>ИП230403216400000</t>
  </si>
  <si>
    <t>ИП230403216400001</t>
  </si>
  <si>
    <t>404462 Волгоградская область рабочий поселок Чернышковский улица Красногвардейская дом 47/2</t>
  </si>
  <si>
    <t>ИП Алешков Алексей Васильевич</t>
  </si>
  <si>
    <t>612100329797</t>
  </si>
  <si>
    <t>ИП6104008295</t>
  </si>
  <si>
    <t>ИП610400829500006</t>
  </si>
  <si>
    <t>403003 Волгоградская область рабочий поселок Городище улица Павших Борцов дом 6А</t>
  </si>
  <si>
    <t>ИП Иванов Валерий Николаевич</t>
  </si>
  <si>
    <t>613100049368</t>
  </si>
  <si>
    <t>ИП3404009636</t>
  </si>
  <si>
    <t>ИП340400963600000</t>
  </si>
  <si>
    <t>400067 Волгоградская область город Волгоград улица 64-й Армии дом 113 2</t>
  </si>
  <si>
    <t>ИП Оганесян Кристина Владимировна</t>
  </si>
  <si>
    <t>613100258160</t>
  </si>
  <si>
    <t>ИП3404033371</t>
  </si>
  <si>
    <t>ИП340403337100000</t>
  </si>
  <si>
    <t>400002 Волгоградская область город Волгоград улица Казахская дом 21 корпус 2</t>
  </si>
  <si>
    <t>ИП340403337100001</t>
  </si>
  <si>
    <t>403003 Волгоградская область рабочий поселок Городище площадь Павших Борцов здание 9</t>
  </si>
  <si>
    <t>ИП340403337100002</t>
  </si>
  <si>
    <t>400120 Волгоградская область город Волгоград улица Елецкая дом 12а</t>
  </si>
  <si>
    <t>ИП Бутрименко Владимир Николаевич</t>
  </si>
  <si>
    <t>613100405577</t>
  </si>
  <si>
    <t>ИП3404033351</t>
  </si>
  <si>
    <t>ИП340403335100000</t>
  </si>
  <si>
    <t>400055 Волгоградская область город Волгоград проспект им. Героев Сталинграда дом 10</t>
  </si>
  <si>
    <t>ИП340403335100003</t>
  </si>
  <si>
    <t>400105 Волгоградская область город Волгоград улица им. маршала Еременко дом 100</t>
  </si>
  <si>
    <t>ИП Бутрименко Елена Анатольевна</t>
  </si>
  <si>
    <t>613100405640</t>
  </si>
  <si>
    <t>ИП3404033250</t>
  </si>
  <si>
    <t>ИП340403325000000</t>
  </si>
  <si>
    <t>400006 Волгоградская область город Волгоград улица им. Шурухина дом 18</t>
  </si>
  <si>
    <t>ИП340403325000001</t>
  </si>
  <si>
    <t>400031 Волгоградская область город Волгоград проспект Канатчиков дом 15</t>
  </si>
  <si>
    <t>ИП340403325000002</t>
  </si>
  <si>
    <t>403113 Волгоградская область город Урюпинск проспект Ленина дом 80   собственность</t>
  </si>
  <si>
    <t>ИП Могилевский Игорь Анатольевич</t>
  </si>
  <si>
    <t>614208909807</t>
  </si>
  <si>
    <t>ИП3404009783</t>
  </si>
  <si>
    <t>ИП340400978300000</t>
  </si>
  <si>
    <t>400137 Волгоградская область город Волгоград улица им. Землячки дом 110Б   нежилое помещение 34</t>
  </si>
  <si>
    <t>ИП630601425400026</t>
  </si>
  <si>
    <t>ИП630601425400068</t>
  </si>
  <si>
    <t>ИП630601425400079</t>
  </si>
  <si>
    <t>400001 Волгоградская область город Волгоград улица Рабоче-Крестьянская дом 9б   12</t>
  </si>
  <si>
    <t>ИП630601425400089</t>
  </si>
  <si>
    <t>ООО "ЛОМБАРД ПИОНЕР"</t>
  </si>
  <si>
    <t>6320052778</t>
  </si>
  <si>
    <t>ЮЛ6306033736</t>
  </si>
  <si>
    <t>ЮЛ630603373600054</t>
  </si>
  <si>
    <t>403873 Волгоградская область город Камышин улица Пролетарская дом 109</t>
  </si>
  <si>
    <t>ЮЛ630603373600056</t>
  </si>
  <si>
    <t>403874 Волгоградская область город Камышин улица Ленина дом 22   помещение 19</t>
  </si>
  <si>
    <t>ЮЛ630603373600078</t>
  </si>
  <si>
    <t>404111 Волгоградская область город Волжский улица Энгельса дом 27 литер I</t>
  </si>
  <si>
    <t>ИП Кириченко Александр Львович</t>
  </si>
  <si>
    <t>770105807035</t>
  </si>
  <si>
    <t>ИП3404000750</t>
  </si>
  <si>
    <t>ИП340400075000000</t>
  </si>
  <si>
    <t>404030 Волгоградская область город Николаевск улица Чайковского дом 19А</t>
  </si>
  <si>
    <t>ИП340400075000001</t>
  </si>
  <si>
    <t>400066 Волгоградская область город Волгоград улица Комсомольская дом 8</t>
  </si>
  <si>
    <t>ИП340400075000002</t>
  </si>
  <si>
    <t>400059 Волгоградская область город Волгоград улица 64-й Армии дом 8   помещение 1007</t>
  </si>
  <si>
    <t>ЮЛ770100201500525</t>
  </si>
  <si>
    <t>400117 Волгоградская область город Волгоград улица 8-й Воздушной Армии дом 48</t>
  </si>
  <si>
    <t>ЮЛ770100201500526</t>
  </si>
  <si>
    <t>400059 Волгоградская область город Волгоград улица 64-й Армии дом 6</t>
  </si>
  <si>
    <t>ЮЛ770100201500530</t>
  </si>
  <si>
    <t>400026 Волгоградская область город Волгоград проспект Героев Сталинграда дом 52</t>
  </si>
  <si>
    <t>ЮЛ770100201500531</t>
  </si>
  <si>
    <t>ЮЛ770100201500532</t>
  </si>
  <si>
    <t>400010 Волгоградская область город Волгоград улица Качинцев дом 89</t>
  </si>
  <si>
    <t>ЮЛ770100201500533</t>
  </si>
  <si>
    <t>404120 Волгоградская область город Волжский проспект Ленина дом 123а</t>
  </si>
  <si>
    <t>ЮЛ770100201500534</t>
  </si>
  <si>
    <t>400010 Волгоградская область город Волгоград улица Качинцев дом 87а</t>
  </si>
  <si>
    <t>ЮЛ770100201500536</t>
  </si>
  <si>
    <t>ЮЛ770100201500537</t>
  </si>
  <si>
    <t>400006 Волгоградская область город Волгоград улица имени Шурухина дом 18</t>
  </si>
  <si>
    <t>ЮЛ770100201500539</t>
  </si>
  <si>
    <t>404126 Волгоградская область город Волжский улица Мира дом 33</t>
  </si>
  <si>
    <t>ЮЛ770100201500540</t>
  </si>
  <si>
    <t>400075 Волгоградская область город Волгоград улица Краснополянская дом 48   помещение 1, 1 этаж</t>
  </si>
  <si>
    <t>ЮЛ770100201500541</t>
  </si>
  <si>
    <t>ЮЛ770100201500543</t>
  </si>
  <si>
    <t>400123 Волгоградская область город Волгоград улица имени Маршала Еременко дом 130</t>
  </si>
  <si>
    <t>ЮЛ770100201500544</t>
  </si>
  <si>
    <t>403538 Волгоградская область город Фролово улица Фроловская дом 9</t>
  </si>
  <si>
    <t>ЮЛ770100201500582</t>
  </si>
  <si>
    <t>400055 Волгоградская область город Волгоград проспект Канатчиков дом 19</t>
  </si>
  <si>
    <t>ЮЛ770100201500695</t>
  </si>
  <si>
    <t>400033 Волгоградская область город Волгоград улица имени Николая Отрады владение 1а</t>
  </si>
  <si>
    <t>ЮЛ770100201500696</t>
  </si>
  <si>
    <t>ЮЛ770100201500810</t>
  </si>
  <si>
    <t>400062 Волгоградская область город Волгоград проспект Университетский дом 107   помещения 358,359, этаж 1</t>
  </si>
  <si>
    <t>ЮЛ770101216600137</t>
  </si>
  <si>
    <t>404102 Волгоградская область город Волжский бульвар Профсоюзов дом 1Б   часть нежилого помещения  12, этаж 1</t>
  </si>
  <si>
    <t>ЮЛ770101216600198</t>
  </si>
  <si>
    <t>404105 Волгоградская область город Волжский улица Александрова дом 18а   этаж 1, помещение 1-89</t>
  </si>
  <si>
    <t>ЮЛ770101216600353</t>
  </si>
  <si>
    <t>400059 Волгоградская область город Волгоград улица им. Курчатова дом 3   этаж 1</t>
  </si>
  <si>
    <t>ЮЛ770101216600436</t>
  </si>
  <si>
    <t>400082 Волгоградская область город Волгоград улица 50 лет Октября дом 15а   этаж 1, нежилое помещение № 6а</t>
  </si>
  <si>
    <t>ЮЛ770101216600473</t>
  </si>
  <si>
    <t>400005 Волгоградская область город Волгоград проспект им. В.И. Ленина дом 54б   этаж 1, часть нежилого помещения №1.79</t>
  </si>
  <si>
    <t>ЮЛ770101216600519</t>
  </si>
  <si>
    <t>400006 Волгоградская область город Волгоград площадь им. Дзержинского дом 1б   этаж 1, сектор А42, А59, А60, помещения 125, 126, 127</t>
  </si>
  <si>
    <t>ЮЛ770101216600563</t>
  </si>
  <si>
    <t>403877 Волгоградская область город Камышин микрорайон 4-й здание 12/1   этаж 1</t>
  </si>
  <si>
    <t>ЮЛ770101216600647</t>
  </si>
  <si>
    <t>400075 Волгоградская область город Волгоград улица Историческая дом 175   1 этаж, пом В105</t>
  </si>
  <si>
    <t>ЮЛ770101216600713</t>
  </si>
  <si>
    <t>400137 Волгоградская область город Волгоград бульвар 30-летия Победы дом 21   цоколь, пом 186</t>
  </si>
  <si>
    <t>ЮЛ770101216600720</t>
  </si>
  <si>
    <t>400075 Волгоградская область город Волгоград улица Историческая дом 154   этаж 1, часть нежилого помещения № 25</t>
  </si>
  <si>
    <t>ЮЛ770101216600732</t>
  </si>
  <si>
    <t>403113 Волгоградская область город Урюпинск улица Штеменко дом 1а/4   1 этаж, нежилое помещение</t>
  </si>
  <si>
    <t>ЮЛ770101216600751</t>
  </si>
  <si>
    <t>403342 Волгоградская область город Михайловка улица 2 Краснознаменская дом 49   1 этаж, нежилое помещение</t>
  </si>
  <si>
    <t>ЮЛ770101216600770</t>
  </si>
  <si>
    <t>400112 Волгоградская область город Волгоград улица Пролетарская дом 8   1 этаж, помещение</t>
  </si>
  <si>
    <t>ЮЛ770101216600781</t>
  </si>
  <si>
    <t>400066 Волгоградская область город Волгоград проспект им. В.И. Ленина дом 2   1 этаж, антресольный, часть нежилого помещения</t>
  </si>
  <si>
    <t>ЮЛ770101216600842</t>
  </si>
  <si>
    <t>400026 Волгоградская область город Волгоград бульвар им. Энгельса дом 20   этаж 1, нежилое помещение № б/н</t>
  </si>
  <si>
    <t>ЮЛ770101216600924</t>
  </si>
  <si>
    <t>404111 Волгоградская область город Волжский проспект им Ленина дом 84А   этаж 1</t>
  </si>
  <si>
    <t>ЮЛ770101216600947</t>
  </si>
  <si>
    <t>400005 Волгоградская область город Волгоград проспект им. В.И. Ленина дом 54б   этаж 1, нежилое помещение № 154</t>
  </si>
  <si>
    <t>ЮЛ770101216600966</t>
  </si>
  <si>
    <t>400066 Волгоградская область город Волгоград улица Краснознаменская дом 9   этаж 1, часть нежилого помещения № 3</t>
  </si>
  <si>
    <t>ЮЛ770101216600972</t>
  </si>
  <si>
    <t>404102 Волгоградская область город Волжский бульвар Профсоюзов дом 16   часть нежилого помещения площадью 6 кв.м. в нежилом помещении</t>
  </si>
  <si>
    <t>ООО "ПАРТНЁР ЛАЙН"</t>
  </si>
  <si>
    <t>7716954064</t>
  </si>
  <si>
    <t>ЮЛ7701031644</t>
  </si>
  <si>
    <t>ЮЛ770103164400001</t>
  </si>
  <si>
    <t>400137 Волгоградская область город Волгоград улица им. Землячки дом 110Б   часть нежилых помещений №52 и 52/2, 1 этаж</t>
  </si>
  <si>
    <t>ЮЛ770103164400003</t>
  </si>
  <si>
    <t>400001 Волгоградская область город Волгоград улица Рабоче-Крестьянская дом 9б   часть помещения 1.63/1, 1 этаж</t>
  </si>
  <si>
    <t>ЮЛ770103164400004</t>
  </si>
  <si>
    <t>400066 Волгоградская область город Волгоград улица Комсомольская дом 10г   часть Здания и Помещения</t>
  </si>
  <si>
    <t>ЮЛ770103164400006</t>
  </si>
  <si>
    <t>404131 Волгоградская область город Волжский улица Мира Дом 71 2 этаж  часть нежилого помещения</t>
  </si>
  <si>
    <t>ЮЛ770103164400007</t>
  </si>
  <si>
    <t>404111 Волгоградская область город Волжский проспект им Ленина дом 91   нежилое помещение</t>
  </si>
  <si>
    <t>ЮЛ770103164400008</t>
  </si>
  <si>
    <t>404110 Волгоградская область город Волжский проспект им Ленина дом 50   часть нежилого помещения</t>
  </si>
  <si>
    <t>ЮЛ770103164400009</t>
  </si>
  <si>
    <t>400010 Волгоградская область город Волгоград улица Качинцев дом 87а   часть нежилого помещения</t>
  </si>
  <si>
    <t>ЮЛ770103164400010</t>
  </si>
  <si>
    <t>404131 Волгоградская область город Волжский улица Мира дом 77   часть нежилого помещения</t>
  </si>
  <si>
    <t>ЮЛ770103164400011</t>
  </si>
  <si>
    <t>400006 Волгоградская область город Волгоград улица им. Шурухина дом 18   часть нежилого помещения</t>
  </si>
  <si>
    <t>ЮЛ770103164400012</t>
  </si>
  <si>
    <t>400105 Волгоградская область город Волгоград улица им. генерала Штеменко дом 44   6 кв.м. нежилого помещения</t>
  </si>
  <si>
    <t>ЮЛ770103164400013</t>
  </si>
  <si>
    <t>404120 Волгоградская область город Волжский проспект им Ленина дом 123а   на 1 этаже часть нежилого помещения</t>
  </si>
  <si>
    <t>ЮЛ770103164400014</t>
  </si>
  <si>
    <t>400123 Волгоградская область город Волгоград улица им. Германа Титова дом 43б   в торговом павильоне 6 кв.м.</t>
  </si>
  <si>
    <t>ЮЛ770103164400015</t>
  </si>
  <si>
    <t>400040 Волгоградская область город Волгоград проспект Металлургов здание 35</t>
  </si>
  <si>
    <t>ЮЛ770103164400016</t>
  </si>
  <si>
    <t>404125 Волгоградская область город Волжский улица Пионерская дом 38б  Литера "А" часть остановочного комплекса площадью 6 кв.м. в Здании: 1-Торговый павильон литера "А", этажность -1</t>
  </si>
  <si>
    <t>ЮЛ770103164400017</t>
  </si>
  <si>
    <t>404118 Волгоградская область город Волжский улица Мира дом 113б   часть нежилого помещения в встроенно-пристроенном здании (торговом центре)</t>
  </si>
  <si>
    <t>ЮЛ770103164400018</t>
  </si>
  <si>
    <t>403874 Волгоградская область город Камышин улица Ленина дом 23   6 кв.м. в нежилом помещении</t>
  </si>
  <si>
    <t>ЮЛ770103164400019</t>
  </si>
  <si>
    <t>400050 Волгоградская область город Волгоград улица им. Ткачева здание 16б   часть нежилого помещения 6 кв.м. на 1 этаже здания</t>
  </si>
  <si>
    <t>ЮЛ770103164400020</t>
  </si>
  <si>
    <t>404143 Волгоградская область рабочий поселок Средняя Ахтуба улица Октябрьская здание 75И   часть нежилого помещения площадью 6 кв.м.</t>
  </si>
  <si>
    <t>ЮЛ770103164400021</t>
  </si>
  <si>
    <t>404126 Волгоградская область город Волжский улица Мира дом 33   часть нежилого помещения 6 кв.м. (подвал)</t>
  </si>
  <si>
    <t>ЮЛ770103164400022</t>
  </si>
  <si>
    <t>400006 Волгоградская область город Волгоград улица им. Шурухина дом 18   часть нежилого помещения 6 кв.м. во встроенном нежилом помещении, помещение №4</t>
  </si>
  <si>
    <t>ЮЛ770103164400023</t>
  </si>
  <si>
    <t>404122 Волгоградская область город Волжский улица Горького дом 25а   часть здания магазина площадью 6 кв.м.</t>
  </si>
  <si>
    <t>ЮЛ770103164400024</t>
  </si>
  <si>
    <t>400001 Волгоградская область город Волгоград улица Рабоче-Крестьянская дом 9   6,0 кв.м. в нежилом помещении</t>
  </si>
  <si>
    <t>ЮЛ770103164400025</t>
  </si>
  <si>
    <t>400120 Волгоградская область город Волгоград улица Елецкая дом 12а   6,0 кв.м. в нежилом помещении</t>
  </si>
  <si>
    <t>ЮЛ770103164400026</t>
  </si>
  <si>
    <t>404161 Волгоградская область город Краснослободск улица Ленина дом 146   6 кв.м. в нежилом помещении</t>
  </si>
  <si>
    <t>ЮЛ770103164400027</t>
  </si>
  <si>
    <t>400055 Волгоградская область город Волгоград проспект Канатчиков дом 19   6,0 кв.м. в нежилом помещении</t>
  </si>
  <si>
    <t>ЮЛ770103164400028</t>
  </si>
  <si>
    <t>400067 Волгоградская область город Волгоград улица 64-й Армии дом 113   часть нежилого помещения площадью 6,0 кв.м. в нежилом здании</t>
  </si>
  <si>
    <t>ЮЛ770103164400029</t>
  </si>
  <si>
    <t>400117 Волгоградская область город Волгоград улица 8-й Воздушной Армии дом 48   6,0 кв.м. в нежилом помещении ХVI</t>
  </si>
  <si>
    <t>ЮЛ770103164400030</t>
  </si>
  <si>
    <t>400005 Волгоградская область город Волгоград проспект им. В.И. Ленина дом 43   6 кв.м. в нежилом помещении, часть помещения №1 на 1-м этаже</t>
  </si>
  <si>
    <t>ЮЛ770103164400031</t>
  </si>
  <si>
    <t>400059 Волгоградская область город Волгоград улица 64-й Армии дом 6   6 кв.м. в нежилом помещении</t>
  </si>
  <si>
    <t>ЮЛ770103164400032</t>
  </si>
  <si>
    <t>400075 Волгоградская область город Волгоград улица Краснополянская дом 1   6,0 кв.м. в нежилом помещении</t>
  </si>
  <si>
    <t>ЮЛ770103164400033</t>
  </si>
  <si>
    <t>400107 Волгоградская область город Волгоград проспект им. Маршала Советского Союза Г.К. Жукова здание 115а   6 кв.м. в нежилом помещении, расположенном на 1 этаже здания</t>
  </si>
  <si>
    <t>ЮЛ770103164400034</t>
  </si>
  <si>
    <t>400026 Волгоградская область город Волгоград проспект им. Героев Сталинграда дом 50   6,0 кв.м. в нежилом помещении, расположенном на 1 этаже Здания</t>
  </si>
  <si>
    <t>ЮЛ770103164400035</t>
  </si>
  <si>
    <t>400051 Волгоградская область город Волгоград улица 40 лет ВЛКСМ дом 10   6,0 кв.м. в нежилом помещении</t>
  </si>
  <si>
    <t>ЮЛ770103164400037</t>
  </si>
  <si>
    <t>400033 Волгоградская область город Волгоград улица им. Менжинского владение 11</t>
  </si>
  <si>
    <t>ЮЛ770103164400042</t>
  </si>
  <si>
    <t>404130 Волгоградская область город Волжский проспект им Ленина дом 44   1 этаж, помещение № 102 (часть нежилого помещения общей площадью 6 (шесть) кв.м.)</t>
  </si>
  <si>
    <t>ЮЛ770103164400045</t>
  </si>
  <si>
    <t>400002 Волгоградская область город Волгоград проспект Университетский дом 25   часть нежилого помещения площадью 6 кв.м.</t>
  </si>
  <si>
    <t>ЮЛ770103164400048</t>
  </si>
  <si>
    <t>403874 Волгоградская область город Камышин улица Ленина дом 22   помещение 35,  часть встроенного нежилого помещения общей площадью 6,0 (шесть) квадратных метров, расположенного на 1 этаже здания</t>
  </si>
  <si>
    <t>ЮЛ770103164400051</t>
  </si>
  <si>
    <t>ЮЛ770103164400053</t>
  </si>
  <si>
    <t>403873 Волгоградская область город Камышин улица Пролетарская дом 99</t>
  </si>
  <si>
    <t>ЮЛ770103164400054</t>
  </si>
  <si>
    <t>404105 Волгоградская область город Волжский улица Александрова дом 18а   часть нежилого помещения №1-117/3 площадью 6 кв.м. на первом этаже Комплекса</t>
  </si>
  <si>
    <t>ЮЛ770103164400055</t>
  </si>
  <si>
    <t>404503 Волгоградская область город Калач-на-Дону улица Чекмарева дом 8   помещение 8 (часть нежилого помещения, расположенного на первом этаже двухэтажного дома)</t>
  </si>
  <si>
    <t>ЮЛ770103164400056</t>
  </si>
  <si>
    <t>403003 Волгоградская область рабочий поселок Городище площадь 40 лет Сталинградской битвы дом 7   часть встроенного нежилого помещения на 1 этаже</t>
  </si>
  <si>
    <t>ЮЛ770103164400065</t>
  </si>
  <si>
    <t>ЮЛ770103164400069</t>
  </si>
  <si>
    <t>ЮЛ770100419400102</t>
  </si>
  <si>
    <t>404105 Волгоградская область город Волжский улица Александрова дом 18а   1 (первый) этаж, помещения 1-75, 1-77</t>
  </si>
  <si>
    <t>ЮЛ770100193500111</t>
  </si>
  <si>
    <t>400137 Волгоградская область город Волгоград улица имени Землячки дом 110 б   помещения 147,147/1,147/2, первый этаж</t>
  </si>
  <si>
    <t>ЮЛ770100193500112</t>
  </si>
  <si>
    <t>403873 Волгоградская область город Камышин улица Пролетарская дом 103г   1 (первый) этаж, часть помещения 1</t>
  </si>
  <si>
    <t>ЮЛ770100193500114</t>
  </si>
  <si>
    <t>400006 Волгоградская область город Волгоград площадь имени Дзержинского дом 1 корпус Б  помещения А14, А15</t>
  </si>
  <si>
    <t>ЮЛ770100193500124</t>
  </si>
  <si>
    <t>400001 Волгоградская область город Волгоград улица Рабоче-Крестьянская дом 9б   помещение 1.16, 1 этаж</t>
  </si>
  <si>
    <t>ЮЛ770100193500125</t>
  </si>
  <si>
    <t>400062 Волгоградская область город Волгоград проспект Университетский дом 107   помещение А1.53</t>
  </si>
  <si>
    <t>ЮЛ770100193500126</t>
  </si>
  <si>
    <t>400082 Волгоградская область город Волгоград улица 50 лет Октября дом 15а   первый этаж</t>
  </si>
  <si>
    <t>ЮЛ770100193500127</t>
  </si>
  <si>
    <t>ЮЛ770100193500711</t>
  </si>
  <si>
    <t>ЮЛ770100193500712</t>
  </si>
  <si>
    <t>404102 Волгоградская область город Волжский бульвар Профсоюзов дом 1б   помещение 34, помещение № 5, этаж 1 (первый)</t>
  </si>
  <si>
    <t>ЮЛ770100193500760</t>
  </si>
  <si>
    <t>403343 Волгоградская область город Михайловка улица Обороны дом 44   этаж 1 (первый)</t>
  </si>
  <si>
    <t>ЮЛ770100193500871</t>
  </si>
  <si>
    <t>404120 Волгоградская область город Волжский проспект имени Ленина дом 123а</t>
  </si>
  <si>
    <t>ЮЛ770100193500900</t>
  </si>
  <si>
    <t>ЮЛ770100193500901</t>
  </si>
  <si>
    <t>ЮЛ770100193500910</t>
  </si>
  <si>
    <t>ЮЛ770100193500911</t>
  </si>
  <si>
    <t>400075 Волгоградская область город Волгоград улица Краснополянская дом 48   часть нежилого помещения № 1, этаж 1 (первый)</t>
  </si>
  <si>
    <t>ЮЛ770100193500912</t>
  </si>
  <si>
    <t>ЮЛ770100193500917</t>
  </si>
  <si>
    <t>404110 Волгоградская область город Волжский проспект Ленина дом 56а</t>
  </si>
  <si>
    <t>ЮЛ770100193500919</t>
  </si>
  <si>
    <t>400038 Волгоградская область город Волгоград, рабочий поселок Горьковский улица Валентины Терешковой дом 6</t>
  </si>
  <si>
    <t>ЮЛ770100193500926</t>
  </si>
  <si>
    <t>400051 Волгоградская область город Волгоград улица 40 лет ВЛКСМ дом 10</t>
  </si>
  <si>
    <t>ЮЛ770100193500932</t>
  </si>
  <si>
    <t>ЮЛ770100193500938</t>
  </si>
  <si>
    <t>ЮЛ770100193500942</t>
  </si>
  <si>
    <t>403538 Волгоградская область город Фролово улица Фроловская д 9</t>
  </si>
  <si>
    <t>ЮЛ770100193500951</t>
  </si>
  <si>
    <t>ЮЛ770100193500955</t>
  </si>
  <si>
    <t>ЮЛ770100193500958</t>
  </si>
  <si>
    <t>404102 Волгоградская область город Волжский бульвар Профсоюзов дом 16</t>
  </si>
  <si>
    <t>ЮЛ770100193500962</t>
  </si>
  <si>
    <t>ЮЛ770100193500971</t>
  </si>
  <si>
    <t>400120 Волгоградская область город Волгоград улица Елецкая дом 8/1</t>
  </si>
  <si>
    <t>ЮЛ770100193500973</t>
  </si>
  <si>
    <t>404131 Волгоградская область город Волжский улица Мира дом 77</t>
  </si>
  <si>
    <t>ЮЛ770100193500983</t>
  </si>
  <si>
    <t>404143 Волгоградская область рабочий поселок Средняя Ахтуба улица Октябрьская дом 70</t>
  </si>
  <si>
    <t>ЮЛ770100193500984</t>
  </si>
  <si>
    <t>400123 Волгоградская область город Волгоград улица имени маршала Еременко дом 130</t>
  </si>
  <si>
    <t>ЮЛ770100193500994</t>
  </si>
  <si>
    <t>404415 Волгоградская область город Суровикино улица Ленина дом 70</t>
  </si>
  <si>
    <t>ЮЛ770100193500998</t>
  </si>
  <si>
    <t>400033 Волгоградская область город Волгоград улица им. Николая Отрады владение 1а</t>
  </si>
  <si>
    <t>ЮЛ770100193501031</t>
  </si>
  <si>
    <t>ЮЛ770100193501081</t>
  </si>
  <si>
    <t>400067 Волгоградская область город Волгоград улица 64-й Армии дом 28</t>
  </si>
  <si>
    <t>ЮЛ770100193501086</t>
  </si>
  <si>
    <t>403343 Волгоградская область город Михайловка улица Обороны дом № 55</t>
  </si>
  <si>
    <t>ЮЛ780300131300056</t>
  </si>
  <si>
    <t>ЮЛ780300131300059</t>
  </si>
  <si>
    <t>403805 Волгоградская область город Котово улица Победы дом №2</t>
  </si>
  <si>
    <t>ЮЛ780300131300552</t>
  </si>
  <si>
    <t>400075 Волгоградская область город Волгоград улица Краснополянская дом 50   часть нежилого помещения, состоящее из комнат № 1, 2, 3, 4</t>
  </si>
  <si>
    <t>ЮЛ780300131300580</t>
  </si>
  <si>
    <t>403540 Волгоградская область город Фролово улица Фроловская дом 8А   часть Торгового павильона</t>
  </si>
  <si>
    <t>ЮЛ780300131300588</t>
  </si>
  <si>
    <t>403113 Волгоградская область город Урюпинск улица Штеменко дом 1а/4   помещения 8, 9</t>
  </si>
  <si>
    <t>ЮЛ780300328000053</t>
  </si>
  <si>
    <t>400075 Волгоградская область город Волгоград улица Краснополянская дом 50</t>
  </si>
  <si>
    <t>ЮЛ780300328000246</t>
  </si>
  <si>
    <t>403805 Волгоградская область город Котово улица Победы дом № 2</t>
  </si>
  <si>
    <t>ООО "ЗОЛОТОЙ ЛОМБАРД"</t>
  </si>
  <si>
    <t>7807361488</t>
  </si>
  <si>
    <t>ЮЛ7803003318</t>
  </si>
  <si>
    <t>ЮЛ780300331800026</t>
  </si>
  <si>
    <t>403538 Волгоградская область город Фролово улица Фроловская дом 8А</t>
  </si>
  <si>
    <t>ЮЛ780300331800123</t>
  </si>
  <si>
    <t>400137 Волгоградская область город Волгоград улица им. Землячки дом 110Б   помещение 29</t>
  </si>
  <si>
    <t>ИП Хоменко Маргарита Геннадьевна</t>
  </si>
  <si>
    <t>781138549973</t>
  </si>
  <si>
    <t>ИП7803032592</t>
  </si>
  <si>
    <t>ИП780303259200000</t>
  </si>
  <si>
    <t>400137 Волгоградская область город Волгоград улица им. Землячки дом 110Б   часть помещения 140</t>
  </si>
  <si>
    <t>ИП780303259200001</t>
  </si>
  <si>
    <t>400123 Волгоградская область город Волгоград улица им. маршала Еременко дом 130</t>
  </si>
  <si>
    <t>ЮЛ780300323500078</t>
  </si>
  <si>
    <t>400002 Волгоградская область город Волгоград проспект Университетский дом 25   помещения 1, 2, 3, 4, 5</t>
  </si>
  <si>
    <t>ЮЛ780300323500079</t>
  </si>
  <si>
    <t>404105 Волгоградская область город Волжский улица Александрова дом 18А</t>
  </si>
  <si>
    <t>ЮЛ780300308200247</t>
  </si>
  <si>
    <t>ЮЛ780300308200319</t>
  </si>
  <si>
    <t>400082 Волгоградская область город Волгоград улица 50 лет Октября дом 15а</t>
  </si>
  <si>
    <t>ЮЛ780300308200514</t>
  </si>
  <si>
    <t>400112 Волгоградская область город Волгоград проспект им. Героев Сталинграда дом 35</t>
  </si>
  <si>
    <t>ЮЛ780300308200515</t>
  </si>
  <si>
    <t>400055 Волгоградская область город Волгоград проспект Канатчиков дом 19а</t>
  </si>
  <si>
    <t>ЮЛ780300308200516</t>
  </si>
  <si>
    <t>400033 Волгоградская область город Волгоград улица им. Менжинского владение 11а</t>
  </si>
  <si>
    <t>ЮЛ780300308200517</t>
  </si>
  <si>
    <t>404130 Волгоградская область город Волжский проспект им Ленина дом 84а</t>
  </si>
  <si>
    <t>ЮЛ780300308200518</t>
  </si>
  <si>
    <t>403805 Волгоградская область город Котово улица Победы дом 2</t>
  </si>
  <si>
    <t>ЮЛ780300308200528</t>
  </si>
  <si>
    <t>403113 Волгоградская область город Урюпинск улица Штеменко дом 1а/4   помещения 8,9</t>
  </si>
  <si>
    <t>ЮЛ780300308200542</t>
  </si>
  <si>
    <t>403538 Волгоградская область город Фролово улица Фроловская дом 8а</t>
  </si>
  <si>
    <t>ЮЛ780300308200544</t>
  </si>
  <si>
    <t>400001 Волгоградская область город Волгоград улица Рабоче-Крестьянская дом 9/4   помещение 1</t>
  </si>
  <si>
    <t>ЮЛ780300308200582</t>
  </si>
  <si>
    <t>400062 Волгоградская область город Волгоград проспект Университетский дом 107   комната 143 и часть комнаты 144</t>
  </si>
  <si>
    <t>ЮЛ780300308200645</t>
  </si>
  <si>
    <t>ЮЛ780300308200743</t>
  </si>
  <si>
    <t>400010 Волгоградская область город Волгоград улица Качинцев дом 91  Литер "А" часть нежилого здания (Литер "А", инв. №012077)</t>
  </si>
  <si>
    <t>ЮЛ780300308200748</t>
  </si>
  <si>
    <t>403873 Волгоградская область город Камышин улица Пролетарская дом 101/3</t>
  </si>
  <si>
    <t>ЮЛ780300308200854</t>
  </si>
  <si>
    <t>403874 Волгоградская область город Камышин улица Ленина дом 14   помещение 94</t>
  </si>
  <si>
    <t>ЮЛ780300308200864</t>
  </si>
  <si>
    <t>404105 Волгоградская область город Волжский улица Мира дом 62</t>
  </si>
  <si>
    <t>ЮЛ780300308200991</t>
  </si>
  <si>
    <t>403343 Волгоградская область город Михайловка улица Обороны дом 55</t>
  </si>
  <si>
    <t>ЮЛ780300308201001</t>
  </si>
  <si>
    <t>400123 Волгоградская область город Волгоград улица им. маршала Еременко дом 130   часть нежилого помещения №№6,7,8,9</t>
  </si>
  <si>
    <t>ЮЛ780300308201052</t>
  </si>
  <si>
    <t>400137 Волгоградская область город Волгоград улица им. Землячки дом 110б   нежилое помещение №52</t>
  </si>
  <si>
    <t>ЮЛ780300308201091</t>
  </si>
  <si>
    <t>400006 Волгоградская область город Волгоград улица им. Дзержинского дом 1б   нежилые помещения №№90,91,92,93,94,95,96,97</t>
  </si>
  <si>
    <t>ЮЛ780300308201132</t>
  </si>
  <si>
    <t>404105 Волгоградская область город Волжский улица Александрова строение 18а   1-71</t>
  </si>
  <si>
    <t>ЮЛ780300308201159</t>
  </si>
  <si>
    <t>ЮЛ780300308201198</t>
  </si>
  <si>
    <t>400038 Волгоградская область город Волгоград, р.п. Горьковский улица им. Валентины Терешковой дом 6</t>
  </si>
  <si>
    <t>ЮЛ780300308201204</t>
  </si>
  <si>
    <t>ЮЛ780300363500080</t>
  </si>
  <si>
    <t>ЮЛ780300363500081</t>
  </si>
  <si>
    <t>400001 Волгоградская область город Волгоград улица Рабоче-Крестьянская дом 9б   помещение № 1.62</t>
  </si>
  <si>
    <t>ЮЛ780301261200023</t>
  </si>
  <si>
    <t>400062 Волгоградская область город Волгоград проспект Университетский дом 107   помещение 30, 38</t>
  </si>
  <si>
    <t>ЮЛ780301261200039</t>
  </si>
  <si>
    <t>400137 Волгоградская область город Волгоград улица им. Землячки дом 110Б   помещение 146</t>
  </si>
  <si>
    <t>ЮЛ780301261200041</t>
  </si>
  <si>
    <t>404105 Волгоградская область город Волжский улица Александрова дом 18А   1 этаж Комплекса №1-85</t>
  </si>
  <si>
    <t>ЮЛ770100439200018</t>
  </si>
  <si>
    <t>400137 Волгоградская область город Волгоград улица им. Землячки дом 110Б   помещение №25 1 этаж</t>
  </si>
  <si>
    <t>ЮЛ770100439200019</t>
  </si>
  <si>
    <t>400137 Волгоградская область город Волгоград бульвар 30-летия Победы дом 21   Цокольный этаж, часть помещения 172</t>
  </si>
  <si>
    <t>ЮЛ770100439200020</t>
  </si>
  <si>
    <t>400001 Волгоградская область город Волгоград улица КИМ дом 16   нежилое помещение №1007 лит. А на 1-ом этаже</t>
  </si>
  <si>
    <t>ЮЛ770100439200092</t>
  </si>
  <si>
    <t>400062 Волгоградская область город Волгоград проспект Университетский дом 107   1 этаж Здания Торгового Центра, помещение 28</t>
  </si>
  <si>
    <t>ЮЛ770100439200094</t>
  </si>
  <si>
    <t>400033 Волгоградская область город Волгоград улица им. Менжинского дом 11</t>
  </si>
  <si>
    <t>ООО ЛОМБАРД "ЗОЛОТОЙ СТАНДАРТ"</t>
  </si>
  <si>
    <t>9728020859</t>
  </si>
  <si>
    <t>ЮЛ7701004189</t>
  </si>
  <si>
    <t>ЮЛ770100418900001</t>
  </si>
  <si>
    <t>ЮЛ770100418900002</t>
  </si>
  <si>
    <t>400026 Волгоградская область город Волгоград проспект им. Героев Сталинграда дом 50</t>
  </si>
  <si>
    <t>ЮЛ770100418900004</t>
  </si>
  <si>
    <t>ЮЛ770100418900005</t>
  </si>
  <si>
    <t>ЮЛ770100418900006</t>
  </si>
  <si>
    <t>ЮЛ770100418900007</t>
  </si>
  <si>
    <t>404111 Волгоградская область город Волжский проспект им Ленина дом 91</t>
  </si>
  <si>
    <t>ЮЛ770100418900008</t>
  </si>
  <si>
    <t>404110 Волгоградская область город Волжский проспект им Ленина дом 50</t>
  </si>
  <si>
    <t>ЮЛ770100418900009</t>
  </si>
  <si>
    <t>404125 Волгоградская область город Волжский улица Пионерская дом 38б  литера А</t>
  </si>
  <si>
    <t>ЮЛ770100418900010</t>
  </si>
  <si>
    <t>ЮЛ770100418900011</t>
  </si>
  <si>
    <t>ЮЛ770100418900013</t>
  </si>
  <si>
    <t>404118 Волгоградская область город Волжский улица Мира дом 113б</t>
  </si>
  <si>
    <t>ЮЛ770100418900014</t>
  </si>
  <si>
    <t>404105 Волгоградская область город Волжский улица Александрова дом 18а   пом. №1-117, №1-117/2</t>
  </si>
  <si>
    <t>ЮЛ770100418900015</t>
  </si>
  <si>
    <t>404120 Волгоградская область город Волжский проспект им Ленина дом 123А</t>
  </si>
  <si>
    <t>ЮЛ770100418900016</t>
  </si>
  <si>
    <t>404122 Волгоградская область город Волжский улица Горького дом 25а</t>
  </si>
  <si>
    <t>ЮЛ770100418900017</t>
  </si>
  <si>
    <t>ЮЛ770100418900018</t>
  </si>
  <si>
    <t>400117 Волгоградская область город Волгоград улица 8-й Воздушной Армии дом 48   пом. XVI</t>
  </si>
  <si>
    <t>ЮЛ770100418900021</t>
  </si>
  <si>
    <t>ЮЛ770100418900022</t>
  </si>
  <si>
    <t>ЮЛ770100418900023</t>
  </si>
  <si>
    <t>400005 Волгоградская область город Волгоград проспект им. В.И. Ленина дом 43</t>
  </si>
  <si>
    <t>ЮЛ770100418900024</t>
  </si>
  <si>
    <t>ЮЛ770100418900026</t>
  </si>
  <si>
    <t>404143 Волгоградская область рабочий поселок Средняя Ахтуба улица Октябрьская дом 75И</t>
  </si>
  <si>
    <t>ЮЛ770100418900027</t>
  </si>
  <si>
    <t>400105 Волгоградская область город Волгоград улица им. генерала Штеменко дом 44</t>
  </si>
  <si>
    <t>ЮЛ770100418900028</t>
  </si>
  <si>
    <t>ЮЛ770100418900029</t>
  </si>
  <si>
    <t>400123 Волгоградская область город Волгоград улица им. Германа Титова дом 43б</t>
  </si>
  <si>
    <t>ЮЛ770100418900030</t>
  </si>
  <si>
    <t>ЮЛ770100418900031</t>
  </si>
  <si>
    <t>400006 Волгоградская область город Волгоград улица им. Шурухина дом 18   помещение 4</t>
  </si>
  <si>
    <t>ЮЛ770100418900032</t>
  </si>
  <si>
    <t>400107 Волгоградская область город Волгоград проспект им. Маршала Советского Союза Г.К.Жукова здание 115А</t>
  </si>
  <si>
    <t>ЮЛ770100418900034</t>
  </si>
  <si>
    <t>400050 Волгоградская область город Волгоград улица им. Ткачева дом 16Б   этаж 1</t>
  </si>
  <si>
    <t>ЮЛ770100418900035</t>
  </si>
  <si>
    <t>404161 Волгоградская область город Краснослободск улица Ленина дом 146</t>
  </si>
  <si>
    <t>ЮЛ770100418900036</t>
  </si>
  <si>
    <t>ЮЛ770100418900038</t>
  </si>
  <si>
    <t>400137 Волгоградская область город Волгоград улица им. Землячки дом 110Б   помещения №№52,52/2, этаж 1</t>
  </si>
  <si>
    <t>ЮЛ770100418900039</t>
  </si>
  <si>
    <t>400001 Волгоградская область город Волгоград улица Рабоче-Крестьянская дом 9б   помещение: 1.63/1, этаж 1</t>
  </si>
  <si>
    <t>ЮЛ770100418900040</t>
  </si>
  <si>
    <t>400059 Волгоградская область город Волгоград улица 64-й Армии дом 6   помещение V</t>
  </si>
  <si>
    <t>ЮЛ770100418900042</t>
  </si>
  <si>
    <t>400066 Волгоградская область город Волгоград улица Комсомольская дом 10г   Здание и Помещение</t>
  </si>
  <si>
    <t>ЮЛ770100418900051</t>
  </si>
  <si>
    <t>403874 Волгоградская область город Камышин улица Ленина дом 23   нежилое помещение</t>
  </si>
  <si>
    <t>ЮЛ770100418900063</t>
  </si>
  <si>
    <t>404131 Волгоградская область город Волжский улица Мира дом 71   пом. II , на втором этаже , часть нежилого помещения</t>
  </si>
  <si>
    <t>ЮЛ770100418900065</t>
  </si>
  <si>
    <t>403874 Волгоградская область город Камышин улица Ленина дом 22   помещение 35, часть встроенного нежилого помещения на 1 этаже здания</t>
  </si>
  <si>
    <t>ЮЛ770100418900070</t>
  </si>
  <si>
    <t>ЮЛ770100418900071</t>
  </si>
  <si>
    <t>ЮЛ770100418900072</t>
  </si>
  <si>
    <t>404130 Волгоградская область город Волжский проспект им Ленина дом 44</t>
  </si>
  <si>
    <t>ЮЛ770100418900073</t>
  </si>
  <si>
    <t>404503 Волгоградская область город Калач-на-Дону улица Чекмарева дом 8   помещение 8. Часть нежилого помещения на первом этаже двухэтажного дома</t>
  </si>
  <si>
    <t>ЮЛ770100418900074</t>
  </si>
  <si>
    <t>403540 Волгоградская область город Фролово улица Московская строение 8/36   часть нежилого помещения, расположенного на 1 этаже здания</t>
  </si>
  <si>
    <t>ЮЛ770100418900075</t>
  </si>
  <si>
    <t>403003 Волгоградская область рабочий поселок Городище площадь 40 лет Сталинградской битвы дом 7</t>
  </si>
  <si>
    <t>ЮЛ770100418900076</t>
  </si>
  <si>
    <t>ЮЛ770100418900077</t>
  </si>
  <si>
    <t>Вологодская область</t>
  </si>
  <si>
    <t>162609 Вологодская область город Череповец проспект Октябрьский дом 25   нежилое помещение № 1.99.7</t>
  </si>
  <si>
    <t>ЮЛ290300549300005</t>
  </si>
  <si>
    <t>160024 Вологодская область город Вологда улица Карла Маркса дом 105</t>
  </si>
  <si>
    <t>ИП290301417700000</t>
  </si>
  <si>
    <t>160000 Вологодская область город Вологда улица Мира дом 22   помещение 46,45</t>
  </si>
  <si>
    <t>ИП290301417700005</t>
  </si>
  <si>
    <t>162482 Вологодская область город Бабаево улица Свердлова дом 24</t>
  </si>
  <si>
    <t>ИП Соловьёва Елена Борисовна</t>
  </si>
  <si>
    <t>350100558960</t>
  </si>
  <si>
    <t>ИП3503019749</t>
  </si>
  <si>
    <t>ИП350301974900000</t>
  </si>
  <si>
    <t>162482 Вологодская область Бабаево Красного Октября 12</t>
  </si>
  <si>
    <t>ИП Дубинская Елена Васильевна</t>
  </si>
  <si>
    <t>350101194835</t>
  </si>
  <si>
    <t>ИП3503017722</t>
  </si>
  <si>
    <t>ИП350301772200000</t>
  </si>
  <si>
    <t>161250 Вологодская область село Липин Бор улица Первомайская дом 29</t>
  </si>
  <si>
    <t>ИП Шахова Нина Владимировна</t>
  </si>
  <si>
    <t>350400021615</t>
  </si>
  <si>
    <t>ИП3503007452</t>
  </si>
  <si>
    <t>ИП350300745200000</t>
  </si>
  <si>
    <t>160002 Вологодская область город Вологда улица Ленинградская дом 85   офис 57</t>
  </si>
  <si>
    <t>ИП Панёва Марина Сергеевна</t>
  </si>
  <si>
    <t>350702784959</t>
  </si>
  <si>
    <t>ИП3503040937</t>
  </si>
  <si>
    <t>ИП350304093700000</t>
  </si>
  <si>
    <t>162900 Вологодская область город Вытегра улица Вянгинская дом 44А   28,29</t>
  </si>
  <si>
    <t>ИП Ханьков Александр Сергеевич</t>
  </si>
  <si>
    <t>350802945840</t>
  </si>
  <si>
    <t>ИП3503002320</t>
  </si>
  <si>
    <t>ИП350300232000000</t>
  </si>
  <si>
    <t>162000 Вологодская область город Грязовец улица Ленина дом 46   помещение 11</t>
  </si>
  <si>
    <t>3509013181</t>
  </si>
  <si>
    <t>ЮЛ3503032108</t>
  </si>
  <si>
    <t>ЮЛ350303210800000</t>
  </si>
  <si>
    <t>161100 Вологодская область город Кириллов территория Кирилло-Белозерского музея-заповедника   Б-Б6</t>
  </si>
  <si>
    <t>КИРИЛЛО-БЕЛОЗЕРСКИЙ МУЗЕЙ-ЗАПОВЕДНИК МАГАЗИН ТРАПЕЗНАЯ ПАЛАТА</t>
  </si>
  <si>
    <t>3511001352</t>
  </si>
  <si>
    <t>ЮЛ3503019865</t>
  </si>
  <si>
    <t>ЮЛ350301986500000</t>
  </si>
  <si>
    <t>161120 Вологодская область село Ферапонтово - музей фресок Дионисия  А,А1,А2,А3</t>
  </si>
  <si>
    <t>ЮЛ350301986500001</t>
  </si>
  <si>
    <t>161100 Вологодская область город Кириллов улица Преображенского дом 7а</t>
  </si>
  <si>
    <t>КИРИЛЛОВСКОЕ РАЙПО</t>
  </si>
  <si>
    <t>3511002405</t>
  </si>
  <si>
    <t>ЮЛ3503000919</t>
  </si>
  <si>
    <t>ЮЛ350300091900000</t>
  </si>
  <si>
    <t>161440 Вологодская область город Никольск улица 25 Октября дом 5</t>
  </si>
  <si>
    <t>ИП Рыжкова Татьяна Николаевна</t>
  </si>
  <si>
    <t>351400514443</t>
  </si>
  <si>
    <t>ИП3503002742</t>
  </si>
  <si>
    <t>ИП350300274200000</t>
  </si>
  <si>
    <t>162840 Вологодская область Город Устюжна переулок Коммунистический Дом 11</t>
  </si>
  <si>
    <t>ИП Васильева Людмила Васильевна</t>
  </si>
  <si>
    <t>352000920530</t>
  </si>
  <si>
    <t>ИП3503005523</t>
  </si>
  <si>
    <t>ИП350300552300000</t>
  </si>
  <si>
    <t>162600 Вологодская область Город Череповец Проспект Октябрьский Дом 57</t>
  </si>
  <si>
    <t>ИП350300552300004</t>
  </si>
  <si>
    <t>162600 Вологодская область Город Череповец Проспект Победы Дом 135</t>
  </si>
  <si>
    <t>ИП350300552300005</t>
  </si>
  <si>
    <t>162600 Вологодская область Город Череповец Улица Максима Горького Дом 32</t>
  </si>
  <si>
    <t>ИП350300552300006</t>
  </si>
  <si>
    <t>162600 Вологодская область город Череповец улица Ленинградская дом 1</t>
  </si>
  <si>
    <t>ИП350300552300008</t>
  </si>
  <si>
    <t>162600 Вологодская область город Череповец улица Максима Горького 32   павильон 33</t>
  </si>
  <si>
    <t>ИП350300552300010</t>
  </si>
  <si>
    <t>162250 Вологодская область город Харовск улица Ленина дом 13</t>
  </si>
  <si>
    <t>ООО "ХАРОВСК РУФ"</t>
  </si>
  <si>
    <t>3521100779</t>
  </si>
  <si>
    <t>ЮЛ3503032822</t>
  </si>
  <si>
    <t>ЮЛ350303282200000</t>
  </si>
  <si>
    <t>162562 Вологодская область Шексна Труда 7   17</t>
  </si>
  <si>
    <t>ИП Смелов Сергей Николаевич</t>
  </si>
  <si>
    <t>352400502827</t>
  </si>
  <si>
    <t>ИП3503000666</t>
  </si>
  <si>
    <t>ИП350300066600000</t>
  </si>
  <si>
    <t>160000 Вологодская область город Вологда Пошехонское шоссе 22   72</t>
  </si>
  <si>
    <t>ИП Гусев Сергей Орович</t>
  </si>
  <si>
    <t>352500187142</t>
  </si>
  <si>
    <t>ИП3503017373</t>
  </si>
  <si>
    <t>ИП350301737300000</t>
  </si>
  <si>
    <t>160000 Вологодская область город Вологда улица Козленская дом 33   этаж 1, помещения № 35-40</t>
  </si>
  <si>
    <t>ИП Серова Светлана Алексеевна</t>
  </si>
  <si>
    <t>352500250066</t>
  </si>
  <si>
    <t>ИП3503000797</t>
  </si>
  <si>
    <t>ИП350300079700000</t>
  </si>
  <si>
    <t>160000 Вологодская область город Вологда улица Благовещенская дом 4</t>
  </si>
  <si>
    <t>ИП Савин Александр Валериевич</t>
  </si>
  <si>
    <t>352500289842</t>
  </si>
  <si>
    <t>ИП3503004630</t>
  </si>
  <si>
    <t>ИП350300463000000</t>
  </si>
  <si>
    <t>160000 Вологодская область город Вологда шоссе Пошехонское Дом 22   помещение 49</t>
  </si>
  <si>
    <t>ИП350300463000002</t>
  </si>
  <si>
    <t>160000 Вологодская область город Вологда шоссе Пошехонское Дом 22   помещение 53</t>
  </si>
  <si>
    <t>ИП350300463000003</t>
  </si>
  <si>
    <t>ИП350300463000004</t>
  </si>
  <si>
    <t>160029 Вологодская область г.Вологда ул.Конева д.3   помещения 2,3,2.5</t>
  </si>
  <si>
    <t>ИП Шеметова Мария Сергеевна</t>
  </si>
  <si>
    <t>352500382136</t>
  </si>
  <si>
    <t>ИП3503006140</t>
  </si>
  <si>
    <t>ИП350300614000000</t>
  </si>
  <si>
    <t>160000 Вологодская область город Вологда Чехова 12</t>
  </si>
  <si>
    <t>ООО "ТД "ВОЛОГОДСКИЕ СУВЕНИРЫ"</t>
  </si>
  <si>
    <t>3525008326</t>
  </si>
  <si>
    <t>ЮЛ3503007568</t>
  </si>
  <si>
    <t>ЮЛ350300756800000</t>
  </si>
  <si>
    <t>160025 Вологодская область город Вологда улица Прядильщиков дом 10</t>
  </si>
  <si>
    <t>ИП Смирнов Андрей Антониевич</t>
  </si>
  <si>
    <t>352502007557</t>
  </si>
  <si>
    <t>ИП3503016905</t>
  </si>
  <si>
    <t>ИП350301690500000</t>
  </si>
  <si>
    <t>160000 Вологодская область город Вологда площадь Кремлевская дом 8</t>
  </si>
  <si>
    <t>ИП Петров Александр Николаевич</t>
  </si>
  <si>
    <t>352502175657</t>
  </si>
  <si>
    <t>ИП3503019245</t>
  </si>
  <si>
    <t>ИП350301924500000</t>
  </si>
  <si>
    <t>160000 Вологодская область город Вологда Пошехонское шоссе 22</t>
  </si>
  <si>
    <t>ИП Савина Анастасия Шамильевна</t>
  </si>
  <si>
    <t>352502186183</t>
  </si>
  <si>
    <t>ИП3503010170</t>
  </si>
  <si>
    <t>ИП350301017000000</t>
  </si>
  <si>
    <t>160000 Вологодская область город Вологда улица Ленинградская 100   17</t>
  </si>
  <si>
    <t>ИП350301017000002</t>
  </si>
  <si>
    <t>160028 Вологодская область город Вологда улица Ильюшина дом 4   ООО "Алмаз"</t>
  </si>
  <si>
    <t>ИП Зайцев Сергей Александрович</t>
  </si>
  <si>
    <t>352502503308</t>
  </si>
  <si>
    <t>ИП3503007108</t>
  </si>
  <si>
    <t>ИП350300710800000</t>
  </si>
  <si>
    <t>162138 Вологодская область город Сокол улица Советская дом 80   83</t>
  </si>
  <si>
    <t>ИП350300710800001</t>
  </si>
  <si>
    <t>160000 Вологодская область город Вологда улица Козленская дом 40</t>
  </si>
  <si>
    <t>ИП350300710800003</t>
  </si>
  <si>
    <t>160034 Вологодская область город Вологда улица Костромская дом 1</t>
  </si>
  <si>
    <t>ИП Фролов Валерий Николаевич</t>
  </si>
  <si>
    <t>352502981872</t>
  </si>
  <si>
    <t>ИП3503014881</t>
  </si>
  <si>
    <t>ИП350301488100000</t>
  </si>
  <si>
    <t>160002 Вологодская область город Вологда улица Ленинградская дом 85   57</t>
  </si>
  <si>
    <t>ИП Верещагина Юлия Викторовна</t>
  </si>
  <si>
    <t>352510290815</t>
  </si>
  <si>
    <t>ИП3503001921</t>
  </si>
  <si>
    <t>ИП350300192100000</t>
  </si>
  <si>
    <t>160000 Вологодская область город Вологда улица Лермонтова дом 4   пом. 13</t>
  </si>
  <si>
    <t>ООО "ГРОСС ЛОМБАРД"</t>
  </si>
  <si>
    <t>3525117332</t>
  </si>
  <si>
    <t>ЮЛ3503008625</t>
  </si>
  <si>
    <t>ЮЛ350300862500000</t>
  </si>
  <si>
    <t>162610 Вологодская область город Череповец улица Ломоносова дом 10</t>
  </si>
  <si>
    <t>ИП Сивенков Алексей Владимирович</t>
  </si>
  <si>
    <t>352514715402</t>
  </si>
  <si>
    <t>ИП7803014476</t>
  </si>
  <si>
    <t>ИП780301447600000</t>
  </si>
  <si>
    <t>162610 Вологодская область город Череповец улица Ленина дом 149</t>
  </si>
  <si>
    <t>ИП780301447600002</t>
  </si>
  <si>
    <t>162609 Вологодская область город Череповец улица Наседкина дом 12</t>
  </si>
  <si>
    <t>ИП780301447600003</t>
  </si>
  <si>
    <t>162611 Вологодская область город Череповец улица Ленина дом 139</t>
  </si>
  <si>
    <t>ИП780301447600004</t>
  </si>
  <si>
    <t>162614 Вологодская область город Череповец улица Максима Горького дом 61</t>
  </si>
  <si>
    <t>ИП780301447600006</t>
  </si>
  <si>
    <t>162616 Вологодская область город Череповец улица Краснодонцев дом 56</t>
  </si>
  <si>
    <t>ИП780301447600007</t>
  </si>
  <si>
    <t>162611 Вологодская область город Череповец улица Ломоносова дом 10</t>
  </si>
  <si>
    <t>ИП780301447600008</t>
  </si>
  <si>
    <t>162604 Вологодская область Череповец Пионерская  23В</t>
  </si>
  <si>
    <t>ИП780301447600011</t>
  </si>
  <si>
    <t>160002 Вологодская область город Вологда улица Ленинградская дом 140</t>
  </si>
  <si>
    <t>ИП780301447600014</t>
  </si>
  <si>
    <t>160024 Вологодская область город Вологда улица Северная дом 26</t>
  </si>
  <si>
    <t>ИП780301447600015</t>
  </si>
  <si>
    <t>160022 Вологодская область город Вологда улица Сергея Преминина дом 2</t>
  </si>
  <si>
    <t>ИП Кузнецов Михаил Валерьевич</t>
  </si>
  <si>
    <t>352520907945</t>
  </si>
  <si>
    <t>ИП3503000215</t>
  </si>
  <si>
    <t>ИП350300021500019</t>
  </si>
  <si>
    <t>160014 Вологодская область город Вологда улица Горького дом 122</t>
  </si>
  <si>
    <t>ИП Пяткина Екатерина Леонидовна</t>
  </si>
  <si>
    <t>352522603406</t>
  </si>
  <si>
    <t>ИП7803009469</t>
  </si>
  <si>
    <t>ИП780300946900000</t>
  </si>
  <si>
    <t>160000 Вологодская область город Вологда улица Предтеченская дом 31   этаж 5, кабинет 517</t>
  </si>
  <si>
    <t>ИП Рудаков Юрий Викторович</t>
  </si>
  <si>
    <t>352526585589</t>
  </si>
  <si>
    <t>ИП3503001079</t>
  </si>
  <si>
    <t>ИП350300107900000</t>
  </si>
  <si>
    <t>160002 Вологодская область город Вологда улица Ленинградская дом 76</t>
  </si>
  <si>
    <t>ИП Милющенко Игорь Владимирович</t>
  </si>
  <si>
    <t>352527469803</t>
  </si>
  <si>
    <t>ИП3503001875</t>
  </si>
  <si>
    <t>ИП350300187500000</t>
  </si>
  <si>
    <t>160029 Вологодская область город Вологда улица Северная дом 7</t>
  </si>
  <si>
    <t>ИП350300187500002</t>
  </si>
  <si>
    <t>160009 Вологодская область город Вологда улица Чехова дом 12</t>
  </si>
  <si>
    <t>ИП Здрогов Игорь Вениаминович</t>
  </si>
  <si>
    <t>352528695410</t>
  </si>
  <si>
    <t>ИП3503002587</t>
  </si>
  <si>
    <t>ИП350300258700000</t>
  </si>
  <si>
    <t>160001 Вологодская область город Вологда улица Батюшкова дом 11</t>
  </si>
  <si>
    <t>ИП Углицкий Леонид Андреевич</t>
  </si>
  <si>
    <t>352532807984</t>
  </si>
  <si>
    <t>ИП3503008875</t>
  </si>
  <si>
    <t>ИП350300887500000</t>
  </si>
  <si>
    <t>160000 Вологодская область город Вологда улица Мира дом 6   офис 1</t>
  </si>
  <si>
    <t>ООО "ТАЛАНТ"</t>
  </si>
  <si>
    <t>3525488619</t>
  </si>
  <si>
    <t>ЮЛ3503034780</t>
  </si>
  <si>
    <t>ЮЛ350303478000000</t>
  </si>
  <si>
    <t>162390 Вологодская область город Великий Устюг улица Анатолия Угловского дом 1</t>
  </si>
  <si>
    <t>ЗАО "СЕВЕРНАЯ ЧЕРНЬ"</t>
  </si>
  <si>
    <t>3526011667</t>
  </si>
  <si>
    <t>ЮЛ3503000100</t>
  </si>
  <si>
    <t>ЮЛ350300010000000</t>
  </si>
  <si>
    <t>162390 Вологодская область сельское поселение Марденгское, деревня Лопатниково, дополнительная территория, Парк развлечений Великий Устюг-родина Деда Мороза  дом 2/6</t>
  </si>
  <si>
    <t>ЮЛ350300010000001</t>
  </si>
  <si>
    <t>162390 Вологодская область город Великий Устюг переулок Революционный дом 5   помещение № 10, 11, 12, 13, 14, 15</t>
  </si>
  <si>
    <t>ИП Башарина Татьяна Николаевна</t>
  </si>
  <si>
    <t>352602901091</t>
  </si>
  <si>
    <t>ИП3503000848</t>
  </si>
  <si>
    <t>ИП350300084800000</t>
  </si>
  <si>
    <t>162393 Вологодская область город Великий Устюг улица Неводчикова дом 27</t>
  </si>
  <si>
    <t>ИП Редькина Наталья Анатольевна</t>
  </si>
  <si>
    <t>352605158501</t>
  </si>
  <si>
    <t>ИП3503003505</t>
  </si>
  <si>
    <t>ИП350300350500000</t>
  </si>
  <si>
    <t>160000 Вологодская область город Вологда улица Мира дом 6</t>
  </si>
  <si>
    <t>ИП Старостина Елена Владимировна</t>
  </si>
  <si>
    <t>352605406095</t>
  </si>
  <si>
    <t>ИП3503002543</t>
  </si>
  <si>
    <t>ИП350300254300000</t>
  </si>
  <si>
    <t>160000 Вологодская область город Вологда улица Зосимовская дом 35а</t>
  </si>
  <si>
    <t>ИП350303259500000</t>
  </si>
  <si>
    <t>160025 Вологодская область город Вологда проспект Победы дом 9</t>
  </si>
  <si>
    <t>ИП350303259500002</t>
  </si>
  <si>
    <t>162130 Вологодская область город Сокол площадь Базарная дом 3</t>
  </si>
  <si>
    <t>ИП Малышева Надежда Федоровна</t>
  </si>
  <si>
    <t>352700008288</t>
  </si>
  <si>
    <t>ИП3503008258</t>
  </si>
  <si>
    <t>ИП350300825800000</t>
  </si>
  <si>
    <t>162130 Вологодская область город Сокол улица Кирова дом 36/49</t>
  </si>
  <si>
    <t>ИП Проворова Ольга Вячеславовна</t>
  </si>
  <si>
    <t>352700405310</t>
  </si>
  <si>
    <t>ИП3503005209</t>
  </si>
  <si>
    <t>ИП350300520900000</t>
  </si>
  <si>
    <t>162135 Вологодская область Сокол Базарная пл 3</t>
  </si>
  <si>
    <t>ИП Никитина Елена Рафаиловна</t>
  </si>
  <si>
    <t>352701453010</t>
  </si>
  <si>
    <t>ИП3503005954</t>
  </si>
  <si>
    <t>ИП350300595400000</t>
  </si>
  <si>
    <t>162606 Вологодская область город Череповец улица Металлургов дом 23 Офис Салон "Ювелир"</t>
  </si>
  <si>
    <t>ИП Хлопотов Сергей Николаевич</t>
  </si>
  <si>
    <t>352800086000</t>
  </si>
  <si>
    <t>ИП3503001387</t>
  </si>
  <si>
    <t>ИП350300138700000</t>
  </si>
  <si>
    <t>162600 Вологодская область город Череповец улица Максима Горького дом 32 Помещение №6</t>
  </si>
  <si>
    <t>ИП350300138700001</t>
  </si>
  <si>
    <t>162560 Вологодская область рабочий поселок Шексна улица Труда дом 10 помещение № 1</t>
  </si>
  <si>
    <t>ИП350300138700002</t>
  </si>
  <si>
    <t>162510 Вологодская область рабочий поселок Кадуй Энтузиастов 10 А  повильон</t>
  </si>
  <si>
    <t>ИП Смирнов Михаил Николаевич</t>
  </si>
  <si>
    <t>352800390138</t>
  </si>
  <si>
    <t>ИП3503030954</t>
  </si>
  <si>
    <t>ИП350303095400000</t>
  </si>
  <si>
    <t>162614 Вологодская область город Череповец улица Максима Горького дом 32  1 этаж нежилое помещение 6</t>
  </si>
  <si>
    <t>ИП Хлопотова Зоя Михайловна</t>
  </si>
  <si>
    <t>352800935896</t>
  </si>
  <si>
    <t>ИП3503032618</t>
  </si>
  <si>
    <t>ИП350303261800000</t>
  </si>
  <si>
    <t>162600 Вологодская область город Череповец Металлургов  23   помещение 1Н-1</t>
  </si>
  <si>
    <t>ИП350303261800001</t>
  </si>
  <si>
    <t>162560 Вологодская область рабочий поселок Шексна Труда 10   №2</t>
  </si>
  <si>
    <t>ИП350303261800002</t>
  </si>
  <si>
    <t>162622 Вологодская область Череповец Советский пр-т 81   помещение № 02</t>
  </si>
  <si>
    <t>ИП Домрачев Владимир Борисович</t>
  </si>
  <si>
    <t>352801543901</t>
  </si>
  <si>
    <t>ИП3503008927</t>
  </si>
  <si>
    <t>ИП350300892700001</t>
  </si>
  <si>
    <t>162622 Вологодская область город Череповец проспект Советский дом 35А   помещения № 7</t>
  </si>
  <si>
    <t>ИП350300892700002</t>
  </si>
  <si>
    <t>162614 Вологодская область город Череповец улица Максима Горького 20</t>
  </si>
  <si>
    <t>ИП Павлычева Людмила Викторовна</t>
  </si>
  <si>
    <t>352806616198</t>
  </si>
  <si>
    <t>ИП3503037043</t>
  </si>
  <si>
    <t>ИП350303704300000</t>
  </si>
  <si>
    <t>162560 Вологодская область рабочий поселок Шексна улица Шоссейная дом 5А</t>
  </si>
  <si>
    <t>ИП Смирнов Юрий Геннадиевич</t>
  </si>
  <si>
    <t>352812809374</t>
  </si>
  <si>
    <t>ИП3503009490</t>
  </si>
  <si>
    <t>ИП350300949000001</t>
  </si>
  <si>
    <t>162604 Вологодская область город Череповец улица Пионерская дом 15</t>
  </si>
  <si>
    <t>ИП350300949000002</t>
  </si>
  <si>
    <t>162605 Вологодская область город Череповец улица Первомайская дом 30</t>
  </si>
  <si>
    <t>ИП350300949000003</t>
  </si>
  <si>
    <t>162616 Вологодская область город Череповец улица Краснодонцев дом 52</t>
  </si>
  <si>
    <t>ИП350300949000004</t>
  </si>
  <si>
    <t>162609 Вологодская область город Череповец улица Наседкина дом 10А</t>
  </si>
  <si>
    <t>ИП350300949000005</t>
  </si>
  <si>
    <t>162627 Вологодская область город Череповец проспект Октябрьский дом 57</t>
  </si>
  <si>
    <t>ИП350300949000006</t>
  </si>
  <si>
    <t>162614 Вологодская область Город Череповец Улица М. Горького Дом 24   магазин "Гемма"</t>
  </si>
  <si>
    <t>ИП Быстрова Екатерина Викторовна</t>
  </si>
  <si>
    <t>352816007075</t>
  </si>
  <si>
    <t>ИП3503008161</t>
  </si>
  <si>
    <t>ИП350300816100000</t>
  </si>
  <si>
    <t>162612 Вологодская область город Череповец улица Гоголя дом 44А</t>
  </si>
  <si>
    <t>ООО ЛОМБАРД "ХОТЕЙ"</t>
  </si>
  <si>
    <t>3528161354</t>
  </si>
  <si>
    <t>ЮЛ3503009816</t>
  </si>
  <si>
    <t>ЮЛ350300981600000</t>
  </si>
  <si>
    <t>162480 Вологодская область город Бабаево улица Советская дом 2   помещение 8Н</t>
  </si>
  <si>
    <t>ЮЛ350300981600002</t>
  </si>
  <si>
    <t>162614 Вологодская область город Череповец улица Максима Горького дом 32</t>
  </si>
  <si>
    <t>ЮЛ350300981600003</t>
  </si>
  <si>
    <t>162622 Вологодская область город Череповец проспект Советский дом 62</t>
  </si>
  <si>
    <t>ООО "ЮВЕЛИР-КАРАТ ЧЕРЕПОВЕЦ"</t>
  </si>
  <si>
    <t>3528194021</t>
  </si>
  <si>
    <t>ЮЛ3503001335</t>
  </si>
  <si>
    <t>ЮЛ350300133500000</t>
  </si>
  <si>
    <t>162602 Вологодская область город Череповец улица Максима Горького дом 20</t>
  </si>
  <si>
    <t>ООО "ЮВЕЛИРТОРГ ПЛЮС"</t>
  </si>
  <si>
    <t>3528253527</t>
  </si>
  <si>
    <t>ЮЛ3503005532</t>
  </si>
  <si>
    <t>ЮЛ350300553200000</t>
  </si>
  <si>
    <t>160009 Вологодская область город Вологда улица Чехова дом 51</t>
  </si>
  <si>
    <t>ИП Прыгунова Виктория Игоревна</t>
  </si>
  <si>
    <t>440120942602</t>
  </si>
  <si>
    <t>ИП4402008223</t>
  </si>
  <si>
    <t>ИП440200822300004</t>
  </si>
  <si>
    <t>162606 Вологодская область город Череповец проспект Победы 49</t>
  </si>
  <si>
    <t>ИП440200822300005</t>
  </si>
  <si>
    <t>162606 Вологодская область город Череповец улица Сталеваров дом 49</t>
  </si>
  <si>
    <t>ИП440200822300011</t>
  </si>
  <si>
    <t>162626 Вологодская область город Череповец улица Годовикова дом 37   помещение №1-31</t>
  </si>
  <si>
    <t>ИП Комлев Илья Николаевич</t>
  </si>
  <si>
    <t>440124092882</t>
  </si>
  <si>
    <t>ИП4402006945</t>
  </si>
  <si>
    <t>ИП440200694500010</t>
  </si>
  <si>
    <t>162609 Вологодская область город Череповец проспект Октябрьский дом 25А   нежилое помещение №35</t>
  </si>
  <si>
    <t>ИП440200694500013</t>
  </si>
  <si>
    <t>160022 Вологодская область город Вологда шоссе Пошехонское дом 22   помещ 23</t>
  </si>
  <si>
    <t>ИП Большаков Алексей Вадимович</t>
  </si>
  <si>
    <t>440125879256</t>
  </si>
  <si>
    <t>ИП3503004144</t>
  </si>
  <si>
    <t>ИП350300414400002</t>
  </si>
  <si>
    <t>160028 Вологодская область город Вологда шоссе Окружное дом 12   помещ №111</t>
  </si>
  <si>
    <t>ИП350300414400010</t>
  </si>
  <si>
    <t>ИП350300414400016</t>
  </si>
  <si>
    <t>160002 Вологодская область город Вологда улица Ленинградская дом 100</t>
  </si>
  <si>
    <t>ИП350300414400034</t>
  </si>
  <si>
    <t>162393 Вологодская область город Великий Устюг улица Гледенская дом 61</t>
  </si>
  <si>
    <t>ИП290300742200005</t>
  </si>
  <si>
    <t>162390 Вологодская область город Великий Устюг проспект Советский дом 117А</t>
  </si>
  <si>
    <t>ИП Попова Светлана Анатольевна</t>
  </si>
  <si>
    <t>441501150816</t>
  </si>
  <si>
    <t>ИП4402009365</t>
  </si>
  <si>
    <t>ИП440200936500002</t>
  </si>
  <si>
    <t>160024 Вологодская область Вологда Северная 7а 6 этаж   оф. 632,633</t>
  </si>
  <si>
    <t>ИП Полина Елена Александровна</t>
  </si>
  <si>
    <t>441501278598</t>
  </si>
  <si>
    <t>ИП3503003884</t>
  </si>
  <si>
    <t>ИП350300388400000</t>
  </si>
  <si>
    <t>161300 Вологодская область город Тотьма ленина 59</t>
  </si>
  <si>
    <t>ИП Комаров Александр Вячеславович</t>
  </si>
  <si>
    <t>470103421920</t>
  </si>
  <si>
    <t>ИП4703018394</t>
  </si>
  <si>
    <t>ИП470301839400000</t>
  </si>
  <si>
    <t>160028 Вологодская область город Вологда шоссе Окружное дом 12   помещение 111</t>
  </si>
  <si>
    <t>ИП520600807800002</t>
  </si>
  <si>
    <t>162600 Вологодская область город Череповец улица Победы дом 200   помещение 37</t>
  </si>
  <si>
    <t>ЮЛ520603376600107</t>
  </si>
  <si>
    <t>162624 Вологодская область город Череповец проспект Победы дом 200 - - нежилое помещение №20</t>
  </si>
  <si>
    <t>ЮЛ760201190700012</t>
  </si>
  <si>
    <t>160024 Вологодская область город Вологда улица Карла Маркса дом 105   помещение 13</t>
  </si>
  <si>
    <t>ИП770100417900005</t>
  </si>
  <si>
    <t>162626 Вологодская область город Череповец улица Годовикова дом 37   помещение 1-31</t>
  </si>
  <si>
    <t>ИП770100417900054</t>
  </si>
  <si>
    <t>162626 Вологодская область город Череповец улица Годовикова дом 37   помещение  1-32а, часть комнаты 2, жтаж 1</t>
  </si>
  <si>
    <t>ЮЛ770101216600273</t>
  </si>
  <si>
    <t>160028 Вологодская область город Вологда шоссе Окружное дом 12   Помещения 125, 125а, этаж 1</t>
  </si>
  <si>
    <t>ЮЛ770101216600279</t>
  </si>
  <si>
    <t>162624 Вологодская область город Череповец проспект Победы дом 200   помещение 3Н,  помещение 15,15а, этаж 1</t>
  </si>
  <si>
    <t>ЮЛ770101216600329</t>
  </si>
  <si>
    <t>160002 Вологодская область город Вологда улица Ленинградская дом 100   этаж 1, часть нежилого помещения №46</t>
  </si>
  <si>
    <t>ЮЛ770101216600413</t>
  </si>
  <si>
    <t>160022 Вологодская область город Вологда шоссе Пошехонское дом 22   этаж 2,  нежилые помещения №38,39</t>
  </si>
  <si>
    <t>ЮЛ770101216600453</t>
  </si>
  <si>
    <t>162609 Вологодская область город Череповец проспект Октябрьский дом 25А   этаж 1, нежилое помещение №49</t>
  </si>
  <si>
    <t>ЮЛ770101216600536</t>
  </si>
  <si>
    <t>162393 Вологодская область город Великий Устюг улица Гледенская дом 61   этаж 1</t>
  </si>
  <si>
    <t>ЮЛ770101216600695</t>
  </si>
  <si>
    <t>162603 Вологодская область город Череповец улица Архангельская дом 43   1 этаж, пом 2Н</t>
  </si>
  <si>
    <t>ЮЛ770101216600725</t>
  </si>
  <si>
    <t>162602 Вологодская область город Череповец улица Максима Горького дом 20   1 этаж, нежилые помещения</t>
  </si>
  <si>
    <t>ЮЛ770101216600837</t>
  </si>
  <si>
    <t>160009 Вологодская область город Вологда улица Мира дом 82</t>
  </si>
  <si>
    <t>ЮЛ770100419400204</t>
  </si>
  <si>
    <t>160022 Вологодская область город Вологда шоссе Пошехонское дом 22   помещение №46 (В-15)</t>
  </si>
  <si>
    <t>ЮЛ770100419400223</t>
  </si>
  <si>
    <t>160028 Вологодская область город Вологда шоссе Окружное дом 12   помещения 23б,25б,26б,27б, 1 (первый) этаж</t>
  </si>
  <si>
    <t>ЮЛ770100193500128</t>
  </si>
  <si>
    <t>162624 Вологодская область город Череповец проспект Победы дом 200   первый этаж, помещение 22</t>
  </si>
  <si>
    <t>ЮЛ770100193500130</t>
  </si>
  <si>
    <t>160022 Вологодская область город Вологда шоссе Пошехонское дом 22   помещение 33, второй этаж</t>
  </si>
  <si>
    <t>ЮЛ770100193500572</t>
  </si>
  <si>
    <t>162626 Вологодская область город Череповец улица Годовикова дом 37   часть помещения 1, помещение 1-16а, комната 155, 1 (первый) этаж</t>
  </si>
  <si>
    <t>ЮЛ770100193500584</t>
  </si>
  <si>
    <t>160000 Вологодская область город Вологда улица Мира дом 20</t>
  </si>
  <si>
    <t>ЮЛ770100193501032</t>
  </si>
  <si>
    <t>160001 Вологодская область город Вологда улица Мира дом 42   магазин "Яхонт"</t>
  </si>
  <si>
    <t>ЮЛ780300179700012</t>
  </si>
  <si>
    <t>ЮЛ780300323500080</t>
  </si>
  <si>
    <t>160001 Вологодская область город Вологда улица Мира дом 42   помещения 54, 55, 70</t>
  </si>
  <si>
    <t>ЮЛ780300323500081</t>
  </si>
  <si>
    <t>162624 Вологодская область город Череповец проспект Победы дом 200   помещения 24, 25</t>
  </si>
  <si>
    <t>ЮЛ780300323500202</t>
  </si>
  <si>
    <t>162602 Вологодская область город Череповец проспект Советский дом 56</t>
  </si>
  <si>
    <t>ЮЛ780300323500203</t>
  </si>
  <si>
    <t>162602 Вологодская область город Череповец улица Ленина дом 99   помещение 1-5</t>
  </si>
  <si>
    <t>ЮЛ780300323500226</t>
  </si>
  <si>
    <t>160001 Вологодская область город Вологда улица Мира дом 42   часть нежилого помещения №80</t>
  </si>
  <si>
    <t>ЮЛ780300308200010</t>
  </si>
  <si>
    <t>162134 Вологодская область город Сокол улица Советская дом 87</t>
  </si>
  <si>
    <t>ЮЛ780300308200383</t>
  </si>
  <si>
    <t>160022 Вологодская область город Вологда Пошехонское ш. дом 22   часть нежилого помещения № 23</t>
  </si>
  <si>
    <t>ЮЛ780300308200649</t>
  </si>
  <si>
    <t>162622 Вологодская область город Череповец проспект Советский дом 61Б   часть нежилых помещений (№7,8,9,10,11,12,13)0</t>
  </si>
  <si>
    <t>ЮЛ780300308200878</t>
  </si>
  <si>
    <t>160000 Вологодская область город Вологда улица Благовещенская дом 4   пом.№10</t>
  </si>
  <si>
    <t>ЮЛ780300308200929</t>
  </si>
  <si>
    <t>162624 Вологодская область город Череповец проспект Победы дом 200</t>
  </si>
  <si>
    <t>ЮЛ780300308201095</t>
  </si>
  <si>
    <t>160028 Вологодская область город Вологда шоссе Окружное дом 12    часть 1 нежилого помещения №22б</t>
  </si>
  <si>
    <t>ЮЛ780300308201099</t>
  </si>
  <si>
    <t>ЮЛ780300363500083</t>
  </si>
  <si>
    <t>ЮЛ780300363500084</t>
  </si>
  <si>
    <t>ЮЛ780300363500260</t>
  </si>
  <si>
    <t>ЮЛ780300363500261</t>
  </si>
  <si>
    <t>162602 Вологодская область город Череповец улица Ленина дом 99</t>
  </si>
  <si>
    <t>ЮЛ780300363500388</t>
  </si>
  <si>
    <t>160028 Вологодская область город Вологда шоссе Окружное дом 12   помещение 134</t>
  </si>
  <si>
    <t>ЮЛ780301261200016</t>
  </si>
  <si>
    <t>160001 Вологодская область город Вологда улица Мира дом 42   помещения 35,35а,35б,35в</t>
  </si>
  <si>
    <t>ЮЛ780301261200019</t>
  </si>
  <si>
    <t>160014 Вологодская область город Вологда улица Горького дом 122   помещение № 22</t>
  </si>
  <si>
    <t>ЮЛ780301261200026</t>
  </si>
  <si>
    <t>160022 Вологодская область город Вологда шоссе Пошехонское дом 22   помещение 52</t>
  </si>
  <si>
    <t>ЮЛ780301261200028</t>
  </si>
  <si>
    <t>162609 Вологодская область город Череповец проспект Октябрьский дом 25А   помещение № 46 на 1-ом этаже</t>
  </si>
  <si>
    <t>ЮЛ770100439200259</t>
  </si>
  <si>
    <t>Воронежская область</t>
  </si>
  <si>
    <t>396005 Воронежская область поселок Солнечный улица Парковая дом 3  литер 1Е блок 3, 1 этаж, помещение 135</t>
  </si>
  <si>
    <t>ИП Ковалева Ирина Юрьевна</t>
  </si>
  <si>
    <t>280123957910</t>
  </si>
  <si>
    <t>ИП5001012053</t>
  </si>
  <si>
    <t>ИП500101205300005</t>
  </si>
  <si>
    <t>394018 Воронежская область город Воронеж улица Кольцовская дом 35</t>
  </si>
  <si>
    <t>ЮЛ310100216200011</t>
  </si>
  <si>
    <t>394018 Воронежская область город Воронеж улица Фридриха Энгельса дом 62   1 этаж, нежилое встроенное помещение  I</t>
  </si>
  <si>
    <t>ЮЛ310100189400006</t>
  </si>
  <si>
    <t>396250 Воронежская область посёлок городского типа Анна улица Ленина дом 25</t>
  </si>
  <si>
    <t>ИП Болгова Елена Александровна</t>
  </si>
  <si>
    <t>360104529839</t>
  </si>
  <si>
    <t>ИП3601019302</t>
  </si>
  <si>
    <t>ИП360101930200000</t>
  </si>
  <si>
    <t>396790 Воронежская область Город Богучар Улица Дзержинского Дом 22/2б</t>
  </si>
  <si>
    <t>ИП Фисенко Сергей Алексеевич</t>
  </si>
  <si>
    <t>360302279309</t>
  </si>
  <si>
    <t>ИП3601002648</t>
  </si>
  <si>
    <t>ИП360100264800000</t>
  </si>
  <si>
    <t>397670 Воронежская область Село Петропавловка Улица Победы Дом 21</t>
  </si>
  <si>
    <t>ИП360100264800001</t>
  </si>
  <si>
    <t>396311 Воронежская область Село Новая Усмань Улица Полевая Дом 10-В/4</t>
  </si>
  <si>
    <t>ИП360100264800002</t>
  </si>
  <si>
    <t>396790 Воронежская область город Богучар площадь Малаховского дом 11</t>
  </si>
  <si>
    <t>ИП Рыжкова Наталья Владимировна</t>
  </si>
  <si>
    <t>360306712925</t>
  </si>
  <si>
    <t>ИП3601012590</t>
  </si>
  <si>
    <t>ИП360101259000000</t>
  </si>
  <si>
    <t>397160 Воронежская область город Борисоглебск Улица Юбилейная Дом 90</t>
  </si>
  <si>
    <t>ИП Колпаков Юрий Анатольевич</t>
  </si>
  <si>
    <t>360400012800</t>
  </si>
  <si>
    <t>ИП3601002830</t>
  </si>
  <si>
    <t>ИП360100283000000</t>
  </si>
  <si>
    <t>397160 Воронежская область город Борисоглебск Улица Советская  Позиция 14</t>
  </si>
  <si>
    <t>ИП360100283000001</t>
  </si>
  <si>
    <t>397400 Воронежская область город Новохоперск Улица Советская Дом 8</t>
  </si>
  <si>
    <t>ИП360100283000002</t>
  </si>
  <si>
    <t>397160 Воронежская область город Борисоглебск улица Юбилейная  дом 90</t>
  </si>
  <si>
    <t>ООО "ЛОМБАРД-ВЕРСАЛЬ"</t>
  </si>
  <si>
    <t>3604013431</t>
  </si>
  <si>
    <t>ЮЛ3601002766</t>
  </si>
  <si>
    <t>ЮЛ360100276600000</t>
  </si>
  <si>
    <t>397160 Воронежская область город Борисоглебск улица Советская дом 35</t>
  </si>
  <si>
    <t>ЮЛ360100276600001</t>
  </si>
  <si>
    <t>397160 Воронежская область город Борисоглебск улица Советская дом 32</t>
  </si>
  <si>
    <t>ЮЛ360100276600002</t>
  </si>
  <si>
    <t>397160 Воронежская область город Борисоглебск улица Советская дом 80</t>
  </si>
  <si>
    <t>ИП Лучкина Ю.Н</t>
  </si>
  <si>
    <t>360406297197</t>
  </si>
  <si>
    <t>ИП7701002591</t>
  </si>
  <si>
    <t>ИП770100259100000</t>
  </si>
  <si>
    <t>397160 Воронежская область город Борисоглебск улица Советская дом 32  Литера А комната 9,10</t>
  </si>
  <si>
    <t>ИП770100259100001</t>
  </si>
  <si>
    <t>397600 Воронежская область город Калач улица Советская дом 6А</t>
  </si>
  <si>
    <t>ИП Субботин Антон Федорович</t>
  </si>
  <si>
    <t>361000194393</t>
  </si>
  <si>
    <t>ИП3601000543</t>
  </si>
  <si>
    <t>ИП360100054300000</t>
  </si>
  <si>
    <t>396510 Воронежская область поселок городского типа Каменка улица Советская дом 66</t>
  </si>
  <si>
    <t>ИП Комиссаренко Маргарита Ивановна</t>
  </si>
  <si>
    <t>361100034202</t>
  </si>
  <si>
    <t>ИП3601001160</t>
  </si>
  <si>
    <t>ИП360100116000000</t>
  </si>
  <si>
    <t>397400 Воронежская область город Новохоперск улица Советская дом 29</t>
  </si>
  <si>
    <t>ИП Перова Мария Александровна</t>
  </si>
  <si>
    <t>361701934487</t>
  </si>
  <si>
    <t>ИП3601030037</t>
  </si>
  <si>
    <t>ИП360103003700000</t>
  </si>
  <si>
    <t>396691 Воронежская область поселок Заболотовка улица Центральная здание 8</t>
  </si>
  <si>
    <t>ООО "АЛЕКСАНДРИТ"</t>
  </si>
  <si>
    <t>3618005582</t>
  </si>
  <si>
    <t>ЮЛ3601011240</t>
  </si>
  <si>
    <t>ЮЛ360101124000000</t>
  </si>
  <si>
    <t>396659 Воронежская область город Россошь площадь Октябрьская здание 18а   1-й этаж, Помещение №5 Литер А, Помещение №4 Литер А, Помещение №8 Литер А</t>
  </si>
  <si>
    <t>ИП Горюшкин Вячеслав Иванович</t>
  </si>
  <si>
    <t>362001800088</t>
  </si>
  <si>
    <t>ИП3601016936</t>
  </si>
  <si>
    <t>ИП360101693600000</t>
  </si>
  <si>
    <t>396560 Воронежская область село Верхний Мамон улица 60 лет Октября дом 2/1</t>
  </si>
  <si>
    <t>ИП Белов Игорь Евгеньевич</t>
  </si>
  <si>
    <t>362004038189</t>
  </si>
  <si>
    <t>ИП3601010138</t>
  </si>
  <si>
    <t>ИП360101013800000</t>
  </si>
  <si>
    <t>396650 Воронежская область город Россошь улица Алексеева дом 21А  литера А, А/1 этаж №1</t>
  </si>
  <si>
    <t>ООО "ЯНТАРЬ"</t>
  </si>
  <si>
    <t>3627033297</t>
  </si>
  <si>
    <t>ЮЛ3601032780</t>
  </si>
  <si>
    <t>ЮЛ360103278000000</t>
  </si>
  <si>
    <t>396655 Воронежская область город Россошь проспект Труда здание 1и</t>
  </si>
  <si>
    <t>ИП Сало Елена Валериевна</t>
  </si>
  <si>
    <t>362704721633</t>
  </si>
  <si>
    <t>ИП3601003869</t>
  </si>
  <si>
    <t>ИП360100386900000</t>
  </si>
  <si>
    <t>396658 Воронежская область город Россошь улица Простеева дом 1</t>
  </si>
  <si>
    <t>ИП360100386900001</t>
  </si>
  <si>
    <t>396650 Воронежская область город Россошь улица Пролетарская дом 84</t>
  </si>
  <si>
    <t>ИП360100386900003</t>
  </si>
  <si>
    <t>397480 Воронежская область рабочий поселок Таловая улица Советская дом 136</t>
  </si>
  <si>
    <t>ИП Пузакова Валентина Григорьевна</t>
  </si>
  <si>
    <t>362900442153</t>
  </si>
  <si>
    <t>ИП3601016401</t>
  </si>
  <si>
    <t>ИП360101640100000</t>
  </si>
  <si>
    <t>397030 Воронежская область город Эртиль улица Фридриха Энгельса дом 10</t>
  </si>
  <si>
    <t>ИП Сафонова Наталия Ивановна</t>
  </si>
  <si>
    <t>363200053682</t>
  </si>
  <si>
    <t>ИП3601016317</t>
  </si>
  <si>
    <t>ИП360101631700000</t>
  </si>
  <si>
    <t>396110 Воронежская область село Верхняя Хава улица 50 лет Октября дом 4</t>
  </si>
  <si>
    <t>ИП360101631700001</t>
  </si>
  <si>
    <t>397030 Воронежская область город Эртиль улица Фридриха Энгельса дом 13</t>
  </si>
  <si>
    <t>ИП360101631700002</t>
  </si>
  <si>
    <t>396073 Воронежская область город Нововоронеж улица Победы дом 1</t>
  </si>
  <si>
    <t>ИП Каребина Елена Николаевна</t>
  </si>
  <si>
    <t>365103103910</t>
  </si>
  <si>
    <t>ИП3601015870</t>
  </si>
  <si>
    <t>ИП360101587000000</t>
  </si>
  <si>
    <t>394042 Воронежская область город Воронеж Ленинский проспект дом 131   помещение II, этаж 1</t>
  </si>
  <si>
    <t>ИП Шершнева Ольга Ивановна</t>
  </si>
  <si>
    <t>366100609241</t>
  </si>
  <si>
    <t>ИП3601003099</t>
  </si>
  <si>
    <t>ИП360100309900000</t>
  </si>
  <si>
    <t>394065 Воронежская область город Воронеж проспект Патриотов дом 5 торговое место №4911</t>
  </si>
  <si>
    <t>ИП360100309900001</t>
  </si>
  <si>
    <t>396650 Воронежская область город Россошь улица Пролетарская дом 80   помещение IV</t>
  </si>
  <si>
    <t>ИП360100309900002</t>
  </si>
  <si>
    <t>394000 Воронежская область город Воронеж улица Фридриха Энгельса дом 64а  литера А нежилое встроенное помещение II</t>
  </si>
  <si>
    <t>ИП360100309900003</t>
  </si>
  <si>
    <t>397160 Воронежская область город Борисоглебск Бланская дом 65 помещение №5  нежилое встроенное помещение</t>
  </si>
  <si>
    <t>ИП360100309900004</t>
  </si>
  <si>
    <t>394018 Воронежская область город Воронеж улица Кольцовская дом 33  литера А, А1, А2 нежилое встроенное помещение I</t>
  </si>
  <si>
    <t>ИП360100309900005</t>
  </si>
  <si>
    <t>394088 Воронежская область город Воронеж улица Генерала Лизюкова дом 85  литера А нежилое встроенное помещение №236</t>
  </si>
  <si>
    <t>ИП360100309900006</t>
  </si>
  <si>
    <t>394004 Воронежская область город Воронеж проспект Ленинский дом 30  литера А нежилое встроенное помещение VI</t>
  </si>
  <si>
    <t>ИП360100309900007</t>
  </si>
  <si>
    <t>397600 Воронежская область город Калач улица Ленинская дом 29</t>
  </si>
  <si>
    <t>ИП Позднякова Елена Игоревна</t>
  </si>
  <si>
    <t>366107759221</t>
  </si>
  <si>
    <t>ИП3601011313</t>
  </si>
  <si>
    <t>ИП360101131300000</t>
  </si>
  <si>
    <t>396790 Воронежская область город Богучар площадь Малаховского дом 9</t>
  </si>
  <si>
    <t>ИП360101131300001</t>
  </si>
  <si>
    <t>396460 Воронежская область село Верхний Мамон улица 60 лет Октября дом 8</t>
  </si>
  <si>
    <t>ИП360101131300002</t>
  </si>
  <si>
    <t>397500 Воронежская область город Бутурлиновка улица Блинова дом 35   помещение 4</t>
  </si>
  <si>
    <t>ИП360101131300003</t>
  </si>
  <si>
    <t>396655 Воронежская область город Россошь проспект Труда 1и</t>
  </si>
  <si>
    <t>ИП360101131300004</t>
  </si>
  <si>
    <t>397901 Воронежская область город Лиски улица Коммунистическая дом 14А -</t>
  </si>
  <si>
    <t>ИП Кустов Сергей Николаевич</t>
  </si>
  <si>
    <t>366201290681</t>
  </si>
  <si>
    <t>ИП3601003299</t>
  </si>
  <si>
    <t>ИП360100329900000</t>
  </si>
  <si>
    <t>394018 Воронежская область город Воронеж улица Пушкинская дом 11А   помещение II/2</t>
  </si>
  <si>
    <t>ИП Санина Оксана Владимировна</t>
  </si>
  <si>
    <t>366201349350</t>
  </si>
  <si>
    <t>ИП3601001667</t>
  </si>
  <si>
    <t>ИП360100166700000</t>
  </si>
  <si>
    <t>394077 Воронежская область город Воронеж бульвар Победы дом 23б   часть помещения №364, 1 этаж</t>
  </si>
  <si>
    <t>ИП360100166700001</t>
  </si>
  <si>
    <t>394018 Воронежская область город Воронеж улица Кольцовская дом 35   помещение 1 этаж</t>
  </si>
  <si>
    <t>ИП360100166700002</t>
  </si>
  <si>
    <t>394005 Воронежская область город Воронеж проспект Московский дом 129/1  в литере 1А 1 этаж, часть нежилого помещение №171 , №172</t>
  </si>
  <si>
    <t>ИП360100166700004</t>
  </si>
  <si>
    <t>394077 Воронежская область город Воронеж бульвар Победы дом 23б   Часть помещения 3, 1 этаж</t>
  </si>
  <si>
    <t>ИП Коростелева Марина Викторовна</t>
  </si>
  <si>
    <t>366201364679</t>
  </si>
  <si>
    <t>ИП3601002271</t>
  </si>
  <si>
    <t>ИП360100227100003</t>
  </si>
  <si>
    <t>394051 Воронежская область город Воронеж улица Героев Сибиряков дом 65а   Помещение №58, 1 этаж</t>
  </si>
  <si>
    <t>ИП360100227100004</t>
  </si>
  <si>
    <t>394006 Воронежская область город Воронеж улица 20-летия Октября дом 90   Помещение на 1 этаже</t>
  </si>
  <si>
    <t>ИП360100227100005</t>
  </si>
  <si>
    <t>394088 Воронежская область город Воронеж улица Генерала Лизюкова дом 60</t>
  </si>
  <si>
    <t>ИП360100227100006</t>
  </si>
  <si>
    <t>394036 Воронежская область город Воронеж улица Проспект Революции дом 37  литера А 1 этаж</t>
  </si>
  <si>
    <t>ИП Салеба Сергей Васильевич</t>
  </si>
  <si>
    <t>366209241862</t>
  </si>
  <si>
    <t>ИП3601015542</t>
  </si>
  <si>
    <t>ИП360101554200000</t>
  </si>
  <si>
    <t>394000 Воронежская область город Воронеж улица Московский проспект дом 129/1   помещение 164</t>
  </si>
  <si>
    <t>ИП360101554200002</t>
  </si>
  <si>
    <t>396005 Воронежская область поселок Солнечный улица Парковая дом 3</t>
  </si>
  <si>
    <t>ИП360101554200018</t>
  </si>
  <si>
    <t>394018 Воронежская область город Воронеж улица Кольцовская дом 35   4 ЭТАЖ</t>
  </si>
  <si>
    <t>ИП360101554200020</t>
  </si>
  <si>
    <t>394077 Воронежская область город Воронеж бульвар Победы дом 23б</t>
  </si>
  <si>
    <t>ИП360101554200021</t>
  </si>
  <si>
    <t>394006 Воронежская область город Воронеж улица 20-летия Октября дом 90</t>
  </si>
  <si>
    <t>ИП360101554200022</t>
  </si>
  <si>
    <t>394018 Воронежская область город Воронеж улица Плехановская дом 25   помещение 4</t>
  </si>
  <si>
    <t>ИП360101554200024</t>
  </si>
  <si>
    <t>394018 Воронежская область город Воронеж улица Кольцовская дом 35   1 ЭТАЖ</t>
  </si>
  <si>
    <t>ИП360101554200025</t>
  </si>
  <si>
    <t>394033 Воронежская область город Воронеж проспект Ленинский дом 174п</t>
  </si>
  <si>
    <t>ИП360101554200028</t>
  </si>
  <si>
    <t>394018 Воронежская область город Воронеж улица Куколкина дом 18</t>
  </si>
  <si>
    <t>ИП360101554200030</t>
  </si>
  <si>
    <t>394018 Воронежская область город Воронеж улица Кирова дом 1  литера А этаж 1, нежилое помещение XIV: 1-5</t>
  </si>
  <si>
    <t>ИП Шершнев Геннадий Геннадьевич</t>
  </si>
  <si>
    <t>366215905920</t>
  </si>
  <si>
    <t>ИП3601003058</t>
  </si>
  <si>
    <t>ИП360100305800000</t>
  </si>
  <si>
    <t>397700 Воронежская область город Бобров улица Парижской Коммуны дом 72/1   нежилое помещение №4, этаж 1</t>
  </si>
  <si>
    <t>ИП360100305800001</t>
  </si>
  <si>
    <t>394077 Воронежская область город Воронеж улица Генерала Лизюкова дом 25  литера А нежилое помещение №38, этаж 1</t>
  </si>
  <si>
    <t>ИП360100305800002</t>
  </si>
  <si>
    <t>397903 Воронежская область город Лиски улица 40 Лет Октября дом 44   этаж 1, подъезд 2, нежилое помещение №1</t>
  </si>
  <si>
    <t>ИП360100305800003</t>
  </si>
  <si>
    <t>397500 Воронежская область город Бутурлиновка улица Блинова дом 32   этаж 1, помещение 2</t>
  </si>
  <si>
    <t>ИП360100305800004</t>
  </si>
  <si>
    <t>396420 Воронежская область город Павловск микрорайон Гранитный  корпус 13  этаж 1</t>
  </si>
  <si>
    <t>ИП360100305800005</t>
  </si>
  <si>
    <t>396250 Воронежская область поселок городского типа Анна улица Ленина дом 30   нежилое помещение ювелирный магазин-салон "СЕРДОЛИК"</t>
  </si>
  <si>
    <t>ИП360100305800006</t>
  </si>
  <si>
    <t>394049 Воронежская область город Воронеж улица Лидии Рябцевой дом 50   этаж 1</t>
  </si>
  <si>
    <t>ООО "ЗОЛОТОЙ ЛОТ - ЛОМБАРД"</t>
  </si>
  <si>
    <t>3662200896</t>
  </si>
  <si>
    <t>ЮЛ3601004435</t>
  </si>
  <si>
    <t>ЮЛ360100443500000</t>
  </si>
  <si>
    <t>394018 Воронежская область город Воронеж улица Средне-Московская дом 4  А Помещение III Литера А</t>
  </si>
  <si>
    <t>ИП Зайцева Алиса Евгеньевна</t>
  </si>
  <si>
    <t>366230787679</t>
  </si>
  <si>
    <t>ИП3601034663</t>
  </si>
  <si>
    <t>ИП360103466300000</t>
  </si>
  <si>
    <t>396005 Воронежская область поселок Солнечный улица Парковая дом 3  1Д Блок 4 Нежилое помещение № 260</t>
  </si>
  <si>
    <t>ИП360103466300001</t>
  </si>
  <si>
    <t>394018 Воронежская область город Воронеж улица Театральная дом 36   1 этаж (пом. №1, часть пом. 2, 3,3а,5,6,7,9 нежилого пом. 1), антресоль (пом. №1,2,3,4,5, часть пом. 8, 9 нежилого пом. 1)</t>
  </si>
  <si>
    <t>ИП Бугаев Михаил Сергеевич</t>
  </si>
  <si>
    <t>366231591277</t>
  </si>
  <si>
    <t>ИП3601013404</t>
  </si>
  <si>
    <t>ИП360101340400000</t>
  </si>
  <si>
    <t>394026 Воронежская область город Воронеж улица Дружинников дом 10   оф.503</t>
  </si>
  <si>
    <t>ИП Ебрахим Закария Хаммуд</t>
  </si>
  <si>
    <t>366301434880</t>
  </si>
  <si>
    <t>ИП3601006249</t>
  </si>
  <si>
    <t>ИП360100624900000</t>
  </si>
  <si>
    <t>396250 Воронежская область поселок городского типа Анна улица Ленина дом 25</t>
  </si>
  <si>
    <t>ИП Обухова Юлия Александровна</t>
  </si>
  <si>
    <t>366311314783</t>
  </si>
  <si>
    <t>ИП3601013272</t>
  </si>
  <si>
    <t>ИП360101327200000</t>
  </si>
  <si>
    <t>394000 Воронежская область город Воронеж улица Дзержинского дом 16   этаж 1, нежилое встроенное помещение III</t>
  </si>
  <si>
    <t>ИП Лапина Серафима Юрьевна</t>
  </si>
  <si>
    <t>366403456844</t>
  </si>
  <si>
    <t>ИП3601000348</t>
  </si>
  <si>
    <t>ИП360100034800000</t>
  </si>
  <si>
    <t>ООО "МЕГАПОЛИС-СТИЛЬ"</t>
  </si>
  <si>
    <t>3664047379</t>
  </si>
  <si>
    <t>ЮЛ3601014483</t>
  </si>
  <si>
    <t>ЮЛ360101448300000</t>
  </si>
  <si>
    <t>394030 Воронежская область город Воронеж улица Революции 1905 года дом 31Г   помещения №1 (часть),2,4 этаж 1</t>
  </si>
  <si>
    <t>ООО ЛОМБАРД "АВЕРС"</t>
  </si>
  <si>
    <t>3664061870</t>
  </si>
  <si>
    <t>ЮЛ3601009497</t>
  </si>
  <si>
    <t>ЮЛ360100949700000</t>
  </si>
  <si>
    <t>394051 Воронежская область город Воронеж улица Героев Сибиряков дом 65   этаж 1</t>
  </si>
  <si>
    <t>ЮЛ360100949700008</t>
  </si>
  <si>
    <t>396901 Воронежская область город Семилуки улица Ленина здание 15А  литара 1А этаж 4, офис 405</t>
  </si>
  <si>
    <t>ИП Кованцев Илья Александрович</t>
  </si>
  <si>
    <t>366408988190</t>
  </si>
  <si>
    <t>ИП3601036226</t>
  </si>
  <si>
    <t>ИП360103622600000</t>
  </si>
  <si>
    <t>394018 Воронежская область город Воронеж улица Плехановская дом 1  литера А помещение X</t>
  </si>
  <si>
    <t>ИП Рубцова Алла Анатольевна</t>
  </si>
  <si>
    <t>366409671005</t>
  </si>
  <si>
    <t>ИП3601016610</t>
  </si>
  <si>
    <t>ИП360101661000000</t>
  </si>
  <si>
    <t>394018 Воронежская область город Воронеж улица Куколкина дом 18   этаж 1</t>
  </si>
  <si>
    <t>ИП Полуказакова Ольга Игоревна</t>
  </si>
  <si>
    <t>366412213608</t>
  </si>
  <si>
    <t>ИП3601033951</t>
  </si>
  <si>
    <t>ИП360103395100000</t>
  </si>
  <si>
    <t>ООО "ЛОМБАРД ЧЕРНОЗЕМЬЯ"</t>
  </si>
  <si>
    <t>3664228150</t>
  </si>
  <si>
    <t>ЮЛ3601003248</t>
  </si>
  <si>
    <t>ЮЛ360100324800009</t>
  </si>
  <si>
    <t>396250 Воронежская область Поселок городского типа Анна улица Ленина дом 27</t>
  </si>
  <si>
    <t>ЮЛ360100324800010</t>
  </si>
  <si>
    <t>394074 Воронежская область город Воронеж улица Ростовская дом 58/24</t>
  </si>
  <si>
    <t>ЮЛ360100324800014</t>
  </si>
  <si>
    <t>394077 Воронежская область город Воронеж улица Генерала Лизюкова дом 24</t>
  </si>
  <si>
    <t>ЮЛ360100324800018</t>
  </si>
  <si>
    <t>394033 Воронежская область город Воронеж Ленинский проспект дом 174П   помещение 1</t>
  </si>
  <si>
    <t>ЮЛ360100324800020</t>
  </si>
  <si>
    <t>394042 Воронежская область город Воронеж улица Минская дом 11   помещение 1/1</t>
  </si>
  <si>
    <t>ЮЛ360100324800022</t>
  </si>
  <si>
    <t>396901 Воронежская область город Семилуки площадь Привокзальная дом 1</t>
  </si>
  <si>
    <t>ИП Лавлинский Александр Алексеевич</t>
  </si>
  <si>
    <t>366500369280</t>
  </si>
  <si>
    <t>ИП3601014199</t>
  </si>
  <si>
    <t>ИП360101419900000</t>
  </si>
  <si>
    <t>394051 Воронежская область город Воронеж улица Героев Сибиряков  дом 69   нежилого помещения общей площадью 20 кв.м</t>
  </si>
  <si>
    <t>ИП360101419900005</t>
  </si>
  <si>
    <t>396250 Воронежская область поселок городского типа Анна улица Ленина дом 27   часть здания, 1 этаж</t>
  </si>
  <si>
    <t>ИП Санин Игорь Васильевич</t>
  </si>
  <si>
    <t>366500871290</t>
  </si>
  <si>
    <t>ИП3601002781</t>
  </si>
  <si>
    <t>ИП360100278100002</t>
  </si>
  <si>
    <t>394042 Воронежская область город Воронеж улица Минская дом 11   помещение 1/1, 1 этаж</t>
  </si>
  <si>
    <t>ИП360100278100004</t>
  </si>
  <si>
    <t>394088 Воронежская область город Воронеж улица Генерала Лизюкова дом 60   часть помещения, 1 этаж Торгового центра "Аксиома"</t>
  </si>
  <si>
    <t>ИП360100278100006</t>
  </si>
  <si>
    <t>394074 Воронежская область город Воронеж улица Ростовская дом 58/24   этаж 1, помещение А 2/2</t>
  </si>
  <si>
    <t>ИП360100278100007</t>
  </si>
  <si>
    <t>394033 Воронежская область город Воронеж проспект Ленинский дом 174П  литера А3 этаж 1, часть нежилого помещения №I, помещение №30</t>
  </si>
  <si>
    <t>ИП360100278100008</t>
  </si>
  <si>
    <t>394007 Воронежская область город Воронеж проспект Ленинский дом 117 1 этаж</t>
  </si>
  <si>
    <t>ИП360100278100009</t>
  </si>
  <si>
    <t>394006 Воронежская область город Воронеж улица 20-летия Октября дом 90 этаж 1 литера 2А нежилые помещения 79,80,81</t>
  </si>
  <si>
    <t>ИП360100278100010</t>
  </si>
  <si>
    <t>394077 Воронежская область город Воронеж улица Генерала Лизюкова дом 23</t>
  </si>
  <si>
    <t>ИП360100278100012</t>
  </si>
  <si>
    <t>394048 Воронежская область город Воронеж улица Острогожская дом 166б   помещение 51</t>
  </si>
  <si>
    <t>ИП360100278100013</t>
  </si>
  <si>
    <t>394051 Воронежская область город Воронеж улица Героев Сибиряков дом 69  Литер А 1 этаж, Нежилое помещение IV</t>
  </si>
  <si>
    <t>ИП Лавлинский Михаил Александрович</t>
  </si>
  <si>
    <t>366504659985</t>
  </si>
  <si>
    <t>ИП3601032826</t>
  </si>
  <si>
    <t>ИП360103282600000</t>
  </si>
  <si>
    <t>394051 Воронежская область город Воронеж улица Писателя Маршака дом 3</t>
  </si>
  <si>
    <t>ИП Турбина Людмила Михайловна</t>
  </si>
  <si>
    <t>366505584980</t>
  </si>
  <si>
    <t>ИП3601012900</t>
  </si>
  <si>
    <t>ИП360101290000000</t>
  </si>
  <si>
    <t>394006 Воронежская область город Воронеж улица 20-летия Октября дом 90  Литера 2А 1 этаж, Помещения 58,59</t>
  </si>
  <si>
    <t>ИП360101290000003</t>
  </si>
  <si>
    <t>397600 Воронежская область город Калач улица Ленинская дом 38</t>
  </si>
  <si>
    <t>ИП Сагай Виталий Юрьевич</t>
  </si>
  <si>
    <t>366514502327</t>
  </si>
  <si>
    <t>ИП3601035343</t>
  </si>
  <si>
    <t>ИП360103534300000</t>
  </si>
  <si>
    <t>394018 Воронежская область город Воронеж улица Театральная дом 36 1 этаж  1 этаж, пом.№№ 1часть пом.2, 3б,3в, 4,5,7,10, пом. № 6,7, 8 (часть) пом I, антресоль</t>
  </si>
  <si>
    <t>ИП Добросоцкий Александр Владиславович</t>
  </si>
  <si>
    <t>366522152242</t>
  </si>
  <si>
    <t>ИП3601004735</t>
  </si>
  <si>
    <t>ИП360100473500000</t>
  </si>
  <si>
    <t>394006 Воронежская область город Воронеж улица 20-летия Октября дом 90   часть помещения 81</t>
  </si>
  <si>
    <t>ООО "ЛОМБАРД 585"</t>
  </si>
  <si>
    <t>3665830014</t>
  </si>
  <si>
    <t>ЮЛ3601038802</t>
  </si>
  <si>
    <t>ЮЛ360103880200017</t>
  </si>
  <si>
    <t>394018 Воронежская область город Воронеж Ленинский проспект дом 117  литера А2 помещение XVI</t>
  </si>
  <si>
    <t>ЮЛ360103880200018</t>
  </si>
  <si>
    <t>394088 Воронежская область город Воронеж улица Генерала Лизюкова дом 60   1 этаж</t>
  </si>
  <si>
    <t>ЮЛ360103880200020</t>
  </si>
  <si>
    <t>394036 Воронежская область город Воронеж проспект Революции дом 52/54</t>
  </si>
  <si>
    <t>ИП Бекаури Рамаз Тамазович</t>
  </si>
  <si>
    <t>366609585515</t>
  </si>
  <si>
    <t>ИП3601010379</t>
  </si>
  <si>
    <t>ИП360101037900000</t>
  </si>
  <si>
    <t>394036 Воронежская область город Воронеж улица Таранченко дом 29б   офис 2</t>
  </si>
  <si>
    <t>ООО "ЮВЕЛИРНЫЙ СТИЛЬ"</t>
  </si>
  <si>
    <t>3666155073</t>
  </si>
  <si>
    <t>ЮЛ3601007570</t>
  </si>
  <si>
    <t>ЮЛ360100757000000</t>
  </si>
  <si>
    <t>394077 Воронежская область город Воронеж улица Маршала Жукова дом 1   часть площади торгового зала (торговое место)</t>
  </si>
  <si>
    <t>ЮЛ360100757000001</t>
  </si>
  <si>
    <t>394042 Воронежская область город Воронеж улица Переверткина дом 7   (торговый павильон №08/1) торгового павильона №08, этаж 1</t>
  </si>
  <si>
    <t>ЮЛ360100757000003</t>
  </si>
  <si>
    <t>396310 Воронежская область село Новая Усмань улица Ленина дом 263Б</t>
  </si>
  <si>
    <t>ЮЛ360100757000006</t>
  </si>
  <si>
    <t>394018 Воронежская область город Воронеж улица Куколкина дом 1</t>
  </si>
  <si>
    <t>ЮЛ360100757000009</t>
  </si>
  <si>
    <t>396310 Воронежская область село Новая Усмань Ленина 268</t>
  </si>
  <si>
    <t>ИП Алексеева Елена Васильевна</t>
  </si>
  <si>
    <t>370215601188</t>
  </si>
  <si>
    <t>ИП3702011281</t>
  </si>
  <si>
    <t>ИП370201128100002</t>
  </si>
  <si>
    <t>396730 Воронежская область рабочий поселок Кантемировка улица Победы здание 18</t>
  </si>
  <si>
    <t>ИП Туркин Андрей Владимирович</t>
  </si>
  <si>
    <t>370261989818</t>
  </si>
  <si>
    <t>ИП3702009584</t>
  </si>
  <si>
    <t>ИП370200958400001</t>
  </si>
  <si>
    <t>396790 Воронежская область город Богучар улица Шолохова дом 2</t>
  </si>
  <si>
    <t>ИП370200958400005</t>
  </si>
  <si>
    <t>394030 Воронежская область город Воронеж улица Кольцовская дом 39</t>
  </si>
  <si>
    <t>ИП Урвалов Сергей Сергеевич</t>
  </si>
  <si>
    <t>440100804636</t>
  </si>
  <si>
    <t>ИП4402008644</t>
  </si>
  <si>
    <t>ИП440200864400007</t>
  </si>
  <si>
    <t>394033 Воронежская область город Воронеж проспект Ленинский дом 174П</t>
  </si>
  <si>
    <t>ИП Лавров Игорь Олегович</t>
  </si>
  <si>
    <t>441401582700</t>
  </si>
  <si>
    <t>ИП3503005964</t>
  </si>
  <si>
    <t>ИП350300596400030</t>
  </si>
  <si>
    <t>ИП350300596400032</t>
  </si>
  <si>
    <t>394000 Воронежская область город Воронеж улица Средне-Московская 32 Б</t>
  </si>
  <si>
    <t>ИП350300596400036</t>
  </si>
  <si>
    <t>394005 Воронежская область город Воронеж проспект Московский дом 129/1  1А</t>
  </si>
  <si>
    <t>ИП350300596400038</t>
  </si>
  <si>
    <t>ИП350300596400039</t>
  </si>
  <si>
    <t>ИП350300596400040</t>
  </si>
  <si>
    <t>394007 Воронежская область город Воронеж проспект Ленинский дом 116А  литера А помещение II</t>
  </si>
  <si>
    <t>ЮЛ480100215000003</t>
  </si>
  <si>
    <t>394036 Воронежская область город Воронеж проспект Революции дом 53   этаж: 1, номера на поэтажном плане: 1-4</t>
  </si>
  <si>
    <t>ИП500100445500005</t>
  </si>
  <si>
    <t>394077 Воронежская область город Воронеж бульвар Победы дом 23в   ТЦ Арена</t>
  </si>
  <si>
    <t>ИП500100445500092</t>
  </si>
  <si>
    <t>394018 Воронежская область город Воронеж улица Кольцовская дом 35   ТРЦ Галерея Чижова</t>
  </si>
  <si>
    <t>ИП500100445500095</t>
  </si>
  <si>
    <t>394005 Воронежская область город Воронеж проспект Московский дом 129/1   ТРЦ Московский</t>
  </si>
  <si>
    <t>ИП500100445500116</t>
  </si>
  <si>
    <t>394018 Воронежская область город Воронеж улица Пушкинская дом 8   Павильон ПВ 2-08</t>
  </si>
  <si>
    <t>ИП Банзюк Александр Григорьевич</t>
  </si>
  <si>
    <t>510800969972</t>
  </si>
  <si>
    <t>ИП5103036287</t>
  </si>
  <si>
    <t>ИП510303628700000</t>
  </si>
  <si>
    <t>394077 Воронежская область город Воронеж бульвар Победы дом 23б   помещение № 3 этаж 1</t>
  </si>
  <si>
    <t>ИП520600807800025</t>
  </si>
  <si>
    <t>394000 Воронежская область город Воронеж проспект Московский дом 129/1   помещение №258</t>
  </si>
  <si>
    <t>ЮЛ520603376600065</t>
  </si>
  <si>
    <t>396005 Воронежская область поселок Солнечный улица Парковая дом 3   часть помещения №4</t>
  </si>
  <si>
    <t>ЮЛ520603376600140</t>
  </si>
  <si>
    <t>396790 Воронежская область город Богучар площадь Малаховского дом 12   помещение 2</t>
  </si>
  <si>
    <t>ИП Сбитнева Дарья Викторовна</t>
  </si>
  <si>
    <t>613903248018</t>
  </si>
  <si>
    <t>ИП6104017535</t>
  </si>
  <si>
    <t>ИП610401753500002</t>
  </si>
  <si>
    <t>ИП630601425400025</t>
  </si>
  <si>
    <t>ИП630601425400062</t>
  </si>
  <si>
    <t>394007 Воронежская область город Воронеж проспект Ленинский дом 116Е</t>
  </si>
  <si>
    <t>ЮЛ630603037200004</t>
  </si>
  <si>
    <t>394042 Воронежская область город Воронеж проспект Ленинский дом 137   помещение 2</t>
  </si>
  <si>
    <t>ЮЛ630603037200009</t>
  </si>
  <si>
    <t>394068 Воронежская область город Воронеж улица Хользунова дом 35</t>
  </si>
  <si>
    <t>ЮЛ630603037200018</t>
  </si>
  <si>
    <t>394002 Воронежская область город Воронеж улица Волгоградская дом 2</t>
  </si>
  <si>
    <t>ЮЛ630603037200024</t>
  </si>
  <si>
    <t>394088 Воронежская область город Воронеж улица Владимира Невского дом 7</t>
  </si>
  <si>
    <t>ЮЛ630603037200025</t>
  </si>
  <si>
    <t>ЮЛ630603037200033</t>
  </si>
  <si>
    <t>394019 Воронежская область город Воронеж улица 9 Января дом 111</t>
  </si>
  <si>
    <t>ЮЛ630603037200044</t>
  </si>
  <si>
    <t>394006 Воронежская область город Воронеж улица Кирова дом 26А</t>
  </si>
  <si>
    <t>ЮЛ630603037200050</t>
  </si>
  <si>
    <t>394030 Воронежская область город Воронеж улица Плехановская дом 58  лит.А помещение V (1 этаж помещения  1-9, 2 этаж помещение 10</t>
  </si>
  <si>
    <t>ООО "ЮГ "АЛРОСА"</t>
  </si>
  <si>
    <t>6731040514</t>
  </si>
  <si>
    <t>ЮЛ6701002071</t>
  </si>
  <si>
    <t>ЮЛ670100207100003</t>
  </si>
  <si>
    <t>394005 Воронежская область город Воронеж проспект Московский дом 129/1  Литера 1А Помещения 13 и 14, 1 этаж</t>
  </si>
  <si>
    <t>ИП Тимофеев Сергей Владимирович</t>
  </si>
  <si>
    <t>710500441440</t>
  </si>
  <si>
    <t>ИП0001006376</t>
  </si>
  <si>
    <t>ИП000100637600003</t>
  </si>
  <si>
    <t>396005 Воронежская область поселок Солнечный улица Парковая дом 3   помещение 189</t>
  </si>
  <si>
    <t>ИП000100534900014</t>
  </si>
  <si>
    <t>394033 Воронежская область город Воронеж проспект Ленинский дом 174П   помещение 329,330</t>
  </si>
  <si>
    <t>ИП000100534900015</t>
  </si>
  <si>
    <t>394036 Воронежская область город Воронеж улица Комиссаржевской дом 5  литера А помещение IX</t>
  </si>
  <si>
    <t>ИП Либерман Татьяна Игоревна</t>
  </si>
  <si>
    <t>720404978380</t>
  </si>
  <si>
    <t>ИП5001010793</t>
  </si>
  <si>
    <t>ИП500101079300003</t>
  </si>
  <si>
    <t>394018 Воронежская область город Воронеж улица Кольцовская дом 35   1 этаж</t>
  </si>
  <si>
    <t>ИП Бессонова Марина Александровна</t>
  </si>
  <si>
    <t>760406818411</t>
  </si>
  <si>
    <t>ИП7602016745</t>
  </si>
  <si>
    <t>ИП760201674500000</t>
  </si>
  <si>
    <t>394077 Воронежская область город Воронеж бульвар Победы дом 23б   помещения №292, №293</t>
  </si>
  <si>
    <t>ЮЛ760201190700054</t>
  </si>
  <si>
    <t>394018 Воронежская область город Воронеж улица Кольцовская дом 35   этаж 1</t>
  </si>
  <si>
    <t>ЮЛ760201190700060</t>
  </si>
  <si>
    <t>ЮЛ760201190700068</t>
  </si>
  <si>
    <t>394033 Воронежская область город Воронеж проспект Ленинский дом 174П   помещение 33</t>
  </si>
  <si>
    <t>ЮЛ760201190700069</t>
  </si>
  <si>
    <t>394051 Воронежская область город Воронеж улица Героев Сибиряков дом 65а   помещение 76</t>
  </si>
  <si>
    <t>ЮЛ760201190700075</t>
  </si>
  <si>
    <t>394005 Воронежская область город Воронеж проспект Московский дом 129/1   нежилое помещение № 27</t>
  </si>
  <si>
    <t>ЮЛ760201190700079</t>
  </si>
  <si>
    <t>394033 Воронежская область город Воронеж проспект Ленинский дом 174П  Литер А2, А3 Часть  нежилого помещения I , помещения  26, 27, этаж 1</t>
  </si>
  <si>
    <t>ЮЛ770101216600087</t>
  </si>
  <si>
    <t>ЮЛ770101216600164</t>
  </si>
  <si>
    <t>396005 Воронежская область поселок Солнечный улица Парковая дом 3  литер 1А блока 1-2 помещения 120, часть помещений 121, 122, 220, этаж 1</t>
  </si>
  <si>
    <t>ЮЛ770101216600209</t>
  </si>
  <si>
    <t>394005 Воронежская область город Воронеж проспект Московский дом 129/1  литер 1А помещения 35, 36, 37, 38, этаж 1</t>
  </si>
  <si>
    <t>ЮЛ770101216600280</t>
  </si>
  <si>
    <t>394068 Воронежская область город Воронеж улица Шишкова дом 72   этаж 1, часть нежилого помещения №43 ( часть галереи)</t>
  </si>
  <si>
    <t>ЮЛ770101216600525</t>
  </si>
  <si>
    <t>394033 Воронежская область город Воронеж проспект Ленинский дом 95б   этаж 1, часть нежилого помещения № 228</t>
  </si>
  <si>
    <t>ЮЛ770101216600641</t>
  </si>
  <si>
    <t>394053 Воронежская область город Воронеж проспект Московский дом 90/1   этаж 1, часть помещения № 196 (О52)</t>
  </si>
  <si>
    <t>ЮЛ770101216600669</t>
  </si>
  <si>
    <t>394065 Воронежская область город Воронеж проспект Патриотов дом 3А   этаж 1,  нежилое помещение 45</t>
  </si>
  <si>
    <t>ЮЛ770101216600672</t>
  </si>
  <si>
    <t>397160 Воронежская область город Борисоглебск улица Советская дом 80   этаж 1</t>
  </si>
  <si>
    <t>ЮЛ770101216600693</t>
  </si>
  <si>
    <t>396073 Воронежская область город Нововоронеж улица Первомайская дом 2Б/2   этаж 1, часть помещения № 41</t>
  </si>
  <si>
    <t>ЮЛ770101216600699</t>
  </si>
  <si>
    <t>394050 Воронежская область город Воронеж улица Федора Тютчева дом 101к строение 1  1 этаж, неж пом 43</t>
  </si>
  <si>
    <t>ЮЛ770101216600728</t>
  </si>
  <si>
    <t>394042 Воронежская область город Воронеж улица Остужева дом 2б   1 этаж, часть нежилого помещения</t>
  </si>
  <si>
    <t>ЮЛ770101216600754</t>
  </si>
  <si>
    <t>394038 Воронежская область город Воронеж улица Космонавтов дом 27Г   1 этаж, нежилые помещения № 112, 113</t>
  </si>
  <si>
    <t>ЮЛ770101216600783</t>
  </si>
  <si>
    <t>397901 Воронежская область город Лиски улица Коммунистическая дом 7   1 этаж, часть нежилого помещения № 19</t>
  </si>
  <si>
    <t>ЮЛ770101216600794</t>
  </si>
  <si>
    <t>394018 Воронежская область город Воронеж улица Кольцовская дом 35   1 этаж, часть нежилого помещения</t>
  </si>
  <si>
    <t>ЮЛ770101216600816</t>
  </si>
  <si>
    <t>394048 Воронежская область город Воронеж улица Острогожская дом 166б   1 этаж, нежилое помещение №53</t>
  </si>
  <si>
    <t>ЮЛ770101216600851</t>
  </si>
  <si>
    <t>394088 Воронежская область город Воронеж улица Генерала Лизюкова дом 62   1 этаж, часть нежилого помещения №17</t>
  </si>
  <si>
    <t>ЮЛ770101216600906</t>
  </si>
  <si>
    <t>394006 Воронежская область город Воронеж улица 20-летия Октября дом 90   этаж 1, нежилое помещение  № 18</t>
  </si>
  <si>
    <t>ЮЛ770101216600959</t>
  </si>
  <si>
    <t>394005 Воронежская область город Воронеж проспект Московский дом 129/1</t>
  </si>
  <si>
    <t>ЮЛ770100419400025</t>
  </si>
  <si>
    <t>ЮЛ770100419400031</t>
  </si>
  <si>
    <t>394033 Воронежская область город Воронеж проспект Ленинский дом 174П  литера А2 часть помещения 1 (59-61), 1 (первый) этаж</t>
  </si>
  <si>
    <t>ЮЛ770100193500131</t>
  </si>
  <si>
    <t>394077 Воронежская область город Воронеж бульвар Победы дом 23б   помещения 185-186, 1 (первый) этаж</t>
  </si>
  <si>
    <t>ЮЛ770100193500132</t>
  </si>
  <si>
    <t>394018 Воронежская область город Воронеж улица Кольцовская дом 35   этаж 1 (первый)</t>
  </si>
  <si>
    <t>ЮЛ770100193500133</t>
  </si>
  <si>
    <t>396005 Воронежская область поселок Солнечный улица Парковая дом 3   часть нежилого помещения № 188, Лит А, блок1-2, этаж 1 (первый)</t>
  </si>
  <si>
    <t>ЮЛ770100193500508</t>
  </si>
  <si>
    <t>394051 Воронежская область город Воронеж улица Героев Сибиряков дом 65а   часть помещения № 63, № 65, помещение № 64, этаж 1 (первый)</t>
  </si>
  <si>
    <t>ЮЛ770100193500609</t>
  </si>
  <si>
    <t>394005 Воронежская область город Воронеж проспект Московский дом 129/1  литер 1А часть нежилого помещения № 249, этаж 1 (первый)</t>
  </si>
  <si>
    <t>ЮЛ770100193500845</t>
  </si>
  <si>
    <t>394065 Воронежская область город Воронеж улица Молодогвардейцев дом 14</t>
  </si>
  <si>
    <t>ЮЛ770100193501036</t>
  </si>
  <si>
    <t>394018 Воронежская область город Воронеж улица Кольцовская дом 35   1 (первый) этаж</t>
  </si>
  <si>
    <t>ЮЛ770100193501077</t>
  </si>
  <si>
    <t>397160 Воронежская область город Борисоглебск ул. Советская дом 32</t>
  </si>
  <si>
    <t>ЮЛ780300131300069</t>
  </si>
  <si>
    <t>397855 Воронежская область г. Острогожск ул. Ленина д. 31-м   пом. IX, комната 1</t>
  </si>
  <si>
    <t>ЮЛ780300131300070</t>
  </si>
  <si>
    <t>394033 Воронежская область г. Воронеж проспект Ленинский д. 174п</t>
  </si>
  <si>
    <t>ЮЛ780300131300071</t>
  </si>
  <si>
    <t>394016 Воронежская область г. Воронеж пр. Московский д. 82</t>
  </si>
  <si>
    <t>ЮЛ780300131300072</t>
  </si>
  <si>
    <t>394018 Воронежская область г. Воронеж Плехановская дом 33  лит. А часть нежилого встроенного помещения III</t>
  </si>
  <si>
    <t>ЮЛ780300131300074</t>
  </si>
  <si>
    <t>394077 Воронежская область город Воронеж Коминтерновский район, бульвар Победы дом 23б   часть помещения №3</t>
  </si>
  <si>
    <t>ЮЛ780300308200027</t>
  </si>
  <si>
    <t>396005 Воронежская область поселок Солнечный улица Парковая дом 3   часть нежилого помещения №4, расположенные в Лит 1А, блока 2</t>
  </si>
  <si>
    <t>ЮЛ780300308200087</t>
  </si>
  <si>
    <t>ЮЛ780300308200225</t>
  </si>
  <si>
    <t>ЮЛ780300308200403</t>
  </si>
  <si>
    <t>394005 Воронежская область город Воронеж проспект Московский 129/1   часть нежилого помещения № 258</t>
  </si>
  <si>
    <t>ЮЛ780300308200625</t>
  </si>
  <si>
    <t>394077 Воронежская область город Воронеж, Коминтерновский район бульвар Победы дом 23б   часть помещения № 264</t>
  </si>
  <si>
    <t>ЮЛ780300308200662</t>
  </si>
  <si>
    <t>394018 Воронежская область город Воронеж улица Плехановская дом 33   часть нежилого встроенного помещения III в лит А, а именно комн №2, комнаты№№1,3,4,5,6 на 1 этаже, часть комнат №1, №2 на 2 этаже</t>
  </si>
  <si>
    <t>ЮЛ780300308200769</t>
  </si>
  <si>
    <t>397855 Воронежская область город Острогожск улица Ленина дом 31-м   часть комнаты №1 в нежилом помещении IX</t>
  </si>
  <si>
    <t>ЮЛ780300308200777</t>
  </si>
  <si>
    <t>394016 Воронежская область город Воронеж проспект Московский дом 82   часть нежилого помещения XI лит А9, а именно ком. №№2,5,6,11 и часть ком. №4</t>
  </si>
  <si>
    <t>ЮЛ780300308200778</t>
  </si>
  <si>
    <t>397160 Воронежская область город Борисоглебск улица Советская здание 32   нежилое помещение №4 и часть  нежилых помещений №1 и №5</t>
  </si>
  <si>
    <t>ЮЛ780300308200786</t>
  </si>
  <si>
    <t>394033 Воронежская область город Воронеж проспект Ленинский дом 174п   часть нежилого помещения №331, нежилое помещение №332, №333, расположенные в части помещения №I</t>
  </si>
  <si>
    <t>ЮЛ780300308200984</t>
  </si>
  <si>
    <t>394065 Воронежская область город Воронеж проспект Патриотов дом 3А</t>
  </si>
  <si>
    <t>ЮЛ780300308200997</t>
  </si>
  <si>
    <t>394018 Воронежская область город Воронеж улица Кольцовская 35   часть нежилого помещения №170, нежилые помещения №№ 175,176,177,</t>
  </si>
  <si>
    <t>ЮЛ780300308201180</t>
  </si>
  <si>
    <t>396005 Воронежская область поселок Солнечный Улица Парковая дом 3 блок 2 литера А нежилое строение №169</t>
  </si>
  <si>
    <t>ООО "РЕГИОН ЮК"</t>
  </si>
  <si>
    <t>7816564332</t>
  </si>
  <si>
    <t>ЮЛ7803005460</t>
  </si>
  <si>
    <t>ЮЛ780300546000000</t>
  </si>
  <si>
    <t>394000 Воронежская область город Воронеж Ленинский проспект дом 174  литера П остров №АА2в 1(первый)этаж</t>
  </si>
  <si>
    <t>ИП Филимонова Виктория Викторовна</t>
  </si>
  <si>
    <t>783901214878</t>
  </si>
  <si>
    <t>ИП7803036648</t>
  </si>
  <si>
    <t>ИП780303664800012</t>
  </si>
  <si>
    <t>394000 Воронежская область город Воронеж Московский проспект дом 129/1  литера 1А часть нежилого помещения №258 площадью 6(шесть)кв.м расположенного на 1 этаже здания</t>
  </si>
  <si>
    <t>ИП780303664800013</t>
  </si>
  <si>
    <t>396005 Воронежская область поселок Солнечный улица Парковая дом 3  Литера 1А блока 1-2 (1 этаж), помещение №197</t>
  </si>
  <si>
    <t>ООО "ДЕНОКС"</t>
  </si>
  <si>
    <t>9702036526</t>
  </si>
  <si>
    <t>ЮЛ7701019979</t>
  </si>
  <si>
    <t>ЮЛ770101997900000</t>
  </si>
  <si>
    <t>394033 Воронежская область город Воронеж проспект Ленинский дом 174п   этаж 1, часть нежилого помещения 1</t>
  </si>
  <si>
    <t>ЮЛ770101997900001</t>
  </si>
  <si>
    <t>396005 Воронежская область поселок Солнечный улица Парковая дом 3  1А помещение №117, 1 этаж</t>
  </si>
  <si>
    <t>ЮЛ770100439200097</t>
  </si>
  <si>
    <t>394033 Воронежская область город Воронеж проспект Ленинский дом 174П   нежилое помещение № I, номер на поэтажном плане 34, 1 этаж,  лит.А3</t>
  </si>
  <si>
    <t>ЮЛ770100439200098</t>
  </si>
  <si>
    <t>394077 Воронежская область город Воронеж бульвар Победы дом 23Б    помещение №287-289 1 этаж Торгового центра</t>
  </si>
  <si>
    <t>ЮЛ770100439200100</t>
  </si>
  <si>
    <t>ЮЛ770100439200199</t>
  </si>
  <si>
    <t>ЮЛ770104000500013</t>
  </si>
  <si>
    <t>Донецкая Народная Республика</t>
  </si>
  <si>
    <t>286000 Донецкая Народная Республика город Ясиноватая бульвар Ленина дом 10</t>
  </si>
  <si>
    <t>ИП Бильбулян Ольга Васильевна</t>
  </si>
  <si>
    <t>143402932060</t>
  </si>
  <si>
    <t>ИП9304035322</t>
  </si>
  <si>
    <t>ИП930403532200000</t>
  </si>
  <si>
    <t>284601 Донецкая Народная Республика город Горловка улица Комсомольская дом 21   9</t>
  </si>
  <si>
    <t>ИП Сиротченко Лариса Викторовна</t>
  </si>
  <si>
    <t>230410961700</t>
  </si>
  <si>
    <t>ИП2304033171</t>
  </si>
  <si>
    <t>ИП230403317100000</t>
  </si>
  <si>
    <t>287537 Донецкая Народная Республика город Мариуполь улица Куприна дом 10</t>
  </si>
  <si>
    <t>ИП230400618900051</t>
  </si>
  <si>
    <t>287537 Донецкая Народная Республика город Мариуполь проспект Ленина дом 102</t>
  </si>
  <si>
    <t>ИП230400618900054</t>
  </si>
  <si>
    <t>283086 Донецкая Народная Республика город Донецк пл. Коммунаров 2</t>
  </si>
  <si>
    <t>ИП Филатова Юлия Викторовна</t>
  </si>
  <si>
    <t>262612406501</t>
  </si>
  <si>
    <t>ИП9304035312</t>
  </si>
  <si>
    <t>ИП930403531200000</t>
  </si>
  <si>
    <t>283086 Донецкая Народная Республика город Донецк Артема 34</t>
  </si>
  <si>
    <t>ИП930403531200003</t>
  </si>
  <si>
    <t>286114 Донецкая Народная Республика город Макеевка Свободы 37</t>
  </si>
  <si>
    <t>ИП930403531200004</t>
  </si>
  <si>
    <t>283048 Донецкая Народная Республика город Донецк улица Артема дом 130   нежилое помещение площадью 198 кв.м. на 2-м этаже здания</t>
  </si>
  <si>
    <t>ИП Литвинова Карина Владимировна</t>
  </si>
  <si>
    <t>291203416369</t>
  </si>
  <si>
    <t>ИП4703036866</t>
  </si>
  <si>
    <t>ИП470303686600018</t>
  </si>
  <si>
    <t>287501 Донецкая Народная Республика город Мариуполь, Жовтневый район проспект Металлургов дом 54а   помещение 3</t>
  </si>
  <si>
    <t>ИП470303686600020</t>
  </si>
  <si>
    <t>283086 Донецкая Народная Республика Донецк Первомайская 51  Литера А-5 часть нежилого помещения №3</t>
  </si>
  <si>
    <t>ИП Начас Валентина Валерьяновна</t>
  </si>
  <si>
    <t>312834281621</t>
  </si>
  <si>
    <t>ИП9304035316</t>
  </si>
  <si>
    <t>ИП930403531600000</t>
  </si>
  <si>
    <t>283086 Донецкая Народная Республика город Донецк улица Артема дом 34</t>
  </si>
  <si>
    <t>ИП930403531600004</t>
  </si>
  <si>
    <t>283086 Донецкая Народная Республика город Донецк площадь Коммунаров дом 2</t>
  </si>
  <si>
    <t>ИП930403531600005</t>
  </si>
  <si>
    <t>ИП930403531600007</t>
  </si>
  <si>
    <t>287526 Донецкая Народная Республика город Мариуполь улица 130 Таганрогской дивизии дом 102   помещение 1</t>
  </si>
  <si>
    <t>ИП Кондаурова Надежда Иосифовна</t>
  </si>
  <si>
    <t>344409725575</t>
  </si>
  <si>
    <t>ИП9004036347</t>
  </si>
  <si>
    <t>ИП900403634700001</t>
  </si>
  <si>
    <t>283030 Донецкая Народная Республика город Донецк улица Пролетарская дом 6</t>
  </si>
  <si>
    <t>ИП Михеева Лариса Владимировна</t>
  </si>
  <si>
    <t>345802763592</t>
  </si>
  <si>
    <t>ИП9304036003</t>
  </si>
  <si>
    <t>ИП930403600300000</t>
  </si>
  <si>
    <t>283044 Донецкая Народная Республика город Донецк улица Коммунистическая дом 14Б</t>
  </si>
  <si>
    <t>ИП930403600300001</t>
  </si>
  <si>
    <t>286500 Донецкая Народная Республика г. Снежное ул. Крестьянская 43</t>
  </si>
  <si>
    <t>ИП Дудченко Александр Григорьевич</t>
  </si>
  <si>
    <t>345917555616</t>
  </si>
  <si>
    <t>ИП9404035293</t>
  </si>
  <si>
    <t>ИП940403529300000</t>
  </si>
  <si>
    <t>286600 Донецкая Народная Республика город Торез бульвар Ильича дом 9</t>
  </si>
  <si>
    <t>ИП940403529300001</t>
  </si>
  <si>
    <t>286211 Донецкая Народная Республика город Шахтерск улица Крупской дом 18 универмаг "Радуга" II этаж</t>
  </si>
  <si>
    <t>ИП940403529300002</t>
  </si>
  <si>
    <t>283000 Донецкая Народная Республика город Донецк площадь Коммунаров дом 2</t>
  </si>
  <si>
    <t>ИП Василюк Евгения Евгеньевна</t>
  </si>
  <si>
    <t>366239171482</t>
  </si>
  <si>
    <t>ИП9304035302</t>
  </si>
  <si>
    <t>ИП930403530200000</t>
  </si>
  <si>
    <t>ИП930403530200003</t>
  </si>
  <si>
    <t>ИП Ерёменко Раиса Анатольевна</t>
  </si>
  <si>
    <t>504107447032</t>
  </si>
  <si>
    <t>ИП9304036572</t>
  </si>
  <si>
    <t>ИП930403657200000</t>
  </si>
  <si>
    <t>286600 Донецкая Народная Республика город Торез Стаханова дом 2   квартира 18</t>
  </si>
  <si>
    <t>ИП Штефан Анна Юрьевна</t>
  </si>
  <si>
    <t>611905133509</t>
  </si>
  <si>
    <t>ИП9304037074</t>
  </si>
  <si>
    <t>ИП930403707400000</t>
  </si>
  <si>
    <t>283001 Донецкая Народная Республика город Донецк ул. Постышева д.131  ЛитерА-4</t>
  </si>
  <si>
    <t>ИП Курбатова Екатерина Юрьевна</t>
  </si>
  <si>
    <t>611906750871</t>
  </si>
  <si>
    <t>ИП6104039739</t>
  </si>
  <si>
    <t>ИП610403973900000</t>
  </si>
  <si>
    <t>286126 Донецкая Народная Республика город Макеевка проспект Генерала Данилова дом 71А</t>
  </si>
  <si>
    <t>ИП Чалюк Людмила Владимировна</t>
  </si>
  <si>
    <t>614011016098</t>
  </si>
  <si>
    <t>ИП9304036375</t>
  </si>
  <si>
    <t>ИП930403637500000</t>
  </si>
  <si>
    <t>286430 Донецкая Народная Республика город Енакиево проспект Ленина здание 101-3</t>
  </si>
  <si>
    <t>ИП930403637500002</t>
  </si>
  <si>
    <t>283086 Донецкая Народная Республика город Донецк улица Артёма дом 34</t>
  </si>
  <si>
    <t>ИП Гарибова Светлана Владимировна</t>
  </si>
  <si>
    <t>614012023404</t>
  </si>
  <si>
    <t>ИП9304035335</t>
  </si>
  <si>
    <t>ИП930403533500000</t>
  </si>
  <si>
    <t>283086 Донецкая Народная Республика город Донецк улица Первомайская дом 51 комплекс литер А-5 часть нежилого помещения № 3 на 3 этаже</t>
  </si>
  <si>
    <t>ИП930403533500003</t>
  </si>
  <si>
    <t>2830017 Донецкая Народная Республика город Донецк бульвар Шевченко дом 41 Д</t>
  </si>
  <si>
    <t>ИП Маринаки Руслан Александрович</t>
  </si>
  <si>
    <t>614012246961</t>
  </si>
  <si>
    <t>ИП9304040664</t>
  </si>
  <si>
    <t>ИП930404066400000</t>
  </si>
  <si>
    <t>284626 Донецкая Народная Республика город Горловка улица Пушкинская дом 12   помещение 42</t>
  </si>
  <si>
    <t>ИП Таланов Юрий Лазаревич</t>
  </si>
  <si>
    <t>614012284685</t>
  </si>
  <si>
    <t>ИП9304035296</t>
  </si>
  <si>
    <t>ИП930403529600000</t>
  </si>
  <si>
    <t>286700 Донецкая Народная Республика Харцызск Вокзальная 34</t>
  </si>
  <si>
    <t>ИП Фиалковская Наталья Гавриловна</t>
  </si>
  <si>
    <t>614013230481</t>
  </si>
  <si>
    <t>ИП9304035330</t>
  </si>
  <si>
    <t>П1000403441700000</t>
  </si>
  <si>
    <t>ИП Дворникова Ирина Николаевна</t>
  </si>
  <si>
    <t>614013483563</t>
  </si>
  <si>
    <t>ИП9304037695</t>
  </si>
  <si>
    <t>ИП930403769500000</t>
  </si>
  <si>
    <t>283052 Донецкая Народная Республика город Донецк бульвар Шахтостроителей дом 22-а  Литера А-2 2 этаж</t>
  </si>
  <si>
    <t>ИП Зайцева Ольга Александровна</t>
  </si>
  <si>
    <t>614013932787</t>
  </si>
  <si>
    <t>ИП9304039761</t>
  </si>
  <si>
    <t>ИП930403976100000</t>
  </si>
  <si>
    <t>283086 Донецкая Народная Республика город Донецк улица Первомайская дом 51  Литера А-5 часть нежилого помещение №3 на 3 этаже здания Торгового цента «Континент»</t>
  </si>
  <si>
    <t>ИП Нечаев Дмитрий Сергеевич</t>
  </si>
  <si>
    <t>614014343262</t>
  </si>
  <si>
    <t>ИП9304037217</t>
  </si>
  <si>
    <t>ИП930403721700000</t>
  </si>
  <si>
    <t>283001 Донецкая Народная Республика город Донецк улица Октябрьская дом 59</t>
  </si>
  <si>
    <t>ИП Тихомирова Валентина Анатольевна</t>
  </si>
  <si>
    <t>614015038127</t>
  </si>
  <si>
    <t>ИП9304037247</t>
  </si>
  <si>
    <t>ИП930403724700000</t>
  </si>
  <si>
    <t>287600 Донецкая Народная Республика город Новоазовск улица Коммунаров дом 45А  Амс-2</t>
  </si>
  <si>
    <t>ИП930403724700001</t>
  </si>
  <si>
    <t>286211 Донецкая Народная Республика город Шахтерск улица Ленина дом 24   помещение 23</t>
  </si>
  <si>
    <t>ИП930403724700003</t>
  </si>
  <si>
    <t>286211 Донецкая Народная Республика город Шахтерск улица Крупской дом 18   Кабинет 1</t>
  </si>
  <si>
    <t>ИП Гребенюкова Елена Владимировна</t>
  </si>
  <si>
    <t>614015623103</t>
  </si>
  <si>
    <t>ИП9304035623</t>
  </si>
  <si>
    <t>ИП930403562300000</t>
  </si>
  <si>
    <t>283117 Донецкая Народная Республика город Донецк улица Ляшенко дом 1А</t>
  </si>
  <si>
    <t>ИП930403562300004</t>
  </si>
  <si>
    <t>286211 Донецкая Народная Республика город Шахтерск улица Крупской дом 18   Кабинет 2</t>
  </si>
  <si>
    <t>ИП930403562300005</t>
  </si>
  <si>
    <t>286430 Донецкая Народная Республика город Енакиево проспект Ленина 100</t>
  </si>
  <si>
    <t>ИП Арустамов Роман Георгиевич</t>
  </si>
  <si>
    <t>614016252966</t>
  </si>
  <si>
    <t>ИП9304035305</t>
  </si>
  <si>
    <t>ИП930403530500000</t>
  </si>
  <si>
    <t>284601 Донецкая Народная Республика город Горловка проспект Ленина дом 6</t>
  </si>
  <si>
    <t>ИП РЯЖЕЧКИНА Е. А.</t>
  </si>
  <si>
    <t>614016369890</t>
  </si>
  <si>
    <t>ИП9304037116</t>
  </si>
  <si>
    <t>ИП930403711600000</t>
  </si>
  <si>
    <t>ИП Жданова Оксана Анатольевна</t>
  </si>
  <si>
    <t>614018317714</t>
  </si>
  <si>
    <t>ИП9304035336</t>
  </si>
  <si>
    <t>ИП930403533600000</t>
  </si>
  <si>
    <t>283086 Донецкая Народная Республика город Донецк улица Первомайская дом 51 комплекс литер А-5 часть нежилого помещения № 33 на 1 этаже</t>
  </si>
  <si>
    <t>ИП930403533600003</t>
  </si>
  <si>
    <t>283048 Донецкая Народная Республика город Донецк улица Артема дом 130   помещение №20</t>
  </si>
  <si>
    <t>ИП Дворников Олег Евгеньевич</t>
  </si>
  <si>
    <t>614019196981</t>
  </si>
  <si>
    <t>ИП9304036026</t>
  </si>
  <si>
    <t>ИП930403602600000</t>
  </si>
  <si>
    <t>286157 Донецкая Народная Республика Макеевка Московская 26  А</t>
  </si>
  <si>
    <t>ИП Полевой Алексей Алексеевич</t>
  </si>
  <si>
    <t>614019556715</t>
  </si>
  <si>
    <t>ИП9304039723</t>
  </si>
  <si>
    <t>ИП930403972300000</t>
  </si>
  <si>
    <t>283117 Донецкая Народная Республика город Донецк улица Ляшенко дом 2 корпус Б</t>
  </si>
  <si>
    <t>ИП Подгайная Марина Владимировна</t>
  </si>
  <si>
    <t>614019911014</t>
  </si>
  <si>
    <t>ИП9304035318</t>
  </si>
  <si>
    <t>ИП930403531800000</t>
  </si>
  <si>
    <t>283080 Донецкая Народная Республика город Донецк проспект Ленинский 148</t>
  </si>
  <si>
    <t>ИП930403531800002</t>
  </si>
  <si>
    <t>86430 Донецкая Народная Республика город Енакиево проспект Ленина 96 "б"</t>
  </si>
  <si>
    <t>ИП Майкова Надежда Тимофеевна</t>
  </si>
  <si>
    <t>614020273486</t>
  </si>
  <si>
    <t>ИП9304035306</t>
  </si>
  <si>
    <t>ИП930403530600000</t>
  </si>
  <si>
    <t>83086 Донецкая Народная Республика город Донецк площадь Коммунаров дом 2</t>
  </si>
  <si>
    <t>ИП Апостолов Владимир Вадимович</t>
  </si>
  <si>
    <t>614021918916</t>
  </si>
  <si>
    <t>ИП9304035254</t>
  </si>
  <si>
    <t>ИП930403525400000</t>
  </si>
  <si>
    <t>284626 Донецкая Народная Республика город Горловка улица Гагарина дом 37   2</t>
  </si>
  <si>
    <t>ИП Кошелева Светлана Александровна</t>
  </si>
  <si>
    <t>614024122512</t>
  </si>
  <si>
    <t>ИП9304035311</t>
  </si>
  <si>
    <t>ИП930403531100000</t>
  </si>
  <si>
    <t>283001 Донецкая Народная Республика город Донецк улица Постышева  дом 117   супермаркет "ЗОЛОТО"</t>
  </si>
  <si>
    <t>ИП Гельзин Владимир Григорьевич</t>
  </si>
  <si>
    <t>614024334130</t>
  </si>
  <si>
    <t>ИП9304036346</t>
  </si>
  <si>
    <t>ИП930403634600000</t>
  </si>
  <si>
    <t>283086 Донецкая Народная Республика город Донецк проспект Павших Коммунаров дом 1</t>
  </si>
  <si>
    <t>ИП Закервашевич Анна Александровна</t>
  </si>
  <si>
    <t>614031505065</t>
  </si>
  <si>
    <t>ИП9304035772</t>
  </si>
  <si>
    <t>ИП930403577200000</t>
  </si>
  <si>
    <t>283086 Донецкая Народная Республика город Донецк площадь Коммунаров 2 0 этаж  7</t>
  </si>
  <si>
    <t>ИП Краснокутская Анастасия Александровна</t>
  </si>
  <si>
    <t>614035946600</t>
  </si>
  <si>
    <t>ИП9304038522</t>
  </si>
  <si>
    <t>ИП930403852200000</t>
  </si>
  <si>
    <t>86157 Донецкая Народная Республика город Макеевка Ленина 48/26</t>
  </si>
  <si>
    <t>ИП930403852200001</t>
  </si>
  <si>
    <t>86132 Донецкая Народная Республика город Макеевка Ленина 45/31  43</t>
  </si>
  <si>
    <t>ИП930403852200002</t>
  </si>
  <si>
    <t>287537 Донецкая Народная Республика город Мариуполь Куприна 10  М2</t>
  </si>
  <si>
    <t>ИП930403852200003</t>
  </si>
  <si>
    <t>286132 Донецкая Народная Республика город Макеевка бульвар Горбачева дом 25А   помещение 11</t>
  </si>
  <si>
    <t>ИП Салахидинова Елена Николаевна</t>
  </si>
  <si>
    <t>614036250205</t>
  </si>
  <si>
    <t>ИП9304040330</t>
  </si>
  <si>
    <t>ИП930404033000000</t>
  </si>
  <si>
    <t>284626 Донецкая Народная Республика город Горловка проспект Победы 66   68</t>
  </si>
  <si>
    <t>ИП Гордзейко Дмитрий Викторович</t>
  </si>
  <si>
    <t>614042148400</t>
  </si>
  <si>
    <t>ИП9304038580</t>
  </si>
  <si>
    <t>ИП930403858000000</t>
  </si>
  <si>
    <t>283086 Донецкая Народная Республика Донецк Артема 34   1 этаж</t>
  </si>
  <si>
    <t>ИП Ноздрачева Елена Михайловна</t>
  </si>
  <si>
    <t>614045309984</t>
  </si>
  <si>
    <t>ИП9304039795</t>
  </si>
  <si>
    <t>ИП930403979500000</t>
  </si>
  <si>
    <t>287251 Донецкая Народная Республика город Комсомольское улица Ленина дом 5   квартира 8</t>
  </si>
  <si>
    <t>ИП Усипенко Ольга Сергеевна</t>
  </si>
  <si>
    <t>614049283303</t>
  </si>
  <si>
    <t>ИП9304035376</t>
  </si>
  <si>
    <t>ИП930403537600000</t>
  </si>
  <si>
    <t>283085 Донецкая Народная Республика город Донецк Артема 130 помещение №56 буквП-5</t>
  </si>
  <si>
    <t>ИП Овчаренко Александр Игоревич</t>
  </si>
  <si>
    <t>614050326350</t>
  </si>
  <si>
    <t>ИП9304037624</t>
  </si>
  <si>
    <t>ИП930403762400000</t>
  </si>
  <si>
    <t>287501 Донецкая Народная Республика город Мариуполь проспект Металлургов дом 43 помещение 66</t>
  </si>
  <si>
    <t>ИП930403762400002</t>
  </si>
  <si>
    <t>287526 Донецкая Народная Республика город Мариуполь проспект Победы дом 46/34   помещение 20</t>
  </si>
  <si>
    <t>ИП930403762400005</t>
  </si>
  <si>
    <t>287537 Донецкая Народная Республика город Мариуполь проспект Ленина дом 102 помещение 161</t>
  </si>
  <si>
    <t>ИП930403762400008</t>
  </si>
  <si>
    <t>ИП Резанова Марина Дмитриевна</t>
  </si>
  <si>
    <t>614051054678</t>
  </si>
  <si>
    <t>ИП9304036797</t>
  </si>
  <si>
    <t>ИП930403679700000</t>
  </si>
  <si>
    <t>283001 Донецкая Народная Республика город Донецк улица Постышева дом 117   ювелирный супермаркет "Золото"</t>
  </si>
  <si>
    <t>ИП Ерёменко Сергей Николаевич</t>
  </si>
  <si>
    <t>614068938139</t>
  </si>
  <si>
    <t>ИП9304037440</t>
  </si>
  <si>
    <t>ИП930403744000000</t>
  </si>
  <si>
    <t>283117 Донецкая Народная Республика город Донецк улица Петровского дом 138</t>
  </si>
  <si>
    <t>ИП Лукьянченко Фатима Октаевна</t>
  </si>
  <si>
    <t>614322630920</t>
  </si>
  <si>
    <t>ИП9304035303</t>
  </si>
  <si>
    <t>ИП930403530300000</t>
  </si>
  <si>
    <t>286130 Донецкая Народная Республика Макеевка Депутатская 46</t>
  </si>
  <si>
    <t>ИП930403530300002</t>
  </si>
  <si>
    <t>286032 Донецкая Народная Республика город Макеевка Ленина 43/24</t>
  </si>
  <si>
    <t>ИП930403530300003</t>
  </si>
  <si>
    <t>286004 Донецкая Народная Республика город Макеевка улица Малиновского дом 36</t>
  </si>
  <si>
    <t>ИП930403530300004</t>
  </si>
  <si>
    <t>283003 Донецкая Народная Республика город Донецк проспект Ильича дом 23Д</t>
  </si>
  <si>
    <t>ИП Перехрест Ольга Сергеевна</t>
  </si>
  <si>
    <t>614322800107</t>
  </si>
  <si>
    <t>ИП9304037926</t>
  </si>
  <si>
    <t>ИП930403792600000</t>
  </si>
  <si>
    <t>287537 Донецкая Народная Республика Мариуполь куприна 10  Б-1</t>
  </si>
  <si>
    <t>ИП930403792600001</t>
  </si>
  <si>
    <t>286706 Донецкая Народная Республика город Харцызск улица Октябрьская дом 34  нежилое помещение "Торговые ряды" магазин №17,18</t>
  </si>
  <si>
    <t>ИП Вороничева Елена Николаевна</t>
  </si>
  <si>
    <t>614325372266</t>
  </si>
  <si>
    <t>ИП9304035310</t>
  </si>
  <si>
    <t>ИП930403531000000</t>
  </si>
  <si>
    <t>286145 Донецкая Народная Республика город Макеевка микрорайон Первомайский дом 7</t>
  </si>
  <si>
    <t>ИП Бутков Алексей Иванович</t>
  </si>
  <si>
    <t>614327150389</t>
  </si>
  <si>
    <t>ИП9304035320</t>
  </si>
  <si>
    <t>ИП930403532000000</t>
  </si>
  <si>
    <t>286155 Донецкая Народная Республика город Макеевка улица 250-летия Донбасса дом 78   помещение № 17</t>
  </si>
  <si>
    <t>ИП Перехрест Максим Владимирович</t>
  </si>
  <si>
    <t>614328189967</t>
  </si>
  <si>
    <t>ИП9304037013</t>
  </si>
  <si>
    <t>ИП930403701300000</t>
  </si>
  <si>
    <t>286132 Донецкая Народная Республика город Макеевка улица Ленина дом 46/28</t>
  </si>
  <si>
    <t>ИП Баженова Раиса Никитична</t>
  </si>
  <si>
    <t>614328988960</t>
  </si>
  <si>
    <t>ИП9304036122</t>
  </si>
  <si>
    <t>ИП930403612200000</t>
  </si>
  <si>
    <t>283086 Донецкая Народная Республика город Донецк улица Первомайская дом 51  А-5 нежилое помещение №57,58</t>
  </si>
  <si>
    <t>ИП Кошелев Сергей Вячеславович</t>
  </si>
  <si>
    <t>614329004182</t>
  </si>
  <si>
    <t>ИП9304037086</t>
  </si>
  <si>
    <t>ИП930403708600000</t>
  </si>
  <si>
    <t>283048 Донецкая Народная Республика город Донецк Артёма 130  П-5 нежилое помещение №90</t>
  </si>
  <si>
    <t>ИП930403708600002</t>
  </si>
  <si>
    <t>86123 Донецкая Народная Республика город Донецк автодорога Славянск-Донецк-Мариуполь, 114 км</t>
  </si>
  <si>
    <t>ИП930403708600003</t>
  </si>
  <si>
    <t>283086 Донецкая Народная Республика город Донецк Артема 51А   нежилое помещение №28</t>
  </si>
  <si>
    <t>ИП930403708600004</t>
  </si>
  <si>
    <t>286600 Донецкая Народная Республика город Торез улица Пионерская дом 2</t>
  </si>
  <si>
    <t>ИП Суетова Елена Владимировна</t>
  </si>
  <si>
    <t>614329719550</t>
  </si>
  <si>
    <t>ИП9304038069</t>
  </si>
  <si>
    <t>ИП930403806900000</t>
  </si>
  <si>
    <t>286430 Донецкая Народная Республика город Енакиево проспект Ленина дом 97   помещение 97б</t>
  </si>
  <si>
    <t>ИП930403806900001</t>
  </si>
  <si>
    <t>283086 Донецкая Народная Республика Донецк Первомайская 51  А-5 часть нежилого помещение №33 на 1 этаже здания Торгового цента «Континент»</t>
  </si>
  <si>
    <t>ИП Нечаева Людмила Михайловна</t>
  </si>
  <si>
    <t>614329720740</t>
  </si>
  <si>
    <t>ИП9304037218</t>
  </si>
  <si>
    <t>ИП930403721800000</t>
  </si>
  <si>
    <t>283048 Донецкая Народная Республика город Донецк улица Артема дом 130   часть нежилого помещения №56 на первом этаже здания торгового центра букв П--5</t>
  </si>
  <si>
    <t>ИП930403721800001</t>
  </si>
  <si>
    <t>284627 Донецкая Народная Республика город Горловка улица Гагарина дом 49   помещение 33</t>
  </si>
  <si>
    <t>ИП Зайцева Наталья Викторовна</t>
  </si>
  <si>
    <t>614329769463</t>
  </si>
  <si>
    <t>ИП9304037330</t>
  </si>
  <si>
    <t>ИП930403733000000</t>
  </si>
  <si>
    <t>286114 Донецкая Народная Республика город Макеевка улица Малиновского дом 59</t>
  </si>
  <si>
    <t>ИП Гетман Ирина Борисовна</t>
  </si>
  <si>
    <t>614330982115</t>
  </si>
  <si>
    <t>ИП9304035324</t>
  </si>
  <si>
    <t>ИП930403532400000</t>
  </si>
  <si>
    <t>286429 Донецкая Народная Республика город Енакиево проспект Ленина дом 100</t>
  </si>
  <si>
    <t>ИП Бережная Ирина Ивановна</t>
  </si>
  <si>
    <t>614334341747</t>
  </si>
  <si>
    <t>ИП9304035309</t>
  </si>
  <si>
    <t>П1000403487600000</t>
  </si>
  <si>
    <t>283062 Донецкая Народная Республика город Донецк проспект Ленинский дом 4/А   офис 411а</t>
  </si>
  <si>
    <t>ИП Расчесов Илья Александрович</t>
  </si>
  <si>
    <t>614335915472</t>
  </si>
  <si>
    <t>ИП9304035560</t>
  </si>
  <si>
    <t>ИП930403556000000</t>
  </si>
  <si>
    <t>283000 Донецкая Народная Республика город Донецк улица Артема дом 41 - - -</t>
  </si>
  <si>
    <t>ИП930403556000001</t>
  </si>
  <si>
    <t>ИП Судариков Сергей Александрович</t>
  </si>
  <si>
    <t>614337641650</t>
  </si>
  <si>
    <t>ИП9304035334</t>
  </si>
  <si>
    <t>П1000403448400000</t>
  </si>
  <si>
    <t>283086 Донецкая Народная Республика город Донецк улица Постышева дом 129   этаж № 1, помещение под магазин</t>
  </si>
  <si>
    <t>ИП Арнаутова Таиса Федоровна</t>
  </si>
  <si>
    <t>614337825023</t>
  </si>
  <si>
    <t>ИП9304038322</t>
  </si>
  <si>
    <t>ИП930403832200000</t>
  </si>
  <si>
    <t>287250 Донецкая Народная Республика Комсомольское Набережная дом 2</t>
  </si>
  <si>
    <t>ИП Тарасова Екатерина Михайловна</t>
  </si>
  <si>
    <t>614339045741</t>
  </si>
  <si>
    <t>ИП9304036155</t>
  </si>
  <si>
    <t>ИП930403615500000</t>
  </si>
  <si>
    <t>286709 Донецкая Народная Республика город Харцызск улица Вокзальная дом 47</t>
  </si>
  <si>
    <t>ИП СОРОКИНА С. В.</t>
  </si>
  <si>
    <t>614341454967</t>
  </si>
  <si>
    <t>ИП9304038440</t>
  </si>
  <si>
    <t>ИП930403844000000</t>
  </si>
  <si>
    <t>283092 Донецкая Народная Республика город Донецк улица Полоцкая дом 9</t>
  </si>
  <si>
    <t>ИП Терешкин Руслан Валентинович</t>
  </si>
  <si>
    <t>614343896939</t>
  </si>
  <si>
    <t>ИП9304035301</t>
  </si>
  <si>
    <t>ИП930403530100000</t>
  </si>
  <si>
    <t>283015 Донецкая Народная Республика город Донецк проспект Мира дом 13</t>
  </si>
  <si>
    <t>ИП930403530100001</t>
  </si>
  <si>
    <t>283030 Донецкая Народная Республика город Донецк улица Октября дом 26В</t>
  </si>
  <si>
    <t>ИП930403530100002</t>
  </si>
  <si>
    <t>283086 Донецкая Народная Республика город Донецк улица Артема 34</t>
  </si>
  <si>
    <t>ИП Краснокутский Александр Александрович</t>
  </si>
  <si>
    <t>614344981633</t>
  </si>
  <si>
    <t>ИП9304036667</t>
  </si>
  <si>
    <t>ИП930403666700000</t>
  </si>
  <si>
    <t>283086 Донецкая Народная Республика город Донецк улица Постышева дом 117</t>
  </si>
  <si>
    <t>ИП930403666700002</t>
  </si>
  <si>
    <t>283048 Донецкая Народная Республика город Донецк улица Артема дом 130</t>
  </si>
  <si>
    <t>ИП930403666700003</t>
  </si>
  <si>
    <t>286132 Донецкая Народная Республика город Макеевка улица Ленина дом 46/28   помещение 62/ магазин №32</t>
  </si>
  <si>
    <t>ИП Кондалова Неля Валентиновна</t>
  </si>
  <si>
    <t>614346608106</t>
  </si>
  <si>
    <t>ИП9304036319</t>
  </si>
  <si>
    <t>ИП930403631900000</t>
  </si>
  <si>
    <t>286132 Донецкая Народная Республика город Макеевка улица  Свердлова дом 88</t>
  </si>
  <si>
    <t>ИП930403631900001</t>
  </si>
  <si>
    <t>286132 Донецкая Народная Республика город Макеевка бульвар Горбачева дом 32   помещение №12</t>
  </si>
  <si>
    <t>ИП930403631900002</t>
  </si>
  <si>
    <t>283086 Донецкая Народная Республика город Донецк улица Артема дом 41</t>
  </si>
  <si>
    <t>ИП Тишаев Дмитрий Викторович</t>
  </si>
  <si>
    <t>615435644404</t>
  </si>
  <si>
    <t>ИП9304035253</t>
  </si>
  <si>
    <t>ИП930403525300000</t>
  </si>
  <si>
    <t>ИП930403525300002</t>
  </si>
  <si>
    <t>283092 Донецкая Народная Республика город Донецк улица Полоцкая дом 13В</t>
  </si>
  <si>
    <t>ИП930403525300003</t>
  </si>
  <si>
    <t>286123 Донецкая Народная Республика город Макеевка, Горняцкий район автодорога Славянск-Донецк-Мариуполь объект 114 км</t>
  </si>
  <si>
    <t>ИП930403525300004</t>
  </si>
  <si>
    <t>283001 Донецкая Народная Республика город Донецк улица Постышева дом 117</t>
  </si>
  <si>
    <t>ИП930403525300005</t>
  </si>
  <si>
    <t>286600 Донецкая Народная Республика город Торез улица Николаева дом 51</t>
  </si>
  <si>
    <t>ИП Кастырина Ольга Александровна</t>
  </si>
  <si>
    <t>615436041409</t>
  </si>
  <si>
    <t>ИП6104035123</t>
  </si>
  <si>
    <t>ИП610403512300000</t>
  </si>
  <si>
    <t>286211 Донецкая Народная Республика город Шахтерск улица Крупской дом 18</t>
  </si>
  <si>
    <t>ИП610403512300001</t>
  </si>
  <si>
    <t>286500 Донецкая Народная Республика город Снежное улица Крестьянская дом 43</t>
  </si>
  <si>
    <t>ИП Чепур Александр Алексеевич</t>
  </si>
  <si>
    <t>615506958921</t>
  </si>
  <si>
    <t>ИП9304036057</t>
  </si>
  <si>
    <t>ИП930403605700000</t>
  </si>
  <si>
    <t>ИП930403605700002</t>
  </si>
  <si>
    <t>286126 Донецкая Народная Республика город Макеевка проспект Данилова Генерала дом 71А</t>
  </si>
  <si>
    <t>ИП930403605700003</t>
  </si>
  <si>
    <t>ИП930403605700004</t>
  </si>
  <si>
    <t>283000 Донецкая Народная Республика город Донецк проспект Ильича дом 93Д</t>
  </si>
  <si>
    <t>ИП Михеева Юлия Павловна</t>
  </si>
  <si>
    <t>616122370524</t>
  </si>
  <si>
    <t>ИП9304035325</t>
  </si>
  <si>
    <t>ИП930403532500000</t>
  </si>
  <si>
    <t>287537 Донецкая Народная Республика город Мариуполь улица Куприна дом 10  Литера М-2, первый этаж</t>
  </si>
  <si>
    <t>ИП Гончарова Светлана Петровна</t>
  </si>
  <si>
    <t>617100437784</t>
  </si>
  <si>
    <t>ИП9304040599</t>
  </si>
  <si>
    <t>ИП930404059900000</t>
  </si>
  <si>
    <t>283086 Донецкая Народная Республика город Донецк улица Артема дом 51А   Часть нежилого помещения №8 первого этажа, здания культурно-общественного торгового центра</t>
  </si>
  <si>
    <t>ИП Шост Александра Кузьминична</t>
  </si>
  <si>
    <t>617100590302</t>
  </si>
  <si>
    <t>ИП9304038129</t>
  </si>
  <si>
    <t>ИП930403812900000</t>
  </si>
  <si>
    <t>361045 Донецкая Народная Республика город Шахтерск улица Берегового дом 11</t>
  </si>
  <si>
    <t>ИП Юдина Вера Александровна</t>
  </si>
  <si>
    <t>618800328863</t>
  </si>
  <si>
    <t>ИП6104031628</t>
  </si>
  <si>
    <t>ИП610403162800000</t>
  </si>
  <si>
    <t>ИП610403162800001</t>
  </si>
  <si>
    <t>283086 Донецкая Народная Республика город Донецк Первомайская 51  А-5</t>
  </si>
  <si>
    <t>ИП Попова Наталья Владимировна</t>
  </si>
  <si>
    <t>619300225332</t>
  </si>
  <si>
    <t>ИП9304035300</t>
  </si>
  <si>
    <t>ИП930403530000000</t>
  </si>
  <si>
    <t>283010 Донецкая Народная Республика город Донецк площадь Победы 1</t>
  </si>
  <si>
    <t>ИП Липовецкий Александр Федорович</t>
  </si>
  <si>
    <t>619500048786</t>
  </si>
  <si>
    <t>ИП9304039240</t>
  </si>
  <si>
    <t>ИП930403924000000</t>
  </si>
  <si>
    <t>283052 Донецкая Народная Республика город Донецк бульвар Шевченко дом 99</t>
  </si>
  <si>
    <t>ИП Ветров Николай Никитич</t>
  </si>
  <si>
    <t>910313058120</t>
  </si>
  <si>
    <t>ИП9304036110</t>
  </si>
  <si>
    <t>ИП930403611000000</t>
  </si>
  <si>
    <t>283052 Донецкая Народная Республика город Донецк бульвар Шевченко дом 87</t>
  </si>
  <si>
    <t>ИП Эстрина Елена Викторовна</t>
  </si>
  <si>
    <t>910315647434</t>
  </si>
  <si>
    <t>ИП9304035319</t>
  </si>
  <si>
    <t>ИП930403531900000</t>
  </si>
  <si>
    <t>286429 Донецкая Народная Республика город Енакиево проспект Ленина дом 86   торговая площадь, складская площадь</t>
  </si>
  <si>
    <t>ИП Селизова Светлана Ивановна</t>
  </si>
  <si>
    <t>910316987930</t>
  </si>
  <si>
    <t>ИП9304038550</t>
  </si>
  <si>
    <t>ИП930403855000000</t>
  </si>
  <si>
    <t>83016 Донецкая Народная Республика Донецк, ДНР Первомайская  51  А-5</t>
  </si>
  <si>
    <t>ИП Попова Ирина Федоровна</t>
  </si>
  <si>
    <t>911010118195</t>
  </si>
  <si>
    <t>ИП9304035304</t>
  </si>
  <si>
    <t>ИП930403530400000</t>
  </si>
  <si>
    <t>283086 Донецкая Народная Республика город Донецк площадь Коммунаров 2</t>
  </si>
  <si>
    <t>ИП930403530400001</t>
  </si>
  <si>
    <t>286130 Донецкая Народная Республика город Макеевка улица Депутатская дом 46</t>
  </si>
  <si>
    <t>ИП Лапченко Любовь Михайловна</t>
  </si>
  <si>
    <t>911010690229</t>
  </si>
  <si>
    <t>ИП9304036323</t>
  </si>
  <si>
    <t>ИП930403632300000</t>
  </si>
  <si>
    <t>286157 Донецкая Народная Республика город Макеевка улица Плеханова дом1в</t>
  </si>
  <si>
    <t>ИП930403632300001</t>
  </si>
  <si>
    <t>287600 Донецкая Народная Республика город Новоазовск улица Ленина дом 37</t>
  </si>
  <si>
    <t>ИП Кузина Наталия Николаевна</t>
  </si>
  <si>
    <t>920002713300</t>
  </si>
  <si>
    <t>ИП9304039427</t>
  </si>
  <si>
    <t>ИП930403942700000</t>
  </si>
  <si>
    <t>286132 Донецкая Народная Республика город Макеевка улица Московская дом 28/131</t>
  </si>
  <si>
    <t>ИП930403942700001</t>
  </si>
  <si>
    <t>284601 Донецкая Народная Республика город Горловка улица Интернациональная дом 74</t>
  </si>
  <si>
    <t>ИП Кутыгина Элла Юрьевна</t>
  </si>
  <si>
    <t>920358570207</t>
  </si>
  <si>
    <t>ИП9304035329</t>
  </si>
  <si>
    <t>ИП930403532900000</t>
  </si>
  <si>
    <t>286709 Донецкая Народная Республика город Харцызск улица Октябрьская дом 34 маг. №48</t>
  </si>
  <si>
    <t>ООО "ЛОМБАРД "ЮЗ"</t>
  </si>
  <si>
    <t>9302007792</t>
  </si>
  <si>
    <t>ЮЛ9304036203</t>
  </si>
  <si>
    <t>ЮЛ930403620300001</t>
  </si>
  <si>
    <t>283001 Донецкая Народная Республика город Донецк улица Постышева дом 131</t>
  </si>
  <si>
    <t>ЮЛ930403620300002</t>
  </si>
  <si>
    <t>283006 Донецкая Народная Республика город Донецк площадь Коммунаров дом 2</t>
  </si>
  <si>
    <t>ЮЛ930403620300003</t>
  </si>
  <si>
    <t>284626 Донецкая Народная Республика город Горловка улица Гагарина дом 43   35, 36</t>
  </si>
  <si>
    <t>ЮЛ930403620300004</t>
  </si>
  <si>
    <t>287501 Донецкая Народная Республика Мариуполь  МЕТАЛЛУРГОВ ПР-КТ 62/90 41-42  4,5,6,7</t>
  </si>
  <si>
    <t>ЮЛ930403620300005</t>
  </si>
  <si>
    <t>283015 Донецкая Народная Республика город Донецк бульвар Шевченко дом 6Б Торговое место № 001010004</t>
  </si>
  <si>
    <t>ЮЛ930403620300006</t>
  </si>
  <si>
    <t>ИП Руденко Юлия Олеговна</t>
  </si>
  <si>
    <t>930201145602</t>
  </si>
  <si>
    <t>ИП9304036154</t>
  </si>
  <si>
    <t>ИП930403615400000</t>
  </si>
  <si>
    <t>283050 Донецкая Народная Республика город Донецк улица Университетская дом 56А</t>
  </si>
  <si>
    <t>ИП Челаков Дмитрий Сергеевич</t>
  </si>
  <si>
    <t>930202391505</t>
  </si>
  <si>
    <t>ИП9304038085</t>
  </si>
  <si>
    <t>ИП930403808500000</t>
  </si>
  <si>
    <t>283086 Донецкая Народная Республика город Донецк площадь Коммунаров дом 2   часть нежилого помещения (литера А-5, этаж п/д, номер групп помещений - 22, номер помещения - 1)</t>
  </si>
  <si>
    <t>ИП Четвертакова Оксана Николаевна</t>
  </si>
  <si>
    <t>930300029460</t>
  </si>
  <si>
    <t>ИП9304035975</t>
  </si>
  <si>
    <t>ИП930403597500000</t>
  </si>
  <si>
    <t>283049 Донецкая Народная Республика Донецк Стадионная 3  д</t>
  </si>
  <si>
    <t>ИП Десятник Светлана Григорьевна</t>
  </si>
  <si>
    <t>930300090993</t>
  </si>
  <si>
    <t>ИП9304035338</t>
  </si>
  <si>
    <t>ИП930403533800000</t>
  </si>
  <si>
    <t>283001 Донецкая Народная Республика город Донецк Артёма 34</t>
  </si>
  <si>
    <t>ИП930403533800004</t>
  </si>
  <si>
    <t>283086 Донецкая Народная Республика город Донецк площадь Коммунаров дом 2   часть нежилого помещения № "Элит-1", № "Элит-2"</t>
  </si>
  <si>
    <t>ИП Грановская Ирина Аркадьевна</t>
  </si>
  <si>
    <t>930300300200</t>
  </si>
  <si>
    <t>ИП9304039008</t>
  </si>
  <si>
    <t>ИП930403900800000</t>
  </si>
  <si>
    <t>ИП Ткаченко Юрий Сергеевич</t>
  </si>
  <si>
    <t>930300904138</t>
  </si>
  <si>
    <t>ИП9304036760</t>
  </si>
  <si>
    <t>ИП930403676000000</t>
  </si>
  <si>
    <t>287302 Донецкая Народная Республика город Амвросиевка улица Ленина дом 22</t>
  </si>
  <si>
    <t>ИП Мартынюк Елена Владимировна</t>
  </si>
  <si>
    <t>930400084400</t>
  </si>
  <si>
    <t>ИП9304037839</t>
  </si>
  <si>
    <t>ИП930403783900000</t>
  </si>
  <si>
    <t>287302 Донецкая Народная Республика город Амвросиевка улица Фрунзе дом 10   29</t>
  </si>
  <si>
    <t>ИП930403783900001</t>
  </si>
  <si>
    <t>369003 Донецкая Народная Республика город Харцызск улица Октябрьская дом 34   маг. № 56</t>
  </si>
  <si>
    <t>ИП Ищенко Наталья Валериевна</t>
  </si>
  <si>
    <t>930400313900</t>
  </si>
  <si>
    <t>ИП9304035299</t>
  </si>
  <si>
    <t>ИП930403529900000</t>
  </si>
  <si>
    <t>286709 Донецкая Народная Республика город Харцызск улица Шалимова дом 2</t>
  </si>
  <si>
    <t>ИП930403529900002</t>
  </si>
  <si>
    <t>286706 Донецкая Народная Республика город Харцызск улица Чумака дом 38</t>
  </si>
  <si>
    <t>ИП930403529900003</t>
  </si>
  <si>
    <t>287100 Донецкая Народная Республика поселок городского типа Тельманово проспект Тельмана 3а   Магазин "Подарки"</t>
  </si>
  <si>
    <t>ИП Кулинич Николай Михайлович</t>
  </si>
  <si>
    <t>930500036270</t>
  </si>
  <si>
    <t>ИП9304040600</t>
  </si>
  <si>
    <t>ИП930404060000000</t>
  </si>
  <si>
    <t>285744 Донецкая Народная Республика город Докучаевск улица Лихолетова дом 25   помещение 8</t>
  </si>
  <si>
    <t>ИП ЖИЛКИНА С. И.</t>
  </si>
  <si>
    <t>930600043627</t>
  </si>
  <si>
    <t>ИП9304038685</t>
  </si>
  <si>
    <t>ИП930403868500000</t>
  </si>
  <si>
    <t>426004 Донецкая Народная Республика город Волноваха улица Ленина дом 58-62</t>
  </si>
  <si>
    <t>ИП Зверко Елена Ивановна</t>
  </si>
  <si>
    <t>930600505840</t>
  </si>
  <si>
    <t>ИП9304037809</t>
  </si>
  <si>
    <t>ИП930403780900000</t>
  </si>
  <si>
    <t>286430 Донецкая Народная Республика город Енакиево улица Тиунова дом 99   помещение №7</t>
  </si>
  <si>
    <t>ООО ЛОМБАРД "ЗЛАТО"</t>
  </si>
  <si>
    <t>9307006062</t>
  </si>
  <si>
    <t>ЮЛ9304035550</t>
  </si>
  <si>
    <t>ЮЛ930403555000000</t>
  </si>
  <si>
    <t>286430 Донецкая Народная Республика город Енакиево улица Тиунова дом 99</t>
  </si>
  <si>
    <t>ИП Ткач Владимир Валентинович</t>
  </si>
  <si>
    <t>930700624375</t>
  </si>
  <si>
    <t>ИП9304034483</t>
  </si>
  <si>
    <t>ИП930403448300000</t>
  </si>
  <si>
    <t>286430 Донецкая Народная Республика город Енакиево проспект Ленина дом 97 2</t>
  </si>
  <si>
    <t>ИП930403448300001</t>
  </si>
  <si>
    <t>283092 Донецкая Народная Республика Донецк 230-й Стрелковой дивизии 9</t>
  </si>
  <si>
    <t>ИП Кичина Татьяна Александровна</t>
  </si>
  <si>
    <t>930800089509</t>
  </si>
  <si>
    <t>ИП9304035331</t>
  </si>
  <si>
    <t>ИП930403533100000</t>
  </si>
  <si>
    <t>283001 Донецкая Народная Республика ДОНЕЦК ИЛЬИЧА 1/119</t>
  </si>
  <si>
    <t>ИП Куляцкий Виталий Евгеньевич</t>
  </si>
  <si>
    <t>930800925048</t>
  </si>
  <si>
    <t>ИП9304036671</t>
  </si>
  <si>
    <t>ИП930403667100000</t>
  </si>
  <si>
    <t>283110 Донецкая Народная Республика город Донецк улица Землянская 10 Б</t>
  </si>
  <si>
    <t>ИП930403667100002</t>
  </si>
  <si>
    <t>283086 Донецкая Народная Республика город Донецк улица Октябрьская дом 59</t>
  </si>
  <si>
    <t>ООО "ЛОМБАРД "ЭКОНОМ"</t>
  </si>
  <si>
    <t>9308012510</t>
  </si>
  <si>
    <t>ЮЛ9304035585</t>
  </si>
  <si>
    <t>ЮЛ930403558500000</t>
  </si>
  <si>
    <t>286132 Донецкая Народная Республика город Макеевка улица Московская дом 20/43</t>
  </si>
  <si>
    <t>ЮЛ930403558500014</t>
  </si>
  <si>
    <t>86709 Донецкая Народная Республика город Харцызск Вокзальная 34</t>
  </si>
  <si>
    <t>ИП Славков Сергей Юрьевич</t>
  </si>
  <si>
    <t>930900030844</t>
  </si>
  <si>
    <t>ИП9304035326</t>
  </si>
  <si>
    <t>ИП930403532600000</t>
  </si>
  <si>
    <t>286132 Донецкая Народная Республика город Макеевка Московская 28/131</t>
  </si>
  <si>
    <t>ИП930403532600001</t>
  </si>
  <si>
    <t>ИП930403532600004</t>
  </si>
  <si>
    <t>283086 Донецкая Народная Республика город Донецк площадь Коммунаров дом 2   часть нежилого помещения (литер А-5, этаж п/д, номер групп помещений - 43, номер помещения - 1)</t>
  </si>
  <si>
    <t>ИП Лысенко Леонид Степанович</t>
  </si>
  <si>
    <t>930900045463</t>
  </si>
  <si>
    <t>ИП9304035967</t>
  </si>
  <si>
    <t>ИП930403596700000</t>
  </si>
  <si>
    <t>283000 Донецкая Народная Республика город Донецк улица Артема дом 51А   часть нежилого помещения №3 (три) здания Культурно-общественного торгового центра</t>
  </si>
  <si>
    <t>ИП930403596700001</t>
  </si>
  <si>
    <t>283086 Донецкая Народная Республика город Донецк улица Первомайская дом 51  литера А-5</t>
  </si>
  <si>
    <t>ИП Карамышев Сергей Яковлевич</t>
  </si>
  <si>
    <t>930900465468</t>
  </si>
  <si>
    <t>ИП9304036294</t>
  </si>
  <si>
    <t>ИП930403629400000</t>
  </si>
  <si>
    <t>283001 Донецкая Народная Республика город Донецк улица Постышева дом 129</t>
  </si>
  <si>
    <t>ИП930403629400002</t>
  </si>
  <si>
    <t>283001 Донецкая Народная Республика город Донецк проспект Ильича дом 1/119</t>
  </si>
  <si>
    <t>ИП930403629400003</t>
  </si>
  <si>
    <t>283012 Донецкая Народная Республика Донецк улица Постышева дом 117   супермаркет "ЗОЛОТО"</t>
  </si>
  <si>
    <t>ИП Задирина Наталья Александровна</t>
  </si>
  <si>
    <t>930900615762</t>
  </si>
  <si>
    <t>ИП9304036370</t>
  </si>
  <si>
    <t>ИП930403637000000</t>
  </si>
  <si>
    <t>283048 Донецкая Народная Республика город Донецк улица Артема дом 130   помещение №38 букв П-5</t>
  </si>
  <si>
    <t>ИП Никитенко Николай Павлович</t>
  </si>
  <si>
    <t>930900643375</t>
  </si>
  <si>
    <t>ИП9304037266</t>
  </si>
  <si>
    <t>ИП930403726600000</t>
  </si>
  <si>
    <t>283086 Донецкая Народная Республика город Донецк улица Артёма дом 43</t>
  </si>
  <si>
    <t>ООО "ЛОМБАРД "ИНДУСТРИАЛЬНЫЙ"</t>
  </si>
  <si>
    <t>9309017648</t>
  </si>
  <si>
    <t>ЮЛ9304035263</t>
  </si>
  <si>
    <t>ЮЛ930403526300005</t>
  </si>
  <si>
    <t>287549 Донецкая Народная Республика город Мариуполь проспект Металлургов дом 180</t>
  </si>
  <si>
    <t>ООО "ЭКОМАРКЕТ НАША МАРКА"</t>
  </si>
  <si>
    <t>9310000110</t>
  </si>
  <si>
    <t>ЮЛ9304035264</t>
  </si>
  <si>
    <t>ЮЛ930403526400000</t>
  </si>
  <si>
    <t>287549 Донецкая Народная Республика город Мариуполь улица Строителей дом 134</t>
  </si>
  <si>
    <t>ЮЛ930403526400001</t>
  </si>
  <si>
    <t>287512 Донецкая Народная Республика город Мариуполь улица 50 лет СССР дом 75</t>
  </si>
  <si>
    <t>ИП Газин Виталий Анатольевич</t>
  </si>
  <si>
    <t>931000877774</t>
  </si>
  <si>
    <t>ИП9304037016</t>
  </si>
  <si>
    <t>ИП930403701600000</t>
  </si>
  <si>
    <t>286114 Донецкая Народная Республика город Макеевка улица Малиновского дом 36</t>
  </si>
  <si>
    <t>ООО "МГТУ"</t>
  </si>
  <si>
    <t>9311005872</t>
  </si>
  <si>
    <t>ЮЛ9304034875</t>
  </si>
  <si>
    <t>ЮЛ930403487500000</t>
  </si>
  <si>
    <t>286132 Донецкая Народная Республика город Макеевка ул. Донецкая 44 б   Помещение №11</t>
  </si>
  <si>
    <t>ИП Разуванова Наталья Николаевна</t>
  </si>
  <si>
    <t>931100753860</t>
  </si>
  <si>
    <t>ИП9304035314</t>
  </si>
  <si>
    <t>ИП930403531400000</t>
  </si>
  <si>
    <t>283086 Донецкая Народная Республика город Донецк ул. Артема 34</t>
  </si>
  <si>
    <t>ИП930403531400001</t>
  </si>
  <si>
    <t>283092 Донецкая Народная Республика город Донецк ул.230 Стрелковой Дивизии 1 А секция А-6</t>
  </si>
  <si>
    <t>ИП930403531400002</t>
  </si>
  <si>
    <t>286132 Донецкая Народная Республика город Макеевка бульвар Горбачева дом 4</t>
  </si>
  <si>
    <t>ИП930403531400003</t>
  </si>
  <si>
    <t>283086 Донецкая Народная Республика город Донецк улица Первомайская дом 51  литер А-5</t>
  </si>
  <si>
    <t>ИП НЕЧАЕВ ВАДИМ ЭДУАРДОВИЧ</t>
  </si>
  <si>
    <t>931103746438</t>
  </si>
  <si>
    <t>ИП9304038825</t>
  </si>
  <si>
    <t>ИП930403882500000</t>
  </si>
  <si>
    <t>284626 Донецкая Народная Республика город Горловка проспект Победы дом 39   помещение 19</t>
  </si>
  <si>
    <t>ИП Мирошникова Карина Александровна</t>
  </si>
  <si>
    <t>931200423016</t>
  </si>
  <si>
    <t>ИП9304035328</t>
  </si>
  <si>
    <t>П1000403441400000</t>
  </si>
  <si>
    <t>283092 Донецкая Народная Республика Донецк 230-й Стрелковой дивизии 1 а</t>
  </si>
  <si>
    <t>ИП Билык-Полозенко Оксана Вячеславовна</t>
  </si>
  <si>
    <t>931201467270</t>
  </si>
  <si>
    <t>ИП9304039229</t>
  </si>
  <si>
    <t>ИП930403922900000</t>
  </si>
  <si>
    <t>283092 Донецкая Народная Республика город Донецк улица 230й Стрелковой дивизии   2Б</t>
  </si>
  <si>
    <t>ИП930403922900001</t>
  </si>
  <si>
    <t>283000 Донецкая Народная Республика город Донецк Артема 34</t>
  </si>
  <si>
    <t>ИП Подлесный Игорь Петрович</t>
  </si>
  <si>
    <t>940600605777</t>
  </si>
  <si>
    <t>ИП9404035280</t>
  </si>
  <si>
    <t>ИП940403528000004</t>
  </si>
  <si>
    <t>Еврейская автономная область</t>
  </si>
  <si>
    <t>679013 Еврейская автономная область город Биробиджан улица Шолом-Алейхема дом 72</t>
  </si>
  <si>
    <t>ИП270901193700002</t>
  </si>
  <si>
    <t>679015 Еврейская автономная область город Биробиджан улица Советская дом 58</t>
  </si>
  <si>
    <t>ИП270901193700003</t>
  </si>
  <si>
    <t>679015 Еврейская автономная область город Биробиджан Советская дом 50</t>
  </si>
  <si>
    <t>ЮЛ270900211200052</t>
  </si>
  <si>
    <t>679016 Еврейская автономная область город Биробиджан улица Шолом-Алейхема дом 1Б</t>
  </si>
  <si>
    <t>ЮЛ270900211200058</t>
  </si>
  <si>
    <t>679100 Еврейская автономная область город Облучье Денисова 38 А</t>
  </si>
  <si>
    <t>ЮЛ270900211200083</t>
  </si>
  <si>
    <t>679016 Еврейская автономная область город Биробиджан улица Шолом-Алейхема дом 10А   помещение 2</t>
  </si>
  <si>
    <t>ЮЛ770100193500160</t>
  </si>
  <si>
    <t>679016 Еврейская автономная область город Биробиджан улица Шолом-Алейхема дом 1а</t>
  </si>
  <si>
    <t>ЮЛ780300308200919</t>
  </si>
  <si>
    <t>679230 Еврейская автономная область село Амурзет улица Калинина дом 28</t>
  </si>
  <si>
    <t>ИП Синявский Сергей Анатольевич</t>
  </si>
  <si>
    <t>790100621801</t>
  </si>
  <si>
    <t>ИП7909010035</t>
  </si>
  <si>
    <t>ИП790901003500000</t>
  </si>
  <si>
    <t>679000 Еврейская автономная область Биробиджан улица Пушкина дом 8   помещение 1-4</t>
  </si>
  <si>
    <t>ИП Луференко Олег Евгеньевич</t>
  </si>
  <si>
    <t>790100917206</t>
  </si>
  <si>
    <t>ИП7909009134</t>
  </si>
  <si>
    <t>ИП790900913400000</t>
  </si>
  <si>
    <t>679000 Еврейская автономная область город Биробиджан улица Шолом-Алейхема 41   офис 2</t>
  </si>
  <si>
    <t>ИП Тагиев Арсен Багадур Оглы</t>
  </si>
  <si>
    <t>790103459040</t>
  </si>
  <si>
    <t>ИП7909001199</t>
  </si>
  <si>
    <t>ИП790900119900000</t>
  </si>
  <si>
    <t>679016 Еврейская автономная область город Биробиджан улица Шолом-Алейхема дом 44   офис 39</t>
  </si>
  <si>
    <t>7901534530</t>
  </si>
  <si>
    <t>ЮЛ7909008380</t>
  </si>
  <si>
    <t>ЮЛ790900838000000</t>
  </si>
  <si>
    <t>679000 Еврейская автономная область город Биробиджан улица Шолом-Алейхема дом 5   27</t>
  </si>
  <si>
    <t>ЮЛ790900838000001</t>
  </si>
  <si>
    <t>679016 Еврейская автономная область город Биробиджан улица Комсомольская дом 3</t>
  </si>
  <si>
    <t>ИП Костюк Марина Анатольевна</t>
  </si>
  <si>
    <t>790153731406</t>
  </si>
  <si>
    <t>ИП7909002114</t>
  </si>
  <si>
    <t>ИП790900211400000</t>
  </si>
  <si>
    <t>679016 Еврейская автономная область город Биробиджан улица Шолом-Алейхема дом 6 1 этаж  Бутик №1</t>
  </si>
  <si>
    <t>ИП Приходько Николай Николаевич</t>
  </si>
  <si>
    <t>790200025369</t>
  </si>
  <si>
    <t>ИП7909001261</t>
  </si>
  <si>
    <t>ИП790900126100000</t>
  </si>
  <si>
    <t>Забайкальский край</t>
  </si>
  <si>
    <t>674159 Забайкальский край поселок городского типа Новая Чара улица Молдованова дом 6  литера А этаж 1, помещение 4, №12(IV), 9</t>
  </si>
  <si>
    <t>ИП Березкина Елена Викторовна</t>
  </si>
  <si>
    <t>31300011452</t>
  </si>
  <si>
    <t>ИП5001016852</t>
  </si>
  <si>
    <t>ИП500101685200000</t>
  </si>
  <si>
    <t>673060 Забайкальский край село Красный Чикой улица Первомайская дом 51</t>
  </si>
  <si>
    <t>ИП Зоц Дарья Анатольевна</t>
  </si>
  <si>
    <t>242000296000</t>
  </si>
  <si>
    <t>ИП7509031105</t>
  </si>
  <si>
    <t>ИП750903110500000</t>
  </si>
  <si>
    <t>672000 Забайкальский край город Чита улица Курнатовского дом 24</t>
  </si>
  <si>
    <t>ИП Страмилов Евгений Владимирович</t>
  </si>
  <si>
    <t>380895228263</t>
  </si>
  <si>
    <t>ИП7509002983</t>
  </si>
  <si>
    <t>ИП750900298300000</t>
  </si>
  <si>
    <t>672007 Забайкальский край город Чита улица Ленина дом 128а</t>
  </si>
  <si>
    <t>ИП750900298300001</t>
  </si>
  <si>
    <t>672000 Забайкальский край город Чита улица Ленина дом 108   помещение 6</t>
  </si>
  <si>
    <t>ИП Чан Ок Сун</t>
  </si>
  <si>
    <t>381200998605</t>
  </si>
  <si>
    <t>ИП3808000863</t>
  </si>
  <si>
    <t>ИП380800086300000</t>
  </si>
  <si>
    <t>ООО "ЛОМБАРД ЭКСИОН"</t>
  </si>
  <si>
    <t>3812997803</t>
  </si>
  <si>
    <t>ЮЛ3808035594</t>
  </si>
  <si>
    <t>ЮЛ380803559400006</t>
  </si>
  <si>
    <t>672042 Забайкальский край город Чита улица Маршала Рокоссовского 16</t>
  </si>
  <si>
    <t>ЮЛ380803559400052</t>
  </si>
  <si>
    <t>672039 Забайкальский край город Чита улица Ленина дом 41   помещение 57</t>
  </si>
  <si>
    <t>ООО "СВАН"</t>
  </si>
  <si>
    <t>5402021828</t>
  </si>
  <si>
    <t>ЮЛ5408002148</t>
  </si>
  <si>
    <t>ЮЛ540800214800001</t>
  </si>
  <si>
    <t>672038 Забайкальский край город Чита улица Шилова дом 100 строение 2</t>
  </si>
  <si>
    <t>ЮЛ540800214800003</t>
  </si>
  <si>
    <t>672007 Забайкальский край город Чита улица Генерала Белика дом 1   помещение 8</t>
  </si>
  <si>
    <t>ЮЛ540800214800004</t>
  </si>
  <si>
    <t>672038 Забайкальский край город Чита улица Новобульварная дом 109</t>
  </si>
  <si>
    <t>ЮЛ540800214800005</t>
  </si>
  <si>
    <t>672000 Забайкальский край город Чита улица Генерала Белика 1   29</t>
  </si>
  <si>
    <t>ЮЛ540800214800006</t>
  </si>
  <si>
    <t>672038 Забайкальский край город Чита улица Шилова дом 100 стр 2  пав 17</t>
  </si>
  <si>
    <t>ИП Сиротин Олег Владимирович</t>
  </si>
  <si>
    <t>650500000818</t>
  </si>
  <si>
    <t>ИП7701014251</t>
  </si>
  <si>
    <t>ИП770101425100020</t>
  </si>
  <si>
    <t>672038 Забайкальский край чита шилова 100</t>
  </si>
  <si>
    <t>ООО "ШАРМ"</t>
  </si>
  <si>
    <t>7500013723</t>
  </si>
  <si>
    <t>ЮЛ7509035218</t>
  </si>
  <si>
    <t>ЮЛ750903521800000</t>
  </si>
  <si>
    <t>673732 Забайкальский край Могоча Клубная 2   помещение 7</t>
  </si>
  <si>
    <t>ИП Соколова Раиса Мироновна</t>
  </si>
  <si>
    <t>751200035290</t>
  </si>
  <si>
    <t>ИП7509007823</t>
  </si>
  <si>
    <t>ИП750900782300000</t>
  </si>
  <si>
    <t>674520 Забайкальский край поселок городского типа Ясногорск улица Энергетиков дом 4</t>
  </si>
  <si>
    <t>ИП Корж Светлана Сергеевна</t>
  </si>
  <si>
    <t>751501325394</t>
  </si>
  <si>
    <t>ИП7509002465</t>
  </si>
  <si>
    <t>ИП750900246500000</t>
  </si>
  <si>
    <t>674480 Забайкальский край Нижний Цасучей Комсомольская 31В</t>
  </si>
  <si>
    <t>ИП Кожевникова Евгения Васильевна</t>
  </si>
  <si>
    <t>751600021206</t>
  </si>
  <si>
    <t>ИП7509014679</t>
  </si>
  <si>
    <t>ИП750901467900000</t>
  </si>
  <si>
    <t>674310 Забайкальский край пгт. Приаргунск Ленина 16 пом 1</t>
  </si>
  <si>
    <t>ИП Феняк Александр Владимирович</t>
  </si>
  <si>
    <t>751800008114</t>
  </si>
  <si>
    <t>ИП7509011018</t>
  </si>
  <si>
    <t>ИП750901101800000</t>
  </si>
  <si>
    <t>674310 Забайкальский край поселок городского типа Приаргунск улица Первомайская дом 6а</t>
  </si>
  <si>
    <t>ИП Мурзин Эдвард Муратович</t>
  </si>
  <si>
    <t>751801754595</t>
  </si>
  <si>
    <t>ИП7509032471</t>
  </si>
  <si>
    <t>ИП750903247100000</t>
  </si>
  <si>
    <t>673200 Забайкальский край город Хилок Улица Калинина Дом 8   Помещение №2</t>
  </si>
  <si>
    <t>ИП Михайлов Сергей Борисович</t>
  </si>
  <si>
    <t>752302674829</t>
  </si>
  <si>
    <t>ИП7509036194</t>
  </si>
  <si>
    <t>ИП750903619400000</t>
  </si>
  <si>
    <t>673732 Забайкальский край Могоча г. Шулешко ул. 14</t>
  </si>
  <si>
    <t>ИП Степанов Артём Максимович</t>
  </si>
  <si>
    <t>752406786291</t>
  </si>
  <si>
    <t>ИП7509003937</t>
  </si>
  <si>
    <t>ИП750900393700000</t>
  </si>
  <si>
    <t>673460 Забайкальский край поселок городского типа Чернышевск улица Журавлева дом 50 торговый центр «Заря»  ювелирный отдел "Зодиак"</t>
  </si>
  <si>
    <t>ИП Галкина Лариса Владимировна</t>
  </si>
  <si>
    <t>752500008323</t>
  </si>
  <si>
    <t>ИП7509000048</t>
  </si>
  <si>
    <t>ИП750900004800000</t>
  </si>
  <si>
    <t>672000 Забайкальский край город Чита улица Бутина дом 8А</t>
  </si>
  <si>
    <t>ИП Васильева Елена Валерьевна</t>
  </si>
  <si>
    <t>752500085423</t>
  </si>
  <si>
    <t>ИП7509016894</t>
  </si>
  <si>
    <t>ИП750901689400000</t>
  </si>
  <si>
    <t>673370 Забайкальский край город Шилка Улица Балябина Дом 81</t>
  </si>
  <si>
    <t>ИП Антонова Ирина Владимировна</t>
  </si>
  <si>
    <t>752700036624</t>
  </si>
  <si>
    <t>ИП7509007927</t>
  </si>
  <si>
    <t>ИП750900792700000</t>
  </si>
  <si>
    <t>674600 Забайкальский край город Борзя Улица Лазо Дом 37   офис 8</t>
  </si>
  <si>
    <t>ИП750900792700002</t>
  </si>
  <si>
    <t>673390 Забайкальский край поселок городского типа Первомайский улица Мира дом 29</t>
  </si>
  <si>
    <t>ООО "ИНТАЛИЯ"</t>
  </si>
  <si>
    <t>7527007967</t>
  </si>
  <si>
    <t>ЮЛ7509011040</t>
  </si>
  <si>
    <t>ЮЛ750901104000000</t>
  </si>
  <si>
    <t>673450 Забайкальский край город Балей улица Пионерская дом 2А   2</t>
  </si>
  <si>
    <t>ИП Федосова Инна Завеновна</t>
  </si>
  <si>
    <t>752802456924</t>
  </si>
  <si>
    <t>ИП7509017696</t>
  </si>
  <si>
    <t>ИП750901769600000</t>
  </si>
  <si>
    <t>673450 Забайкальский край город Балей улица Профсоюзная дом 4</t>
  </si>
  <si>
    <t>ИП Жеребило Сергей Викторович</t>
  </si>
  <si>
    <t>752802840993</t>
  </si>
  <si>
    <t>ИП7509011537</t>
  </si>
  <si>
    <t>ИП750901153700000</t>
  </si>
  <si>
    <t>674600 Забайкальский край город Борзя улица Карла Маркса владение 97</t>
  </si>
  <si>
    <t>ИП Бондаренко Алена Александровна</t>
  </si>
  <si>
    <t>752901007609</t>
  </si>
  <si>
    <t>ИП7509006749</t>
  </si>
  <si>
    <t>ИП750900674900000</t>
  </si>
  <si>
    <t>674673 Забайкальский край город Краснокаменск проспект Шахтеров дом 3А помещение №5  ТМ №8</t>
  </si>
  <si>
    <t>ИП Вашуркин Сергей Иванович</t>
  </si>
  <si>
    <t>753000185566</t>
  </si>
  <si>
    <t>ИП5206032419</t>
  </si>
  <si>
    <t>ИП520603241900000</t>
  </si>
  <si>
    <t>674673 Забайкальский край город Краснокаменск проспект Им Покровского С.С. дом 1</t>
  </si>
  <si>
    <t>ИП Брижанова Елена Иннокентьевна</t>
  </si>
  <si>
    <t>753003470219</t>
  </si>
  <si>
    <t>ИП7509003418</t>
  </si>
  <si>
    <t>ИП750900341800000</t>
  </si>
  <si>
    <t>674650 Забайкальский край пгт.Забайкальск Красноармейская 21   1а</t>
  </si>
  <si>
    <t>ИП Симоченко Елизавета Алексеевна</t>
  </si>
  <si>
    <t>753007811332</t>
  </si>
  <si>
    <t>ИП7509035142</t>
  </si>
  <si>
    <t>ИП750903514200000</t>
  </si>
  <si>
    <t>ИП Науменко Татьяна Геннадьевна</t>
  </si>
  <si>
    <t>753500890090</t>
  </si>
  <si>
    <t>ИП7509001885</t>
  </si>
  <si>
    <t>ИП750900188500000</t>
  </si>
  <si>
    <t>ИП750900188500001</t>
  </si>
  <si>
    <t>672040 Забайкальский край город Чита улица Онискевича дом 21   23</t>
  </si>
  <si>
    <t>ИП Емельянов Андрей Владимирович</t>
  </si>
  <si>
    <t>753504538115</t>
  </si>
  <si>
    <t>ИП7509002851</t>
  </si>
  <si>
    <t>ИП750900285100000</t>
  </si>
  <si>
    <t>672014 Забайкальский край город Чита улица Комсомольская дом 105   помещение 45</t>
  </si>
  <si>
    <t>ИП750900285100001</t>
  </si>
  <si>
    <t>672000 Забайкальский край город Чита улица Бутина дом 59   помещение 2</t>
  </si>
  <si>
    <t>ИП750900285100002</t>
  </si>
  <si>
    <t>672038 Забайкальский край город Чита улица Красной Звезды дом 4   Помещение 10</t>
  </si>
  <si>
    <t>ИП Трубакова Любовь Анатольевна</t>
  </si>
  <si>
    <t>753504984818</t>
  </si>
  <si>
    <t>ИП7509038729</t>
  </si>
  <si>
    <t>ИП750903872900000</t>
  </si>
  <si>
    <t>672000 Забайкальский край город Чита улица Красноярская дом 32 1 А 15</t>
  </si>
  <si>
    <t>ИП Прилепская Людмила Васильевна</t>
  </si>
  <si>
    <t>753600368498</t>
  </si>
  <si>
    <t>ИП7509003466</t>
  </si>
  <si>
    <t>ИП750900346600000</t>
  </si>
  <si>
    <t>672000 Забайкальский край город Чита улица Ленина дом 123</t>
  </si>
  <si>
    <t>ИП Родионова Татьяна Афанасьевна</t>
  </si>
  <si>
    <t>753600392081</t>
  </si>
  <si>
    <t>ИП7509005697</t>
  </si>
  <si>
    <t>ИП750900569700000</t>
  </si>
  <si>
    <t>672000 Забайкальский край город Чита Ленина 130</t>
  </si>
  <si>
    <t>ИП750900569700001</t>
  </si>
  <si>
    <t>672007 Забайкальский край город Чита улица Генерала Белика дом 1</t>
  </si>
  <si>
    <t>ИП750900569700002</t>
  </si>
  <si>
    <t>672007 Забайкальский край город Чита улица Чкалова дом 145</t>
  </si>
  <si>
    <t>ИП750900569700003</t>
  </si>
  <si>
    <t>672000 Забайкальский край город Чита улица Ленина дом 108</t>
  </si>
  <si>
    <t>ИП750900569700004</t>
  </si>
  <si>
    <t>672007 Забайкальский край город Чита улица Ленина дом 130</t>
  </si>
  <si>
    <t>ИП Шорохова Людмила Яковлевна</t>
  </si>
  <si>
    <t>753600414610</t>
  </si>
  <si>
    <t>ИП7509002973</t>
  </si>
  <si>
    <t>ИП750900297300000</t>
  </si>
  <si>
    <t>673005 Забайкальский край город Петровск-Забайкальский улица Спортивная дом 26   помещение 1</t>
  </si>
  <si>
    <t>ИП Нечкина Светлана Анатольевна</t>
  </si>
  <si>
    <t>753600591094</t>
  </si>
  <si>
    <t>ИП7509001232</t>
  </si>
  <si>
    <t>ИП750900123200001</t>
  </si>
  <si>
    <t>687000 Забайкальский край поселок городского типа Агинское улица Ленина дом 76</t>
  </si>
  <si>
    <t>ИП750900123200002</t>
  </si>
  <si>
    <t>673200 Забайкальский край город Хилок улица Дзержинского дом 15   помещение 2</t>
  </si>
  <si>
    <t>ИП750900123200003</t>
  </si>
  <si>
    <t>673300 Забайкальский край поселок городского типа Карымское улица Братьев Васильевых дом 1   помещение 2</t>
  </si>
  <si>
    <t>ИП750900123200004</t>
  </si>
  <si>
    <t>674600 Забайкальский край город Борзя улица Карла Маркса дом 69А</t>
  </si>
  <si>
    <t>ИП750900123200005</t>
  </si>
  <si>
    <t>674676 Забайкальский край город Краснокаменск микрорайон 4-й дом 402   помещение 1</t>
  </si>
  <si>
    <t>ИП750900123200006</t>
  </si>
  <si>
    <t>672027 Забайкальский край город Чита улица Бутина дом 50   помещение 6</t>
  </si>
  <si>
    <t>ИП750900123200007</t>
  </si>
  <si>
    <t>673460 Забайкальский край поселок городского типа Чернышевск улица Журавлева дом 66-1</t>
  </si>
  <si>
    <t>ИП750900123200008</t>
  </si>
  <si>
    <t>672000 Забайкальский край город Чита улица Ленина дом 97   пом.1</t>
  </si>
  <si>
    <t>ИП Панов Евгений Алексеевич</t>
  </si>
  <si>
    <t>753600659458</t>
  </si>
  <si>
    <t>ИП7509003396</t>
  </si>
  <si>
    <t>ИП750900339600000</t>
  </si>
  <si>
    <t>672012 Забайкальский край город Чита улица Журавлева дом 79</t>
  </si>
  <si>
    <t>ИП750900339600006</t>
  </si>
  <si>
    <t>ИП Поспелова Юлия Викторовна</t>
  </si>
  <si>
    <t>753603460614</t>
  </si>
  <si>
    <t>ИП7509002505</t>
  </si>
  <si>
    <t>ИП750900250500001</t>
  </si>
  <si>
    <t>672000 Забайкальский край город Чита улица Журавлева дом 20</t>
  </si>
  <si>
    <t>ИП750900250500002</t>
  </si>
  <si>
    <t>672007 Забайкальский край город Чита улица Ленина дом 127а</t>
  </si>
  <si>
    <t>ИП750900250500003</t>
  </si>
  <si>
    <t>ИП Мельникова Ольга Александровна</t>
  </si>
  <si>
    <t>753603544254</t>
  </si>
  <si>
    <t>ИП7803008789</t>
  </si>
  <si>
    <t>ИП780300878900000</t>
  </si>
  <si>
    <t>672014 Забайкальский край город Чита улица Недорезова дом 1м   Отдел "Русское золото"</t>
  </si>
  <si>
    <t>ИП780300878900005</t>
  </si>
  <si>
    <t>672030 Забайкальский край Чита Весенняя 18</t>
  </si>
  <si>
    <t>ИП Дронов Дмитрий Николаевич</t>
  </si>
  <si>
    <t>753608725543</t>
  </si>
  <si>
    <t>ИП7509009987</t>
  </si>
  <si>
    <t>ИП750900998700001</t>
  </si>
  <si>
    <t>672007 Забайкальский край город Чита улица Бабушкина дом 153   5</t>
  </si>
  <si>
    <t>ООО "ЗЕЛЕНЫЙ ВЕК"</t>
  </si>
  <si>
    <t>7536099690</t>
  </si>
  <si>
    <t>ЮЛ7509010915</t>
  </si>
  <si>
    <t>ЮЛ750901091500001</t>
  </si>
  <si>
    <t>672007 Забайкальский край город Чита улица Ленина дом 126   12</t>
  </si>
  <si>
    <t>ЮЛ750901091500002</t>
  </si>
  <si>
    <t>672007 Забайкальский край город Чита улица Чкалова дом 149</t>
  </si>
  <si>
    <t>ЮЛ750901091500003</t>
  </si>
  <si>
    <t>672000 Забайкальский край город Чита улица Амурская дом 96А</t>
  </si>
  <si>
    <t>ЮЛ750901091500004</t>
  </si>
  <si>
    <t>672020 Забайкальский край город Чита микрорайон 1-й 7</t>
  </si>
  <si>
    <t>ЮЛ750901091500007</t>
  </si>
  <si>
    <t>672040 Забайкальский край город Чита улица Высокая дом 1в</t>
  </si>
  <si>
    <t>ЮЛ750901091500008</t>
  </si>
  <si>
    <t>672023 Забайкальский край город Чита улица Майская дом 22</t>
  </si>
  <si>
    <t>ЮЛ750901091500009</t>
  </si>
  <si>
    <t>672042 Забайкальский край город Чита улица Весенняя дом 18   4</t>
  </si>
  <si>
    <t>ЮЛ750901091500010</t>
  </si>
  <si>
    <t>672530 Забайкальский край поселок городского типа Атамановка улица Матюгина дом 158   33</t>
  </si>
  <si>
    <t>ЮЛ750901091500011</t>
  </si>
  <si>
    <t>674050 Забайкальский край село Улёты Кирова 76</t>
  </si>
  <si>
    <t>ЮЛ750901091500014</t>
  </si>
  <si>
    <t>672012 Забайкальский край город Чита улица Бутина дом 93</t>
  </si>
  <si>
    <t>ИП Красикова Юлия Владиславовна</t>
  </si>
  <si>
    <t>753611841733</t>
  </si>
  <si>
    <t>ИП5408002867</t>
  </si>
  <si>
    <t>ИП540800286700001</t>
  </si>
  <si>
    <t>674650 Забайкальский край поселок городского типа Забайкальск улица Советская здание 4Б</t>
  </si>
  <si>
    <t>ИП540800286700003</t>
  </si>
  <si>
    <t>ИП540800286700004</t>
  </si>
  <si>
    <t>673400 Забайкальский край город Нерчинск улица Советская дом 34</t>
  </si>
  <si>
    <t>ИП540800286700005</t>
  </si>
  <si>
    <t>672000 Забайкальский край город Чита улица Курнатовского дом 34   помещение 13</t>
  </si>
  <si>
    <t>ИП540800286700006</t>
  </si>
  <si>
    <t>672900 Забайкальский край поселок Горный улица Дружбы дом 27</t>
  </si>
  <si>
    <t>ИП540800286700008</t>
  </si>
  <si>
    <t>672042 Забайкальский край город Чита проспект Фадеева дом 21   помещение 114</t>
  </si>
  <si>
    <t>ИП540800286700009</t>
  </si>
  <si>
    <t>672007 Забайкальский край город Чита улица Курнатовского дом 17г Центральный район</t>
  </si>
  <si>
    <t>ИП540800286700012</t>
  </si>
  <si>
    <t>687420 Забайкальский край поселок городского типа Могойтуй улица Гагарина дом 11а</t>
  </si>
  <si>
    <t>ИП540800286700013</t>
  </si>
  <si>
    <t>673370 Забайкальский край город Шилка улица Балябина дом 134</t>
  </si>
  <si>
    <t>ИП540800286700014</t>
  </si>
  <si>
    <t>672007 Забайкальский край город Чита улица Бабушкина дом 153</t>
  </si>
  <si>
    <t>ООО "ЗОЛОТОЙ ВЕК"</t>
  </si>
  <si>
    <t>7536119561</t>
  </si>
  <si>
    <t>ЮЛ7509039179</t>
  </si>
  <si>
    <t>ЮЛ750903917900001</t>
  </si>
  <si>
    <t>ЮЛ750903917900002</t>
  </si>
  <si>
    <t>674050 Забайкальский край село Улёты улица Кирова дом 76</t>
  </si>
  <si>
    <t>ООО "ВАШ ЛОМБАРД"</t>
  </si>
  <si>
    <t>7536148918</t>
  </si>
  <si>
    <t>ЮЛ7509010887</t>
  </si>
  <si>
    <t>ЮЛ750901088700002</t>
  </si>
  <si>
    <t>ЮЛ750901088700003</t>
  </si>
  <si>
    <t>ЮЛ750901088700004</t>
  </si>
  <si>
    <t>ЮЛ750901088700005</t>
  </si>
  <si>
    <t>ЮЛ750901088700006</t>
  </si>
  <si>
    <t>672020 Забайкальский край город Чита микрорайон 1-й дом 7</t>
  </si>
  <si>
    <t>ЮЛ750901088700007</t>
  </si>
  <si>
    <t>ЮЛ750901088700008</t>
  </si>
  <si>
    <t>ЮЛ750901088700009</t>
  </si>
  <si>
    <t>ЮЛ750901088700010</t>
  </si>
  <si>
    <t>672530 Забайкальский край поселок городского типа Атамановка улица Матюгина 158   33</t>
  </si>
  <si>
    <t>ЮЛ750901088700011</t>
  </si>
  <si>
    <t>672007 Забайкальский край город Чита улица Богомягкова дом 4   помещение 24</t>
  </si>
  <si>
    <t>ООО "ЗОЛОТОЙ СТАНДАРТ"</t>
  </si>
  <si>
    <t>7536150280</t>
  </si>
  <si>
    <t>ЮЛ7509005173</t>
  </si>
  <si>
    <t>ЮЛ750900517300000</t>
  </si>
  <si>
    <t>ИП Страмилова Олеся Викторовна</t>
  </si>
  <si>
    <t>753616038110</t>
  </si>
  <si>
    <t>ИП7509035625</t>
  </si>
  <si>
    <t>ИП750903562500000</t>
  </si>
  <si>
    <t>674125 Забайкальский край Вершино-Дарасунский Советская 4/1</t>
  </si>
  <si>
    <t>ИП Елгин Максим Андреевич</t>
  </si>
  <si>
    <t>753703251597</t>
  </si>
  <si>
    <t>ИП7509032635</t>
  </si>
  <si>
    <t>ИП750903263500000</t>
  </si>
  <si>
    <t>672007 Забайкальский край город Чита улица Кастринская дом 5   помещение 66</t>
  </si>
  <si>
    <t>ЮЛ770100201500592</t>
  </si>
  <si>
    <t>ЮЛ770100419400203</t>
  </si>
  <si>
    <t>ЮЛ770100193500287</t>
  </si>
  <si>
    <t>672000 Забайкальский край город Чита улица Ленина дом 122   часть помещения 5, помещения 19-23,30, первый этаж</t>
  </si>
  <si>
    <t>ЮЛ770100193500288</t>
  </si>
  <si>
    <t>ЮЛ770100193500949</t>
  </si>
  <si>
    <t>672000 Забайкальский край город Чита улица Ленина дом 122   пом.3, пом.4</t>
  </si>
  <si>
    <t>ЮЛ780300131300167</t>
  </si>
  <si>
    <t>672039 Забайкальский край город Чита улица Ленина дом 41</t>
  </si>
  <si>
    <t>ЮЛ780300131300168</t>
  </si>
  <si>
    <t>672042 Забайкальский край город Чита, Черновский административный район 5 МКР 33   помещение 21</t>
  </si>
  <si>
    <t>ЮЛ780300131300571</t>
  </si>
  <si>
    <t>672042 Забайкальский край город Чита 5 МКР. дом 33   пом. 21</t>
  </si>
  <si>
    <t>ЮЛ780300331800100</t>
  </si>
  <si>
    <t>674600 Забайкальский край город Борзя улица Советская дом 4   помещение 2</t>
  </si>
  <si>
    <t>ЮЛ780300308200337</t>
  </si>
  <si>
    <t>ЮЛ780300308200364</t>
  </si>
  <si>
    <t>672042 Забайкальский край город Чита мкр. 5-й дом 33   пом. 21</t>
  </si>
  <si>
    <t>ЮЛ780300308200928</t>
  </si>
  <si>
    <t>672000 Забайкальский край город Чита улица Ленина дом 122   помещение 5</t>
  </si>
  <si>
    <t>ЮЛ780300308200965</t>
  </si>
  <si>
    <t>674676 Забайкальский край город Краснокаменск проспект Шахтеров дом 4а</t>
  </si>
  <si>
    <t>ЮЛ780300308200966</t>
  </si>
  <si>
    <t>672007 Забайкальский край город Чита улица Богомягкова дом 22   помещение 63</t>
  </si>
  <si>
    <t>ЮЛ780300308200992</t>
  </si>
  <si>
    <t>ЮЛ780300308201057</t>
  </si>
  <si>
    <t>687420 Забайкальский край поселок городского типа Могойтуй улица Нагорная дом 15</t>
  </si>
  <si>
    <t>ИП Нестеренко Вера Николаевна</t>
  </si>
  <si>
    <t>800100707846</t>
  </si>
  <si>
    <t>ИП7509007910</t>
  </si>
  <si>
    <t>ИП750900791000001</t>
  </si>
  <si>
    <t>Запорожская область</t>
  </si>
  <si>
    <t>272319 Запорожская область город Мелитополь улица Горького дом 55</t>
  </si>
  <si>
    <t>ИП Скидан Юрий Алексеевич</t>
  </si>
  <si>
    <t>231539415890</t>
  </si>
  <si>
    <t>ИП9004037786</t>
  </si>
  <si>
    <t>ИП900403778600000</t>
  </si>
  <si>
    <t>272312 Запорожская область город Мелитополь улица Кирова дом 14   помещение 14</t>
  </si>
  <si>
    <t>ИП Шульга Алина Сергеевна</t>
  </si>
  <si>
    <t>231539588325</t>
  </si>
  <si>
    <t>ИП9004040177</t>
  </si>
  <si>
    <t>ИП900404017700000</t>
  </si>
  <si>
    <t>272312 Запорожская область город Мелитополь улица Александра Невского дом 35</t>
  </si>
  <si>
    <t>ИП Глущенко Мария Викторовна</t>
  </si>
  <si>
    <t>231541967539</t>
  </si>
  <si>
    <t>ИП9004038809</t>
  </si>
  <si>
    <t>ИП900403880900000</t>
  </si>
  <si>
    <t>272312 Запорожская область город Мелитополь проспект Богдана Хмельницкого 24</t>
  </si>
  <si>
    <t>ИП Милосердова Лариса Васильевна</t>
  </si>
  <si>
    <t>231545124554</t>
  </si>
  <si>
    <t>ИП9004037026</t>
  </si>
  <si>
    <t>ИП900403702600000</t>
  </si>
  <si>
    <t>ИП Ларионова Валентина Валентиновна</t>
  </si>
  <si>
    <t>231546342918</t>
  </si>
  <si>
    <t>ИП9004038677</t>
  </si>
  <si>
    <t>ИП900403867700000</t>
  </si>
  <si>
    <t>271118 Запорожская область город Бердянск улица Ульяновых/проспект Труда дом 14/39</t>
  </si>
  <si>
    <t>ИП Градовой Олег Владимирович</t>
  </si>
  <si>
    <t>231556453134</t>
  </si>
  <si>
    <t>ИП9004039281</t>
  </si>
  <si>
    <t>ИП900403928100000</t>
  </si>
  <si>
    <t>272312 Запорожская область город Мелитополь улица Дарьи Дугиной дом 9</t>
  </si>
  <si>
    <t>ИП900403634700000</t>
  </si>
  <si>
    <t>272102 Запорожская область город Приморск Банковская 106</t>
  </si>
  <si>
    <t>ИП930403769500001</t>
  </si>
  <si>
    <t>72300 Запорожская область город Мелитополь улица Кирова 14 помещение 26</t>
  </si>
  <si>
    <t>ИП930403762400003</t>
  </si>
  <si>
    <t>272318 Запорожская область город Мелитополь улица Кирова дом 47   ТЦ "Марина"</t>
  </si>
  <si>
    <t>ИП Агарков Олег Владимирович</t>
  </si>
  <si>
    <t>900100091768</t>
  </si>
  <si>
    <t>ИП9004038158</t>
  </si>
  <si>
    <t>ИП900403815800000</t>
  </si>
  <si>
    <t>272002 Запорожская область поселок городского типа Михайловка переулок Соборный дом 1</t>
  </si>
  <si>
    <t>ИП Ерёмина Анна Евгеньевна</t>
  </si>
  <si>
    <t>900101156256</t>
  </si>
  <si>
    <t>ИП9004035771</t>
  </si>
  <si>
    <t>ИП900403577100000</t>
  </si>
  <si>
    <t>271503 Запорожская область город Энергодар улица Украинская дом 16   квартира 33</t>
  </si>
  <si>
    <t>ИП900403577100001</t>
  </si>
  <si>
    <t>272319 Запорожская область город Мелитополь улица Кирова дом 48</t>
  </si>
  <si>
    <t>ИП900403577100002</t>
  </si>
  <si>
    <t>271630 Запорожская область город Днепрорудное проспект Энтузиастов дом 3 помещение 2</t>
  </si>
  <si>
    <t>ИП900403577100004</t>
  </si>
  <si>
    <t>272202 Запорожская область поселок городского типа Весёлое улица Центральная дом 125</t>
  </si>
  <si>
    <t>ИП900403577100005</t>
  </si>
  <si>
    <t>272503 Запорожская область поселок городского типа Акимовка улица Молодых Патриотов дом 9</t>
  </si>
  <si>
    <t>ИП900403577100006</t>
  </si>
  <si>
    <t>271108 Запорожская область город Бердянск Университетская/Труда 14/39</t>
  </si>
  <si>
    <t>ИП900403577100007</t>
  </si>
  <si>
    <t>272313 Запорожская область город Мелитополь проспект 50-летия Победы 29</t>
  </si>
  <si>
    <t>ООО "ЛОМБАРД СЕМЬ КАРАТ"</t>
  </si>
  <si>
    <t>9001018504</t>
  </si>
  <si>
    <t>ЮЛ9004039320</t>
  </si>
  <si>
    <t>ЮЛ900403932000000</t>
  </si>
  <si>
    <t>272312 Запорожская область город Мелитополь проспект Богдана Хмельницкого дом 3</t>
  </si>
  <si>
    <t>ООО "ЗОЛОТОМАНИЯ"</t>
  </si>
  <si>
    <t>9001030685</t>
  </si>
  <si>
    <t>ЮЛ9004038581</t>
  </si>
  <si>
    <t>ЮЛ900403858100000</t>
  </si>
  <si>
    <t>272318 Запорожская область город Мелитополь бульвар 30-летия Победы дом 1 корпус 2 1</t>
  </si>
  <si>
    <t>ИП Севоднева Ирина Сергеевна</t>
  </si>
  <si>
    <t>900107827704</t>
  </si>
  <si>
    <t>ИП9004040325</t>
  </si>
  <si>
    <t>ИП900404032500000</t>
  </si>
  <si>
    <t>271112 Запорожская область город Бердянск улица Горького дом 43</t>
  </si>
  <si>
    <t>ИП Жилкин Александр Александрович</t>
  </si>
  <si>
    <t>900200076435</t>
  </si>
  <si>
    <t>ИП9004039537</t>
  </si>
  <si>
    <t>ИП900403953700000</t>
  </si>
  <si>
    <t>271701 Запорожская область Токмак Центральная 30   25</t>
  </si>
  <si>
    <t>ИП Волкогонов Юрий Викторович</t>
  </si>
  <si>
    <t>900200676288</t>
  </si>
  <si>
    <t>ИП9004039517</t>
  </si>
  <si>
    <t>ИП900403951700000</t>
  </si>
  <si>
    <t>272312 Запорожская область город Мелитополь улица Дарьи Дугиной дом 3А</t>
  </si>
  <si>
    <t>АО "ЛОМБАРД КАПИТАЛ"</t>
  </si>
  <si>
    <t>9102292687</t>
  </si>
  <si>
    <t>ЮЛ9104035714</t>
  </si>
  <si>
    <t>ЮЛ910403571400074</t>
  </si>
  <si>
    <t>ООО "ВЕСЫ"</t>
  </si>
  <si>
    <t>9102294885</t>
  </si>
  <si>
    <t>ЮЛ9104036202</t>
  </si>
  <si>
    <t>ЮЛ910403620200075</t>
  </si>
  <si>
    <t>272313 Запорожская область Мелитополь пр-кт 50-летия Победы 25/4 помещение 6</t>
  </si>
  <si>
    <t>ИП Курочкин Владислав Юрьевич</t>
  </si>
  <si>
    <t>910617807412</t>
  </si>
  <si>
    <t>ИП9004036662</t>
  </si>
  <si>
    <t>ИП900403666200000</t>
  </si>
  <si>
    <t>271112 Запорожская область город Бердянск проспект Ленина дом 35А   помещение 104</t>
  </si>
  <si>
    <t>ИП Шабунина Татьяна Николаевна</t>
  </si>
  <si>
    <t>931003748382</t>
  </si>
  <si>
    <t>ИП9304038948</t>
  </si>
  <si>
    <t>ИП930403894800000</t>
  </si>
  <si>
    <t>271100 Запорожская область город Бердянск проспект Пролетарский дом 13/73   помещение 10</t>
  </si>
  <si>
    <t>ИП930403894800002</t>
  </si>
  <si>
    <t>271108 Запорожская область город Бердянск проспект Пролетарский дом 13/73   помещение 32</t>
  </si>
  <si>
    <t>ИП930403894800004</t>
  </si>
  <si>
    <t>Ивановская область</t>
  </si>
  <si>
    <t>153002 Ивановская область город Иваново проспект Ленина дом 47   помещение 1005</t>
  </si>
  <si>
    <t>ИП Шалтайкина Алевтина Аркадьевна</t>
  </si>
  <si>
    <t>211500000683</t>
  </si>
  <si>
    <t>ИП5206001535</t>
  </si>
  <si>
    <t>ИП520600153500007</t>
  </si>
  <si>
    <t>155553 Ивановская область город Приволжск улица Техническая дом 4г   помещение №15</t>
  </si>
  <si>
    <t>ИП Кузьмин Павел Владимирович</t>
  </si>
  <si>
    <t>332900993144</t>
  </si>
  <si>
    <t>ИП3301007064</t>
  </si>
  <si>
    <t>ИП330100706400000</t>
  </si>
  <si>
    <t>153003 Ивановская область город Иваново улица Зверева дом 10Б   203</t>
  </si>
  <si>
    <t>ИП Шарова Александра Сергеевна</t>
  </si>
  <si>
    <t>366229807962</t>
  </si>
  <si>
    <t>ИП3702003631</t>
  </si>
  <si>
    <t>ИП370200363100000</t>
  </si>
  <si>
    <t>153002 Ивановская область город Иваново улица Калинина дом 9/21   офис 412</t>
  </si>
  <si>
    <t>ООО "ОРТО"</t>
  </si>
  <si>
    <t>3700001661</t>
  </si>
  <si>
    <t>ЮЛ3702032095</t>
  </si>
  <si>
    <t>ЮЛ370203209500000</t>
  </si>
  <si>
    <t>155331 Ивановская область город Вичуга улица 50 лет Октября дом 12</t>
  </si>
  <si>
    <t>ИП Нагналова Светлана Алексеевна</t>
  </si>
  <si>
    <t>370102500333</t>
  </si>
  <si>
    <t>ИП3702011898</t>
  </si>
  <si>
    <t>ИП370201189800000</t>
  </si>
  <si>
    <t>153025 Ивановская область город Иваново улица Тимирязева дом 58</t>
  </si>
  <si>
    <t>ИП Яковлев Сергей Александрович</t>
  </si>
  <si>
    <t>370200094834</t>
  </si>
  <si>
    <t>ИП3702001808</t>
  </si>
  <si>
    <t>ИП370200180800000</t>
  </si>
  <si>
    <t>153000 Ивановская область город Иваново улица Варенцовой дом 9/18</t>
  </si>
  <si>
    <t>ООО "АМЕТИСТ ТРЕЙДИНГ"</t>
  </si>
  <si>
    <t>3702006337</t>
  </si>
  <si>
    <t>ЮЛ3702008347</t>
  </si>
  <si>
    <t>ЮЛ370200834700000</t>
  </si>
  <si>
    <t>153002 Ивановская область город Иваново проспект Ленина дом 100</t>
  </si>
  <si>
    <t>ООО "Чароит"</t>
  </si>
  <si>
    <t>3702065830</t>
  </si>
  <si>
    <t>ЮЛ3702010388</t>
  </si>
  <si>
    <t>ЮЛ370201038800000</t>
  </si>
  <si>
    <t>153013 Ивановская область город Иваново улица Куконковых дом 141</t>
  </si>
  <si>
    <t>ИП Басова Наталья Евгеньевна</t>
  </si>
  <si>
    <t>370209143250</t>
  </si>
  <si>
    <t>ИП3702032586</t>
  </si>
  <si>
    <t>ИП370203258600000</t>
  </si>
  <si>
    <t>153032 Ивановская область город Иваново улица Лежневская дом 152</t>
  </si>
  <si>
    <t>ИП370203258600001</t>
  </si>
  <si>
    <t>153000 Ивановская область город Иваново улица Станко дом 7Д   15</t>
  </si>
  <si>
    <t>ИП Дергунова Наталья Александровна</t>
  </si>
  <si>
    <t>370209683520</t>
  </si>
  <si>
    <t>ИП3702036791</t>
  </si>
  <si>
    <t>ИП370203679100000</t>
  </si>
  <si>
    <t>153025 Ивановская область город Иваново улица Тимирязева дом 58   офис 1</t>
  </si>
  <si>
    <t>ИП Прямилов Юрий Александрович</t>
  </si>
  <si>
    <t>370213196255</t>
  </si>
  <si>
    <t>ИП3702001660</t>
  </si>
  <si>
    <t>ИП370200166000000</t>
  </si>
  <si>
    <t>153000 Ивановская область город Иваново проспект Ленина дом 13</t>
  </si>
  <si>
    <t>ООО "ЛОМБАРД "ЦЕНТРАЛЬНЫЙ"</t>
  </si>
  <si>
    <t>3702132331</t>
  </si>
  <si>
    <t>ЮЛ3702033883</t>
  </si>
  <si>
    <t>ЮЛ370203388300000</t>
  </si>
  <si>
    <t>153037 Ивановская область город Иваново Улица 8 Марта дом 32  литер А комната 36,37</t>
  </si>
  <si>
    <t>ИП Третьякова Наталья Ивановна</t>
  </si>
  <si>
    <t>370213374483</t>
  </si>
  <si>
    <t>ИП3702004274</t>
  </si>
  <si>
    <t>ИП370200427400000</t>
  </si>
  <si>
    <t>153000 Ивановская область город Иваново улица 8 марта дом 32   помещения 50,51,52,53</t>
  </si>
  <si>
    <t>ИП370200427400001</t>
  </si>
  <si>
    <t>153000 Ивановская область город Иваново улица Лежневская дом 55   помещение 78</t>
  </si>
  <si>
    <t>ИП370200427400002</t>
  </si>
  <si>
    <t>1536000 Ивановская область город Иваново улица Строителей дом 25  литер А нежилое помещение № 93,94(часть)</t>
  </si>
  <si>
    <t>ИП370200427400003</t>
  </si>
  <si>
    <t>153000 Ивановская область город Иваново улица 8 Марта дом 32   помещение 169</t>
  </si>
  <si>
    <t>ИП370200427400004</t>
  </si>
  <si>
    <t>153000 Ивановская область город Иваново улица 8 марта дом 32   помещение 179, 180</t>
  </si>
  <si>
    <t>ИП370200427400005</t>
  </si>
  <si>
    <t>153000 Ивановская область город Иваново улица Куконковых  дом 141  А-А24 1 этаж, нежилое помещение 988</t>
  </si>
  <si>
    <t>ИП370200427400007</t>
  </si>
  <si>
    <t>153035 Ивановская область город Иваново улица Ташкентская дом 84А   офис 17</t>
  </si>
  <si>
    <t>ООО "КОМПАНИЯ "АРСЕНАЛ+"</t>
  </si>
  <si>
    <t>3702136181</t>
  </si>
  <si>
    <t>ЮЛ3702004114</t>
  </si>
  <si>
    <t>ЮЛ370200411400000</t>
  </si>
  <si>
    <t>153025 Ивановская область город Иваново улица Тимирязева дом 58   5</t>
  </si>
  <si>
    <t>ИП Гусейнов Андрей Фирудинович</t>
  </si>
  <si>
    <t>370220414909</t>
  </si>
  <si>
    <t>ИП3702040124</t>
  </si>
  <si>
    <t>ИП370204012400000</t>
  </si>
  <si>
    <t>155550 Ивановская область город Приволжск улица Советская дом 1 корпус 1  помещение 7</t>
  </si>
  <si>
    <t>ООО "ТАЛКА"</t>
  </si>
  <si>
    <t>3702224381</t>
  </si>
  <si>
    <t>ЮЛ3702018519</t>
  </si>
  <si>
    <t>ЮЛ370201851900000</t>
  </si>
  <si>
    <t>153000 Ивановская область город Иваново 10 Августа 30   1002</t>
  </si>
  <si>
    <t>ИП Струлева Татьяна Ивановна</t>
  </si>
  <si>
    <t>370222749139</t>
  </si>
  <si>
    <t>ИП3702034786</t>
  </si>
  <si>
    <t>ИП370203478600000</t>
  </si>
  <si>
    <t>153022 Ивановская область город Иваново улица Богдана Хмельницкого дом 57</t>
  </si>
  <si>
    <t>ИП Костромская Елена Алексеевна</t>
  </si>
  <si>
    <t>370227972155</t>
  </si>
  <si>
    <t>ИП3702032059</t>
  </si>
  <si>
    <t>ИП370203205900000</t>
  </si>
  <si>
    <t>153021 Ивановская область Иваново Красной Армии 20Б   1-10</t>
  </si>
  <si>
    <t>ИП НЕСМАШНОВА НАТАЛЬЯ ВАЛЕРЬЕВНА</t>
  </si>
  <si>
    <t>370241524067</t>
  </si>
  <si>
    <t>ИП3702039709</t>
  </si>
  <si>
    <t>ИП370203970900000</t>
  </si>
  <si>
    <t>153037 Ивановская область город Иваново улица 8 Марта дом 32  литер А комната 33</t>
  </si>
  <si>
    <t>ИП Третьякова Ольга Геннадьевна</t>
  </si>
  <si>
    <t>370243611678</t>
  </si>
  <si>
    <t>ИП5001004208</t>
  </si>
  <si>
    <t>ИП500100420800000</t>
  </si>
  <si>
    <t>155800 Ивановская область город Кинешма площадь Революции дом 4   1 этаж, места 16,17,27</t>
  </si>
  <si>
    <t>ИП500100420800001</t>
  </si>
  <si>
    <t>155901 Ивановская область Город Шуя улица Мартирия Соловьева дом 4   торговый павильон №106</t>
  </si>
  <si>
    <t>ИП500100420800003</t>
  </si>
  <si>
    <t>155040 Ивановская область город Тейково улица Ленина дом 6   1 этаж</t>
  </si>
  <si>
    <t>ИП500100420800005</t>
  </si>
  <si>
    <t>153511 Ивановская область город Иваново проспект Ленина дом 108   нежилое помещение №1/13</t>
  </si>
  <si>
    <t>ИП500100420800006</t>
  </si>
  <si>
    <t>153013 Ивановская область город Иваново улица Куконковых дом 141  литер А-А24 нежилое помещение 978, 979</t>
  </si>
  <si>
    <t>ИП500100420800007</t>
  </si>
  <si>
    <t>155800 Ивановская область город Кинешма улица им. М. Горького  дом 9/2   нежилое помещение 1002</t>
  </si>
  <si>
    <t>ИП500100420800008</t>
  </si>
  <si>
    <t>155800 Ивановская область город Кинешма площадь Революции дом 4   место 11</t>
  </si>
  <si>
    <t>ИП500100420800010</t>
  </si>
  <si>
    <t>155900 Ивановская область город Шуя улица Васильевская дом 2   часть помещения 21,павильон №3</t>
  </si>
  <si>
    <t>ИП500100420800012</t>
  </si>
  <si>
    <t>155040 Ивановская область город Тейково улица Ленина дом 6   помещения №8,9</t>
  </si>
  <si>
    <t>ИП500100420800015</t>
  </si>
  <si>
    <t>153011 Ивановская область Иваново Парижской Коммуны 100   314</t>
  </si>
  <si>
    <t>ИП Елизарова Наталья Юрьевна</t>
  </si>
  <si>
    <t>370252927660</t>
  </si>
  <si>
    <t>ИП3702032701</t>
  </si>
  <si>
    <t>ИП370203270100000</t>
  </si>
  <si>
    <t>ИП Чернышов Станислав Викторович</t>
  </si>
  <si>
    <t>370254123048</t>
  </si>
  <si>
    <t>ИП3702005558</t>
  </si>
  <si>
    <t>ИП370200555800000</t>
  </si>
  <si>
    <t>153005 Ивановская область город Иваново проспект Шереметевский дом 82</t>
  </si>
  <si>
    <t>ИП370200555800001</t>
  </si>
  <si>
    <t>153005 Ивановская область город Иваново улица Сарментовой дом 9  Б, Б1, Б2, Б4. № 84</t>
  </si>
  <si>
    <t>ИП Скокова Елена Рудмальтовна</t>
  </si>
  <si>
    <t>370264961458</t>
  </si>
  <si>
    <t>ИП3702040720</t>
  </si>
  <si>
    <t>ИП370204072000000</t>
  </si>
  <si>
    <t>153003 Ивановская область город Иваново улица Парижской Коммуны дом 16  литер Б этаж 2, помещения 83-113</t>
  </si>
  <si>
    <t>ООО "ИВ.Ю.КО."</t>
  </si>
  <si>
    <t>3702651538</t>
  </si>
  <si>
    <t>ЮЛ3702003840</t>
  </si>
  <si>
    <t>ЮЛ370200384000000</t>
  </si>
  <si>
    <t>153051 Ивановская область Иваново Кохомское шоссе  1Д</t>
  </si>
  <si>
    <t>ИП Белов Михаил Александрович</t>
  </si>
  <si>
    <t>370267026700</t>
  </si>
  <si>
    <t>ИП3702004724</t>
  </si>
  <si>
    <t>ИП370200472400000</t>
  </si>
  <si>
    <t>153025 Ивановская область город Иваново улица Тимирязева дом 58   офис 3,4</t>
  </si>
  <si>
    <t>ООО "АЗУРИТ"</t>
  </si>
  <si>
    <t>3702697638</t>
  </si>
  <si>
    <t>ЮЛ3702006954</t>
  </si>
  <si>
    <t>ЮЛ370200695400000</t>
  </si>
  <si>
    <t>153030 Ивановская область город Иваново пер. 3-й Завокзальный дом 18/40</t>
  </si>
  <si>
    <t>ООО "РУБИН"</t>
  </si>
  <si>
    <t>3702707639</t>
  </si>
  <si>
    <t>ЮЛ3702002670</t>
  </si>
  <si>
    <t>ЮЛ370200267000000</t>
  </si>
  <si>
    <t>153037 Ивановская область город Иваново проспект Шереметьевский 87   пом. 150</t>
  </si>
  <si>
    <t>ООО "ПАРТНЕР"</t>
  </si>
  <si>
    <t>3702725250</t>
  </si>
  <si>
    <t>ЮЛ3702009591</t>
  </si>
  <si>
    <t>ЮЛ370200959100000</t>
  </si>
  <si>
    <t>155800 Ивановская область город Кинешма улица Советская дом 8а</t>
  </si>
  <si>
    <t>ИП Тимофеева Ирина Викторовна</t>
  </si>
  <si>
    <t>370306353528</t>
  </si>
  <si>
    <t>ИП3702018454</t>
  </si>
  <si>
    <t>ИП370201845400000</t>
  </si>
  <si>
    <t>155040 Ивановская область город Тейково улица Чапаева дом 1А   2</t>
  </si>
  <si>
    <t>ИП Семин Игорь Евгеньевич</t>
  </si>
  <si>
    <t>370401696860</t>
  </si>
  <si>
    <t>ИП3702040129</t>
  </si>
  <si>
    <t>ИП370204012900000</t>
  </si>
  <si>
    <t>153008 Ивановская область город Иваново улица Типографская дом 6   офис 40</t>
  </si>
  <si>
    <t>ИП Волкова Мария Сергеевна</t>
  </si>
  <si>
    <t>370405479095</t>
  </si>
  <si>
    <t>ИП3702039918</t>
  </si>
  <si>
    <t>ИП370203991800000</t>
  </si>
  <si>
    <t>155520 Ивановская область город Фурманов улица Социалистическая дом 2</t>
  </si>
  <si>
    <t>ИП Тихомиров Владимир Геннадьевич</t>
  </si>
  <si>
    <t>370500115394</t>
  </si>
  <si>
    <t>ИП3702020007</t>
  </si>
  <si>
    <t>ИП370202000700000</t>
  </si>
  <si>
    <t>155550 Ивановская область город Приволжск улица Фрунзе дом 1 строение А</t>
  </si>
  <si>
    <t>ООО "ТД Кардинал"</t>
  </si>
  <si>
    <t>3705009343</t>
  </si>
  <si>
    <t>ЮЛ3702006389</t>
  </si>
  <si>
    <t>ЮЛ370200638900000</t>
  </si>
  <si>
    <t>155553 Ивановская область город Приволжск улица Техническая дом 4г  Литера Б второй этаж, помещение №29,30,31,32,34</t>
  </si>
  <si>
    <t>ООО "НГТ"</t>
  </si>
  <si>
    <t>3705010170</t>
  </si>
  <si>
    <t>ЮЛ3702004062</t>
  </si>
  <si>
    <t>ЮЛ370200406200000</t>
  </si>
  <si>
    <t>155523 Ивановская область город Фурманов улица Демьяна Бедного дом 22</t>
  </si>
  <si>
    <t>ИП Доброхотов Анатолий Владимирович</t>
  </si>
  <si>
    <t>370527989390</t>
  </si>
  <si>
    <t>ИП3702036412</t>
  </si>
  <si>
    <t>ИП370203641200000</t>
  </si>
  <si>
    <t>155550 Ивановская область город Приволжск улица Фабричная дом 8-д</t>
  </si>
  <si>
    <t>ИП Рябков Кирилл Алексеевич</t>
  </si>
  <si>
    <t>370529129872</t>
  </si>
  <si>
    <t>ИП3702008201</t>
  </si>
  <si>
    <t>ИП370200820100000</t>
  </si>
  <si>
    <t>155553 Ивановская область город Приволжск улица Техническая строение 4д/2   помещение 2</t>
  </si>
  <si>
    <t>ИП Серова Мария Александровна</t>
  </si>
  <si>
    <t>370529309307</t>
  </si>
  <si>
    <t>ИП3702040766</t>
  </si>
  <si>
    <t>ИП370204076600000</t>
  </si>
  <si>
    <t>155900 Ивановская область город Шуя улица Ленина дом 16   торговый павильон 204</t>
  </si>
  <si>
    <t>ИП Зайцев Павел Петрович</t>
  </si>
  <si>
    <t>370600055734</t>
  </si>
  <si>
    <t>ИП3702013276</t>
  </si>
  <si>
    <t>ИП370201327600000</t>
  </si>
  <si>
    <t>153021 Ивановская область город Иваново улица Поляковой дом 8Б</t>
  </si>
  <si>
    <t>ИП Веричев Илья Михайлович</t>
  </si>
  <si>
    <t>370600390115</t>
  </si>
  <si>
    <t>ИП3702012709</t>
  </si>
  <si>
    <t>ИП370201270900000</t>
  </si>
  <si>
    <t>155900 Ивановская область город Шуя улица Ленина дом 5   нежилое помещение 1001</t>
  </si>
  <si>
    <t>ИП Сокова Надежда Александровна</t>
  </si>
  <si>
    <t>370604280890</t>
  </si>
  <si>
    <t>ИП3702010277</t>
  </si>
  <si>
    <t>ИП370201027700000</t>
  </si>
  <si>
    <t>155000 Ивановская область город Гаврилов Посад улица Советская площадь дом 11</t>
  </si>
  <si>
    <t>ИП Казакова Анастасия Александровна</t>
  </si>
  <si>
    <t>370901482803</t>
  </si>
  <si>
    <t>ИП3702015096</t>
  </si>
  <si>
    <t>ИП370201509600000</t>
  </si>
  <si>
    <t>153037 Ивановская область город Иваново улица 8 Марта дом 32 Павильон 54,55(1-й этаж) Литер Б</t>
  </si>
  <si>
    <t>ИП Свашенко Ирина Вадимовна</t>
  </si>
  <si>
    <t>371100054050</t>
  </si>
  <si>
    <t>ИП3702000821</t>
  </si>
  <si>
    <t>ИП370200082100000</t>
  </si>
  <si>
    <t>153013 Ивановская область город Иваново улица Куконковых дом 141  Литер А-А24 Павильон 418(1-й этаж)</t>
  </si>
  <si>
    <t>ИП370200082100001</t>
  </si>
  <si>
    <t>153008 Ивановская область город Иваново улица Лежневская дом 55 Помещение № 20(1-й этаж)</t>
  </si>
  <si>
    <t>ИП370200082100002</t>
  </si>
  <si>
    <t>153037 Ивановская область город Иваново улица 8 Марта 32 1 этаж торговая площадь 54 Д помещения 153,154,155,156</t>
  </si>
  <si>
    <t>ИП370200082100005</t>
  </si>
  <si>
    <t>153511 Ивановская область город Кохма улица 2-я Ивановская дом 3А   нет</t>
  </si>
  <si>
    <t>ИП Языков Дмитрий Владимирович</t>
  </si>
  <si>
    <t>371101013000</t>
  </si>
  <si>
    <t>ИП3702000416</t>
  </si>
  <si>
    <t>ИП370200041600000</t>
  </si>
  <si>
    <t>153006 Ивановская область город Иваново проезд 11-й дом 7  А №238А,238-242,248-250</t>
  </si>
  <si>
    <t>ИП Журавлев Василий Николаевич</t>
  </si>
  <si>
    <t>371101714983</t>
  </si>
  <si>
    <t>ИП3702009688</t>
  </si>
  <si>
    <t>ИП370200968800000</t>
  </si>
  <si>
    <t>153032 Ивановская область город Иваново улица Станкостроителей дом 1М</t>
  </si>
  <si>
    <t>ООО "МАРШАЛ"</t>
  </si>
  <si>
    <t>3711027421</t>
  </si>
  <si>
    <t>ЮЛ3702003511</t>
  </si>
  <si>
    <t>ЮЛ370200351100000</t>
  </si>
  <si>
    <t>153510 Ивановская область Кохма Октябрьская 35   307</t>
  </si>
  <si>
    <t>ИП Фоменкова Алена Константиновна</t>
  </si>
  <si>
    <t>371118198092</t>
  </si>
  <si>
    <t>ИП3702035798</t>
  </si>
  <si>
    <t>ИП370203579800000</t>
  </si>
  <si>
    <t>153511 Ивановская область город Кохма улица Ивановская дом 54   офис 1001</t>
  </si>
  <si>
    <t>ИП Тюрин Сергей Владиславович</t>
  </si>
  <si>
    <t>371118456089</t>
  </si>
  <si>
    <t>ИП3702000401</t>
  </si>
  <si>
    <t>ИП370200040100000</t>
  </si>
  <si>
    <t>155830 Ивановская область город Наволоки переулок Спортивный дом 3</t>
  </si>
  <si>
    <t>ИП Смелова Ирина Сергеевна</t>
  </si>
  <si>
    <t>371301482401</t>
  </si>
  <si>
    <t>ИП3702005135</t>
  </si>
  <si>
    <t>ИП370200513500000</t>
  </si>
  <si>
    <t>155150 Ивановская область КОМСОМОЛЬСК Советская 4   1002</t>
  </si>
  <si>
    <t>ИП Власова Алина Александровна</t>
  </si>
  <si>
    <t>371403418606</t>
  </si>
  <si>
    <t>ИП3702008028</t>
  </si>
  <si>
    <t>ИП370200802800000</t>
  </si>
  <si>
    <t>155555 Ивановская область город Плес улица Советская дом 49   помещение 5</t>
  </si>
  <si>
    <t>ИП Полева Светлана Викторовна</t>
  </si>
  <si>
    <t>371900024143</t>
  </si>
  <si>
    <t>ИП3702008842</t>
  </si>
  <si>
    <t>ИП370200884200000</t>
  </si>
  <si>
    <t>155555 Ивановская область город Плес Торговая площадь 4   10</t>
  </si>
  <si>
    <t>ИП370200884200005</t>
  </si>
  <si>
    <t>155550 Ивановская область город Приволжск улица Некрасова дом 43А</t>
  </si>
  <si>
    <t>ИП Комарова Татьяна Александровна</t>
  </si>
  <si>
    <t>371900171780</t>
  </si>
  <si>
    <t>ИП3702002759</t>
  </si>
  <si>
    <t>ИП370200275900000</t>
  </si>
  <si>
    <t>155550 Ивановская область город Приволжск улица Фабричная дом 10</t>
  </si>
  <si>
    <t>ИП370200420000000</t>
  </si>
  <si>
    <t>155550 Ивановская область город Приволжск улица Фабричная дом 4</t>
  </si>
  <si>
    <t>ИП370200420000001</t>
  </si>
  <si>
    <t>ЗАО "КРАСНАЯ ПРЕСНЯ"</t>
  </si>
  <si>
    <t>3719004049</t>
  </si>
  <si>
    <t>ЮЛ3702002410</t>
  </si>
  <si>
    <t>ЮЛ370200241000000</t>
  </si>
  <si>
    <t>155550 Ивановская область город Приволжск улица Фабричная дом 9   помещение 2</t>
  </si>
  <si>
    <t>ИП Новикова Наталия Михайловна</t>
  </si>
  <si>
    <t>371900424007</t>
  </si>
  <si>
    <t>ИП3702002092</t>
  </si>
  <si>
    <t>ИП370200209200000</t>
  </si>
  <si>
    <t>155550 Ивановская область город Приволжск улица Фабричная дом 10   помещение 1002</t>
  </si>
  <si>
    <t>ИП370200209200002</t>
  </si>
  <si>
    <t>155550 Ивановская область город Приволжск улица Фабричная дом 9   помещение 1</t>
  </si>
  <si>
    <t>ИП370200209200003</t>
  </si>
  <si>
    <t>155553 Ивановская область город Приволжск улица Техническая дом 4г</t>
  </si>
  <si>
    <t>ООО "ФАБРИКА "ПРИВОЛЖСКИЙ ЮВЕЛИР"</t>
  </si>
  <si>
    <t>3719005081</t>
  </si>
  <si>
    <t>ЮЛ3702040833</t>
  </si>
  <si>
    <t>ЮЛ370204083300000</t>
  </si>
  <si>
    <t>155550 Ивановская область ПРИВОЛЖСК ФАБРИЧНАЯ  8Д</t>
  </si>
  <si>
    <t>ИП Рябков Алексей Валентинович</t>
  </si>
  <si>
    <t>371900579106</t>
  </si>
  <si>
    <t>ИП3702008020</t>
  </si>
  <si>
    <t>ИП370200802000000</t>
  </si>
  <si>
    <t>155550 Ивановская область город Приволжск улица Фабричная дом 8</t>
  </si>
  <si>
    <t>ИП Черкасова Татьяна Вадимовна</t>
  </si>
  <si>
    <t>371901636830</t>
  </si>
  <si>
    <t>ИП3702002105</t>
  </si>
  <si>
    <t>ИП370200210500000</t>
  </si>
  <si>
    <t>155550 Ивановская область город Приволжск улица Фабричная дом 8   помещение №13, 14, 15</t>
  </si>
  <si>
    <t>ИП Лазукин Владимир Николаевич</t>
  </si>
  <si>
    <t>371901848601</t>
  </si>
  <si>
    <t>ИП3702040888</t>
  </si>
  <si>
    <t>ИП370204088800000</t>
  </si>
  <si>
    <t>ИП Пашкова Елена Алексеевна</t>
  </si>
  <si>
    <t>371902328595</t>
  </si>
  <si>
    <t>ИП3702003603</t>
  </si>
  <si>
    <t>ИП370200360300000</t>
  </si>
  <si>
    <t>155550 Ивановская область Приволжск Фабричная 4</t>
  </si>
  <si>
    <t>ИП Радинский Олег Николаевич</t>
  </si>
  <si>
    <t>371902354404</t>
  </si>
  <si>
    <t>ИП3702014031</t>
  </si>
  <si>
    <t>ИП370201403100000</t>
  </si>
  <si>
    <t>155550 Ивановская область Приволжск город Фабричная улица дом 9 встроенное помещение 3</t>
  </si>
  <si>
    <t>ИП Долгова Кристина Владимировна</t>
  </si>
  <si>
    <t>371902358350</t>
  </si>
  <si>
    <t>ИП3702000758</t>
  </si>
  <si>
    <t>ИП370200075800000</t>
  </si>
  <si>
    <t>155550 Ивановская область город Приволжск переулок Ф.Энгельса 6Б</t>
  </si>
  <si>
    <t>ИП Караваева Анна Евгеньевна</t>
  </si>
  <si>
    <t>371902430574</t>
  </si>
  <si>
    <t>ИП3702011723</t>
  </si>
  <si>
    <t>ИП370201172300000</t>
  </si>
  <si>
    <t>155360 Ивановская область город Пучеж улица Крылова дом 4</t>
  </si>
  <si>
    <t>ИП Титова Галина Николаевна</t>
  </si>
  <si>
    <t>372000058800</t>
  </si>
  <si>
    <t>ИП3702006340</t>
  </si>
  <si>
    <t>ИП370200634000000</t>
  </si>
  <si>
    <t>153025 Ивановская область город Иваново улица Дзержинского дом 39   411</t>
  </si>
  <si>
    <t>ИП Куваева Елена Николаевна</t>
  </si>
  <si>
    <t>372003028508</t>
  </si>
  <si>
    <t>ИП3702036322</t>
  </si>
  <si>
    <t>ИП370203632200000</t>
  </si>
  <si>
    <t>153035 Ивановская область Иваново Ташкентская 84  А 17</t>
  </si>
  <si>
    <t>ИП Маргаев Андрей Евгеньевич</t>
  </si>
  <si>
    <t>372800046635</t>
  </si>
  <si>
    <t>ИП3702036716</t>
  </si>
  <si>
    <t>ИП370203671600000</t>
  </si>
  <si>
    <t>153022 Ивановская область Иваново улица Велижская 5   1000-01</t>
  </si>
  <si>
    <t>ИП Севрикеев Виктор Федорович</t>
  </si>
  <si>
    <t>372800240103</t>
  </si>
  <si>
    <t>ИП7701005297</t>
  </si>
  <si>
    <t>ИП770100529700000</t>
  </si>
  <si>
    <t>153009 Ивановская область город Иваново улица Лежневская дом 173</t>
  </si>
  <si>
    <t>ИП Волков Александр Вячеславович</t>
  </si>
  <si>
    <t>372800542305</t>
  </si>
  <si>
    <t>ИП3702010818</t>
  </si>
  <si>
    <t>ИП370201081800004</t>
  </si>
  <si>
    <t>155900 Ивановская область город Шуя Мартирия Соловьева 4   105</t>
  </si>
  <si>
    <t>ИП Карпов Эдуард Юрьевич</t>
  </si>
  <si>
    <t>373100528297</t>
  </si>
  <si>
    <t>ИП3702003502</t>
  </si>
  <si>
    <t>ИП370200350200000</t>
  </si>
  <si>
    <t>153025 Ивановская область город Иваново улица Ермака дом 32   неж.пом.1002</t>
  </si>
  <si>
    <t>ООО "ИВДАР-ПЛЮС ЛОМБАРД"</t>
  </si>
  <si>
    <t>3731032275</t>
  </si>
  <si>
    <t>ЮЛ3702000491</t>
  </si>
  <si>
    <t>ЮЛ370200049100000</t>
  </si>
  <si>
    <t>153002 Ивановская область город Иваново улица Карла Маркса дом 44</t>
  </si>
  <si>
    <t>ИП440200822300013</t>
  </si>
  <si>
    <t>155520 Ивановская область село Широково  93</t>
  </si>
  <si>
    <t>ИП Огородников Алексей Григорьевич</t>
  </si>
  <si>
    <t>441501153246</t>
  </si>
  <si>
    <t>ИП4402036711</t>
  </si>
  <si>
    <t>ИП440203671100000</t>
  </si>
  <si>
    <t>155550 Ивановская область город Приволжск улица Фабричная дом 9   помещение 4</t>
  </si>
  <si>
    <t>ИП Новиков Николай Владимирович</t>
  </si>
  <si>
    <t>500718503597</t>
  </si>
  <si>
    <t>ИП3702002084</t>
  </si>
  <si>
    <t>ИП370200208400000</t>
  </si>
  <si>
    <t>153037 Ивановская область город Иваново улица 8 Марта дом 32</t>
  </si>
  <si>
    <t>ИП500100445500038</t>
  </si>
  <si>
    <t>153000 Ивановская область город Иваново улица 8 марта дом 32   часть помещения 18</t>
  </si>
  <si>
    <t>ЮЛ520603376600160</t>
  </si>
  <si>
    <t>153511 Ивановская область город Кохма улица Ивановская дом 27   помещение 1005</t>
  </si>
  <si>
    <t>ИП Крайкина Марина Юрьевна</t>
  </si>
  <si>
    <t>616842081491</t>
  </si>
  <si>
    <t>ИП3702004138</t>
  </si>
  <si>
    <t>ИП370200413800000</t>
  </si>
  <si>
    <t>153032 Ивановская область город Иваново улица Лежневская дом 142</t>
  </si>
  <si>
    <t>ЮЛ770100201500552</t>
  </si>
  <si>
    <t>153037 Ивановская область город Иваново улица 8 Марта дом 32  Литер Д помещения 157,157а,157Б, этаж 1</t>
  </si>
  <si>
    <t>ЮЛ770101216600189</t>
  </si>
  <si>
    <t>153013 Ивановская область город Иваново улица Куконковых дом 141    этаж 1</t>
  </si>
  <si>
    <t>ЮЛ770101216600287</t>
  </si>
  <si>
    <t>153008 Ивановская область город Иваново улица Лежневская дом 55   помещение 5, этаж 1</t>
  </si>
  <si>
    <t>ЮЛ770101216600293</t>
  </si>
  <si>
    <t>153002 Ивановская область город Иваново улица Карла Маркса дом 3   1 этаж, часть нежилого помещения</t>
  </si>
  <si>
    <t>ЮЛ770101216600868</t>
  </si>
  <si>
    <t>153013 Ивановская область город Иваново улица Куконковых дом 141   помещения 434, 322, 320</t>
  </si>
  <si>
    <t>ЮЛ770100193500134</t>
  </si>
  <si>
    <t>153037 Ивановская область город Иваново улица 8 Марта дом 32  литер Д помещения 162,162а, 1 этаж</t>
  </si>
  <si>
    <t>ЮЛ770100193500136</t>
  </si>
  <si>
    <t>153008 Ивановская область город Иваново улица Лежневская дом 55   помещение 78</t>
  </si>
  <si>
    <t>ЮЛ770100193500137</t>
  </si>
  <si>
    <t>ЮЛ770100193500996</t>
  </si>
  <si>
    <t>153002 Ивановская область город Иваново проспект Ленина дом 47   помещение 1010</t>
  </si>
  <si>
    <t>ЮЛ770100193501082</t>
  </si>
  <si>
    <t>155553 Ивановская область село Ингарь переулок Спортивный дом 9   помещение 1</t>
  </si>
  <si>
    <t>ИП Хусаинов Олег Александрович</t>
  </si>
  <si>
    <t>780229988253</t>
  </si>
  <si>
    <t>ИП3702000785</t>
  </si>
  <si>
    <t>ИП370200078500000</t>
  </si>
  <si>
    <t>153000 Ивановская область г. Иваново пр. Ленина д. 1</t>
  </si>
  <si>
    <t>ЮЛ780300131300104</t>
  </si>
  <si>
    <t>153002 Ивановская область город Иваново проспект Ленина дом 47</t>
  </si>
  <si>
    <t>ЮЛ780300323500005</t>
  </si>
  <si>
    <t>153000 Ивановская область город Иваново проспект Ленина дом 7  литера А помещение 1007</t>
  </si>
  <si>
    <t>ЮЛ780300323500060</t>
  </si>
  <si>
    <t>ЮЛ780300308200140</t>
  </si>
  <si>
    <t>153000 Ивановская область город Иваново проспект Ленина дом 1   помещение 1001</t>
  </si>
  <si>
    <t>ЮЛ780300308200206</t>
  </si>
  <si>
    <t>153013 Ивановская область город Иваново улица Куконковых дом 141  ЛИТ А-А24 помещения 976,977</t>
  </si>
  <si>
    <t>ЮЛ780300308200224</t>
  </si>
  <si>
    <t>153008 Ивановская область город Иваново улица Лежневская дом 55   нежилые помещения  10,11,12,14</t>
  </si>
  <si>
    <t>ЮЛ780300308201135</t>
  </si>
  <si>
    <t>153000 Ивановская область город Иваново проспект Ленина дом 7</t>
  </si>
  <si>
    <t>ЮЛ780300363500105</t>
  </si>
  <si>
    <t>ЮЛ780300363500106</t>
  </si>
  <si>
    <t>153037 Ивановская область город Иваново улица 8 Марта дом 32   торговая площадь №13, нежилые помещения №57, №58</t>
  </si>
  <si>
    <t>ЮЛ770100439200256</t>
  </si>
  <si>
    <t>Иркутская область</t>
  </si>
  <si>
    <t>664043 Иркутская область город Иркутск улица Сергеева дом 3/5</t>
  </si>
  <si>
    <t>ИП Семенова Алена Анатольевна</t>
  </si>
  <si>
    <t>32354633620</t>
  </si>
  <si>
    <t>ИП0309005723</t>
  </si>
  <si>
    <t>ИП030900572300008</t>
  </si>
  <si>
    <t>665653 Иркутская область город Железногорск-Илимский 6 квартал дом 21А   Помещение №6</t>
  </si>
  <si>
    <t>ИП Белобородова Ольга Викторовна</t>
  </si>
  <si>
    <t>143400617987</t>
  </si>
  <si>
    <t>ИП3808015164</t>
  </si>
  <si>
    <t>ИП380801516400000</t>
  </si>
  <si>
    <t>664003 Иркутская область город Иркутск улица Грязнова дом 1</t>
  </si>
  <si>
    <t>ЮЛ140900343400014</t>
  </si>
  <si>
    <t>664003 Иркутская область город Иркутск улица Литвинова 17</t>
  </si>
  <si>
    <t>ЮЛ140900343400016</t>
  </si>
  <si>
    <t>666679 Иркутская область город Усть-Илимск улица Георгия Димитрова дом 20   павильон 112</t>
  </si>
  <si>
    <t>ИП Шарова Марина Евгеньевна</t>
  </si>
  <si>
    <t>212902054673</t>
  </si>
  <si>
    <t>ИП3808007866</t>
  </si>
  <si>
    <t>ИП380800786600000</t>
  </si>
  <si>
    <t>666686 Иркутская область Усть-Илимск Мира 70</t>
  </si>
  <si>
    <t>ИП380800786600001</t>
  </si>
  <si>
    <t>665000 Иркутская область город Тайшет Транспортная  35-90Н</t>
  </si>
  <si>
    <t>ООО "ЛОМБАРД ГОЛД-АВТО-ИНВЕСТ"</t>
  </si>
  <si>
    <t>2461050092</t>
  </si>
  <si>
    <t>ЮЛ2408036622</t>
  </si>
  <si>
    <t>ЮЛ240803662200018</t>
  </si>
  <si>
    <t>665826 Иркутская область город Ангарск 13 микрорайон строение 33   23-24</t>
  </si>
  <si>
    <t>ИП280901090600003</t>
  </si>
  <si>
    <t>665825 Иркутская область город Ангарск квартал 92 дом 30</t>
  </si>
  <si>
    <t>ИП280901090600018</t>
  </si>
  <si>
    <t>665824 Иркутская область город Ангарск 192 квартал дом 12   секция 45</t>
  </si>
  <si>
    <t>ИП280901090600019</t>
  </si>
  <si>
    <t>665813 Иркутская область город Ангарск кв-л 81 дом 3</t>
  </si>
  <si>
    <t>ИП Метелькова Светлана Владимировна</t>
  </si>
  <si>
    <t>380100032206</t>
  </si>
  <si>
    <t>ИП3808013968</t>
  </si>
  <si>
    <t>ИП380801396800004</t>
  </si>
  <si>
    <t>665830 Иркутская область город Ангарск Улица 55 квартал Дом 2   Офис 7</t>
  </si>
  <si>
    <t>ИП Селяндина Ирина Вячеславовна</t>
  </si>
  <si>
    <t>380100393925</t>
  </si>
  <si>
    <t>ИП3808013791</t>
  </si>
  <si>
    <t>ИП380801379100000</t>
  </si>
  <si>
    <t>ИП Метельков Александр Михайлович</t>
  </si>
  <si>
    <t>380100441914</t>
  </si>
  <si>
    <t>ИП3808032996</t>
  </si>
  <si>
    <t>ИП380803299600001</t>
  </si>
  <si>
    <t>666036 Иркутская область город Шелехов мкр 4-й дом 37б</t>
  </si>
  <si>
    <t>ИП380803299600002</t>
  </si>
  <si>
    <t>665841 Иркутская область город Ангарск 18 микрорайон дом19   офис 498</t>
  </si>
  <si>
    <t>ИП Ламм Галина Геннадьевна</t>
  </si>
  <si>
    <t>380100688446</t>
  </si>
  <si>
    <t>ИП3808004312</t>
  </si>
  <si>
    <t>ИП380800431200000</t>
  </si>
  <si>
    <t>665834 Иркутская область город Ангарск 22 микрорайон дом 13   офис 29</t>
  </si>
  <si>
    <t>ИП380800431200001</t>
  </si>
  <si>
    <t>665834 Иркутская область город Ангарск 6 микрорайон дом 19</t>
  </si>
  <si>
    <t>ИП380800431200003</t>
  </si>
  <si>
    <t>665830 Иркутская область город Ангарск квартал 58 дом 1 помещение 38</t>
  </si>
  <si>
    <t>ИП Горбачёва Татьяна Михайловна</t>
  </si>
  <si>
    <t>380100690371</t>
  </si>
  <si>
    <t>ИП3808011990</t>
  </si>
  <si>
    <t>ИП380801199000000</t>
  </si>
  <si>
    <t>665830 Иркутская область город Ангарск  Карла Маркса 26</t>
  </si>
  <si>
    <t>ИП Алексеева Мария Николаевна</t>
  </si>
  <si>
    <t>380103344080</t>
  </si>
  <si>
    <t>ИП3808039556</t>
  </si>
  <si>
    <t>ИП380803955600000</t>
  </si>
  <si>
    <t>665826 Иркутская область Город Ангарск микрорайон 12а  строение 42   Офис 37</t>
  </si>
  <si>
    <t>ООО ЛОМБАРД "НОВЭК"</t>
  </si>
  <si>
    <t>3801051884</t>
  </si>
  <si>
    <t>ЮЛ3808000402</t>
  </si>
  <si>
    <t>ЮЛ380800040200000</t>
  </si>
  <si>
    <t>665826 Иркутская область город Ангарск квартал 58 дом 1   помещение 39А</t>
  </si>
  <si>
    <t>ИП Дьяченко Евгений Геннадьевич</t>
  </si>
  <si>
    <t>380115512364</t>
  </si>
  <si>
    <t>ИП3808002569</t>
  </si>
  <si>
    <t>ИП380800256900000</t>
  </si>
  <si>
    <t>669401 Иркутская область поселок Новонукутский улица Ленина дом 25/4</t>
  </si>
  <si>
    <t>ООО "СЕРЕБРЯНЫЙ ЛАРЕЦ"</t>
  </si>
  <si>
    <t>3801161333</t>
  </si>
  <si>
    <t>ЮЛ3808036350</t>
  </si>
  <si>
    <t>ЮЛ380803635000000</t>
  </si>
  <si>
    <t>ИП Макаренко Александр Вячеславович</t>
  </si>
  <si>
    <t>380126157961</t>
  </si>
  <si>
    <t>ИП3808032997</t>
  </si>
  <si>
    <t>ИП380803299700001</t>
  </si>
  <si>
    <t>666904 Иркутская область город Бодайбо улица Урицкого 24</t>
  </si>
  <si>
    <t>ИП Вахрушева Елена Александровна</t>
  </si>
  <si>
    <t>380200029091</t>
  </si>
  <si>
    <t>ИП3808014706</t>
  </si>
  <si>
    <t>ИП380801470600000</t>
  </si>
  <si>
    <t>666904 Иркутская область город Бодайбо улица Карла Либкнехта 39</t>
  </si>
  <si>
    <t>ИП380801470600009</t>
  </si>
  <si>
    <t>666904 Иркутская область город Бодайбо улица Карла Либкнехта 44</t>
  </si>
  <si>
    <t>ИП380801470600012</t>
  </si>
  <si>
    <t>666901 Иркутская область город Бодайбо Урицкого 24</t>
  </si>
  <si>
    <t>ИП380801470600016</t>
  </si>
  <si>
    <t>664000 Иркутская область город Иркутск Партизанская 7 А</t>
  </si>
  <si>
    <t>ИП380801470600017</t>
  </si>
  <si>
    <t>666904 Иркутская область город Бодайбо улица Стояновича дом 34</t>
  </si>
  <si>
    <t>АО "СВЕТЛЫЙ"</t>
  </si>
  <si>
    <t>3802005714</t>
  </si>
  <si>
    <t>ЮЛ3808000400</t>
  </si>
  <si>
    <t>ЮЛ380800040000000</t>
  </si>
  <si>
    <t>666904 Иркутская область город Бодайбо улица Урицкого дом 31А</t>
  </si>
  <si>
    <t>ИП Чалова Татьяна Петровна</t>
  </si>
  <si>
    <t>380200813860</t>
  </si>
  <si>
    <t>ИП3808002925</t>
  </si>
  <si>
    <t>ИП380800292500000</t>
  </si>
  <si>
    <t>665717 Иркутская область город Братск улица Мира дом 19   помещение 1000</t>
  </si>
  <si>
    <t>ИП Бобков Сергей Юрьевич</t>
  </si>
  <si>
    <t>380400052563</t>
  </si>
  <si>
    <t>ИП7803004210</t>
  </si>
  <si>
    <t>ИП780300421000000</t>
  </si>
  <si>
    <t>665727 Иркутская область город Братск улица Крупской дом 35А   помещение 1001</t>
  </si>
  <si>
    <t>ИП780300421000001</t>
  </si>
  <si>
    <t>665709 Иркутская область город Братск улица Наймушина дом 14   помещение 1001</t>
  </si>
  <si>
    <t>ИП780300421000002</t>
  </si>
  <si>
    <t>665729 Иркутская область город Братск улица Советская дом 6   помещение 1000</t>
  </si>
  <si>
    <t>ИП780300421000003</t>
  </si>
  <si>
    <t>666679 Иркутская область город Усть-Илимск проспект Мира дом 17   не жил. помещение № 1</t>
  </si>
  <si>
    <t>ИП Шилимов Владимир Тимурович</t>
  </si>
  <si>
    <t>380401214538</t>
  </si>
  <si>
    <t>ИП3808014969</t>
  </si>
  <si>
    <t>ИП380801496900000</t>
  </si>
  <si>
    <t>666673 Иркутская область город Усть-Илимск улица Ленина дом № 5   магазин "Елена" павильон 122</t>
  </si>
  <si>
    <t>ИП380801496900002</t>
  </si>
  <si>
    <t>666679 Иркутская область город Усть-Илимск улица Георгия Димитрова  дом 20   магазин "Дом Торговли" павильон № 217</t>
  </si>
  <si>
    <t>ИП380801496900003</t>
  </si>
  <si>
    <t>665708 Иркутская область город Братск улица Мира дом 36 1002</t>
  </si>
  <si>
    <t>ИП Горюнова Татьяна Николаевна</t>
  </si>
  <si>
    <t>380402029062</t>
  </si>
  <si>
    <t>ИП3808003971</t>
  </si>
  <si>
    <t>ИП380800397100000</t>
  </si>
  <si>
    <t>665717 Иркутская область город Братск улица Янгеля дом 120/1</t>
  </si>
  <si>
    <t>ИП380800397100001</t>
  </si>
  <si>
    <t>665724 Иркутская область город Братск улица Крупской дом 56</t>
  </si>
  <si>
    <t>ИП380800397100003</t>
  </si>
  <si>
    <t>665770 Иркутская область город Вихоревка улица Ленина дом 27</t>
  </si>
  <si>
    <t>ИП380800397100004</t>
  </si>
  <si>
    <t>665707 Иркутская область город Братск улица Наймушина дом 32</t>
  </si>
  <si>
    <t>ИП380800397100005</t>
  </si>
  <si>
    <t>665730 Иркутская область город Братск улица Гиндина дом 4</t>
  </si>
  <si>
    <t>ИП380800397100006</t>
  </si>
  <si>
    <t>665714 Иркутская область город Братск улица Сосновая дом 10Б</t>
  </si>
  <si>
    <t>ИП380800397100007</t>
  </si>
  <si>
    <t>665714 Иркутская область город Братск улица Вокзальная дом 2В П 26 248 02 00</t>
  </si>
  <si>
    <t>ИП380800397100008</t>
  </si>
  <si>
    <t>ООО ФИРМА "РУСЮВЕЛИРТОРГ"</t>
  </si>
  <si>
    <t>3804021567</t>
  </si>
  <si>
    <t>ЮЛ3808006984</t>
  </si>
  <si>
    <t>ЮЛ380800698400000</t>
  </si>
  <si>
    <t>ООО "ОКУЛЮС ПЛЮС"</t>
  </si>
  <si>
    <t>3804118791</t>
  </si>
  <si>
    <t>ЮЛ3808034353</t>
  </si>
  <si>
    <t>ЮЛ380803435300000</t>
  </si>
  <si>
    <t>665729 Иркутская область город Братск улица Советская дом 2 1007</t>
  </si>
  <si>
    <t>ЮЛ380803435300001</t>
  </si>
  <si>
    <t>ИП Городничева Т. В.</t>
  </si>
  <si>
    <t>380500315054</t>
  </si>
  <si>
    <t>ИП3808011153</t>
  </si>
  <si>
    <t>ИП380801115300000</t>
  </si>
  <si>
    <t>665714 Иркутская область город Братск улица Енисейская дом 54</t>
  </si>
  <si>
    <t>ИП380801115300003</t>
  </si>
  <si>
    <t>664047 Иркутская область город Иркутск улица Депутатская дом 14</t>
  </si>
  <si>
    <t>ИП380801115300005</t>
  </si>
  <si>
    <t>664049 Иркутская область город Иркутск микрорайон Юбилейный дом 19/1</t>
  </si>
  <si>
    <t>ИП380801115300006</t>
  </si>
  <si>
    <t>ООО "ОКУЛЮС"</t>
  </si>
  <si>
    <t>3805404040</t>
  </si>
  <si>
    <t>ЮЛ3808014129</t>
  </si>
  <si>
    <t>ЮЛ380801412900000</t>
  </si>
  <si>
    <t>ЮЛ380801412900005</t>
  </si>
  <si>
    <t>ЮЛ380801412900008</t>
  </si>
  <si>
    <t>ЮЛ380801412900009</t>
  </si>
  <si>
    <t>665729 Иркутская область город Братск улица Советская дом 2   помещение 1007</t>
  </si>
  <si>
    <t>ЮЛ380801412900010</t>
  </si>
  <si>
    <t>ООО "БРАТСКИЙ ЛОМБАРД"</t>
  </si>
  <si>
    <t>3805706683</t>
  </si>
  <si>
    <t>ЮЛ3808009191</t>
  </si>
  <si>
    <t>ЮЛ380800919100000</t>
  </si>
  <si>
    <t>666303 Иркутская область Город Саянск Микрорайон  Строителей Дом 41 Торговый Комплекс "Саянский"</t>
  </si>
  <si>
    <t>ИП Прейм Евгений Александрович</t>
  </si>
  <si>
    <t>380600039707</t>
  </si>
  <si>
    <t>ИП3808000448</t>
  </si>
  <si>
    <t>ИП380800044800000</t>
  </si>
  <si>
    <t>665390 Иркутская область город Зима улица Ленина дом 1   Павильон 1</t>
  </si>
  <si>
    <t>ИП Музанова Евгения Ивановна</t>
  </si>
  <si>
    <t>380602545579</t>
  </si>
  <si>
    <t>ИП3808013967</t>
  </si>
  <si>
    <t>ИП380801396700000</t>
  </si>
  <si>
    <t>664003 Иркутская область город Иркутск улица Сухэ-Батора дом 17А</t>
  </si>
  <si>
    <t>АО "АЛМАЗ"</t>
  </si>
  <si>
    <t>3807003044</t>
  </si>
  <si>
    <t>ЮЛ3808003616</t>
  </si>
  <si>
    <t>ЮЛ380800361600000</t>
  </si>
  <si>
    <t>664003 Иркутская область город Иркутск улица Карла Маркса дом 29</t>
  </si>
  <si>
    <t>ООО "ЮК "ЛАЗУРИТ"</t>
  </si>
  <si>
    <t>3808028059</t>
  </si>
  <si>
    <t>ЮЛ3808005307</t>
  </si>
  <si>
    <t>ЮЛ380800530700000</t>
  </si>
  <si>
    <t>664003 Иркутская область город Иркутск улица Богдана Хмельницкого дом 1 пом. 40,41  Jewerly</t>
  </si>
  <si>
    <t>ИП Антонова Евгения Владимировна</t>
  </si>
  <si>
    <t>380803379498</t>
  </si>
  <si>
    <t>ИП3808007890</t>
  </si>
  <si>
    <t>ИП380800789000002</t>
  </si>
  <si>
    <t>664003 Иркутская область город Иркутск улица Богдана Хмельницкого дом 1 пом 42,43  Diamond</t>
  </si>
  <si>
    <t>ИП380800789000003</t>
  </si>
  <si>
    <t>664003 Иркутская область город Иркутск улица Карла Маркса дом 18</t>
  </si>
  <si>
    <t>ИП380800789000004</t>
  </si>
  <si>
    <t>664007 Иркутская область Город Иркутск Улица Литвинова дом 17   павильон 19</t>
  </si>
  <si>
    <t>ИП Кондратьева Светлана Леонидовна</t>
  </si>
  <si>
    <t>380804732500</t>
  </si>
  <si>
    <t>ИП3808000594</t>
  </si>
  <si>
    <t>ИП380800059400000</t>
  </si>
  <si>
    <t>664003 Иркутская область город Иркутск улица Сухэ-Батора дом 17а</t>
  </si>
  <si>
    <t>ООО "ЮВЕЛИРНЫЙ САД"</t>
  </si>
  <si>
    <t>3808095665</t>
  </si>
  <si>
    <t>ЮЛ3808003579</t>
  </si>
  <si>
    <t>ЮЛ380800357900000</t>
  </si>
  <si>
    <t>664040 Иркутская область город Иркутск улица Розы Люксембург дом 215В   3 этаж</t>
  </si>
  <si>
    <t>ООО ТД "БАЙКАЛ-ЛЕНА"</t>
  </si>
  <si>
    <t>3808128215</t>
  </si>
  <si>
    <t>ЮЛ3808009211</t>
  </si>
  <si>
    <t>ЮЛ380800921100001</t>
  </si>
  <si>
    <t>664003 Иркутская область город Иркутск улица Литвинова дом 17   пав.18, 1 этаж</t>
  </si>
  <si>
    <t>ЮЛ380800921100002</t>
  </si>
  <si>
    <t>664081 Иркутская область город Иркутск улица Волжская дом 15   2 этаж</t>
  </si>
  <si>
    <t>ЮЛ380800921100003</t>
  </si>
  <si>
    <t>664025 Иркутская область город Иркутск бульвар Гагарина дом 54</t>
  </si>
  <si>
    <t>ООО "МИЛЛИОНЕР"</t>
  </si>
  <si>
    <t>3808199022</t>
  </si>
  <si>
    <t>ЮЛ3808014396</t>
  </si>
  <si>
    <t>ЮЛ380801439600000</t>
  </si>
  <si>
    <t>664025 Иркутская область город Иркутск улица Марата строение 8   помещение 30</t>
  </si>
  <si>
    <t>ООО "Гостеприимство -Иркутск"</t>
  </si>
  <si>
    <t>3808290144</t>
  </si>
  <si>
    <t>ЮЛ3808039806</t>
  </si>
  <si>
    <t>ЮЛ380803980600000</t>
  </si>
  <si>
    <t>664003 Иркутская область город Иркутск улица Фурье дом 9</t>
  </si>
  <si>
    <t>ИП Яницкий Юрий Збигневич</t>
  </si>
  <si>
    <t>380900079570</t>
  </si>
  <si>
    <t>ИП3808011959</t>
  </si>
  <si>
    <t>ИП380801195900000</t>
  </si>
  <si>
    <t>665813 Иркутская область город Ангарск 81 квартал дом 3</t>
  </si>
  <si>
    <t>ООО "ЯКУТСКАЯ ТОРГОВАЯ КОМПАНИЯ"</t>
  </si>
  <si>
    <t>3809021970</t>
  </si>
  <si>
    <t>ЮЛ0309002997</t>
  </si>
  <si>
    <t>ЮЛ030900299700004</t>
  </si>
  <si>
    <t>664014 Иркутская область город Иркутск улица Трактовая дом 35   торговое место, помещ.75</t>
  </si>
  <si>
    <t>ЮЛ030900299700008</t>
  </si>
  <si>
    <t>664003 Иркутская область город Иркутск улица Сухэ-Батора дом 18</t>
  </si>
  <si>
    <t>ЮЛ030900299700010</t>
  </si>
  <si>
    <t>664003 Иркутская область город Иркутск улица Урицкого дом 2</t>
  </si>
  <si>
    <t>ЮЛ030900299700011</t>
  </si>
  <si>
    <t>664002 Иркутская область город Иркутск улица Сибирских Партизан дом 18</t>
  </si>
  <si>
    <t>ООО "ЛОМБАРД ОСВАЛ"</t>
  </si>
  <si>
    <t>3810002650</t>
  </si>
  <si>
    <t>ЮЛ3808004997</t>
  </si>
  <si>
    <t>ЮЛ380800499700000</t>
  </si>
  <si>
    <t>664047 Иркутская область город Иркутск улица Депутатская дом 1</t>
  </si>
  <si>
    <t>ЮЛ380800499700001</t>
  </si>
  <si>
    <t>664081 Иркутская область город Иркутск улица Байкальская дом 163</t>
  </si>
  <si>
    <t>ЮЛ380800499700004</t>
  </si>
  <si>
    <t>664013 Иркутская область город Иркутск улица Розы Люксембург дом 31</t>
  </si>
  <si>
    <t>ИП Нечаев Александр Валерьянович</t>
  </si>
  <si>
    <t>381001438888</t>
  </si>
  <si>
    <t>ИП3808034794</t>
  </si>
  <si>
    <t>ИП380803479400000</t>
  </si>
  <si>
    <t>664049 Иркутская область город Иркутск микрорайон Юбилейный дом 19/1   помещение В38</t>
  </si>
  <si>
    <t>ИП Нагульманова Евгения Петровна</t>
  </si>
  <si>
    <t>381002460580</t>
  </si>
  <si>
    <t>ИП3808009263</t>
  </si>
  <si>
    <t>ИП380800926300004</t>
  </si>
  <si>
    <t>664011 Иркутская область город Иркутск улица Свердлова дом 36   павильон 24</t>
  </si>
  <si>
    <t>ИП380800926300006</t>
  </si>
  <si>
    <t>664056 Иркутская область город Иркутск мкр Юбилейный дом 19/1   помещение АВ5</t>
  </si>
  <si>
    <t>ИП380800926300008</t>
  </si>
  <si>
    <t>664007 Иркутская область город Иркутск улица Тимирязева дом 26</t>
  </si>
  <si>
    <t>ООО "ЛОМБАРД ОЛИВИН"</t>
  </si>
  <si>
    <t>3810038907</t>
  </si>
  <si>
    <t>ЮЛ3808005774</t>
  </si>
  <si>
    <t>ЮЛ380800577400000</t>
  </si>
  <si>
    <t>664009 Иркутская область город Иркутск улица Омулевского дом 2</t>
  </si>
  <si>
    <t>ЮЛ380800577400003</t>
  </si>
  <si>
    <t>664007 Иркутская область город Иркутск улица Тимирязева дом 42</t>
  </si>
  <si>
    <t>ЮЛ380800577400005</t>
  </si>
  <si>
    <t>664011 Иркутская область город Иркутск улица Володарского дом 9</t>
  </si>
  <si>
    <t>ЮЛ380800577400006</t>
  </si>
  <si>
    <t>664014 Иркутская область город Иркутск улица Трактовая дом 35   павильон 53</t>
  </si>
  <si>
    <t>ИП Хребтов Александр Васильевич</t>
  </si>
  <si>
    <t>381009947510</t>
  </si>
  <si>
    <t>ИП3808000321</t>
  </si>
  <si>
    <t>ИП380800032100000</t>
  </si>
  <si>
    <t>664014 Иркутская область город Иркутск улица Александра Невского дом 80   офис 221</t>
  </si>
  <si>
    <t>ИП Башаев Н.В.</t>
  </si>
  <si>
    <t>381011743425</t>
  </si>
  <si>
    <t>ИП3808014731</t>
  </si>
  <si>
    <t>ИП380801473100000</t>
  </si>
  <si>
    <t>664056 Иркутская область город Иркутск улица Академическая дом 31   офис 34</t>
  </si>
  <si>
    <t>ИП380801473100002</t>
  </si>
  <si>
    <t>664011 Иркутская область город Иркутск улица Карла Маркса дом 37   помещение №2</t>
  </si>
  <si>
    <t>ИП Огиенко Светлана Викторовна</t>
  </si>
  <si>
    <t>381016745539</t>
  </si>
  <si>
    <t>ИП3808007856</t>
  </si>
  <si>
    <t>ИП380800785600000</t>
  </si>
  <si>
    <t>664003 Иркутская область город Иркутск улица Октябрьской Революции дом 11</t>
  </si>
  <si>
    <t>ИП Таланкин Игорь Владимирович</t>
  </si>
  <si>
    <t>381019737543</t>
  </si>
  <si>
    <t>ИП3808015218</t>
  </si>
  <si>
    <t>ИП380801521800000</t>
  </si>
  <si>
    <t>664003 Иркутская область город Иркутск улица Чехова дом 22   офис 311</t>
  </si>
  <si>
    <t>ИП380801521800004</t>
  </si>
  <si>
    <t>664007 Иркутская область город Иркутск улица Литвинова дом 17</t>
  </si>
  <si>
    <t>ИП380801521800007</t>
  </si>
  <si>
    <t>664047 Иркутская область город Иркутск улица Советская дом 58</t>
  </si>
  <si>
    <t>ИП380801521800009</t>
  </si>
  <si>
    <t>664003 Иркутская область город Иркутск улица Карла Маркса дом 20</t>
  </si>
  <si>
    <t>ИП Эргашева Ольга Степановна</t>
  </si>
  <si>
    <t>381100157260</t>
  </si>
  <si>
    <t>ИП3808033589</t>
  </si>
  <si>
    <t>ИП380803358900000</t>
  </si>
  <si>
    <t>669000 Иркутская область поселок Усть-Ордынский улица Ербанова здание 50/2</t>
  </si>
  <si>
    <t>ИП Каримова Лариса Владимировна</t>
  </si>
  <si>
    <t>381100293023</t>
  </si>
  <si>
    <t>ИП3808007170</t>
  </si>
  <si>
    <t>ИП380800717000000</t>
  </si>
  <si>
    <t>664020 Иркутская область город Иркутск улица Муравьева дом 17   пом 5</t>
  </si>
  <si>
    <t>ИП380800717000004</t>
  </si>
  <si>
    <t>664011 Иркутская область город Иркутск улица Дзержинского дом 25А</t>
  </si>
  <si>
    <t>ИП Борзых Евгений Владимирович</t>
  </si>
  <si>
    <t>381100425907</t>
  </si>
  <si>
    <t>ИП3808000563</t>
  </si>
  <si>
    <t>ИП380800056300000</t>
  </si>
  <si>
    <t>665806 Иркутская область город Ангарск 30-й квартал дом 2   помещение 9</t>
  </si>
  <si>
    <t>ИП380800056300001</t>
  </si>
  <si>
    <t>665830 Иркутская область город Ангарск 75-й квартал дом 1   помещение 20</t>
  </si>
  <si>
    <t>ИП380800056300002</t>
  </si>
  <si>
    <t>664046 Иркутская область город Иркутск улица Волжская дом 3   офис 13</t>
  </si>
  <si>
    <t>ООО "ЮВЕЛЕНА"</t>
  </si>
  <si>
    <t>3811016649</t>
  </si>
  <si>
    <t>ЮЛ3808012997</t>
  </si>
  <si>
    <t>ЮЛ380801299700000</t>
  </si>
  <si>
    <t>664019 Иркутская область город Иркутск улица Зимняя дом 1</t>
  </si>
  <si>
    <t>ИП Степанова Юлия Геннадьевна</t>
  </si>
  <si>
    <t>381101839467</t>
  </si>
  <si>
    <t>ИП3808035565</t>
  </si>
  <si>
    <t>ИП380803556500001</t>
  </si>
  <si>
    <t>664056 Иркутская область город Иркутск улица Академическая дом 27</t>
  </si>
  <si>
    <t>ИП380803556500002</t>
  </si>
  <si>
    <t>664047 Иркутская область город Иркутск улица Советская строение 58/1   помещение 134</t>
  </si>
  <si>
    <t>ИП Косовская Оксана Владимировна</t>
  </si>
  <si>
    <t>381103274364</t>
  </si>
  <si>
    <t>ИП3808010498</t>
  </si>
  <si>
    <t>ИП380801049800002</t>
  </si>
  <si>
    <t>664022 Иркутская область город Иркутск улица Верхняя Набережная дом 10   помещение 97.1</t>
  </si>
  <si>
    <t>ИП380801049800004</t>
  </si>
  <si>
    <t>665824 Иркутская область город Ангарск квартал 192 дом 12   помещение 12</t>
  </si>
  <si>
    <t>ИП380801049800005</t>
  </si>
  <si>
    <t>ИП Иванова Галина Николаевна</t>
  </si>
  <si>
    <t>381109319692</t>
  </si>
  <si>
    <t>ИП3808007080</t>
  </si>
  <si>
    <t>ИП380800708000000</t>
  </si>
  <si>
    <t>ИП Борзых Полина Евгеньевна</t>
  </si>
  <si>
    <t>381109822585</t>
  </si>
  <si>
    <t>ИП3808000691</t>
  </si>
  <si>
    <t>ИП380800069100000</t>
  </si>
  <si>
    <t>ИП380800069100001</t>
  </si>
  <si>
    <t>664035 Иркутская область город Иркутск улица Петрова дом 30</t>
  </si>
  <si>
    <t>ИП380800069100002</t>
  </si>
  <si>
    <t>666679 Иркутская область город Усть-Илимск улица Георгия Димитрова дом 20 Дом Торговли</t>
  </si>
  <si>
    <t>ИП Маяренкова Анастасия Александровна</t>
  </si>
  <si>
    <t>381112534731</t>
  </si>
  <si>
    <t>ИП3808030899</t>
  </si>
  <si>
    <t>ИП380803089900000</t>
  </si>
  <si>
    <t>666673 Иркутская область город Усть-Илимск улица Ленина дом 5 ТД Елена</t>
  </si>
  <si>
    <t>ИП380803089900001</t>
  </si>
  <si>
    <t>664007 Иркутская область город Иркутск улица Литвинова дом 17   пав. 11</t>
  </si>
  <si>
    <t>ИП Тимофеева Лолита Александровна</t>
  </si>
  <si>
    <t>381115030429</t>
  </si>
  <si>
    <t>ИП3808012998</t>
  </si>
  <si>
    <t>ИП380801299800007</t>
  </si>
  <si>
    <t>664081 Иркутская область город Иркутск улица Депутатская дом 84/2</t>
  </si>
  <si>
    <t>ООО "ШЕЙКИМОДА"</t>
  </si>
  <si>
    <t>3811438792</t>
  </si>
  <si>
    <t>ЮЛ3808037986</t>
  </si>
  <si>
    <t>ЮЛ380803798600000</t>
  </si>
  <si>
    <t>664022 Иркутская область город Иркутск улица Седова строение 2</t>
  </si>
  <si>
    <t>ООО "ПАВА"</t>
  </si>
  <si>
    <t>3811455614</t>
  </si>
  <si>
    <t>ЮЛ3808006891</t>
  </si>
  <si>
    <t>ЮЛ380800689100000</t>
  </si>
  <si>
    <t>664003 Иркутская область город Иркутск переулок Пионерский дом 3</t>
  </si>
  <si>
    <t>ИП Войтюк Алена Александровна</t>
  </si>
  <si>
    <t>381209510974</t>
  </si>
  <si>
    <t>ИП3808018880</t>
  </si>
  <si>
    <t>ИП380801888000000</t>
  </si>
  <si>
    <t>664043 Иркутская область город Иркутск Мельниково дом 4</t>
  </si>
  <si>
    <t>ООО "ЛЕВША"</t>
  </si>
  <si>
    <t>3812161800</t>
  </si>
  <si>
    <t>ЮЛ3808037312</t>
  </si>
  <si>
    <t>ЮЛ380803731200000</t>
  </si>
  <si>
    <t>664075 Иркутская область город Иркутск улица Байкальская дом 250/1</t>
  </si>
  <si>
    <t>ИП Червякова Наталья Александровна</t>
  </si>
  <si>
    <t>381250415810</t>
  </si>
  <si>
    <t>ИП3808010098</t>
  </si>
  <si>
    <t>ИП380801009800000</t>
  </si>
  <si>
    <t>669001 Иркутская область поселок Усть-Ордынский улица Балтахинова дом 18А</t>
  </si>
  <si>
    <t>ИП380801009800001</t>
  </si>
  <si>
    <t>666203 Иркутская область рабочий поселок Качуг улица Победы дом 9</t>
  </si>
  <si>
    <t>ИП380801009800002</t>
  </si>
  <si>
    <t>664058 Иркутская область г. Иркутск ул. Вампилова 2/2   бут. 17</t>
  </si>
  <si>
    <t>ИП Марчук Наталья Григорьевна</t>
  </si>
  <si>
    <t>381254752750</t>
  </si>
  <si>
    <t>ИП3808032712</t>
  </si>
  <si>
    <t>ИП380803271200000</t>
  </si>
  <si>
    <t>664014 Иркутская область город Иркутск улица Трактовая дом 35   11</t>
  </si>
  <si>
    <t>ИП Перевозникова Татьяна Владимировна</t>
  </si>
  <si>
    <t>381258950304</t>
  </si>
  <si>
    <t>ИП3808014120</t>
  </si>
  <si>
    <t>ИП380801412000000</t>
  </si>
  <si>
    <t>664514 Иркутская область село Хомутово Мичурина 13/2</t>
  </si>
  <si>
    <t>ИП380801412000001</t>
  </si>
  <si>
    <t>666031 Иркутская область город Шелехов 4 микрорайон 40А</t>
  </si>
  <si>
    <t>ИП380801412000002</t>
  </si>
  <si>
    <t>664514 Иркутская область село Хомутово улица Колхозная здание 135</t>
  </si>
  <si>
    <t>ИП380801412000003</t>
  </si>
  <si>
    <t>664048 Иркутская область город Иркутск улица Баумана дом 233Б</t>
  </si>
  <si>
    <t>ИП380801412000004</t>
  </si>
  <si>
    <t>664035 Иркутская область город Иркутск улица Рабочего Штаба 114 1</t>
  </si>
  <si>
    <t>ИП380801412000005</t>
  </si>
  <si>
    <t>664039 Иркутская область город Иркутск улица Лермонтова дом 34</t>
  </si>
  <si>
    <t>ИП380801412000006</t>
  </si>
  <si>
    <t>664000 Иркутская область .г. Слюдянка улица Парижской Коммуны 12   1</t>
  </si>
  <si>
    <t>ИП380801412000007</t>
  </si>
  <si>
    <t>664000 Иркутская область Город Иркутск Улица Байкальская Дом 9   Павильон 54 Б</t>
  </si>
  <si>
    <t>ИП Гареева Эльмира Фанзавиевна</t>
  </si>
  <si>
    <t>381295848073</t>
  </si>
  <si>
    <t>ИП3808011988</t>
  </si>
  <si>
    <t>ИП380801198800007</t>
  </si>
  <si>
    <t>664007 Иркутская область Город Иркутск Улица Софьи Перовской  Дом 17   Павильон 15</t>
  </si>
  <si>
    <t>ИП380801198800012</t>
  </si>
  <si>
    <t>664003 Иркутская область город Иркутск улица Байкальская дом 4</t>
  </si>
  <si>
    <t>ИП380801198800015</t>
  </si>
  <si>
    <t>664023 Иркутская область город Иркутск  Пискунова 122</t>
  </si>
  <si>
    <t>ЮЛ380803559400000</t>
  </si>
  <si>
    <t>665451 Иркутская область город Усолье-Сибирское улица Интернациональная 77</t>
  </si>
  <si>
    <t>ЮЛ380803559400015</t>
  </si>
  <si>
    <t>666303 Иркутская область город Саянск микрорайон Строителей  дом 41 15</t>
  </si>
  <si>
    <t>ЮЛ380803559400018</t>
  </si>
  <si>
    <t>666686 Иркутская область  Усть-Илимск пр. Мира 65   142</t>
  </si>
  <si>
    <t>ЮЛ380803559400021</t>
  </si>
  <si>
    <t>665390 Иркутская область  Зима Коммунальный 4 ТК Центральный   1 этаж</t>
  </si>
  <si>
    <t>ЮЛ380803559400024</t>
  </si>
  <si>
    <t>664043 Иркутская область город Иркутск бульвар Рябикова дом 5а</t>
  </si>
  <si>
    <t>ЮЛ380803559400030</t>
  </si>
  <si>
    <t>664003 Иркутская область город Иркутск улица Фурье дом 16 1000 мелочей</t>
  </si>
  <si>
    <t>ЮЛ380803559400044</t>
  </si>
  <si>
    <t>666673 Иркутская область город Усть-Илимск улица Ленина дом 4</t>
  </si>
  <si>
    <t>ЮЛ380803559400045</t>
  </si>
  <si>
    <t>666034 Иркутская область город Шелехов 6-й квартал  ТЦ Былина  29</t>
  </si>
  <si>
    <t>ЮЛ380803559400047</t>
  </si>
  <si>
    <t>664049 Иркутская область город Иркутск Юбилейный  дом 63</t>
  </si>
  <si>
    <t>ЮЛ380803559400048</t>
  </si>
  <si>
    <t>664009 Иркутская область город Иркутск улица Баррикад дом 129</t>
  </si>
  <si>
    <t>ЮЛ380803559400049</t>
  </si>
  <si>
    <t>664040 Иркутская область город Иркутск переулок 18-й Советский 1а</t>
  </si>
  <si>
    <t>ЮЛ380803559400050</t>
  </si>
  <si>
    <t>664011 Иркутская область город Иркутск улица Каландаришвили дом 7а</t>
  </si>
  <si>
    <t>ЮЛ380803559400055</t>
  </si>
  <si>
    <t>665106 Иркутская область город Нижнеудинск улица Лермонтова дом 18</t>
  </si>
  <si>
    <t>ИП Вайчус Андрей Антонович</t>
  </si>
  <si>
    <t>381300031723</t>
  </si>
  <si>
    <t>ИП3808016766</t>
  </si>
  <si>
    <t>ИП380801676600000</t>
  </si>
  <si>
    <t>665106 Иркутская область город Нижнеудинск улица Лермонтова 33 34</t>
  </si>
  <si>
    <t>ООО "ЛОМБАРД-СИДНЕЙ"</t>
  </si>
  <si>
    <t>3813002828</t>
  </si>
  <si>
    <t>ЮЛ3808013691</t>
  </si>
  <si>
    <t>ЮЛ380801369100000</t>
  </si>
  <si>
    <t>665220 Иркутская область город-Тулун улица-Ленина д.95</t>
  </si>
  <si>
    <t>ИП Амалян Арарат Саргисович</t>
  </si>
  <si>
    <t>381300698002</t>
  </si>
  <si>
    <t>ИП3808014393</t>
  </si>
  <si>
    <t>ИП380801439300001</t>
  </si>
  <si>
    <t>665106 Иркутская область город Нижнеудинск улица Ленина дом 19-49/2   павильон 8</t>
  </si>
  <si>
    <t>ИП Оганесян Карине Альбертовна</t>
  </si>
  <si>
    <t>381304946432</t>
  </si>
  <si>
    <t>ИП3808014694</t>
  </si>
  <si>
    <t>ИП380801469400000</t>
  </si>
  <si>
    <t>665103 Иркутская область город Нижнеудинск улица 5-я Пролетарская дом 17   павильон 101</t>
  </si>
  <si>
    <t>ИП380801469400001</t>
  </si>
  <si>
    <t>665100 Иркутская область город Нижнеудинск Лермонтова 31</t>
  </si>
  <si>
    <t>ИП380801469400002</t>
  </si>
  <si>
    <t>666203 Иркутская область рабочий поселок Качуг улица Победы дом 6</t>
  </si>
  <si>
    <t>ИП Иванова Екатерина Валерьевна</t>
  </si>
  <si>
    <t>381400500055</t>
  </si>
  <si>
    <t>ИП3808018153</t>
  </si>
  <si>
    <t>ИП380801815300000</t>
  </si>
  <si>
    <t>666400 Иркутская область поселок Жигалово улица Советская дом 46</t>
  </si>
  <si>
    <t>ИП380801815300001</t>
  </si>
  <si>
    <t>666301 Иркутская область город Саянск мкр Юбилейный дом 18   помещение 100</t>
  </si>
  <si>
    <t>ИП Подпругина Екатерина Николаевна</t>
  </si>
  <si>
    <t>381400803846</t>
  </si>
  <si>
    <t>ИП3808013794</t>
  </si>
  <si>
    <t>ИП380801379400000</t>
  </si>
  <si>
    <t>666301 Иркутская область город Саянск Юбилейный микрорайон д. 16</t>
  </si>
  <si>
    <t>3814008117</t>
  </si>
  <si>
    <t>ЮЛ3808018017</t>
  </si>
  <si>
    <t>ЮЛ380801801700001</t>
  </si>
  <si>
    <t>666301 Иркутская область город Саянск мкр.Юбилейный дом 20   офис 3</t>
  </si>
  <si>
    <t>ИП Виноградова Алена Юрьевна</t>
  </si>
  <si>
    <t>381400892500</t>
  </si>
  <si>
    <t>ИП3808013961</t>
  </si>
  <si>
    <t>ИП380801396100000</t>
  </si>
  <si>
    <t>665393 Иркутская область город Зима переулок Донской дом 1</t>
  </si>
  <si>
    <t>ИП380801396100002</t>
  </si>
  <si>
    <t>665302 Иркутская область рабочий поселок Куйтун улица Карла Маркса дом 1б</t>
  </si>
  <si>
    <t>ИП380801396100004</t>
  </si>
  <si>
    <t>666301 Иркутская область город Саянск микрорайон Юбилейный дом 27</t>
  </si>
  <si>
    <t>ИП Кузнецова Надежда Викторовна</t>
  </si>
  <si>
    <t>381405056860</t>
  </si>
  <si>
    <t>ИП3808005017</t>
  </si>
  <si>
    <t>ИП380800501700000</t>
  </si>
  <si>
    <t>666320 Иркутская область рабочий поселок Залари улица Ленина 101Б ТК "Эпицентр"</t>
  </si>
  <si>
    <t>ИП380800501700004</t>
  </si>
  <si>
    <t>665259 Иркутская область город Тулун мкр Угольщиков здание 8а</t>
  </si>
  <si>
    <t>ИП380800501700010</t>
  </si>
  <si>
    <t>666322 Иркутская область рабочий поселок Залари улица Ленина здание 83</t>
  </si>
  <si>
    <t>ИП380800501700011</t>
  </si>
  <si>
    <t>65000 Иркутская область город Тайшет улица Транспортная  дом 16</t>
  </si>
  <si>
    <t>ИП Сергеенко Дмитрий Николаевич</t>
  </si>
  <si>
    <t>381500128419</t>
  </si>
  <si>
    <t>ИП3808001663</t>
  </si>
  <si>
    <t>ИП380800166300000</t>
  </si>
  <si>
    <t>665100 Иркутская область город Нижнеудинск улица Кашика дом 61   офис 58</t>
  </si>
  <si>
    <t>ИП380800166300001</t>
  </si>
  <si>
    <t>665267 Иркутская область город Тулун улица Ленина дом 88   помещение 54</t>
  </si>
  <si>
    <t>ИП380800166300003</t>
  </si>
  <si>
    <t>665001 Иркутская область город Тайшет улица Транспортная дом 19н</t>
  </si>
  <si>
    <t>ИП Степанов Алексей Анатольевич</t>
  </si>
  <si>
    <t>381503057999</t>
  </si>
  <si>
    <t>ИП3808036359</t>
  </si>
  <si>
    <t>ИП380803635900000</t>
  </si>
  <si>
    <t>665000 Иркутская область город Тайшет улица Суворова дом 5а   Павильон 12</t>
  </si>
  <si>
    <t>ИП Степанов Роман Анатольевич</t>
  </si>
  <si>
    <t>381503838216</t>
  </si>
  <si>
    <t>ИП3808015146</t>
  </si>
  <si>
    <t>ИП380801514600000</t>
  </si>
  <si>
    <t>665268 Иркутская область город Тулун улица Ленина здание 1г/3</t>
  </si>
  <si>
    <t>ИП Назарова Ольга Михайловна</t>
  </si>
  <si>
    <t>381600022328</t>
  </si>
  <si>
    <t>ИП3808014522</t>
  </si>
  <si>
    <t>ИП380801452200000</t>
  </si>
  <si>
    <t>665268 Иркутская область город Тулун улица Ленина дом 120</t>
  </si>
  <si>
    <t>ИП Епифанова Светлана Васильевна</t>
  </si>
  <si>
    <t>381600117273</t>
  </si>
  <si>
    <t>ИП3808014819</t>
  </si>
  <si>
    <t>ИП380801481900000</t>
  </si>
  <si>
    <t>665268 Иркутская область город Тулун улица Володарского дом 1А</t>
  </si>
  <si>
    <t>ООО "ЮВЕЛИРНЫЙ МИР"</t>
  </si>
  <si>
    <t>3816009660</t>
  </si>
  <si>
    <t>ЮЛ3808013833</t>
  </si>
  <si>
    <t>ЮЛ380801383300000</t>
  </si>
  <si>
    <t>665268 Иркутская область город Тулун улица Ленина дом 87</t>
  </si>
  <si>
    <t>ИП Антоненко Лидия Игнатьевна</t>
  </si>
  <si>
    <t>381602505000</t>
  </si>
  <si>
    <t>ИП3808014970</t>
  </si>
  <si>
    <t>ИП380801497000000</t>
  </si>
  <si>
    <t>665008 Иркутская область Тайшет Транспортная 44 Б</t>
  </si>
  <si>
    <t>ООО "МОДНЫЙ"</t>
  </si>
  <si>
    <t>3816035370</t>
  </si>
  <si>
    <t>ЮЛ3808034923</t>
  </si>
  <si>
    <t>ЮЛ380803492300000</t>
  </si>
  <si>
    <t>665008 Иркутская область г Тайшет Транспортная 33-2Н</t>
  </si>
  <si>
    <t>ООО "ЛОМБАРД-ЭМИРАЛЬД"</t>
  </si>
  <si>
    <t>3816037219</t>
  </si>
  <si>
    <t>ЮЛ3808038527</t>
  </si>
  <si>
    <t>ЮЛ380803852700000</t>
  </si>
  <si>
    <t>664007 Иркутская область город Иркутск улица Литвинова дом 17 Торговый комплекс</t>
  </si>
  <si>
    <t>ИП Судакова Валентина Ивановна</t>
  </si>
  <si>
    <t>381700264585</t>
  </si>
  <si>
    <t>ИП3808008478</t>
  </si>
  <si>
    <t>ИП380800847800000</t>
  </si>
  <si>
    <t>666671 Иркутская область город Усть-Илимск проспект Мира дом 19   нежилое помещение 82</t>
  </si>
  <si>
    <t>ООО "НОВЫЙ ЛОМБАРД"</t>
  </si>
  <si>
    <t>3817048855</t>
  </si>
  <si>
    <t>ЮЛ3808001113</t>
  </si>
  <si>
    <t>ЮЛ380800111300000</t>
  </si>
  <si>
    <t>666679 Иркутская область город Усть-Илимск проспект Мира дом 19    нежилое помещение 131</t>
  </si>
  <si>
    <t>ИП Лукашов Олег Николаевич</t>
  </si>
  <si>
    <t>381707739005</t>
  </si>
  <si>
    <t>ИП3808013797</t>
  </si>
  <si>
    <t>ИП380801379700000</t>
  </si>
  <si>
    <t>666671 Иркутская область город Усть-Илимск проспект Мира Дом 19   магазин "Эгоист"</t>
  </si>
  <si>
    <t>ИП Штрем Наталья Константиновна</t>
  </si>
  <si>
    <t>381710498991</t>
  </si>
  <si>
    <t>ИП3808006068</t>
  </si>
  <si>
    <t>ИП380800606800000</t>
  </si>
  <si>
    <t>664022 Иркутская область город Иркутск улица 3 Июля дом 25</t>
  </si>
  <si>
    <t>ИП Эйвазова Анастасия Анатольевна</t>
  </si>
  <si>
    <t>381711688890</t>
  </si>
  <si>
    <t>ИП3808001492</t>
  </si>
  <si>
    <t>ИП380800149200000</t>
  </si>
  <si>
    <t>666784 Иркутская область город  Усть-Кут улица Кирова дом 84   помещение 11</t>
  </si>
  <si>
    <t>ИП Сиськова Елена Владимировна</t>
  </si>
  <si>
    <t>381800121012</t>
  </si>
  <si>
    <t>ИП3808003957</t>
  </si>
  <si>
    <t>ИП380800395700000</t>
  </si>
  <si>
    <t>666784 Иркутская область город Усть-Кут улица Кирова дом 86 строение ТЦ ЛЕНА  торговое место №2</t>
  </si>
  <si>
    <t>ИП380800395700001</t>
  </si>
  <si>
    <t>666780 Иркутская область город Усть-Кут улица Речников  строение 14</t>
  </si>
  <si>
    <t>ИП380800395700004</t>
  </si>
  <si>
    <t>666784 Иркутская область город Усть-Кут улица Кирова дом 19 ------ --------- павильон б/н</t>
  </si>
  <si>
    <t>ИП Яшуркаев Эдуард Викторович</t>
  </si>
  <si>
    <t>381801458001</t>
  </si>
  <si>
    <t>ИП3808013007</t>
  </si>
  <si>
    <t>ИП380801300700001</t>
  </si>
  <si>
    <t>665460 Иркутская область город Усолье-Сибирское проспект Красных партизан дом 20   22,23</t>
  </si>
  <si>
    <t>ИП Митрощук Елена Викторовна</t>
  </si>
  <si>
    <t>381900600481</t>
  </si>
  <si>
    <t>ИП3808032190</t>
  </si>
  <si>
    <t>ИП380803219000000</t>
  </si>
  <si>
    <t>665463 Иркутская область город Усолье-Сибирское улица Куйбышева дом 6</t>
  </si>
  <si>
    <t>ИП Пличук Даниил Васильевич</t>
  </si>
  <si>
    <t>381901163890</t>
  </si>
  <si>
    <t>ИП3808015165</t>
  </si>
  <si>
    <t>ИП380801516500000</t>
  </si>
  <si>
    <t>665462 Иркутская область город Усолье-Сибирское улица Орджоникидзе дом 31   павильон 135а</t>
  </si>
  <si>
    <t>ИП380801516500003</t>
  </si>
  <si>
    <t>665466 Иркутская область город Усолье-Сибирское проспект Ленинский дом 66   1 этаж</t>
  </si>
  <si>
    <t>ИП380801516500004</t>
  </si>
  <si>
    <t>664040 Иркутская область город Иркутск улица Розы Люксембург дом 215В   2 этаж</t>
  </si>
  <si>
    <t>ИП Жукова Марина Владимировна</t>
  </si>
  <si>
    <t>381902126210</t>
  </si>
  <si>
    <t>ИП3808007007</t>
  </si>
  <si>
    <t>ИП380800700700000</t>
  </si>
  <si>
    <t>665451 Иркутская область город Усолье-Сибирское улица Интернациональная дом 56</t>
  </si>
  <si>
    <t>ИП Непомнящих Галина Владимировна</t>
  </si>
  <si>
    <t>381902262301</t>
  </si>
  <si>
    <t>ИП3808005782</t>
  </si>
  <si>
    <t>ИП380800578200000</t>
  </si>
  <si>
    <t>665466 Иркутская область город Усолье-Сибирское проспект Ленинский дом 66</t>
  </si>
  <si>
    <t>ИП380800578200001</t>
  </si>
  <si>
    <t>665463 Иркутская область город Усолье-Сибирское улица Куйбышева дом 10</t>
  </si>
  <si>
    <t>ИП380800578200003</t>
  </si>
  <si>
    <t>665450 Иркутская область город Усолье-Сибирское улица Интернациональная дом 56   30</t>
  </si>
  <si>
    <t>ИП380800578200004</t>
  </si>
  <si>
    <t>665450 Иркутская область город Усолье-Сибирское улица Интернациональная дом 56   27</t>
  </si>
  <si>
    <t>ИП380800578200006</t>
  </si>
  <si>
    <t>665451 Иркутская область город Усолье-Сибирское улица Толбухина дом 27   Офис 123</t>
  </si>
  <si>
    <t>ИП Мамедов Заур Эхтибарович</t>
  </si>
  <si>
    <t>381911504564</t>
  </si>
  <si>
    <t>ИП3808008437</t>
  </si>
  <si>
    <t>ИП380800843700000</t>
  </si>
  <si>
    <t>665413 Иркутская область Город Черемхово Улица Некрасова Дом 22   Квартира 22</t>
  </si>
  <si>
    <t>ИП Романенко Андрей Юрьевич</t>
  </si>
  <si>
    <t>382002008505</t>
  </si>
  <si>
    <t>ИП0309004982</t>
  </si>
  <si>
    <t>ИП030900498200000</t>
  </si>
  <si>
    <t>665415 Иркутская область Город Черемхово Улица Первомайская Дом 164   Офис 115</t>
  </si>
  <si>
    <t>ИП030900498200002</t>
  </si>
  <si>
    <t>669451 Иркутская область Поселок Кутулик Улица Советская Дом 107   Корпус В</t>
  </si>
  <si>
    <t>ИП030900498200003</t>
  </si>
  <si>
    <t>665415 Иркутская область Город Черемхово Улица Некрасова Дом 22   Квартира 22</t>
  </si>
  <si>
    <t>ИП030900498200006</t>
  </si>
  <si>
    <t>665420 Иркутская область город Свирск улица Лермонтова дом 11А</t>
  </si>
  <si>
    <t>ИП380801916600000</t>
  </si>
  <si>
    <t>665448 Иркутская область рабочий поселок Михайловка квартал 1 строение 9а</t>
  </si>
  <si>
    <t>ИП380801916600001</t>
  </si>
  <si>
    <t>665413 Иркутская область город Черемхово улица Первомайская дом 160/А</t>
  </si>
  <si>
    <t>ИП Ярковская Лидия Павловна</t>
  </si>
  <si>
    <t>382007215960</t>
  </si>
  <si>
    <t>ИП3808013566</t>
  </si>
  <si>
    <t>ИП380801356600000</t>
  </si>
  <si>
    <t>664003 Иркутская область город Иркутск улица Литвинова дом 17   70</t>
  </si>
  <si>
    <t>ИП380801356600001</t>
  </si>
  <si>
    <t>666035 Иркутская область Город Шелехов Микрорайон 1-й Дом 34</t>
  </si>
  <si>
    <t>ООО "Байкалфинтранс"</t>
  </si>
  <si>
    <t>3821013478</t>
  </si>
  <si>
    <t>ЮЛ3808002662</t>
  </si>
  <si>
    <t>ЮЛ380800266200000</t>
  </si>
  <si>
    <t>664519 Иркутская область село Смоленщина улица Трудовая дом 6</t>
  </si>
  <si>
    <t>АО "БАЙКАЛКВАРЦСАМОЦВЕТЫ"</t>
  </si>
  <si>
    <t>3827015954</t>
  </si>
  <si>
    <t>ЮЛ3808015170</t>
  </si>
  <si>
    <t>ЮЛ380801517000000</t>
  </si>
  <si>
    <t>666504 Иркутская область рабочий поселок Магистральный улица Пионерская дом 2</t>
  </si>
  <si>
    <t>ИП Марченко Юлия Викторовна</t>
  </si>
  <si>
    <t>382801090584</t>
  </si>
  <si>
    <t>ИП3808000562</t>
  </si>
  <si>
    <t>ИП380800056200000</t>
  </si>
  <si>
    <t>666504 Иркутская область рабочий поселок Магистральный Российская 5   2</t>
  </si>
  <si>
    <t>ИП Каблова Мария Вадимовна</t>
  </si>
  <si>
    <t>382801476563</t>
  </si>
  <si>
    <t>ИП3808041028</t>
  </si>
  <si>
    <t>ИП380804102800000</t>
  </si>
  <si>
    <t>666703 Иркутская область город Киренск Комарова 19</t>
  </si>
  <si>
    <t>ИП Полоскова Ольга Николаевна</t>
  </si>
  <si>
    <t>383100014178</t>
  </si>
  <si>
    <t>ИП3808015949</t>
  </si>
  <si>
    <t>ИП380801594900000</t>
  </si>
  <si>
    <t>666700 Иркутская область город Киренск Комарова 10А</t>
  </si>
  <si>
    <t>ИП380801594900006</t>
  </si>
  <si>
    <t>665653 Иркутская область город Железногорск-Илимский улица Янгеля дом 16</t>
  </si>
  <si>
    <t>ИП Михайлова Тамара Сергеевна</t>
  </si>
  <si>
    <t>383402614372</t>
  </si>
  <si>
    <t>ИП3808000107</t>
  </si>
  <si>
    <t>ИП380800010700000</t>
  </si>
  <si>
    <t>665684 Иркутская область рп Новая Игирма микрорайон Химки здание 34   помещение 3</t>
  </si>
  <si>
    <t>ИП Авдошина Людмила Ивановна</t>
  </si>
  <si>
    <t>383403246308</t>
  </si>
  <si>
    <t>ИП3808036367</t>
  </si>
  <si>
    <t>ИП380803636700000</t>
  </si>
  <si>
    <t>665932 Иркутская область город Байкальск микрорайон Гагарина дом 215</t>
  </si>
  <si>
    <t>ИП Бабученко Галина Николаевна</t>
  </si>
  <si>
    <t>383700042434</t>
  </si>
  <si>
    <t>ИП3808005788</t>
  </si>
  <si>
    <t>ИП380800578800000</t>
  </si>
  <si>
    <t>665904 Иркутская область город Слюдянка улица Парижской Коммуны дом 5</t>
  </si>
  <si>
    <t>ИП380800578800001</t>
  </si>
  <si>
    <t>665513 Иркутская область рабочий поселок Чунский улица Комарова Строение 7</t>
  </si>
  <si>
    <t>ИП Гришакова Юлия Сергеевна</t>
  </si>
  <si>
    <t>384400084450</t>
  </si>
  <si>
    <t>ИП3808013670</t>
  </si>
  <si>
    <t>ИП380801367000000</t>
  </si>
  <si>
    <t>665514 Иркутская область р.п.Чунский ул. Свердлова 10   оф.52</t>
  </si>
  <si>
    <t>ИП Сорокин Дмитрий Олегович</t>
  </si>
  <si>
    <t>384403267050</t>
  </si>
  <si>
    <t>ИП3808015987</t>
  </si>
  <si>
    <t>ИП380801598700000</t>
  </si>
  <si>
    <t>666504 Иркутская область рабочий поселок Магистральный улица Российская дом 1д</t>
  </si>
  <si>
    <t>ИП Моисеева Юлия Игоревна</t>
  </si>
  <si>
    <t>384403585609</t>
  </si>
  <si>
    <t>ИП3808013881</t>
  </si>
  <si>
    <t>ИП380801388100000</t>
  </si>
  <si>
    <t>ООО "ПИАР"</t>
  </si>
  <si>
    <t>3849059458</t>
  </si>
  <si>
    <t>ЮЛ3808000747</t>
  </si>
  <si>
    <t>ЮЛ380800074700001</t>
  </si>
  <si>
    <t>ЮЛ380800074700002</t>
  </si>
  <si>
    <t>665463 Иркутская область город Усолье-Сибирское улица Толбухина 3</t>
  </si>
  <si>
    <t>АО "ОНИКС"</t>
  </si>
  <si>
    <t>3851000211</t>
  </si>
  <si>
    <t>ЮЛ3808008449</t>
  </si>
  <si>
    <t>ЮЛ380800844900000</t>
  </si>
  <si>
    <t>664047 Иркутская область город Иркутск улица Советская дом 58/1   помещение №215</t>
  </si>
  <si>
    <t>ЮЛ380800844900002</t>
  </si>
  <si>
    <t>664003 Иркутская область город Иркутск улица Чехова дом 20</t>
  </si>
  <si>
    <t>ЮЛ470300219500010</t>
  </si>
  <si>
    <t>664003 Иркутская область город Иркутск улица Урицкого дом 18   на первом этаже, номера на поэтажном плане: № 7,  № 13, № 19, № 20, № 21</t>
  </si>
  <si>
    <t>ИП500100445500019</t>
  </si>
  <si>
    <t>ИП500100445500044</t>
  </si>
  <si>
    <t>664022 Иркутская область город Иркутск улица Верхняя Набережная дом 10   ТЦ ЯркоМолл</t>
  </si>
  <si>
    <t>ИП500100445500117</t>
  </si>
  <si>
    <t>664043 Иркутская область город Иркутск улица Сергеева дом 3/5   помещение 1.32 этаж 1</t>
  </si>
  <si>
    <t>ЮЛ520603376600034</t>
  </si>
  <si>
    <t>664003 Иркутская область город Иркутск улица Богдана Хмельницкого дом 1Б</t>
  </si>
  <si>
    <t>ИП770101425100000</t>
  </si>
  <si>
    <t>ИП770101425100010</t>
  </si>
  <si>
    <t>664003 Иркутская область город Иркутск улица Богдана Хмельницкого дом 1</t>
  </si>
  <si>
    <t>ИП770101425100018</t>
  </si>
  <si>
    <t>664022 Иркутская область город Иркутск улица Верхняя Набережная строение 10 1этаж</t>
  </si>
  <si>
    <t>ИП770101425100025</t>
  </si>
  <si>
    <t>ИП770101425100027</t>
  </si>
  <si>
    <t>664000 Иркутская область город Иркутск Урицкого 1-3</t>
  </si>
  <si>
    <t>ИП770101425100037</t>
  </si>
  <si>
    <t>665350 Иркутская область Город Зима Улица Октябрьская Дом 64</t>
  </si>
  <si>
    <t>ИП Девятов Иван Леонтьевич</t>
  </si>
  <si>
    <t>751200368203</t>
  </si>
  <si>
    <t>ИП3808007836</t>
  </si>
  <si>
    <t>ИП380800783600000</t>
  </si>
  <si>
    <t>669401 Иркутская область Поселок Новонукутский Улица Хангалова Дом 2А</t>
  </si>
  <si>
    <t>ИП380800783600002</t>
  </si>
  <si>
    <t>665390 Иркутская область город Зима переулок Коммунальный дом 4   Офис 23</t>
  </si>
  <si>
    <t>ИП Власова Наталья Вадимовна</t>
  </si>
  <si>
    <t>752901855623</t>
  </si>
  <si>
    <t>ИП0008012544</t>
  </si>
  <si>
    <t>ИП000801254400000</t>
  </si>
  <si>
    <t>665302 Иркутская область рабочий поселок Куйтун улица Красного Октября дом 18   пав.2</t>
  </si>
  <si>
    <t>ИП000801254400001</t>
  </si>
  <si>
    <t>665390 Иркутская область город Зима улица Тургенева дом 10</t>
  </si>
  <si>
    <t>ИП000801254400002</t>
  </si>
  <si>
    <t>666304 Иркутская область город Саянск Микрорайон Олимпийский здание 25А</t>
  </si>
  <si>
    <t>ИП000801254400003</t>
  </si>
  <si>
    <t>665390 Иркутская область город Зима улица Коммунистическая здание 184/3</t>
  </si>
  <si>
    <t>ИП000801254400004</t>
  </si>
  <si>
    <t>666034 Иркутская область Шелехов Култукский тракт 17   пав.20</t>
  </si>
  <si>
    <t>ИП000801254400005</t>
  </si>
  <si>
    <t>669200 Иркутская область село Оса улица Свердлова здание 62 ТЦ "Колос"  1 (этаж 2)</t>
  </si>
  <si>
    <t>ИП Гуляшинов Евгений Николаевич</t>
  </si>
  <si>
    <t>753006811788</t>
  </si>
  <si>
    <t>ИП3808038212</t>
  </si>
  <si>
    <t>ИП380803821200000</t>
  </si>
  <si>
    <t>664519 Иркутская область город Иркутск улица Терешковой 3</t>
  </si>
  <si>
    <t>ЮЛ750901091500012</t>
  </si>
  <si>
    <t>664707 Иркутская область город Иркутск улица Партизанская дом 28/2</t>
  </si>
  <si>
    <t>ЮЛ750901091500013</t>
  </si>
  <si>
    <t>664007 Иркутская область город Иркутск улица Партизанская дом 28/2</t>
  </si>
  <si>
    <t>ЮЛ750903917900003</t>
  </si>
  <si>
    <t>664615 Иркутская область город Иркутск Терешковой 3</t>
  </si>
  <si>
    <t>ЮЛ750901088700012</t>
  </si>
  <si>
    <t>ЮЛ750901088700013</t>
  </si>
  <si>
    <t>664022 Иркутская область город Иркутск улица 3 Июля дом 25   Помещение 56 (секция 1-48), этаж 1 цокольный</t>
  </si>
  <si>
    <t>ЮЛ770101216600081</t>
  </si>
  <si>
    <t>665824 Иркутская область город Ангарск  строение 12/1   помещение 100,101, часть помещения 102, этаж 1</t>
  </si>
  <si>
    <t>ЮЛ770101216600149</t>
  </si>
  <si>
    <t>664003 Иркутская область город Иркутск улица Литвинова дом 17   торговый павильон 29, этаж 1</t>
  </si>
  <si>
    <t>ЮЛ770101216600288</t>
  </si>
  <si>
    <t>664022 Иркутская область город Иркутск улица Верхняя Набережная строение 10   помещение 148, 139, этаж 1</t>
  </si>
  <si>
    <t>ЮЛ770101216600314</t>
  </si>
  <si>
    <t>664047 Иркутская область город Иркутск улица Советская здание 58/1   этаж 1, помещение №А31</t>
  </si>
  <si>
    <t>ЮЛ770101216600379</t>
  </si>
  <si>
    <t>664043 Иркутская область город Иркутск улица Сергеева дом 3/5   этаж 1,  помещение №097, №250, часть помещения №096</t>
  </si>
  <si>
    <t>ЮЛ770101216600389</t>
  </si>
  <si>
    <t>664007 Иркутская область город Иркутск улица Партизанская дом 36   этаж 1, нежилое помещение В7а</t>
  </si>
  <si>
    <t>ЮЛ770101216600605</t>
  </si>
  <si>
    <t>664043 Иркутская область город Иркутск улица Сергеева строение 3/4   этаж 1, часть нежилого помещения № 85</t>
  </si>
  <si>
    <t>ЮЛ770101216600637</t>
  </si>
  <si>
    <t>665708 Иркутская область город Братск улица Кирова дом 35   помещение № 13, часть нежилых помещений № 12, № 16</t>
  </si>
  <si>
    <t>ЮЛ770101216600656</t>
  </si>
  <si>
    <t>665826 Иркутская область город Ангарск, 13 микрорайон  дом 33   1 этаж, нежилое помещение №11 и №12</t>
  </si>
  <si>
    <t>ЮЛ770101216600864</t>
  </si>
  <si>
    <t>665451 Иркутская область город Усолье-Сибирское улица Республики здание 6   1 этаж, нежилое помещение</t>
  </si>
  <si>
    <t>ЮЛ770101216600875</t>
  </si>
  <si>
    <t>664050 Иркутская область город Иркутск улица Байкальская дом 265в   1 этаж, нежилое помещение № 1.13</t>
  </si>
  <si>
    <t>ЮЛ770101216600890</t>
  </si>
  <si>
    <t>664082 Иркутская область город Иркутск улица Улан-Баторская строение 16   1 этаж, часть нежилого помещения</t>
  </si>
  <si>
    <t>ЮЛ770101216600913</t>
  </si>
  <si>
    <t>664074 Иркутская область город Иркутск улица Лермонтова дом 90/1   этаж 1</t>
  </si>
  <si>
    <t>ЮЛ770101216600980</t>
  </si>
  <si>
    <t>665709 Иркутская область город Братск улица Наймушина дом 32   этаж 1, нежилое помещение № 4</t>
  </si>
  <si>
    <t>ЮЛ770101216600992</t>
  </si>
  <si>
    <t>664007 Иркутская область город Иркутск улица Карла Либкнехта строение 94   этаж 4,  помещение 411</t>
  </si>
  <si>
    <t>АО "ЛАКСА ТРЕЙДИНГ"</t>
  </si>
  <si>
    <t>7716951970</t>
  </si>
  <si>
    <t>ЮЛ7701001677</t>
  </si>
  <si>
    <t>ЮЛ770100167700006</t>
  </si>
  <si>
    <t>ЮЛ770100419400133</t>
  </si>
  <si>
    <t>664022 Иркутская область город Иркутск улица Верхняя Набережная дом 10   помещение №138</t>
  </si>
  <si>
    <t>ЮЛ770100419400230</t>
  </si>
  <si>
    <t>665824 Иркутская область город Ангарск 192-й квартал дом 12/1   помещения 129, 129а, 130</t>
  </si>
  <si>
    <t>ЮЛ770100193500138</t>
  </si>
  <si>
    <t>664022 Иркутская область город Иркутск улица 3 Июля дом 25   помещение 67</t>
  </si>
  <si>
    <t>ЮЛ770100193500139</t>
  </si>
  <si>
    <t>664007 Иркутская область город Иркутск улица Партизанская дом 36   1 (первый) этаж, помещение В8</t>
  </si>
  <si>
    <t>ЮЛ770100193500140</t>
  </si>
  <si>
    <t>664022 Иркутская область город Иркутск улица Верхняя Набережная дом 10   1 этаж, помещение 95</t>
  </si>
  <si>
    <t>ЮЛ770100193500141</t>
  </si>
  <si>
    <t>664043 Иркутская область город Иркутск улица Сергеева дом 3/5   помещение 59, 1 (первый) этаж</t>
  </si>
  <si>
    <t>ЮЛ770100193500142</t>
  </si>
  <si>
    <t>666301 Иркутская область город Саянск микрорайон Юбилейный 16</t>
  </si>
  <si>
    <t>ЮЛ770100193500373</t>
  </si>
  <si>
    <t>665070 Иркутская область город Братск улица Крупской дом 56  Литера А  помещение № 1737</t>
  </si>
  <si>
    <t>ЮЛ770100193500377</t>
  </si>
  <si>
    <t>664049 Иркутская область город Иркутск микрорайон Юбилейный дом 19/1   этаж 1, помещение № 100 (В10)</t>
  </si>
  <si>
    <t>ЮЛ770100193500483</t>
  </si>
  <si>
    <t>665717 Иркутская область город Братск улица Мира дом 1/27   помещение № 1003, этаж 1 (первый)</t>
  </si>
  <si>
    <t>ЮЛ770100193500775</t>
  </si>
  <si>
    <t>665824 Иркутская область город Ангарск 192 квартал строение 12/1   помещение № 105 (внутренний № секции 1-32), этаж 1 (первый) )</t>
  </si>
  <si>
    <t>ЮЛ770100193500779</t>
  </si>
  <si>
    <t>664047 Иркутская область город Иркутск улица Советская дом 58/1   часть помещения 20, 21, 1 (первый) этаж</t>
  </si>
  <si>
    <t>ЮЛ770100193500795</t>
  </si>
  <si>
    <t>665466 Иркутская область город Усолье-Сибирское проспект Ленинский дом 66   этаж 1 (первый)</t>
  </si>
  <si>
    <t>ЮЛ770100193500804</t>
  </si>
  <si>
    <t>664022 Иркутская область город Иркутск улица Верхняя Набережная строение 10   помещение № 130 (вн. № секции 1-128), этаж 1 (первый)</t>
  </si>
  <si>
    <t>ЮЛ770100193500837</t>
  </si>
  <si>
    <t>664022 Иркутская область город Иркутск улица 3 Июля дом 25   этаж 1 (первый) цокольный, помещение 66</t>
  </si>
  <si>
    <t>ЮЛ770100193500853</t>
  </si>
  <si>
    <t>664043 Иркутская область город Иркутск улица Сергеева дом 3/5   1 этаж, помещения 044, 248</t>
  </si>
  <si>
    <t>ЮЛ770100193500866</t>
  </si>
  <si>
    <t>664003 Иркутская область город Иркутск улица Урицкого дом 14</t>
  </si>
  <si>
    <t>ЮЛ770100193501043</t>
  </si>
  <si>
    <t>664043 Иркутская область город Иркутск улица Сергеева дом 3/5   часть помещений 044,248, 1 этаж</t>
  </si>
  <si>
    <t>ЮЛ770100193501135</t>
  </si>
  <si>
    <t>664003 Иркутская область г. Иркутск ул. Фурье д. 4</t>
  </si>
  <si>
    <t>ЮЛ780300131300106</t>
  </si>
  <si>
    <t>664003 Иркутская область г. Иркутск ул. Урицкого дом 18</t>
  </si>
  <si>
    <t>ЮЛ780300131300107</t>
  </si>
  <si>
    <t>665717 Иркутская область город Братск улица Мира дом 1/27   пом. 1002</t>
  </si>
  <si>
    <t>ЮЛ780300131300578</t>
  </si>
  <si>
    <t>664002 Иркутская область город Иркутск улица Жукова 1</t>
  </si>
  <si>
    <t>ЮЛ780300328000060</t>
  </si>
  <si>
    <t>665268 Иркутская область город Тулун улица Ленина дом 93</t>
  </si>
  <si>
    <t>ЮЛ780300328000061</t>
  </si>
  <si>
    <t>665008 Иркутская область город Тайшет улица Гагарина дом 100/2н</t>
  </si>
  <si>
    <t>ЮЛ780300328000244</t>
  </si>
  <si>
    <t>ЮЛ780300331800008</t>
  </si>
  <si>
    <t>664007 Иркутская область город Иркутск улица Байкальская дом 3</t>
  </si>
  <si>
    <t>ЮЛ780300331800085</t>
  </si>
  <si>
    <t>666679 Иркутская область город Усть-Илимск проспект Мира дом 19   н.п. 57</t>
  </si>
  <si>
    <t>ИП Головня Татьяна Николаевна</t>
  </si>
  <si>
    <t>781011998640</t>
  </si>
  <si>
    <t>ИП3808005181</t>
  </si>
  <si>
    <t>ИП380800518100000</t>
  </si>
  <si>
    <t>666673 Иркутская область город Усть-Илимск улица Булгакова дом 8   н.п. 91</t>
  </si>
  <si>
    <t>ИП380800518100002</t>
  </si>
  <si>
    <t>666679 Иркутская область город Усть-Илимск проспект Мира дом 21   н.п.131А</t>
  </si>
  <si>
    <t>ИП380800518100003</t>
  </si>
  <si>
    <t>664003 Иркутская область город Иркутск улица Фурье дом 4</t>
  </si>
  <si>
    <t>ЮЛ780300308200029</t>
  </si>
  <si>
    <t>ЮЛ780300308200060</t>
  </si>
  <si>
    <t>ЮЛ780300308200061</t>
  </si>
  <si>
    <t>665727 Иркутская область город Братск улица Крупской дом 35</t>
  </si>
  <si>
    <t>ЮЛ780300308200090</t>
  </si>
  <si>
    <t>665826 Иркутская область город Ангарск микрорайон 12а</t>
  </si>
  <si>
    <t>ЮЛ780300308200158</t>
  </si>
  <si>
    <t>665824 Иркутская область город Ангарск 192 квартал дом 12   помещение 24</t>
  </si>
  <si>
    <t>ЮЛ780300308200331</t>
  </si>
  <si>
    <t>664050 Иркутская область город Иркутск улица Жукова дом 1</t>
  </si>
  <si>
    <t>ЮЛ780300308200341</t>
  </si>
  <si>
    <t>ЮЛ780300308200359</t>
  </si>
  <si>
    <t>665460 Иркутская область город Усолье-Сибирское проспект Красных партизан дом 24</t>
  </si>
  <si>
    <t>ЮЛ780300308200361</t>
  </si>
  <si>
    <t>664049 Иркутская область город Иркутск мкр Юбилейный дом 19/1   помещение Е1</t>
  </si>
  <si>
    <t>ЮЛ780300308200586</t>
  </si>
  <si>
    <t>665717 Иркутская область город Братск, ж.р. Центральный улица Мира дом 1/27   помещение 1002</t>
  </si>
  <si>
    <t>ЮЛ780300308200903</t>
  </si>
  <si>
    <t>665412 Иркутская область город Черемхово улица Первомайская дом 166</t>
  </si>
  <si>
    <t>ЮЛ780300308201033</t>
  </si>
  <si>
    <t>664003 Иркутская область город Иркутск улица Карла Маркса дом 21</t>
  </si>
  <si>
    <t>ЮЛ780300308201042</t>
  </si>
  <si>
    <t>664003 Иркутская область город Иркутск улица Урицкого дом 18</t>
  </si>
  <si>
    <t>ЮЛ780300308201059</t>
  </si>
  <si>
    <t>ЮЛ780300308201066</t>
  </si>
  <si>
    <t>ЮЛ780300308201085</t>
  </si>
  <si>
    <t>664007 Иркутская область город Иркутск улица Партизанская дом 36   помещение № 11</t>
  </si>
  <si>
    <t>ЮЛ780300308201086</t>
  </si>
  <si>
    <t>664043 Иркутская область город Иркутск улица Сергеева дом 3/5   помещения №№156, 157</t>
  </si>
  <si>
    <t>ЮЛ780300308201133</t>
  </si>
  <si>
    <t>669311 Иркутская область поселок Бохан улица Ленина дом 69</t>
  </si>
  <si>
    <t>ИП Никифоров Евгений Сергеевич</t>
  </si>
  <si>
    <t>850301822135</t>
  </si>
  <si>
    <t>ИП3808032269</t>
  </si>
  <si>
    <t>ИП380803226900000</t>
  </si>
  <si>
    <t>669000 Иркутская область поселок Усть-Ордынский улица Ленина дом 6</t>
  </si>
  <si>
    <t>ИП Алдарова Елена Романовна</t>
  </si>
  <si>
    <t>850600510889</t>
  </si>
  <si>
    <t>ИП3808010090</t>
  </si>
  <si>
    <t>ИП380801009000000</t>
  </si>
  <si>
    <t>669200 Иркутская область село Оса Свердлова 53Г   8</t>
  </si>
  <si>
    <t>ИП380801009000001</t>
  </si>
  <si>
    <t>664003 Иркутская область город Иркутск улица Литвинова дом 18   павильон 216</t>
  </si>
  <si>
    <t>ИП Хандеева Елена Афанасьевна</t>
  </si>
  <si>
    <t>850606060114</t>
  </si>
  <si>
    <t>ИП3808031347</t>
  </si>
  <si>
    <t>ИП380803134700000</t>
  </si>
  <si>
    <t>664003 Иркутская область город Иркутск улица Урицкого дом 16   помещение 7</t>
  </si>
  <si>
    <t>ООО "КАЛИТА ГОЛД"</t>
  </si>
  <si>
    <t>9001025886</t>
  </si>
  <si>
    <t>ЮЛ9004036536</t>
  </si>
  <si>
    <t>ЮЛ900403653600004</t>
  </si>
  <si>
    <t>665824 Иркутская область город Ангарск 192 квартал дом 12   помещение №23, 1 этаж</t>
  </si>
  <si>
    <t>ЮЛ770100439200023</t>
  </si>
  <si>
    <t>664000 Иркутская область город Иркутск улица Урицкого дом 13   комнаты №1, №2, №3, №4, №5, №6, 1 этаж здания</t>
  </si>
  <si>
    <t>ЮЛ770100439200172</t>
  </si>
  <si>
    <t>664022 Иркутская область город Иркутск улица 3 Июля дом 25   помещение 57</t>
  </si>
  <si>
    <t>ЮЛ770100439200185</t>
  </si>
  <si>
    <t>664009 Иркутская область город Иркутск улица Советская дом 109   офис 202</t>
  </si>
  <si>
    <t>ООО "КЮЗ "КАРАТОВ"</t>
  </si>
  <si>
    <t>9717029673</t>
  </si>
  <si>
    <t>ЮЛ7701000295</t>
  </si>
  <si>
    <t>ЮЛ770100029500007</t>
  </si>
  <si>
    <t>664043 Иркутская область город Иркутск улица Сергеева дом 3/5   помещения № 044, 248, 1 этаж</t>
  </si>
  <si>
    <t>ЮЛ770104000500005</t>
  </si>
  <si>
    <t>Кабардино-Балкарская Республика</t>
  </si>
  <si>
    <t>361535 Кабардино-Балкарская Республика город Баксан проспект Ленина дом 78б</t>
  </si>
  <si>
    <t>ИП Нахушева Мадина Нажмудиновна</t>
  </si>
  <si>
    <t>70110784031</t>
  </si>
  <si>
    <t>ИП0705003177</t>
  </si>
  <si>
    <t>ИП070500317700000</t>
  </si>
  <si>
    <t>360030 Кабардино-Балкарская Республика город Нальчик улица Тлостанова дом 32   126</t>
  </si>
  <si>
    <t>ИП Шабатукова Мадина Валерьевна</t>
  </si>
  <si>
    <t>70709659366</t>
  </si>
  <si>
    <t>ИП0705036379</t>
  </si>
  <si>
    <t>ИП070503637900000</t>
  </si>
  <si>
    <t>360000 Кабардино-Балкарская Республика город Нальчик Пачева  52 торговый центр  помещение К-15</t>
  </si>
  <si>
    <t>ИП Макитов Азамат Мусабиевич</t>
  </si>
  <si>
    <t>70805189699</t>
  </si>
  <si>
    <t>ИП0705034660</t>
  </si>
  <si>
    <t>ИП070503466000000</t>
  </si>
  <si>
    <t>361045 Кабардино-Балкарская Республика город Прохладный улица Гагарина дом 24</t>
  </si>
  <si>
    <t>ООО ПКФ "ЭЛЕКТРОН"</t>
  </si>
  <si>
    <t>709002880</t>
  </si>
  <si>
    <t>ЮЛ0705004370</t>
  </si>
  <si>
    <t>ЮЛ070500437000000</t>
  </si>
  <si>
    <t>361045 Кабардино-Балкарская Республика город Прохладный улица Гагарина дом 55</t>
  </si>
  <si>
    <t>ИП Ревцов Павел Иванович</t>
  </si>
  <si>
    <t>70900307085</t>
  </si>
  <si>
    <t>ИП0705006060</t>
  </si>
  <si>
    <t>ИП070500606000000</t>
  </si>
  <si>
    <t>360003 Кабардино-Балкарская Республика город Нальчик улица Кирова 1 Д  133</t>
  </si>
  <si>
    <t>ООО РСФ "СЕВЕР"</t>
  </si>
  <si>
    <t>713002593</t>
  </si>
  <si>
    <t>ЮЛ0705006112</t>
  </si>
  <si>
    <t>ЮЛ070500611200000</t>
  </si>
  <si>
    <t>360051 Кабардино-Балкарская Республика город Нальчик проспект Ленина дом 43</t>
  </si>
  <si>
    <t>ИП Кертбиева Марина Андемиркановна</t>
  </si>
  <si>
    <t>71300814832</t>
  </si>
  <si>
    <t>ИП0705005589</t>
  </si>
  <si>
    <t>ИП070500558900000</t>
  </si>
  <si>
    <t>360051 Кабардино-Балкарская Республика город Нальчик проспект Ленина дом 41/141</t>
  </si>
  <si>
    <t>ИП Боготова Эмма Газраиловна</t>
  </si>
  <si>
    <t>71301820652</t>
  </si>
  <si>
    <t>ИП0705000082</t>
  </si>
  <si>
    <t>ИП070500008200000</t>
  </si>
  <si>
    <t>360051 Кабардино-Балкарская Республика город Нальчик проспект Ленина 41   101</t>
  </si>
  <si>
    <t>ИП Башиев Расул Конакбиевич</t>
  </si>
  <si>
    <t>71305716003</t>
  </si>
  <si>
    <t>ИП0705006932</t>
  </si>
  <si>
    <t>ИП070500693200000</t>
  </si>
  <si>
    <t>360051 Кабардино-Балкарская Республика город Нальчик проспект Ленина дом 41</t>
  </si>
  <si>
    <t>ИП Бахмулаева Култум Абдурашидовна</t>
  </si>
  <si>
    <t>71500270298</t>
  </si>
  <si>
    <t>ИП0705003112</t>
  </si>
  <si>
    <t>ИП070500311200000</t>
  </si>
  <si>
    <t>361045 Кабардино-Балкарская Республика город Прохладный улица Гагарина дом 59</t>
  </si>
  <si>
    <t>ИП Алфёров Владимир Александрович</t>
  </si>
  <si>
    <t>71602241218</t>
  </si>
  <si>
    <t>ИП0705005328</t>
  </si>
  <si>
    <t>ИП070500532800000</t>
  </si>
  <si>
    <t>360051 Кабардино-Балкарская Республика город Нальчик проспект Ленина дом 41   82</t>
  </si>
  <si>
    <t>ИП Султанова Мариям Ачахматовна</t>
  </si>
  <si>
    <t>72110346112</t>
  </si>
  <si>
    <t>ИП0705003116</t>
  </si>
  <si>
    <t>ИП070500311600000</t>
  </si>
  <si>
    <t>360000 Кабардино-Балкарская Республика город Нальчик улица Кирова дом 1Д</t>
  </si>
  <si>
    <t>ИП Тлупова Альбина Хасановна</t>
  </si>
  <si>
    <t>72110700959</t>
  </si>
  <si>
    <t>ИП0705017201</t>
  </si>
  <si>
    <t>ИП070501720100000</t>
  </si>
  <si>
    <t>360022 Кабардино-Балкарская Республика город Нальчик улица Толстого дом 102   квартира 6а</t>
  </si>
  <si>
    <t>ИП Жантудуева Раузият Исхаковна</t>
  </si>
  <si>
    <t>72110892337</t>
  </si>
  <si>
    <t>ИП0705017568</t>
  </si>
  <si>
    <t>ИП070501756800000</t>
  </si>
  <si>
    <t>360051 Кабардино-Балкарская Республика город Нальчик проспект Ленина дом 45</t>
  </si>
  <si>
    <t>ИП Алабова Марина Чамаловна</t>
  </si>
  <si>
    <t>72111495565</t>
  </si>
  <si>
    <t>ИП0705030451</t>
  </si>
  <si>
    <t>ИП070503045100000</t>
  </si>
  <si>
    <t>360051 Кабардино-Балкарская Республика город Нальчик проспект Ленина дом 41   6119 "И"</t>
  </si>
  <si>
    <t>ИП Башиева Альбина Канакбиевна</t>
  </si>
  <si>
    <t>72197395320</t>
  </si>
  <si>
    <t>ИП0705011450</t>
  </si>
  <si>
    <t>ИП070501145000000</t>
  </si>
  <si>
    <t>360051 Кабардино-Балкарская Республика город Нальчик проспект Ленина 41</t>
  </si>
  <si>
    <t>ИП Созаева Асият Ромазановна</t>
  </si>
  <si>
    <t>72197511209</t>
  </si>
  <si>
    <t>ИП0705005312</t>
  </si>
  <si>
    <t>ИП070500531200000</t>
  </si>
  <si>
    <t>ИП Кучменова Лейла Алиевна</t>
  </si>
  <si>
    <t>72197741428</t>
  </si>
  <si>
    <t>ИП0705000703</t>
  </si>
  <si>
    <t>ИП070500070300000</t>
  </si>
  <si>
    <t>ИП Бичоева Марианна Хасановна</t>
  </si>
  <si>
    <t>72645923457</t>
  </si>
  <si>
    <t>ИП0705007962</t>
  </si>
  <si>
    <t>ИП070500796200000</t>
  </si>
  <si>
    <t>360000 Кабардино-Балкарская Республика город Нальчик кешокова 69   помещение 23</t>
  </si>
  <si>
    <t>ИП Маигова Асият Сайдиевна</t>
  </si>
  <si>
    <t>344412046397</t>
  </si>
  <si>
    <t>ИП3404037730</t>
  </si>
  <si>
    <t>ИП340403773000000</t>
  </si>
  <si>
    <t>361045 Кабардино-Балкарская Республика город Прохладный улица Гагарина дом 26</t>
  </si>
  <si>
    <t>ИП Мишина Людмила Степановна</t>
  </si>
  <si>
    <t>561800106000</t>
  </si>
  <si>
    <t>ИП0705004454</t>
  </si>
  <si>
    <t>ИП070500445400000</t>
  </si>
  <si>
    <t>360051 Кабардино-Балкарская Республика город Нальчик проспект Ленина дом 49</t>
  </si>
  <si>
    <t>ИП610400829500019</t>
  </si>
  <si>
    <t>360022 Кабардино-Балкарская Республика город Нальчик улица Пачева дом 61   помещение 4</t>
  </si>
  <si>
    <t>ООО "ЛОМБАРД "ДРАГОЦЕННОСТИ УРАЛА"</t>
  </si>
  <si>
    <t>6670093587</t>
  </si>
  <si>
    <t>ЮЛ6607000708</t>
  </si>
  <si>
    <t>ЮЛ660700070800072</t>
  </si>
  <si>
    <t>361045 Кабардино-Балкарская Республика город Прохладный улица Гагарина дом 28/5</t>
  </si>
  <si>
    <t>ЮЛ770100201500567</t>
  </si>
  <si>
    <t>360051 Кабардино-Балкарская Республика город Нальчик проспект Ленина дом 43   1 этаж, нежилое помещение № 2</t>
  </si>
  <si>
    <t>ЮЛ770101216600785</t>
  </si>
  <si>
    <t>360003 Кабардино-Балкарская Республика город Нальчик улица Кирова дом 1Д   1 этаж, нежилое помещение №121</t>
  </si>
  <si>
    <t>ЮЛ770101216600903</t>
  </si>
  <si>
    <t>360030 Кабардино-Балкарская Республика город Нальчик проспект Кулиева дом 19А</t>
  </si>
  <si>
    <t>ЮЛ770100419400184</t>
  </si>
  <si>
    <t>360000 Кабардино-Балкарская Республика город Нальчик улица Ленина/Кулиева дом 3/2</t>
  </si>
  <si>
    <t>ЮЛ770100419400188</t>
  </si>
  <si>
    <t>360003 Кабардино-Балкарская Республика город Нальчик улица Кирова дом 1Д   помещение № 115-1</t>
  </si>
  <si>
    <t>ЮЛ770100193500261</t>
  </si>
  <si>
    <t>361045 Кабардино-Балкарская Республика город Прохладный улица Пролетарская дом 56   1 (первый) этаж</t>
  </si>
  <si>
    <t>ЮЛ770100193500540</t>
  </si>
  <si>
    <t>360051 Кабардино-Балкарская Республика город Нальчик проспект Ленина дом 20   помещение 6082-"Г", этаж 1 (первый)</t>
  </si>
  <si>
    <t>ЮЛ770100193500644</t>
  </si>
  <si>
    <t>360022 Кабардино-Балкарская Республика город Нальчик улица Толстого дом 96</t>
  </si>
  <si>
    <t>ЮЛ770100193500768</t>
  </si>
  <si>
    <t>ЮЛ770100193500903</t>
  </si>
  <si>
    <t>361045 Кабардино-Балкарская Республика город Прохладный улица Пролетарская дом 73</t>
  </si>
  <si>
    <t>ЮЛ770100193501104</t>
  </si>
  <si>
    <t>361045 Кабардино-Балкарская Республика город Прохладный улица Гагарина дом 26/1</t>
  </si>
  <si>
    <t>ЮЛ780300131300211</t>
  </si>
  <si>
    <t>360051 Кабардино-Балкарская Республика город Нальчик проспект Шогенцукова дом 16</t>
  </si>
  <si>
    <t>ЮЛ780300131300213</t>
  </si>
  <si>
    <t>360051 Кабардино-Балкарская Республика город Нальчик проспект Ленина дом 41  лит. "А" по. 6119</t>
  </si>
  <si>
    <t>ЮЛ780300131300214</t>
  </si>
  <si>
    <t>361113 Кабардино-Балкарская Республика город Майский улица Энгельса дом 51   пом.16</t>
  </si>
  <si>
    <t>ЮЛ780300131300477</t>
  </si>
  <si>
    <t>361332 Кабардино-Балкарская Республика город Нарткала улица Шекихачева дом 2а   часть помещения №62</t>
  </si>
  <si>
    <t>ЮЛ780300131300569</t>
  </si>
  <si>
    <t>361623 Кабардино-Балкарская Республика город Тырныауз проспект Эльбрусский дом 74</t>
  </si>
  <si>
    <t>ЮЛ780300131300576</t>
  </si>
  <si>
    <t>360022 Кабардино-Балкарская Республика город Нальчик улица Пачева дом 52</t>
  </si>
  <si>
    <t>ЮЛ780300328000089</t>
  </si>
  <si>
    <t>360022 Кабардино-Балкарская Республика город Нальчик улица Пачева дом 61   помещения №№ 3,4,5,6,7,8,9</t>
  </si>
  <si>
    <t>ЮЛ780300328000090</t>
  </si>
  <si>
    <t>360024 Кабардино-Балкарская Республика город Нальчик улица Неделина дом №2   часть нежилого помещения 2, пом. 8150-А2</t>
  </si>
  <si>
    <t>ЮЛ780300328000091</t>
  </si>
  <si>
    <t>361045 Кабардино-Балкарская Республика город Прохладный улица Пролетарская дом 62   помещение № 23</t>
  </si>
  <si>
    <t>ЮЛ780300328000220</t>
  </si>
  <si>
    <t>360022 Кабардино-Балкарская Республика город Нальчик улица Ахохова дом 139   пом. 9035 "А"</t>
  </si>
  <si>
    <t>ЮЛ780300328000242</t>
  </si>
  <si>
    <t>360051 Кабардино-Балкарская Республика город Нальчик проспект Ленина дом 20   часть нежилого помещения, состоящее из комнат №12, 13,14, пом. 6082 - "Г"</t>
  </si>
  <si>
    <t>ЮЛ780300328000253</t>
  </si>
  <si>
    <t>361623 Кабардино-Балкарская Республика город Тырныауз проспект Эльбрусский дом 74   инв. № 049</t>
  </si>
  <si>
    <t>ЮЛ780300331800073</t>
  </si>
  <si>
    <t>361332 Кабардино-Балкарская Республика город Нарткала улица Гурфова дом 29-а   часть помещения № 62</t>
  </si>
  <si>
    <t>ЮЛ780300331800127</t>
  </si>
  <si>
    <t>360051 Кабардино-Балкарская Республика город Нальчик проспект Ленина дом 20</t>
  </si>
  <si>
    <t>ЮЛ780300323500018</t>
  </si>
  <si>
    <t>361045 Кабардино-Балкарская Республика город Прохладный улица Пролетарская дом 56  В помещение 1</t>
  </si>
  <si>
    <t>ЮЛ780300323500025</t>
  </si>
  <si>
    <t>360004 Кабардино-Балкарская Республика город Нальчик улица Толстого дом 89А</t>
  </si>
  <si>
    <t>ЮЛ780300323500221</t>
  </si>
  <si>
    <t>ЮЛ780300308200095</t>
  </si>
  <si>
    <t>361115 Кабардино-Балкарская Республика город Майский улица Энгельса владение 51   помещение 16</t>
  </si>
  <si>
    <t>ЮЛ780300308200126</t>
  </si>
  <si>
    <t>361535 Кабардино-Балкарская Республика город Баксан проспект Ленина дом 20/3</t>
  </si>
  <si>
    <t>ЮЛ780300308200434</t>
  </si>
  <si>
    <t>360024 Кабардино-Балкарская Республика город Нальчик улица Неделина дом 2   помещение 8150-А2, помещение 1, часть помещения 2</t>
  </si>
  <si>
    <t>ЮЛ780300308200446</t>
  </si>
  <si>
    <t>361203 Кабардино-Балкарская Республика город Терек улица Ленина дом 40а   нежилое помещение инв. № 138</t>
  </si>
  <si>
    <t>ЮЛ780300308200461</t>
  </si>
  <si>
    <t>361401 Кабардино-Балкарская Республика город Чегем шоссе Баксанское дом 11   часть торгового комплекса инвентарный номер 473, лит. А, А1</t>
  </si>
  <si>
    <t>ЮЛ780300308200570</t>
  </si>
  <si>
    <t>360019 Кабардино-Балкарская Республика город Нальчик улица Кирова д. 320</t>
  </si>
  <si>
    <t>ЮЛ780300308200665</t>
  </si>
  <si>
    <t>ЮЛ780300308200868</t>
  </si>
  <si>
    <t>360051 Кабардино-Балкарская Республика город Нальчик проспект Ленина дом 41   помещение "6119" а</t>
  </si>
  <si>
    <t>ЮЛ780300308200870</t>
  </si>
  <si>
    <t>ЮЛ780300308200874</t>
  </si>
  <si>
    <t>361045 Кабардино-Балкарская Республика город Прохладный улица Пролетарская дом 56</t>
  </si>
  <si>
    <t>ЮЛ780300308201235</t>
  </si>
  <si>
    <t>361045 Кабардино-Балкарская Республика город Прохладный улица Пролетарская дом 56  Литер В часть помещения 1 комната 1</t>
  </si>
  <si>
    <t>ЮЛ780300363500034</t>
  </si>
  <si>
    <t>ЮЛ780300363500146</t>
  </si>
  <si>
    <t>ЮЛ780300363500147</t>
  </si>
  <si>
    <t>ЮЛ780300363500148</t>
  </si>
  <si>
    <t>360051 Кабардино-Балкарская Республика город Нальчик улица Ленина дом 20   помещение №6082 "В"</t>
  </si>
  <si>
    <t>ЮЛ770100439200006</t>
  </si>
  <si>
    <t>Калининградская область</t>
  </si>
  <si>
    <t>238326 Калининградская область город Зеленоградск улица Пугачева дом 9Б   помещение 1</t>
  </si>
  <si>
    <t>ИП Сафонов Даниил Габриэльевич</t>
  </si>
  <si>
    <t>110114516133</t>
  </si>
  <si>
    <t>ИП3903039127</t>
  </si>
  <si>
    <t>ИП390303912700000</t>
  </si>
  <si>
    <t>238580 Калининградская область поселок городского типа Янтарный улица Советская дом 70</t>
  </si>
  <si>
    <t>ИП Манчевский Вениамин Сергеевич</t>
  </si>
  <si>
    <t>250314866574</t>
  </si>
  <si>
    <t>ИП3903032037</t>
  </si>
  <si>
    <t>ИП390303203700000</t>
  </si>
  <si>
    <t>236039 Калининградская область город Калининград улица Александра Суворова дом 54 помещение IV</t>
  </si>
  <si>
    <t>ИП Гоголев Алексей Васильевич</t>
  </si>
  <si>
    <t>250800033411</t>
  </si>
  <si>
    <t>ИП3903001325</t>
  </si>
  <si>
    <t>ИП390300132500000</t>
  </si>
  <si>
    <t>236006 Калининградская область город Калининград проспект Ленинский дом 35-37</t>
  </si>
  <si>
    <t>ИП390300132500001</t>
  </si>
  <si>
    <t>236040 Калининградская область город Калининград улица Черняховского дом 58-62  литера VII из литера A</t>
  </si>
  <si>
    <t>ИП Гоманенко Марина Владимировна</t>
  </si>
  <si>
    <t>253612966795</t>
  </si>
  <si>
    <t>ИП3903008720</t>
  </si>
  <si>
    <t>ИП390300872000000</t>
  </si>
  <si>
    <t>236040 Калининградская область город Калининград улица Черняховского дом 6а-12а</t>
  </si>
  <si>
    <t>ИП390300872000001</t>
  </si>
  <si>
    <t>236003 Калининградская область город Калининград проспект Московский дом 257</t>
  </si>
  <si>
    <t>ИП Чумак Инна Викторовна</t>
  </si>
  <si>
    <t>270310435072</t>
  </si>
  <si>
    <t>ИП3903004947</t>
  </si>
  <si>
    <t>ИП390300494700000</t>
  </si>
  <si>
    <t>236022 Калининградская область город Калининград Театральная дом 30</t>
  </si>
  <si>
    <t>ИП270900039700003</t>
  </si>
  <si>
    <t>238150 Калининградская область город Черняховск улица Ленина дом 18А</t>
  </si>
  <si>
    <t>ИП Алексеев Вячеслав Александрович</t>
  </si>
  <si>
    <t>330107355910</t>
  </si>
  <si>
    <t>ИП3903038228</t>
  </si>
  <si>
    <t>ИП390303822800000</t>
  </si>
  <si>
    <t>238050 Калининградская область город Гусев улица Московская дом 5</t>
  </si>
  <si>
    <t>ИП390303822800001</t>
  </si>
  <si>
    <t>238050 Калининградская область город Гусев улица Победы дом 29</t>
  </si>
  <si>
    <t>ИП390303822800002</t>
  </si>
  <si>
    <t>238150 Калининградская область город Черняховск улица Госпитальная дом 6</t>
  </si>
  <si>
    <t>ИП390303822800003</t>
  </si>
  <si>
    <t>238590 Калининградская область город Пионерский улица Комсомольская дом 5</t>
  </si>
  <si>
    <t>ИП390303822800004</t>
  </si>
  <si>
    <t>236040 Калининградская область город Калининград улица Гаражная дом 2   218</t>
  </si>
  <si>
    <t>ИП Непомнящих Алексей Сергеевич</t>
  </si>
  <si>
    <t>381910643734</t>
  </si>
  <si>
    <t>ИП3808005210</t>
  </si>
  <si>
    <t>ИП380800521000000</t>
  </si>
  <si>
    <t>236022 Калининградская область город Калининград площадь Победы дом 2 корпус 3</t>
  </si>
  <si>
    <t>МЕСТНАЯ РЕЛИГИОЗНАЯ ОРГАНИЗАЦИЯ ПРАВОСЛАВНЫЙ ПРИХОД В ЧЕСТЬ СВЯТОЙ ПРАВЕДНОЙ МАРФЫ Г. КАЛИНИНГРАД КАЛИНИНГРАДСКОЙ ЕПАРХИИ РУССКОЙ ПРАВОСЛАВНОЙ ЦЕРКВИ (МОСКОВСКИЙ ПАТРИАРХАТ)</t>
  </si>
  <si>
    <t>3900003320</t>
  </si>
  <si>
    <t>ЮЛ3903031850</t>
  </si>
  <si>
    <t>ЮЛ390303185000000</t>
  </si>
  <si>
    <t>236022 Калининградская область город Калининград улица К.Маркса дом 18   пом. III, помещение №23, кабинет 478</t>
  </si>
  <si>
    <t>ООО "Б.АМБЕР"</t>
  </si>
  <si>
    <t>3900017806</t>
  </si>
  <si>
    <t>ЮЛ3903035749</t>
  </si>
  <si>
    <t>ЮЛ390303574900000</t>
  </si>
  <si>
    <t>236004 Калининградская область г.о. город Калининград ул. Дюнная д.18   офис 315</t>
  </si>
  <si>
    <t>ООО "ТД БАЛТИЙСКОЕ ЗОЛОТО"</t>
  </si>
  <si>
    <t>3900019225</t>
  </si>
  <si>
    <t>ЮЛ3903035781</t>
  </si>
  <si>
    <t>ЮЛ390303578100000</t>
  </si>
  <si>
    <t>238560 Калининградская область город Светлогорск улица Октябрьская дом 23   помещение VI</t>
  </si>
  <si>
    <t>ООО "АМБЕР ДРИМ"</t>
  </si>
  <si>
    <t>3900043740</t>
  </si>
  <si>
    <t>ЮЛ3903040140</t>
  </si>
  <si>
    <t>ЮЛ390304014000000</t>
  </si>
  <si>
    <t>238580 Калининградская область поселок городского типа Янтарный улица Советская здание 61Л   1 этаж</t>
  </si>
  <si>
    <t>ИП Богдан Инесса Винценто</t>
  </si>
  <si>
    <t>390100103703</t>
  </si>
  <si>
    <t>ИП3903036989</t>
  </si>
  <si>
    <t>ИП390303698900000</t>
  </si>
  <si>
    <t>238520 Калининградская область город Балтийск проспект Ленина дом 62   помещение IV</t>
  </si>
  <si>
    <t>ИП Рожок Наталья Викторовна</t>
  </si>
  <si>
    <t>390100495610</t>
  </si>
  <si>
    <t>ИП3903012479</t>
  </si>
  <si>
    <t>ИП390301247900000</t>
  </si>
  <si>
    <t>238520 Калининградская область город Балтийск проспект Ленина дом 22Б   кабинет №5</t>
  </si>
  <si>
    <t>ИП Климов Александр Владимирович</t>
  </si>
  <si>
    <t>390102510623</t>
  </si>
  <si>
    <t>ИП3903037395</t>
  </si>
  <si>
    <t>ИП390303739500000</t>
  </si>
  <si>
    <t>238324 Калининградская область поселок Орловка кольцо Приморское здание 2   помещение №1</t>
  </si>
  <si>
    <t>ИП Кобзева Ксения Алексеевна</t>
  </si>
  <si>
    <t>390103404427</t>
  </si>
  <si>
    <t>ИП3903039530</t>
  </si>
  <si>
    <t>ИП390303953000000</t>
  </si>
  <si>
    <t>238520 Калининградская область город Балтийск улица Ленина Дом 5 помещение 33</t>
  </si>
  <si>
    <t>ИП Чернышов Владимир Александрович</t>
  </si>
  <si>
    <t>390103590276</t>
  </si>
  <si>
    <t>ИП3903036814</t>
  </si>
  <si>
    <t>ИП390303681400000</t>
  </si>
  <si>
    <t>238527 Калининградская область город Балтийск улица В.Егорова дом 10</t>
  </si>
  <si>
    <t>ИП Петрова Диана Алексеевна</t>
  </si>
  <si>
    <t>390103797217</t>
  </si>
  <si>
    <t>ИП3903000287</t>
  </si>
  <si>
    <t>ИП390300028700000</t>
  </si>
  <si>
    <t>238520 Калининградская область город Балтийск проспект Ленина дом 65   этаж 1, помещение А-34</t>
  </si>
  <si>
    <t>ИП390300028700001</t>
  </si>
  <si>
    <t>238520 Калининградская область город Балтийск переулок Водолазный дом 4</t>
  </si>
  <si>
    <t>ООО "Ю-АРТ"</t>
  </si>
  <si>
    <t>3901502555</t>
  </si>
  <si>
    <t>ЮЛ3903000152</t>
  </si>
  <si>
    <t>ЮЛ390300015200000</t>
  </si>
  <si>
    <t>236044 Калининградская область город Калининград улица Интернациональная дом 30 корпус 2  помещение III</t>
  </si>
  <si>
    <t>ИП Кузьменко Ольга Ивановна</t>
  </si>
  <si>
    <t>390400210738</t>
  </si>
  <si>
    <t>ИП3903007196</t>
  </si>
  <si>
    <t>ИП390300719600000</t>
  </si>
  <si>
    <t>236029 Калининградская область город Калининград ул. Профессора Баранова - ул. Горького д. 30 - д. 2   В-26</t>
  </si>
  <si>
    <t>ИП390300719600001</t>
  </si>
  <si>
    <t>236029 Калининградская область город Калининград ул. Горького / ул. Профессора Баранова д. 2 / д. 30   магазин № 10</t>
  </si>
  <si>
    <t>ИП390300719600002</t>
  </si>
  <si>
    <t>236040 Калининградская область город Калининград площадь Победы 10  Литер XXVIII из литера А</t>
  </si>
  <si>
    <t>ИП Хачатуров Валерий Сергеевич</t>
  </si>
  <si>
    <t>390400416400</t>
  </si>
  <si>
    <t>ИП3903031892</t>
  </si>
  <si>
    <t>ИП390303189200000</t>
  </si>
  <si>
    <t>236022 Калининградская область город Калининград улица Грекова дом 12</t>
  </si>
  <si>
    <t xml:space="preserve">ИП Фомина Оксана Викторовна </t>
  </si>
  <si>
    <t>390400701126</t>
  </si>
  <si>
    <t>ИП3903011366</t>
  </si>
  <si>
    <t>ИП390301136600000</t>
  </si>
  <si>
    <t>236006 Калининградская область город Калининград улица Октябрьская дом 2</t>
  </si>
  <si>
    <t>ИП390301136600001</t>
  </si>
  <si>
    <t>238560 Калининградская область город Светлогорск улица Октябрьская дом 13А</t>
  </si>
  <si>
    <t>ИП390301136600002</t>
  </si>
  <si>
    <t>238326 Калининградская область город Зеленоградск проспект Курортный 14</t>
  </si>
  <si>
    <t>ИП Брежнева Оксана Ивановна</t>
  </si>
  <si>
    <t>390401691907</t>
  </si>
  <si>
    <t>ИП3903038375</t>
  </si>
  <si>
    <t>ИП390303837500000</t>
  </si>
  <si>
    <t>238315 Калининградская область поселок Храброво, Аэропорт   1 этаж  часть нежилого помещения площадью 33 кв.м</t>
  </si>
  <si>
    <t>ИП Писарь Сергей Дмитриевич</t>
  </si>
  <si>
    <t>390401788070</t>
  </si>
  <si>
    <t>ИП3903011416</t>
  </si>
  <si>
    <t>ИП390301141600000</t>
  </si>
  <si>
    <t>236001 Калининградская область поселок Храброво, Аэропорт   этаж 1   часть нежилого помещения площадью 41,0 кв.м</t>
  </si>
  <si>
    <t>ИП390301141600002</t>
  </si>
  <si>
    <t>236016 Калининградская область Калининград Площадь Маршала Василевского 1 торговое место 5</t>
  </si>
  <si>
    <t>ИП Трусова Елена Викторовна</t>
  </si>
  <si>
    <t>390402826530</t>
  </si>
  <si>
    <t>ИП3903016069</t>
  </si>
  <si>
    <t>ИП390301606900000</t>
  </si>
  <si>
    <t>238560 Калининградская область город Светлогорск улица Ленина дом 22   помещение 1А, 4,11,12,13,14</t>
  </si>
  <si>
    <t>ИП Жевнерова Галина Михайловна</t>
  </si>
  <si>
    <t>390403140623</t>
  </si>
  <si>
    <t>ИП3903003016</t>
  </si>
  <si>
    <t>ИП390300301600000</t>
  </si>
  <si>
    <t>236006 Калининградская область город Калининград улица Канта дом 1</t>
  </si>
  <si>
    <t>ИП Кацман Евгений Викторович</t>
  </si>
  <si>
    <t>390403345660</t>
  </si>
  <si>
    <t>ИП3903001481</t>
  </si>
  <si>
    <t>ИП390300148100000</t>
  </si>
  <si>
    <t>236022 Калининградская область город Калининград улица Театральная дом 30 торговый островок</t>
  </si>
  <si>
    <t>ИП390300148100001</t>
  </si>
  <si>
    <t>238315 Калининградская область п. Храброво   территория Храброво, здание 1, (39кв.м.)</t>
  </si>
  <si>
    <t>ИП Мягкова Юлия Олеговна</t>
  </si>
  <si>
    <t>390405032535</t>
  </si>
  <si>
    <t>ИП3903011469</t>
  </si>
  <si>
    <t>ИП390301146900004</t>
  </si>
  <si>
    <t>238560 Калининградская область город Светлогорск Улица Ленина Дом 11</t>
  </si>
  <si>
    <t>ИП Дарвина Ирина Николаевна</t>
  </si>
  <si>
    <t>390405681628</t>
  </si>
  <si>
    <t>ИП3903012844</t>
  </si>
  <si>
    <t>ИП390301284400001</t>
  </si>
  <si>
    <t>236001 Калининградская область город Калининград улица Профессора Баранова   здание 1  60</t>
  </si>
  <si>
    <t>ИП390301284400003</t>
  </si>
  <si>
    <t>236010 Калининградская область город Калининград Правая Набережная 21   помещение 91а</t>
  </si>
  <si>
    <t>ИП390301284400004</t>
  </si>
  <si>
    <t>238315 Калининградская область Храброво   территория Храброво, здание 1, (50кв.м.)</t>
  </si>
  <si>
    <t>ИП Брежнева Ангелина Александровна</t>
  </si>
  <si>
    <t>390405791003</t>
  </si>
  <si>
    <t>ИП3903039337</t>
  </si>
  <si>
    <t>ИП390303933700000</t>
  </si>
  <si>
    <t>236022 Калининградская область город Калининград улица Театральная дом 30   помещение 75</t>
  </si>
  <si>
    <t>ИП Томм Татьяна Евгеньевна</t>
  </si>
  <si>
    <t>390406577901</t>
  </si>
  <si>
    <t>ИП3903037650</t>
  </si>
  <si>
    <t>ИП390303765000000</t>
  </si>
  <si>
    <t>236001 Калининградская область город Калининград Театральная  30  XLIX 107</t>
  </si>
  <si>
    <t>ИП390303765000001</t>
  </si>
  <si>
    <t>236040 Калининградская область город Калининград улица Гаражная дом 2-4 1 этаж Литер А1-А5</t>
  </si>
  <si>
    <t>ИП Михайлов Илья Юрьевич</t>
  </si>
  <si>
    <t>390406701108</t>
  </si>
  <si>
    <t>ИП3903036253</t>
  </si>
  <si>
    <t>ИП390303625300000</t>
  </si>
  <si>
    <t>236039 Калининградская область город Калининград площадь Калинина дом 28   н/п 2 этаж</t>
  </si>
  <si>
    <t>ИП Кушнерёва Оксана Анатольевна</t>
  </si>
  <si>
    <t>390407190128</t>
  </si>
  <si>
    <t>ИП3903009938</t>
  </si>
  <si>
    <t>ИП390300993800001</t>
  </si>
  <si>
    <t>236039 Калининградская область город Калининград площадь Калинина дом 28   н/п 1 этаж</t>
  </si>
  <si>
    <t>ИП390300993800002</t>
  </si>
  <si>
    <t>236040 Калининградская область город Калининград улица Профессора Баранова дом 34   нежилое помещение (литера LIII из литеры А)</t>
  </si>
  <si>
    <t>ИП390300993800003</t>
  </si>
  <si>
    <t>236040 Калининградская область город Калининград улица Профессора Баранова дом 34   часть нежилого помещения литера CLIII</t>
  </si>
  <si>
    <t>ИП390300993800005</t>
  </si>
  <si>
    <t>236022 Калининградская область город Калининград проспект Мира 5-7   помещение 1, 2, 3</t>
  </si>
  <si>
    <t>ИП Доля Мария Константиновна</t>
  </si>
  <si>
    <t>390407458551</t>
  </si>
  <si>
    <t>ИП3903037203</t>
  </si>
  <si>
    <t>ИП390303720300000</t>
  </si>
  <si>
    <t>236039 Калининградская область город Калининград улица Полоцкая дом 45   павильон 2</t>
  </si>
  <si>
    <t>ИП Джха Анил Кумар</t>
  </si>
  <si>
    <t>390408052473</t>
  </si>
  <si>
    <t>ИП3903011373</t>
  </si>
  <si>
    <t>ИП390301137300000</t>
  </si>
  <si>
    <t>236040 Калининградская область город Калининград улица Черняховского дом 66-68</t>
  </si>
  <si>
    <t>ООО "ПАРАЛЛЕЛЬ"</t>
  </si>
  <si>
    <t>3904090003</t>
  </si>
  <si>
    <t>ЮЛ3903003772</t>
  </si>
  <si>
    <t>ЮЛ390300377200000</t>
  </si>
  <si>
    <t>236006 Калининградская область город Калининград улица Кирпичная дом 7   помещение 43</t>
  </si>
  <si>
    <t>ИП Бабир Анатолий Николаевич</t>
  </si>
  <si>
    <t>390500177812</t>
  </si>
  <si>
    <t>ИП3903000834</t>
  </si>
  <si>
    <t>ИП390300083400000</t>
  </si>
  <si>
    <t>238326 Калининградская область город Зеленоградск проспект Курортный дом 19   квартира 2а</t>
  </si>
  <si>
    <t>ИП390300083400001</t>
  </si>
  <si>
    <t>236040 Калининградская область город Калининград улица Профессора Баранова 34  XLIX из литеры А</t>
  </si>
  <si>
    <t>ИП Яцкевич Александр Петрович</t>
  </si>
  <si>
    <t>390500295862</t>
  </si>
  <si>
    <t>ИП3903003052</t>
  </si>
  <si>
    <t>ИП390300305200002</t>
  </si>
  <si>
    <t>236040 Калининградская область город Калининград площадь Победы дом 10  Литера III из Литера "А"</t>
  </si>
  <si>
    <t>ИП390300305200003</t>
  </si>
  <si>
    <t>238590 Калининградская область Пионерск Комсомольская  10</t>
  </si>
  <si>
    <t>ИП Ещенко Елена Евгеньевна</t>
  </si>
  <si>
    <t>390500497442</t>
  </si>
  <si>
    <t>ИП3903009447</t>
  </si>
  <si>
    <t>ИП390300944700000</t>
  </si>
  <si>
    <t>236006 Калининградская область город Калининград проспект Ленинский дом 47-61   нежилое помещение литер VIII</t>
  </si>
  <si>
    <t>ИП390300944700003</t>
  </si>
  <si>
    <t>236040 Калининградская область Калининград Профессора Баранова 1   70</t>
  </si>
  <si>
    <t>ИП390300944700004</t>
  </si>
  <si>
    <t>236040 Калининградская область город Калининград площадь Победы дом 10   литера III из Литера "А"</t>
  </si>
  <si>
    <t>ИП Козлов Евгений Алексеевич</t>
  </si>
  <si>
    <t>390500815543</t>
  </si>
  <si>
    <t>ИП3903005472</t>
  </si>
  <si>
    <t>ИП390300547200004</t>
  </si>
  <si>
    <t>238535 Калининградская область участковое лесничество "Золотые Дюны" квартал 17 выдел 5   торговый павильон</t>
  </si>
  <si>
    <t>ИП Аличева Елена Александровна</t>
  </si>
  <si>
    <t>390503024290</t>
  </si>
  <si>
    <t>ИП3903003004</t>
  </si>
  <si>
    <t>ИП390300300400000</t>
  </si>
  <si>
    <t>238535 Калининградская область поселок Рыбачий   высота "Эфа"  19</t>
  </si>
  <si>
    <t>ИП Прокофьева Елена Юрьевна</t>
  </si>
  <si>
    <t>390503078048</t>
  </si>
  <si>
    <t>ИП3903020108</t>
  </si>
  <si>
    <t>ИП390302010800000</t>
  </si>
  <si>
    <t>238535 Калининградская область поселок Рыбачий   высота "Эфа"  25</t>
  </si>
  <si>
    <t>ИП390302010800003</t>
  </si>
  <si>
    <t>238560 Калининградская область город Светлогорск площадь Центральная дом 2   помещение 1</t>
  </si>
  <si>
    <t>ИП Зайцева Галина Александровна</t>
  </si>
  <si>
    <t>390505273661</t>
  </si>
  <si>
    <t>ИП3903017135</t>
  </si>
  <si>
    <t>ИП390301713500000</t>
  </si>
  <si>
    <t>238560 Калининградская область город Светлогорск улица Гагарина дом 11 1 этаж</t>
  </si>
  <si>
    <t>ИП390301713500001</t>
  </si>
  <si>
    <t>236022 Калининградская область город Калининград проспект Мира дом 18-20А</t>
  </si>
  <si>
    <t>ИП390301713500002</t>
  </si>
  <si>
    <t>238326 Калининградская область город Зеленоградск улица Тургенева дом 3Б</t>
  </si>
  <si>
    <t>ИП390301713500004</t>
  </si>
  <si>
    <t>238560 Калининградская область город Светлогорск переулок Береговой здание 2А</t>
  </si>
  <si>
    <t>ИП390301713500005</t>
  </si>
  <si>
    <t>238560 Калининградская область город Светлогорск улица Ленина и улица Динамо вдоль теннисных кортов</t>
  </si>
  <si>
    <t>ИП390301713500006</t>
  </si>
  <si>
    <t>238326 Калининградская область город Зеленоградск проспект Курортный дом 14</t>
  </si>
  <si>
    <t>ИП Трапезникова Ксения Андреевна</t>
  </si>
  <si>
    <t>390505399181</t>
  </si>
  <si>
    <t>ИП3903039338</t>
  </si>
  <si>
    <t>ИП390303933800000</t>
  </si>
  <si>
    <t>236006 Калининградская область город Калининград улица Кирпичная дом 7</t>
  </si>
  <si>
    <t>ООО "ЯНТАРНАЯ ВОЛНА"</t>
  </si>
  <si>
    <t>3905060499</t>
  </si>
  <si>
    <t>ЮЛ3903002082</t>
  </si>
  <si>
    <t>ЮЛ390300208200000</t>
  </si>
  <si>
    <t>238326 Калининградская область город Зеленоградск проспект Курортный дом 27</t>
  </si>
  <si>
    <t>ИП Скрябина Елена Олеговна</t>
  </si>
  <si>
    <t>390507301427</t>
  </si>
  <si>
    <t>ИП3903014618</t>
  </si>
  <si>
    <t>ИП390301461800000</t>
  </si>
  <si>
    <t>236006 Калининградская область город Калининград улица Литовский Вал дом 105А ОО ВМК СЛ "Волна" эллинг 139 литер И</t>
  </si>
  <si>
    <t>ИП390301461800002</t>
  </si>
  <si>
    <t>236001 Калининградская область город Зеленоградск ул. Чистые пруды д. 1 А</t>
  </si>
  <si>
    <t>ИП390301461800004</t>
  </si>
  <si>
    <t>236006 Калининградская область город Калининград улица Литовский Вал  154Б  1</t>
  </si>
  <si>
    <t>ИП390301461800005</t>
  </si>
  <si>
    <t>236017 Калининградская область город Калининград улица Нахимова дом 2</t>
  </si>
  <si>
    <t>ИП390301461800006</t>
  </si>
  <si>
    <t>236006 Калининградская область город Калининград улица Литовский Вал  154Б  2</t>
  </si>
  <si>
    <t>ИП390301461800007</t>
  </si>
  <si>
    <t>236011 Калининградская область город Калининград улица Батальная дом 75</t>
  </si>
  <si>
    <t>ИП Васильев Сергей Валерьевич</t>
  </si>
  <si>
    <t>390508418474</t>
  </si>
  <si>
    <t>ИП3903005499</t>
  </si>
  <si>
    <t>ИП390300549900000</t>
  </si>
  <si>
    <t>236010 Калининградская область город Калининград улица Белинского дом 42  Литер XXII</t>
  </si>
  <si>
    <t>ИП390300549900001</t>
  </si>
  <si>
    <t>236022 Калининградская область город Калининград улица К.Маркса дом 18  Б 11</t>
  </si>
  <si>
    <t>ИП Стрельник Андрей Александрович</t>
  </si>
  <si>
    <t>390508667390</t>
  </si>
  <si>
    <t>ИП3903010495</t>
  </si>
  <si>
    <t>ИП390301049500000</t>
  </si>
  <si>
    <t>236022 Калининградская область город Калининград улица К.Маркса дом 108   пом 9</t>
  </si>
  <si>
    <t>ИП390301049500001</t>
  </si>
  <si>
    <t>236044 Калининградская область город Калининград улица Интернациональная дом 30</t>
  </si>
  <si>
    <t>ИП Астафьева Ирина Викторовна</t>
  </si>
  <si>
    <t>390512313548</t>
  </si>
  <si>
    <t>ИП3903017726</t>
  </si>
  <si>
    <t>ИП390301772600000</t>
  </si>
  <si>
    <t>238560 Калининградская область город Светлогорск площадь Центральная здание 1 корпус 1  помещение 2а</t>
  </si>
  <si>
    <t>ИП Вохмякова Алина Олеговна</t>
  </si>
  <si>
    <t>390512700321</t>
  </si>
  <si>
    <t>ИП3903034433</t>
  </si>
  <si>
    <t>ИП390303443300000</t>
  </si>
  <si>
    <t>236006 Калининградская область город Калининград улица Канта здание 1 павильон 7</t>
  </si>
  <si>
    <t>ИП390303443300001</t>
  </si>
  <si>
    <t>236006 Калининградская область город Калининград проспект Ленинский дом 17-19   помещение 3</t>
  </si>
  <si>
    <t>ИП Павлова Юлия Сергеевна</t>
  </si>
  <si>
    <t>390517054061</t>
  </si>
  <si>
    <t>ИП3903012806</t>
  </si>
  <si>
    <t>ИП390301280600000</t>
  </si>
  <si>
    <t>238560 Калининградская область город Светлогорск ул. Ленина д. 15   пом. 6</t>
  </si>
  <si>
    <t>ИП Мукасеев Дмитрий Игоревич</t>
  </si>
  <si>
    <t>390517455507</t>
  </si>
  <si>
    <t>ИП3903038213</t>
  </si>
  <si>
    <t>ИП390303821300000</t>
  </si>
  <si>
    <t>238326 Калининградская область город Зеленоградск улица Володарского дом 5   помещение 4</t>
  </si>
  <si>
    <t>ИП Московченко Оксана Николаевна</t>
  </si>
  <si>
    <t>390522211584</t>
  </si>
  <si>
    <t>ИП3903039152</t>
  </si>
  <si>
    <t>ИП390303915200000</t>
  </si>
  <si>
    <t>236022 Калининградская область город Калининград проспект Гвардейский дом 3   Помещение VII</t>
  </si>
  <si>
    <t>ИП Саркисьян Марина Васильевна</t>
  </si>
  <si>
    <t>390527539499</t>
  </si>
  <si>
    <t>ИП3903037251</t>
  </si>
  <si>
    <t>ИП390303725100000</t>
  </si>
  <si>
    <t>238324 Калининградская область поселок Орловка кольцо Приморское здание 2   помещение №CXLIV</t>
  </si>
  <si>
    <t>ИП390303725100001</t>
  </si>
  <si>
    <t>236040 Калининградская область город Калининград улица Черняховского дом 15   торговое место №Б-07/08/09/10</t>
  </si>
  <si>
    <t>ИП Мирзабеков Вартан Маркович</t>
  </si>
  <si>
    <t>390560043161</t>
  </si>
  <si>
    <t>ИП3903004935</t>
  </si>
  <si>
    <t>ИП390300493500004</t>
  </si>
  <si>
    <t>238560 Калининградская область город Светлогорск улица Октябрьская дом 23 помещ III</t>
  </si>
  <si>
    <t>ИП390300493500005</t>
  </si>
  <si>
    <t>236006 Калининградская область город Калининград улица С.Тюленина дом 6-8</t>
  </si>
  <si>
    <t>ИП Мацуль Николай Михайлович</t>
  </si>
  <si>
    <t>390600220437</t>
  </si>
  <si>
    <t>ИП3903003922</t>
  </si>
  <si>
    <t>ИП390300392200000</t>
  </si>
  <si>
    <t>238750 Калининградская область город Советск улица Ленина дом 3А</t>
  </si>
  <si>
    <t>ИП390300392200001</t>
  </si>
  <si>
    <t>238710 Калининградская область город Неман улица Победы дом 38</t>
  </si>
  <si>
    <t>ИП390300392200002</t>
  </si>
  <si>
    <t>238750 Калининградская область город Советск улица Победы дом 15А</t>
  </si>
  <si>
    <t>ИП390300392200008</t>
  </si>
  <si>
    <t>238150 Калининградская область город Черняховск улица Ленина дом 16   1Б</t>
  </si>
  <si>
    <t>ИП390300392200010</t>
  </si>
  <si>
    <t>238150 Калининградская область город Черняховск улица Ленина дом 33</t>
  </si>
  <si>
    <t>ИП390300392200011</t>
  </si>
  <si>
    <t>238055 Калининградская область город Гусев улица Менделеева дом 14</t>
  </si>
  <si>
    <t>ИП390300392200012</t>
  </si>
  <si>
    <t>238520 Калининградская область город Балтийск улица Садовая дом 1</t>
  </si>
  <si>
    <t>ИП390300392200013</t>
  </si>
  <si>
    <t>238150 Калининградская область город Черняховск площадь Ленина дом 1</t>
  </si>
  <si>
    <t>ИП390300392200015</t>
  </si>
  <si>
    <t>236001 Калининградская область город Калининград улица Генерала Челнокова дом 11</t>
  </si>
  <si>
    <t>ИП390300392200019</t>
  </si>
  <si>
    <t>238420 Калининградская область город Багратионовск улица Иркутско-Пинской Дивизии дом 13</t>
  </si>
  <si>
    <t>ИП390300392200020</t>
  </si>
  <si>
    <t>238210 Калининградская область город Гвардейск площадь Победы дом 2А</t>
  </si>
  <si>
    <t>ИП390300392200021</t>
  </si>
  <si>
    <t>236039 Калининградская область город Калининград проспект Ленинский дом 40-42А</t>
  </si>
  <si>
    <t>ИП390300392200027</t>
  </si>
  <si>
    <t>238300 Калининградская область город Гурьевск улица Советская здание 2В</t>
  </si>
  <si>
    <t>ИП390300392200031</t>
  </si>
  <si>
    <t>238750 Калининградская область город Советск улица Смоленская здание 3   108</t>
  </si>
  <si>
    <t>ИП390300392200033</t>
  </si>
  <si>
    <t>238326 Калининградская область город Зеленоградск улица Окружная дом 5   4</t>
  </si>
  <si>
    <t>ИП390300392200034</t>
  </si>
  <si>
    <t>238563 Калининградская область город Светлогорск проспект Калининградский дом 3   7</t>
  </si>
  <si>
    <t>ИП390300392200036</t>
  </si>
  <si>
    <t>238300 Калининградская область город Гурьевск улица Каштановая здание 1А   помещение 4</t>
  </si>
  <si>
    <t>ИП390300392200037</t>
  </si>
  <si>
    <t>236010 Калининградская область город Калининград проспект Победы дом 137   помещение 8</t>
  </si>
  <si>
    <t>ИП390300392200038</t>
  </si>
  <si>
    <t>238560 Калининградская область город Светлогорск проспект Калининградский дом 79А</t>
  </si>
  <si>
    <t>ИП Печникова Леонтина Антоновна</t>
  </si>
  <si>
    <t>390600681822</t>
  </si>
  <si>
    <t>ИП3903038858</t>
  </si>
  <si>
    <t>ИП390303885800000</t>
  </si>
  <si>
    <t>236040 Калининградская область город Калининград улица Профессора Баранова дом 34</t>
  </si>
  <si>
    <t>ИП Зайцев Юрий Константинович</t>
  </si>
  <si>
    <t>390600698456</t>
  </si>
  <si>
    <t>ИП3903004946</t>
  </si>
  <si>
    <t>ИП390300494600001</t>
  </si>
  <si>
    <t>238560 Калининградская область город Светлогорск ул Ленина 15   пом 7</t>
  </si>
  <si>
    <t>ИП Тимофеева Марина Николаевна</t>
  </si>
  <si>
    <t>390600835825</t>
  </si>
  <si>
    <t>ИП3903033949</t>
  </si>
  <si>
    <t>ИП390303394900000</t>
  </si>
  <si>
    <t>236040 Калининградская область город Калининград улица Черняховского дом 15   торговое место № Гц-01</t>
  </si>
  <si>
    <t>ИП Суслов Лев Анатольевич</t>
  </si>
  <si>
    <t>390603217986</t>
  </si>
  <si>
    <t>ИП3903039339</t>
  </si>
  <si>
    <t>ИП390303933900001</t>
  </si>
  <si>
    <t>236007 Калининградская область город Калининград улица Д.Донского, пересечение пр. Победы    торговая площадь 5 кв.м.</t>
  </si>
  <si>
    <t>ИП390303933900002</t>
  </si>
  <si>
    <t>236016 Калининградская область город Калининград площадь Маршала Василевского дом 1   торговое место 8</t>
  </si>
  <si>
    <t>ИП Земцова Светлана Николаевна</t>
  </si>
  <si>
    <t>390604824285</t>
  </si>
  <si>
    <t>ИП3903016498</t>
  </si>
  <si>
    <t>ИП390301649800000</t>
  </si>
  <si>
    <t>238535 Калининградская область поселок Рыбачий улица Лесная дом 7</t>
  </si>
  <si>
    <t>ИП Ельцова Елена Викторовна</t>
  </si>
  <si>
    <t>390605234345</t>
  </si>
  <si>
    <t>ИП3903008636</t>
  </si>
  <si>
    <t>ИП390300863600000</t>
  </si>
  <si>
    <t>238326 Калининградская область город Зеленоградск проспект Курортный дом 21   помещение IV</t>
  </si>
  <si>
    <t>ИП390300863600001</t>
  </si>
  <si>
    <t>238326 Калининградская область город Зеленоградск улица Володарского дом 5   помещение 6</t>
  </si>
  <si>
    <t>ИП390300863600002</t>
  </si>
  <si>
    <t>236016 Калининградская область город Калининград площадь Маршала Василевского здание 1</t>
  </si>
  <si>
    <t>ИП390300863600003</t>
  </si>
  <si>
    <t>238530 Калининградская область город Зеленоградск улица Пушкина дом 1   помещение 5</t>
  </si>
  <si>
    <t>ИП390300863600004</t>
  </si>
  <si>
    <t>236006 Калининградская область город Калининград улица Октябрьская дом 12   19</t>
  </si>
  <si>
    <t>ИП Вартанова Диана Юрьевна</t>
  </si>
  <si>
    <t>390605492000</t>
  </si>
  <si>
    <t>ИП3903039211</t>
  </si>
  <si>
    <t>ИП390303921100000</t>
  </si>
  <si>
    <t>236040 Калининградская область город Калининград улица Черняховского дом 15 торговое место б-16</t>
  </si>
  <si>
    <t>ИП Подольская Елена Олеговна</t>
  </si>
  <si>
    <t>390609466097</t>
  </si>
  <si>
    <t>ИП3903014762</t>
  </si>
  <si>
    <t>ИП390301476200000</t>
  </si>
  <si>
    <t>236043 Калининградская область город Калининград улица Куприна дом 20</t>
  </si>
  <si>
    <t>ИП Семенченко Ирина Владимировна</t>
  </si>
  <si>
    <t>390611556630</t>
  </si>
  <si>
    <t>ИП3903038347</t>
  </si>
  <si>
    <t>ИП390303834700000</t>
  </si>
  <si>
    <t>238150 Калининградская область город Черняховск улица Калининградская дом 2 помещение №А-23/1</t>
  </si>
  <si>
    <t>ООО "ТРИАДА-ИНТЕРЬЕР"</t>
  </si>
  <si>
    <t>3906116169</t>
  </si>
  <si>
    <t>ЮЛ3903008919</t>
  </si>
  <si>
    <t>ЮЛ390300891900001</t>
  </si>
  <si>
    <t>238520 Калининградская область город Балтийск проспект Ленина дом 65 помещение № А-23/1</t>
  </si>
  <si>
    <t>ЮЛ390300891900002</t>
  </si>
  <si>
    <t>236023 Калининградская область город Калининград проспект Советский дом 159 помещение № А-13/2</t>
  </si>
  <si>
    <t>ЮЛ390300891900003</t>
  </si>
  <si>
    <t>236013 Калининградская область город Калининград улица Алданская дом 11-13</t>
  </si>
  <si>
    <t>ЮЛ390300891900004</t>
  </si>
  <si>
    <t>236041 Калининградская область город Калининград улица Старшины Дадаева дом 62   помещение №10</t>
  </si>
  <si>
    <t>ЮЛ390300891900006</t>
  </si>
  <si>
    <t>236011 Калининградская область город Калининград улица У.Громовой дом 30 помещение №А-9.1</t>
  </si>
  <si>
    <t>ЮЛ390300891900007</t>
  </si>
  <si>
    <t>238750 Калининградская область город Советск улица Искры дом 1 Помещение № А-4.1</t>
  </si>
  <si>
    <t>ЮЛ390300891900009</t>
  </si>
  <si>
    <t>238050 Калининградская область город Гусев проспект Ленина дом 21А помещение №А-14.1</t>
  </si>
  <si>
    <t>ЮЛ390300891900010</t>
  </si>
  <si>
    <t>238750 Калининградская область город Советск улица Победы дом 46- 48 помещение №А-9</t>
  </si>
  <si>
    <t>ЮЛ390300891900011</t>
  </si>
  <si>
    <t>236006 Калининградская область город Калининград улица Театральная дом 21 Помещение №А-6/1</t>
  </si>
  <si>
    <t>ЮЛ390300891900012</t>
  </si>
  <si>
    <t>236001 Калининградская область город Калининград улица Генерала Челнокова дом 11 Помещение №03-А лит. "Ж"</t>
  </si>
  <si>
    <t>ЮЛ390300891900013</t>
  </si>
  <si>
    <t>236003 Калининградская область город Калининград проспект Московский дом 171 А Помещение №А-12.1</t>
  </si>
  <si>
    <t>ЮЛ390300891900014</t>
  </si>
  <si>
    <t>236001 Калининградская область город Калининград улица Баранова дом 30 улица Горького дом 2 Помещение №А-39/1.1</t>
  </si>
  <si>
    <t>ЮЛ390300891900015</t>
  </si>
  <si>
    <t>236040 Калининградская область город Калининград улица Горького/ Профессора Баранова 2/30   на первом этаже магазин № 10</t>
  </si>
  <si>
    <t>ИП Крючкова Елена Константиновна</t>
  </si>
  <si>
    <t>390611643473</t>
  </si>
  <si>
    <t>ИП3903020304</t>
  </si>
  <si>
    <t>ИП390302030400000</t>
  </si>
  <si>
    <t>236022 Калининградская область город Калининград проспект Мира дом 84</t>
  </si>
  <si>
    <t>ИП390302030400001</t>
  </si>
  <si>
    <t>236022 Калининградская область город Калининград проезд Октябрьский 1-й,  проезд Октябрьский 2-й 53-55, 2-8 1-3 XIII  из лит А</t>
  </si>
  <si>
    <t>ИП Карпенко Анна Витальевна</t>
  </si>
  <si>
    <t>390611794240</t>
  </si>
  <si>
    <t>ИП3903011216</t>
  </si>
  <si>
    <t>ИП390301121600001</t>
  </si>
  <si>
    <t>ИП Трусова Мария Андреевна</t>
  </si>
  <si>
    <t>390611906436</t>
  </si>
  <si>
    <t>ИП3903040211</t>
  </si>
  <si>
    <t>ИП390304021100000</t>
  </si>
  <si>
    <t>ИП390304021100001</t>
  </si>
  <si>
    <t>ИП390304021100002</t>
  </si>
  <si>
    <t>236040 Калининградская область город Калининград улица Профессора Баранова здание 41</t>
  </si>
  <si>
    <t>ИП Подольский Евгений Олегович</t>
  </si>
  <si>
    <t>390612651519</t>
  </si>
  <si>
    <t>ИП3903030384</t>
  </si>
  <si>
    <t>ИП390303038400000</t>
  </si>
  <si>
    <t>236006 Калининградская область город Калининград проспект Ленинский дом 20-26  литер IV</t>
  </si>
  <si>
    <t>ИП Зайцева Анастасия Викторовна</t>
  </si>
  <si>
    <t>390612856700</t>
  </si>
  <si>
    <t>ИП3903038923</t>
  </si>
  <si>
    <t>ИП390303892300000</t>
  </si>
  <si>
    <t>236006 Калининградская область город Калининград проспект Ленинский ориентир д. 6-8</t>
  </si>
  <si>
    <t>ИП390303892300001</t>
  </si>
  <si>
    <t>238563 Калининградская область город Светлогорск ул.Динамо   д.10"А"    НТО-павильон с р/н 166</t>
  </si>
  <si>
    <t>ИП390303892300002</t>
  </si>
  <si>
    <t>238535 Калининградская область поселок Рыбачий Национальный парк "Куршская коса"    Маршрут "Танцующий лес", 1 место</t>
  </si>
  <si>
    <t>ИП Свитина Татьяна Мечиславовна</t>
  </si>
  <si>
    <t>390612957803</t>
  </si>
  <si>
    <t>ИП3903039099</t>
  </si>
  <si>
    <t>ИП390303909900000</t>
  </si>
  <si>
    <t>236016 Калининградская область город Калининград улица Литовский Вал дом 5 бастион "Обертайх" А</t>
  </si>
  <si>
    <t>ИП Гудовщиков Вадим Юрьевич</t>
  </si>
  <si>
    <t>390613130526</t>
  </si>
  <si>
    <t>ИП3903040959</t>
  </si>
  <si>
    <t>ИП390304095900000</t>
  </si>
  <si>
    <t>236016 Калининградская область город Калининград площадь Маршала Василевского дом 1</t>
  </si>
  <si>
    <t>ИП Одинец Наталья Олеговна</t>
  </si>
  <si>
    <t>390613403389</t>
  </si>
  <si>
    <t>ИП3903016306</t>
  </si>
  <si>
    <t>ИП390301630600000</t>
  </si>
  <si>
    <t>236006 Калининградская область город Калининград проспект Московский дом 40   офис 209</t>
  </si>
  <si>
    <t>ИП Хохлов Евгений Павлович</t>
  </si>
  <si>
    <t>390614231686</t>
  </si>
  <si>
    <t>ИП3903003716</t>
  </si>
  <si>
    <t>ИП390300371600000</t>
  </si>
  <si>
    <t>236022 Калининградская область город Калининград проспект Мира дом 23/27   Помещение № А-3</t>
  </si>
  <si>
    <t>ООО "МОНОПОЛИЯ"</t>
  </si>
  <si>
    <t>3906143483</t>
  </si>
  <si>
    <t>ЮЛ3903000929</t>
  </si>
  <si>
    <t>ЮЛ390300092900000</t>
  </si>
  <si>
    <t>236003 Калининградская область город Калининград проспект Московский здание 175В   10</t>
  </si>
  <si>
    <t>ООО "ОТЕЛИ БАЛТИКИ"</t>
  </si>
  <si>
    <t>3906149245</t>
  </si>
  <si>
    <t>ЮЛ3903037333</t>
  </si>
  <si>
    <t>ЮЛ390303733300000</t>
  </si>
  <si>
    <t>238520 Калининградская область город Балтийск улица Пионерская дом 2</t>
  </si>
  <si>
    <t>ЮЛ390303733300002</t>
  </si>
  <si>
    <t>236022 Калининградская область город Калининград улица Генерал-лейтенанта Озерова дом 17Б</t>
  </si>
  <si>
    <t>ИП Зюськин Артём Витальевич</t>
  </si>
  <si>
    <t>390615161015</t>
  </si>
  <si>
    <t>ИП3903005432</t>
  </si>
  <si>
    <t>ИП390300543200001</t>
  </si>
  <si>
    <t>236022 Калининградская область город Калининград проезд Октябрьский 1-й, проезд Октябрьский 2-й дом 53-55, 2-8, 1-3  А XIII из лит А</t>
  </si>
  <si>
    <t>ИП390300543200002</t>
  </si>
  <si>
    <t>236006 Калининградская область город Калининград проспект Ленинский дом 20-26   помещение IX</t>
  </si>
  <si>
    <t>ИП Губчик Ольга Викторовна</t>
  </si>
  <si>
    <t>390615347997</t>
  </si>
  <si>
    <t>ИП3903004948</t>
  </si>
  <si>
    <t>ИП390300494800000</t>
  </si>
  <si>
    <t>238560 Калининградская область город Светлогорск улица Ленина дом 15 пом 1</t>
  </si>
  <si>
    <t>ИП390300494800001</t>
  </si>
  <si>
    <t>236040 Калининградская область город Калининград улица Черняховского дом 15 XXIX из литера А7  помещение 1</t>
  </si>
  <si>
    <t>ООО "СИГМА БАЛТИЯ ЛОМБАРД"</t>
  </si>
  <si>
    <t>3906182764</t>
  </si>
  <si>
    <t>ЮЛ3903006457</t>
  </si>
  <si>
    <t>ЮЛ390300645700000</t>
  </si>
  <si>
    <t>236023 Калининградская область город Калининград улица Космонавта Леонова дом 52А</t>
  </si>
  <si>
    <t>ЮЛ390300645700001</t>
  </si>
  <si>
    <t>236011 Калининградская область город Калининград улица Батальная дом 46-54</t>
  </si>
  <si>
    <t>ЮЛ390300645700002</t>
  </si>
  <si>
    <t>236006 Калининградская область город Калининград проспект Ленинский дом 21-25</t>
  </si>
  <si>
    <t>ЮЛ390300645700003</t>
  </si>
  <si>
    <t>236006 Калининградская область город Калининград проспект Московский дом 133Г</t>
  </si>
  <si>
    <t>ЮЛ390300645700004</t>
  </si>
  <si>
    <t>236006 Калининградская область город Калининград улица Барнаульская дом 2А</t>
  </si>
  <si>
    <t>ЮЛ390300645700005</t>
  </si>
  <si>
    <t>236029 Калининградская область город Калининград улица Горького дом 197</t>
  </si>
  <si>
    <t>ЮЛ390300645700006</t>
  </si>
  <si>
    <t>236016 Калининградская область город Калининград улица Фрунзе дом 26</t>
  </si>
  <si>
    <t>ЮЛ390300645700007</t>
  </si>
  <si>
    <t>236038 Калининградская область город Калининград улица Юрия Гагарина дом 106 - литер Ж-Ж1 -</t>
  </si>
  <si>
    <t>ООО "АМУЛЕТ"</t>
  </si>
  <si>
    <t>3906236314</t>
  </si>
  <si>
    <t>ЮЛ3903001436</t>
  </si>
  <si>
    <t>ЮЛ390300143600000</t>
  </si>
  <si>
    <t>236006 Калининградская область город Калининград улица Канта дом 1 павильон 4</t>
  </si>
  <si>
    <t>ООО "ДЕМИДОВА И"</t>
  </si>
  <si>
    <t>3906281483</t>
  </si>
  <si>
    <t>ЮЛ3903012857</t>
  </si>
  <si>
    <t>ЮЛ390301285700001</t>
  </si>
  <si>
    <t>236010 Калининградская область город Калининград улица набережная Правая дом 21   помещение IX</t>
  </si>
  <si>
    <t>ООО "АМБЕРДЖЕМ"</t>
  </si>
  <si>
    <t>3906308262</t>
  </si>
  <si>
    <t>ЮЛ3903000901</t>
  </si>
  <si>
    <t>ЮЛ390300090100000</t>
  </si>
  <si>
    <t>236006 Калининградская область город Калининград улица Кирпичная дом 7  литер А помещение 14,15,16,17,43,44</t>
  </si>
  <si>
    <t>ООО "БАЛТИЙСКАЯ ВОЛНА"</t>
  </si>
  <si>
    <t>3906333188</t>
  </si>
  <si>
    <t>ЮЛ3903001048</t>
  </si>
  <si>
    <t>ЮЛ390300104800000</t>
  </si>
  <si>
    <t>236040 Калининградская область город Калининград улица Гаражная дом 2  Литер IV из Литера Б, б, б1 кабинет №300,301,302,303,304</t>
  </si>
  <si>
    <t>ООО "ЗОЛОТАЯ КУЗНИЦА"</t>
  </si>
  <si>
    <t>3906355488</t>
  </si>
  <si>
    <t>ЮЛ3903001804</t>
  </si>
  <si>
    <t>ЮЛ390300180400000</t>
  </si>
  <si>
    <t>236006 Калининградская область город Калининград улица набережная Правая дом 21  литер X помещение 58</t>
  </si>
  <si>
    <t>ООО "АМБЕРТИМ"</t>
  </si>
  <si>
    <t>3906364524</t>
  </si>
  <si>
    <t>ЮЛ3903000286</t>
  </si>
  <si>
    <t>ЮЛ390300028600000</t>
  </si>
  <si>
    <t>236039 Калининградская область г. Калининград ул. Суворова дом 54У   офис 207</t>
  </si>
  <si>
    <t>ООО "ТОРГОВЫЙ ДОМ "УНИЯ"</t>
  </si>
  <si>
    <t>3906365736</t>
  </si>
  <si>
    <t>ЮЛ3903006523</t>
  </si>
  <si>
    <t>ЮЛ390300652300000</t>
  </si>
  <si>
    <t>236011 Калининградская область город Калининград улица У.Громовой дом 5/7   помещение IV</t>
  </si>
  <si>
    <t>ООО "ЛОМБАРД 39 ИНФО"</t>
  </si>
  <si>
    <t>3906366024</t>
  </si>
  <si>
    <t>ЮЛ3903010192</t>
  </si>
  <si>
    <t>ЮЛ390301019200000</t>
  </si>
  <si>
    <t>236016 Калининградская область город Калининград улица Фрунзе дом 105 цокольный этаж литер А магазин №28</t>
  </si>
  <si>
    <t>ООО "АМБЕР РИВ"</t>
  </si>
  <si>
    <t>3906376008</t>
  </si>
  <si>
    <t>ЮЛ3903010814</t>
  </si>
  <si>
    <t>ЮЛ390301081400000</t>
  </si>
  <si>
    <t>236006 Калининградская область город Калининград улица Виктора Гюго дом 1 помещение №10</t>
  </si>
  <si>
    <t>ЮЛ390301081400001</t>
  </si>
  <si>
    <t>238326 Калининградская область город Зеленоградск улица Герцена дом 5   помещение 1</t>
  </si>
  <si>
    <t>ЮЛ390301081400004</t>
  </si>
  <si>
    <t>238326 Калининградская область город Зеленоградск улица Вокзальная дом 2</t>
  </si>
  <si>
    <t>ЮЛ390301081400005</t>
  </si>
  <si>
    <t>236006 Калининградская область город Калининград улица Октябрьская дом 8</t>
  </si>
  <si>
    <t>ЮЛ390301081400007</t>
  </si>
  <si>
    <t>236040 Калининградская область город Калининград проезд Озерный дом 2</t>
  </si>
  <si>
    <t>ЮЛ390301081400008</t>
  </si>
  <si>
    <t>238326 Калининградская область город Зеленоградск переулок 3-й Московский дом 1   8</t>
  </si>
  <si>
    <t>ЮЛ390301081400009</t>
  </si>
  <si>
    <t>238560 Калининградская область Светлогорск пер. Береговой 2</t>
  </si>
  <si>
    <t>ЮЛ390301081400010</t>
  </si>
  <si>
    <t>238560 Калининградская область город Светлогорск улица Октябрьская дом 23</t>
  </si>
  <si>
    <t>ЮЛ390301081400011</t>
  </si>
  <si>
    <t>ООО "СИГМА ГОЛД"</t>
  </si>
  <si>
    <t>3906394769</t>
  </si>
  <si>
    <t>ЮЛ3903003847</t>
  </si>
  <si>
    <t>ЮЛ390300384700000</t>
  </si>
  <si>
    <t>ЮЛ390300384700001</t>
  </si>
  <si>
    <t>ЮЛ390300384700002</t>
  </si>
  <si>
    <t>ЮЛ390300384700003</t>
  </si>
  <si>
    <t>ЮЛ390300384700004</t>
  </si>
  <si>
    <t>ЮЛ390300384700005</t>
  </si>
  <si>
    <t>ЮЛ390300384700006</t>
  </si>
  <si>
    <t>ЮЛ390300384700007</t>
  </si>
  <si>
    <t>236022 Калининградская область город Калининград проспект Мира дом 89   офис 9</t>
  </si>
  <si>
    <t>ООО "БИАРТ"</t>
  </si>
  <si>
    <t>3906398185</t>
  </si>
  <si>
    <t>ЮЛ3903014649</t>
  </si>
  <si>
    <t>ЮЛ390301464900000</t>
  </si>
  <si>
    <t>236001 Калининградская область Город Калининград Улица Карла Маркса дом 18 Помещение III  помещение №37 - кабинет №504</t>
  </si>
  <si>
    <t>ООО "АМБЕРЕКС"</t>
  </si>
  <si>
    <t>3906407930</t>
  </si>
  <si>
    <t>ЮЛ3903002720</t>
  </si>
  <si>
    <t>ЮЛ390300272000000</t>
  </si>
  <si>
    <t>236006 Калининградская область город Калининград улица Фрунзе дом 6  Литер L из литера А помещение 26</t>
  </si>
  <si>
    <t>ООО МЕДЖИ</t>
  </si>
  <si>
    <t>3906414077</t>
  </si>
  <si>
    <t>ЮЛ3903038486</t>
  </si>
  <si>
    <t>ЮЛ390303848600000</t>
  </si>
  <si>
    <t>238150 Калининградская область город Черняховск улица Калинина дом 11</t>
  </si>
  <si>
    <t>ООО "ГОЛД ТАЙЛЕНД"</t>
  </si>
  <si>
    <t>3906960830</t>
  </si>
  <si>
    <t>ЮЛ3903003925</t>
  </si>
  <si>
    <t>ЮЛ390300392500000</t>
  </si>
  <si>
    <t>236022 Калининградская область город Калининград проспект Советский дом 6А</t>
  </si>
  <si>
    <t>ООО "ЛОМБАРД "ЗОЛОТОЙ ЖУК"</t>
  </si>
  <si>
    <t>3906972297</t>
  </si>
  <si>
    <t>ЮЛ3903000175</t>
  </si>
  <si>
    <t>ЮЛ390300017500000</t>
  </si>
  <si>
    <t>238560 Калининградская область город Светлогорск улица Ленина дом 11   помещение 24, 24а</t>
  </si>
  <si>
    <t>ООО "ВТОРОЕ СОЛНЦЕ"</t>
  </si>
  <si>
    <t>3906976012</t>
  </si>
  <si>
    <t>ЮЛ3903002955</t>
  </si>
  <si>
    <t>ЮЛ390300295500000</t>
  </si>
  <si>
    <t>236040 Калининградская область город Калининград улица Черняховского дом 30-40</t>
  </si>
  <si>
    <t>ООО "ЛОМБАРД ЛГ"</t>
  </si>
  <si>
    <t>3906978517</t>
  </si>
  <si>
    <t>ЮЛ3903010791</t>
  </si>
  <si>
    <t>ЮЛ390301079100006</t>
  </si>
  <si>
    <t>236039 Калининградская область город Калининград улица Б.Хмельницкого дом 21/23</t>
  </si>
  <si>
    <t>ИП Гавриш Татьяна Николаевна</t>
  </si>
  <si>
    <t>390700213458</t>
  </si>
  <si>
    <t>ИП3903000747</t>
  </si>
  <si>
    <t>ИП390300074700000</t>
  </si>
  <si>
    <t>236006 Калининградская область город  Калининград Ленинский проспект дом 33  литер А</t>
  </si>
  <si>
    <t>ИП390300074700001</t>
  </si>
  <si>
    <t>236006 Калининградская область город Калининград Ленинский проспект Дом 33  Литера Б</t>
  </si>
  <si>
    <t>ИП390300074700002</t>
  </si>
  <si>
    <t>236016 Калининградская область город Калининград площадь Маршала Василевского здание 1   помещение №2</t>
  </si>
  <si>
    <t>ИП Евдокимова Ольга Алексеевна</t>
  </si>
  <si>
    <t>390700218350</t>
  </si>
  <si>
    <t>ИП3903019005</t>
  </si>
  <si>
    <t>ИП390301900500000</t>
  </si>
  <si>
    <t>236005 Калининградская область город Калининград улица Киевская дом 79А</t>
  </si>
  <si>
    <t>ИП Пронин Анатолий Николаевич</t>
  </si>
  <si>
    <t>390700330440</t>
  </si>
  <si>
    <t>ИП3903017596</t>
  </si>
  <si>
    <t>ИП390301759600000</t>
  </si>
  <si>
    <t>238340 Калининградская область город Светлый улица Советская дом 5</t>
  </si>
  <si>
    <t>ИП390301759600002</t>
  </si>
  <si>
    <t>236016 Калининградская область город Калининград площадь Маршала Василевского дом 1   1 этаж</t>
  </si>
  <si>
    <t>ООО "КЕНИГСЛАНД"</t>
  </si>
  <si>
    <t>3907006345</t>
  </si>
  <si>
    <t>ЮЛ3903010391</t>
  </si>
  <si>
    <t>ЮЛ390301039100000</t>
  </si>
  <si>
    <t>236006 Калининградская область город Калининград Ленинский проспект/улица Генерала Соммера 35--37/2-4 Кадастровый номер 39:15:132316:1070  помещение 3</t>
  </si>
  <si>
    <t>ИП Меньшикова Марина Георгиевна</t>
  </si>
  <si>
    <t>390701188839</t>
  </si>
  <si>
    <t>ИП3903020174</t>
  </si>
  <si>
    <t>ИП390302017400000</t>
  </si>
  <si>
    <t>236016 Калининградская область город Калининград улица Черняховского ор-р дом 80</t>
  </si>
  <si>
    <t>ИП Степанов Виталий Николаевич</t>
  </si>
  <si>
    <t>390703028750</t>
  </si>
  <si>
    <t>ИП3903013921</t>
  </si>
  <si>
    <t>ИП390301392100000</t>
  </si>
  <si>
    <t>236001 Калининградская область город Калининград улица Согласия дом 44А   1 этаж</t>
  </si>
  <si>
    <t>ИП Мельдер Женя Владимировна</t>
  </si>
  <si>
    <t>390703144080</t>
  </si>
  <si>
    <t>ИП3903037881</t>
  </si>
  <si>
    <t>ИП390303788100000</t>
  </si>
  <si>
    <t>238326 Калининградская область город Зеленоградск проспект Курортный дом 19   помещение 2а</t>
  </si>
  <si>
    <t>ИП Зайцева Наталья Владимировна</t>
  </si>
  <si>
    <t>390703593286</t>
  </si>
  <si>
    <t>ИП3903001183</t>
  </si>
  <si>
    <t>ИП390300118300000</t>
  </si>
  <si>
    <t>236022 Калининградская область город Калининград Площадь Победы дом 10   помещение №144</t>
  </si>
  <si>
    <t>ИП Зайцев Леонид Викторович</t>
  </si>
  <si>
    <t>390703972421</t>
  </si>
  <si>
    <t>ИП3903010854</t>
  </si>
  <si>
    <t>ИП390301085400001</t>
  </si>
  <si>
    <t>238530 Калининградская область город Зеленоградск улица  Ленина  дом 1 строение А</t>
  </si>
  <si>
    <t>ИП Корнилов Сергей Александрович</t>
  </si>
  <si>
    <t>390704713518</t>
  </si>
  <si>
    <t>ИП3903016872</t>
  </si>
  <si>
    <t>ИП390301687200000</t>
  </si>
  <si>
    <t>238315 Калининградская область посёлок  Храброво  Аэропорт Часть нежилого помещения   зона ВВП</t>
  </si>
  <si>
    <t>ИП390301687200005</t>
  </si>
  <si>
    <t>238315 Калининградская область посёлок Храброво  Аэропорт здание 1  общая зона на 1 этаже здания аэровокзала , Золото Балтики</t>
  </si>
  <si>
    <t>ИП390301687200006</t>
  </si>
  <si>
    <t>238315 Калининградская область посёлок  Храброво   Аэропорт  Здание 1 нежилое помещение зона вылета ВВЛ 2  2 этаж зона ВВЛ</t>
  </si>
  <si>
    <t>ИП390301687200007</t>
  </si>
  <si>
    <t>236006 Калининградская область город Калининград проспект Ленинский 33А   магазин "Янтарная шкатулка"</t>
  </si>
  <si>
    <t>ИП Защеринская Ирина Анатольевна</t>
  </si>
  <si>
    <t>390704920306</t>
  </si>
  <si>
    <t>ИП3903032087</t>
  </si>
  <si>
    <t>ИП390303208700003</t>
  </si>
  <si>
    <t>236022 Калининградская область город Калининград улица Профессора Баранова/улица Горького Дом 30/Дом 2   Помещение № Н-2</t>
  </si>
  <si>
    <t>ИП Болычев Вадим Викторович</t>
  </si>
  <si>
    <t>390704933305</t>
  </si>
  <si>
    <t>ИП3903009433</t>
  </si>
  <si>
    <t>ИП390300943300002</t>
  </si>
  <si>
    <t>236044 Калининградская область город Калининград улица Интернациональная Дом 76   Помещение № А-19</t>
  </si>
  <si>
    <t>ИП390300943300006</t>
  </si>
  <si>
    <t>238560 Калининградская область Светлогорск Ленина 22</t>
  </si>
  <si>
    <t>ИП ВОДЧИЦ А. А.</t>
  </si>
  <si>
    <t>390705920813</t>
  </si>
  <si>
    <t>ИП3903036616</t>
  </si>
  <si>
    <t>ИП390303661600000</t>
  </si>
  <si>
    <t>236010 Калининградская область город Калининград улица проспект Мира дом 49/51  Литер: II из литера А</t>
  </si>
  <si>
    <t>ИП Баженова Тамара Павловна</t>
  </si>
  <si>
    <t>390706771441</t>
  </si>
  <si>
    <t>ИП3903010501</t>
  </si>
  <si>
    <t>ИП390301050100000</t>
  </si>
  <si>
    <t>238580 Калининградская область пгт Янтарный СНТ "Садовник" улица Вишневая дом 27</t>
  </si>
  <si>
    <t>ИП Швец Андрей Викторович</t>
  </si>
  <si>
    <t>390707224071</t>
  </si>
  <si>
    <t>ИП3903037286</t>
  </si>
  <si>
    <t>ИП390303728600000</t>
  </si>
  <si>
    <t>236029 Калининградская область город Калининград улица Большая окружная 4-ая дом 1А  литер "Е", "Е1" офис 58</t>
  </si>
  <si>
    <t>ООО "БАЛТИЙСКИЕ УЗОРЫ"</t>
  </si>
  <si>
    <t>3907203872</t>
  </si>
  <si>
    <t>ЮЛ3903002746</t>
  </si>
  <si>
    <t>ЮЛ390300274600000</t>
  </si>
  <si>
    <t>236006 Калининградская область город Калининград проспект Ленинский дом 37-39</t>
  </si>
  <si>
    <t>ИП Марк Людмила Александровна</t>
  </si>
  <si>
    <t>390800072698</t>
  </si>
  <si>
    <t>ИП3903015010</t>
  </si>
  <si>
    <t>ИП390301501000000</t>
  </si>
  <si>
    <t>236039 Калининградская область город Калининград улица А.Суворова дом 54   Помещение III</t>
  </si>
  <si>
    <t>ИП Астапенко Екатерина Павловна</t>
  </si>
  <si>
    <t>390801344753</t>
  </si>
  <si>
    <t>ИП3903005660</t>
  </si>
  <si>
    <t>ИП390300566000000</t>
  </si>
  <si>
    <t>236006 Калининградская область город Калининград улица Октябрьская 1А</t>
  </si>
  <si>
    <t>ИП Васильцова Ирина Владимировна</t>
  </si>
  <si>
    <t>390803086681</t>
  </si>
  <si>
    <t>ИП3903037287</t>
  </si>
  <si>
    <t>ИП390303728700000</t>
  </si>
  <si>
    <t>238326 Калининградская область город Зеленоградск проспект Курортный дом 23</t>
  </si>
  <si>
    <t>ИП Буслов Александр Александрович</t>
  </si>
  <si>
    <t>390804567860</t>
  </si>
  <si>
    <t>ИП3903001576</t>
  </si>
  <si>
    <t>ИП390300157600000</t>
  </si>
  <si>
    <t>236040 Калининградская область город Калининград улица Черняховского дом 15   торговое место №Б-02</t>
  </si>
  <si>
    <t>ИП Портяная Екатерина Петровна</t>
  </si>
  <si>
    <t>390804815810</t>
  </si>
  <si>
    <t>ИП3903007592</t>
  </si>
  <si>
    <t>ИП390300759200002</t>
  </si>
  <si>
    <t>236006 Калининградская область город Калининград улица В.Гюго дом 1 1 этаж  помещение №6</t>
  </si>
  <si>
    <t>ИП390300759200003</t>
  </si>
  <si>
    <t>238560 Калининградская область город Светлогорск улица Ленина дом 52 1 этаж  помещение №15Н</t>
  </si>
  <si>
    <t>ИП390300759200005</t>
  </si>
  <si>
    <t>236040 Калининградская область город Калининград улица Профессора Баранова здание 1, этаж 1   помещение 1</t>
  </si>
  <si>
    <t>ИП390300759200007</t>
  </si>
  <si>
    <t>236006 Калининградская область город Калининград улица Октябрьская дом 12    этаж 1, помещение 26</t>
  </si>
  <si>
    <t>ИП390300759200009</t>
  </si>
  <si>
    <t>236006 Калининградская область город Калининград улица Октябрьская дом 12   помещение 54</t>
  </si>
  <si>
    <t>ИП390300759200010</t>
  </si>
  <si>
    <t>236001 Калининградская область город Калининград площадь Победы 10   1-й этаж гостиницы "Рэдиссон Блу"</t>
  </si>
  <si>
    <t>ИП390300759200011</t>
  </si>
  <si>
    <t>236001 Калининградская область город Калининград улица Театральная дом 30   часть неж.помещения №2</t>
  </si>
  <si>
    <t>ИП390300759200012</t>
  </si>
  <si>
    <t>236022 Калининградская область город Калининград проспект Мира Дом 23/27 Помещение №А-3</t>
  </si>
  <si>
    <t>ИП Болычева Ирина Александровна</t>
  </si>
  <si>
    <t>390805560829</t>
  </si>
  <si>
    <t>ИП3903009440</t>
  </si>
  <si>
    <t>ИП390300944000000</t>
  </si>
  <si>
    <t>238560 Калининградская область город Светлогорск улица Октябрьская дом 8   помещение 15а</t>
  </si>
  <si>
    <t>ИП Купленский Игорь Альбертович</t>
  </si>
  <si>
    <t>391000025362</t>
  </si>
  <si>
    <t>ИП3903011272</t>
  </si>
  <si>
    <t>ИП390301127200000</t>
  </si>
  <si>
    <t>238326 Калининградская область город Зеленоградск улица Тургенева дом 3 "г"   часть стационарного нежилого (торгового) помещения</t>
  </si>
  <si>
    <t>ИП Кивлер Валентина Ивановна</t>
  </si>
  <si>
    <t>391000698054</t>
  </si>
  <si>
    <t>ИП3903038807</t>
  </si>
  <si>
    <t>ИП390303880700000</t>
  </si>
  <si>
    <t>238560 Калининградская область город Светлогорск улица Ленина дом 31А этаж №1 литер I подвал</t>
  </si>
  <si>
    <t>ИП Роденков Геннадий Михайлович</t>
  </si>
  <si>
    <t>391091513639</t>
  </si>
  <si>
    <t>ИП3903018624</t>
  </si>
  <si>
    <t>ИП390301862400000</t>
  </si>
  <si>
    <t>238750 Калининградская область город Советск улица Победы дом  9   магазин "Ювелир"</t>
  </si>
  <si>
    <t>ИП Потапов ВП</t>
  </si>
  <si>
    <t>391100226200</t>
  </si>
  <si>
    <t>ИП3903014071</t>
  </si>
  <si>
    <t>ИП390301407100000</t>
  </si>
  <si>
    <t>238750 Калининградская область город Советск улица Победы дом 7</t>
  </si>
  <si>
    <t>ИП Дмитриева Лариса Валентиновна</t>
  </si>
  <si>
    <t>391100937193</t>
  </si>
  <si>
    <t>ИП3903008221</t>
  </si>
  <si>
    <t>ИП390300822100000</t>
  </si>
  <si>
    <t>ИП Третьякова Оксана Анатольевна</t>
  </si>
  <si>
    <t>391200006180</t>
  </si>
  <si>
    <t>ИП3903039538</t>
  </si>
  <si>
    <t>ИП390303953800000</t>
  </si>
  <si>
    <t>236040 Калининградская область город Калининград улица Профессора Баранова здание 1 нежилое помещение № 88</t>
  </si>
  <si>
    <t>ИП390303953800001</t>
  </si>
  <si>
    <t>238560 Калининградская область город Светлогорск улица Московская дом 1А</t>
  </si>
  <si>
    <t>ИП Петухов Леонид Алексеевич</t>
  </si>
  <si>
    <t>391200032007</t>
  </si>
  <si>
    <t>ИП3903009962</t>
  </si>
  <si>
    <t>ИП390300996200000</t>
  </si>
  <si>
    <t>236040 Калининградская область город Калининград улица Черняховского дом 58-62   помещение V, этаж 1</t>
  </si>
  <si>
    <t>ИП Лижнёва Ольга Николаевна</t>
  </si>
  <si>
    <t>391200041080</t>
  </si>
  <si>
    <t>ИП3903032266</t>
  </si>
  <si>
    <t>ИП390303226600000</t>
  </si>
  <si>
    <t>238563 Калининградская область Светлогорск Ленина дом 15   помещение 8</t>
  </si>
  <si>
    <t>ИП Кузнецов Алексей Владимирович</t>
  </si>
  <si>
    <t>391200049970</t>
  </si>
  <si>
    <t>ИП3903012937</t>
  </si>
  <si>
    <t>ИП390301293700000</t>
  </si>
  <si>
    <t>238560 Калининградская область Светлогорск Центральная площадь дом 1 корпус 2  помещение III</t>
  </si>
  <si>
    <t>ИП390301293700002</t>
  </si>
  <si>
    <t>236006 Калининградская область город Калининград улица Литовский Вал дом 105А ОО ВМК СЛ "ВОЛНА"  эллинг №143</t>
  </si>
  <si>
    <t>ИП Хорев Борис Павлович</t>
  </si>
  <si>
    <t>391200098826</t>
  </si>
  <si>
    <t>ИП3903036615</t>
  </si>
  <si>
    <t>ИП390303661500000</t>
  </si>
  <si>
    <t>236006 Калининградская область город Калининград улица Октябрьская дом 8   помещение №18-20</t>
  </si>
  <si>
    <t>ИП Зайцев Сергей Евгеньевич</t>
  </si>
  <si>
    <t>391200119480</t>
  </si>
  <si>
    <t>ИП3903007621</t>
  </si>
  <si>
    <t>ИП390300762100001</t>
  </si>
  <si>
    <t>238560 Калининградская область город Светлогорск улица Гагарина дом 11А   помещение I</t>
  </si>
  <si>
    <t>ИП390300762100002</t>
  </si>
  <si>
    <t>238560 Калининградская область город Светлогорск проспект Калининградский дом 77В корпус №2 литер А</t>
  </si>
  <si>
    <t>ИП390300762100006</t>
  </si>
  <si>
    <t>238560 Калининградская область город Калининград В. Гюго 1 1  помещение 19</t>
  </si>
  <si>
    <t>ИП390300762100008</t>
  </si>
  <si>
    <t>236006 Калининградская область город Калининград проспект Ленинский 17/19</t>
  </si>
  <si>
    <t>ИП Симукова Раиса Александровна</t>
  </si>
  <si>
    <t>391200209744</t>
  </si>
  <si>
    <t>ИП3903038249</t>
  </si>
  <si>
    <t>ИП390303824900000</t>
  </si>
  <si>
    <t>238580 Калининградская область поселок городского типа Янтарный улица Вишнёвая дом 25</t>
  </si>
  <si>
    <t>ИП Темчура Алексей Викторович</t>
  </si>
  <si>
    <t>391200213042</t>
  </si>
  <si>
    <t>ИП3903038079</t>
  </si>
  <si>
    <t>ИП390303807900000</t>
  </si>
  <si>
    <t>ИП Бирючинская Елена Васильевна</t>
  </si>
  <si>
    <t>391200512677</t>
  </si>
  <si>
    <t>ИП3903038180</t>
  </si>
  <si>
    <t>ИП390303818000000</t>
  </si>
  <si>
    <t>236022 Калининградская область город Калининград улица К.Маркса дом 102 пом.VIII</t>
  </si>
  <si>
    <t>ИП390303818000001</t>
  </si>
  <si>
    <t>236006 Калининградская область город Калининград улица Кирпичная дом 7  Литер "I" из лит. "А" 1 этаж  -  помещение №62, №63, №64, №65, №66, №67, №68, №69, №70, №71. 2 этаж - помещение №46, №47, № 48, №49</t>
  </si>
  <si>
    <t>ООО "СУВЕНИРЫ БАЛТИКИ"</t>
  </si>
  <si>
    <t>3912005555</t>
  </si>
  <si>
    <t>ЮЛ3903003139</t>
  </si>
  <si>
    <t>ЮЛ390300313900000</t>
  </si>
  <si>
    <t>236016 Калининградская область город Калининград пл. Маршала Василевского д. 1</t>
  </si>
  <si>
    <t>ЮЛ390300313900002</t>
  </si>
  <si>
    <t>236006 Калининградская область город Калининград улица Кирпичная дом 7  Литер "I" из лит. "А" помещение 61</t>
  </si>
  <si>
    <t>ЮЛ390300313900003</t>
  </si>
  <si>
    <t>238326 Калининградская область город Зеленоградск переулок 2-й Московский дом 1 помещение IAI</t>
  </si>
  <si>
    <t>ИП Гратий Елена Михайловна</t>
  </si>
  <si>
    <t>391200587841</t>
  </si>
  <si>
    <t>ИП3903012310</t>
  </si>
  <si>
    <t>ИП390301231000000</t>
  </si>
  <si>
    <t>236006 Калининградская область город Калининград проспект Ленинский дом 47-61    помещение XV</t>
  </si>
  <si>
    <t>ООО "СМАЯНТ"</t>
  </si>
  <si>
    <t>3912006365</t>
  </si>
  <si>
    <t>ЮЛ3903037478</t>
  </si>
  <si>
    <t>ЮЛ390303747800000</t>
  </si>
  <si>
    <t>238580 Калининградская область поселок городского типа Янтарный улица Советская дом 61А</t>
  </si>
  <si>
    <t>ООО "БАЛТИЙСКАЯ ЛАЗУРЬ"</t>
  </si>
  <si>
    <t>3912007263</t>
  </si>
  <si>
    <t>ЮЛ3903012173</t>
  </si>
  <si>
    <t>ЮЛ390301217300000</t>
  </si>
  <si>
    <t>236016 Калининградская область город Калининград улица Римская дом 22   1</t>
  </si>
  <si>
    <t>ИП Смердов Андрей Алексеевич</t>
  </si>
  <si>
    <t>391200808603</t>
  </si>
  <si>
    <t>ИП3903036796</t>
  </si>
  <si>
    <t>ИП390303679600000</t>
  </si>
  <si>
    <t>238580 Калининградская область поселок городского типа Янтарный улица Советская дом 65а строение 1</t>
  </si>
  <si>
    <t>ИП Яроцкая Наталья Робертовна</t>
  </si>
  <si>
    <t>391201285900</t>
  </si>
  <si>
    <t>ИП3903033969</t>
  </si>
  <si>
    <t>ИП390303396900000</t>
  </si>
  <si>
    <t>238580 Калининградская область поселок городского типа Янтарный улица Дачная дом 10</t>
  </si>
  <si>
    <t>ИП Баннов Максим Александрович</t>
  </si>
  <si>
    <t>391201302224</t>
  </si>
  <si>
    <t>ИП3903019743</t>
  </si>
  <si>
    <t>ИП390301974300000</t>
  </si>
  <si>
    <t>238580 Калининградская область поселок городского типа Янтарный улица Советская здание 61 1 этаж</t>
  </si>
  <si>
    <t>ИП Голощапова Екатерина Георгиевна</t>
  </si>
  <si>
    <t>391201304302</t>
  </si>
  <si>
    <t>ИП3903038247</t>
  </si>
  <si>
    <t>ИП390303824700000</t>
  </si>
  <si>
    <t>238326 Калининградская область город Зеленоградск проспект Курортный дом 26</t>
  </si>
  <si>
    <t>АО "КАЛИНИНГРАДСКИЙ ЯНТАРНЫЙ КОМБИНАТ"</t>
  </si>
  <si>
    <t>3912013210</t>
  </si>
  <si>
    <t>ЮЛ3903008147</t>
  </si>
  <si>
    <t>ЮЛ390300814700002</t>
  </si>
  <si>
    <t>236006 Калининградская область город Калининград улица Театральная дом 23-27</t>
  </si>
  <si>
    <t>ЮЛ390300814700005</t>
  </si>
  <si>
    <t>238580 Калининградская область поселок городского типа Янтарный улица Балебина дом 1   Магазин № 1</t>
  </si>
  <si>
    <t>ЮЛ390300814700007</t>
  </si>
  <si>
    <t>238590 Калининградская область город Пионерский шоссе Калининградское дом 1А   помещение 1</t>
  </si>
  <si>
    <t>ЮЛ390300814700010</t>
  </si>
  <si>
    <t>236006 Калининградская область город Калининград улица Октябрьская дом 12   помещение 66</t>
  </si>
  <si>
    <t>ЮЛ390300814700012</t>
  </si>
  <si>
    <t>236006 Калининградская область город Калининград улица Театральная дом 23-27 лит. А, А3  А, А3</t>
  </si>
  <si>
    <t>ЮЛ390300814700013</t>
  </si>
  <si>
    <t>238520 Калининградская область город Балтийск проспект Ленина дом 11   помещение 1</t>
  </si>
  <si>
    <t>ЮЛ390300814700014</t>
  </si>
  <si>
    <t>238530 Калининградская область город Зеленоградск улица Ленина дом 3   помещение 2</t>
  </si>
  <si>
    <t>ЮЛ390300814700015</t>
  </si>
  <si>
    <t>238580 Калининградская область поселок городского типа Янтарный улица Советская дом 61М</t>
  </si>
  <si>
    <t>ИП Клейменова Мария Валерьевна</t>
  </si>
  <si>
    <t>391201535194</t>
  </si>
  <si>
    <t>ИП3903007449</t>
  </si>
  <si>
    <t>ИП390300744900000</t>
  </si>
  <si>
    <t>238560 Калининградская область город Светлогорск улица Ленина дом 33   павильон №4</t>
  </si>
  <si>
    <t>ИП Михайлова Рита Бенедиктовна</t>
  </si>
  <si>
    <t>391201688049</t>
  </si>
  <si>
    <t>ИП3903038324</t>
  </si>
  <si>
    <t>ИП390303832400000</t>
  </si>
  <si>
    <t>238530 Калининградская область город Зеленоградск улица Ленина дом 5Б</t>
  </si>
  <si>
    <t>ИП390303832400002</t>
  </si>
  <si>
    <t>238560 Калининградская область город Светлогорск улица Ленина дом 8   павильон 528</t>
  </si>
  <si>
    <t>ИП Неверовская Анна Леонидовна</t>
  </si>
  <si>
    <t>391201710424</t>
  </si>
  <si>
    <t>ИП3903037549</t>
  </si>
  <si>
    <t>ИП390303754900001</t>
  </si>
  <si>
    <t>238560 Калининградская область город Светлогорск улица Динамо дом 9 "А"</t>
  </si>
  <si>
    <t>ИП390303754900002</t>
  </si>
  <si>
    <t>238560 Калининградская область город Светлогорск улица Ленина дом 18А   Павильон 640</t>
  </si>
  <si>
    <t>ИП390303754900003</t>
  </si>
  <si>
    <t>238326 Калининградская область город Зеленоградск улица Володарского дом 1   квартира 7</t>
  </si>
  <si>
    <t>ИП Чуланова Виктория Юрьевна</t>
  </si>
  <si>
    <t>391201732019</t>
  </si>
  <si>
    <t>ИП3903039319</t>
  </si>
  <si>
    <t>ИП390303931900000</t>
  </si>
  <si>
    <t>ИП Швец Анна Ибрагимовна</t>
  </si>
  <si>
    <t>391202110557</t>
  </si>
  <si>
    <t>ИП3903038857</t>
  </si>
  <si>
    <t>ИП390303885700000</t>
  </si>
  <si>
    <t>238560 Калининградская область город Светлогорск улица Ленина дом 17   офис 7</t>
  </si>
  <si>
    <t>ИП Точеная Анна Сергеевна</t>
  </si>
  <si>
    <t>391202201162</t>
  </si>
  <si>
    <t>ИП3903041127</t>
  </si>
  <si>
    <t>ИП390304112700000</t>
  </si>
  <si>
    <t>238560 Калининградская область город Светлогорск улица Ленина дом 52 помещение №20М</t>
  </si>
  <si>
    <t>ИП Рудь Сергей Витальевич</t>
  </si>
  <si>
    <t>391242186224</t>
  </si>
  <si>
    <t>ИП3903003128</t>
  </si>
  <si>
    <t>ИП390300312800001</t>
  </si>
  <si>
    <t>238560 Калининградская область город Светлогорск улица Ленина дом 21</t>
  </si>
  <si>
    <t>ИП390300312800005</t>
  </si>
  <si>
    <t>238560 Калининградская область город Светлогорск улица Ленина дом 15 нестационарный торговый объект 433</t>
  </si>
  <si>
    <t>ИП390300312800006</t>
  </si>
  <si>
    <t>238326 Калининградская область город Зеленоградск улица Вокзальная привокзальная площадь нестационарный торговый объект</t>
  </si>
  <si>
    <t>ИП390300312800007</t>
  </si>
  <si>
    <t>238560 Калининградская область город Светлогорск улица Ленина дом 9   533</t>
  </si>
  <si>
    <t>ИП390300312800008</t>
  </si>
  <si>
    <t>236040 Калининградская область город Калининград улица Профессора Баранова здание 1   1 этаж нежилое помещение № 63</t>
  </si>
  <si>
    <t>ИП Шавкунова Светлана Геннадьевна</t>
  </si>
  <si>
    <t>391242206858</t>
  </si>
  <si>
    <t>ИП7701033255</t>
  </si>
  <si>
    <t>ИП770103325500000</t>
  </si>
  <si>
    <t>ИП Малыхин Александр Андреевич</t>
  </si>
  <si>
    <t>391242235344</t>
  </si>
  <si>
    <t>ИП3903019170</t>
  </si>
  <si>
    <t>ИП390301917000000</t>
  </si>
  <si>
    <t>236006 Калининградская область город Калининград проспект Ленинский дом 17-19</t>
  </si>
  <si>
    <t>ИП Симуков Олег Михайлович</t>
  </si>
  <si>
    <t>391242236933</t>
  </si>
  <si>
    <t>ИП3903012193</t>
  </si>
  <si>
    <t>ИП390301219300000</t>
  </si>
  <si>
    <t>236022 Калининградская область город Калининград улица Театральная дом 30</t>
  </si>
  <si>
    <t>ИП390301219300003</t>
  </si>
  <si>
    <t>236039 Калининградская область город Калининград переулок Большевистский дом 3</t>
  </si>
  <si>
    <t>ИП390301219300004</t>
  </si>
  <si>
    <t>238560 Калининградская область город Светлогорск улица Ленина дом 17   офис 9</t>
  </si>
  <si>
    <t>ИП Зинина Марина Валерьевна</t>
  </si>
  <si>
    <t>391242270003</t>
  </si>
  <si>
    <t>ИП3903012833</t>
  </si>
  <si>
    <t>ИП390301283300000</t>
  </si>
  <si>
    <t>236040 Калининградская область город Калининград улица Профессора Баранова дом 2А башня Врангеля</t>
  </si>
  <si>
    <t>ИП Темчура Александр Викторович</t>
  </si>
  <si>
    <t>391242272184</t>
  </si>
  <si>
    <t>ИП3903033823</t>
  </si>
  <si>
    <t>ИП390303382300000</t>
  </si>
  <si>
    <t>236040 Калининградская область город Калининград улица Пролетарская дом 41</t>
  </si>
  <si>
    <t>ИП Исаев Дмитрий Юрьевич</t>
  </si>
  <si>
    <t>391242294558</t>
  </si>
  <si>
    <t>ИП3903017514</t>
  </si>
  <si>
    <t>ИП390301751400000</t>
  </si>
  <si>
    <t>238520 Калининградская область город Балтийск проспект Ленина торговый павильон в районе д. 12</t>
  </si>
  <si>
    <t>ИП Панов Дмитрий Юрьевич</t>
  </si>
  <si>
    <t>391242302030</t>
  </si>
  <si>
    <t>ИП3903034345</t>
  </si>
  <si>
    <t>ИП390303434500000</t>
  </si>
  <si>
    <t>236006 Калининградская область город Калининград проспект Ленинский дом 47-61   помещ. XV</t>
  </si>
  <si>
    <t>ИП Фоменко Ольга Михайловна</t>
  </si>
  <si>
    <t>391242309331</t>
  </si>
  <si>
    <t>ИП3903038015</t>
  </si>
  <si>
    <t>ИП390303801500000</t>
  </si>
  <si>
    <t>ИП Семенова Елена Игоревна</t>
  </si>
  <si>
    <t>391242348891</t>
  </si>
  <si>
    <t>ИП3903008105</t>
  </si>
  <si>
    <t>ИП390300810500000</t>
  </si>
  <si>
    <t>236006 Калининградская область город Калининград проспект Ленинский дом 27-31 1 этаж</t>
  </si>
  <si>
    <t>ИП Темчура Наталья Владимировна</t>
  </si>
  <si>
    <t>391242374179</t>
  </si>
  <si>
    <t>ИП3903038817</t>
  </si>
  <si>
    <t>ИП390303881700000</t>
  </si>
  <si>
    <t>236040 Калининградская область город Калининград улица Черняховского дом 15 Б-29</t>
  </si>
  <si>
    <t>ИП Михайлова Александра Валерьевна</t>
  </si>
  <si>
    <t>391242392386</t>
  </si>
  <si>
    <t>ИП3903018621</t>
  </si>
  <si>
    <t>ИП390301862100000</t>
  </si>
  <si>
    <t>236006 Калининградская область Город Калининград проспект Ленинский 51</t>
  </si>
  <si>
    <t>ИП Нартова Екатерина Дмитриевна</t>
  </si>
  <si>
    <t>391242435551</t>
  </si>
  <si>
    <t>ИП3903038269</t>
  </si>
  <si>
    <t>ИП390303826900000</t>
  </si>
  <si>
    <t>ИП Родыгин Дмитрий Сергеевич</t>
  </si>
  <si>
    <t>391242439404</t>
  </si>
  <si>
    <t>ИП3903038368</t>
  </si>
  <si>
    <t>ИП390303836800000</t>
  </si>
  <si>
    <t>238560 Калининградская область город Светлогорск улица Ленина дом 9</t>
  </si>
  <si>
    <t>ИП Зинин Евгений Тимофеевич</t>
  </si>
  <si>
    <t>391242446930</t>
  </si>
  <si>
    <t>ИП3903038304</t>
  </si>
  <si>
    <t>ИП390303830400000</t>
  </si>
  <si>
    <t>238560 Калининградская область город Светлогорск улица Ленина дом 18а   павильон № 639</t>
  </si>
  <si>
    <t>ИП390303830400002</t>
  </si>
  <si>
    <t>236001 Калининградская область город Калининград улица Больничная дом 7  из литеры А помещение I</t>
  </si>
  <si>
    <t>ООО "ХОУММАРКЕТ"</t>
  </si>
  <si>
    <t>3912503590</t>
  </si>
  <si>
    <t>ЮЛ3903009798</t>
  </si>
  <si>
    <t>ЮЛ390300979800000</t>
  </si>
  <si>
    <t>238580 Калининградская область поселок городского типа Янтарный улица Советская дом 61    Нежилое помещение 49,3 кв.м</t>
  </si>
  <si>
    <t>ООО "ЯНТАРНАЯ ЛАГУНА"</t>
  </si>
  <si>
    <t>3912504836</t>
  </si>
  <si>
    <t>ЮЛ3903001810</t>
  </si>
  <si>
    <t>ЮЛ390300181000002</t>
  </si>
  <si>
    <t>238560 Калининградская область город Светлогорск Ленина 32</t>
  </si>
  <si>
    <t>ЮЛ390300181000003</t>
  </si>
  <si>
    <t>238560 Калининградская область город Светлогорск улица Ленина    павильон №24</t>
  </si>
  <si>
    <t>ИП Зайцев Виталий Евгеньевич</t>
  </si>
  <si>
    <t>391280000953</t>
  </si>
  <si>
    <t>ИП3903009894</t>
  </si>
  <si>
    <t>ИП390300989400000</t>
  </si>
  <si>
    <t>238560 Калининградская область город Светлогорск улица Ленина дом 20а   павильон №3</t>
  </si>
  <si>
    <t>ИП390300989400001</t>
  </si>
  <si>
    <t>238560 Калининградская область город Светлогорск улица Ленина    павильон №17</t>
  </si>
  <si>
    <t>ИП390300989400002</t>
  </si>
  <si>
    <t>238560 Калининградская область город Светлогорск улица Ленина    (ж/д вокзал) торговый павильон №9/1</t>
  </si>
  <si>
    <t>ИП390300989400003</t>
  </si>
  <si>
    <t>238326 Калининградская область город Зеленоградск улица Володарского дом 24В</t>
  </si>
  <si>
    <t>ИП390300989400006</t>
  </si>
  <si>
    <t>238560 Калининградская область город Светлогорск улица Ленина      возле здания бассейна СВС, НТО № 484</t>
  </si>
  <si>
    <t>ИП390300989400007</t>
  </si>
  <si>
    <t>236040 Калининградская область город Калининград проспект Ленинский ор-р д.47-53</t>
  </si>
  <si>
    <t>ИП390300989400008</t>
  </si>
  <si>
    <t>238326 Калининградская область город Зеленоградск улица Володарского №1   пом №1</t>
  </si>
  <si>
    <t>ИП390300989400010</t>
  </si>
  <si>
    <t>ИП Шишов Сергей Игоревич</t>
  </si>
  <si>
    <t>391300069547</t>
  </si>
  <si>
    <t>ИП3903018408</t>
  </si>
  <si>
    <t>ИП390301840800001</t>
  </si>
  <si>
    <t>238535 Калининградская область поселок Рыбачий галерея "Высот Эфа" место 23</t>
  </si>
  <si>
    <t>ИП Подберёзных Евгения Васильевна</t>
  </si>
  <si>
    <t>391313381986</t>
  </si>
  <si>
    <t>ИП3903016785</t>
  </si>
  <si>
    <t>ИП390301678500000</t>
  </si>
  <si>
    <t>238340 Калининградская область город Светлый улица Советская 22   помещ I</t>
  </si>
  <si>
    <t>ООО "ЛОМБАРД "ОКОГОР"</t>
  </si>
  <si>
    <t>3913500640</t>
  </si>
  <si>
    <t>ЮЛ3903015058</t>
  </si>
  <si>
    <t>ЮЛ390301505800000</t>
  </si>
  <si>
    <t>236039 Калининградская область город Калининград проспект Ленинский 137-149  XVIII</t>
  </si>
  <si>
    <t>ООО "ЛОМБАРД ОКМ"</t>
  </si>
  <si>
    <t>3913505328</t>
  </si>
  <si>
    <t>ЮЛ3903015663</t>
  </si>
  <si>
    <t>ЮЛ390301566300000</t>
  </si>
  <si>
    <t>238150 Калининградская область город Черняховск улица Госпитальная дом 6 помещение II из А</t>
  </si>
  <si>
    <t>ИП Алексеева Ирина Евгеньевна</t>
  </si>
  <si>
    <t>391400108790</t>
  </si>
  <si>
    <t>ИП3903001884</t>
  </si>
  <si>
    <t>ИП390300188400000</t>
  </si>
  <si>
    <t>ИП390300188400002</t>
  </si>
  <si>
    <t>ИП390300188400003</t>
  </si>
  <si>
    <t>238560 Калининградская область город Светлогорск Ленина 15   6</t>
  </si>
  <si>
    <t>ИП Афанасьев Андрей Викторович</t>
  </si>
  <si>
    <t>391400184769</t>
  </si>
  <si>
    <t>ИП3903000621</t>
  </si>
  <si>
    <t>ИП390300062100001</t>
  </si>
  <si>
    <t>236029 Калининградская область город Калининград улица Черняховского дом 15   пом. № 24</t>
  </si>
  <si>
    <t>ИП Джуров Игорь Алексеевич</t>
  </si>
  <si>
    <t>391599058274</t>
  </si>
  <si>
    <t>ИП3903009947</t>
  </si>
  <si>
    <t>ИП390300994700000</t>
  </si>
  <si>
    <t>236040 Калининградская область город Калининград улица Генерала Соммера Дом 29-37  VI из литера А</t>
  </si>
  <si>
    <t>ИП Гаспарян Артур Юрьевич</t>
  </si>
  <si>
    <t>391700702651</t>
  </si>
  <si>
    <t>ИП3903002926</t>
  </si>
  <si>
    <t>ИП390300292600000</t>
  </si>
  <si>
    <t>236006 Калининградская область город Калининград улица В.Гюго здание 1   помещение 12</t>
  </si>
  <si>
    <t>ИП Благодарева Алина Игоревна</t>
  </si>
  <si>
    <t>391701300666</t>
  </si>
  <si>
    <t>ИП3903037304</t>
  </si>
  <si>
    <t>ИП390303730400000</t>
  </si>
  <si>
    <t>236022 Калининградская область город Калининград улица Театральная дом 30 помещение №110 литер "VIII"</t>
  </si>
  <si>
    <t>ИП Браунс Владимир Александрович</t>
  </si>
  <si>
    <t>391703370531</t>
  </si>
  <si>
    <t>ИП3903011707</t>
  </si>
  <si>
    <t>ИП390301170700000</t>
  </si>
  <si>
    <t>236003 Калининградская область город Калининград проспект Московский дом 171А помещение №А-30</t>
  </si>
  <si>
    <t>ИП390301170700002</t>
  </si>
  <si>
    <t>238520 Калининградская область город Балтийск проспект Ленина дом 65 1 этаж</t>
  </si>
  <si>
    <t>ИП390301170700003</t>
  </si>
  <si>
    <t>236040 Калининградская область город Калининград улица Профессора Баранова здание 1 помещение №85</t>
  </si>
  <si>
    <t>ИП390301170700004</t>
  </si>
  <si>
    <t>236006 Калининградская область город Калининград улица Виктора Гюго дом 1 1 этаж  помещение 12</t>
  </si>
  <si>
    <t>ИП Сидоренко Светлана Александровна</t>
  </si>
  <si>
    <t>391703800985</t>
  </si>
  <si>
    <t>ИП3903008818</t>
  </si>
  <si>
    <t>ИП390300881800000</t>
  </si>
  <si>
    <t>236006 Калининградская область город Калининград проспект Ленинский дом 51</t>
  </si>
  <si>
    <t>ИП Фоменко Нина Анатольевна</t>
  </si>
  <si>
    <t>391704112685</t>
  </si>
  <si>
    <t>ИП3903012219</t>
  </si>
  <si>
    <t>ИП390301221900000</t>
  </si>
  <si>
    <t>236000 Калининградская область город Калининград площадь Победы 10   часть нежилого помещения №143</t>
  </si>
  <si>
    <t>ИП Симукова Екатерина Николаевна</t>
  </si>
  <si>
    <t>391704209461</t>
  </si>
  <si>
    <t>ИП3903039592</t>
  </si>
  <si>
    <t>ИП390303959200000</t>
  </si>
  <si>
    <t>ИП Фоменко Елизавета Викторовна</t>
  </si>
  <si>
    <t>391704486063</t>
  </si>
  <si>
    <t>ИП3903037536</t>
  </si>
  <si>
    <t>ИП390303753600001</t>
  </si>
  <si>
    <t>236040 Калининградская область город Калининград площадь Победы дом 10 помещение №143, островок 1</t>
  </si>
  <si>
    <t>ИП Браунс Лариса Викторовна</t>
  </si>
  <si>
    <t>391704557701</t>
  </si>
  <si>
    <t>ИП3903010715</t>
  </si>
  <si>
    <t>ИП390301071500000</t>
  </si>
  <si>
    <t>236040 Калининградская область город Калининград улица Профессора Баранова дом 30 помещение №В-21</t>
  </si>
  <si>
    <t>ИП390301071500001</t>
  </si>
  <si>
    <t>238150 Калининградская область город Черняховск улица Калининградская дом 5 1 этаж, павильон 16 (БТИ №29)</t>
  </si>
  <si>
    <t>ИП390301071500004</t>
  </si>
  <si>
    <t>236040 Калининградская область город Калининград площадь Победы дом 10 помещение №143, островок 2</t>
  </si>
  <si>
    <t>ИП390301071500005</t>
  </si>
  <si>
    <t>238530 Калининградская область город Зеленоградск улица Горького дом 2   помещение №1-А (1 этаж)</t>
  </si>
  <si>
    <t>ИП Московченко Николай Викторович</t>
  </si>
  <si>
    <t>391706503613</t>
  </si>
  <si>
    <t>ИП3903040698</t>
  </si>
  <si>
    <t>ИП390304069800000</t>
  </si>
  <si>
    <t>236006 Калининградская область город Калининград улица Канта дом 1   торговый павильон №6/нто</t>
  </si>
  <si>
    <t>ИП Мухамедзянова Диляра Амировна</t>
  </si>
  <si>
    <t>391707697200</t>
  </si>
  <si>
    <t>ИП3903032309</t>
  </si>
  <si>
    <t>ИП390303230900000</t>
  </si>
  <si>
    <t>236040 Калининградская область город Калининград улица Черняховского дом 30-40  Литер А помещение VIII</t>
  </si>
  <si>
    <t>ИП Попрыгин Евгений Игоревич</t>
  </si>
  <si>
    <t>391788891121</t>
  </si>
  <si>
    <t>ИП3903010337</t>
  </si>
  <si>
    <t>ИП390301033700000</t>
  </si>
  <si>
    <t>238340 Калининградская область город Светлый улица Л.Чайкиной дом 13</t>
  </si>
  <si>
    <t>ИП390301033700003</t>
  </si>
  <si>
    <t>238326 Калининградская область город Зеленоградск проспект Курортный дом 14   помещение № 2</t>
  </si>
  <si>
    <t>ИП Кашаев Вадим Валентинович</t>
  </si>
  <si>
    <t>391800164686</t>
  </si>
  <si>
    <t>ИП3903014901</t>
  </si>
  <si>
    <t>ИП390301490100000</t>
  </si>
  <si>
    <t>238326 Калининградская область город Зеленоградск улица Ленина дом 3   часть нежилого помещения № 1, а именно помещения №№ 13, 14, 15, 16 суммарной площадью 85,8 кв.м., расположенные на втором этаже в здании Многофункционального торгово-развлекательного комплекса</t>
  </si>
  <si>
    <t>ИП Макаренко Надежда Владимировна</t>
  </si>
  <si>
    <t>391800430779</t>
  </si>
  <si>
    <t>ИП3903036970</t>
  </si>
  <si>
    <t>ИП390303697000000</t>
  </si>
  <si>
    <t>ИП Леонтьев Сергей Владимирович</t>
  </si>
  <si>
    <t>391800545057</t>
  </si>
  <si>
    <t>ИП3903010724</t>
  </si>
  <si>
    <t>ИП390301072400000</t>
  </si>
  <si>
    <t>238326 Калининградская область город Зеленоградск улица Солнечная дом 17   помещение X (производство площадью 92,5 кв.м)</t>
  </si>
  <si>
    <t>ИП Николаева Ольга Иосифовна</t>
  </si>
  <si>
    <t>391800606905</t>
  </si>
  <si>
    <t>ИП3903009038</t>
  </si>
  <si>
    <t>ИП390300903800000</t>
  </si>
  <si>
    <t>238530 Калининградская область город Зеленоградск улица Ленина дом 5   помещение 1</t>
  </si>
  <si>
    <t>ИП390300903800001</t>
  </si>
  <si>
    <t>238535 Калининградская область поселок Рыбачий   высота «Эфа»  №18</t>
  </si>
  <si>
    <t>ИП390300903800002</t>
  </si>
  <si>
    <t>238535 Калининградская область поселок Рыбачий   высота «Эфа»  1 место</t>
  </si>
  <si>
    <t>ИП390300903800003</t>
  </si>
  <si>
    <t>236039 Калининградская область город Калининград улица Багратиона дом 49   10а</t>
  </si>
  <si>
    <t>ИП Кайданович Дмитрий Анатольевич</t>
  </si>
  <si>
    <t>391800756643</t>
  </si>
  <si>
    <t>ИП3903038109</t>
  </si>
  <si>
    <t>ИП390303810900000</t>
  </si>
  <si>
    <t>238326 Калининградская область город Зеленоградск проспект Курортный дом 22 этаж №1  помещение 1-4</t>
  </si>
  <si>
    <t>ИП Гурова Ольга Андреевна</t>
  </si>
  <si>
    <t>391801133271</t>
  </si>
  <si>
    <t>ИП3903018815</t>
  </si>
  <si>
    <t>ИП390301881500000</t>
  </si>
  <si>
    <t>238560 Калининградская область город Светлогорск улица Ленина дом 36   помещение №6</t>
  </si>
  <si>
    <t>ИП Константинов Александр Александрович</t>
  </si>
  <si>
    <t>391801226744</t>
  </si>
  <si>
    <t>ИП3903011505</t>
  </si>
  <si>
    <t>ИП390301150500000</t>
  </si>
  <si>
    <t>238316 Калининградская область поселок Некрасово улица Центральная дом 42   торговый павильон № 2, № 3</t>
  </si>
  <si>
    <t>ИП Старовойтов Андрей Анатольевич</t>
  </si>
  <si>
    <t>391801338840</t>
  </si>
  <si>
    <t>ИП3903013984</t>
  </si>
  <si>
    <t>ИП390301398400000</t>
  </si>
  <si>
    <t>238535 Калининградская область поселок Рыбачий улица Победы дом 25</t>
  </si>
  <si>
    <t>ИП Юрченко Наталья Николаевна</t>
  </si>
  <si>
    <t>391801390110</t>
  </si>
  <si>
    <t>ИП3903000995</t>
  </si>
  <si>
    <t>ИП390300099500000</t>
  </si>
  <si>
    <t>238530 Калининградская область город Зеленоградск улица Ленина дом 12   помещение II</t>
  </si>
  <si>
    <t>ИП390300099500001</t>
  </si>
  <si>
    <t>238535 Калининградская область поселок Рыбачий улица Лесная дом 8</t>
  </si>
  <si>
    <t>ИП390300099500003</t>
  </si>
  <si>
    <t>238535 Калининградская область поселок Рыбачий Победы 25</t>
  </si>
  <si>
    <t>ИП390300099500004</t>
  </si>
  <si>
    <t>238326 Калининградская область город Зеленоградск проспект Курортный дом 12   помещение II</t>
  </si>
  <si>
    <t>ИП Кондукова Валерия Олеговна</t>
  </si>
  <si>
    <t>391801894928</t>
  </si>
  <si>
    <t>ИП3903032300</t>
  </si>
  <si>
    <t>ИП390303230000000</t>
  </si>
  <si>
    <t>238315 Калининградская область поселок Храброва Аэропорт здание аэропорта   часть нежилого помещения (45кв.м.)</t>
  </si>
  <si>
    <t>ИП Брежнев Альберт Владимирович</t>
  </si>
  <si>
    <t>391803189103</t>
  </si>
  <si>
    <t>ИП3903038374</t>
  </si>
  <si>
    <t>ИП390303837400000</t>
  </si>
  <si>
    <t>238326 Калининградская область город Зеленоградск Тургенева 3Б пом. 4</t>
  </si>
  <si>
    <t>ИП390303837400003</t>
  </si>
  <si>
    <t>236006 Калининградская область город Калининград улица Октябрьская дом 2   помещение №4</t>
  </si>
  <si>
    <t>ИП Московченко Павел Николаевич</t>
  </si>
  <si>
    <t>391803771431</t>
  </si>
  <si>
    <t>ИП3903010516</t>
  </si>
  <si>
    <t>ИП390301051600000</t>
  </si>
  <si>
    <t>236006 Калининградская область город Калининград улица Канта дом 1   торговый павильон №11/нто</t>
  </si>
  <si>
    <t>ИП390301051600002</t>
  </si>
  <si>
    <t>236006 Калининградская область город Калининград улица Канта дом 1   торговый павильон №2/нто</t>
  </si>
  <si>
    <t>ИП390301051600003</t>
  </si>
  <si>
    <t>236039 Калининградская область город Калининград улица Багратиона дом 128-134  литер II</t>
  </si>
  <si>
    <t>ИП Гладышева Наталья Алексеевна</t>
  </si>
  <si>
    <t>391900533249</t>
  </si>
  <si>
    <t>ИП3903033505</t>
  </si>
  <si>
    <t>ИП390303350500000</t>
  </si>
  <si>
    <t>238630 Калининградская область город Полесск улица Калининградская дом 14   А1</t>
  </si>
  <si>
    <t>ИП Литвинова Татьяна Анатольевна</t>
  </si>
  <si>
    <t>392200150475</t>
  </si>
  <si>
    <t>ИП3903001184</t>
  </si>
  <si>
    <t>ИП390300118400000</t>
  </si>
  <si>
    <t>238326 Калининградская область город Зеленоградск Пугачева дом 1</t>
  </si>
  <si>
    <t>ИП Аксенова Людмила Игоревна</t>
  </si>
  <si>
    <t>392202198698</t>
  </si>
  <si>
    <t>ИП3903001463</t>
  </si>
  <si>
    <t>ИП390300146300000</t>
  </si>
  <si>
    <t>ИП Стародубцев Вадим Анатольевич</t>
  </si>
  <si>
    <t>392300052954</t>
  </si>
  <si>
    <t>ИП3903039489</t>
  </si>
  <si>
    <t>ИП390303948900000</t>
  </si>
  <si>
    <t>236040 Калининградская область город Калининград улица Профессора Баранова дом 41   №4</t>
  </si>
  <si>
    <t>ИП Подольская Карина Анатольевна</t>
  </si>
  <si>
    <t>392302476719</t>
  </si>
  <si>
    <t>ИП3903009963</t>
  </si>
  <si>
    <t>ИП390300996300000</t>
  </si>
  <si>
    <t>236048 Калининградская область город Калининград улица Аксакова дом 100А</t>
  </si>
  <si>
    <t>ИП Манукян Зограб Альбертович</t>
  </si>
  <si>
    <t>392402973369</t>
  </si>
  <si>
    <t>ИП3903010520</t>
  </si>
  <si>
    <t>ИП390301052000000</t>
  </si>
  <si>
    <t>ИП Федулеева Ольга Владимировна</t>
  </si>
  <si>
    <t>410106722564</t>
  </si>
  <si>
    <t>ИП3903032210</t>
  </si>
  <si>
    <t>ИП390303221000000</t>
  </si>
  <si>
    <t>236040 Калининградская область город Калининград улица Черняховского дом 6А-12А   , Этаж - 1 (Подвал), 1</t>
  </si>
  <si>
    <t>ИП500100445500001</t>
  </si>
  <si>
    <t>238324 Калининградская область поселок Орловка кольцо Приморское здание 2</t>
  </si>
  <si>
    <t>ИП500100445500049</t>
  </si>
  <si>
    <t>238150 Калининградская область город Черняховск улица Калининградская дом 11   помещение 1</t>
  </si>
  <si>
    <t>ИП Мальцева Елена Владимировна</t>
  </si>
  <si>
    <t>590807449003</t>
  </si>
  <si>
    <t>ИП3903035076</t>
  </si>
  <si>
    <t>ИП390303507600000</t>
  </si>
  <si>
    <t>236016 Калининградская область город Калининград улица Литовский Вал дом 5</t>
  </si>
  <si>
    <t>ИП Димиева Елена Станиславовна</t>
  </si>
  <si>
    <t>594813308640</t>
  </si>
  <si>
    <t>ИП5906039675</t>
  </si>
  <si>
    <t>ИП590603967500000</t>
  </si>
  <si>
    <t>236040 Калининградская область город Калининград улица Профессора Баранова здание 41 помещение №1</t>
  </si>
  <si>
    <t>ИП Недосеков Виталий Сергеевич</t>
  </si>
  <si>
    <t>667600368883</t>
  </si>
  <si>
    <t>ИП6607038186</t>
  </si>
  <si>
    <t>ИП660703818600000</t>
  </si>
  <si>
    <t>236040 Калининградская область город Калининград улица Профессора Баранова здание 41 помещение №2</t>
  </si>
  <si>
    <t>ИП660703818600001</t>
  </si>
  <si>
    <t>236006 Калининградская область город Калининград проспект Ленинский дом 20-26  литер XIV из литера А</t>
  </si>
  <si>
    <t>ИП660703818600002</t>
  </si>
  <si>
    <t>238326 Калининградская область город Зеленоградск улица Гагарина 87</t>
  </si>
  <si>
    <t>ИП Комарницкий Антон Юрьевич</t>
  </si>
  <si>
    <t>690141963801</t>
  </si>
  <si>
    <t>ИП3903036871</t>
  </si>
  <si>
    <t>ИП390303687100000</t>
  </si>
  <si>
    <t>238316 Калининградская область поселок Некрасово улица Центральная дом 42   помещение №1</t>
  </si>
  <si>
    <t>ИП390303687100003</t>
  </si>
  <si>
    <t>238560 Калининградская область город Светлогорск улица Динамо  торговое место 570</t>
  </si>
  <si>
    <t>ИП390303687100006</t>
  </si>
  <si>
    <t>238581 Калининградская область поселок городского типа Янтарный, СНТ Садовник улица Вишнёвая дом 25   9</t>
  </si>
  <si>
    <t>ИП Селегей Вадим Вячеславович</t>
  </si>
  <si>
    <t>730291996536</t>
  </si>
  <si>
    <t>ИП7803038087</t>
  </si>
  <si>
    <t>ИП780303808700000</t>
  </si>
  <si>
    <t>238324 Калининградская область поселок Орловка Приморское кольцо здание 2 Балтия Молл  помещение XXXVII</t>
  </si>
  <si>
    <t>ИП Пелипас Ксения Олеговна</t>
  </si>
  <si>
    <t>741855768799</t>
  </si>
  <si>
    <t>ИП3903009694</t>
  </si>
  <si>
    <t>ИП390300969400000</t>
  </si>
  <si>
    <t>236040 Калининградская область город Калининград улица Профессора Баранова здание 1   нежилое помещение №13</t>
  </si>
  <si>
    <t>ИП390300969400003</t>
  </si>
  <si>
    <t>238150 Калининградская область город Черняховск улица Калининградская дом 5   нежилое помещение б/н</t>
  </si>
  <si>
    <t>ИП390300969400006</t>
  </si>
  <si>
    <t>238750 Калининградская область город Советск улица Смоленская здание 3   помещение 129</t>
  </si>
  <si>
    <t>ИП390300969400008</t>
  </si>
  <si>
    <t>238324 Калининградская область поселок Орловка кольцо Приморское здание 2   помещение XCIII, этаж 1</t>
  </si>
  <si>
    <t>ЮЛ770101216600204</t>
  </si>
  <si>
    <t>236040 Калининградская область город Калининград улица Профессора Баранова дом 30   этаж 1, помещение № А-28</t>
  </si>
  <si>
    <t>ЮЛ770101216600425</t>
  </si>
  <si>
    <t>236022 Калининградская область город Калининград улица Генерал-лейтенанта Озерова дом 17Б   этаж 1, площадка D</t>
  </si>
  <si>
    <t>ЮЛ770101216600498</t>
  </si>
  <si>
    <t>236022 Калининградская область город Калининград улица Театральная дом 30   1 этаж, часть нежилого помещения №10</t>
  </si>
  <si>
    <t>ЮЛ770101216600753</t>
  </si>
  <si>
    <t>236003 Калининградская область город Калининград проспект Московский дом 171А   1 этаж, нежилое помещение № А-3</t>
  </si>
  <si>
    <t>ЮЛ770101216600829</t>
  </si>
  <si>
    <t>236044 Калининградская область город Калининград улица Н.Карамзина здание 42   1 этаж, часть нежилого помещения</t>
  </si>
  <si>
    <t>ЮЛ770101216600855</t>
  </si>
  <si>
    <t>236044 Калининградская область город Калининград улица Интернациональная дом 76   1 этаж, часть нежилого помещения № А-19/2</t>
  </si>
  <si>
    <t>ЮЛ770101216600880</t>
  </si>
  <si>
    <t>236001 Калининградская область город Калининград улица Генерала Челнокова дом 11   этаж 1, пом I</t>
  </si>
  <si>
    <t>ЮЛ770101216600923</t>
  </si>
  <si>
    <t>236022 Калининградская область город Калининград улица Театральная дом 30   помещение №113</t>
  </si>
  <si>
    <t>ЮЛ770100419400129</t>
  </si>
  <si>
    <t>236006 Калининградская область город Калининград проспект Ленинский дом 30   1 (первый) этаж, помещения 40, 41</t>
  </si>
  <si>
    <t>ЮЛ770100193500388</t>
  </si>
  <si>
    <t>236040 Калининградская область город Калининград улица Профессора Баранова дом 30   нежилое помещение № 79, этаж 1 (первый)</t>
  </si>
  <si>
    <t>ЮЛ770100193500389</t>
  </si>
  <si>
    <t>238324 Калининградская область поселок Орловка кольцо Приморское здание 2   первый этаж, помещение ХХХV</t>
  </si>
  <si>
    <t>ЮЛ770100193500390</t>
  </si>
  <si>
    <t>236022 Калининградская область город Калининград улица Генерал-лейтенанта Озерова дом 17Б   помещение XXVI - помещения № 92, 93, 94, этаж 1 (первый)</t>
  </si>
  <si>
    <t>ЮЛ770100193500669</t>
  </si>
  <si>
    <t>236022 Калининградская область город Калининград улица Театральная дом 30   помещение 114, 1 этаж</t>
  </si>
  <si>
    <t>ЮЛ770100193501068</t>
  </si>
  <si>
    <t>236022 Калининградская область город Калининград проспект Гвардейский дом 3   часть помещения XVI, первый этаж</t>
  </si>
  <si>
    <t>ЮЛ770100193501069</t>
  </si>
  <si>
    <t>236022 Калининградская область город Калининград улица Театральная дом 30   часть помещения 114, 1 этаж</t>
  </si>
  <si>
    <t>ЮЛ770100193501137</t>
  </si>
  <si>
    <t>236039 Калининградская область г. Калининград пр-кт Ленинский д. 34А-36-36а-38</t>
  </si>
  <si>
    <t>ЮЛ780300131300109</t>
  </si>
  <si>
    <t>236040 Калининградская область город Калининград улица Черняховского дом 2-4а</t>
  </si>
  <si>
    <t>ЮЛ780300328000064</t>
  </si>
  <si>
    <t>236039 Калининградская область город Калининград проспект Ленинский дом 40-42А   магазин "Рубин"</t>
  </si>
  <si>
    <t>ЮЛ780300179700015</t>
  </si>
  <si>
    <t>236029 Калининградская область город Калининград улица Гайдара дом 117-123   магазин "Нефрит"</t>
  </si>
  <si>
    <t>ЮЛ780300179700016</t>
  </si>
  <si>
    <t>236039 Калининградская область город Калининград проспект Ленинский дом 34А</t>
  </si>
  <si>
    <t>ЮЛ780300323500001</t>
  </si>
  <si>
    <t>236040 Калининградская область город Калининград улица Профессора Баранова дом 34  литер CXLIII литеры А</t>
  </si>
  <si>
    <t>ЮЛ780300323500064</t>
  </si>
  <si>
    <t>236006 Калининградская область город Калининград проспект Ленинский дом 47-61</t>
  </si>
  <si>
    <t>ЮЛ780300323500092</t>
  </si>
  <si>
    <t>236040 Калининградская область город Калининград улица Черняховского дом 2-4А</t>
  </si>
  <si>
    <t>ЮЛ780300308200480</t>
  </si>
  <si>
    <t>236039 Калининградская область город Калининград проспект Ленинский дом 34А-38   часть нежилого помещения "II"</t>
  </si>
  <si>
    <t>ЮЛ780300308200767</t>
  </si>
  <si>
    <t>236001 Калининградская область город Калининград улица Генерала Челнокова дом 11   часть нежилого помещения №1 (согласно плана помещения № 33)</t>
  </si>
  <si>
    <t>ЮЛ780300308200961</t>
  </si>
  <si>
    <t>236006 Калининградская область город Калининград проспект Ленинский дом 69   ч.н.пом.1 (номера на поэтажном плане №22, №22а,№22б,№22в,№23)</t>
  </si>
  <si>
    <t>ЮЛ780300308201018</t>
  </si>
  <si>
    <t>236006 Калининградская область город Калининград проспект Ленинский дом 30   часть нежилого помещения на 1-ом этаже</t>
  </si>
  <si>
    <t>ЮЛ780300308201136</t>
  </si>
  <si>
    <t>236040 Калининградская область город Калининград улица Профессора Баранова дом 30   нежилое помещение № 47</t>
  </si>
  <si>
    <t>ЮЛ780300308201148</t>
  </si>
  <si>
    <t>ООО "НАДЕЖНЫЙ ЛОМБАРД"</t>
  </si>
  <si>
    <t>7814641165</t>
  </si>
  <si>
    <t>ЮЛ7803003796</t>
  </si>
  <si>
    <t>ЮЛ780300379600020</t>
  </si>
  <si>
    <t>236039 Калининградская область город Калининград проспект Ленинский дом 34А-38   помещение IX</t>
  </si>
  <si>
    <t>ЮЛ780300379600055</t>
  </si>
  <si>
    <t>ЮЛ780300379600056</t>
  </si>
  <si>
    <t>236006 Калининградская область город Калининград проспект Ленинский дом 30   1 этаж, помещение №47</t>
  </si>
  <si>
    <t>ЮЛ770100439200203</t>
  </si>
  <si>
    <t>ЮЛ770104000500010</t>
  </si>
  <si>
    <t>Калужская область</t>
  </si>
  <si>
    <t>249034 Калужская область город Обнинск проспект Маркса дом 45</t>
  </si>
  <si>
    <t>ООО "Ю-ЦЕНТР"</t>
  </si>
  <si>
    <t>276971289</t>
  </si>
  <si>
    <t>ЮЛ0206031177</t>
  </si>
  <si>
    <t>ЮЛ020603117700073</t>
  </si>
  <si>
    <t>249000 Калужская область город Балабаново площадь 50 лет Октября дом 23</t>
  </si>
  <si>
    <t>ИП610400007100009</t>
  </si>
  <si>
    <t>249096 Калужская область город Малоярославец улица Кирова дом 1</t>
  </si>
  <si>
    <t>ИП610400007100024</t>
  </si>
  <si>
    <t>249037 Калужская область город Обнинск улица Красных Зорь дом 16</t>
  </si>
  <si>
    <t>ИП610400007100040</t>
  </si>
  <si>
    <t>249406 Калужская область город Людиново улица Ленина дом 2 строение 3  этаж 1</t>
  </si>
  <si>
    <t>ИП770100193400003</t>
  </si>
  <si>
    <t>249440 Калужская область город Киров улица Пролетарская дом 46   этаж 1</t>
  </si>
  <si>
    <t>ИП770100193400007</t>
  </si>
  <si>
    <t>248001 Калужская область город Калуга улица Кирова дом 78</t>
  </si>
  <si>
    <t>ЮЛ320100307600012</t>
  </si>
  <si>
    <t>249000 Калужская область город Балабаново площадь 50 лет Октября дом 5   этаж 1</t>
  </si>
  <si>
    <t>ИП Реуков Виталий Георгиевич</t>
  </si>
  <si>
    <t>400300080103</t>
  </si>
  <si>
    <t>ИП4001030609</t>
  </si>
  <si>
    <t>ИП400103060900000</t>
  </si>
  <si>
    <t>249722 Калужская область город Козельск   улица Большая Советская дом 76</t>
  </si>
  <si>
    <t>ИП Вихлянцев Владимир Иванович</t>
  </si>
  <si>
    <t>400900042815</t>
  </si>
  <si>
    <t>ИП4001016966</t>
  </si>
  <si>
    <t>ИП400101696600000</t>
  </si>
  <si>
    <t>248915 Калужская область город Калуга улица Центральная дом 14</t>
  </si>
  <si>
    <t>ИП Рабаданова Юлия Юсуповна</t>
  </si>
  <si>
    <t>400903330924</t>
  </si>
  <si>
    <t>ИП4001018132</t>
  </si>
  <si>
    <t>ИП400101813200000</t>
  </si>
  <si>
    <t>249096 Калужская область город Малоярославец улица 17 Стрелковой Дивизии дом 2Г</t>
  </si>
  <si>
    <t>ИП Лавренюк Игорь Георгиевич</t>
  </si>
  <si>
    <t>401100396239</t>
  </si>
  <si>
    <t>ИП4001010750</t>
  </si>
  <si>
    <t>ИП400101075000000</t>
  </si>
  <si>
    <t>249405 Калужская область город Людиново улица Урицкого дом 7/6</t>
  </si>
  <si>
    <t>ИП Замащикова Татьяна Анатольевна</t>
  </si>
  <si>
    <t>402400009620</t>
  </si>
  <si>
    <t>ИП4001004780</t>
  </si>
  <si>
    <t>ИП400100478000000</t>
  </si>
  <si>
    <t>249440 Калужская область город Киров улица Розы Люксембург дом 1</t>
  </si>
  <si>
    <t>ИП400100478000001</t>
  </si>
  <si>
    <t>249406 Калужская область город Людиново улица Ленина дом 4</t>
  </si>
  <si>
    <t>ИП400100478000002</t>
  </si>
  <si>
    <t>249032 Калужская область город Обнинск Улица Аксенова Дом 17</t>
  </si>
  <si>
    <t>ИП Крикунов Владимир Валентинович</t>
  </si>
  <si>
    <t>402500060965</t>
  </si>
  <si>
    <t>ИП4001002940</t>
  </si>
  <si>
    <t>ИП400100294000000</t>
  </si>
  <si>
    <t>249035 Калужская область город Обнинск проспект Маркса дом 34   этаж 1 помещение 228</t>
  </si>
  <si>
    <t>ИП Чичилимов Алексей Васильевич</t>
  </si>
  <si>
    <t>402504520765</t>
  </si>
  <si>
    <t>ИП4001004176</t>
  </si>
  <si>
    <t>ИП400100417600000</t>
  </si>
  <si>
    <t>249033 Калужская область город Обнинск проспект Маркса дом 45   этаж 1 помещение 156а условный №24</t>
  </si>
  <si>
    <t>ИП400100417600001</t>
  </si>
  <si>
    <t>249034 Калужская область город Обнинск проспект Маркса дом 45   этаж 1 помещение 156а  условный №70 (по плану)</t>
  </si>
  <si>
    <t>ИП400100417600002</t>
  </si>
  <si>
    <t>249034 Калужская область город Обнинск проспект Маркса дом 45   этаж 1 помещение 156а условный №75 (по плану)</t>
  </si>
  <si>
    <t>ИП400100417600003</t>
  </si>
  <si>
    <t>249032 Калужская область город Обнинск улица Энгельса дом 10   этаж 1, помещение 6</t>
  </si>
  <si>
    <t>ООО ''ДАЙМОНД''</t>
  </si>
  <si>
    <t>4025048080</t>
  </si>
  <si>
    <t>ЮЛ4001004522</t>
  </si>
  <si>
    <t>ЮЛ400100452200000</t>
  </si>
  <si>
    <t>249032 Калужская область город Обнинск улица Аксенова дом 17</t>
  </si>
  <si>
    <t>ИП Могучева Мария Юрьевна</t>
  </si>
  <si>
    <t>402505457322</t>
  </si>
  <si>
    <t>ИП4001007327</t>
  </si>
  <si>
    <t>ИП400100732700000</t>
  </si>
  <si>
    <t>249096 Калужская область город Малоярославец улица Гагарина 2 А  пом.21</t>
  </si>
  <si>
    <t>ИП400100732700002</t>
  </si>
  <si>
    <t>249096 Калужская область город Малоярославец площадь Ленина дом 6</t>
  </si>
  <si>
    <t>ИП400100732700003</t>
  </si>
  <si>
    <t>249000 Калужская область город Балабаново площадь 50 лет Октября 21</t>
  </si>
  <si>
    <t>ИП400100732700004</t>
  </si>
  <si>
    <t>249035 Калужская область город Обнинск проспект Маркса дом 34   помещение 238</t>
  </si>
  <si>
    <t>ООО "АРТ АУРО"</t>
  </si>
  <si>
    <t>4025441220</t>
  </si>
  <si>
    <t>ЮЛ4001009768</t>
  </si>
  <si>
    <t>ЮЛ400100976800000</t>
  </si>
  <si>
    <t>249034 Калужская область город Обнинск проспект Маркса дом 45   помещение 156 а 01 Этаж</t>
  </si>
  <si>
    <t>ИП Строев Евгений Николаевич</t>
  </si>
  <si>
    <t>402571136040</t>
  </si>
  <si>
    <t>ИП4001031234</t>
  </si>
  <si>
    <t>ИП400103123400000</t>
  </si>
  <si>
    <t>249035 Калужская область Город Обнинск проспект Ленина дом 137 корпус 2  этаж 1, помещение 11</t>
  </si>
  <si>
    <t>ИП Савельева Ксения Александровна</t>
  </si>
  <si>
    <t>402572350173</t>
  </si>
  <si>
    <t>ИП5001033043</t>
  </si>
  <si>
    <t>ИП500103304300000</t>
  </si>
  <si>
    <t>249039 Калужская область город Обнинск проспект Маркса дом 114</t>
  </si>
  <si>
    <t>ИП Морозова Елена Валерьевна</t>
  </si>
  <si>
    <t>402575321300</t>
  </si>
  <si>
    <t>ИП4001017447</t>
  </si>
  <si>
    <t>ИП400101744700000</t>
  </si>
  <si>
    <t>248600 Калужская область город Калуга улица Ленина дом 98</t>
  </si>
  <si>
    <t>ООО "СЕРКОТО"</t>
  </si>
  <si>
    <t>4027010395</t>
  </si>
  <si>
    <t>ЮЛ4001000221</t>
  </si>
  <si>
    <t>ЮЛ400100022100000</t>
  </si>
  <si>
    <t>248001 Калужская область город Калуга улица Кирова дом 47   этаж 1</t>
  </si>
  <si>
    <t>АО "КРИСТАЛЛ-ИЗУМРУД"</t>
  </si>
  <si>
    <t>4027039820</t>
  </si>
  <si>
    <t>ЮЛ4001005846</t>
  </si>
  <si>
    <t>ЮЛ400100584600000</t>
  </si>
  <si>
    <t>248032 Калужская область город Калуга проезд Советский владение 7   часть производственно-складских площадей</t>
  </si>
  <si>
    <t>ООО "ПАРТНЁР"</t>
  </si>
  <si>
    <t>4027110174</t>
  </si>
  <si>
    <t>ЮЛ4001037306</t>
  </si>
  <si>
    <t>ЮЛ400103730600000</t>
  </si>
  <si>
    <t>248001 Калужская область город Калуга улица Кирова дом 47</t>
  </si>
  <si>
    <t>ООО "КРИСТАЛЛ-РУБИН"</t>
  </si>
  <si>
    <t>4027125406</t>
  </si>
  <si>
    <t>ЮЛ4001003899</t>
  </si>
  <si>
    <t>ЮЛ400100389900000</t>
  </si>
  <si>
    <t>248000 Калужская область г. Калуга Ленина 113</t>
  </si>
  <si>
    <t>ИП Мишина Эльвира Анатольевна</t>
  </si>
  <si>
    <t>402800097927</t>
  </si>
  <si>
    <t>ИП4001040075</t>
  </si>
  <si>
    <t>ИП400104007500000</t>
  </si>
  <si>
    <t>ИП Бескова Светлана Валентиновна</t>
  </si>
  <si>
    <t>402800919736</t>
  </si>
  <si>
    <t>ИП4001003740</t>
  </si>
  <si>
    <t>ИП400100374000000</t>
  </si>
  <si>
    <t>248000 Калужская область город Калуга улица Суворова дом 116   помещение 1</t>
  </si>
  <si>
    <t>ООО "ФИРМА "РЕССА"</t>
  </si>
  <si>
    <t>4028017442</t>
  </si>
  <si>
    <t>ЮЛ4001003250</t>
  </si>
  <si>
    <t>ЮЛ400100325000000</t>
  </si>
  <si>
    <t>248023 Калужская область город Калуга площадь Победы дом 10</t>
  </si>
  <si>
    <t>ЮЛ400100325000002</t>
  </si>
  <si>
    <t>248000 Калужская область город Калуга улица Площадь Победы дом 10   помещение 4</t>
  </si>
  <si>
    <t>ИП Левикова Галина Александровна</t>
  </si>
  <si>
    <t>402806175681</t>
  </si>
  <si>
    <t>ИП4001040804</t>
  </si>
  <si>
    <t>ИП400104080400000</t>
  </si>
  <si>
    <t>248001 Калужская область город Калуга улица Кирова дом 54 этаж 1  помещение 2</t>
  </si>
  <si>
    <t>ИП Затикян Ара Серёжаевич</t>
  </si>
  <si>
    <t>402903101100</t>
  </si>
  <si>
    <t>ИП4001014788</t>
  </si>
  <si>
    <t>ИП400101478800000</t>
  </si>
  <si>
    <t>248031 Калужская область город Калуга улица Московская дом 338А - - помещение №358</t>
  </si>
  <si>
    <t>ЮЛ500100602500012</t>
  </si>
  <si>
    <t>248000 Калужская область город Калуга улица Кирова дом 16   помещения 1,5-11,13,14,18,19</t>
  </si>
  <si>
    <t>ЮЛ480100215000017</t>
  </si>
  <si>
    <t>249030 Калужская область город Обнинск проспект Маркса дом 45   помещение №156 а</t>
  </si>
  <si>
    <t>ЮЛ480100215000035</t>
  </si>
  <si>
    <t>248021 Калужская область город Калуга улица Глаголева  дом 3   помещения №№41,42</t>
  </si>
  <si>
    <t>ЮЛ480100215000040</t>
  </si>
  <si>
    <t>248001 Калужская область город Калуга улица Кирова дом 19</t>
  </si>
  <si>
    <t>ИП500100445500051</t>
  </si>
  <si>
    <t>249030 Калужская область город Обнинск улица Курчатова дом 55</t>
  </si>
  <si>
    <t>ЮЛ520603376600054</t>
  </si>
  <si>
    <t>248001 Калужская область город Калуга улица Кирова дом 19   помещение № Ах9 этаж 1</t>
  </si>
  <si>
    <t>ИП610400426600033</t>
  </si>
  <si>
    <t>249010 Калужская область город Боровск улица Ленина дом 27   помещение 1</t>
  </si>
  <si>
    <t>ИП610401294100009</t>
  </si>
  <si>
    <t>249191 Калужская область город Жуков улица Гурьянова дом 5А</t>
  </si>
  <si>
    <t>ИП610401294100041</t>
  </si>
  <si>
    <t>248001 Калужская область город Калуга улица Кирова дом 23А   1 Этаж, Помещение 1-3</t>
  </si>
  <si>
    <t>ООО "Альфа-Голд"</t>
  </si>
  <si>
    <t>6732078398</t>
  </si>
  <si>
    <t>ЮЛ6701003475</t>
  </si>
  <si>
    <t>ЮЛ670100347500001</t>
  </si>
  <si>
    <t>249037 Калужская область город Обнинск проспект Ленина дом 72   комната 1</t>
  </si>
  <si>
    <t>ООО "СНЕЙЛ"</t>
  </si>
  <si>
    <t>7708253682</t>
  </si>
  <si>
    <t>ЮЛ4001008660</t>
  </si>
  <si>
    <t>ЮЛ400100866000000</t>
  </si>
  <si>
    <t>249037 Калужская область город Обнинск Киевское шоссе дом 6</t>
  </si>
  <si>
    <t>АО "НИФХИ ИМ. Л.Я. КАРПОВА"</t>
  </si>
  <si>
    <t>7709944065</t>
  </si>
  <si>
    <t>ЮЛ4001001841</t>
  </si>
  <si>
    <t>ЮЛ400100184100000</t>
  </si>
  <si>
    <t>248001 Калужская область город Калуга улица Кирова дом 1   часть  помещения  11, этаж 1</t>
  </si>
  <si>
    <t>ЮЛ770101216600289</t>
  </si>
  <si>
    <t>249037 Калужская область город Обнинск улица Красных Зорь дом 16   этаж 1</t>
  </si>
  <si>
    <t>ЮЛ770101216600333</t>
  </si>
  <si>
    <t>249039 Калужская область город Обнинск улица Курчатова дом 55   этаж 1, часть помещения № 7</t>
  </si>
  <si>
    <t>ЮЛ770101216600609</t>
  </si>
  <si>
    <t>248021 Калужская область город Калуга улица Глаголева дом 3   этаж 1, помещение № 40</t>
  </si>
  <si>
    <t>ЮЛ770101216600954</t>
  </si>
  <si>
    <t>248033 Калужская область город Калуга улица Генерала Попова здание 1а   этаж 1, часть нежилого помещения №15-33</t>
  </si>
  <si>
    <t>ЮЛ770101216601001</t>
  </si>
  <si>
    <t>248001 Калужская область город Калуга улица Кирова дом 19   этаж 1, часть нежилого помещения № 52</t>
  </si>
  <si>
    <t>ЮЛ770101216601002</t>
  </si>
  <si>
    <t>249034 Калужская область город Обнинск проспект Маркса дом 45   помещение156А</t>
  </si>
  <si>
    <t>ЮЛ770100419400004</t>
  </si>
  <si>
    <t>ЮЛ770100419400012</t>
  </si>
  <si>
    <t>249831 Калужская область снт Дружба  1с/267</t>
  </si>
  <si>
    <t>ИП Фидосеев Владимир Владимирович</t>
  </si>
  <si>
    <t>772459192470</t>
  </si>
  <si>
    <t>ИП7701039083</t>
  </si>
  <si>
    <t>ИП770103908300000</t>
  </si>
  <si>
    <t>249039 Калужская область город Обнинск проспект Маркса дом 130</t>
  </si>
  <si>
    <t>ИП Буш Татьяна Михайловна</t>
  </si>
  <si>
    <t>772480941531</t>
  </si>
  <si>
    <t>ИП7701008016</t>
  </si>
  <si>
    <t>ИП770100801600000</t>
  </si>
  <si>
    <t>ИП770100801600004</t>
  </si>
  <si>
    <t>ЮЛ770100193500391</t>
  </si>
  <si>
    <t>248001 Калужская область город Калуга улица Кирова дом 1   помещения № 122, № 123, № 124</t>
  </si>
  <si>
    <t>ЮЛ770100193500392</t>
  </si>
  <si>
    <t>248031 Калужская область город Калуга улица Московская дом 338а   нежилое помещение № 294, этаж 1 (первый)</t>
  </si>
  <si>
    <t>ЮЛ770100193500714</t>
  </si>
  <si>
    <t>249096 Калужская область город Малоярославец улица 17-й Стрелковой дивизии д. 2В/1</t>
  </si>
  <si>
    <t>ЮЛ780300131300112</t>
  </si>
  <si>
    <t>248001 Калужская область город Калуга улица Кирова дом 34</t>
  </si>
  <si>
    <t>ЮЛ780300131300135</t>
  </si>
  <si>
    <t>248001 Калужская область город Калуга улица Кирова дом 20</t>
  </si>
  <si>
    <t>ЮЛ780300131300136</t>
  </si>
  <si>
    <t>248001 Калужская область город Калуга улица Кирова дом 1   помещение 11 (часть нежилого помещения №142)</t>
  </si>
  <si>
    <t>ЮЛ780300131300151</t>
  </si>
  <si>
    <t>248001 Калужская область город Калуга улица Кирова дом 64   пом.83</t>
  </si>
  <si>
    <t>ЮЛ780300131300152</t>
  </si>
  <si>
    <t>248001 Калужская область город Калуга улица Кирова дом 16   помещения 1-9</t>
  </si>
  <si>
    <t>ЮЛ780300323500058</t>
  </si>
  <si>
    <t>248031 Калужская область город Калуга улица Московская дом 338а   часть нежилого помещения К17</t>
  </si>
  <si>
    <t>ЮЛ780300308200249</t>
  </si>
  <si>
    <t>248001 Калужская область город Калуга улица Кирова дом 64   помещение 83</t>
  </si>
  <si>
    <t>ЮЛ780300308200441</t>
  </si>
  <si>
    <t>249034 Калужская область город Обнинск проспект Маркса дом 45   помещение 156а</t>
  </si>
  <si>
    <t>ЮЛ780300308200606</t>
  </si>
  <si>
    <t>248001 Калужская область город Калуга улица Кирова дом 34   часть нежилого здания с инв №36453</t>
  </si>
  <si>
    <t>ЮЛ780300308200768</t>
  </si>
  <si>
    <t>248001 Калужская область город Калуга улица Кирова дом 20   часть торгового помещения №13, подсобные помещения №10,11,12</t>
  </si>
  <si>
    <t>ЮЛ780300308200799</t>
  </si>
  <si>
    <t>248001 Калужская область город Калуга улица Кирова дом 1   пом 11, а именно часть нежилого помещения на первом этаже в правом крыле Торгового комплекса "21 век", часть торгового помещения №142, подсобное помещение №143, подсобное помещение №144,  туалет №145</t>
  </si>
  <si>
    <t>ЮЛ780300308200805</t>
  </si>
  <si>
    <t>249034 Калужская область город Обнинск проспект Маркса дом 45   часть нежилого помещения № 156а</t>
  </si>
  <si>
    <t>ЮЛ780300308201149</t>
  </si>
  <si>
    <t>ЮЛ780300363500128</t>
  </si>
  <si>
    <t>248001 Калужская область город Калуга улица Кирова дом 1   1 этаж, помещения №167, 99</t>
  </si>
  <si>
    <t>ЮЛ770100439200193</t>
  </si>
  <si>
    <t>ЮЛ770100439200246</t>
  </si>
  <si>
    <t>Камчатский край</t>
  </si>
  <si>
    <t>683003 Камчатский край Петропавловск-Камчатский Пограничная 2 2</t>
  </si>
  <si>
    <t>ИП Саакадзе Леван Гивиевич</t>
  </si>
  <si>
    <t>143525129745</t>
  </si>
  <si>
    <t>ИП1409010952</t>
  </si>
  <si>
    <t>ИП140901095200001</t>
  </si>
  <si>
    <t>683902 Камчатский край город Петропавловск-Камчатский проспект Победы дом 67</t>
  </si>
  <si>
    <t>ИП140901095200002</t>
  </si>
  <si>
    <t>684000 Камчатский край город Елизово улица Ленина дом 5А</t>
  </si>
  <si>
    <t>ЮЛ270900211200068</t>
  </si>
  <si>
    <t>683038 Камчатский край город Петропавловск-Камчатский проезд Космический дом 3а</t>
  </si>
  <si>
    <t>ЮЛ270900211200069</t>
  </si>
  <si>
    <t>683024 Камчатский край город Петропавловск-Камчатский проспект 50 лет Октября дом 17   бутик Обручальное кольцо</t>
  </si>
  <si>
    <t>ИП Гечис Константин Казисович</t>
  </si>
  <si>
    <t>410100141370</t>
  </si>
  <si>
    <t>ИП4109010929</t>
  </si>
  <si>
    <t>ИП410901092900001</t>
  </si>
  <si>
    <t>683902 Камчатский край город Петропавловск-Камчатский проспект Победы дом 67 ТЦ Шамса  бутик Янтарь</t>
  </si>
  <si>
    <t>ИП410901092900008</t>
  </si>
  <si>
    <t>683902 Камчатский край город Петропавловск-Камчатский проспект Победы дом 67 ТЦ Шамса  бутик Я люблю Камчатку</t>
  </si>
  <si>
    <t>ИП410901092900009</t>
  </si>
  <si>
    <t>683024 Камчатский край город Петропавловск-Камчатский проспект 50 лет Октября дом 16/1 ТЦ Парус  бутик Лазурит</t>
  </si>
  <si>
    <t>ИП410901092900011</t>
  </si>
  <si>
    <t>683003 Камчатский край город Петропавловск-Камчатский улица Пограничная дом 2/2 ТК "Галант Плаза"  бутик Плаза</t>
  </si>
  <si>
    <t>ИП410901092900013</t>
  </si>
  <si>
    <t>683024 Камчатский край город Петропавловск-Камчатский проспект 50 лет Октября 18</t>
  </si>
  <si>
    <t>ИП Комиссаров Виктор Викторович</t>
  </si>
  <si>
    <t>410100645867</t>
  </si>
  <si>
    <t>ИП4109004354</t>
  </si>
  <si>
    <t>ИП410900435400006</t>
  </si>
  <si>
    <t>683031 Камчатский край город Петропавловск-Камчатский проспект 50 лет Октября дом 24</t>
  </si>
  <si>
    <t>ИП Остренко Антон Анатольевич</t>
  </si>
  <si>
    <t>410100778289</t>
  </si>
  <si>
    <t>ИП4109009972</t>
  </si>
  <si>
    <t>ИП410900997200000</t>
  </si>
  <si>
    <t>683031 Камчатский край город Петропавловск-Камчатский проспект 50 лет Октября дом 16/1</t>
  </si>
  <si>
    <t>ИП410900997200001</t>
  </si>
  <si>
    <t>683000 Камчатский край город Петропавловск-Камчатский 50 лет Октября 16/1   26-27</t>
  </si>
  <si>
    <t>ИП Лезвинский Олег Станиславович</t>
  </si>
  <si>
    <t>410100782366</t>
  </si>
  <si>
    <t>ИП4109012949</t>
  </si>
  <si>
    <t>ИП410901294900000</t>
  </si>
  <si>
    <t>683024 Камчатский край город Петропавловск-Камчатский проспект 50 лет Октября дом 4   офис 108</t>
  </si>
  <si>
    <t>ИП Жеребцова Наталья Викторовна</t>
  </si>
  <si>
    <t>410102118337</t>
  </si>
  <si>
    <t>ИП4109004289</t>
  </si>
  <si>
    <t>ИП410900428900000</t>
  </si>
  <si>
    <t>683000 Камчатский край город Петропавловск-Камчатский Проспект Победы 67</t>
  </si>
  <si>
    <t>ИП Лезвинская Надежда Ивановна</t>
  </si>
  <si>
    <t>410103994552</t>
  </si>
  <si>
    <t>ИП4109013000</t>
  </si>
  <si>
    <t>ИП410901300000000</t>
  </si>
  <si>
    <t>683024 Камчатский край город Петропавловск-Камчатский проспект 50 лет Октября дом 35   офис 82</t>
  </si>
  <si>
    <t>ИП Мокреева Любовь Викторовна</t>
  </si>
  <si>
    <t>410105599276</t>
  </si>
  <si>
    <t>ИП4109000140</t>
  </si>
  <si>
    <t>ИП410900014000000</t>
  </si>
  <si>
    <t>683023 Камчатский край Петропавловск-Камчатский Победы 67</t>
  </si>
  <si>
    <t>ИП Иванов Александр Николаевич</t>
  </si>
  <si>
    <t>410106873806</t>
  </si>
  <si>
    <t>ИП4109003447</t>
  </si>
  <si>
    <t>ИП410900344700000</t>
  </si>
  <si>
    <t>683003 Камчатский край город Петропавловск-Камчатский улица Пограничная дом 2</t>
  </si>
  <si>
    <t>ИП410900344700002</t>
  </si>
  <si>
    <t>683006 Камчатский край город Петропавловск-Камчатский проспект Победы дом 22   помещение №30</t>
  </si>
  <si>
    <t>ИП Дьяченко Дмитрий Петрович</t>
  </si>
  <si>
    <t>410110441598</t>
  </si>
  <si>
    <t>ИП4109011535</t>
  </si>
  <si>
    <t>ИП410901153500000</t>
  </si>
  <si>
    <t>683015 Камчатский край город Петропавловск-Камчатский улица Индустриальная дом 7</t>
  </si>
  <si>
    <t>ИП Смирнов Алексей Владимирович</t>
  </si>
  <si>
    <t>410111735569</t>
  </si>
  <si>
    <t>ИП4109005085</t>
  </si>
  <si>
    <t>ИП410900508500000</t>
  </si>
  <si>
    <t>683000 Камчатский край город Петропавловск-Камчатский Ленинградская 72</t>
  </si>
  <si>
    <t>ИП Великанова Елена Игоревна</t>
  </si>
  <si>
    <t>410116748025</t>
  </si>
  <si>
    <t>ИП4109019832</t>
  </si>
  <si>
    <t>ИП410901983200000</t>
  </si>
  <si>
    <t>683902 Камчатский край город Петропавловск-Камчатский проспект Победы дом 67   № 138, № 139</t>
  </si>
  <si>
    <t>ИП Мартиросян Андраник Меружанович</t>
  </si>
  <si>
    <t>410120011724</t>
  </si>
  <si>
    <t>ИП4109003472</t>
  </si>
  <si>
    <t>ИП410900347200000</t>
  </si>
  <si>
    <t>ИП Морозова Виктория Владимировна</t>
  </si>
  <si>
    <t>410122186656</t>
  </si>
  <si>
    <t>ИП4109032384</t>
  </si>
  <si>
    <t>ИП410903238400000</t>
  </si>
  <si>
    <t>6840900 Камчатский край город Вилючинск Кронштадтская 2   помещение 83</t>
  </si>
  <si>
    <t>ИП Полякова Ирина Павловна</t>
  </si>
  <si>
    <t>410200702290</t>
  </si>
  <si>
    <t>ИП4109001607</t>
  </si>
  <si>
    <t>ИП410900160700000</t>
  </si>
  <si>
    <t>684000 Камчатский край город Елизово улица Завойко дом 15а   Помещение 21</t>
  </si>
  <si>
    <t>ИП Степанова Елена Анатольевна</t>
  </si>
  <si>
    <t>410500038867</t>
  </si>
  <si>
    <t>ИП4109008451</t>
  </si>
  <si>
    <t>ИП410900845100000</t>
  </si>
  <si>
    <t>684000 Камчатский край город Елизово улица Ленина дом 29   Помещение №19</t>
  </si>
  <si>
    <t>ИП410900845100001</t>
  </si>
  <si>
    <t>684000 Камчатский край город Елизово улица Ленина дом 15   Помещение №"24,25,34"</t>
  </si>
  <si>
    <t>ИП410900845100002</t>
  </si>
  <si>
    <t>684000 Камчатский край город Елизово переулок Почтовый дом 3   1й этаж</t>
  </si>
  <si>
    <t>ИП410900845100003</t>
  </si>
  <si>
    <t>683031 Камчатский край город Петропавловск-Камчатский улица Тушканова дом 2   Помещение №2</t>
  </si>
  <si>
    <t>ИП410900845100004</t>
  </si>
  <si>
    <t>683024 Камчатский край город Петропавловск-Камчатский проспект 50 лет Октября дом 31   Помещения №1,№2</t>
  </si>
  <si>
    <t>ИП410900845100005</t>
  </si>
  <si>
    <t>683003 Камчатский край город Петропавловск-Камчатский улица Пограничная дом 2 строение "Галерея 1"  Помещение №2</t>
  </si>
  <si>
    <t>ИП410900845100007</t>
  </si>
  <si>
    <t>684000 Камчатский край город Елизово улица Ленина дом 17   помещение №1/А</t>
  </si>
  <si>
    <t>ИП410900845100008</t>
  </si>
  <si>
    <t>684000 Камчатский край город Елизово улица Завойко дом 6   помещения №5,№6А</t>
  </si>
  <si>
    <t>ИП Степанов Павел Алексеевич</t>
  </si>
  <si>
    <t>410500099443</t>
  </si>
  <si>
    <t>ИП4109006771</t>
  </si>
  <si>
    <t>ИП410900677100005</t>
  </si>
  <si>
    <t>683024 Камчатский край город Петропавловск-Камчатский проспект 50 лет Октября дом 18   помещения №98,111,112</t>
  </si>
  <si>
    <t>ИП410900677100006</t>
  </si>
  <si>
    <t>683003 Камчатский край город Петропавловск-Камчатский улица Пограничная дом 2 строение "Галерея №1"  помещение №1</t>
  </si>
  <si>
    <t>ИП410900677100007</t>
  </si>
  <si>
    <t>684000 Камчатский край город Елизово ул Ленина Дом 17   Помещение №1/Б</t>
  </si>
  <si>
    <t>ИП410900677100008</t>
  </si>
  <si>
    <t>684110 Камчатский край поселок Озерновский улица Октябрьская дом 23</t>
  </si>
  <si>
    <t>ИП Буткевич Анна Андреевна</t>
  </si>
  <si>
    <t>410800769096</t>
  </si>
  <si>
    <t>ИП4109019830</t>
  </si>
  <si>
    <t>ИП410901983000000</t>
  </si>
  <si>
    <t>683902 Камчатский край город Петропавловск-Камчатский проспект Победы дом 67 корпус 1  нежилое помещение 1</t>
  </si>
  <si>
    <t>ИП770101425100007</t>
  </si>
  <si>
    <t>683003 Камчатский край город Петропавловск-Камчатский улица Пограничная дом 2/2 ТЦ Галант Плаза  2 этаж, помещение 58</t>
  </si>
  <si>
    <t>ИП770101425100008</t>
  </si>
  <si>
    <t>683902 Камчатский край город Петропавловск-Камчатский проспект Победы дом 67   помещение № 90, первый этаж</t>
  </si>
  <si>
    <t>ЮЛ770100193500395</t>
  </si>
  <si>
    <t>683023 Камчатский край город Петропавловск-Камчатский улица Вулканная дом 59   помещение 68,часть помещения 49, часть помещения 3, 1 и 2 этаж</t>
  </si>
  <si>
    <t>ЮЛ770100193500811</t>
  </si>
  <si>
    <t>683003 Камчатский край город Петропавловск-Камчатский улица Ленинградская дом 49</t>
  </si>
  <si>
    <t>ЮЛ780300308200303</t>
  </si>
  <si>
    <t>683006 Камчатский край город Петропавловск-Камчатский улица Вулканная дом 59</t>
  </si>
  <si>
    <t>ЮЛ780300308200353</t>
  </si>
  <si>
    <t>683902 Камчатский край город Петропавловск-Камчатский проспект Победы дом 67   часть нежилого помещения № 128</t>
  </si>
  <si>
    <t>ЮЛ780300308201150</t>
  </si>
  <si>
    <t>683003 Камчатский край город Петропавловск-Камчатский улица Пограничная дом 2/2</t>
  </si>
  <si>
    <t>ИП Дробышевская Раиса Геннадьевна</t>
  </si>
  <si>
    <t>820200571694</t>
  </si>
  <si>
    <t>ИП4109010976</t>
  </si>
  <si>
    <t>ИП410901097600000</t>
  </si>
  <si>
    <t>684005 Камчатский край город Елизово улица Звездная дом 14</t>
  </si>
  <si>
    <t>ИП410901097600002</t>
  </si>
  <si>
    <t>684005 Камчатский край город Елизово улица Звездная дом 14   1</t>
  </si>
  <si>
    <t>ИП410901097600004</t>
  </si>
  <si>
    <t>Карачаево-Черкесская Республика</t>
  </si>
  <si>
    <t>369015 Карачаево-Черкесская Республика город Черкесск улица Космонавтов здание 27Г</t>
  </si>
  <si>
    <t>ИП Джазаева Мариям Умаровна</t>
  </si>
  <si>
    <t>90100256420</t>
  </si>
  <si>
    <t>ИП0905034195</t>
  </si>
  <si>
    <t>ИП090503419500000</t>
  </si>
  <si>
    <t>369000 Карачаево-Черкесская Республика город Черкесск проспект Ленина дом 58</t>
  </si>
  <si>
    <t>ИП Вапсинова Ирина Хамусовна</t>
  </si>
  <si>
    <t>90101677357</t>
  </si>
  <si>
    <t>ИП0905005536</t>
  </si>
  <si>
    <t>ИП090500553600000</t>
  </si>
  <si>
    <t>369000 Карачаево-Черкесская Республика город Черкесск улица Первомайская дом 38</t>
  </si>
  <si>
    <t>901020524</t>
  </si>
  <si>
    <t>ЮЛ0905001428</t>
  </si>
  <si>
    <t>ЮЛ090500142800000</t>
  </si>
  <si>
    <t>369000 Карачаево-Черкесская Республика город Черкесск улица Ленина дом 52</t>
  </si>
  <si>
    <t>ЮЛ090500142800002</t>
  </si>
  <si>
    <t>369140 Карачаево-Черкесская Республика станица Зеленчукская Победы 209/1</t>
  </si>
  <si>
    <t>ИП Джашеев Теймураз Исламович</t>
  </si>
  <si>
    <t>90401263981</t>
  </si>
  <si>
    <t>ИП0905001703</t>
  </si>
  <si>
    <t>ИП090500170300000</t>
  </si>
  <si>
    <t>369281 Карачаево-Черкесская Республика поселок городского типа Медногорский улица Бардина дом 4   квартира 1</t>
  </si>
  <si>
    <t>ИП Левченко Александр Павлович</t>
  </si>
  <si>
    <t>90800212403</t>
  </si>
  <si>
    <t>ИП0905001699</t>
  </si>
  <si>
    <t>ИП090500169900000</t>
  </si>
  <si>
    <t>369000 Карачаево-Черкесская Республика город Черкесск проспект Ленина дом 25</t>
  </si>
  <si>
    <t>ИП Шебзухов Борис Владимирович</t>
  </si>
  <si>
    <t>91000066201</t>
  </si>
  <si>
    <t>ИП0905005253</t>
  </si>
  <si>
    <t>ИП090500525300000</t>
  </si>
  <si>
    <t>369000 Карачаево-Черкесская Республика город Черкесск улица Кавказская дом 36   квартира 21</t>
  </si>
  <si>
    <t>ИП Байрамкулова Эльмира Рамазановна</t>
  </si>
  <si>
    <t>91610112258</t>
  </si>
  <si>
    <t>ИП0905005993</t>
  </si>
  <si>
    <t>ИП090500599300000</t>
  </si>
  <si>
    <t>369000 Карачаево-Черкесская Республика город Черкесск улица Первомайская дом 35</t>
  </si>
  <si>
    <t>ИП090500599300001</t>
  </si>
  <si>
    <t>369380 Карачаево-Черкесская Республика село Учкекен улица Ленина здание 55б</t>
  </si>
  <si>
    <t>ЮЛ660700070800034</t>
  </si>
  <si>
    <t>369204 Карачаево-Черкесская Республика город Карачаевск улица Ленина дом 52в   помещение 9</t>
  </si>
  <si>
    <t>ЮЛ660700070800070</t>
  </si>
  <si>
    <t>369015 Карачаево-Черкесская Республика город Черкесск улица Космонавтов дом 19а   квартира 2</t>
  </si>
  <si>
    <t>ЮЛ660700070800172</t>
  </si>
  <si>
    <t>369000 Карачаево-Черкесская Республика город Черкесск проспект Ленина дом 52</t>
  </si>
  <si>
    <t>ЮЛ660700070800173</t>
  </si>
  <si>
    <t>369000 Карачаево-Черкесская Республика город Черкесск проспект Ленина дом 52   пом. №2, №3</t>
  </si>
  <si>
    <t>ООО ЛОМБАРД "ОСОБАЯ ПРИВИЛЕГИЯ"</t>
  </si>
  <si>
    <t>6685104739</t>
  </si>
  <si>
    <t>ЮЛ6607000090</t>
  </si>
  <si>
    <t>ЮЛ660700009000002</t>
  </si>
  <si>
    <t>369000 Карачаево-Черкесская Республика город Черкесск улица Кавказская дом 37</t>
  </si>
  <si>
    <t>ЮЛ770100419400080</t>
  </si>
  <si>
    <t>369000 Карачаево-Черкесская Республика город Черкесск улица Кавказская дом 37   помещение 8, 1 этаж</t>
  </si>
  <si>
    <t>ЮЛ770100193500262</t>
  </si>
  <si>
    <t>369000 Карачаево-Черкесская Республика город Черкесск проспект Ленина дом 56   этаж 1 (первый)</t>
  </si>
  <si>
    <t>ЮЛ770100193500764</t>
  </si>
  <si>
    <t>369000 Карачаево-Черкесская Республика город Черкесск улица Кавказская дом 30</t>
  </si>
  <si>
    <t>ЮЛ770100193501046</t>
  </si>
  <si>
    <t>369380 Карачаево-Черкесская Республика село Учкекен улица Ленина дом 65а</t>
  </si>
  <si>
    <t>ЮЛ770100193501053</t>
  </si>
  <si>
    <t>369000 Карачаево-Черкесская Республика город Черкесск улица Ленина дом №56</t>
  </si>
  <si>
    <t>ЮЛ780300131300220</t>
  </si>
  <si>
    <t>369000 Карачаево-Черкесская Республика город Черкесск проспект Ленина дом №73  литер А</t>
  </si>
  <si>
    <t>ЮЛ780300131300221</t>
  </si>
  <si>
    <t>369200 Карачаево-Черкесская Республика город Карачаевск улица Ленина дом №40-Б</t>
  </si>
  <si>
    <t>ЮЛ780300131300222</t>
  </si>
  <si>
    <t>369000 Карачаево-Черкесская Республика город Черкесск улица Кавказская дом №37</t>
  </si>
  <si>
    <t>ЮЛ780300131300572</t>
  </si>
  <si>
    <t>369140 Карачаево-Черкесская Республика станица Зеленчукская улица Мира дом №30</t>
  </si>
  <si>
    <t>ЮЛ780300328000095</t>
  </si>
  <si>
    <t>369000 Карачаево-Черкесская Республика город Черкесск улица Кавказская дом № 37</t>
  </si>
  <si>
    <t>ЮЛ780300331800075</t>
  </si>
  <si>
    <t>ЮЛ780300323500204</t>
  </si>
  <si>
    <t>369000 Карачаево-Черкесская Республика город Черкесск проспект Ленина дом 56</t>
  </si>
  <si>
    <t>ЮЛ780300323500205</t>
  </si>
  <si>
    <t>ЮЛ780300308200096</t>
  </si>
  <si>
    <t>369140 Карачаево-Черкесская Республика станица Зеленчукская улица Мира дом 30</t>
  </si>
  <si>
    <t>ЮЛ780300308200524</t>
  </si>
  <si>
    <t>369200 Карачаево-Черкесская Республика город Карачаевск улица Ленина дом 40б</t>
  </si>
  <si>
    <t>ЮЛ780300308200526</t>
  </si>
  <si>
    <t>369000 Карачаево-Черкесская Республика город Черкесск улица Ленина дом 56</t>
  </si>
  <si>
    <t>ЮЛ780300308200884</t>
  </si>
  <si>
    <t>369000 Карачаево-Черкесская Республика город Черкесск улица Ленина дом № 73 литер А   нежилое помещение № 10</t>
  </si>
  <si>
    <t>ЮЛ780300308201000</t>
  </si>
  <si>
    <t>ЮЛ780300363500263</t>
  </si>
  <si>
    <t>ЮЛ780300363500264</t>
  </si>
  <si>
    <t>Кемеровская область</t>
  </si>
  <si>
    <t>652470 Кемеровская область город Анжеро-Судженск улица Гагарина дом 1</t>
  </si>
  <si>
    <t>ИП Хижняк Сергей Михайлович</t>
  </si>
  <si>
    <t>245606658334</t>
  </si>
  <si>
    <t>ИП4208013341</t>
  </si>
  <si>
    <t>ИП420801334100000</t>
  </si>
  <si>
    <t>652470 Кемеровская область город Анжеро-Судженск улица Горняцкая дом 4</t>
  </si>
  <si>
    <t>ИП420801334100002</t>
  </si>
  <si>
    <t>650004 Кемеровская область город Кемерово проспект Ленина дом 59  Литера А</t>
  </si>
  <si>
    <t>ИП Бутко Игорь Олегович</t>
  </si>
  <si>
    <t>246412109792</t>
  </si>
  <si>
    <t>ИП2408011561</t>
  </si>
  <si>
    <t>ИП240801156100003</t>
  </si>
  <si>
    <t>652470 Кемеровская область Город Анжеро-Судженск Улица Ленина Дом 13  а место № ОБ-4</t>
  </si>
  <si>
    <t>ИП Милованова Ирина Васильевна</t>
  </si>
  <si>
    <t>420103317099</t>
  </si>
  <si>
    <t>ИП4208013799</t>
  </si>
  <si>
    <t>ИП420801379900000</t>
  </si>
  <si>
    <t>652612 Кемеровская область город Белово улица Юбилейная дом 7</t>
  </si>
  <si>
    <t>ИП Микшин Юрий Валентинович</t>
  </si>
  <si>
    <t>420200225485</t>
  </si>
  <si>
    <t>ИП4208015718</t>
  </si>
  <si>
    <t>ИП420801571800000</t>
  </si>
  <si>
    <t>652642 Кемеровская область пгт. Бачатский улица Комсомольская дом 13   помещение 57</t>
  </si>
  <si>
    <t>ИП Любина Елена Борисовна</t>
  </si>
  <si>
    <t>420202352009</t>
  </si>
  <si>
    <t>ИП4208011629</t>
  </si>
  <si>
    <t>ИП420801162900000</t>
  </si>
  <si>
    <t>652600 Кемеровская область город Белово улица Советская дом 8</t>
  </si>
  <si>
    <t>ИП Ключевская Ирина Геннадьевна</t>
  </si>
  <si>
    <t>420204036633</t>
  </si>
  <si>
    <t>ИП4208011587</t>
  </si>
  <si>
    <t>ИП420801158700000</t>
  </si>
  <si>
    <t>652600 Кемеровская область город Белово улица Советская дом 47   помещение 3</t>
  </si>
  <si>
    <t>ИП Алексеенко Кристина Альбертовна</t>
  </si>
  <si>
    <t>420206700666</t>
  </si>
  <si>
    <t>ИП7701002352</t>
  </si>
  <si>
    <t>ИП770100235200000</t>
  </si>
  <si>
    <t>652560 Кемеровская область город Полысаево улица Космонавтов дом 69</t>
  </si>
  <si>
    <t>ИП770100235200001</t>
  </si>
  <si>
    <t>6520600 Кемеровская область город Белово улица Советская дом 22   помещение 28</t>
  </si>
  <si>
    <t>ИП770100235200002</t>
  </si>
  <si>
    <t>652600 Кемеровская область город Белово улица Юбилейная дом 4   помещение 65</t>
  </si>
  <si>
    <t>ИП770100235200003</t>
  </si>
  <si>
    <t>652600 Кемеровская область город Белово улица Ленина дом 5</t>
  </si>
  <si>
    <t>ИП770100235200004</t>
  </si>
  <si>
    <t>652780 Кемеровская область город Гурьевск улица Ленина дом 73   кв 3</t>
  </si>
  <si>
    <t>ИП Чубриков Николай Сергеевич</t>
  </si>
  <si>
    <t>420211395707</t>
  </si>
  <si>
    <t>ИП4208016578</t>
  </si>
  <si>
    <t>ИП420801657800000</t>
  </si>
  <si>
    <t>652420 Кемеровская область город Березовский проспект Ленина дом 17   помещение 75</t>
  </si>
  <si>
    <t>ИП Горлова Светлана Григорьевна</t>
  </si>
  <si>
    <t>420300000140</t>
  </si>
  <si>
    <t>ИП4208016671</t>
  </si>
  <si>
    <t>ИП420801667100000</t>
  </si>
  <si>
    <t>652420 Кемеровская область город Березовский проспект Шахтеров дом 2А   помещение 23</t>
  </si>
  <si>
    <t>ИП420801667100002</t>
  </si>
  <si>
    <t>650002 Кемеровская область город Кемерово проспект Шахтеров дом 54   помещение 43</t>
  </si>
  <si>
    <t>ИП420801667100003</t>
  </si>
  <si>
    <t>650780 Кемеровская область Гурьевск Кирова 40</t>
  </si>
  <si>
    <t>ИП Колмаков Игорь Викторович</t>
  </si>
  <si>
    <t>420401950660</t>
  </si>
  <si>
    <t>ИП4208016567</t>
  </si>
  <si>
    <t>ИП420801656700000</t>
  </si>
  <si>
    <t>650066 Кемеровская область Кемерово Ленина 59А   D-11</t>
  </si>
  <si>
    <t>ИП Бирюкова Алла Валерьевна</t>
  </si>
  <si>
    <t>420500005106</t>
  </si>
  <si>
    <t>ИП4208033676</t>
  </si>
  <si>
    <t>ИП420803367600000</t>
  </si>
  <si>
    <t>650068 Кемеровская область город Кемерово улица Халтурина дом 37А</t>
  </si>
  <si>
    <t>ИП Шмидт Ольга Евгеньевна</t>
  </si>
  <si>
    <t>420501222826</t>
  </si>
  <si>
    <t>ИП4208018075</t>
  </si>
  <si>
    <t>ИП420801807500000</t>
  </si>
  <si>
    <t>652700 Кемеровская область город Киселевск улица Ленина дом 38</t>
  </si>
  <si>
    <t>ИП Ганов Максим Викторович</t>
  </si>
  <si>
    <t>420503700203</t>
  </si>
  <si>
    <t>ИП4208015695</t>
  </si>
  <si>
    <t>ИП420801569500000</t>
  </si>
  <si>
    <t>652718 Кемеровская область город Киселевск улица Студенческая дом 8</t>
  </si>
  <si>
    <t>ИП420801569500001</t>
  </si>
  <si>
    <t>652707 Кемеровская область город Киселевск улица Томская дом 20</t>
  </si>
  <si>
    <t>ИП420801569500003</t>
  </si>
  <si>
    <t>652723 Кемеровская область город Киселевск проезд Западный дом 3</t>
  </si>
  <si>
    <t>ИП420801569500005</t>
  </si>
  <si>
    <t>652305 Кемеровская область город Топки микрорайон Солнечный дом 11</t>
  </si>
  <si>
    <t>ИП420801569500006</t>
  </si>
  <si>
    <t>653039 Кемеровская область город Прокопьевск улица Институтская здание 21А</t>
  </si>
  <si>
    <t>ИП420801569500008</t>
  </si>
  <si>
    <t>650066 Кемеровская область город Кемерово проспект Октябрьский дом 2Б   офис 430</t>
  </si>
  <si>
    <t>ООО "ЭГИДА"</t>
  </si>
  <si>
    <t>4205057904</t>
  </si>
  <si>
    <t>ЮЛ4208006794</t>
  </si>
  <si>
    <t>ЮЛ420800679400000</t>
  </si>
  <si>
    <t>650000 Кемеровская область город Кемерово улица Весенняя дом 16   помещение 87 салон Эталон Голд</t>
  </si>
  <si>
    <t>ЮЛ420800679400002</t>
  </si>
  <si>
    <t>652470 Кемеровская область город Анжеро-Судженск улица Желябова дом 3   помещение 71 салон Эталон Голд</t>
  </si>
  <si>
    <t>ЮЛ420800679400004</t>
  </si>
  <si>
    <t>652010 Кемеровская область поселок городского типа Яшкино улица Куйбышева дом 12   помещение 43 салон Алмаз</t>
  </si>
  <si>
    <t>ЮЛ420800679400006</t>
  </si>
  <si>
    <t>650066 Кемеровская область город Кемерово проспект Ленина дом 59А   помещение 53 салон Эталон Голд</t>
  </si>
  <si>
    <t>ЮЛ420800679400007</t>
  </si>
  <si>
    <t>650000 Кемеровская область город Кемерово улица Притомская Набережная дом 7   помещение 1</t>
  </si>
  <si>
    <t>ЮЛ420800679400008</t>
  </si>
  <si>
    <t>650070 Кемеровская область город Кемерово проспект Молодежный дом 2   помещение 13</t>
  </si>
  <si>
    <t>ЮЛ420800679400009</t>
  </si>
  <si>
    <t>650025 Кемеровская область город Кемерово проспект Ленина дом 22   помещение 9</t>
  </si>
  <si>
    <t>ИП Семенов Александр Яковлевич</t>
  </si>
  <si>
    <t>420509136304</t>
  </si>
  <si>
    <t>ИП4208001194</t>
  </si>
  <si>
    <t>ИП420800119400000</t>
  </si>
  <si>
    <t>650025 Кемеровская область город Кемерово проспект Ленина дом 22</t>
  </si>
  <si>
    <t>ООО "ЦЕНТРАЛЬНЫЙ ЛОМБАРД"</t>
  </si>
  <si>
    <t>4205172054</t>
  </si>
  <si>
    <t>ЮЛ4208001070</t>
  </si>
  <si>
    <t>ЮЛ420800107000000</t>
  </si>
  <si>
    <t>650033 Кемеровская область город Кемерово улица Леонова дом 11</t>
  </si>
  <si>
    <t>ЮЛ420800107000001</t>
  </si>
  <si>
    <t>650023 Кемеровская область город Кемерово проспект Октябрьский дом 34   А10</t>
  </si>
  <si>
    <t>ИП Корепанов Антон Александрович</t>
  </si>
  <si>
    <t>420520191147</t>
  </si>
  <si>
    <t>ИП4208013682</t>
  </si>
  <si>
    <t>ИП420801368200003</t>
  </si>
  <si>
    <t>650043 Кемеровская область город Кемерово проспект Ленина дом 52   помещ.43</t>
  </si>
  <si>
    <t>ООО "АУРУМ"</t>
  </si>
  <si>
    <t>4205212010</t>
  </si>
  <si>
    <t>ЮЛ4208011632</t>
  </si>
  <si>
    <t>ЮЛ420801163200000</t>
  </si>
  <si>
    <t>650066 Кемеровская область город Кемерово проспект Ленина дом 61</t>
  </si>
  <si>
    <t>ИП Дубская Марина Анатольевна</t>
  </si>
  <si>
    <t>420522530268</t>
  </si>
  <si>
    <t>ИП4208010057</t>
  </si>
  <si>
    <t>ИП420801005700000</t>
  </si>
  <si>
    <t>650033 Кемеровская область город Кемерово улица Леонова дом 13    24</t>
  </si>
  <si>
    <t>ИП Юрьев Юрий Юрьевич</t>
  </si>
  <si>
    <t>420523670701</t>
  </si>
  <si>
    <t>ИП4208015739</t>
  </si>
  <si>
    <t>ИП420801573900000</t>
  </si>
  <si>
    <t>650060 Кемеровская область город Кемерово бульвар Строителей дом 22   73</t>
  </si>
  <si>
    <t>ИП Матвеев Андрей Александрович</t>
  </si>
  <si>
    <t>420526424006</t>
  </si>
  <si>
    <t>ИП4208031703</t>
  </si>
  <si>
    <t>ИП420803170300000</t>
  </si>
  <si>
    <t>650000 Кемеровская область город Кемерово улица Притомская Набережная дом 17   помещение 65</t>
  </si>
  <si>
    <t>ИП Лейкина Екатерина Владимировна</t>
  </si>
  <si>
    <t>420528395336</t>
  </si>
  <si>
    <t>ИП4208036127</t>
  </si>
  <si>
    <t>ИП420803612700000</t>
  </si>
  <si>
    <t>650000 Кемеровская область город Кемерово проспект Ленина здание 33 А</t>
  </si>
  <si>
    <t>ИП Браун Кристина Викторовна</t>
  </si>
  <si>
    <t>420529213155</t>
  </si>
  <si>
    <t>ИП4208015682</t>
  </si>
  <si>
    <t>ИП420801568200000</t>
  </si>
  <si>
    <t>650004 Кемеровская область город Кемерово проспект Ленина дом 59А   Этаж цокольный 1, пом.74</t>
  </si>
  <si>
    <t>ИП Булакин Станислав Владимирович</t>
  </si>
  <si>
    <t>420529287446</t>
  </si>
  <si>
    <t>ИП4208000195</t>
  </si>
  <si>
    <t>ИП420800019500000</t>
  </si>
  <si>
    <t>ИП Савченко Иван Вениаминович</t>
  </si>
  <si>
    <t>420531855625</t>
  </si>
  <si>
    <t>ИП4208038360</t>
  </si>
  <si>
    <t>ИП420803836000000</t>
  </si>
  <si>
    <t>ИП Токаленко Виктория Викторовна</t>
  </si>
  <si>
    <t>420532529007</t>
  </si>
  <si>
    <t>ИП4208011664</t>
  </si>
  <si>
    <t>ИП420801166400000</t>
  </si>
  <si>
    <t>650000 Кемеровская область город Кемерово улица Кирова дом 18   помещение 32</t>
  </si>
  <si>
    <t>ООО "СИ"</t>
  </si>
  <si>
    <t>4205394829</t>
  </si>
  <si>
    <t>ЮЛ4208032979</t>
  </si>
  <si>
    <t>ЮЛ420803297900000</t>
  </si>
  <si>
    <t>652700 Кемеровская область Киселевск Ленина 38</t>
  </si>
  <si>
    <t>ООО "ЛОМБАРД НИЗКИХ СТАВОК"</t>
  </si>
  <si>
    <t>4205399136</t>
  </si>
  <si>
    <t>ЮЛ4208012712</t>
  </si>
  <si>
    <t>ЮЛ420801271200000</t>
  </si>
  <si>
    <t>652707 Кемеровская область Киселевск Томская 20</t>
  </si>
  <si>
    <t>ЮЛ420801271200001</t>
  </si>
  <si>
    <t>ЮЛ420801271200003</t>
  </si>
  <si>
    <t>653000 Кемеровская область город Прокопьевск улица Институтская 21  А</t>
  </si>
  <si>
    <t>ЮЛ420801271200004</t>
  </si>
  <si>
    <t>650000 Кемеровская область город Кемерово проспект Советский 33   54</t>
  </si>
  <si>
    <t>ООО "СТЕРХ 2023"</t>
  </si>
  <si>
    <t>4205417064</t>
  </si>
  <si>
    <t>ЮЛ4208035351</t>
  </si>
  <si>
    <t>ЮЛ420803535100000</t>
  </si>
  <si>
    <t>650066 Кемеровская область КЕМЕРОВО ПРОСПЕКТ ОКТЯБРЬСКИЙ 2Б   430</t>
  </si>
  <si>
    <t>ООО "ЛЕЯ"</t>
  </si>
  <si>
    <t>4205423798</t>
  </si>
  <si>
    <t>ЮЛ4208037783</t>
  </si>
  <si>
    <t>ЮЛ420803778300000</t>
  </si>
  <si>
    <t>650070 Кемеровская область город Кемерово проспект Молодежный 2</t>
  </si>
  <si>
    <t>ИП Чистякова Марина Алихановна</t>
  </si>
  <si>
    <t>420548861440</t>
  </si>
  <si>
    <t>ИП4208015520</t>
  </si>
  <si>
    <t>ИП420801552000000</t>
  </si>
  <si>
    <t>650000 Кемеровская область город Кемерово Проспект Шахтеров 87   Помещение 11</t>
  </si>
  <si>
    <t>ИП Попова Ирина Яковлевна</t>
  </si>
  <si>
    <t>420590857409</t>
  </si>
  <si>
    <t>ИП4208012234</t>
  </si>
  <si>
    <t>ИП420801223400000</t>
  </si>
  <si>
    <t>652380 Кемеровская область поселок городского типа Промышленная улица Коммунистическая дом 28А</t>
  </si>
  <si>
    <t>ИП Краснопевцева Наталья Юрьевна</t>
  </si>
  <si>
    <t>420591719296</t>
  </si>
  <si>
    <t>ИП4208015929</t>
  </si>
  <si>
    <t>ИП420801592900000</t>
  </si>
  <si>
    <t>650036 Кемеровская область город Кемерово проспект Ленина дом 103</t>
  </si>
  <si>
    <t>ИП Бутылин Валерий Владимирович</t>
  </si>
  <si>
    <t>420600127860</t>
  </si>
  <si>
    <t>ИП4208009064</t>
  </si>
  <si>
    <t>ИП420800906400000</t>
  </si>
  <si>
    <t>650000 Кемеровская область город Кемерово улица Кирова дом 37</t>
  </si>
  <si>
    <t>ИП420800906400001</t>
  </si>
  <si>
    <t>650066 Кемеровская область город Кемерово проспект Ленина дом 75</t>
  </si>
  <si>
    <t>ИП Дзуцева Ирина Николаевна</t>
  </si>
  <si>
    <t>420600329376</t>
  </si>
  <si>
    <t>ИП4208011100</t>
  </si>
  <si>
    <t>ИП420801110000000</t>
  </si>
  <si>
    <t>652150 Кемеровская область Мариинск  Улица Ленина  Дом 90    Этаж 1</t>
  </si>
  <si>
    <t>ИП Крылов Сергей Львович</t>
  </si>
  <si>
    <t>420900211784</t>
  </si>
  <si>
    <t>ИП4208015731</t>
  </si>
  <si>
    <t>ИП420801573100000</t>
  </si>
  <si>
    <t>652150 Кемеровская область город Мариинск Ленина 29</t>
  </si>
  <si>
    <t>ИП420801573100002</t>
  </si>
  <si>
    <t>653039 Кемеровская область город Прокопьевск проспект Гагарина дом 47   помещение 5</t>
  </si>
  <si>
    <t>ИП Коробкова Наталья Александровна</t>
  </si>
  <si>
    <t>421100129469</t>
  </si>
  <si>
    <t>ИП2304009570</t>
  </si>
  <si>
    <t>ИП230400957000000</t>
  </si>
  <si>
    <t>653004 Кемеровская область город Прокопьевск проспект Гагарина здание 26</t>
  </si>
  <si>
    <t>ИП230400957000001</t>
  </si>
  <si>
    <t>653050 Кемеровская область Прокопьевск улица Гайдара здание 41   В431</t>
  </si>
  <si>
    <t>ИП230400957000006</t>
  </si>
  <si>
    <t>652707 Кемеровская область город Киселевск улица Томская дом 20   8</t>
  </si>
  <si>
    <t>ИП Жуков Андрей Владимирович</t>
  </si>
  <si>
    <t>421100462798</t>
  </si>
  <si>
    <t>ИП5408039486</t>
  </si>
  <si>
    <t>ИП540803948600000</t>
  </si>
  <si>
    <t>653053 Кемеровская область город Прокопьевск улица Гайдара дом 41   В4п31</t>
  </si>
  <si>
    <t>ИП540803948600001</t>
  </si>
  <si>
    <t>652840 Кемеровская область город Мыски улица Шахтерская дом 1</t>
  </si>
  <si>
    <t>ИП540803948600002</t>
  </si>
  <si>
    <t>652707 Кемеровская область город Киселевск улица Гагарина дом 19   Нежилое помещение на 1 этаже</t>
  </si>
  <si>
    <t>ИП Чертов Олег Владимирович</t>
  </si>
  <si>
    <t>421100580664</t>
  </si>
  <si>
    <t>ИП4208001297</t>
  </si>
  <si>
    <t>ИП420800129700000</t>
  </si>
  <si>
    <t>652707 Кемеровская область поселок городского тира Краснобродский улица Новая  дом 41</t>
  </si>
  <si>
    <t>ИП420800129700001</t>
  </si>
  <si>
    <t>653039 Кемеровская область город Прокопьевск проспект Гагарина здание 26   офис 3</t>
  </si>
  <si>
    <t>ИП420800129700002</t>
  </si>
  <si>
    <t>652700 Кемеровская область город Киселевск улица Ленина дом 41</t>
  </si>
  <si>
    <t>ИП420800129700003</t>
  </si>
  <si>
    <t>652500 Кемеровская область Ленинск-Кузнецкий пр-т Кирова 34А</t>
  </si>
  <si>
    <t>ИП Пермяков Юрий Николаевич</t>
  </si>
  <si>
    <t>421200255675</t>
  </si>
  <si>
    <t>ИП4208011584</t>
  </si>
  <si>
    <t>ИП420801158400000</t>
  </si>
  <si>
    <t>652515 Кемеровская область город Ленинск-Кузнецкий проспект Кирова дом 110   помещение 46</t>
  </si>
  <si>
    <t>ИП Козловский Сергей Александрович</t>
  </si>
  <si>
    <t>421200760406</t>
  </si>
  <si>
    <t>ИП4208005705</t>
  </si>
  <si>
    <t>ИП420800570500000</t>
  </si>
  <si>
    <t>652515 Кемеровская область город Ленинск-Кузнецкий проспект Кирова 102   43</t>
  </si>
  <si>
    <t>ИП Сидоренко Сергей Эрикович</t>
  </si>
  <si>
    <t>421204627363</t>
  </si>
  <si>
    <t>ИП4208014425</t>
  </si>
  <si>
    <t>ИП420801442500000</t>
  </si>
  <si>
    <t>652280 Кемеровская область поселок городского типа Тисуль улица Ленина 52</t>
  </si>
  <si>
    <t>ИП Золотарева Татьяна Шавкатовна</t>
  </si>
  <si>
    <t>421300017025</t>
  </si>
  <si>
    <t>ИП5408040987</t>
  </si>
  <si>
    <t>ИП540804098700000</t>
  </si>
  <si>
    <t>652150 Кемеровская область город Мариинск улица Социалистическая дом 10</t>
  </si>
  <si>
    <t>ИП Ермохин Александр Сергеевич</t>
  </si>
  <si>
    <t>421302999120</t>
  </si>
  <si>
    <t>ИП4208017695</t>
  </si>
  <si>
    <t>ИП420801769500000</t>
  </si>
  <si>
    <t>652840 Кемеровская область город Мыски улица Советская дом 26   помещение 16</t>
  </si>
  <si>
    <t>ИП Берсенева Ирина Станиславовна</t>
  </si>
  <si>
    <t>421500124458</t>
  </si>
  <si>
    <t>ИП4208018871</t>
  </si>
  <si>
    <t>ИП420801887100000</t>
  </si>
  <si>
    <t>652848 Кемеровская область город Мыски улица Кутузова дом 9</t>
  </si>
  <si>
    <t>ИП420801887100001</t>
  </si>
  <si>
    <t>652840 Кемеровская область город Мыски улица Первомайская дом 12   помещение 2</t>
  </si>
  <si>
    <t>ИП Вараксина Оксана Николаевна</t>
  </si>
  <si>
    <t>421502681976</t>
  </si>
  <si>
    <t>ИП4208034799</t>
  </si>
  <si>
    <t>ИП420803479900000</t>
  </si>
  <si>
    <t>ИП Байкалова Татьяна Владимировна</t>
  </si>
  <si>
    <t>421503022574</t>
  </si>
  <si>
    <t>ИП4208036363</t>
  </si>
  <si>
    <t>ИП420803636300000</t>
  </si>
  <si>
    <t>654027 Кемеровская область город Новокузнецк проспект Металлургов  дом 29   магазин ЮВЕТОН</t>
  </si>
  <si>
    <t>ИП Астапович Веста Владимировна</t>
  </si>
  <si>
    <t>421700166310</t>
  </si>
  <si>
    <t>ИП4208011064</t>
  </si>
  <si>
    <t>ИП420801106400000</t>
  </si>
  <si>
    <t>654007 Кемеровская область город Новокузнецк улица Павловского дом 11   магазин ЮВЕТОН</t>
  </si>
  <si>
    <t>ИП420801106400002</t>
  </si>
  <si>
    <t>650000 Кемеровская область город Кемерово проспект Советский дом 69   магазин ЮВЕТОН</t>
  </si>
  <si>
    <t>ИП420801106400003</t>
  </si>
  <si>
    <t>650056 Кемеровская область город Кемерово проспект Ленина дом 131   магазин ЮВЕТОН</t>
  </si>
  <si>
    <t>ИП420801106400004</t>
  </si>
  <si>
    <t>654018 Кемеровская область город Новокузнецк проспект Бардина дом 42   магазин ЮВЕТОН</t>
  </si>
  <si>
    <t>ИП420801106400005</t>
  </si>
  <si>
    <t>654044 Кемеровская область город Новокузнецк проспект Архитекторов дом 14А   магазин ЮВЕТОН</t>
  </si>
  <si>
    <t>ИП420801106400006</t>
  </si>
  <si>
    <t>654304 Кемеровская область город Прокопьевск проспект Гагарина дом 32   магазин ЮВЕТОН</t>
  </si>
  <si>
    <t>ИП420801106400007</t>
  </si>
  <si>
    <t>654080 Кемеровская область город Новокузнецк проспект Н.С.Ермакова дом 9А   магазин ПРЕМИУМ</t>
  </si>
  <si>
    <t>ИП420801106400008</t>
  </si>
  <si>
    <t>654084 Кемеровская область город Новокузнецк проспект Шахтеров дом 19А   магазин ЮВЕТОН</t>
  </si>
  <si>
    <t>ИП420801106400009</t>
  </si>
  <si>
    <t>654080 Кемеровская область город Новокузнецк улица Кирова дом 55   магазины ЮВЕТОН, НИКА</t>
  </si>
  <si>
    <t>ИП420801106400010</t>
  </si>
  <si>
    <t>654080 Кемеровская область город Новокузнецк улица Кирова  строение 55  помещение 1067</t>
  </si>
  <si>
    <t>ИП Смольникова Вера Анатольевна</t>
  </si>
  <si>
    <t>421700261324</t>
  </si>
  <si>
    <t>ИП4208012962</t>
  </si>
  <si>
    <t>ИП420801296200000</t>
  </si>
  <si>
    <t>654080 Кемеровская область город Новокузнецк улица Кирова дом 55   1092</t>
  </si>
  <si>
    <t>ИП Антонова Вероника Сергеевна</t>
  </si>
  <si>
    <t>421703152154</t>
  </si>
  <si>
    <t>ИП4208012955</t>
  </si>
  <si>
    <t>ИП420801295500000</t>
  </si>
  <si>
    <t>654027 Кемеровская область город Новокузнецк улица Суворова дом 8   магазин "Алмазы Якутии"</t>
  </si>
  <si>
    <t>ООО "ЮВЕЛИТА"</t>
  </si>
  <si>
    <t>4217038991</t>
  </si>
  <si>
    <t>ЮЛ4208002488</t>
  </si>
  <si>
    <t>ЮЛ420800248800000</t>
  </si>
  <si>
    <t>654080 Кемеровская область город Новокузнецк улица Кирова дом 55   302 (1085)</t>
  </si>
  <si>
    <t>ЮЛ420800248800001</t>
  </si>
  <si>
    <t>654005 Кемеровская область город Новокузнецк проспект Строителей дом 91   1</t>
  </si>
  <si>
    <t>ИП Шлыков Олег Александрович</t>
  </si>
  <si>
    <t>421706219103</t>
  </si>
  <si>
    <t>ИП4208016259</t>
  </si>
  <si>
    <t>ИП420801625900000</t>
  </si>
  <si>
    <t>654079 Кемеровская область город Новокузнецк проспект Курако дом 6   помещение 21а</t>
  </si>
  <si>
    <t>ИП420801625900003</t>
  </si>
  <si>
    <t>654034 Кемеровская область город Новокузнецк улица Ленина дом 72</t>
  </si>
  <si>
    <t>ООО ТД "ФЛОРЕНЦИЯ"</t>
  </si>
  <si>
    <t>4217077550</t>
  </si>
  <si>
    <t>ЮЛ4208015540</t>
  </si>
  <si>
    <t>ЮЛ420801554000000</t>
  </si>
  <si>
    <t>653000 Кемеровская область город Прокопьевск Артема 4 магазин "Флоренция"</t>
  </si>
  <si>
    <t>ЮЛ420801554000001</t>
  </si>
  <si>
    <t>654031 Кемеровская область город Новокузнецк улица 40 лет ВЛКСМ дом 35</t>
  </si>
  <si>
    <t>ЮЛ420801554000002</t>
  </si>
  <si>
    <t>652700 Кемеровская область город Киселевск улица Ленина дом 43</t>
  </si>
  <si>
    <t>ЮЛ420801554000003</t>
  </si>
  <si>
    <t>650002 Кемеровская область город Кемерово проспект Шахтеров дом 44</t>
  </si>
  <si>
    <t>ЮЛ420801554000004</t>
  </si>
  <si>
    <t>652560 Кемеровская область город Полысаево улица Космонавтов дом 88</t>
  </si>
  <si>
    <t>ЮЛ420801554000005</t>
  </si>
  <si>
    <t>654054 Кемеровская область город Новокузнецк проспект Запсибовцев дом 16Б</t>
  </si>
  <si>
    <t>ЮЛ420801554000006</t>
  </si>
  <si>
    <t>652645 Кемеровская область город Белово улица Киевская дом 40</t>
  </si>
  <si>
    <t>ЮЛ420801554000007</t>
  </si>
  <si>
    <t>650025 Кемеровская область город Кемерово проспект Ленина дом 1</t>
  </si>
  <si>
    <t>ЮЛ420801554000009</t>
  </si>
  <si>
    <t>654034 Кемеровская область город Новокузнецк улица Ленина дом 17</t>
  </si>
  <si>
    <t>ЮЛ420801554000010</t>
  </si>
  <si>
    <t>650033 Кемеровская область город Кемерово улица Леонова дом 5</t>
  </si>
  <si>
    <t>ЮЛ420801554000011</t>
  </si>
  <si>
    <t>652740 Кемеровская область город Калтан проспект Мира дом 39Б</t>
  </si>
  <si>
    <t>ЮЛ420801554000012</t>
  </si>
  <si>
    <t>652884 Кемеровская область город Междуреченск проспект Строителей дом 9</t>
  </si>
  <si>
    <t>ЮЛ420801554000014</t>
  </si>
  <si>
    <t>652305 Кемеровская область город Топки микрорайон Солнечный дом 11А</t>
  </si>
  <si>
    <t>ЮЛ420801554000015</t>
  </si>
  <si>
    <t>654059 Кемеровская область город Новокузнецк улица Тореза дом 75</t>
  </si>
  <si>
    <t>ЮЛ420801554000016</t>
  </si>
  <si>
    <t>654084 Кемеровская область город Новокузнецк проспект Шахтеров дом 18</t>
  </si>
  <si>
    <t>ЮЛ420801554000017</t>
  </si>
  <si>
    <t>650002 Кемеровская область город Кемерово проспект Шахтеров дом 85</t>
  </si>
  <si>
    <t>ЮЛ420801554000018</t>
  </si>
  <si>
    <t>652845 Кемеровская область город Мыски улица Энергетиков дом 5</t>
  </si>
  <si>
    <t>ЮЛ420801554000019</t>
  </si>
  <si>
    <t>653039 Кемеровская область город Прокопьевск проспект Гагарина дом 47</t>
  </si>
  <si>
    <t>ЮЛ420801554000020</t>
  </si>
  <si>
    <t>652882 Кемеровская область город Междуреченск проспект 50 лет Комсомола дом 42</t>
  </si>
  <si>
    <t>ЮЛ420801554000021</t>
  </si>
  <si>
    <t>654007 Кемеровская область город Новокузнецк улица Орджоникидзе дом 38</t>
  </si>
  <si>
    <t>ЮЛ420801554000022</t>
  </si>
  <si>
    <t>ЮЛ420801554000023</t>
  </si>
  <si>
    <t>650001 Кемеровская область город Кемерово улица Инициативная дом 68</t>
  </si>
  <si>
    <t>ЮЛ420801554000024</t>
  </si>
  <si>
    <t>652612 Кемеровская область город Белово улица Юбилейная дом 19А</t>
  </si>
  <si>
    <t>ЮЛ420801554000026</t>
  </si>
  <si>
    <t>652992 Кемеровская область город Таштагол улица Макаренко дом 16</t>
  </si>
  <si>
    <t>ЮЛ420801554000027</t>
  </si>
  <si>
    <t>652785 Кемеровская область город Гурьевск улица Ленина дом 101</t>
  </si>
  <si>
    <t>ЮЛ420801554000028</t>
  </si>
  <si>
    <t>654038 Кемеровская область город Новокузнецк улица Климасенко дом 10/1</t>
  </si>
  <si>
    <t>ЮЛ420801554000029</t>
  </si>
  <si>
    <t>650024 Кемеровская область город Кемерово улица Патриотов дом 33</t>
  </si>
  <si>
    <t>ЮЛ420801554000030</t>
  </si>
  <si>
    <t>652888 Кемеровская область город Междуреченск проспект Шахтеров дом 13</t>
  </si>
  <si>
    <t>ЮЛ420801554000031</t>
  </si>
  <si>
    <t>652881 Кемеровская область город Междуреченск проспект Строителей дом 35</t>
  </si>
  <si>
    <t>ЮЛ420801554000032</t>
  </si>
  <si>
    <t>654041 Кемеровская область Новокузнецк Бардина 7</t>
  </si>
  <si>
    <t>ЮЛ420801554000033</t>
  </si>
  <si>
    <t>654063 Кемеровская область город Новокузнецк улица Веры Соломиной дом 7</t>
  </si>
  <si>
    <t>ЮЛ420801554000034</t>
  </si>
  <si>
    <t>652380 Кемеровская область поселок городского типа Промышленная Островского 15</t>
  </si>
  <si>
    <t>ЮЛ420801554000035</t>
  </si>
  <si>
    <t>652600 Кемеровская область город Белово улица Юности дом 14</t>
  </si>
  <si>
    <t>ЮЛ420801554000036</t>
  </si>
  <si>
    <t>ИП Храпова Надежда Александровна</t>
  </si>
  <si>
    <t>421709910125</t>
  </si>
  <si>
    <t>ИП4208002412</t>
  </si>
  <si>
    <t>ИП420800241200000</t>
  </si>
  <si>
    <t>654027 Кемеровская область город Новокузнецк улица Суворова 8</t>
  </si>
  <si>
    <t>ИП Кулак Татьяна Сергеевна</t>
  </si>
  <si>
    <t>421711418827</t>
  </si>
  <si>
    <t>ИП4208040054</t>
  </si>
  <si>
    <t>ИП420804005400000</t>
  </si>
  <si>
    <t>654029 Кемеровская область город Новокузнецк улица Вокзальная дом 10А корпус 7</t>
  </si>
  <si>
    <t>ИП Романова Анастасия Евгеньевна</t>
  </si>
  <si>
    <t>421714106488</t>
  </si>
  <si>
    <t>ИП7803036927</t>
  </si>
  <si>
    <t>ИП780303692700001</t>
  </si>
  <si>
    <t>654059 Кемеровская область город Новокузнецк улица Тореза дом 61В</t>
  </si>
  <si>
    <t>ИП780303692700002</t>
  </si>
  <si>
    <t>654084 Кемеровская область город Новокузнецк улица Новобайдаевская дом 2</t>
  </si>
  <si>
    <t>ИП780303692700003</t>
  </si>
  <si>
    <t>652992 Кемеровская область город Таштагол улица Поспелова дом 31</t>
  </si>
  <si>
    <t>ИП780303692700004</t>
  </si>
  <si>
    <t>654084 Кемеровская область город Новокузнецк проспект Шахтеров дом 12А</t>
  </si>
  <si>
    <t>ИП780303692700006</t>
  </si>
  <si>
    <t>652884 Кемеровская область город Междуреченск улица Интернациональная дом 14</t>
  </si>
  <si>
    <t>ИП780303692700007</t>
  </si>
  <si>
    <t>654080 Кемеровская область город Новокузнецк улица Кирова дом 57А</t>
  </si>
  <si>
    <t>ООО "ЗОЛОТОФФ"</t>
  </si>
  <si>
    <t>4217159700</t>
  </si>
  <si>
    <t>ЮЛ5408013561</t>
  </si>
  <si>
    <t>ЮЛ540801356100005</t>
  </si>
  <si>
    <t>652523 Кемеровская область город Ленинск-Кузнецкий улица Телефонная здание 13   помещение 103</t>
  </si>
  <si>
    <t>ЮЛ540801356100006</t>
  </si>
  <si>
    <t>652600 Кемеровская область город Белово улица Чкалова дом 11</t>
  </si>
  <si>
    <t>ЮЛ420801320200006</t>
  </si>
  <si>
    <t>652992 Кемеровская область город Таштагол улица Поспелова дом 29   магазин</t>
  </si>
  <si>
    <t>ЮЛ420801320200013</t>
  </si>
  <si>
    <t>654080 Кемеровская область город Новокузнецк  улица Кирова дом 57А</t>
  </si>
  <si>
    <t>ЮЛ420801320200015</t>
  </si>
  <si>
    <t>653047 Кемеровская область город Прокопьевск Гайдара  41 В4П31</t>
  </si>
  <si>
    <t>ЮЛ420801320200017</t>
  </si>
  <si>
    <t>654080 Кемеровская область город Новокузнецк Кирова 57А</t>
  </si>
  <si>
    <t>ЮЛ420801320200019</t>
  </si>
  <si>
    <t>654018 Кемеровская область город Новокузнецк проспект Октябрьский дом 31</t>
  </si>
  <si>
    <t>ООО "ГОЛДМАСТЕР-НК"</t>
  </si>
  <si>
    <t>4217206639</t>
  </si>
  <si>
    <t>ЮЛ4208031930</t>
  </si>
  <si>
    <t>ЮЛ420803193000000</t>
  </si>
  <si>
    <t>652507 Кемеровская область город Ленинск-Кузнецкий проспект Ленина дом 23   помещение 20</t>
  </si>
  <si>
    <t>ЮЛ420803193000001</t>
  </si>
  <si>
    <t>652702 Кемеровская область город Киселевск улица Томская дом 1</t>
  </si>
  <si>
    <t>ЮЛ420803193000002</t>
  </si>
  <si>
    <t>652884 Кемеровская область город Междуреченск проспект Строителей дом 1</t>
  </si>
  <si>
    <t>ЮЛ420803193000003</t>
  </si>
  <si>
    <t>652800 Кемеровская область город Осинники улица Кирова дом 66   помещение 33</t>
  </si>
  <si>
    <t>ЮЛ420803193000005</t>
  </si>
  <si>
    <t>654005 Кемеровская область город Новокузнецк проспект Строителей дом 64   помещение 3</t>
  </si>
  <si>
    <t>ЮЛ420803193000006</t>
  </si>
  <si>
    <t>654034 Кемеровская область город Новокузнецк улица Ленина дом 11</t>
  </si>
  <si>
    <t>ЮЛ420803193000007</t>
  </si>
  <si>
    <t>654059 Кемеровская область город Новокузнецк улица Клименко дом 28</t>
  </si>
  <si>
    <t>ЮЛ420803193000009</t>
  </si>
  <si>
    <t>650002 Кемеровская область город Кемерово проспект Шахтеров дом 85   помещение 1</t>
  </si>
  <si>
    <t>ЮЛ420803193000010</t>
  </si>
  <si>
    <t>654079 Кемеровская область город Новокузнецк проспект Металлургов дом 15</t>
  </si>
  <si>
    <t>ЮЛ420803193000011</t>
  </si>
  <si>
    <t>654041 Кемеровская область город Новокузнецк улица Транспортная дом 59</t>
  </si>
  <si>
    <t>ЮЛ420803193000012</t>
  </si>
  <si>
    <t>653000 Кемеровская область город Прокопьевск проспект Шахтеров дом 14</t>
  </si>
  <si>
    <t>ЮЛ420803193000014</t>
  </si>
  <si>
    <t>653007 Кемеровская область город Прокопьевск улица 2-я Коксовая дом 3</t>
  </si>
  <si>
    <t>ЮЛ420803193000016</t>
  </si>
  <si>
    <t>652700 Кемеровская область город Киселевск переулок Транспортный дом 4</t>
  </si>
  <si>
    <t>ЮЛ420803193000017</t>
  </si>
  <si>
    <t>652740 Кемеровская область город Калтан проспект Мира дом 33</t>
  </si>
  <si>
    <t>ЮЛ420803193000018</t>
  </si>
  <si>
    <t>654002 Кемеровская область город Новокузнецк улица Разведчиков дом 74</t>
  </si>
  <si>
    <t>ЮЛ420803193000019</t>
  </si>
  <si>
    <t>654018 Кемеровская область город Новокузнецк улица Циолковского дом 50</t>
  </si>
  <si>
    <t>ЮЛ420803193000020</t>
  </si>
  <si>
    <t>652840 Кемеровская область город Мыски улица Олимпийская дом 3в</t>
  </si>
  <si>
    <t>ЮЛ420803193000021</t>
  </si>
  <si>
    <t>653039 Кемеровская область город Прокопьевск проспект Гагарина дом 29</t>
  </si>
  <si>
    <t>ЮЛ420803193000023</t>
  </si>
  <si>
    <t>652780 Кемеровская область город Гурьевск улица Кирова дом 38А</t>
  </si>
  <si>
    <t>ЮЛ420803193000024</t>
  </si>
  <si>
    <t>650001 Кемеровская область город Кемерово улица 40 лет Октября дом 8   помещение 45</t>
  </si>
  <si>
    <t>ЮЛ420803193000025</t>
  </si>
  <si>
    <t>654054 Кемеровская область город Новокузнецк проспект Запсибовцев дом 10   помещение 120</t>
  </si>
  <si>
    <t>ЮЛ420803193000027</t>
  </si>
  <si>
    <t>654038 Кемеровская область город Новокузнецк улица 40 лет ВЛКСМ дом 2А</t>
  </si>
  <si>
    <t>ЮЛ420803193000029</t>
  </si>
  <si>
    <t>653007 Кемеровская область город Прокопьевск улица Кучина дом 14   помещение 2п</t>
  </si>
  <si>
    <t>ЮЛ420803193000030</t>
  </si>
  <si>
    <t>654002 Кемеровская область город Новокузнецк улица Мурманская дом 26   помещение 28</t>
  </si>
  <si>
    <t>ЮЛ420803193000031</t>
  </si>
  <si>
    <t>652612 Кемеровская область город Белово улица Ленина дом 53</t>
  </si>
  <si>
    <t>ЮЛ420803193000033</t>
  </si>
  <si>
    <t>654038 Кемеровская область город Новокузнецк проспект Советской Армии дом 33 помещение 70</t>
  </si>
  <si>
    <t>ИП Вафина Светлана Юрьевна</t>
  </si>
  <si>
    <t>421800386662</t>
  </si>
  <si>
    <t>ИП4208005000</t>
  </si>
  <si>
    <t>ИП420800500000000</t>
  </si>
  <si>
    <t>654080 Кемеровская область город Новокузнецк Кирова 55</t>
  </si>
  <si>
    <t>ИП Жиркова Е.Н.</t>
  </si>
  <si>
    <t>421805273214</t>
  </si>
  <si>
    <t>ИП4208014373</t>
  </si>
  <si>
    <t>ИП420801437300000</t>
  </si>
  <si>
    <t>654059 Кемеровская область город Новокузнецк улица Тореза дом 93</t>
  </si>
  <si>
    <t>ИП Каплунова Надежда Николаевна</t>
  </si>
  <si>
    <t>421806729147</t>
  </si>
  <si>
    <t>ИП4208004962</t>
  </si>
  <si>
    <t>ИП420800496200000</t>
  </si>
  <si>
    <t>654054 Кемеровская область город Новокузнецк проспект Запсибовцев дом 4Б   павильон №79-2</t>
  </si>
  <si>
    <t>ИП420800496200003</t>
  </si>
  <si>
    <t>654044 Кемеровская область город Новокузнецк улица Новоселов дом 32   офис 1</t>
  </si>
  <si>
    <t>ООО "ЛОМБАРД "РАНТЬЕ"</t>
  </si>
  <si>
    <t>4218099620</t>
  </si>
  <si>
    <t>ЮЛ4208002658</t>
  </si>
  <si>
    <t>ЮЛ420800265800000</t>
  </si>
  <si>
    <t>654018 Кемеровская область город Новокузнецк проспект Октябрьский дом 19   помещение 114</t>
  </si>
  <si>
    <t>ЮЛ420800265800001</t>
  </si>
  <si>
    <t>654013 Кемеровская область город Новокузнецк улица Пушкина дом 22   помещение 24</t>
  </si>
  <si>
    <t>ЮЛ420800265800003</t>
  </si>
  <si>
    <t>654025 Кемеровская область город Новокузнецк улица Новаторов дом 10   помещение 127</t>
  </si>
  <si>
    <t>ЮЛ420800265800004</t>
  </si>
  <si>
    <t>654084 Кемеровская область город Новокузнецк проспект Шахтеров дом 29   помещение 105</t>
  </si>
  <si>
    <t>ЮЛ420800265800005</t>
  </si>
  <si>
    <t>654044 Кемеровская область город Новокузнецк проспект Авиаторов дом 53</t>
  </si>
  <si>
    <t>ЮЛ420800265800007</t>
  </si>
  <si>
    <t>650056 Кемеровская область город Кемерово бульвар Строителей дом 21</t>
  </si>
  <si>
    <t>ООО "ЛОМБАРД-С"</t>
  </si>
  <si>
    <t>4218104728</t>
  </si>
  <si>
    <t>ЮЛ5408012074</t>
  </si>
  <si>
    <t>ЮЛ540801207400006</t>
  </si>
  <si>
    <t>ЮЛ540801207400008</t>
  </si>
  <si>
    <t>652500 Кемеровская область город Ленинск-Кузнецкий проспект Кирова дом 39</t>
  </si>
  <si>
    <t>ЮЛ540801207400009</t>
  </si>
  <si>
    <t>652600 Кемеровская область город Белово улица Ленина дом 34</t>
  </si>
  <si>
    <t>ООО "ЛОМБАРД-ВЕСТ"</t>
  </si>
  <si>
    <t>4220037807</t>
  </si>
  <si>
    <t>ЮЛ5408011588</t>
  </si>
  <si>
    <t>ЮЛ540801158800000</t>
  </si>
  <si>
    <t>653000 Кемеровская область город Прокопьевск улица Артема дом 4</t>
  </si>
  <si>
    <t>ЮЛ540801158800001</t>
  </si>
  <si>
    <t>652612 Кемеровская область город Белово улица Советская дом 51</t>
  </si>
  <si>
    <t>ЮЛ540801158800010</t>
  </si>
  <si>
    <t>ЮЛ540801158800012</t>
  </si>
  <si>
    <t>ЮЛ540801158800013</t>
  </si>
  <si>
    <t>ЮЛ540801158800015</t>
  </si>
  <si>
    <t>652811 Кемеровская область город Осинники улица Победы дом 32   1 этаж</t>
  </si>
  <si>
    <t>ООО "ЛОМБАРД - НК"</t>
  </si>
  <si>
    <t>4221026300</t>
  </si>
  <si>
    <t>ЮЛ5408003930</t>
  </si>
  <si>
    <t>ЮЛ540800393000001</t>
  </si>
  <si>
    <t>652888 Кемеровская область город Междуреченск проспект Шахтеров дом 13   1 этаж</t>
  </si>
  <si>
    <t>ЮЛ540800393000002</t>
  </si>
  <si>
    <t>ЮЛ540800393000003</t>
  </si>
  <si>
    <t>652873 Кемеровская область город Междуреченск проспект Шахтеров дом 41   1 этаж</t>
  </si>
  <si>
    <t>ЮЛ540800393000004</t>
  </si>
  <si>
    <t>652884 Кемеровская область город Междуреченск проспект Строителей дом 9   1 этаж</t>
  </si>
  <si>
    <t>ЮЛ540800393000006</t>
  </si>
  <si>
    <t>654034 Кемеровская область город Новокузнецк улица Ленина дом 17   1 этаж</t>
  </si>
  <si>
    <t>ООО "ЛОМБАРД РЕГИОН"</t>
  </si>
  <si>
    <t>4221027400</t>
  </si>
  <si>
    <t>ЮЛ5408005223</t>
  </si>
  <si>
    <t>ЮЛ540800522300002</t>
  </si>
  <si>
    <t>654038 Кемеровская область город Новокузнецк улица Климасенко дом 10/1   1 этаж</t>
  </si>
  <si>
    <t>ЮЛ540800522300003</t>
  </si>
  <si>
    <t>654063 Кемеровская область город Новокузнецк улица Карла Маркса дом 1   1 этаж</t>
  </si>
  <si>
    <t>ЮЛ540800522300007</t>
  </si>
  <si>
    <t>654086 Кемеровская область город Новокузнецк улица Новаторов дом 15   1 этаж</t>
  </si>
  <si>
    <t>ЮЛ540800522300008</t>
  </si>
  <si>
    <t>654059 Кемеровская область город Новокузнецк улица Тореза дом 75   1 этаж</t>
  </si>
  <si>
    <t>ЮЛ540800522300009</t>
  </si>
  <si>
    <t>654041 Кемеровская область город Новокузнецк улица Циолковского дом 51   1 этаж</t>
  </si>
  <si>
    <t>ЮЛ540800522300012</t>
  </si>
  <si>
    <t>654084 Кемеровская область город Новокузнецк проспект Шахтеров дом 18   1 этаж</t>
  </si>
  <si>
    <t>ЮЛ540800522300015</t>
  </si>
  <si>
    <t>654007 Кемеровская область город Новокузнецк улица Орджоникидзе дом 38   1 этаж</t>
  </si>
  <si>
    <t>ЮЛ540800522300016</t>
  </si>
  <si>
    <t>654027 Кемеровская область город Новокузнецк проспект Курако дом 41</t>
  </si>
  <si>
    <t>ЮЛ540800522300018</t>
  </si>
  <si>
    <t>652740 Кемеровская область город Калтан проспект Мира здание 35Б</t>
  </si>
  <si>
    <t>ИП Семенова Татьяна Вениаминовна</t>
  </si>
  <si>
    <t>422200195812</t>
  </si>
  <si>
    <t>ИП4703013589</t>
  </si>
  <si>
    <t>ИП470301358900000</t>
  </si>
  <si>
    <t>652813 Кемеровская область город Калтан улица Комсомольская 45 1</t>
  </si>
  <si>
    <t>ИП Быкова Ирина Анатольевна</t>
  </si>
  <si>
    <t>422200319105</t>
  </si>
  <si>
    <t>ИП4208017425</t>
  </si>
  <si>
    <t>ИП420801742500000</t>
  </si>
  <si>
    <t>652740 Кемеровская область Город Калтан Улица Комсомольская Дом 57Б   Офис 7</t>
  </si>
  <si>
    <t>ИП Сойнова Марина Ивановна</t>
  </si>
  <si>
    <t>422201691531</t>
  </si>
  <si>
    <t>ИП4208011078</t>
  </si>
  <si>
    <t>ИП420801107800000</t>
  </si>
  <si>
    <t>653000 Кемеровская область город Прокопьевск проспект Шахтеров дом 37</t>
  </si>
  <si>
    <t>ИП Носков Вячеслав Александрович</t>
  </si>
  <si>
    <t>422301130473</t>
  </si>
  <si>
    <t>ИП4208033236</t>
  </si>
  <si>
    <t>ИП420803323600000</t>
  </si>
  <si>
    <t>652500 Кемеровская область город Ленинск-Кузнецкий проспект Кирова дом 38</t>
  </si>
  <si>
    <t>ИП420803323600002</t>
  </si>
  <si>
    <t>652523 Кемеровская область город Ленинск-Кузнецкий проспект Ленина дом 86</t>
  </si>
  <si>
    <t>ИП420803323600003</t>
  </si>
  <si>
    <t>652515 Кемеровская область город Ленинск-Кузнецкий улица Пушкина дом 21</t>
  </si>
  <si>
    <t>ИП Носкова Юлия Геннадьевна</t>
  </si>
  <si>
    <t>422301447752</t>
  </si>
  <si>
    <t>ИП4208014817</t>
  </si>
  <si>
    <t>ИП420801481700003</t>
  </si>
  <si>
    <t>652870 Кемеровская область город Междуреченск проспект Коммунистический дом 21</t>
  </si>
  <si>
    <t>ИП420801481700007</t>
  </si>
  <si>
    <t>653053 Кемеровская область город Прокопьевск улица Обручева здание 41А</t>
  </si>
  <si>
    <t>ООО "ЛОМБАРД КРИСТАЛЛ+"</t>
  </si>
  <si>
    <t>4223045549</t>
  </si>
  <si>
    <t>ЮЛ4208016272</t>
  </si>
  <si>
    <t>ЮЛ420801627200002</t>
  </si>
  <si>
    <t>653039 Кемеровская область город Прокопьевск проспект Гагарина дом 31</t>
  </si>
  <si>
    <t>ИП Солопова Оксана Салаватовна</t>
  </si>
  <si>
    <t>422333048045</t>
  </si>
  <si>
    <t>ИП4208000863</t>
  </si>
  <si>
    <t>ИП420800086300000</t>
  </si>
  <si>
    <t>653000 Кемеровская область город Прокопьевск проспект Шахтеров здание 10</t>
  </si>
  <si>
    <t>ИП Василискина Анастасия Ринатовна</t>
  </si>
  <si>
    <t>422373507520</t>
  </si>
  <si>
    <t>ИП4208016760</t>
  </si>
  <si>
    <t>ИП420801676000000</t>
  </si>
  <si>
    <t>65300 Кемеровская область город Прокопьевск пр-кт Шахтеров д.1 корп. 7  пом. 2</t>
  </si>
  <si>
    <t>ИП Мурсалимова Наталья Викторовна</t>
  </si>
  <si>
    <t>422400297000</t>
  </si>
  <si>
    <t>ИП4208015970</t>
  </si>
  <si>
    <t>ИП420801597000000</t>
  </si>
  <si>
    <t>653004 Кемеровская область город Прокопьевск проспект Гагарина дом 26   155</t>
  </si>
  <si>
    <t>ИП Глудэ Е.Е.</t>
  </si>
  <si>
    <t>422500062690</t>
  </si>
  <si>
    <t>ИП4208014529</t>
  </si>
  <si>
    <t>ИП420801452900000</t>
  </si>
  <si>
    <t>653004 Кемеровская область город Прокопьевск проспект Гагарина здание 26   офис 155</t>
  </si>
  <si>
    <t>ИП420801452900004</t>
  </si>
  <si>
    <t>ИП Боковенко Галина Петровна</t>
  </si>
  <si>
    <t>422800007080</t>
  </si>
  <si>
    <t>ИП4208014361</t>
  </si>
  <si>
    <t>ИП420801436100000</t>
  </si>
  <si>
    <t>652992 Кемеровская область город Таштагол улица Поспелова дом 7</t>
  </si>
  <si>
    <t>ИП Розин Олег Анатольевич</t>
  </si>
  <si>
    <t>422800035610</t>
  </si>
  <si>
    <t>ИП4208014957</t>
  </si>
  <si>
    <t>ИП420801495700000</t>
  </si>
  <si>
    <t>652300 Кемеровская область Топки улица Дзержинского дом 7</t>
  </si>
  <si>
    <t>ИП Королькевич Роман Васильевич</t>
  </si>
  <si>
    <t>422900275220</t>
  </si>
  <si>
    <t>ИП4208040898</t>
  </si>
  <si>
    <t>ИП420804089800000</t>
  </si>
  <si>
    <t>652057 Кемеровская область город Юрга улица Волгоградская дом 5</t>
  </si>
  <si>
    <t>ИП Ковалева Марина Алексеевна</t>
  </si>
  <si>
    <t>423000102315</t>
  </si>
  <si>
    <t>ИП4208000447</t>
  </si>
  <si>
    <t>ИП420800044700000</t>
  </si>
  <si>
    <t>652050 Кемеровская область город Юрга Победы 10</t>
  </si>
  <si>
    <t>ООО "ЛОМБАРД - КАРАТ"</t>
  </si>
  <si>
    <t>4230026360</t>
  </si>
  <si>
    <t>ЮЛ4208015440</t>
  </si>
  <si>
    <t>ЮЛ420801544000000</t>
  </si>
  <si>
    <t>652050 Кемеровская область город Юрга Победы 41а</t>
  </si>
  <si>
    <t>ООО "ЛОМБАРД-КАРАТ+"</t>
  </si>
  <si>
    <t>4230033223</t>
  </si>
  <si>
    <t>ЮЛ4208015439</t>
  </si>
  <si>
    <t>ЮЛ420801543900000</t>
  </si>
  <si>
    <t>652061 Кемеровская область Город Юрга Улица проспект Победы Дом 10   Торговый Центр " ИМПЕРИАЛ", отдел Диадема</t>
  </si>
  <si>
    <t>ИП Дергачева Татьяна Владимировна</t>
  </si>
  <si>
    <t>423003930701</t>
  </si>
  <si>
    <t>ИП4208033251</t>
  </si>
  <si>
    <t>ИП420803325100000</t>
  </si>
  <si>
    <t>650000 Кемеровская область город Кемерово улица Красноармейская дом 142</t>
  </si>
  <si>
    <t>ИП Иванов Валерий Иванович</t>
  </si>
  <si>
    <t>423003960174</t>
  </si>
  <si>
    <t>ИП4208038137</t>
  </si>
  <si>
    <t>ИП420803813700000</t>
  </si>
  <si>
    <t>ИП Гримова Ирина Петровна</t>
  </si>
  <si>
    <t>423006161677</t>
  </si>
  <si>
    <t>ИП4208015441</t>
  </si>
  <si>
    <t>ИП420801544100000</t>
  </si>
  <si>
    <t>652055 Кемеровская область город Юрга улица Кирова дом 29б</t>
  </si>
  <si>
    <t>ИП Бармина Янина Сергеевна</t>
  </si>
  <si>
    <t>423082046309</t>
  </si>
  <si>
    <t>ИП4208032935</t>
  </si>
  <si>
    <t>ИП420803293500000</t>
  </si>
  <si>
    <t>652050 Кемеровская область город Юрга Улица проспект Победы Дом 41А   Торговый центр "Бомонд", отдел Диадема</t>
  </si>
  <si>
    <t>ИП Половникова Алена Владимировна</t>
  </si>
  <si>
    <t>423083425677</t>
  </si>
  <si>
    <t>ИП5408033263</t>
  </si>
  <si>
    <t>ИП540803326300000</t>
  </si>
  <si>
    <t>652150 Кемеровская область город Мариинск улица Ленина дом 90</t>
  </si>
  <si>
    <t>ООО "ФАРМ-С"</t>
  </si>
  <si>
    <t>4237002859</t>
  </si>
  <si>
    <t>ЮЛ4208034330</t>
  </si>
  <si>
    <t>ЮЛ420803433000001</t>
  </si>
  <si>
    <t>654007 Кемеровская область город Новокузнецк проспект Металлургов дом 30</t>
  </si>
  <si>
    <t>ООО "КАРАТ-НК"</t>
  </si>
  <si>
    <t>4238020240</t>
  </si>
  <si>
    <t>ЮЛ4208007789</t>
  </si>
  <si>
    <t>ЮЛ420800778900000</t>
  </si>
  <si>
    <t>652380 Кемеровская область Промышленная Коммунистическая 45Г помещение 2</t>
  </si>
  <si>
    <t>ИП Ермолаев Сергей Евгеньевич</t>
  </si>
  <si>
    <t>424000066235</t>
  </si>
  <si>
    <t>ИП4208015754</t>
  </si>
  <si>
    <t>ИП420801575400000</t>
  </si>
  <si>
    <t>652380 Кемеровская область поселок городского типа Промышленная улица Николая Островского дом 2б</t>
  </si>
  <si>
    <t>ИП Аветисян Аветик Аршалуйси</t>
  </si>
  <si>
    <t>424000081628</t>
  </si>
  <si>
    <t>ИП4208014205</t>
  </si>
  <si>
    <t>ИП420801420500000</t>
  </si>
  <si>
    <t>652401 Кемеровская область город Тайга улица Лермонтова дом 13 нежилое помещение 28</t>
  </si>
  <si>
    <t>ИП Иванов Константин Николаевич</t>
  </si>
  <si>
    <t>424750546560</t>
  </si>
  <si>
    <t>ИП4208013370</t>
  </si>
  <si>
    <t>ИП420801337000000</t>
  </si>
  <si>
    <t>652010 Кемеровская область посёлок городского типа Яшкино улица Куйбышева дом 8 Б</t>
  </si>
  <si>
    <t>ИП420801337000001</t>
  </si>
  <si>
    <t>650066 Кемеровская область Город Кемерово Проспект Ленина Дом 90 Строение 1  Помещение 100</t>
  </si>
  <si>
    <t>ИП Зонова Евгения Андреевна</t>
  </si>
  <si>
    <t>425005055912</t>
  </si>
  <si>
    <t>ИП4208012973</t>
  </si>
  <si>
    <t>ИП420801297300000</t>
  </si>
  <si>
    <t>653039 Кемеровская область город Прокопьевск улица Ноградская здание 22</t>
  </si>
  <si>
    <t>ИП420801297300001</t>
  </si>
  <si>
    <t>652785 Кемеровская область город Гурьевск улица Р.Люксембург дом 64</t>
  </si>
  <si>
    <t>ООО ТД "ЗОЛОТАЯ ПЛАНЕТА"</t>
  </si>
  <si>
    <t>4253049011</t>
  </si>
  <si>
    <t>ЮЛ4208016809</t>
  </si>
  <si>
    <t>ЮЛ420801680900001</t>
  </si>
  <si>
    <t>ЮЛ420801680900003</t>
  </si>
  <si>
    <t>ЮЛ420801680900004</t>
  </si>
  <si>
    <t>652992 Кемеровская область город Таштагол улица Макаренко дом 16   помещение поз.36,41, часть помещений п. 3,4,5,38,39</t>
  </si>
  <si>
    <t>ЮЛ420801680900005</t>
  </si>
  <si>
    <t>653053 Кемеровская область город Прокопьевск улица Гайдара здание 41   помещение В4п41</t>
  </si>
  <si>
    <t>ЮЛ420801680900006</t>
  </si>
  <si>
    <t>652870 Кемеровская область город Междуреченск проспект Коммунистический 22</t>
  </si>
  <si>
    <t>ЮЛ420801680900007</t>
  </si>
  <si>
    <t>654005 Кемеровская область город Новокузнецк улица Доз здание 10А   нежилое помещение № М2-076.1</t>
  </si>
  <si>
    <t>ЮЛ500100602500028</t>
  </si>
  <si>
    <t>654080 Кемеровская область город Новокузнецк улица Кирова дом 55   помещение 1107</t>
  </si>
  <si>
    <t>ЮЛ500100602500049</t>
  </si>
  <si>
    <t>654006 Кемеровская область город Новокузнецк улица Доз здание 10А</t>
  </si>
  <si>
    <t>ИП500100445500035</t>
  </si>
  <si>
    <t>654005 Кемеровская область город Новокузнецк улица Доз дом 10</t>
  </si>
  <si>
    <t>ИП500100445500061</t>
  </si>
  <si>
    <t>654005 Кемеровская область город Новокузнецк улица Доз здание 10А   помещение №72</t>
  </si>
  <si>
    <t>ИП Гумеров Флун Фагимович</t>
  </si>
  <si>
    <t>505000916188</t>
  </si>
  <si>
    <t>ИП4402004264</t>
  </si>
  <si>
    <t>ИП440200426400021</t>
  </si>
  <si>
    <t>653053 Кемеровская область город Прокопьевск улица Гайдара здание 41   помещение В4П31этаж 1</t>
  </si>
  <si>
    <t>ИП520600807800028</t>
  </si>
  <si>
    <t>654005 Кемеровская область город Новокузнецк улица Доз здание 10  литера А 2 этаж</t>
  </si>
  <si>
    <t>ЮЛ520603376600042</t>
  </si>
  <si>
    <t>650000 Кемеровская область город Кемерово проспект Кузнецкий дом 33Б</t>
  </si>
  <si>
    <t>ИП520601790200054</t>
  </si>
  <si>
    <t>650000 Кемеровская область Кемерово проспект Ленина дом 33, А</t>
  </si>
  <si>
    <t>ЮЛ540800214800007</t>
  </si>
  <si>
    <t>652057 Кемеровская область город Юрга улица Машиностроителей здание 32</t>
  </si>
  <si>
    <t>ИП Щербинин Игорь Викторович</t>
  </si>
  <si>
    <t>541014193402</t>
  </si>
  <si>
    <t>ИП5408011070</t>
  </si>
  <si>
    <t>ИП540801107000021</t>
  </si>
  <si>
    <t>652470 Кемеровская область город Анжеро-Судженск улица Ленина дом 13а</t>
  </si>
  <si>
    <t>ИП540801107000023</t>
  </si>
  <si>
    <t>630112 Кемеровская область город Кемерово проспект Кузнецкий  33б  помещение 2</t>
  </si>
  <si>
    <t>ИП540801107000026</t>
  </si>
  <si>
    <t>652811 Кемеровская область город Осинники улица Победы дом 38   помещение 2</t>
  </si>
  <si>
    <t>ИП Горшков Вячеслав Анатольевич</t>
  </si>
  <si>
    <t>543805067524</t>
  </si>
  <si>
    <t>ИП5408005308</t>
  </si>
  <si>
    <t>ИП540800530800007</t>
  </si>
  <si>
    <t>652300 Кемеровская область город Топки улица Революции дом 33   офис 5</t>
  </si>
  <si>
    <t>ИП Кудрявцева Алёна Васильевна</t>
  </si>
  <si>
    <t>543805784909</t>
  </si>
  <si>
    <t>ИП5408001189</t>
  </si>
  <si>
    <t>ИП540800118900003</t>
  </si>
  <si>
    <t>ИП540800118900007</t>
  </si>
  <si>
    <t>652470 Кемеровская область город Анжеро-Судженск улица Желябова Дом 28</t>
  </si>
  <si>
    <t>ИП Ечкалова Оксана Анатольевна</t>
  </si>
  <si>
    <t>701737853989</t>
  </si>
  <si>
    <t>ИП7008018022</t>
  </si>
  <si>
    <t>ИП700801802200000</t>
  </si>
  <si>
    <t>652100 Кемеровская область поселок городского типа Яя Улица Советская Дом 10</t>
  </si>
  <si>
    <t>ИП700801802200002</t>
  </si>
  <si>
    <t>652815 Кемеровская область город Осинники улица Победы дом 54/1   помещение 106</t>
  </si>
  <si>
    <t>ИП Назарова Наталия Николаевна</t>
  </si>
  <si>
    <t>702000002106</t>
  </si>
  <si>
    <t>ИП4208005711</t>
  </si>
  <si>
    <t>ИП420800571100000</t>
  </si>
  <si>
    <t>652741 Кемеровская область город Калтан проспект Мира дом 15   ТЦ Бонус 2 этаж</t>
  </si>
  <si>
    <t>ИП420800571100001</t>
  </si>
  <si>
    <t>652862 Кемеровская область город Мыски улица Советская дом 36   помещение 6</t>
  </si>
  <si>
    <t>ИП420800571100002</t>
  </si>
  <si>
    <t>652831 Кемеровская область город Калтан улица 60 лет Октября дом 18   помещение 65</t>
  </si>
  <si>
    <t>ИП420800571100006</t>
  </si>
  <si>
    <t>652845 Кемеровская область город Мыски улица Ленина дом 7   помещение 36</t>
  </si>
  <si>
    <t>ИП420800571100007</t>
  </si>
  <si>
    <t>652740 Кемеровская область город Калтан улица Комсомольская здание 73</t>
  </si>
  <si>
    <t>ИП420800571100008</t>
  </si>
  <si>
    <t>652523 Кемеровская область город Ленинск-Кузнецкий улица Телефонная дом 13   отдел 40а</t>
  </si>
  <si>
    <t>ЮЛ760201190700042</t>
  </si>
  <si>
    <t>650000 Кемеровская область город Кемерово проспект Кузнецкий строение 33б   помещение 2</t>
  </si>
  <si>
    <t>ЮЛ760201190700053</t>
  </si>
  <si>
    <t>650070 Кемеровская область город Кемерово проспект Молодежный дом 2   б/н</t>
  </si>
  <si>
    <t>ЮЛ760201190700077</t>
  </si>
  <si>
    <t>654005 Кемеровская область город Новокузнецк улица Доз дом 10А   помещение 79, этаж 2</t>
  </si>
  <si>
    <t>ЮЛ770101216600083</t>
  </si>
  <si>
    <t>653039 Кемеровская область город Прокопьевск проспект Гагарина здание 32   этаж 1</t>
  </si>
  <si>
    <t>ЮЛ770101216600109</t>
  </si>
  <si>
    <t>650002 Кемеровская область город Кемерово проспект Шахтеров дом 54б   1 этаж</t>
  </si>
  <si>
    <t>ЮЛ770101216600225</t>
  </si>
  <si>
    <t>650000 Кемеровская область город Кемерово проспект Кузнецкий строение 33б   помещение 2, этаж 1</t>
  </si>
  <si>
    <t>ЮЛ770101216600226</t>
  </si>
  <si>
    <t>652523 Кемеровская область город Ленинск-Кузнецкий улица Телефонная дом 13   помещение 2, этаж 1</t>
  </si>
  <si>
    <t>ЮЛ770101216600228</t>
  </si>
  <si>
    <t>654080 Кемеровская область город Новокузнецк улица Кирова дом 55   помещение 1118</t>
  </si>
  <si>
    <t>ЮЛ770101216600244</t>
  </si>
  <si>
    <t>650065 Кемеровская область город Кемерово проспект Московский дом 19   этаж 1 , часть нежилого помещения №50</t>
  </si>
  <si>
    <t>ЮЛ770101216600372</t>
  </si>
  <si>
    <t>650023 Кемеровская область город Кемерово улица Терешковой дом 22а   этаж 1, помещение 4</t>
  </si>
  <si>
    <t>ЮЛ770101216600427</t>
  </si>
  <si>
    <t>652723 Кемеровская область город Киселевск улица Мира дом 4А   этаж 1</t>
  </si>
  <si>
    <t>ЮЛ770101216600483</t>
  </si>
  <si>
    <t>652057 Кемеровская область город Юрга улица Машиностроителей дом 32   помещение 1, этаж 1</t>
  </si>
  <si>
    <t>ЮЛ770101216600492</t>
  </si>
  <si>
    <t>650000 Кемеровская область город Кемерово проспект Ленина дом 33а   этаж 1</t>
  </si>
  <si>
    <t>ЮЛ770101216600514</t>
  </si>
  <si>
    <t>654032 Кемеровская область город Новокузнецк улица Ленина дом 2   этаж 1</t>
  </si>
  <si>
    <t>ЮЛ770101216600576</t>
  </si>
  <si>
    <t>652884 Кемеровская область город Междуреченск улица Интернациональная дом 14   этаж 1</t>
  </si>
  <si>
    <t>ЮЛ770101216600581</t>
  </si>
  <si>
    <t>650070 Кемеровская область город Кемерово улица Тухачевского дом 50   этаж 1, часть нежилого помещения 128</t>
  </si>
  <si>
    <t>ЮЛ770101216600646</t>
  </si>
  <si>
    <t>650065 Кемеровская область город Кемерово проспект Октябрьский здание 80   этаж 1, помещение №938</t>
  </si>
  <si>
    <t>ЮЛ770101216600655</t>
  </si>
  <si>
    <t>652305 Кемеровская область город Топки микрорайон Солнечный дом 11а   этаж 1, часть нежилого здания №42</t>
  </si>
  <si>
    <t>ЮЛ770101216600803</t>
  </si>
  <si>
    <t>650023 Кемеровская область город Кемерово проспект Октябрьский дом 34   2 этаж, комната №100</t>
  </si>
  <si>
    <t>ЮЛ770101216600839</t>
  </si>
  <si>
    <t>654044 Кемеровская область город Новокузнецк проспект Архитекторов дом 14а   2 этаж, помещение 16</t>
  </si>
  <si>
    <t>ЮЛ770101216600849</t>
  </si>
  <si>
    <t>650055 Кемеровская область город Кемерово улица Автозаводская здание 6   1 этаж, часть нежилого помещения №35</t>
  </si>
  <si>
    <t>ЮЛ770101216600856</t>
  </si>
  <si>
    <t>652470 Кемеровская область город Анжеро-Судженск улица Максима Горького дом 47   1 этаж, нежилое помещение</t>
  </si>
  <si>
    <t>ЮЛ770101216600862</t>
  </si>
  <si>
    <t>652150 Кемеровская область город Мариинск улица Ленина дом 90   1 этаж, часть комнаты №6</t>
  </si>
  <si>
    <t>ЮЛ770101216600896</t>
  </si>
  <si>
    <t>652707 Кемеровская область город Киселевск улица Томская дом 20   1 этаж, часть нежилого помещения №16</t>
  </si>
  <si>
    <t>ЮЛ770101216600898</t>
  </si>
  <si>
    <t>652600 Кемеровская область город Белово улица Чкалова дом 11   этаж 1, часть комнаты № 3</t>
  </si>
  <si>
    <t>ЮЛ770101216600998</t>
  </si>
  <si>
    <t>654080 Кемеровская область город Новокузнецк улица Кирова дом 55</t>
  </si>
  <si>
    <t>ЮЛ770100419400110</t>
  </si>
  <si>
    <t>650000 Кемеровская область город Кемерово проспект Кузнецкий дом 33 Б   помещение № 103</t>
  </si>
  <si>
    <t>ЮЛ770100193500396</t>
  </si>
  <si>
    <t>650023 Кемеровская область город Кемерово проспект Октябрьский дом 34   комната № 63</t>
  </si>
  <si>
    <t>ЮЛ770100193500397</t>
  </si>
  <si>
    <t>654080 Кемеровская область город Новокузнецк улица Кирова дом 55   этаж 1</t>
  </si>
  <si>
    <t>ЮЛ770100193500398</t>
  </si>
  <si>
    <t>654005 Кемеровская область город Новокузнецк улица Доз дом 10 А   помещение № М2-077, 2 (второй) этаж</t>
  </si>
  <si>
    <t>ЮЛ770100193500400</t>
  </si>
  <si>
    <t>654041 Кемеровская область город Новокузнецк проспект Бардина дом 2   помещение 1, часть помещения 24, первый этаж</t>
  </si>
  <si>
    <t>ЮЛ770100193500401</t>
  </si>
  <si>
    <t>653039 Кемеровская область город Прокопьевск проспект Гагарина дом 32   этаж 1</t>
  </si>
  <si>
    <t>ЮЛ770100193500402</t>
  </si>
  <si>
    <t>652723 Кемеровская область город Киселевск проезд Западный дом 3   этаж 1</t>
  </si>
  <si>
    <t>ЮЛ770100193500403</t>
  </si>
  <si>
    <t>652057 Кемеровская область город Юрга улица Машиностроителей дом 32   этаж 1</t>
  </si>
  <si>
    <t>ЮЛ770100193500404</t>
  </si>
  <si>
    <t>652523 Кемеровская область город Ленинск-Кузнецкий улица Телефонная дом 13   помещение 2, отдел 20</t>
  </si>
  <si>
    <t>ЮЛ770100193500553</t>
  </si>
  <si>
    <t>652870 Кемеровская область город Междуреченск проспект Коммунистический дом 26   нежилое помещение, этаж 1 (первый)</t>
  </si>
  <si>
    <t>ЮЛ770100193500628</t>
  </si>
  <si>
    <t>650070 Кемеровская область город Кемерово проспект Молодежный строение 2   помещение 5, этаж 1 (первый)</t>
  </si>
  <si>
    <t>ЮЛ770100193500680</t>
  </si>
  <si>
    <t>650002 Кемеровская область город Кемерово проспект Шахтеров дом 54   помещение, этаж 1 (первый)</t>
  </si>
  <si>
    <t>ЮЛ770100193500784</t>
  </si>
  <si>
    <t>652884 Кемеровская область город Междуреченск улица Интернациональная дом 14   этаж 1 (первый)</t>
  </si>
  <si>
    <t>ЮЛ770100193500802</t>
  </si>
  <si>
    <t>650065 Кемеровская область город Кемерово проспект Московский дом 19   помещение № 156, 156/1, часть помещения 155, этаж 1 (первый)</t>
  </si>
  <si>
    <t>ЮЛ770100193500807</t>
  </si>
  <si>
    <t>652057 Кемеровская область город Юрга улица Машиностроителей здание 32   помещение 1, этаж 1 (первый)</t>
  </si>
  <si>
    <t>ЮЛ770100193500828</t>
  </si>
  <si>
    <t>654079 Кемеровская область город Новокузнецк проспект Курако дом 1</t>
  </si>
  <si>
    <t>ЮЛ770100193501097</t>
  </si>
  <si>
    <t>654027 Кемеровская область город Новокузнецк проспект Металлургов дом 29   помещение 2</t>
  </si>
  <si>
    <t>ЮЛ770100193501116</t>
  </si>
  <si>
    <t>654079 Кемеровская область город Новокузнецк просп. Курако дом 1   пом. 44</t>
  </si>
  <si>
    <t>ЮЛ780300131300113</t>
  </si>
  <si>
    <t>654054 Кемеровская область город Новокузнецк проспект Запсибовцев дом 6А   пом. 1</t>
  </si>
  <si>
    <t>ЮЛ780300131300114</t>
  </si>
  <si>
    <t>654084 Кемеровская область город Новокузнецк проспект Шахтеров дом 18   пом.292</t>
  </si>
  <si>
    <t>ЮЛ780300131300115</t>
  </si>
  <si>
    <t>654049 Кемеровская область город Новокузнецк улица Мориса Тореза дом 75</t>
  </si>
  <si>
    <t>ЮЛ780300131300116</t>
  </si>
  <si>
    <t>652420 Кемеровская область город Березовский проспект Ленина дом 9</t>
  </si>
  <si>
    <t>ЮЛ780300131300117</t>
  </si>
  <si>
    <t>653039 Кемеровская область город Прокопьевск проспект Гагарина дом 37</t>
  </si>
  <si>
    <t>ЮЛ780300131300119</t>
  </si>
  <si>
    <t>654041 Кемеровская область город Новокузнецк проспект Бардина дом 2   пом.24</t>
  </si>
  <si>
    <t>ЮЛ780300131300133</t>
  </si>
  <si>
    <t>650056 Кемеровская область город Кемерово проспект Ленина дом 135</t>
  </si>
  <si>
    <t>ЮЛ780300131300154</t>
  </si>
  <si>
    <t>650024 Кемеровская область город Кемерово улица Радищева дом № 6</t>
  </si>
  <si>
    <t>ЮЛ780300131300155</t>
  </si>
  <si>
    <t>650023 Кемеровская область город Кемерово проспект Ленина дом 136  литера А</t>
  </si>
  <si>
    <t>ЮЛ780300131300157</t>
  </si>
  <si>
    <t>652870 Кемеровская область город Междуреченск проспект Коммунистический дом 26</t>
  </si>
  <si>
    <t>ЮЛ780300131300159</t>
  </si>
  <si>
    <t>654027 Кемеровская область город Новокузнецк проспект Металлургов дом 29</t>
  </si>
  <si>
    <t>ЮЛ780300131300160</t>
  </si>
  <si>
    <t>654034 Кемеровская область город Новокузнецк улица Ленина 40</t>
  </si>
  <si>
    <t>ЮЛ780300131300465</t>
  </si>
  <si>
    <t>650025 Кемеровская область город Кемерово проспект Ленина 2</t>
  </si>
  <si>
    <t>ЮЛ780300328000069</t>
  </si>
  <si>
    <t>650056 Кемеровская область город Кемерово проспект Ленина дом 133   помещение 132</t>
  </si>
  <si>
    <t>ЮЛ780300323500012</t>
  </si>
  <si>
    <t>652507 Кемеровская область город Ленинск-Кузнецкий улица Шишлянникова дом 14</t>
  </si>
  <si>
    <t>ЮЛ780300308200067</t>
  </si>
  <si>
    <t>654084 Кемеровская область город Новокузнецк проспект Шахтеров дом 18   помещение 292</t>
  </si>
  <si>
    <t>ЮЛ780300308200070</t>
  </si>
  <si>
    <t>654079 Кемеровская область город Новокузнецк проспект Курако дом 1   помещение 44</t>
  </si>
  <si>
    <t>ЮЛ780300308200071</t>
  </si>
  <si>
    <t>650070 Кемеровская область Кемеровский городской округ, город Кемерово проспект Молодежный дом 2   помещение 161</t>
  </si>
  <si>
    <t>ЮЛ780300308200230</t>
  </si>
  <si>
    <t>654005 Кемеровская область город Новокузнецк улица Доз дом 10а</t>
  </si>
  <si>
    <t>ЮЛ780300308200256</t>
  </si>
  <si>
    <t>653053 Кемеровская область город Прокопьевск улица Гайдара здание 41   помещение В4n30</t>
  </si>
  <si>
    <t>ЮЛ780300308200257</t>
  </si>
  <si>
    <t>652057 Кемеровская область город Юрга улица Машиностроителей дом 32   помещение 1</t>
  </si>
  <si>
    <t>ЮЛ780300308200316</t>
  </si>
  <si>
    <t>652600 Кемеровская область город Белово улица Советская дом 32</t>
  </si>
  <si>
    <t>ЮЛ780300308200463</t>
  </si>
  <si>
    <t>ЮЛ780300308200464</t>
  </si>
  <si>
    <t>652427 Кемеровская область город Березовский улица Ленина дом 9</t>
  </si>
  <si>
    <t>ЮЛ780300308200465</t>
  </si>
  <si>
    <t>650000 Кемеровская область город Кемерово проспект Кузнецкий дом 33Б   помещение 103</t>
  </si>
  <si>
    <t>ЮЛ780300308200466</t>
  </si>
  <si>
    <t>650025 Кемеровская область город Кемерово проспект Ленина дом 2</t>
  </si>
  <si>
    <t>ЮЛ780300308200467</t>
  </si>
  <si>
    <t>ЮЛ780300308200469</t>
  </si>
  <si>
    <t>652815 Кемеровская область город Осинники улица Ефимова дом 2/1</t>
  </si>
  <si>
    <t>ЮЛ780300308200470</t>
  </si>
  <si>
    <t>652401 Кемеровская область город Тайга улица 40 лет Октября дом 17</t>
  </si>
  <si>
    <t>ЮЛ780300308200472</t>
  </si>
  <si>
    <t>653000 Кемеровская область город Прокопьевск проспект Шахтеров дом 33   помещение 1</t>
  </si>
  <si>
    <t>ЮЛ780300308200595</t>
  </si>
  <si>
    <t>650000 Кемеровская область город Кемерово проспект Ленина дом 33А   часть нежилого помещения №10</t>
  </si>
  <si>
    <t>ЮЛ780300308200632</t>
  </si>
  <si>
    <t>654041 Кемеровская область город Новокузнецк проспект Бардина дом 2</t>
  </si>
  <si>
    <t>ЮЛ780300308200917</t>
  </si>
  <si>
    <t>ЮЛ780300308200922</t>
  </si>
  <si>
    <t>652470 Кемеровская область город Анжеро-Судженск улица Ленина дом 13А</t>
  </si>
  <si>
    <t>ЮЛ780300308200940</t>
  </si>
  <si>
    <t>654059 Кемеровская область город Новокузнецк улица Тореза дом 75   пом.137</t>
  </si>
  <si>
    <t>ЮЛ780300308200943</t>
  </si>
  <si>
    <t>654054 Кемеровская область город Новокузнецк проспект Запсибовцев дом 6а   пом.1</t>
  </si>
  <si>
    <t>ЮЛ780300308200944</t>
  </si>
  <si>
    <t>ЮЛ780300308200945</t>
  </si>
  <si>
    <t>ЮЛ780300308200949</t>
  </si>
  <si>
    <t>650056 Кемеровская область город Кемерово проспект Ленина дом 135   часть нежилых помещений 12,14-16,19-22 помещение № 6</t>
  </si>
  <si>
    <t>ЮЛ780300308200969</t>
  </si>
  <si>
    <t>650903 Кемеровская область город Кемерово улица Ленина дом 1</t>
  </si>
  <si>
    <t>ЮЛ780300308201024</t>
  </si>
  <si>
    <t>650023 Кемеровская область город Кемерово проспект Октябрьский дом 34   комната № 39</t>
  </si>
  <si>
    <t>ЮЛ780300308201027</t>
  </si>
  <si>
    <t>650024 Кемеровская область город Кемерово улица Радищева дом 6</t>
  </si>
  <si>
    <t>ЮЛ780300308201036</t>
  </si>
  <si>
    <t>652523 Кемеровская область город Ленинск-Кузнецкий улица Телефонная дом 13   часть нежилого помещения 2</t>
  </si>
  <si>
    <t>ЮЛ780300308201044</t>
  </si>
  <si>
    <t>654034 Кемеровская область город Новокузнецк улица Ленина дом 40</t>
  </si>
  <si>
    <t>ЮЛ780300308201073</t>
  </si>
  <si>
    <t>654027 Кемеровская область город Новокузнецк улица Металлургов дом 29</t>
  </si>
  <si>
    <t>ЮЛ780300308201079</t>
  </si>
  <si>
    <t>650000 Кемеровская область город Кемерово проспект Кузнецкий дом 33б   часть нежилого помещения 2</t>
  </si>
  <si>
    <t>ЮЛ780300308201096</t>
  </si>
  <si>
    <t>654080 Кемеровская область город Новокузнецк улица Кирова дом 55   помещения № 12,13,127</t>
  </si>
  <si>
    <t>ЮЛ780300308201112</t>
  </si>
  <si>
    <t>650002 Кемеровская область город Кемерово проспект Шахтеров дом 54</t>
  </si>
  <si>
    <t>ЮЛ780300308201120</t>
  </si>
  <si>
    <t>ЮЛ780300363500118</t>
  </si>
  <si>
    <t>654038 Кемеровская область город Новокузнецк проспект Советской Армии дом 11   помещения 1, 2, 3, 4</t>
  </si>
  <si>
    <t>ЮЛ780300363500156</t>
  </si>
  <si>
    <t>654042 Кемеровская область город Новокузнецк проспект Бардина дом 2</t>
  </si>
  <si>
    <t>ИП Шигапов Рустам Нильевич</t>
  </si>
  <si>
    <t>860700003416</t>
  </si>
  <si>
    <t>ИП4703037957</t>
  </si>
  <si>
    <t>ИП470303795700000</t>
  </si>
  <si>
    <t>654080 Кемеровская область город Новокузнецк улица Кирова дом 55   помещение 1143, 1 этаж</t>
  </si>
  <si>
    <t>ЮЛ770100439200027</t>
  </si>
  <si>
    <t>650000 Кемеровская область город Кемерово проспект Ленина дом 33а   1 этаж</t>
  </si>
  <si>
    <t>ЮЛ770100439200227</t>
  </si>
  <si>
    <t>Кировская область</t>
  </si>
  <si>
    <t>610000 Кировская область город Киров проспект Октябрьский дом 66</t>
  </si>
  <si>
    <t>ИП Самофалов Михаил Васильевич</t>
  </si>
  <si>
    <t>110101804247</t>
  </si>
  <si>
    <t>ИП1103007901</t>
  </si>
  <si>
    <t>ИП110300790100009</t>
  </si>
  <si>
    <t>610017 Кировская область город Киров проспект Октябрьский дом 86   помещение 1014</t>
  </si>
  <si>
    <t>ИП Заболотская Маргарита Евгеньевна</t>
  </si>
  <si>
    <t>121500237446</t>
  </si>
  <si>
    <t>ИП1206003643</t>
  </si>
  <si>
    <t>ИП120600364300001</t>
  </si>
  <si>
    <t>612964 Кировская область город Вятские Поляны улица Мира дом 44</t>
  </si>
  <si>
    <t>ИП Артёмов Андрей Геннадьевич</t>
  </si>
  <si>
    <t>121500686000</t>
  </si>
  <si>
    <t>ИП1206003628</t>
  </si>
  <si>
    <t>ИП120600362800001</t>
  </si>
  <si>
    <t>612920 Кировская область город Малмыж улица К.Маркса дом 4</t>
  </si>
  <si>
    <t>ИП120600362800002</t>
  </si>
  <si>
    <t>612601 Кировская область город Котельнич улица Кирова дом 13   помещение 23</t>
  </si>
  <si>
    <t>ИП120600362800004</t>
  </si>
  <si>
    <t>612964 Кировская область город Вятские Поляны улица Мира дом 35в</t>
  </si>
  <si>
    <t>ИП120600362800014</t>
  </si>
  <si>
    <t>612410 Кировская область город Зуевка площадь Базарная дом 1А</t>
  </si>
  <si>
    <t>ИП120600362800015</t>
  </si>
  <si>
    <t>612260 Кировская область Город Яранск Улица Кирова Дом 25</t>
  </si>
  <si>
    <t>ИП Овсянникова Анна Александровна</t>
  </si>
  <si>
    <t>121521413413</t>
  </si>
  <si>
    <t>ИП1206004837</t>
  </si>
  <si>
    <t>ИП120600483700005</t>
  </si>
  <si>
    <t>613340 Кировская область город Советск улица Малькова дом 5</t>
  </si>
  <si>
    <t>ИП Жданов Иван Николаевич</t>
  </si>
  <si>
    <t>183112278620</t>
  </si>
  <si>
    <t>ИП1806006310</t>
  </si>
  <si>
    <t>ИП180600631000000</t>
  </si>
  <si>
    <t>610044 Кировская область город Киров улица Луганская дом 53/2   помещение №1.59</t>
  </si>
  <si>
    <t>ИП Шингарева Анастасия Валерьевна</t>
  </si>
  <si>
    <t>213003494531</t>
  </si>
  <si>
    <t>ИП2106001112</t>
  </si>
  <si>
    <t>ИП210600111200000</t>
  </si>
  <si>
    <t>610017 Кировская область город Киров улица Воровского дом 77   на 1 этаже здания</t>
  </si>
  <si>
    <t>ИП210600111200001</t>
  </si>
  <si>
    <t>610017 Кировская область город Киров улица Горького дом 5а   помещение №125+126</t>
  </si>
  <si>
    <t>ИП210600111200002</t>
  </si>
  <si>
    <t>610027 Кировская область город Киров улица Воровского дом 43   помещение 29,30</t>
  </si>
  <si>
    <t>ИП Русских Анна Николаевна</t>
  </si>
  <si>
    <t>245722641204</t>
  </si>
  <si>
    <t>ИП4306001695</t>
  </si>
  <si>
    <t>ИП430600169500000</t>
  </si>
  <si>
    <t>613060 Кировская область поселок городского типа Афанасьево улица Красных Партизан дом 12</t>
  </si>
  <si>
    <t>АФАНАСЬЕВСКОЕ РАЙПО</t>
  </si>
  <si>
    <t>4302001382</t>
  </si>
  <si>
    <t>ЮЛ4306014540</t>
  </si>
  <si>
    <t>ЮЛ430601454000000</t>
  </si>
  <si>
    <t>612820 Кировская область город Кирс улица Кирова дом 17   Помещение 1001</t>
  </si>
  <si>
    <t>ИП Шумайлов Станислав Владимирович</t>
  </si>
  <si>
    <t>430500341979</t>
  </si>
  <si>
    <t>ИП4306031702</t>
  </si>
  <si>
    <t>ИП430603170200000</t>
  </si>
  <si>
    <t>612740 Кировская область город Омутнинск улица 30-летия Победы дом 31   Помещение 1003</t>
  </si>
  <si>
    <t>ИП430603170200001</t>
  </si>
  <si>
    <t>612820 Кировская область город Кирс улица Милицейская дом 23   помещение 1002</t>
  </si>
  <si>
    <t>ИП Стародумова Ирина Анатольевна</t>
  </si>
  <si>
    <t>430501311832</t>
  </si>
  <si>
    <t>ИП4306006595</t>
  </si>
  <si>
    <t>ИП430600659500000</t>
  </si>
  <si>
    <t>612960 Кировская область город Вятские Поляны улица Кукина дом 12</t>
  </si>
  <si>
    <t>ИП Шарафутдинова Татьяна Аркадьевна</t>
  </si>
  <si>
    <t>430701874800</t>
  </si>
  <si>
    <t>ИП4306032002</t>
  </si>
  <si>
    <t>ИП430603200200000</t>
  </si>
  <si>
    <t>612964 Кировская область город Вятские Поляны улица Мира Дом 46А Магазин 'Подарки'</t>
  </si>
  <si>
    <t>ИП Пархоменко Галина Леонидовна</t>
  </si>
  <si>
    <t>430703305648</t>
  </si>
  <si>
    <t>ИП4306031514</t>
  </si>
  <si>
    <t>ИП430603151400000</t>
  </si>
  <si>
    <t>612140 Кировская область поселок городского типа Даровской улица Гагарина дом 2</t>
  </si>
  <si>
    <t>ДАРОВСКОЕ РАЙПО</t>
  </si>
  <si>
    <t>4308000120</t>
  </si>
  <si>
    <t>ЮЛ4306013119</t>
  </si>
  <si>
    <t>ЮЛ430601311900000</t>
  </si>
  <si>
    <t>610001 Кировская область город Киров площадь Привокзальная дом 1   Комната №62, №63, №64 - ТЦ Лето</t>
  </si>
  <si>
    <t>ИП Халтурина Галина Валериевна</t>
  </si>
  <si>
    <t>430902329280</t>
  </si>
  <si>
    <t>ИП1806013259</t>
  </si>
  <si>
    <t>ИП180601325900000</t>
  </si>
  <si>
    <t>610001 Кировская область город Киров улица Комсомольская дом 21   б/н - магазин Серебро</t>
  </si>
  <si>
    <t>ИП180601325900003</t>
  </si>
  <si>
    <t>610035 Кировская область город Киров улица Щорса дом 95   помещение №221 - ТЦ Новый Простор</t>
  </si>
  <si>
    <t>ИП180601325900004</t>
  </si>
  <si>
    <t>610006 Кировская область город Киров проспект Октябрьский дом 24 корпус 77  помещение б/н на 1 этаже - ТЦ Лепсе</t>
  </si>
  <si>
    <t>ИП180601325900005</t>
  </si>
  <si>
    <t>610001 Кировская область город Киров улица Комсомольская дом 25   помещение №56,57 - магазин Изумруд</t>
  </si>
  <si>
    <t>ИП180601325900006</t>
  </si>
  <si>
    <t>613050 Кировская область город Кирово-Чепецк проспект Мира дом 43а   помещение №30, 32, 33, 16 - ТЦ Русь</t>
  </si>
  <si>
    <t>ИП180601325900007</t>
  </si>
  <si>
    <t>613150 Кировская область город Слободской улица Советская дом 66   часть помещения №38</t>
  </si>
  <si>
    <t>ИП180601325900008</t>
  </si>
  <si>
    <t>610007 Кировская область город Киров улица Ленина дом 169   часть комнаты №15 - ТЦ Микс</t>
  </si>
  <si>
    <t>ИП180601325900009</t>
  </si>
  <si>
    <t>610002 Кировская область город Киров улица Пролетарская дом 15   секция №37 на 1 этаже здания - ТЦ Максимум</t>
  </si>
  <si>
    <t>ИП180601325900010</t>
  </si>
  <si>
    <t>613044 Кировская область город Кирово-Чепецк улица 60 лет Октября дом 6</t>
  </si>
  <si>
    <t>АО "ПРОДТОРГ К"</t>
  </si>
  <si>
    <t>4312121008</t>
  </si>
  <si>
    <t>ЮЛ4306001066</t>
  </si>
  <si>
    <t>ЮЛ430600106600000</t>
  </si>
  <si>
    <t>612500 Кировская область поселок городского типа Фаленки улица Коммуны дом 26</t>
  </si>
  <si>
    <t>ООО "ФИАНИТ"</t>
  </si>
  <si>
    <t>4312157815</t>
  </si>
  <si>
    <t>ЮЛ4306033286</t>
  </si>
  <si>
    <t>ЮЛ430603328600000</t>
  </si>
  <si>
    <t>612600 Кировская область город Котельнич улица Советская дом 98</t>
  </si>
  <si>
    <t>ИП Смердова Оксана Евгеньевна</t>
  </si>
  <si>
    <t>431312207877</t>
  </si>
  <si>
    <t>ИП4306012465</t>
  </si>
  <si>
    <t>ИП430601246500000</t>
  </si>
  <si>
    <t>613400 Кировская область поселок городского типа Кумены улица Базарная дом 1</t>
  </si>
  <si>
    <t>ООО "СЕРЕБРО"</t>
  </si>
  <si>
    <t>4314006402</t>
  </si>
  <si>
    <t>ЮЛ4306032335</t>
  </si>
  <si>
    <t>ЮЛ430603233500000</t>
  </si>
  <si>
    <t>610901 Кировская область поселок городского типа Нижнеивкино  улица Октябрьская дом 6</t>
  </si>
  <si>
    <t>ЮЛ430603233500002</t>
  </si>
  <si>
    <t>613980 Кировская область город Луза улица Железнодорожников дом 2(Б)</t>
  </si>
  <si>
    <t>ИП Митягина Ольга Александровна</t>
  </si>
  <si>
    <t>431600273153</t>
  </si>
  <si>
    <t>ИП4306032670</t>
  </si>
  <si>
    <t>ИП430603267000000</t>
  </si>
  <si>
    <t>612920 Кировская область город Малмыж улица Комсомольская дом 71/1</t>
  </si>
  <si>
    <t>ИП Гущеварова Валентина Васильевна</t>
  </si>
  <si>
    <t>431700043636</t>
  </si>
  <si>
    <t>ИП4306010353</t>
  </si>
  <si>
    <t>ИП430601035300000</t>
  </si>
  <si>
    <t>613440 Кировская область город Нолинск улица Спартака дом 21</t>
  </si>
  <si>
    <t>ООО "ЮВЕЛИР"</t>
  </si>
  <si>
    <t>4321007460</t>
  </si>
  <si>
    <t>ЮЛ4306032143</t>
  </si>
  <si>
    <t>ЮЛ430603214300000</t>
  </si>
  <si>
    <t>612740 Кировская область город Омутнинск улица Комсомольская дом 15</t>
  </si>
  <si>
    <t>ИП Соковнина Дарья Васильевна</t>
  </si>
  <si>
    <t>432203758241</t>
  </si>
  <si>
    <t>ИП4306009689</t>
  </si>
  <si>
    <t>ИП430600968900000</t>
  </si>
  <si>
    <t>613150 Кировская область город Слободской улица Вятская дом 1   помещение № 1001</t>
  </si>
  <si>
    <t>ИП Карпова Ольга Леонидовна</t>
  </si>
  <si>
    <t>432903356499</t>
  </si>
  <si>
    <t>ИП4306007553</t>
  </si>
  <si>
    <t>ИП430600755300000</t>
  </si>
  <si>
    <t>610045 Кировская область город Киров улица Воровского дом 112   часть комнаты №65 - ТЦ Атлант</t>
  </si>
  <si>
    <t>ИП Гребенева Ксения Андреевна</t>
  </si>
  <si>
    <t>432904665531</t>
  </si>
  <si>
    <t>ИП5206013524</t>
  </si>
  <si>
    <t>ИП520601352400000</t>
  </si>
  <si>
    <t>610044 Кировская область город Киров улица Лепсе дом 67   помещение б/н - ТЦ Континент</t>
  </si>
  <si>
    <t>ИП520601352400007</t>
  </si>
  <si>
    <t>610027 Кировская область город Киров улица Воровского дом 71   часть комнаты №2 - ТЦ Росинка</t>
  </si>
  <si>
    <t>ИП520601352400008</t>
  </si>
  <si>
    <t>610048 Кировская область город Киров улица Воровского дом 135   помещение №37  - ТЦ Глобус</t>
  </si>
  <si>
    <t>ИП520601352400009</t>
  </si>
  <si>
    <t>610020 Кировская область город Киров улица Карла Маркса дом 40   б/н на 1 этаже - ТЦ Яблочко</t>
  </si>
  <si>
    <t>ИП520601352400010</t>
  </si>
  <si>
    <t>610044 Кировская область город Киров улица Луганская дом 53/2   помещение №1.73 - ТЦ Макси</t>
  </si>
  <si>
    <t>ИП520601352400011</t>
  </si>
  <si>
    <t>610017 Кировская область город Киров улица Горького дом 5а   помещение №104 - ТЦ Джем Молл - Топаз Бриллиантовый</t>
  </si>
  <si>
    <t>ИП520601352400013</t>
  </si>
  <si>
    <t>610017 Кировская область город Киров улица Горького дом 5а   помещение №153 - ТЦ Джем Молл - Топаз Золотой</t>
  </si>
  <si>
    <t>ИП520601352400014</t>
  </si>
  <si>
    <t>612200 Кировская область поселок городского типа Тужа улица Горького дом 14</t>
  </si>
  <si>
    <t>ООО "КООПЕРАТОР"</t>
  </si>
  <si>
    <t>4332007014</t>
  </si>
  <si>
    <t>ЮЛ4306031560</t>
  </si>
  <si>
    <t>ЮЛ430603156000000</t>
  </si>
  <si>
    <t>612540 Кировская область поселок городского типа Уни улица Кирова дом 6   помещение 1001</t>
  </si>
  <si>
    <t>ИП Кочкин Алексей Владиславович</t>
  </si>
  <si>
    <t>433300029609</t>
  </si>
  <si>
    <t>ИП4306031741</t>
  </si>
  <si>
    <t>ИП430603174100000</t>
  </si>
  <si>
    <t>ИП430603174100001</t>
  </si>
  <si>
    <t>612410 Кировская область город Зуевка улица Кирова Дом 14   помещение 1002</t>
  </si>
  <si>
    <t>ИП430603174100002</t>
  </si>
  <si>
    <t>613530 Кировская область город Уржум улица Рокина дом 8</t>
  </si>
  <si>
    <t>ИП Федосимова Капитолина Владимировна</t>
  </si>
  <si>
    <t>433400273142</t>
  </si>
  <si>
    <t>ИП4306013929</t>
  </si>
  <si>
    <t>ИП430601392900000</t>
  </si>
  <si>
    <t>613530 Кировская область город Уржум улица Красная дом 43   помещение 1003</t>
  </si>
  <si>
    <t>ИП Тимшина Екатерина Владимировна</t>
  </si>
  <si>
    <t>433402213043</t>
  </si>
  <si>
    <t>ИП4306018685</t>
  </si>
  <si>
    <t>ИП430601868500000</t>
  </si>
  <si>
    <t>613045 Кировская область город Кирово-Чепецк проспект Мира дом 64 корпус 3  помещение 20005</t>
  </si>
  <si>
    <t>ИП Сырчина Галина Анатольевна</t>
  </si>
  <si>
    <t>434100335470</t>
  </si>
  <si>
    <t>ИП4306000575</t>
  </si>
  <si>
    <t>ИП430600057500000</t>
  </si>
  <si>
    <t>610000 Кировская область город Киров улица Советская Дом 85   Отдел "Карат"</t>
  </si>
  <si>
    <t>ИП430600057500002</t>
  </si>
  <si>
    <t>612600 Кировская область город Котельнич улица Советская дом 88-а</t>
  </si>
  <si>
    <t>ИП Шаров Сергей Иванович</t>
  </si>
  <si>
    <t>434200125396</t>
  </si>
  <si>
    <t>ИП4306004932</t>
  </si>
  <si>
    <t>ИП430600493200000</t>
  </si>
  <si>
    <t>610001 Кировская область город Киров улица Горького дом 44</t>
  </si>
  <si>
    <t>ООО "ЛОМБАРД КИРОВОБЛБЫТСЕРВИС"</t>
  </si>
  <si>
    <t>4345163596</t>
  </si>
  <si>
    <t>ЮЛ4306002821</t>
  </si>
  <si>
    <t>ЮЛ430600282100000</t>
  </si>
  <si>
    <t>610001 Кировская область город Киров улица Горького дом 44   помещение 1003</t>
  </si>
  <si>
    <t>ООО "САПФИР"</t>
  </si>
  <si>
    <t>4345246676</t>
  </si>
  <si>
    <t>ЮЛ4306003086</t>
  </si>
  <si>
    <t>ЮЛ430600308600000</t>
  </si>
  <si>
    <t>610007 Кировская область город Киров улица Ленина дом 149   помещение 1004</t>
  </si>
  <si>
    <t>ЮЛ430600308600001</t>
  </si>
  <si>
    <t>610046 Кировская область город Киров улица Романа Ердякова дом 16</t>
  </si>
  <si>
    <t>ЮЛ430600308600002</t>
  </si>
  <si>
    <t>613440 Кировская область город Нолинск улица Ленина дом 20</t>
  </si>
  <si>
    <t>ИП Карпенко Ольга Николаевна</t>
  </si>
  <si>
    <t>434526706501</t>
  </si>
  <si>
    <t>ИП4306002571</t>
  </si>
  <si>
    <t>ИП430600257100000</t>
  </si>
  <si>
    <t>610027 Кировская область город Киров улица Воровского дом 71   пом. 1032</t>
  </si>
  <si>
    <t>ИП Мельников Максим Викторович</t>
  </si>
  <si>
    <t>434530986379</t>
  </si>
  <si>
    <t>ИП4306009269</t>
  </si>
  <si>
    <t>ИП430600926900000</t>
  </si>
  <si>
    <t>613040 Кировская область город Кирово-Чепецк проспект Мира дом 23</t>
  </si>
  <si>
    <t>ИП Червякова Елена Николаевна</t>
  </si>
  <si>
    <t>434531330565</t>
  </si>
  <si>
    <t>ИП4306011381</t>
  </si>
  <si>
    <t>ИП430601138100000</t>
  </si>
  <si>
    <t>610000 Кировская область город Киров проспект Октябрьский дом 139</t>
  </si>
  <si>
    <t>ИП Соловьев Роман Леонидович</t>
  </si>
  <si>
    <t>434531627870</t>
  </si>
  <si>
    <t>ИП4306002938</t>
  </si>
  <si>
    <t>ИП430600293800000</t>
  </si>
  <si>
    <t>610033 Кировская область город Киров улица Московская дом 135   помещение №1/9</t>
  </si>
  <si>
    <t>ИП430600293800001</t>
  </si>
  <si>
    <t>610035 Кировская область город Киров проезд Мелькомбинатовский дом 7</t>
  </si>
  <si>
    <t>ООО "ВВМД"</t>
  </si>
  <si>
    <t>4345445914</t>
  </si>
  <si>
    <t>ЮЛ4306031544</t>
  </si>
  <si>
    <t>ЮЛ430603154400000</t>
  </si>
  <si>
    <t>610021 Кировская область город Киров улица Е. Кочкиной дом 3а   помещение 7, 8</t>
  </si>
  <si>
    <t>ИП Сидоров Сергей Геннадьевич</t>
  </si>
  <si>
    <t>434545901113</t>
  </si>
  <si>
    <t>ИП4306001283</t>
  </si>
  <si>
    <t>ИП430600128300000</t>
  </si>
  <si>
    <t>610007 Кировская область город Киров улица Ленина дом 149   помещение 1003</t>
  </si>
  <si>
    <t>ООО "ЛОМБАРД КИРОВОБЛБЫТСЕРВИС ПЛЮС"</t>
  </si>
  <si>
    <t>4345471248</t>
  </si>
  <si>
    <t>ЮЛ4306002963</t>
  </si>
  <si>
    <t>ЮЛ430600296300000</t>
  </si>
  <si>
    <t>610002 Кировская область город Киров улица Воровского дом 21А</t>
  </si>
  <si>
    <t>ИП Слотина Марина Владимировна</t>
  </si>
  <si>
    <t>434559911707</t>
  </si>
  <si>
    <t>ИП4306006493</t>
  </si>
  <si>
    <t>ИП430600649300000</t>
  </si>
  <si>
    <t>610017 Кировская область город Киров проспект Октябрьский дом 78</t>
  </si>
  <si>
    <t>ИП430600649300003</t>
  </si>
  <si>
    <t>610017 Кировская область Город Киров Улица Воровского дом 77   помещение 1001</t>
  </si>
  <si>
    <t>ИП Рыкова Ольга Владимировна</t>
  </si>
  <si>
    <t>434588798358</t>
  </si>
  <si>
    <t>ИП4306003161</t>
  </si>
  <si>
    <t>ИП430600316100000</t>
  </si>
  <si>
    <t>610002 Кировская область город Киров улица Ленина дом 83   301</t>
  </si>
  <si>
    <t>ИП Анисимова Ирина Александровна</t>
  </si>
  <si>
    <t>434588916957</t>
  </si>
  <si>
    <t>ИП4306034519</t>
  </si>
  <si>
    <t>ИП430603451900000</t>
  </si>
  <si>
    <t>610004 Кировская область город Киров улица Советская дом 28</t>
  </si>
  <si>
    <t>ИП430603451900001</t>
  </si>
  <si>
    <t>612450 Кировская область поселок городского типа Суна улица Большевиков дом 3   Помещение 1</t>
  </si>
  <si>
    <t>ИП430603451900002</t>
  </si>
  <si>
    <t>610004 Кировская область город Киров улица Мопра дом 7   помещение 1019</t>
  </si>
  <si>
    <t>ИП Бледных Полина Артемовна</t>
  </si>
  <si>
    <t>434595884907</t>
  </si>
  <si>
    <t>ИП4306010312</t>
  </si>
  <si>
    <t>ИП430601031200000</t>
  </si>
  <si>
    <t>610033 Кировская область город Киров улица Лепсе дом 54</t>
  </si>
  <si>
    <t>ИП430601031200001</t>
  </si>
  <si>
    <t>610002 Кировская область город Киров улица Пролетарская дом 15</t>
  </si>
  <si>
    <t>ИП430601031200004</t>
  </si>
  <si>
    <t>613340 Кировская область город Советск улица Ленина дом 45 строение 1</t>
  </si>
  <si>
    <t>ИП430601031200005</t>
  </si>
  <si>
    <t>613150 Кировская область город Слободской улица Советская дом 73</t>
  </si>
  <si>
    <t>ИП430601031200008</t>
  </si>
  <si>
    <t>613050 Кировская область город Кирово-Чепецк проспект Россия дом 34   помещение 52</t>
  </si>
  <si>
    <t>ИП430601031200010</t>
  </si>
  <si>
    <t>610007 Кировская область город Киров улица Ленина дом 205   помещение 2</t>
  </si>
  <si>
    <t>ИП430601031200011</t>
  </si>
  <si>
    <t>610045 Кировская область город Киров улица Маршала И.С.Конева дом 1   помещение 8</t>
  </si>
  <si>
    <t>ИП430601031200012</t>
  </si>
  <si>
    <t>610047 Кировская область город Киров улица Василия Жуковского здание 11а   помещение 1001</t>
  </si>
  <si>
    <t>ИП430601031200014</t>
  </si>
  <si>
    <t>ИП Слотин Сергей Анатольевич</t>
  </si>
  <si>
    <t>434700724528</t>
  </si>
  <si>
    <t>ИП4306000565</t>
  </si>
  <si>
    <t>ИП430600056500000</t>
  </si>
  <si>
    <t>610027 Кировская область город Киров улица Воровского дом 43   помещение 22</t>
  </si>
  <si>
    <t>ИП430600056500001</t>
  </si>
  <si>
    <t>610002 Кировская область город Киров улица Пролетарская дом 15   секция № 12</t>
  </si>
  <si>
    <t>ИП430600056500002</t>
  </si>
  <si>
    <t>610017 Кировская область город Киров улица Воровского дом 77   помещение 1001</t>
  </si>
  <si>
    <t>ИП430600056500003</t>
  </si>
  <si>
    <t>610048 Кировская область город Киров улица Воровского дом 135   помещение 37</t>
  </si>
  <si>
    <t>ИП430600056500004</t>
  </si>
  <si>
    <t>610027 Кировская область город Киров улица Воровского дом 43   помещение 21</t>
  </si>
  <si>
    <t>ИП430600056500006</t>
  </si>
  <si>
    <t>ИП430600056500008</t>
  </si>
  <si>
    <t>610044 Кировская область город Киров улица Луганская дом 53/2</t>
  </si>
  <si>
    <t>ИП500100445500047</t>
  </si>
  <si>
    <t>610044 Кировская область город Киров улица Луганская дом 53/2   часть помещения № 1.2 этаж 1</t>
  </si>
  <si>
    <t>ИП520600807800017</t>
  </si>
  <si>
    <t>610017 Кировская область город Киров улица Горького дом 5а   часть помещения № 127/3</t>
  </si>
  <si>
    <t>ЮЛ770100193500405</t>
  </si>
  <si>
    <t>610051 Кировская область город Киров площадь Привокзальная дом 1   помещение 1001, комната 17, 1 (первый) этаж</t>
  </si>
  <si>
    <t>ЮЛ770100193500406</t>
  </si>
  <si>
    <t>613046 Кировская область город Кирово-Чепецк проспект Мира дом 62/1   этаж 1 (первый)</t>
  </si>
  <si>
    <t>ЮЛ770100193500857</t>
  </si>
  <si>
    <t>610001 Кировская область город Киров улица Комсомольская дом 21  литера А помещение 1001</t>
  </si>
  <si>
    <t>ЮЛ780300323500066</t>
  </si>
  <si>
    <t>610001 Кировская область город Киров улица Комсомольская дом 25   помещение 1002</t>
  </si>
  <si>
    <t>ЮЛ780300308200198</t>
  </si>
  <si>
    <t>612964 Кировская область город Вятские Поляны улица Мира дом 44   помещение 1005</t>
  </si>
  <si>
    <t>ЮЛ780300308200555</t>
  </si>
  <si>
    <t>610017 Кировская область город Киров улица Горького дом 5а   помещение О1.16</t>
  </si>
  <si>
    <t>ЮЛ780300308201088</t>
  </si>
  <si>
    <t>610001 Кировская область город Киров улица Комсомольская дом 21</t>
  </si>
  <si>
    <t>ЮЛ780300363500124</t>
  </si>
  <si>
    <t>Костромская область</t>
  </si>
  <si>
    <t>156022 Костромская область город Кострома улица Голубкова дом 12А   Комната №44,45</t>
  </si>
  <si>
    <t>ИП Колеганова Елена Владимировна</t>
  </si>
  <si>
    <t>23502406901</t>
  </si>
  <si>
    <t>ИП4402008589</t>
  </si>
  <si>
    <t>ИП440200858900000</t>
  </si>
  <si>
    <t>156002 Костромская область город Кострома улица Островского гпк 54  бокс 29</t>
  </si>
  <si>
    <t>ИП Нагметуллаев Алимет Нусретович</t>
  </si>
  <si>
    <t>52303303874</t>
  </si>
  <si>
    <t>ИП0505040750</t>
  </si>
  <si>
    <t>ИП050504075000000</t>
  </si>
  <si>
    <t>156019 Костромская область город Кострома улица Щербины Петра дом 25а</t>
  </si>
  <si>
    <t>ИП Эмиров Мурад Русланович</t>
  </si>
  <si>
    <t>54203990666</t>
  </si>
  <si>
    <t>ИП5001017146</t>
  </si>
  <si>
    <t>ИП500101714600000</t>
  </si>
  <si>
    <t>157940 Костромская область поселок городского типа Красное-на-Волге улица Советская дом 51</t>
  </si>
  <si>
    <t>ИП Епишкин Роман Андреевич</t>
  </si>
  <si>
    <t>180418280660</t>
  </si>
  <si>
    <t>ИП7701037998</t>
  </si>
  <si>
    <t>ИП770103799800000</t>
  </si>
  <si>
    <t>156014 Костромская область город Кострома улица Энергетиков дом 3 Помещение № Эн.1А.2.6</t>
  </si>
  <si>
    <t>ИП Владыкин Дмитрий Александрович</t>
  </si>
  <si>
    <t>182910901413</t>
  </si>
  <si>
    <t>ИП4402038530</t>
  </si>
  <si>
    <t>ИП440203853000000</t>
  </si>
  <si>
    <t>156009 Костромская область город Кострома улица Юбилейная дом 24г</t>
  </si>
  <si>
    <t>ИП Грицай Вадим Валерьевич</t>
  </si>
  <si>
    <t>332905971585</t>
  </si>
  <si>
    <t>ИП7602005841</t>
  </si>
  <si>
    <t>ИП760200584100000</t>
  </si>
  <si>
    <t>157940 Костромская область поселок городского типа Красное-на-Волге Окружная 6 корпус 1</t>
  </si>
  <si>
    <t>ИП Ермаков Михаил Витальевич</t>
  </si>
  <si>
    <t>370210765009</t>
  </si>
  <si>
    <t>ИП3702001762</t>
  </si>
  <si>
    <t>ИП370200176200000</t>
  </si>
  <si>
    <t>156000 Костромская область город Кострома площадь Советская, Пряничные ряды с часовнями Успенского собора и Николо-Бабаевского монастыря    помещение №4 на 1ом и 2ом этажах</t>
  </si>
  <si>
    <t>ИП370200884200003</t>
  </si>
  <si>
    <t>156002 Костромская область город Кострома улица Ткачей дом 7</t>
  </si>
  <si>
    <t>ИП370200420000002</t>
  </si>
  <si>
    <t>156019 Костромская область город Кострома улица Щербины Петра дом 4А   помещение № 2,3 каб.№301, помещение 12,13,14,32,33 (помещения 104,113,112)</t>
  </si>
  <si>
    <t>ИП Низов Дмитрий Дмитриевич</t>
  </si>
  <si>
    <t>371901483189</t>
  </si>
  <si>
    <t>ИП3702005616</t>
  </si>
  <si>
    <t>ИП370200561600000</t>
  </si>
  <si>
    <t>156002 Костромская область город Кострома Улица Ткачей  Дом 7</t>
  </si>
  <si>
    <t>ИП Смирнов Дмитрий Владимирович</t>
  </si>
  <si>
    <t>372103106742</t>
  </si>
  <si>
    <t>ИП4402037620</t>
  </si>
  <si>
    <t>ИП440203762000000</t>
  </si>
  <si>
    <t>156000 Костромская область Волгореченск Имени 50-летия Ленинского Комсомола 48а</t>
  </si>
  <si>
    <t>ИП440203762000002</t>
  </si>
  <si>
    <t>156007 Костромская область город Кострома разъезд 5-й км дом 13</t>
  </si>
  <si>
    <t>ИП Мамедов Тарлан Гусейн Оглы</t>
  </si>
  <si>
    <t>390509020492</t>
  </si>
  <si>
    <t>ИП4402031758</t>
  </si>
  <si>
    <t>ИП440203175800000</t>
  </si>
  <si>
    <t>156019 Костромская область город Кострома улица Щербины Петра дом 2   1 этаж помещение 9,10, 2 этаж помещение 10-19,21,25, 25а, 26,27</t>
  </si>
  <si>
    <t>ИП Русских Владимир Павлович</t>
  </si>
  <si>
    <t>432401437017</t>
  </si>
  <si>
    <t>ИП4402007330</t>
  </si>
  <si>
    <t>ИП440200733000000</t>
  </si>
  <si>
    <t>156026 Костромская область город Кострома улица Привокзальная дом 3   помещение 79</t>
  </si>
  <si>
    <t>ООО "ЗОЛОТОЙ ВАВИЛОН"</t>
  </si>
  <si>
    <t>4400000179</t>
  </si>
  <si>
    <t>ЮЛ4402000613</t>
  </si>
  <si>
    <t>ЮЛ440200061300000</t>
  </si>
  <si>
    <t>156019 Костромская область город Кострома улица Щербины Петра 9   53</t>
  </si>
  <si>
    <t>ООО "ЮД ЮВЭР"</t>
  </si>
  <si>
    <t>4400001831</t>
  </si>
  <si>
    <t>ЮЛ4402001453</t>
  </si>
  <si>
    <t>ЮЛ440200145300000</t>
  </si>
  <si>
    <t>156001 Костромская область город Кострома проезд Ключевской дом 1   помещение 3</t>
  </si>
  <si>
    <t>ООО "ЛАГЕРТА"</t>
  </si>
  <si>
    <t>4400003500</t>
  </si>
  <si>
    <t>ЮЛ4402000427</t>
  </si>
  <si>
    <t>ЮЛ440200042700000</t>
  </si>
  <si>
    <t>156013 Костромская область город Кострома проспект Мира дом 116   помещение 3</t>
  </si>
  <si>
    <t>ООО "ГРЕЙС"</t>
  </si>
  <si>
    <t>4400006318</t>
  </si>
  <si>
    <t>ЮЛ4402000312</t>
  </si>
  <si>
    <t>ЮЛ440200031200000</t>
  </si>
  <si>
    <t>156002 Костромская область город Кострома улица Ерохова дом 4Д   офис 209</t>
  </si>
  <si>
    <t>ООО "БРИЛЛИАНТ СОЮЗ"</t>
  </si>
  <si>
    <t>4400006371</t>
  </si>
  <si>
    <t>ЮЛ4402000539</t>
  </si>
  <si>
    <t>ЮЛ440200053900000</t>
  </si>
  <si>
    <t>156009 Костромская область город Кострома улица Юбилейная дом 24г   10</t>
  </si>
  <si>
    <t>ООО "БОН СТАЙЛ"</t>
  </si>
  <si>
    <t>4400008650</t>
  </si>
  <si>
    <t>ЮЛ4402030059</t>
  </si>
  <si>
    <t>ЮЛ440203005900000</t>
  </si>
  <si>
    <t>156000 Костромская область город Кострома улица 1 Мая дом 17  И2 пом.40</t>
  </si>
  <si>
    <t>ООО "ОРТОКС ЮВЕЛИР"</t>
  </si>
  <si>
    <t>4400011558</t>
  </si>
  <si>
    <t>ЮЛ4402032163</t>
  </si>
  <si>
    <t>ЮЛ440203216300000</t>
  </si>
  <si>
    <t>156000 Костромская область город Кострома проспект Текстильщиков дом 38/34   помещение 19</t>
  </si>
  <si>
    <t>ООО "ДЖЕЙ-АРТ"</t>
  </si>
  <si>
    <t>4400011646</t>
  </si>
  <si>
    <t>ЮЛ4402032165</t>
  </si>
  <si>
    <t>ЮЛ440203216500000</t>
  </si>
  <si>
    <t>156008 Костромская область город Кострома улица Смирнова Юрия дом 28   НП.№17</t>
  </si>
  <si>
    <t>ООО "ВД"</t>
  </si>
  <si>
    <t>4400012456</t>
  </si>
  <si>
    <t>ЮЛ4402033070</t>
  </si>
  <si>
    <t>ЮЛ440203307000000</t>
  </si>
  <si>
    <t>156000 Костромская область город Кострома ряды Красные дом 16</t>
  </si>
  <si>
    <t>ООО "КАСУМИ И КА"</t>
  </si>
  <si>
    <t>4400013925</t>
  </si>
  <si>
    <t>ЮЛ4402033783</t>
  </si>
  <si>
    <t>ЮЛ440203378300000</t>
  </si>
  <si>
    <t>156012 Костромская область город Кострома улица Костромская дом 103   2 этаж</t>
  </si>
  <si>
    <t>ООО "ЛЕЭНН"</t>
  </si>
  <si>
    <t>4400014647</t>
  </si>
  <si>
    <t>ЮЛ4402033916</t>
  </si>
  <si>
    <t>ЮЛ440203391600000</t>
  </si>
  <si>
    <t>156003 Костромская область город Кострома улица Коммунаров дом 40   3,4</t>
  </si>
  <si>
    <t>ООО "АНАСТАСИЯ"</t>
  </si>
  <si>
    <t>4400015136</t>
  </si>
  <si>
    <t>ЮЛ4402034453</t>
  </si>
  <si>
    <t>ЮЛ440203445300000</t>
  </si>
  <si>
    <t>156005 Костромская область город Кострома улица Лагерная дом 17</t>
  </si>
  <si>
    <t>ООО "ЮК "СИНАЙ"</t>
  </si>
  <si>
    <t>4400015305</t>
  </si>
  <si>
    <t>ЮЛ4402035681</t>
  </si>
  <si>
    <t>ЮЛ440203568100000</t>
  </si>
  <si>
    <t>156014 Костромская область город Кострома улица Энергетиков дом 3   2/Эн.1А.2.2.3</t>
  </si>
  <si>
    <t>ООО "ЯРКИЙ ГЛЯНЕЦ"</t>
  </si>
  <si>
    <t>4400016852</t>
  </si>
  <si>
    <t>ЮЛ4402035636</t>
  </si>
  <si>
    <t>ЮЛ440203563600000</t>
  </si>
  <si>
    <t>156011 Костромская область г. Кострома ул. Магистральная д. 59   326, 152, 77</t>
  </si>
  <si>
    <t>ООО "ЮВЕЛИРНАЯ КОМПАНИЯ "ОЛИДИ"</t>
  </si>
  <si>
    <t>4400019211</t>
  </si>
  <si>
    <t>ЮЛ4402037355</t>
  </si>
  <si>
    <t>ЮЛ440203735500000</t>
  </si>
  <si>
    <t>156001 Костромская область г. Кострома пр-д  Детский д. 6 пом. 25  ком. 2</t>
  </si>
  <si>
    <t>ООО "ЮД ЛЕВША"</t>
  </si>
  <si>
    <t>4400019229</t>
  </si>
  <si>
    <t>ЮЛ4402036612</t>
  </si>
  <si>
    <t>ЮЛ440203661200000</t>
  </si>
  <si>
    <t>156003 Костромская область г Кострома улица Коммунаров  дом 40 помещение 2  комната 8, 9, 10</t>
  </si>
  <si>
    <t>4400020344</t>
  </si>
  <si>
    <t>ЮЛ4402037230</t>
  </si>
  <si>
    <t>ЮЛ440203723000000</t>
  </si>
  <si>
    <t>156005 Костромская область город Кострома переулок Солнечный дом 15   помещение 28 ком.3</t>
  </si>
  <si>
    <t>ООО "МАЛИНКА"</t>
  </si>
  <si>
    <t>4400021669</t>
  </si>
  <si>
    <t>ЮЛ4402037935</t>
  </si>
  <si>
    <t>ЮЛ440203793500000</t>
  </si>
  <si>
    <t>156010 Костромская область город Кострома улица Самоковская дом 10  А 4</t>
  </si>
  <si>
    <t>ООО ЗЕАЛОТ</t>
  </si>
  <si>
    <t>4400022430</t>
  </si>
  <si>
    <t>ЮЛ4402038418</t>
  </si>
  <si>
    <t>ЮЛ440203841800000</t>
  </si>
  <si>
    <t>156009 Костромская область город Кострома улица Юбилейная дом 10б</t>
  </si>
  <si>
    <t>ООО "ЛЕТО"</t>
  </si>
  <si>
    <t>4400023088</t>
  </si>
  <si>
    <t>ЮЛ4402038852</t>
  </si>
  <si>
    <t>ЮЛ440203885200000</t>
  </si>
  <si>
    <t>156009 Костромская область город Кострома улица Профсоюзная дом 3   помещение Пр.3.3.10</t>
  </si>
  <si>
    <t>ООО "КЛЁВА"</t>
  </si>
  <si>
    <t>4400023240</t>
  </si>
  <si>
    <t>ЮЛ4402039056</t>
  </si>
  <si>
    <t>ЮЛ440203905600000</t>
  </si>
  <si>
    <t>156019 Костромская область г.Кострома Индустриальная 40А</t>
  </si>
  <si>
    <t>ООО "ГОЛДМИ"</t>
  </si>
  <si>
    <t>4400023578</t>
  </si>
  <si>
    <t>ЮЛ4402039323</t>
  </si>
  <si>
    <t>ЮЛ440203932300000</t>
  </si>
  <si>
    <t>156012 Костромская область город Кострома улица Костромская 99</t>
  </si>
  <si>
    <t>ООО "ДОЛЬЧЕ ДАЙМОНД"</t>
  </si>
  <si>
    <t>4400023948</t>
  </si>
  <si>
    <t>ЮЛ4402039373</t>
  </si>
  <si>
    <t>ЮЛ440203937300000</t>
  </si>
  <si>
    <t>156009 Костромская область город Кострома улица Юбилейная дом 24   помещение 95</t>
  </si>
  <si>
    <t>ООО "ДНК"</t>
  </si>
  <si>
    <t>4400025328</t>
  </si>
  <si>
    <t>ЮЛ4402040010</t>
  </si>
  <si>
    <t>ЮЛ440204001000000</t>
  </si>
  <si>
    <t>156004 Костромская область город Кострома шоссе Некрасовское дом 195</t>
  </si>
  <si>
    <t>ООО "АСТЕР"</t>
  </si>
  <si>
    <t>4400025906</t>
  </si>
  <si>
    <t>ЮЛ4402040399</t>
  </si>
  <si>
    <t>ЮЛ440204039900000</t>
  </si>
  <si>
    <t>156014 Костромская область город Кострома улица Энергетиков дом 1  литер Е помещение 305</t>
  </si>
  <si>
    <t>ИП Скороходов Николай Александрович</t>
  </si>
  <si>
    <t>440100147677</t>
  </si>
  <si>
    <t>ИП4402000417</t>
  </si>
  <si>
    <t>ИП440200041700000</t>
  </si>
  <si>
    <t>156010 Костромская область город Кострома улица Самоковская дом 10  А 24</t>
  </si>
  <si>
    <t>ИП Кучина Екатерина Анатольевна</t>
  </si>
  <si>
    <t>440100272445</t>
  </si>
  <si>
    <t>ИП4402002331</t>
  </si>
  <si>
    <t>ИП440200233100000</t>
  </si>
  <si>
    <t>156005 Костромская область город Кострома бульвар Петрковский дом 42а 1 этаж</t>
  </si>
  <si>
    <t>ИП Горшков Григорий Николаевич</t>
  </si>
  <si>
    <t>440100583232</t>
  </si>
  <si>
    <t>ИП4402037360</t>
  </si>
  <si>
    <t>ИП440203736000000</t>
  </si>
  <si>
    <t>156012 Костромская область город Кострома улица Костромская Дом 99</t>
  </si>
  <si>
    <t>ИП Кузнецова Татьяна Владимировна</t>
  </si>
  <si>
    <t>440100682191</t>
  </si>
  <si>
    <t>ИП4402001811</t>
  </si>
  <si>
    <t>ИП440200181100000</t>
  </si>
  <si>
    <t>156000 Костромская область город Кострома улица Симановского дом 11  А НП № 1 Комнаты 97,101,116,117</t>
  </si>
  <si>
    <t>ИП Егорова Эмма Ромуальдовна</t>
  </si>
  <si>
    <t>440101017705</t>
  </si>
  <si>
    <t>ИП4402003793</t>
  </si>
  <si>
    <t>ИП440200379300000</t>
  </si>
  <si>
    <t>156009 Костромская область город Кострома Улица 2-я Волжская дом 6  Литера А помещение 3</t>
  </si>
  <si>
    <t>ИП Кузнецов Михаил Николаевич</t>
  </si>
  <si>
    <t>440101096986</t>
  </si>
  <si>
    <t>ИП4402000893</t>
  </si>
  <si>
    <t>ИП440200089300000</t>
  </si>
  <si>
    <t>157940 Костромская область поселок городского типа Красное-на-Волге улица Окружная дом 4б 1</t>
  </si>
  <si>
    <t>ИП Гречин Андрей Александрович</t>
  </si>
  <si>
    <t>440101888124</t>
  </si>
  <si>
    <t>ИП4402037534</t>
  </si>
  <si>
    <t>ИП440203753400000</t>
  </si>
  <si>
    <t>156011 Костромская область город Кострома улица Магистральная дом 59   10, 11, 212, 213 , 216</t>
  </si>
  <si>
    <t>ИП Зачиналов Дмитрий Васильевич</t>
  </si>
  <si>
    <t>440102055781</t>
  </si>
  <si>
    <t>ИП4402003874</t>
  </si>
  <si>
    <t>ИП440200387400000</t>
  </si>
  <si>
    <t>157940 Костромская область поселок городского типа Красное-на-Волге улица Песочная дом 11</t>
  </si>
  <si>
    <t>ООО "ЗОЛОТЫЕ УЗОРЫ"</t>
  </si>
  <si>
    <t>4401022200</t>
  </si>
  <si>
    <t>ЮЛ7701004881</t>
  </si>
  <si>
    <t>ЮЛ770100488100000</t>
  </si>
  <si>
    <t>156000 Костромская область город Кострома улица Советская дом 38  Литера Б</t>
  </si>
  <si>
    <t>ЮЛ770100488100001</t>
  </si>
  <si>
    <t>156019 Костромская область город Кострома улица Щербины Петра дом 4б   пом. 216</t>
  </si>
  <si>
    <t>ИП Курманцева Любовь Владимировна</t>
  </si>
  <si>
    <t>440102401495</t>
  </si>
  <si>
    <t>ИП4402001294</t>
  </si>
  <si>
    <t>ИП440200129400000</t>
  </si>
  <si>
    <t>156013 Костромская область город Кострома улица Галичская дом 108   нп №1, комната №30</t>
  </si>
  <si>
    <t>ИП Кочнева Вера Алексеевна</t>
  </si>
  <si>
    <t>440102673273</t>
  </si>
  <si>
    <t>ИП4402034401</t>
  </si>
  <si>
    <t>ИП440203440100000</t>
  </si>
  <si>
    <t>156011 Костромская область город Кострома улица Магистральная дом 59   ком. 17,18,42-46,48,49а,49б,49в,57,57а(1/2),57б(1/2),58-69,73а</t>
  </si>
  <si>
    <t>ИП Арутенков Дмитрий Николаевич</t>
  </si>
  <si>
    <t>440104196298</t>
  </si>
  <si>
    <t>ИП4402005538</t>
  </si>
  <si>
    <t>ИП440200553800000</t>
  </si>
  <si>
    <t>156016 Костромская область город Кострома микрорайон Давыдовский-3 дом 11   помещение 2</t>
  </si>
  <si>
    <t>ИП Грачева Екатерина Михайловна</t>
  </si>
  <si>
    <t>440104413810</t>
  </si>
  <si>
    <t>ИП4402039372</t>
  </si>
  <si>
    <t>ИП440203937200000</t>
  </si>
  <si>
    <t>156019 Костромская область город Кострома улица Локомотивная Дом 2 помещение 2,3</t>
  </si>
  <si>
    <t>ООО "МАСТЕР БРИЛЛИАНТ"</t>
  </si>
  <si>
    <t>4401044884</t>
  </si>
  <si>
    <t>ЮЛ4402000725</t>
  </si>
  <si>
    <t>ЮЛ440200072500000</t>
  </si>
  <si>
    <t>156007 Костромская область город Кострома улица Рабочая 5-я дом 51</t>
  </si>
  <si>
    <t>ИП Барышев Роман Михайлович</t>
  </si>
  <si>
    <t>440104548493</t>
  </si>
  <si>
    <t>ИП4402033501</t>
  </si>
  <si>
    <t>ИП440203350100000</t>
  </si>
  <si>
    <t>156000 Костромская область город Кострома проспект Мира дом 21   помещение 1</t>
  </si>
  <si>
    <t>ИП Басов Юрий Михайлович</t>
  </si>
  <si>
    <t>440104680090</t>
  </si>
  <si>
    <t>ИП5001035482</t>
  </si>
  <si>
    <t>ИП500103548200000</t>
  </si>
  <si>
    <t>156000 Костромская область город Кострома улица Свердлова дом 40а   пом 9</t>
  </si>
  <si>
    <t>ИП Вишнякова Татьяна Александровна</t>
  </si>
  <si>
    <t>440104920190</t>
  </si>
  <si>
    <t>ИП4402031349</t>
  </si>
  <si>
    <t>ИП440203134900000</t>
  </si>
  <si>
    <t>156019 Костромская область город Кострома улица Зеленая дом 2   помещение 13</t>
  </si>
  <si>
    <t>ООО "НЬЮГОЛД"</t>
  </si>
  <si>
    <t>4401053769</t>
  </si>
  <si>
    <t>ЮЛ4402000171</t>
  </si>
  <si>
    <t>ЮЛ440200017100000</t>
  </si>
  <si>
    <t>156005 Костромская область город Кострома площадь Октябрьская дом 1   помещение 57,58</t>
  </si>
  <si>
    <t>ЮЛ440200017100002</t>
  </si>
  <si>
    <t>156000 Костромская область город Кострома проспект Мира 1/2   1-4,6</t>
  </si>
  <si>
    <t>ИП Вьюгина Марина Алексеевна</t>
  </si>
  <si>
    <t>440105722183</t>
  </si>
  <si>
    <t>ИП4402008510</t>
  </si>
  <si>
    <t>ИП440200851000000</t>
  </si>
  <si>
    <t>156002 Костромская область город Кострома улица Борьбы дом 75</t>
  </si>
  <si>
    <t>ООО "ЗОЛИ"</t>
  </si>
  <si>
    <t>4401057643</t>
  </si>
  <si>
    <t>ЮЛ4402000011</t>
  </si>
  <si>
    <t>ЮЛ440200001100001</t>
  </si>
  <si>
    <t>156001 Костромская область город Кострома улица Московская дом 92   № 22,23,24,25</t>
  </si>
  <si>
    <t>ИП Воробьёв Павел Валерьевич</t>
  </si>
  <si>
    <t>440105786290</t>
  </si>
  <si>
    <t>ИП4402036758</t>
  </si>
  <si>
    <t>ИП440203675800000</t>
  </si>
  <si>
    <t>156001 Костромская область город Кострома проезд Ключевской дом 1</t>
  </si>
  <si>
    <t>ООО КЮФ "АЛЬКОР"</t>
  </si>
  <si>
    <t>4401058848</t>
  </si>
  <si>
    <t>ЮЛ7602000434</t>
  </si>
  <si>
    <t>ЮЛ760200043400000</t>
  </si>
  <si>
    <t>156008 Костромская область Кострома Смирнова Юрия 4   17</t>
  </si>
  <si>
    <t>ИП Демьяненко Владислав Николаевич</t>
  </si>
  <si>
    <t>440107059589</t>
  </si>
  <si>
    <t>ИП4402038483</t>
  </si>
  <si>
    <t>ИП440203848300000</t>
  </si>
  <si>
    <t>156003 Костромская область Кострома Коммунаров 40   нп 2, ком. 59,60</t>
  </si>
  <si>
    <t>ИП Григорьева Алена Валерьевна</t>
  </si>
  <si>
    <t>440107091102</t>
  </si>
  <si>
    <t>ИП4402035639</t>
  </si>
  <si>
    <t>ИП440203563900000</t>
  </si>
  <si>
    <t>156019 Костромская область город Кострома улица Локомотивная дом 2 литер Ж</t>
  </si>
  <si>
    <t>ООО "БРИЛЛИАНТЫ КОСТРОМЫ"</t>
  </si>
  <si>
    <t>4401071398</t>
  </si>
  <si>
    <t>ЮЛ4402000016</t>
  </si>
  <si>
    <t>ЮЛ440200001600000</t>
  </si>
  <si>
    <t>156010 Костромская область город Кострома улица Самоковская дом 10   4</t>
  </si>
  <si>
    <t>ИП Егоров Дмитрий Валерьевич</t>
  </si>
  <si>
    <t>440107517920</t>
  </si>
  <si>
    <t>ИП4402039114</t>
  </si>
  <si>
    <t>ИП440203911400000</t>
  </si>
  <si>
    <t>156000 Костромская область город Кострома проспект Мира дом 21   нежилое помещение №1 (комн. №15)</t>
  </si>
  <si>
    <t>ИП Комарова Галина Анатольевна</t>
  </si>
  <si>
    <t>440108392783</t>
  </si>
  <si>
    <t>ИП5001033836</t>
  </si>
  <si>
    <t>ИП500103383600000</t>
  </si>
  <si>
    <t>156013 Костромская область город Кострома улица Галичская дом 119   офис 7</t>
  </si>
  <si>
    <t>ООО "ТЕХАЛЬЯНС"</t>
  </si>
  <si>
    <t>4401085993</t>
  </si>
  <si>
    <t>ЮЛ4402002528</t>
  </si>
  <si>
    <t>ЮЛ440200252800000</t>
  </si>
  <si>
    <t>156019 Костромская область город Кострома улица Щербины Петра дом 4б   офис 8, 10, 11, 13, 14, 15, 16, 17, часть № 9</t>
  </si>
  <si>
    <t>ИП Корнилова Ирина Владимировна</t>
  </si>
  <si>
    <t>440108739386</t>
  </si>
  <si>
    <t>ИП4402035345</t>
  </si>
  <si>
    <t>ИП440203534500000</t>
  </si>
  <si>
    <t>156003 Костромская область город Кострома улица Коммунаров дом 40   комната 86,87,88,90</t>
  </si>
  <si>
    <t>ИП Куратова Наталья Сергеевна</t>
  </si>
  <si>
    <t>440109142218</t>
  </si>
  <si>
    <t>ИП4402032418</t>
  </si>
  <si>
    <t>ИП440203241800000</t>
  </si>
  <si>
    <t>156013 Костромская область город Кострома улица Маршала Новикова дом 35 пом.1  офис 309</t>
  </si>
  <si>
    <t>ИП Кузьменко Александр Юрьевич</t>
  </si>
  <si>
    <t>440109342746</t>
  </si>
  <si>
    <t>ИП4402002098</t>
  </si>
  <si>
    <t>ИП440200209800000</t>
  </si>
  <si>
    <t>156019 Костромская область Кострома город Зеленая улица дом 1Г строение 1</t>
  </si>
  <si>
    <t>ООО "ЮВЕЛИРНЫЙ ДОМ КАБАРОВСКИХ"</t>
  </si>
  <si>
    <t>4401094363</t>
  </si>
  <si>
    <t>ЮЛ4402001381</t>
  </si>
  <si>
    <t>ЮЛ440200138100000</t>
  </si>
  <si>
    <t>156001 Костромская область город Кострома Инженерный 3 3  153</t>
  </si>
  <si>
    <t>ИП Кочкин Павел Иванович</t>
  </si>
  <si>
    <t>440109579551</t>
  </si>
  <si>
    <t>ИП4402018214</t>
  </si>
  <si>
    <t>ИП440201821400000</t>
  </si>
  <si>
    <t>156019 Костромская область город Кострома улица Щербины Петра дом 9  литер д помещение 9</t>
  </si>
  <si>
    <t>ООО "ЮД "АКЦЕНТ ДАЙМОНД"</t>
  </si>
  <si>
    <t>4401097639</t>
  </si>
  <si>
    <t>ЮЛ4402003541</t>
  </si>
  <si>
    <t>ЮЛ440200354100000</t>
  </si>
  <si>
    <t>156012 Костромская область город Кострома улица Костромская дом 99   помещ. 9, ком. 33</t>
  </si>
  <si>
    <t>ООО "ЛОМБАРД НАДЕЖДА"</t>
  </si>
  <si>
    <t>4401097741</t>
  </si>
  <si>
    <t>ЮЛ4402001119</t>
  </si>
  <si>
    <t>ЮЛ440200111900000</t>
  </si>
  <si>
    <t>156007 Костромская область город Кострома улица Ленина дом 155</t>
  </si>
  <si>
    <t>ЮЛ440200111900001</t>
  </si>
  <si>
    <t>156007 Костромская область город Кострома улица Ленина дом 160г корпус 2  пом. 140</t>
  </si>
  <si>
    <t>ИП Лебедев Олег Сергеевич</t>
  </si>
  <si>
    <t>440109953583</t>
  </si>
  <si>
    <t>ИП4402037383</t>
  </si>
  <si>
    <t>ИП440203738300000</t>
  </si>
  <si>
    <t>156001 Костромская область город Кострома улица Московская дом 105   Помещение 8</t>
  </si>
  <si>
    <t>ООО "КЮЗ "ЮПБ"</t>
  </si>
  <si>
    <t>4401099795</t>
  </si>
  <si>
    <t>ЮЛ4402001395</t>
  </si>
  <si>
    <t>ЮЛ440200139500000</t>
  </si>
  <si>
    <t>156014 Костромская область город Кострома улица Коммуннаров дом 40 помещ.2  312, 313</t>
  </si>
  <si>
    <t>ИП Малякин Максим Валерьевич</t>
  </si>
  <si>
    <t>440110220164</t>
  </si>
  <si>
    <t>ИП4402034427</t>
  </si>
  <si>
    <t>ИП440203442700000</t>
  </si>
  <si>
    <t>157940 Костромская область поселок городского типа Красное-на-Волге улица Ленина дом 27</t>
  </si>
  <si>
    <t>ИП Леснов Дмитрий Владимирович</t>
  </si>
  <si>
    <t>440110279062</t>
  </si>
  <si>
    <t>ИП4402011195</t>
  </si>
  <si>
    <t>ИП440201119500000</t>
  </si>
  <si>
    <t>156001 Костромская область город Кострома переулок Инженерный дом 3   помещение 1 комната 24 офис 101</t>
  </si>
  <si>
    <t>ООО "ДИА"</t>
  </si>
  <si>
    <t>4401112421</t>
  </si>
  <si>
    <t>ЮЛ4402000957</t>
  </si>
  <si>
    <t>ЮЛ440200095700000</t>
  </si>
  <si>
    <t>156013 Костромская область город Кострома улица Галичская дом 100  Литера М</t>
  </si>
  <si>
    <t>ООО "АЛЬТМАСТЕР-К"</t>
  </si>
  <si>
    <t>4401126551</t>
  </si>
  <si>
    <t>ЮЛ4402001367</t>
  </si>
  <si>
    <t>ЮЛ440200136700000</t>
  </si>
  <si>
    <t>156012 Костромская область город Кострома улица Костромская дом 99</t>
  </si>
  <si>
    <t>ИП Кузнецов Александр Сергеевич</t>
  </si>
  <si>
    <t>440112710372</t>
  </si>
  <si>
    <t>ИП7701003309</t>
  </si>
  <si>
    <t>ИП770100330900000</t>
  </si>
  <si>
    <t>156013 Костромская область город Кострома улица Галичская дом 100б строение 1</t>
  </si>
  <si>
    <t>ООО "КУ-ЭНД-КУ"</t>
  </si>
  <si>
    <t>4401127442</t>
  </si>
  <si>
    <t>ЮЛ4402003114</t>
  </si>
  <si>
    <t>ЮЛ440200311400000</t>
  </si>
  <si>
    <t>156011 Костромская область город Кострома улица Магистральная дом 59</t>
  </si>
  <si>
    <t>ИП Развалов Александр Константинович</t>
  </si>
  <si>
    <t>440112780250</t>
  </si>
  <si>
    <t>ИП4402034469</t>
  </si>
  <si>
    <t>ИП440203446900000</t>
  </si>
  <si>
    <t>156543 Костромская область деревня Руболдино  19 1</t>
  </si>
  <si>
    <t>4401128809</t>
  </si>
  <si>
    <t>ЮЛ4402003273</t>
  </si>
  <si>
    <t>ЮЛ440200327300000</t>
  </si>
  <si>
    <t>156003 Костромская область ГОРОД КОСТРОМА УЛ КОММУНАРОВ Д.40 ПОМЕЩ. 2  КОМ. 331,332</t>
  </si>
  <si>
    <t>ООО "БРИОЛЕТ"</t>
  </si>
  <si>
    <t>4401129591</t>
  </si>
  <si>
    <t>ЮЛ4402002804</t>
  </si>
  <si>
    <t>ЮЛ440200280400000</t>
  </si>
  <si>
    <t>156013 Костромская область город Кострома улица Калиновская дом 42</t>
  </si>
  <si>
    <t>ООО "СТАНДАРТ"</t>
  </si>
  <si>
    <t>4401130075</t>
  </si>
  <si>
    <t>ЮЛ4402000038</t>
  </si>
  <si>
    <t>ЮЛ440200003800001</t>
  </si>
  <si>
    <t>156019 Костромская область город Кострома улица  Петра Щербины дом 9  Литера Т1 Помещения №177</t>
  </si>
  <si>
    <t>ИП Мыльников Арсений Константинович</t>
  </si>
  <si>
    <t>440113134562</t>
  </si>
  <si>
    <t>ИП4402010265</t>
  </si>
  <si>
    <t>ИП440201026500000</t>
  </si>
  <si>
    <t>156009 Костромская область город Кострома улица Волжская 2-я дом 31   помещение 6</t>
  </si>
  <si>
    <t>ООО "РОСТ ЛОМБАРД-СЕРВИС"</t>
  </si>
  <si>
    <t>4401133855</t>
  </si>
  <si>
    <t>ЮЛ4402008102</t>
  </si>
  <si>
    <t>ЮЛ440200810200000</t>
  </si>
  <si>
    <t>156016 Костромская область город Кострома шоссе Кинешемское дом 76   павильон 3</t>
  </si>
  <si>
    <t>ЮЛ440200810200016</t>
  </si>
  <si>
    <t>156026 Костромская область город Кострома улица Советская дом 134/10</t>
  </si>
  <si>
    <t>ЮЛ440200810200042</t>
  </si>
  <si>
    <t>156000 Костромская область город Кострома проспект Текстильщиков дом 1 помещение 1</t>
  </si>
  <si>
    <t>ЮЛ440200810200045</t>
  </si>
  <si>
    <t>156005 Костромская область город Кострома переулок Солнечный дом 15   помещение 28</t>
  </si>
  <si>
    <t>ООО "ВЮ"</t>
  </si>
  <si>
    <t>4401136052</t>
  </si>
  <si>
    <t>ЮЛ4402036555</t>
  </si>
  <si>
    <t>ЮЛ440203655500000</t>
  </si>
  <si>
    <t>157142 Костромская область территория Санаторий Серебряный плес</t>
  </si>
  <si>
    <t>ИП Мясникова Юлия Владимировна</t>
  </si>
  <si>
    <t>440113629438</t>
  </si>
  <si>
    <t>ИП4402030660</t>
  </si>
  <si>
    <t>ИП440203066000000</t>
  </si>
  <si>
    <t>156009 Костромская область город Кострома улица Юбилейная 59   помещ. 1, ком. 31</t>
  </si>
  <si>
    <t>ООО "СТАР+"</t>
  </si>
  <si>
    <t>4401137169</t>
  </si>
  <si>
    <t>ЮЛ4402035646</t>
  </si>
  <si>
    <t>ЮЛ440203564600000</t>
  </si>
  <si>
    <t>156002 Костромская область город Кострома проспект Текстильщиков дом 73ж</t>
  </si>
  <si>
    <t>ООО ЮФ "БРИЛЛИАНТОВОЕ НАСЛЕДИЕ"</t>
  </si>
  <si>
    <t>4401137190</t>
  </si>
  <si>
    <t>ЮЛ4402004267</t>
  </si>
  <si>
    <t>ЮЛ440200426700000</t>
  </si>
  <si>
    <t>156019 Костромская область город Кострома улица Щербины Петра дом 4б   офис 202</t>
  </si>
  <si>
    <t>ООО "ЮК ДИЛАНА"</t>
  </si>
  <si>
    <t>4401139279</t>
  </si>
  <si>
    <t>ЮЛ4402005388</t>
  </si>
  <si>
    <t>ЮЛ440200538800000</t>
  </si>
  <si>
    <t>156001 Костромская область город Кострома улица Московская дом 92   помещ. 62</t>
  </si>
  <si>
    <t>ИП Пушкина Елена Олеговна</t>
  </si>
  <si>
    <t>440114144080</t>
  </si>
  <si>
    <t>ИП4402036984</t>
  </si>
  <si>
    <t>ИП440203698400000</t>
  </si>
  <si>
    <t>156010 Костромская область город Кострома Магистральная 59</t>
  </si>
  <si>
    <t>ИП Развалова Елена Николаевна</t>
  </si>
  <si>
    <t>440114315160</t>
  </si>
  <si>
    <t>ИП4402036734</t>
  </si>
  <si>
    <t>ИП440203673400000</t>
  </si>
  <si>
    <t>156000 Костромская область город Кострома площадь Советская Мелочные ряды Е  пом.№ 2, ком 9</t>
  </si>
  <si>
    <t>ИП440203673400001</t>
  </si>
  <si>
    <t>156000 Костромская область город Кострома ряды Красные дом 1   помещение 1-4,4а,5-10,12-24</t>
  </si>
  <si>
    <t>ИП Румянцев Сергей Евгеньевич</t>
  </si>
  <si>
    <t>440114373002</t>
  </si>
  <si>
    <t>ИП4402002106</t>
  </si>
  <si>
    <t>ИП440200210600000</t>
  </si>
  <si>
    <t>156019 Костромская область город Кострома улица Щербины Петра дом 7</t>
  </si>
  <si>
    <t>ИП Потапов Алексей Сергеевич</t>
  </si>
  <si>
    <t>440114423246</t>
  </si>
  <si>
    <t>ИП4402004478</t>
  </si>
  <si>
    <t>ИП440200447800000</t>
  </si>
  <si>
    <t>156014 Костромская область город Кострома улица Энергетиков дом 5</t>
  </si>
  <si>
    <t>ООО "КОСТРОМСКАЯ ЮВЕЛИРНАЯ СТУДИЯ "ЕНИСЕЯ"</t>
  </si>
  <si>
    <t>4401149728</t>
  </si>
  <si>
    <t>ЮЛ4402008058</t>
  </si>
  <si>
    <t>ЮЛ440200805800000</t>
  </si>
  <si>
    <t>156019 Костромская область город Кострома улица Деминская дом 4</t>
  </si>
  <si>
    <t>ООО ЮЗ "ВЕРОНИКА"</t>
  </si>
  <si>
    <t>4401150307</t>
  </si>
  <si>
    <t>ЮЛ4402005465</t>
  </si>
  <si>
    <t>ЮЛ440200546500000</t>
  </si>
  <si>
    <t>156007 Костромская область город Кострома улица Ленина дом 165   помещение 1</t>
  </si>
  <si>
    <t>ООО "ЗОЛОТОЙ ГОРОД"</t>
  </si>
  <si>
    <t>4401150441</t>
  </si>
  <si>
    <t>ЮЛ4402004003</t>
  </si>
  <si>
    <t>ЮЛ440200400300000</t>
  </si>
  <si>
    <t>156012 Костромская область город Кострома СНТ Труженник-2 (Посошниково) участок 55 Дом 55</t>
  </si>
  <si>
    <t>ООО "А585.РУ"</t>
  </si>
  <si>
    <t>4401152897</t>
  </si>
  <si>
    <t>ЮЛ4402009577</t>
  </si>
  <si>
    <t>ЮЛ440200957700000</t>
  </si>
  <si>
    <t>157860 Костромская область поселок Судиславль улица Комсомольская дом 2   нежилое помещение №8</t>
  </si>
  <si>
    <t>ИП Пухова Людмила Сергеевна</t>
  </si>
  <si>
    <t>440115384039</t>
  </si>
  <si>
    <t>ИП4402017831</t>
  </si>
  <si>
    <t>ИП440201783100000</t>
  </si>
  <si>
    <t>156012 Костромская область Кострома Костромская 99 - - -</t>
  </si>
  <si>
    <t>ООО "РЮС"</t>
  </si>
  <si>
    <t>4401155143</t>
  </si>
  <si>
    <t>ЮЛ4402000019</t>
  </si>
  <si>
    <t>ЮЛ440200001900001</t>
  </si>
  <si>
    <t>ЮЛ440200001900002</t>
  </si>
  <si>
    <t>156005 Костромская область город Кострома улица Советская дом 79/73   помещение 137, комната 9</t>
  </si>
  <si>
    <t>ЮЛ440200001900003</t>
  </si>
  <si>
    <t>156001 Костромская область город Кострома улица Московская дом 84</t>
  </si>
  <si>
    <t>ИП Амбурцева Наталья Сергеевна</t>
  </si>
  <si>
    <t>440115588265</t>
  </si>
  <si>
    <t>ИП4402002228</t>
  </si>
  <si>
    <t>ИП440200222800000</t>
  </si>
  <si>
    <t>156019 Костромская область город Кострома улица П.Щербины дом 6   офис 14,15,16</t>
  </si>
  <si>
    <t>ИП Семенова Инна Вячеславовна</t>
  </si>
  <si>
    <t>440115669612</t>
  </si>
  <si>
    <t>ИП4402005546</t>
  </si>
  <si>
    <t>ИП440200554600000</t>
  </si>
  <si>
    <t>156009 Костромская область город Кострома улица Юбилейная дом 24   нежилое помещение 2</t>
  </si>
  <si>
    <t>ИП Корозина Наталья Юрьевна</t>
  </si>
  <si>
    <t>440115806202</t>
  </si>
  <si>
    <t>ИП4402000425</t>
  </si>
  <si>
    <t>ИП440200042500000</t>
  </si>
  <si>
    <t>156026 Костромская область город Кострома улица "Северной правды" 49   61</t>
  </si>
  <si>
    <t>ООО "ЮЗ РОССА"</t>
  </si>
  <si>
    <t>4401161066</t>
  </si>
  <si>
    <t>ЮЛ4402040721</t>
  </si>
  <si>
    <t>ЮЛ440204072100000</t>
  </si>
  <si>
    <t>156005 Костромская область город Кострома переулок Солнечный дом 15   помещение 28 кабинет 1,3</t>
  </si>
  <si>
    <t>ИП Храмов Александр Валентинович</t>
  </si>
  <si>
    <t>440116206261</t>
  </si>
  <si>
    <t>ИП4402001266</t>
  </si>
  <si>
    <t>ИП440200126600000</t>
  </si>
  <si>
    <t>156001 Костромская область город Кострома проезд Ключевской дом 1   офис 6</t>
  </si>
  <si>
    <t>ООО "А-ГОЛД"</t>
  </si>
  <si>
    <t>4401162341</t>
  </si>
  <si>
    <t>ЮЛ4402000354</t>
  </si>
  <si>
    <t>ЮЛ440200035400000</t>
  </si>
  <si>
    <t>156013 Костромская область город Кострома улица Маршала Новикова дом 1/48 1,3,5,2,13,14,15,16а,4</t>
  </si>
  <si>
    <t>ООО "КОСТРОМСКОЙ ЛОМБАРД"</t>
  </si>
  <si>
    <t>4401164130</t>
  </si>
  <si>
    <t>ЮЛ4402002930</t>
  </si>
  <si>
    <t>ЮЛ440200293000000</t>
  </si>
  <si>
    <t>156001 Костромская область город Кострома улица Московская дом 92</t>
  </si>
  <si>
    <t>ООО "ЮСВ"</t>
  </si>
  <si>
    <t>4401165053</t>
  </si>
  <si>
    <t>ЮЛ4402011878</t>
  </si>
  <si>
    <t>ЮЛ440201187800000</t>
  </si>
  <si>
    <t>156019 Костромская область город Кострома улица Петра Щербины дом 7   Помещение №Пщ.1.2.02</t>
  </si>
  <si>
    <t>ООО "СЕРЕБРО 925"</t>
  </si>
  <si>
    <t>4401165399</t>
  </si>
  <si>
    <t>ЮЛ5206007106</t>
  </si>
  <si>
    <t>ЮЛ520600710600000</t>
  </si>
  <si>
    <t>156019 Костромская область город Кострома улица Станкостроительная дом 3</t>
  </si>
  <si>
    <t>ООО ЮК "АЛЬТАИР"</t>
  </si>
  <si>
    <t>4401166018</t>
  </si>
  <si>
    <t>ЮЛ4402000503</t>
  </si>
  <si>
    <t>ЮЛ440200050300000</t>
  </si>
  <si>
    <t>156001 Костромская область город Кострома улица Московская дом 105  Ж1 этаж 1, помещение №44, этаж 3, этаж 4 кроме помещения №8</t>
  </si>
  <si>
    <t>ООО "КПК"</t>
  </si>
  <si>
    <t>4401166593</t>
  </si>
  <si>
    <t>ЮЛ4402001174</t>
  </si>
  <si>
    <t>ЮЛ440200117400000</t>
  </si>
  <si>
    <t>156013 Костромская область город Кострома улица Калиновская дом 42   помещение 3 в блоке А</t>
  </si>
  <si>
    <t>ООО "РУССКИЕ УКРАШЕНИЯ"</t>
  </si>
  <si>
    <t>4401166723</t>
  </si>
  <si>
    <t>ЮЛ4402019298</t>
  </si>
  <si>
    <t>ЮЛ440201929800003</t>
  </si>
  <si>
    <t>157945 Костромская область село Здемирово  253 2</t>
  </si>
  <si>
    <t>ИП Соловьева Галина Викторовна</t>
  </si>
  <si>
    <t>440117018292</t>
  </si>
  <si>
    <t>ИП4402005313</t>
  </si>
  <si>
    <t>ИП440200531300000</t>
  </si>
  <si>
    <t>156019 Костромская область город Кострома улица Индустриальная дом 50/2   помещение 9 комната 19</t>
  </si>
  <si>
    <t>ООО "СПРИНГ ДЖЕВЕЛРИ"</t>
  </si>
  <si>
    <t>4401170342</t>
  </si>
  <si>
    <t>ЮЛ4402002775</t>
  </si>
  <si>
    <t>ЮЛ440200277500000</t>
  </si>
  <si>
    <t>156019 Костромская область город Кострома улица Зеленая дом 5</t>
  </si>
  <si>
    <t>ООО "ИМПЕРИАЛ"</t>
  </si>
  <si>
    <t>4401172766</t>
  </si>
  <si>
    <t>ЮЛ4402003040</t>
  </si>
  <si>
    <t>ЮЛ440200304000000</t>
  </si>
  <si>
    <t>156011 Костромская область город Кострома улица Магистральная дом 59   333</t>
  </si>
  <si>
    <t>ИП Свирин Антон Анатольевич</t>
  </si>
  <si>
    <t>440117525662</t>
  </si>
  <si>
    <t>ИП4402007470</t>
  </si>
  <si>
    <t>ИП440200747000000</t>
  </si>
  <si>
    <t>156019 Костромская область Кострома шоссе Кинешемское  4/1  Э нежилое помещение №5 (комн.№№1,3,5,7,17,18,20,23,27,29,37-52) нежилое помещение №1, нежилое помещение №2 нежилое помещение №4 ком.1-16  нежилое помещение №5 комнаты №№2,3</t>
  </si>
  <si>
    <t>ООО "ЮП "ИЛЛАДА"</t>
  </si>
  <si>
    <t>4401175823</t>
  </si>
  <si>
    <t>ЮЛ4402001391</t>
  </si>
  <si>
    <t>ЮЛ440200139100000</t>
  </si>
  <si>
    <t>156022 Костромская область город Кострома улица Магистральная дом 20   помещение К8</t>
  </si>
  <si>
    <t>ЮЛ440200139100001</t>
  </si>
  <si>
    <t>156019 Костромская область город Кострома улица Щербины Петра дом 9  литера Т нежилое помещение 27</t>
  </si>
  <si>
    <t>ООО "АКСИОС"</t>
  </si>
  <si>
    <t>4401179338</t>
  </si>
  <si>
    <t>ЮЛ4402009897</t>
  </si>
  <si>
    <t>ЮЛ440200989700000</t>
  </si>
  <si>
    <t>156004 Костромская область город Кострома улица Заречная дом 15 помещение №11,12,34</t>
  </si>
  <si>
    <t>ИП РОМАНОВА АНАСТАСИЯ ИГОРЕВНА</t>
  </si>
  <si>
    <t>440117941895</t>
  </si>
  <si>
    <t>ИП4402001010</t>
  </si>
  <si>
    <t>ИП440200101000000</t>
  </si>
  <si>
    <t>157942 Костромская область поселок Молодежный  1</t>
  </si>
  <si>
    <t>ИП Барабанов Алексей Львович</t>
  </si>
  <si>
    <t>440118090823</t>
  </si>
  <si>
    <t>ИП4402030927</t>
  </si>
  <si>
    <t>ИП440203092700000</t>
  </si>
  <si>
    <t>156019 Костромская область Кострома Петра Щербины 9   помещение 184</t>
  </si>
  <si>
    <t>ИП440203092700001</t>
  </si>
  <si>
    <t>156001 Костромская область город Кострома улица Ярославская дом 43   ПОМЕЩ. 2С</t>
  </si>
  <si>
    <t>ООО "КРИСТАЛЛ"</t>
  </si>
  <si>
    <t>4401186039</t>
  </si>
  <si>
    <t>ЮЛ4402030658</t>
  </si>
  <si>
    <t>ЮЛ440203065800000</t>
  </si>
  <si>
    <t>156019 Костромская область город Кострома улица Щербины Петра дом 8 строение 3  НП 3</t>
  </si>
  <si>
    <t>ООО "ЭПИКА"</t>
  </si>
  <si>
    <t>4401186254</t>
  </si>
  <si>
    <t>ЮЛ4402008533</t>
  </si>
  <si>
    <t>ЮЛ440200853300000</t>
  </si>
  <si>
    <t>157201 Костромская область город Галич улица Семашко дом 1   помещение 15</t>
  </si>
  <si>
    <t>ИП Митрошина Анна Вадимовна</t>
  </si>
  <si>
    <t>440118667892</t>
  </si>
  <si>
    <t>ИП7701011822</t>
  </si>
  <si>
    <t>ИП770101182200000</t>
  </si>
  <si>
    <t>156000 Костромская область город Кострома ряды Пряничные 1   4</t>
  </si>
  <si>
    <t>ИП Якунина Мария Дмитриевна</t>
  </si>
  <si>
    <t>440118673984</t>
  </si>
  <si>
    <t>ИП4402009545</t>
  </si>
  <si>
    <t>ИП440200954500000</t>
  </si>
  <si>
    <t>156013 Костромская область город Кострома улица Сенная дом 4   6</t>
  </si>
  <si>
    <t>ООО "АУРУСС ГОЛДЕН"</t>
  </si>
  <si>
    <t>4401188237</t>
  </si>
  <si>
    <t>ЮЛ4402013210</t>
  </si>
  <si>
    <t>ЮЛ440201321000000</t>
  </si>
  <si>
    <t>156019 Костромская область КОСТРОМА ИНДУСТРИАЛЬНАЯ Д. 50/2   ПОМЕЩ. 7 КОМНАТА 3</t>
  </si>
  <si>
    <t>ООО "ПРИМАВЕРА"</t>
  </si>
  <si>
    <t>4401188340</t>
  </si>
  <si>
    <t>ЮЛ4402000366</t>
  </si>
  <si>
    <t>ЮЛ440200036600000</t>
  </si>
  <si>
    <t>156009 Костромская область город Кострома улица Льняная дом 7а</t>
  </si>
  <si>
    <t>АО "ЗОЛОТОЙ АЛЬЯНС"</t>
  </si>
  <si>
    <t>4401188639</t>
  </si>
  <si>
    <t>ЮЛ6306031739</t>
  </si>
  <si>
    <t>ЮЛ630603173900002</t>
  </si>
  <si>
    <t>157933 Костромская область пос. им. Чапаева Центральная 13</t>
  </si>
  <si>
    <t>ООО "БлагоДар"</t>
  </si>
  <si>
    <t>4401188808</t>
  </si>
  <si>
    <t>ЮЛ4402004485</t>
  </si>
  <si>
    <t>ЮЛ440200448500000</t>
  </si>
  <si>
    <t>156005 Костромская область город Кострома улица Лагерная дом 15А   нежилое помещение 243</t>
  </si>
  <si>
    <t>ООО "БРАЙТ"</t>
  </si>
  <si>
    <t>4401188886</t>
  </si>
  <si>
    <t>ЮЛ4402001767</t>
  </si>
  <si>
    <t>ЮЛ440200176700000</t>
  </si>
  <si>
    <t>156001 Костромская область город Кострома улица Московская дом 27А</t>
  </si>
  <si>
    <t>ООО "БАРС"</t>
  </si>
  <si>
    <t>4401190050</t>
  </si>
  <si>
    <t>ЮЛ4402001895</t>
  </si>
  <si>
    <t>ЮЛ440200189500000</t>
  </si>
  <si>
    <t>156014 Костромская область город Кострома улица Войкова дом 41   помещение В.1.11</t>
  </si>
  <si>
    <t>ООО "ЮП ОЛИВА"</t>
  </si>
  <si>
    <t>4401190853</t>
  </si>
  <si>
    <t>ЮЛ4402006027</t>
  </si>
  <si>
    <t>ЮЛ440200602700000</t>
  </si>
  <si>
    <t>156019 Костромская область Кострома Локомотивная 2а  А,А,А1 1, №1-22 на 1 этаже, №1-19 на 2 этаже, №1-9 и №12-14 на 3 этаже</t>
  </si>
  <si>
    <t>ООО "ДЭВИ"</t>
  </si>
  <si>
    <t>4401193822</t>
  </si>
  <si>
    <t>ЮЛ4402003168</t>
  </si>
  <si>
    <t>ЮЛ440200316800000</t>
  </si>
  <si>
    <t>156005 Костромская область город Кострома улица Лесная дом 11Б   пом.20</t>
  </si>
  <si>
    <t>ООО "ГАЛЕРЕЯ"</t>
  </si>
  <si>
    <t>4401194304</t>
  </si>
  <si>
    <t>ЮЛ4402014161</t>
  </si>
  <si>
    <t>ЮЛ440201416100000</t>
  </si>
  <si>
    <t>157501 Костромская область г. Шарья Промышленная 9а 1</t>
  </si>
  <si>
    <t>ИП Максимов Дмитрий Анатольевич</t>
  </si>
  <si>
    <t>440119431201</t>
  </si>
  <si>
    <t>ИП4402009850</t>
  </si>
  <si>
    <t>ИП440200985000006</t>
  </si>
  <si>
    <t>156007 Костромская область Кострома Ленина 160   4</t>
  </si>
  <si>
    <t>ООО "ПЕПЕЛА"</t>
  </si>
  <si>
    <t>4401194791</t>
  </si>
  <si>
    <t>ЮЛ4402032634</t>
  </si>
  <si>
    <t>ЮЛ440203263400000</t>
  </si>
  <si>
    <t>156014 Костромская область город Кострома улица Энергетиков дом 1 корпус Г  офис 3</t>
  </si>
  <si>
    <t>ООО "ЮЗАМ ПРО"</t>
  </si>
  <si>
    <t>4401195121</t>
  </si>
  <si>
    <t>ЮЛ4402001372</t>
  </si>
  <si>
    <t>ЮЛ440200137200000</t>
  </si>
  <si>
    <t>156004 Костромская область город Кострома улица Береговая дом 10А</t>
  </si>
  <si>
    <t>ООО "ЭТАЛОН"</t>
  </si>
  <si>
    <t>4401195347</t>
  </si>
  <si>
    <t>ЮЛ4402004491</t>
  </si>
  <si>
    <t>ЮЛ440200449100000</t>
  </si>
  <si>
    <t>156013 Костромская область город Кострома улица Галичская дом 126а</t>
  </si>
  <si>
    <t>ИП Жар Елена Ивановна</t>
  </si>
  <si>
    <t>440119583109</t>
  </si>
  <si>
    <t>ИП4402035928</t>
  </si>
  <si>
    <t>ИП440203592800000</t>
  </si>
  <si>
    <t>156013 Костромская область город Кострома улица Зеленая дом 5д</t>
  </si>
  <si>
    <t>ООО "ГРАЦИЯ"</t>
  </si>
  <si>
    <t>4401196189</t>
  </si>
  <si>
    <t>ЮЛ4402000739</t>
  </si>
  <si>
    <t>ЮЛ440200073900000</t>
  </si>
  <si>
    <t>156001 Костромская область город Кострома улица Московская дом 84 помещ. 1  к.13,14,16-19,26,27,33-35,69,81</t>
  </si>
  <si>
    <t>ООО "ЮВИЛАВ"</t>
  </si>
  <si>
    <t>4401196421</t>
  </si>
  <si>
    <t>ЮЛ4402010409</t>
  </si>
  <si>
    <t>ЮЛ440201040900000</t>
  </si>
  <si>
    <t>156019 Костромская область город Кострома улица Локомотивная дом 14</t>
  </si>
  <si>
    <t>ИП МАМЕДОВ АНДРЕЙ ЭДУАРДОВИЧ</t>
  </si>
  <si>
    <t>440119688084</t>
  </si>
  <si>
    <t>ИП4402038921</t>
  </si>
  <si>
    <t>ИП440203892100000</t>
  </si>
  <si>
    <t>156026 Костромская область Кострома Локомотивная 3 Д</t>
  </si>
  <si>
    <t>ООО "СОУЛ"</t>
  </si>
  <si>
    <t>4401197200</t>
  </si>
  <si>
    <t>ЮЛ4402001705</t>
  </si>
  <si>
    <t>ЮЛ440200170500000</t>
  </si>
  <si>
    <t>156005 Костромская область г. Кострома улица Нижняя Дебря дом 70 этаж 3 пом. 1 номера 2-5, 7-11</t>
  </si>
  <si>
    <t>ООО "ДАЙКО"</t>
  </si>
  <si>
    <t>4401197231</t>
  </si>
  <si>
    <t>ЮЛ4402002817</t>
  </si>
  <si>
    <t>ЮЛ440200281700000</t>
  </si>
  <si>
    <t>156019 Костромская область город Кострома улица Щербины Петра дом 9   помещ. 174, 18</t>
  </si>
  <si>
    <t>ООО "ТОРГОВЫЙ ДОМ "ТАЛАНТ"</t>
  </si>
  <si>
    <t>4401197979</t>
  </si>
  <si>
    <t>ЮЛ4402004205</t>
  </si>
  <si>
    <t>ЮЛ440200420500001</t>
  </si>
  <si>
    <t>156016 Костромская область город Кострома улица Хвойная 38   35</t>
  </si>
  <si>
    <t>ИП Фролова Дарья Владимировна</t>
  </si>
  <si>
    <t>440119880895</t>
  </si>
  <si>
    <t>ИП4402037822</t>
  </si>
  <si>
    <t>ИП440203782200000</t>
  </si>
  <si>
    <t>ИП Захарова Мария Анатольевна</t>
  </si>
  <si>
    <t>440120026159</t>
  </si>
  <si>
    <t>ИП7701034967</t>
  </si>
  <si>
    <t>ИП770103496700000</t>
  </si>
  <si>
    <t>156005 Костромская область город Кострома улица Советская дом 79/73</t>
  </si>
  <si>
    <t>ИП770103496700001</t>
  </si>
  <si>
    <t>157940 Костромская область село Здемирово  дом 253 корпус 1</t>
  </si>
  <si>
    <t>ИП Гусляков Александр Сергеевич</t>
  </si>
  <si>
    <t>440120155267</t>
  </si>
  <si>
    <t>ИП4402036552</t>
  </si>
  <si>
    <t>ИП440203655200000</t>
  </si>
  <si>
    <t>157940 Костромская область поселок городского типа Красное-на-Волге улица Советская дом 73Г</t>
  </si>
  <si>
    <t>ИП Горбунов Дмитрий Сергеевич</t>
  </si>
  <si>
    <t>440120277089</t>
  </si>
  <si>
    <t>ИП4402000441</t>
  </si>
  <si>
    <t>ИП440200044100000</t>
  </si>
  <si>
    <t>156000 Костромская область город Кострома площадь Сусанинская  Большие Мучные ряды  помещение 14</t>
  </si>
  <si>
    <t>ИП Тюменцева Мария Михайловна</t>
  </si>
  <si>
    <t>440120388208</t>
  </si>
  <si>
    <t>ИП4402034304</t>
  </si>
  <si>
    <t>ИП440203430400000</t>
  </si>
  <si>
    <t>156000 Костромская область город Кострома улица Ленина дом 10   офис 30а</t>
  </si>
  <si>
    <t>ИП Калинина Ирина Александровна</t>
  </si>
  <si>
    <t>440120498070</t>
  </si>
  <si>
    <t>ИП4402006053</t>
  </si>
  <si>
    <t>ИП440200605300000</t>
  </si>
  <si>
    <t>156510 Костромская область поселок Апраксино улица Молодежная дом 1Б</t>
  </si>
  <si>
    <t>ИП Лебедев Антон Юрьевич</t>
  </si>
  <si>
    <t>440120930734</t>
  </si>
  <si>
    <t>ИП4402011403</t>
  </si>
  <si>
    <t>ИП440201140300000</t>
  </si>
  <si>
    <t>156009 Костромская область г Кострома ул 2-я Волжская 27</t>
  </si>
  <si>
    <t>ИП440200822300000</t>
  </si>
  <si>
    <t>156005 Костромская область город Кострома улица Юношеская дом 1</t>
  </si>
  <si>
    <t>ИП440200822300006</t>
  </si>
  <si>
    <t>156010 Костромская область город Кострома улица Магистральная дом 40</t>
  </si>
  <si>
    <t>ИП440200822300007</t>
  </si>
  <si>
    <t>156009 Костромская область город Кострома улица Волжская 2-я 27 2</t>
  </si>
  <si>
    <t>ИП440200822300008</t>
  </si>
  <si>
    <t>156000 Костромская область город Кострома Профсоюзная 3</t>
  </si>
  <si>
    <t>ИП440200822300009</t>
  </si>
  <si>
    <t>156013 Костромская область город Кострома улица Сенная дом 24</t>
  </si>
  <si>
    <t>ИП Незамаева Сабина Вадимовна</t>
  </si>
  <si>
    <t>440120980710</t>
  </si>
  <si>
    <t>ИП4402039406</t>
  </si>
  <si>
    <t>ИП440203940600000</t>
  </si>
  <si>
    <t>156009 Костромская область город Кострома улица Юбилейная дом 24   пом. 72, 78-80, 94, 95, 97, 98, 106-107</t>
  </si>
  <si>
    <t>ИП Черников Антон Дмитриевич</t>
  </si>
  <si>
    <t>440121376830</t>
  </si>
  <si>
    <t>ИП4402001809</t>
  </si>
  <si>
    <t>ИП440200180900000</t>
  </si>
  <si>
    <t>156019 Костромская область город Кострома улица Щербины Петра дом 1 строение 1</t>
  </si>
  <si>
    <t>ИП Высоков Игорь Владимирович</t>
  </si>
  <si>
    <t>440121617355</t>
  </si>
  <si>
    <t>ИП4402010184</t>
  </si>
  <si>
    <t>ИП440201018400000</t>
  </si>
  <si>
    <t>156001 Костромская область город Кострома улица Солониковская дом 7   16</t>
  </si>
  <si>
    <t>ИП Боброва Надежда Владимировна</t>
  </si>
  <si>
    <t>440121919557</t>
  </si>
  <si>
    <t>ИП4402032412</t>
  </si>
  <si>
    <t>ИП440203241200000</t>
  </si>
  <si>
    <t>156010 Костромская область город Кострома улица Самоковская дом 10   помещения №2, 3, 4, 5</t>
  </si>
  <si>
    <t>ИП Городилова Марина Николаевна</t>
  </si>
  <si>
    <t>440121948685</t>
  </si>
  <si>
    <t>ИП4402012691</t>
  </si>
  <si>
    <t>ИП440201269100000</t>
  </si>
  <si>
    <t>156000 Костромская область город Кострома улица Советская дом 8Б</t>
  </si>
  <si>
    <t>ИП ХОЛОДНОВА ТАТЬЯНА СЕРГЕЕВНА</t>
  </si>
  <si>
    <t>440122003421</t>
  </si>
  <si>
    <t>ИП4402004937</t>
  </si>
  <si>
    <t>ИП440200493700000</t>
  </si>
  <si>
    <t>156012 Костромская область город Кострома улица Костромская дом 99   301А</t>
  </si>
  <si>
    <t>ИП Башкиров Алексей Александрович</t>
  </si>
  <si>
    <t>440122092252</t>
  </si>
  <si>
    <t>ИП4402031144</t>
  </si>
  <si>
    <t>ИП440203114400000</t>
  </si>
  <si>
    <t>156003 Костромская область город Кострома улица Коммунаров дом 40   офис 9</t>
  </si>
  <si>
    <t>ИП Яшанина Людмила Анатольевна</t>
  </si>
  <si>
    <t>440122588964</t>
  </si>
  <si>
    <t>ИП3301003583</t>
  </si>
  <si>
    <t>ИП330100358300000</t>
  </si>
  <si>
    <t>156013 Костромская область город Кострома пр-т Мира д 116   Помещение 3</t>
  </si>
  <si>
    <t>ИП Большакова Елена Александровна</t>
  </si>
  <si>
    <t>440122984333</t>
  </si>
  <si>
    <t>ИП4402001009</t>
  </si>
  <si>
    <t>ИП440200100900000</t>
  </si>
  <si>
    <t>156019 Костромская область город Кострома улица Щербины Петра дом 4б   102-3</t>
  </si>
  <si>
    <t>ИП Караваев Александр Сергеевич</t>
  </si>
  <si>
    <t>440122993708</t>
  </si>
  <si>
    <t>ИП4402033744</t>
  </si>
  <si>
    <t>ИП440203374400000</t>
  </si>
  <si>
    <t>156019 Костромская область город Кострома улица Локомотивная дом 14   кабинет 24</t>
  </si>
  <si>
    <t>ИП Ульянова Валерия Владимировна</t>
  </si>
  <si>
    <t>440123122083</t>
  </si>
  <si>
    <t>ИП4402015380</t>
  </si>
  <si>
    <t>ИП440201538000000</t>
  </si>
  <si>
    <t>156009 Костромская область город Кострома улица Льняная 7 а</t>
  </si>
  <si>
    <t>ИП Кривоногова Кристина Александровна</t>
  </si>
  <si>
    <t>440123483499</t>
  </si>
  <si>
    <t>ИП4402020055</t>
  </si>
  <si>
    <t>ИП440202005500000</t>
  </si>
  <si>
    <t>156007 Костромская область город Кострома улица Ленина дом 165   пом. 1</t>
  </si>
  <si>
    <t>ИП Теселкина Ольга Петровна</t>
  </si>
  <si>
    <t>440123507189</t>
  </si>
  <si>
    <t>ИП4402031942</t>
  </si>
  <si>
    <t>ИП440203194200000</t>
  </si>
  <si>
    <t>156019 Костромская область город Кострома улица Деминская дом 4  этаж 2 комнаты 2,3,4,5</t>
  </si>
  <si>
    <t>ИП Мартьянов Николай Александрович</t>
  </si>
  <si>
    <t>440123932391</t>
  </si>
  <si>
    <t>ИП4402037984</t>
  </si>
  <si>
    <t>ИП440203798400000</t>
  </si>
  <si>
    <t>ИП Лосовский Ян Григорьевич</t>
  </si>
  <si>
    <t>440124036567</t>
  </si>
  <si>
    <t>ИП4402039284</t>
  </si>
  <si>
    <t>ИП440203928400000</t>
  </si>
  <si>
    <t>156001 Костромская область город Кострома улица Солониковская дом 7   помещение 14</t>
  </si>
  <si>
    <t>ИП Космасов Павел Аюпович</t>
  </si>
  <si>
    <t>440124393706</t>
  </si>
  <si>
    <t>ИП4402036874</t>
  </si>
  <si>
    <t>ИП440203687400000</t>
  </si>
  <si>
    <t>156000 Костромская область город Кострома улица Симановского дом 20а Индивидуальный гараж № 3</t>
  </si>
  <si>
    <t>ИП Связева Алина Сергеевна</t>
  </si>
  <si>
    <t>440124489214</t>
  </si>
  <si>
    <t>ИП4402012037</t>
  </si>
  <si>
    <t>ИП440201203700000</t>
  </si>
  <si>
    <t>156019 Костромская область город Кострома улица Зеленая дом 1"Г" строение 1</t>
  </si>
  <si>
    <t>ИП Кабаровская Мария Викторовна</t>
  </si>
  <si>
    <t>440124576202</t>
  </si>
  <si>
    <t>ИП7803016772</t>
  </si>
  <si>
    <t>ИП780301677200000</t>
  </si>
  <si>
    <t>157940 Костромская область поселок городского типа Красное-на-Волге Советская 73  г</t>
  </si>
  <si>
    <t>ИП Рябцовский Алексей Александрович</t>
  </si>
  <si>
    <t>440125080174</t>
  </si>
  <si>
    <t>ИП4402000192</t>
  </si>
  <si>
    <t>ИП440200019200000</t>
  </si>
  <si>
    <t>156000 Костромская область город Кострома Красные ряды  1   помещение №№1-4,4а,5-10,12-24</t>
  </si>
  <si>
    <t>ИП Цветкова Ольга Олеговна</t>
  </si>
  <si>
    <t>440125309753</t>
  </si>
  <si>
    <t>ИП4402003339</t>
  </si>
  <si>
    <t>ИП440200333900000</t>
  </si>
  <si>
    <t>156013 Костромская область город Кострома улица Галичская  дом 130</t>
  </si>
  <si>
    <t>ИП Громов Максим Александрович</t>
  </si>
  <si>
    <t>440125357806</t>
  </si>
  <si>
    <t>ИП4402008599</t>
  </si>
  <si>
    <t>ИП440200859900000</t>
  </si>
  <si>
    <t>156019 Костромская область город Кострома улица Щербины Петра 9 Т1</t>
  </si>
  <si>
    <t>ИП Смирнов Александр Сергеевич</t>
  </si>
  <si>
    <t>440125525458</t>
  </si>
  <si>
    <t>ИП4402036641</t>
  </si>
  <si>
    <t>ИП440203664100000</t>
  </si>
  <si>
    <t>156009 Костромская область город Кострома улица Юбилейная дом 2/40   квартира 1</t>
  </si>
  <si>
    <t>ИП Громова Юлия Михайловна</t>
  </si>
  <si>
    <t>440125603843</t>
  </si>
  <si>
    <t>ИП4402010710</t>
  </si>
  <si>
    <t>ИП440201071000000</t>
  </si>
  <si>
    <t>156013 Костромская область город Кострома улица Калиновская дом 42   23 С2</t>
  </si>
  <si>
    <t>ИП Булычёва Кристина Юрьевна</t>
  </si>
  <si>
    <t>440125608506</t>
  </si>
  <si>
    <t>ИП4402013411</t>
  </si>
  <si>
    <t>ИП440201341100000</t>
  </si>
  <si>
    <t>156000 Костромская область город Кострома Калиновская 42   260А</t>
  </si>
  <si>
    <t>ИП440201341100001</t>
  </si>
  <si>
    <t>156000 Костромская область город Кострома Профсоюзная 25  Б</t>
  </si>
  <si>
    <t>ИП440201341100002</t>
  </si>
  <si>
    <t>157940 Костромская область поселок городского типа Красное-на-Волге улица Рабочая дом 1</t>
  </si>
  <si>
    <t>ИП Зиганшин Руслан Мевлетович</t>
  </si>
  <si>
    <t>440125675735</t>
  </si>
  <si>
    <t>ИП4402036010</t>
  </si>
  <si>
    <t>ИП440203601000000</t>
  </si>
  <si>
    <t>156019 Костромская область город Кострома улица Щербины Петра дом 8 строение 4</t>
  </si>
  <si>
    <t>ИП Субботина Елена Юрьевна</t>
  </si>
  <si>
    <t>440125834093</t>
  </si>
  <si>
    <t>ИП4402016494</t>
  </si>
  <si>
    <t>ИП440201649400000</t>
  </si>
  <si>
    <t>156019 Костромская область город Кострома улица Щербины Петра дом 9</t>
  </si>
  <si>
    <t>ИП Зыков Андрей Александрович</t>
  </si>
  <si>
    <t>440125878904</t>
  </si>
  <si>
    <t>ИП4402034013</t>
  </si>
  <si>
    <t>ИП440203401300000</t>
  </si>
  <si>
    <t>ИП350300414400000</t>
  </si>
  <si>
    <t>156010 Костромская область город Кострома микрорайон Паново дом 15   ч помещ №2</t>
  </si>
  <si>
    <t>ИП350300414400007</t>
  </si>
  <si>
    <t>156003 Костромская область город Кострома улица Ткачей 5, 1 этаж</t>
  </si>
  <si>
    <t>ИП Чепенко Никита Валерьевич</t>
  </si>
  <si>
    <t>440125949619</t>
  </si>
  <si>
    <t>ИП4402008047</t>
  </si>
  <si>
    <t>ИП440200804700000</t>
  </si>
  <si>
    <t>156001 Костромская область город Кострома улица Ярославская дом 24</t>
  </si>
  <si>
    <t>ИП Чикакчиди Наталья Львовна</t>
  </si>
  <si>
    <t>440126040706</t>
  </si>
  <si>
    <t>ИП4402032672</t>
  </si>
  <si>
    <t>ИП440203267200000</t>
  </si>
  <si>
    <t>156000 Костромская область город Кострома 6-й Речной дом 22 1 этаж  помещение 1-7</t>
  </si>
  <si>
    <t>ИП Левшаков Алексей Сергеевич</t>
  </si>
  <si>
    <t>440126071060</t>
  </si>
  <si>
    <t>ИП4402037811</t>
  </si>
  <si>
    <t>ИП440203781100000</t>
  </si>
  <si>
    <t>156011 Костромская область город Кострома улица Магистральная дом 59   Оф 156, 157,158, 312, 315</t>
  </si>
  <si>
    <t>ИП Гренева Яна Николаевна</t>
  </si>
  <si>
    <t>440126195812</t>
  </si>
  <si>
    <t>ИП4402010426</t>
  </si>
  <si>
    <t>ИП440201042600000</t>
  </si>
  <si>
    <t>156000 Костромская область город Кострома ряды Красные дом 1   пом №4 павильон №30, 2 этаж</t>
  </si>
  <si>
    <t>ИП ПАНОВ КИРИЛЛ ЕВГЕНЬЕВИЧ</t>
  </si>
  <si>
    <t>440126376150</t>
  </si>
  <si>
    <t>ИП4402000495</t>
  </si>
  <si>
    <t>ИП440200049500000</t>
  </si>
  <si>
    <t>156000 Костромская область город Кострома ряды Красные дом 1  пом.№№1-4,4а,5-10,12-24  павильон №11</t>
  </si>
  <si>
    <t>ИП440200049500002</t>
  </si>
  <si>
    <t>156001 Костромская область город Кострома улица Московская дом 51/2   7</t>
  </si>
  <si>
    <t>ИП Синяков Алексей Сергеевич</t>
  </si>
  <si>
    <t>440126381689</t>
  </si>
  <si>
    <t>ИП4402039902</t>
  </si>
  <si>
    <t>ИП440203990200000</t>
  </si>
  <si>
    <t>ИП Смирнова Юлия Владимировна</t>
  </si>
  <si>
    <t>440126892115</t>
  </si>
  <si>
    <t>ИП4402038940</t>
  </si>
  <si>
    <t>ИП440203894000000</t>
  </si>
  <si>
    <t>156010 Костромская область город Кострома микрорайон Паново дом 15   этаж2,часть комнаты №2</t>
  </si>
  <si>
    <t>ИП Каменева Анна Владимировна</t>
  </si>
  <si>
    <t>440128930165</t>
  </si>
  <si>
    <t>ИП5001031941</t>
  </si>
  <si>
    <t>ИП500103194100000</t>
  </si>
  <si>
    <t>156016 Костромская область город Кострома шоссе Кинешемское дом 76   торговая площадь №О9</t>
  </si>
  <si>
    <t>ИП500103194100001</t>
  </si>
  <si>
    <t>156009 Костромская область город Кострома улица Сутырина дом 5   островок</t>
  </si>
  <si>
    <t>ИП500103194100002</t>
  </si>
  <si>
    <t>156002 Костромская область город Кострома улица Ткачей дом 7   торговый остров</t>
  </si>
  <si>
    <t>ИП500103194100003</t>
  </si>
  <si>
    <t>156013 Костромская область город Кострома улица Зеленая дом 5д   помещение 3</t>
  </si>
  <si>
    <t>ИП Булай Роман Аркадьевич</t>
  </si>
  <si>
    <t>440129329704</t>
  </si>
  <si>
    <t>ИП4402031118</t>
  </si>
  <si>
    <t>ИП440203111800000</t>
  </si>
  <si>
    <t>156004 Костромская область город Кострома улица Заречная дом 15   15</t>
  </si>
  <si>
    <t>ИП Сутягина Ольга Евгеньевна</t>
  </si>
  <si>
    <t>440129589477</t>
  </si>
  <si>
    <t>ИП4402037805</t>
  </si>
  <si>
    <t>ИП440203780500000</t>
  </si>
  <si>
    <t>156000 Костромская область город Кострома улица Советская дом 2/1  литер а офис 54; 55</t>
  </si>
  <si>
    <t>ИП Суслин Андрей Андреевич</t>
  </si>
  <si>
    <t>440130203424</t>
  </si>
  <si>
    <t>ИП4402000888</t>
  </si>
  <si>
    <t>ИП440200088800000</t>
  </si>
  <si>
    <t>156004 Костромская область город Кострома улица Береговая дом 45   офис 14,125</t>
  </si>
  <si>
    <t>ИП Салимова Вусала Алибала Кызы</t>
  </si>
  <si>
    <t>440130332780</t>
  </si>
  <si>
    <t>ИП4402001806</t>
  </si>
  <si>
    <t>ИП440200180600000</t>
  </si>
  <si>
    <t>156013 Костромская область город Кострома улица Галичская дом 130</t>
  </si>
  <si>
    <t>ИП Дельцов Артём Игоревич</t>
  </si>
  <si>
    <t>440130429887</t>
  </si>
  <si>
    <t>ИП4402038049</t>
  </si>
  <si>
    <t>ИП440203804900000</t>
  </si>
  <si>
    <t>157006 Костромская область город Буй улица Октябрьской Революции дом 74</t>
  </si>
  <si>
    <t>ИП Кузнецов Сергей Владимирович</t>
  </si>
  <si>
    <t>440200239868</t>
  </si>
  <si>
    <t>ИП4402015584</t>
  </si>
  <si>
    <t>ИП440201558400000</t>
  </si>
  <si>
    <t>156013 Костромская область город Кострома проспект Текстильщиков  дом 40/39   № 15</t>
  </si>
  <si>
    <t>ИП Пичкалова Светлана Валерьевна</t>
  </si>
  <si>
    <t>440201700351</t>
  </si>
  <si>
    <t>ИП4402006373</t>
  </si>
  <si>
    <t>ИП440200637300000</t>
  </si>
  <si>
    <t>157006 Костромская область город Буй улица Октябрьской Революции дом 47   помещение 19</t>
  </si>
  <si>
    <t>ИП Голубева Валентина Владимировна</t>
  </si>
  <si>
    <t>440202501609</t>
  </si>
  <si>
    <t>ИП4402006351</t>
  </si>
  <si>
    <t>ИП440200635100000</t>
  </si>
  <si>
    <t>157201 Костромская область Галич Луначарского 2  Б</t>
  </si>
  <si>
    <t>ИП Журавлёва Татьяна Юрьевна</t>
  </si>
  <si>
    <t>440300015580</t>
  </si>
  <si>
    <t>ИП4402033254</t>
  </si>
  <si>
    <t>ИП440203325400000</t>
  </si>
  <si>
    <t>157301 Костромская область город Мантурово улица Нагорная 6   101</t>
  </si>
  <si>
    <t>ИП Котикова Евгения Александровна</t>
  </si>
  <si>
    <t>440400051990</t>
  </si>
  <si>
    <t>ИП4402018867</t>
  </si>
  <si>
    <t>ИП440201886700000</t>
  </si>
  <si>
    <t>157940 Костромская область поселок городского типа Красное-на-Волге Окружная 6 2 В нежилое строение инв.№2087</t>
  </si>
  <si>
    <t>ИП Серов Николай Александрович</t>
  </si>
  <si>
    <t>440400650144</t>
  </si>
  <si>
    <t>ИП4402031285</t>
  </si>
  <si>
    <t>ИП440203128500000</t>
  </si>
  <si>
    <t>156003 Костромская область город Кострома улица Ткачей дом 5</t>
  </si>
  <si>
    <t>ИП Смирнова Любовь Александровна</t>
  </si>
  <si>
    <t>440401069768</t>
  </si>
  <si>
    <t>ИП4402003785</t>
  </si>
  <si>
    <t>ИП440200378500000</t>
  </si>
  <si>
    <t>157800 Костромская область город Нерехта улица Победы д. 9 пом. 77</t>
  </si>
  <si>
    <t>ИП Богатинова Елена Александровна</t>
  </si>
  <si>
    <t>440500913277</t>
  </si>
  <si>
    <t>ИП4402000353</t>
  </si>
  <si>
    <t>ИП440200035300000</t>
  </si>
  <si>
    <t>156019 Костромская область город Кострома улица Станкостроительная дом 3  литер а кабинет № 7</t>
  </si>
  <si>
    <t>ИП Иванова Надежда Юрьевна</t>
  </si>
  <si>
    <t>440502771067</t>
  </si>
  <si>
    <t>ИП4402002833</t>
  </si>
  <si>
    <t>ИП440200283300000</t>
  </si>
  <si>
    <t>157800 Костромская область город Нерехта улица Чернышевского дом 45</t>
  </si>
  <si>
    <t>ИП Егоров Илья Алексеевич</t>
  </si>
  <si>
    <t>440504176507</t>
  </si>
  <si>
    <t>ИП4402010273</t>
  </si>
  <si>
    <t>ИП440201027300000</t>
  </si>
  <si>
    <t>157330 Костромская область город Нея улица Советская дом 31   40-43</t>
  </si>
  <si>
    <t>ИП Сорокина Марина Николаевна</t>
  </si>
  <si>
    <t>440600419424</t>
  </si>
  <si>
    <t>ИП4402004542</t>
  </si>
  <si>
    <t>ИП440200454200000</t>
  </si>
  <si>
    <t>157330 Костромская область город Нея улица Советская дом 25</t>
  </si>
  <si>
    <t>ИП Махов Владимир Минионович</t>
  </si>
  <si>
    <t>440600774732</t>
  </si>
  <si>
    <t>ИП4402018299</t>
  </si>
  <si>
    <t>ИП440201829900000</t>
  </si>
  <si>
    <t>157980 Костромская область поселок городского типа Кадый улица Центральная дом 11</t>
  </si>
  <si>
    <t>ИП440201829900002</t>
  </si>
  <si>
    <t>156019 Костромская область город Кострома улица Базовая дом 6е   офис 10</t>
  </si>
  <si>
    <t>ИП Смирнов Александр Павлович</t>
  </si>
  <si>
    <t>440601005955</t>
  </si>
  <si>
    <t>ИП4402039068</t>
  </si>
  <si>
    <t>ИП440203906800000</t>
  </si>
  <si>
    <t>157500 Костромская область Шарья Октябрьская ул. дом 24</t>
  </si>
  <si>
    <t>ИП Игумнов В.М.</t>
  </si>
  <si>
    <t>440700060097</t>
  </si>
  <si>
    <t>ИП4402008841</t>
  </si>
  <si>
    <t>ИП440200884100000</t>
  </si>
  <si>
    <t>157500 Костромская область город Шарья улица Октябрьская дом 31   этаж 2</t>
  </si>
  <si>
    <t>ИП Лапшина Галина Ивановна</t>
  </si>
  <si>
    <t>440700472069</t>
  </si>
  <si>
    <t>ИП4402009780</t>
  </si>
  <si>
    <t>ИП440200978000000</t>
  </si>
  <si>
    <t>157501 Костромская область город Шарья улица Промышленная дом 9а строение 1</t>
  </si>
  <si>
    <t>ИП Полозов Владислав Романович</t>
  </si>
  <si>
    <t>440703047993</t>
  </si>
  <si>
    <t>ИП4402008653</t>
  </si>
  <si>
    <t>ИП440200865300000</t>
  </si>
  <si>
    <t>157500 Костромская область город Шарья квартал Коммуны дом 3А строение 2  помещение 2</t>
  </si>
  <si>
    <t>ИП Шумаева Маргарита Вадимовна</t>
  </si>
  <si>
    <t>440703633606</t>
  </si>
  <si>
    <t>ИП4402034055</t>
  </si>
  <si>
    <t>ИП440203405500000</t>
  </si>
  <si>
    <t>156012 Костромская область город Кострома улица Костромская дом 99   помещение 9</t>
  </si>
  <si>
    <t>ИП Заседателев Никита Сергеевич</t>
  </si>
  <si>
    <t>440900950788</t>
  </si>
  <si>
    <t>ИП4402030083</t>
  </si>
  <si>
    <t>ИП440203008300000</t>
  </si>
  <si>
    <t>157940 Костромская область поселок городского типа Красное-на-Волге Вольная 24</t>
  </si>
  <si>
    <t>ИП Рыжков Алексей Александрович</t>
  </si>
  <si>
    <t>441000184846</t>
  </si>
  <si>
    <t>ИП4402000791</t>
  </si>
  <si>
    <t>ИП440200079100000</t>
  </si>
  <si>
    <t>156013 Костромская область город Кострома улица Галичская дом 108   офис 4</t>
  </si>
  <si>
    <t>ИП Скрябин Николай Владимирович</t>
  </si>
  <si>
    <t>441000302024</t>
  </si>
  <si>
    <t>ИП4402005629</t>
  </si>
  <si>
    <t>ИП440200562900000</t>
  </si>
  <si>
    <t>156009 Костромская область Кострома Льняная 5В   помещение №208/2</t>
  </si>
  <si>
    <t>ИП Кошаков Батыржан Гайипович</t>
  </si>
  <si>
    <t>441000477747</t>
  </si>
  <si>
    <t>ИП4402037587</t>
  </si>
  <si>
    <t>ИП440203758700000</t>
  </si>
  <si>
    <t>156000 Костромская область город Кострома улица Советская дом 8Б   кабинет 5</t>
  </si>
  <si>
    <t>ИП Потехин Михаил Павлович</t>
  </si>
  <si>
    <t>441200734208</t>
  </si>
  <si>
    <t>ИП4402037493</t>
  </si>
  <si>
    <t>ИП440203749300000</t>
  </si>
  <si>
    <t>157460 Костромская область город Макарьев площадь Революции дом 43</t>
  </si>
  <si>
    <t>ИП Церковных Сергей Григорьевич</t>
  </si>
  <si>
    <t>441400014623</t>
  </si>
  <si>
    <t>ИП4402010405</t>
  </si>
  <si>
    <t>ИП440201040500002</t>
  </si>
  <si>
    <t>157201 Костромская область город Галич улица Свободы дом 2</t>
  </si>
  <si>
    <t>ИП440201040500003</t>
  </si>
  <si>
    <t>157501 Костромская область город Шарья улица Промышленная дом 4  литер Д,Д1,Д2</t>
  </si>
  <si>
    <t>ИП440201040500004</t>
  </si>
  <si>
    <t>156530 Костромская область поселок Караваево улица Садовая дом 1б</t>
  </si>
  <si>
    <t>ООО "КАЮФ"</t>
  </si>
  <si>
    <t>4414009326</t>
  </si>
  <si>
    <t>ЮЛ4402001106</t>
  </si>
  <si>
    <t>ЮЛ440200110600000</t>
  </si>
  <si>
    <t>156014 Костромская область город Кострома улица Сутырина дом 6  А</t>
  </si>
  <si>
    <t>ООО "ЮД "ДИНАСТИЯ"</t>
  </si>
  <si>
    <t>4414016115</t>
  </si>
  <si>
    <t>ЮЛ4402000955</t>
  </si>
  <si>
    <t>ЮЛ440200095500000</t>
  </si>
  <si>
    <t>156001 Костромская область город Кострома улица Московская дом 105  Литера П1 комната 22</t>
  </si>
  <si>
    <t>ООО "НОВЫЙ БРИЛЛИАНТ"</t>
  </si>
  <si>
    <t>4414016429</t>
  </si>
  <si>
    <t>ЮЛ4402001467</t>
  </si>
  <si>
    <t>ЮЛ440200146700000</t>
  </si>
  <si>
    <t>156003 Костромская область город Кострома улица Ткачей дом 5   пом. 1, ком. 16-17</t>
  </si>
  <si>
    <t>ИП Звонников Егор Евгеньевич</t>
  </si>
  <si>
    <t>441403304994</t>
  </si>
  <si>
    <t>ИП4402016366</t>
  </si>
  <si>
    <t>ИП440201636600000</t>
  </si>
  <si>
    <t>156003 Костромская область город Кострома улица Коммунаров дом 40 пом. №1  ком.22,24,26-35,38-59,63</t>
  </si>
  <si>
    <t>ИП Заварин Ярослав Станиславович</t>
  </si>
  <si>
    <t>441404320283</t>
  </si>
  <si>
    <t>ИП4402002631</t>
  </si>
  <si>
    <t>ИП440200263100000</t>
  </si>
  <si>
    <t>156011 Костромская область Кострома улица Магистральная 59   -</t>
  </si>
  <si>
    <t>ИП Кудрявцев Никита Алексеевич</t>
  </si>
  <si>
    <t>441404776397</t>
  </si>
  <si>
    <t>ИП4402000514</t>
  </si>
  <si>
    <t>ИП440200051400000</t>
  </si>
  <si>
    <t>ИП Декун Олег Васильевич</t>
  </si>
  <si>
    <t>441500017297</t>
  </si>
  <si>
    <t>ИП4402001158</t>
  </si>
  <si>
    <t>ИП440200115800000</t>
  </si>
  <si>
    <t>157940 Костромская область поселок городского типа Красное-на-Волге улица Ленина 39</t>
  </si>
  <si>
    <t>ИП Цыбуля Дмитрий Николаевич</t>
  </si>
  <si>
    <t>441500020885</t>
  </si>
  <si>
    <t>ИП4402011874</t>
  </si>
  <si>
    <t>ИП440201187400000</t>
  </si>
  <si>
    <t>157940 Костромская область поселок городского типа Красное-на-Волге улица Советская дом 52   Павильон 21</t>
  </si>
  <si>
    <t>ИП Маслова Татьяна Викторовна</t>
  </si>
  <si>
    <t>441500023526</t>
  </si>
  <si>
    <t>ИП4402004942</t>
  </si>
  <si>
    <t>ИП440200494200000</t>
  </si>
  <si>
    <t>156025 Костромская область город Кострома улица Полянская дом 12А</t>
  </si>
  <si>
    <t>ИП Палкин Илья Викторович</t>
  </si>
  <si>
    <t>441500029486</t>
  </si>
  <si>
    <t>ИП4402003659</t>
  </si>
  <si>
    <t>ИП440200365900000</t>
  </si>
  <si>
    <t>157940 Костромская область поселок городского типа Красное-на-Волге ул. Льносемстанция 6   4,5,6,7,8,9,10,12,13,14,16,17,18,19,20,25,26,27,28,29,30,31,32,37,38,45,46,47,48,49,50,51,52,53,54,55,58,59,60,61,63,65,66,79,80,83,84,85,86,87,88</t>
  </si>
  <si>
    <t>ИП Фригин Геннадий Николаевич</t>
  </si>
  <si>
    <t>441500052333</t>
  </si>
  <si>
    <t>ИП7602031307</t>
  </si>
  <si>
    <t>ИП760203130700000</t>
  </si>
  <si>
    <t>157940 Костромская область поселок городского типа Красное-на-Волге улица Советская дом 86   2,10,11,12,13</t>
  </si>
  <si>
    <t>ИП760203130700001</t>
  </si>
  <si>
    <t>157940 Костромская область пгт Красное-на-Волге Вольная ул дом 2В</t>
  </si>
  <si>
    <t>ИП Бондарчук Татьяна Марковна</t>
  </si>
  <si>
    <t>441500058504</t>
  </si>
  <si>
    <t>ИП5001004072</t>
  </si>
  <si>
    <t>ИП500100407200000</t>
  </si>
  <si>
    <t>156029 Костромская область Кострома город Советская 130   14</t>
  </si>
  <si>
    <t>ИП Вишнякова Нина Сергеевна</t>
  </si>
  <si>
    <t>441500060119</t>
  </si>
  <si>
    <t>ИП4402001382</t>
  </si>
  <si>
    <t>ИП440200138200000</t>
  </si>
  <si>
    <t>156008 Костромская область Кострома Поселковая 37</t>
  </si>
  <si>
    <t>ИП440200138200001</t>
  </si>
  <si>
    <t>157940 Костромская область поселок городского типа Красное-на-Волге улица Окружная дом 4б</t>
  </si>
  <si>
    <t>ИП Славнов Юрий Леонидович</t>
  </si>
  <si>
    <t>441500092914</t>
  </si>
  <si>
    <t>ИП4402001369</t>
  </si>
  <si>
    <t>ИП440200136900000</t>
  </si>
  <si>
    <t>157940 Костромская область село Здемирово  дом 113а</t>
  </si>
  <si>
    <t>ИП Гусляков Сергей Андреевич</t>
  </si>
  <si>
    <t>441500099684</t>
  </si>
  <si>
    <t>ИП4402003823</t>
  </si>
  <si>
    <t>ИП440200382300000</t>
  </si>
  <si>
    <t>157940 Костромская область поселок городского типа Красное-на-Волге улица Советская дом 52   помещения 22, 23</t>
  </si>
  <si>
    <t>ИП Комарова Ольга Александровна</t>
  </si>
  <si>
    <t>441500123111</t>
  </si>
  <si>
    <t>ИП4402001449</t>
  </si>
  <si>
    <t>ИП440200144900000</t>
  </si>
  <si>
    <t>157940 Костромская область поселок городского типа Красное-на-Волге улица Советская 49</t>
  </si>
  <si>
    <t>ИП Сорокина Наталья Михайловна</t>
  </si>
  <si>
    <t>441500161477</t>
  </si>
  <si>
    <t>ИП4402033014</t>
  </si>
  <si>
    <t>ИП440203301400000</t>
  </si>
  <si>
    <t>157940 Костромская область поселок городского типа Красное-на-Волге улица Советская дом 51   помещение 2</t>
  </si>
  <si>
    <t>ИП Скворцов Сергей Авинирович</t>
  </si>
  <si>
    <t>441500162350</t>
  </si>
  <si>
    <t>ИП4402005631</t>
  </si>
  <si>
    <t>ИП440200563100000</t>
  </si>
  <si>
    <t>ИП Жердев Алексей Евгеньевич</t>
  </si>
  <si>
    <t>441500186270</t>
  </si>
  <si>
    <t>ИП4402000887</t>
  </si>
  <si>
    <t>ИП440200088700000</t>
  </si>
  <si>
    <t>156019 Костромская область Кострома улица Петра Щербины дом 9</t>
  </si>
  <si>
    <t>ИП Горюхов Алексей Анатольевич</t>
  </si>
  <si>
    <t>441500186802</t>
  </si>
  <si>
    <t>ИП4402000908</t>
  </si>
  <si>
    <t>ИП440200090800000</t>
  </si>
  <si>
    <t>156019 Костромская область Кострома Щербины Петра 9  Т1</t>
  </si>
  <si>
    <t>ИП Фукалова Анастасия Евгеньевна</t>
  </si>
  <si>
    <t>441500227505</t>
  </si>
  <si>
    <t>ИП4402039852</t>
  </si>
  <si>
    <t>ИП440203985200000</t>
  </si>
  <si>
    <t>157940 Костромская область поселок городского типа Красное-на-Волге улица Окружная Дом 4А</t>
  </si>
  <si>
    <t>ИП Васильева Жанна Александровна</t>
  </si>
  <si>
    <t>441500236411</t>
  </si>
  <si>
    <t>ИП4402002078</t>
  </si>
  <si>
    <t>ИП440200207800000</t>
  </si>
  <si>
    <t>157940 Костромская область поселок городского типа Красное-на-Волге улица Советская дом 52   № 2-8</t>
  </si>
  <si>
    <t>ИП Пустовойтова Татьяна Сергеевна</t>
  </si>
  <si>
    <t>441500268043</t>
  </si>
  <si>
    <t>ИП4402039050</t>
  </si>
  <si>
    <t>ИП440203905000000</t>
  </si>
  <si>
    <t>157947 Костромская область село Сидоровское Свердлова 42  Б,В,З 1,2 эт.</t>
  </si>
  <si>
    <t>ООО "СЮФ"</t>
  </si>
  <si>
    <t>4415004360</t>
  </si>
  <si>
    <t>ЮЛ4402004767</t>
  </si>
  <si>
    <t>ЮЛ440200476700000</t>
  </si>
  <si>
    <t>157940 Костромская область поселок городского типа Красное-на-Волге улица Окружная дом 8</t>
  </si>
  <si>
    <t>ООО ЮЗ "ПЛАТИНА"</t>
  </si>
  <si>
    <t>4415004465</t>
  </si>
  <si>
    <t>ЮЛ4402000008</t>
  </si>
  <si>
    <t>ЮЛ440200000800000</t>
  </si>
  <si>
    <t>157940 Костромская область поселок городского типа Красное-на-Волге улица Советская дом 47</t>
  </si>
  <si>
    <t>4415004722</t>
  </si>
  <si>
    <t>ЮЛ4402002433</t>
  </si>
  <si>
    <t>ЮЛ440200243300000</t>
  </si>
  <si>
    <t>157940 Костромская область поселок городского типа Красное-на-Волге Улица К. Либкнехта дом 36</t>
  </si>
  <si>
    <t>ИП Якунина Елена Львовна</t>
  </si>
  <si>
    <t>441500647901</t>
  </si>
  <si>
    <t>ИП4402009009</t>
  </si>
  <si>
    <t>ИП440200900900000</t>
  </si>
  <si>
    <t>157940 Костромская область поселок городского типа Красное-на-Волге Советская улица Дом 39</t>
  </si>
  <si>
    <t>ИП Пастухов Николай Владимирович</t>
  </si>
  <si>
    <t>441500699811</t>
  </si>
  <si>
    <t>ИП4402001537</t>
  </si>
  <si>
    <t>ИП440200153700000</t>
  </si>
  <si>
    <t>157940 Костромская область поселок городского типа Красное-на-Волге улица Ракетная дом 1а   нежилое помещение 2</t>
  </si>
  <si>
    <t>ИП Шабалкин Евгений Львович</t>
  </si>
  <si>
    <t>441500704973</t>
  </si>
  <si>
    <t>ИП4402006957</t>
  </si>
  <si>
    <t>ИП440200695700000</t>
  </si>
  <si>
    <t>157944 Костромская область Красносельский район, деревня Косевское   дом 38</t>
  </si>
  <si>
    <t>ИП Хворостецкая Екатерина Юрьевна</t>
  </si>
  <si>
    <t>441500715005</t>
  </si>
  <si>
    <t>ИП7701034953</t>
  </si>
  <si>
    <t>ИП770103495300000</t>
  </si>
  <si>
    <t>157940 Костромская область поселок городского типа Красное-на-Волге улица Советская дом 49 корпус 30 литера А помещение 26</t>
  </si>
  <si>
    <t>АО ТД "АЛМАЗ-ХОЛДИНГ"</t>
  </si>
  <si>
    <t>4415007160</t>
  </si>
  <si>
    <t>ЮЛ4402004245</t>
  </si>
  <si>
    <t>ЮЛ440200424500000</t>
  </si>
  <si>
    <t>156014 Костромская область город Кострома улица Сутырина дом 6  В</t>
  </si>
  <si>
    <t>ИП Козин Олег Владимирович</t>
  </si>
  <si>
    <t>441500729382</t>
  </si>
  <si>
    <t>ИП4402002094</t>
  </si>
  <si>
    <t>ИП440200209400000</t>
  </si>
  <si>
    <t>157940 Костромская область поселок городского типа Красное-на-Волге улица Пушкина 16/7</t>
  </si>
  <si>
    <t>ИП Валов Денис Сергеевич</t>
  </si>
  <si>
    <t>441500731840</t>
  </si>
  <si>
    <t>ИП4402031035</t>
  </si>
  <si>
    <t>ИП440203103500000</t>
  </si>
  <si>
    <t>156005 Костромская область город Кострома улица Сусанина Ивана дом 50   нежилое помещение 30 (кабинет №8)</t>
  </si>
  <si>
    <t>ИП Железов Дмитрий Николаевич</t>
  </si>
  <si>
    <t>441500740435</t>
  </si>
  <si>
    <t>ИП4402012044</t>
  </si>
  <si>
    <t>ИП440201204400000</t>
  </si>
  <si>
    <t>156014 Костромская область город Кострома улица Энергетиков дом 1  Г литера 2 офис</t>
  </si>
  <si>
    <t>ИП Шамонтьев Иван Евгеньевич</t>
  </si>
  <si>
    <t>441500771401</t>
  </si>
  <si>
    <t>ИП4402001177</t>
  </si>
  <si>
    <t>ИП440200117700000</t>
  </si>
  <si>
    <t>157940 Костромская область поселок городского типа Красное-на-Волге улица Луначарского дом 31</t>
  </si>
  <si>
    <t>ООО "ИОРДАНЬ"</t>
  </si>
  <si>
    <t>4415008420</t>
  </si>
  <si>
    <t>ЮЛ4402007425</t>
  </si>
  <si>
    <t>ЮЛ440200742500000</t>
  </si>
  <si>
    <t>157940 Костромская область поселок городского типа Красное-на-Волге улица Окружная дом 4А</t>
  </si>
  <si>
    <t>ИП Хоменко Сергей Сергеевич</t>
  </si>
  <si>
    <t>441500915928</t>
  </si>
  <si>
    <t>ИП4402000238</t>
  </si>
  <si>
    <t>ИП440200023800000</t>
  </si>
  <si>
    <t>156000 Костромская область город Кострома Горная 8б   пом.6, комн. №1-4,12-20,22</t>
  </si>
  <si>
    <t>ИП440200023800001</t>
  </si>
  <si>
    <t>156000 Костромская область город Кострома улица Молочная гора дом 5   пом. 3 (1 этаж), пом. 3 (2 Этаж)</t>
  </si>
  <si>
    <t>ИП440200023800003</t>
  </si>
  <si>
    <t>157940 Костромская область поселок городского типа Красное-на-Волге улица Вольная дом 2В</t>
  </si>
  <si>
    <t>ИП Семенов Алексей Игоревич</t>
  </si>
  <si>
    <t>441500938717</t>
  </si>
  <si>
    <t>ИП4402001390</t>
  </si>
  <si>
    <t>ИП440200139000000</t>
  </si>
  <si>
    <t>157940 Костромская область поселок городского типа Красное-на-Волге улица Карла Маркса дом 28</t>
  </si>
  <si>
    <t>ИП Тутушкин Алексей Николаевич</t>
  </si>
  <si>
    <t>441501072999</t>
  </si>
  <si>
    <t>ИП4402001030</t>
  </si>
  <si>
    <t>ИП440200103000000</t>
  </si>
  <si>
    <t>157940 Костромская область поселок городского типа Красное-на-Волге улица Советская дом 52   помещения 18,19</t>
  </si>
  <si>
    <t>ИП Мабенджиева Алина Юрьевна</t>
  </si>
  <si>
    <t>441501133987</t>
  </si>
  <si>
    <t>ИП4402034392</t>
  </si>
  <si>
    <t>ИП440203439200000</t>
  </si>
  <si>
    <t>157940 Костромская область поселок городского типа Красное-на-Волге переулок Пушкина дом 39</t>
  </si>
  <si>
    <t>ИП Якушев Павел Петрович</t>
  </si>
  <si>
    <t>441501136233</t>
  </si>
  <si>
    <t>ИП4402030936</t>
  </si>
  <si>
    <t>ИП440203093600000</t>
  </si>
  <si>
    <t>156000 Костромская область город Кострома ряды Красные дом 1   помещение 4</t>
  </si>
  <si>
    <t>ИП440200936500000</t>
  </si>
  <si>
    <t>157940 Костромская область поселок городского типа Красное-на-Волге улица Советская дом 52</t>
  </si>
  <si>
    <t>ИП440200936500001</t>
  </si>
  <si>
    <t>156001 Костромская область город Кострома улица Московская дом 84   помещение 7</t>
  </si>
  <si>
    <t>ИП Тихонов Владимир Павлович</t>
  </si>
  <si>
    <t>441501158460</t>
  </si>
  <si>
    <t>ИП7701005389</t>
  </si>
  <si>
    <t>ИП770100538900000</t>
  </si>
  <si>
    <t>157940 Костромская область  Красное-на-Волге улица Островского Д.14А</t>
  </si>
  <si>
    <t>ИП БАРАШКОВА ЛЮДМИЛА ВАЛЕНТИНОВНА</t>
  </si>
  <si>
    <t>441501188792</t>
  </si>
  <si>
    <t>ИП4402006546</t>
  </si>
  <si>
    <t>ИП440200654600000</t>
  </si>
  <si>
    <t>157940 Костромская область Красное-на-Волге пгт Советская ул дом 49</t>
  </si>
  <si>
    <t>ИП Халеева Елена Геннадьевна</t>
  </si>
  <si>
    <t>441501193827</t>
  </si>
  <si>
    <t>ИП4402000189</t>
  </si>
  <si>
    <t>ИП440200018900000</t>
  </si>
  <si>
    <t>156000 Костромская область город Кострома ряды Красные дом 1   н. п. № 4 павильон № 12</t>
  </si>
  <si>
    <t>ИП Комарова Оксана Сергеевна</t>
  </si>
  <si>
    <t>441501246571</t>
  </si>
  <si>
    <t>ИП4402001969</t>
  </si>
  <si>
    <t>ИП440200196900000</t>
  </si>
  <si>
    <t>157940 Костромская область поселок городского типа Красное-на-Волге улица Октябрьская дом 13</t>
  </si>
  <si>
    <t>ИП Грачев Николай Станиславович</t>
  </si>
  <si>
    <t>441501291800</t>
  </si>
  <si>
    <t>ИП4402034521</t>
  </si>
  <si>
    <t>ИП440203452100000</t>
  </si>
  <si>
    <t>156003 Костромская область город Кострома улица Ткачей дом 5   4 этаж</t>
  </si>
  <si>
    <t>ИП Кулешов Александр Владиславович</t>
  </si>
  <si>
    <t>441501339402</t>
  </si>
  <si>
    <t>ИП4402013508</t>
  </si>
  <si>
    <t>ИП440201350800000</t>
  </si>
  <si>
    <t>157940 Костромская область поселок городского типа Красное-на-Волге улица Советская дом 71а   помещение А5</t>
  </si>
  <si>
    <t>ИП Кудрявцев Василий Александрович</t>
  </si>
  <si>
    <t>441501375753</t>
  </si>
  <si>
    <t>ИП4402000743</t>
  </si>
  <si>
    <t>ИП440200074300000</t>
  </si>
  <si>
    <t>156013 Костромская область Кострома Маршала Новикова 35  А пом.1, ком.9</t>
  </si>
  <si>
    <t>ИП Осокина Мелана Андреевна</t>
  </si>
  <si>
    <t>441501375908</t>
  </si>
  <si>
    <t>ИП4402039146</t>
  </si>
  <si>
    <t>ИП440203914600000</t>
  </si>
  <si>
    <t>156009 Костромская область город Кострома улица Льняная дом 5 3  213</t>
  </si>
  <si>
    <t>ИП Смирнов Василий Сергеевич</t>
  </si>
  <si>
    <t>441501394450</t>
  </si>
  <si>
    <t>ИП4402000618</t>
  </si>
  <si>
    <t>ИП440200061800000</t>
  </si>
  <si>
    <t>157940 Костромская область поселок городского типа Красное-на-Волге улица Советская дом 71  Г 4</t>
  </si>
  <si>
    <t>ИП Исин Артём Андреевич</t>
  </si>
  <si>
    <t>441501426493</t>
  </si>
  <si>
    <t>ИП4402035084</t>
  </si>
  <si>
    <t>ИП440203508400000</t>
  </si>
  <si>
    <t>157940 Костромская область поселок городского типа Красное-на-Волге улица К.Либкнехта дом 21а   помещение 13</t>
  </si>
  <si>
    <t>ИП Иванова Алёна Федоровна</t>
  </si>
  <si>
    <t>441501519645</t>
  </si>
  <si>
    <t>ИП4402038145</t>
  </si>
  <si>
    <t>ИП440203814500000</t>
  </si>
  <si>
    <t>157940 Костромская область поселок городского типа Красное-на-Волге улица Ракетная дом 1А</t>
  </si>
  <si>
    <t>ИП Стукалова Дарья Владимировна</t>
  </si>
  <si>
    <t>441501565602</t>
  </si>
  <si>
    <t>ИП4402000932</t>
  </si>
  <si>
    <t>ИП440200093200000</t>
  </si>
  <si>
    <t>157940 Костромская область поселок городского типа Красное-на-Волге улица Республиканская дом 14</t>
  </si>
  <si>
    <t>ИП Блёскин Александр Алексеевич</t>
  </si>
  <si>
    <t>441501759260</t>
  </si>
  <si>
    <t>ИП4402037861</t>
  </si>
  <si>
    <t>ИП440203786100000</t>
  </si>
  <si>
    <t>157940 Костромская область Красное-на-Волге Ленина 39</t>
  </si>
  <si>
    <t>ИП Цыбуля Лика Дмитриевна</t>
  </si>
  <si>
    <t>441501886821</t>
  </si>
  <si>
    <t>ИП4402036650</t>
  </si>
  <si>
    <t>ИП440203665000000</t>
  </si>
  <si>
    <t>157940 Костромская область поселок городского типа Красное-на-Волге К. Либнекта 21а   5а</t>
  </si>
  <si>
    <t>ИП Болотова Дарья Захаровна</t>
  </si>
  <si>
    <t>441503183630</t>
  </si>
  <si>
    <t>ИП4402034848</t>
  </si>
  <si>
    <t>ИП440203484800000</t>
  </si>
  <si>
    <t>157940 Костромская область поселок городского типа Красное-на-Волге микрорайон Королиха квартал 3-й дом 24</t>
  </si>
  <si>
    <t>ИП Гиндуллин Данил Вадимович</t>
  </si>
  <si>
    <t>441503214159</t>
  </si>
  <si>
    <t>ИП4402800022</t>
  </si>
  <si>
    <t>ИП440280002200000</t>
  </si>
  <si>
    <t>157940 Костромская область поселок городского типа Красное-на-Волге площадь Красная дом 5   1</t>
  </si>
  <si>
    <t>ИП Горячёв Дмитрий Витальевич</t>
  </si>
  <si>
    <t>441503226274</t>
  </si>
  <si>
    <t>ИП4402037404</t>
  </si>
  <si>
    <t>ИП440203740400000</t>
  </si>
  <si>
    <t>157940 Костромская область поселок городского типа Красное-на-Волге улица Советская дом 73г пом.№34</t>
  </si>
  <si>
    <t>ИП Ильин Алексей Владимирович</t>
  </si>
  <si>
    <t>441503232430</t>
  </si>
  <si>
    <t>ИП4402038130</t>
  </si>
  <si>
    <t>ИП440203813000000</t>
  </si>
  <si>
    <t>157940 Костромская область поселок городского типа Красное-на-Волге поселок Птицефабрика дом 1</t>
  </si>
  <si>
    <t>ИП Степенина Елена Викторовна</t>
  </si>
  <si>
    <t>441503251383</t>
  </si>
  <si>
    <t>ИП4402002441</t>
  </si>
  <si>
    <t>ИП440200244100000</t>
  </si>
  <si>
    <t>157940 Костромская область поселок городского типа Красное-на-Волге улица Советская дом 52   Помещения №2 и №3</t>
  </si>
  <si>
    <t>ИП440200244100007</t>
  </si>
  <si>
    <t>156019 Костромская область город Кострома улица Локомотивная дом 2  лит.ф 2 этаж, комн 11</t>
  </si>
  <si>
    <t>ИП Салакатова Елена Николаевна</t>
  </si>
  <si>
    <t>441503255155</t>
  </si>
  <si>
    <t>ИП4402000721</t>
  </si>
  <si>
    <t>ИП440200072100001</t>
  </si>
  <si>
    <t>156019 Костромская область город Кострома улица Щербины Петра дом 2   Помещение 34</t>
  </si>
  <si>
    <t>ИП Бусыгин Владимир Алексеевич</t>
  </si>
  <si>
    <t>441503286361</t>
  </si>
  <si>
    <t>ИП4402012602</t>
  </si>
  <si>
    <t>ИП440201260200000</t>
  </si>
  <si>
    <t>156007 Костромская область город Кострома улица Новосельская дом 34а   кабинеты 6 и 7</t>
  </si>
  <si>
    <t>ИП Карпухин Сергей Витальевич</t>
  </si>
  <si>
    <t>441503328269</t>
  </si>
  <si>
    <t>ИП4402031780</t>
  </si>
  <si>
    <t>ИП440203178000000</t>
  </si>
  <si>
    <t>156000 Костромская область город Кострома улица Сутырина дом 3   этаж 2 помещение 40</t>
  </si>
  <si>
    <t>ИП Мартышева Марина Александровна</t>
  </si>
  <si>
    <t>441503377900</t>
  </si>
  <si>
    <t>ИП4402003578</t>
  </si>
  <si>
    <t>ИП440200357800000</t>
  </si>
  <si>
    <t>157940 Костромская область поселок городского типа Красное-на-Волге площадь Красная дом 5</t>
  </si>
  <si>
    <t>ИП Печник Максим Николаевич</t>
  </si>
  <si>
    <t>441503437613</t>
  </si>
  <si>
    <t>ИП4402034904</t>
  </si>
  <si>
    <t>ИП440203490400000</t>
  </si>
  <si>
    <t>156530 Костромская область поселок Караваево улица Садовая 1Б</t>
  </si>
  <si>
    <t>ИП Бадин Александр Александрович</t>
  </si>
  <si>
    <t>441503554395</t>
  </si>
  <si>
    <t>ИП4402033071</t>
  </si>
  <si>
    <t>ИП440203307100000</t>
  </si>
  <si>
    <t>157940 Костромская область поселок городского типа Красное-на-Волге улица Советская дом 71г   помещение 8,9</t>
  </si>
  <si>
    <t>ИП Смирнов Максим Юрьевич</t>
  </si>
  <si>
    <t>441503624821</t>
  </si>
  <si>
    <t>ИП4402002063</t>
  </si>
  <si>
    <t>ИП440200206300000</t>
  </si>
  <si>
    <t>156019 Костромская область город Кострома улица Деминская дом 4 нежилое помещение №2</t>
  </si>
  <si>
    <t>ИП Лазарева Ольга Анатольевна</t>
  </si>
  <si>
    <t>441503650998</t>
  </si>
  <si>
    <t>ИП4402002354</t>
  </si>
  <si>
    <t>ИП440200235400000</t>
  </si>
  <si>
    <t>156012 Костромская область город Кострома улица Костромская 78   пом. 8</t>
  </si>
  <si>
    <t>ИП Томми Анна Евгеньевна</t>
  </si>
  <si>
    <t>441503789809</t>
  </si>
  <si>
    <t>ИП2304031996</t>
  </si>
  <si>
    <t>ИП230403199600000</t>
  </si>
  <si>
    <t>ИП Опарин Иван Алексеевич</t>
  </si>
  <si>
    <t>441503796098</t>
  </si>
  <si>
    <t>ИП4402000030</t>
  </si>
  <si>
    <t>ИП440200003000000</t>
  </si>
  <si>
    <t>156002 Костромская область город Кострома улица Ерохова дом 8   помещение 11, 9</t>
  </si>
  <si>
    <t>ИП Постыляков Евгений Витальевич</t>
  </si>
  <si>
    <t>441503808378</t>
  </si>
  <si>
    <t>ИП4402004918</t>
  </si>
  <si>
    <t>ИП440200491800000</t>
  </si>
  <si>
    <t>156012 Костромская область город Кострома улица Опалиха дом 9Б   помещение № 1</t>
  </si>
  <si>
    <t>ИП Синенко Федор Александрович</t>
  </si>
  <si>
    <t>441503866387</t>
  </si>
  <si>
    <t>ИП4402038959</t>
  </si>
  <si>
    <t>ИП440203895900000</t>
  </si>
  <si>
    <t>157940 Костромская область поселок городского типа Красное-на-Волге улица Советская дом 38</t>
  </si>
  <si>
    <t>ИП Шеломов Владислав Игоревич</t>
  </si>
  <si>
    <t>441503882195</t>
  </si>
  <si>
    <t>ИП4402007618</t>
  </si>
  <si>
    <t>ИП440200761800000</t>
  </si>
  <si>
    <t>157940 Костромская область поселок городского типа Красное-на-Волге улица К.Маркса дом 2</t>
  </si>
  <si>
    <t>ИП Кириллова Ирина Константиновна</t>
  </si>
  <si>
    <t>441504094373</t>
  </si>
  <si>
    <t>ИП4402031502</t>
  </si>
  <si>
    <t>ИП440203150200000</t>
  </si>
  <si>
    <t>156019 Костромская область город Кострома улица Петра Щербины дом 7   Пом №ПЩ.1.3.01, ПЩ.1.3.05</t>
  </si>
  <si>
    <t>ИП Балатов Александр Алексеевич</t>
  </si>
  <si>
    <t>441600277404</t>
  </si>
  <si>
    <t>ИП4402002103</t>
  </si>
  <si>
    <t>ИП440200210300000</t>
  </si>
  <si>
    <t>156000 Костромская область город Кострома Южная   ГК133</t>
  </si>
  <si>
    <t>ИП Блохина Марина Александровна</t>
  </si>
  <si>
    <t>441601713100</t>
  </si>
  <si>
    <t>ИП4402030734</t>
  </si>
  <si>
    <t>ИП440203073400000</t>
  </si>
  <si>
    <t>157000 Костромская область Кострома Свердлова 40 а  6</t>
  </si>
  <si>
    <t>ИП Афонин Сергей Геннадьевич</t>
  </si>
  <si>
    <t>441602293521</t>
  </si>
  <si>
    <t>ИП4402032604</t>
  </si>
  <si>
    <t>ИП440203260400000</t>
  </si>
  <si>
    <t>156019 Костромская область город Кострома улица Щербины Петра дом 6  литер А офис 8,9</t>
  </si>
  <si>
    <t>ИП Йылмаз Екатерина Евгеньевна</t>
  </si>
  <si>
    <t>441800497358</t>
  </si>
  <si>
    <t>ИП4402031128</t>
  </si>
  <si>
    <t>ИП440203112800000</t>
  </si>
  <si>
    <t>156019 Костромская область город Кострома улица Локомотивная дом 2ф   10</t>
  </si>
  <si>
    <t>ИП Кополовец Евгений Степанович</t>
  </si>
  <si>
    <t>441800516219</t>
  </si>
  <si>
    <t>ИП4402037605</t>
  </si>
  <si>
    <t>ИП440203760500000</t>
  </si>
  <si>
    <t>157780 Костромская область село Боговарово Советская 1</t>
  </si>
  <si>
    <t>ИП Верхорубова Валентина Петровна</t>
  </si>
  <si>
    <t>442000033790</t>
  </si>
  <si>
    <t>ИП4402031690</t>
  </si>
  <si>
    <t>ИП440203169000000</t>
  </si>
  <si>
    <t>157170 Костромская область город Солигалич улица Комсомольская дом 11</t>
  </si>
  <si>
    <t>ИП Ступина Ольга Николаевна</t>
  </si>
  <si>
    <t>442600464580</t>
  </si>
  <si>
    <t>ИП4402003882</t>
  </si>
  <si>
    <t>ИП440200388200000</t>
  </si>
  <si>
    <t>ИП Гусев Алексей Михайлович</t>
  </si>
  <si>
    <t>442700901995</t>
  </si>
  <si>
    <t>ИП4402037133</t>
  </si>
  <si>
    <t>ИП440203713300000</t>
  </si>
  <si>
    <t>156000 Костромская область город Кострома улица Советская дом 38</t>
  </si>
  <si>
    <t>ИП Ромашкина Марина Ивановна</t>
  </si>
  <si>
    <t>442900241626</t>
  </si>
  <si>
    <t>ИП4402007658</t>
  </si>
  <si>
    <t>ИП440200765800000</t>
  </si>
  <si>
    <t>157940 Костромская область поселок городского типа Красное-на-Волге улица Советская дом 52   пом. 12, 13</t>
  </si>
  <si>
    <t>ИП440200765800001</t>
  </si>
  <si>
    <t>156000 Костромская область город Кострома ряды Красные дом 1 пом. 4   пом. 16, 14</t>
  </si>
  <si>
    <t>ИП440200765800002</t>
  </si>
  <si>
    <t>156026 Костромская область город Кострома улица Льняная 7а</t>
  </si>
  <si>
    <t>ИП Воронова-Бурковская Инна Константиновна</t>
  </si>
  <si>
    <t>442900282164</t>
  </si>
  <si>
    <t>ИП4402009826</t>
  </si>
  <si>
    <t>ИП440200982600000</t>
  </si>
  <si>
    <t>156011 Костромская область город Кострома улица Магистральная дом 59   14 (210)</t>
  </si>
  <si>
    <t>ИП Гребенкина Ольга Васильевна</t>
  </si>
  <si>
    <t>442900791228</t>
  </si>
  <si>
    <t>ИП4402038998</t>
  </si>
  <si>
    <t>ИП440203899800000</t>
  </si>
  <si>
    <t>156901 Костромская область город Волгореченск территория Промзона квартал №35</t>
  </si>
  <si>
    <t>ООО ВЮЗ "РУССКОЕ СЕРЕБРО"</t>
  </si>
  <si>
    <t>4431003148</t>
  </si>
  <si>
    <t>ЮЛ4402005212</t>
  </si>
  <si>
    <t>ЮЛ440200521200000</t>
  </si>
  <si>
    <t>156901 Костромская область город Волгореченск улица Индустриальная дом 15 2 этаж  пом №28,31</t>
  </si>
  <si>
    <t>ИП Герасимова Альфида Фаузиевна</t>
  </si>
  <si>
    <t>443100339085</t>
  </si>
  <si>
    <t>ИП4402030751</t>
  </si>
  <si>
    <t>ИП440203075100000</t>
  </si>
  <si>
    <t>157940 Костромская область поселок городского типа Красное-на-Волге улица Советская дом 71а   Б2</t>
  </si>
  <si>
    <t>ИП Бакиров Алексей Константинович</t>
  </si>
  <si>
    <t>443101549737</t>
  </si>
  <si>
    <t>ИП4402007760</t>
  </si>
  <si>
    <t>ИП440200776000000</t>
  </si>
  <si>
    <t>157940 Костромская область поселок городского типа Красное-на-Волге улица Островского дом 14а   1</t>
  </si>
  <si>
    <t>ИП Тихомирова Полина Игоревна</t>
  </si>
  <si>
    <t>443700064650</t>
  </si>
  <si>
    <t>ИП4402014877</t>
  </si>
  <si>
    <t>ИП440201487700000</t>
  </si>
  <si>
    <t>156011 Костромская область город Кострома улица Магистральная дом 59   327</t>
  </si>
  <si>
    <t>ИП Емельянова Елена Борисовна</t>
  </si>
  <si>
    <t>444100176749</t>
  </si>
  <si>
    <t>ИП4402038031</t>
  </si>
  <si>
    <t>ИП440203803100000</t>
  </si>
  <si>
    <t>156000 Костромская область город Кострома ул. Комсомольская дом 4  а 5</t>
  </si>
  <si>
    <t>ИП Субботина Светлана Валерьевна</t>
  </si>
  <si>
    <t>444200286110</t>
  </si>
  <si>
    <t>ИП4402003218</t>
  </si>
  <si>
    <t>ИП440200321800000</t>
  </si>
  <si>
    <t>156005 Костромская область Кострома ряды Красные пом №1-4, 4а, 5-10, 12-24, 26</t>
  </si>
  <si>
    <t>ИП Цветкова Светлана Геннадьевна</t>
  </si>
  <si>
    <t>444200407460</t>
  </si>
  <si>
    <t>ИП4402032923</t>
  </si>
  <si>
    <t>ИП440203292300000</t>
  </si>
  <si>
    <t>156000 Костромская область город Кострома ряды Красные пом.№№ 1-4 4а  5-10, 12-24, 26</t>
  </si>
  <si>
    <t>ИП440203292300001</t>
  </si>
  <si>
    <t>157940 Костромская область поселок городского типа Красное-на-Волге улица Родниковая дом 11</t>
  </si>
  <si>
    <t>ИП Кададов Игорь Викторович</t>
  </si>
  <si>
    <t>444200449020</t>
  </si>
  <si>
    <t>ИП4402001550</t>
  </si>
  <si>
    <t>ИП440200155000000</t>
  </si>
  <si>
    <t>156000 Костромская область город Кострома улица Локомотивная дом 2  литера М</t>
  </si>
  <si>
    <t>ИП Курбанов Раджаб Армашович</t>
  </si>
  <si>
    <t>444300154679</t>
  </si>
  <si>
    <t>ИП4402001020</t>
  </si>
  <si>
    <t>ИП440200102000000</t>
  </si>
  <si>
    <t>156000 Костромская область город Кострома улица Береговая дом 45   помещение 4-6</t>
  </si>
  <si>
    <t>ИП Комаров Вадим Вячеславович</t>
  </si>
  <si>
    <t>444300398202</t>
  </si>
  <si>
    <t>ИП1606009274</t>
  </si>
  <si>
    <t>ИП160600927400000</t>
  </si>
  <si>
    <t>156004 Костромская область город Кострома улица Заречная дом 15</t>
  </si>
  <si>
    <t>ИП Кустов Евгений Валерьевич</t>
  </si>
  <si>
    <t>444400028766</t>
  </si>
  <si>
    <t>ИП4402000573</t>
  </si>
  <si>
    <t>ИП440200057300000</t>
  </si>
  <si>
    <t>156019 Костромская область город Кострома улица Деминская дом 4   помещение 7</t>
  </si>
  <si>
    <t>ИП Денисенко Олег Сергеевич</t>
  </si>
  <si>
    <t>444400203601</t>
  </si>
  <si>
    <t>ИП4402001457</t>
  </si>
  <si>
    <t>ИП440200145700000</t>
  </si>
  <si>
    <t>156001 Костромская область город Кострома улица Московская дом 51/2</t>
  </si>
  <si>
    <t>ИП Синяков Сергей Владимирович</t>
  </si>
  <si>
    <t>444400227063</t>
  </si>
  <si>
    <t>ИП4402001361</t>
  </si>
  <si>
    <t>ИП440200136100000</t>
  </si>
  <si>
    <t>156019 Костромская область город Кострома улица Деминская дом 2Б</t>
  </si>
  <si>
    <t>ООО "ГИАЛИТ"</t>
  </si>
  <si>
    <t>4444002656</t>
  </si>
  <si>
    <t>ЮЛ4402000365</t>
  </si>
  <si>
    <t>ЮЛ440200036500000</t>
  </si>
  <si>
    <t>157940 Костромская область поселок городского типа Красное-на-Волге улица Октябрьская дом 31</t>
  </si>
  <si>
    <t>ИП Сининкин Владислав Андреевич</t>
  </si>
  <si>
    <t>500917780203</t>
  </si>
  <si>
    <t>ИП5001040851</t>
  </si>
  <si>
    <t>ИП500104085100000</t>
  </si>
  <si>
    <t>156022 Костромская область город Кострома улица Магистральная дом 20</t>
  </si>
  <si>
    <t>ИП500100445500045</t>
  </si>
  <si>
    <t>156008 Костромская область город Кострома улица Энергетиков дом 3  литера И</t>
  </si>
  <si>
    <t>ИП Денисова Елена Алексеевна</t>
  </si>
  <si>
    <t>501809831195</t>
  </si>
  <si>
    <t>ИП5001040109</t>
  </si>
  <si>
    <t>ИП500104010900000</t>
  </si>
  <si>
    <t>156019 Костромская область город Кострома улица Петра Щербины дом 4Б   2 этаж, помещения № 219, 3 этаж помещения  № 320, 321, 322, 323, 324 .</t>
  </si>
  <si>
    <t>ИП Пирогов Владимир Владимирович</t>
  </si>
  <si>
    <t>505303050170</t>
  </si>
  <si>
    <t>ИП5001008022</t>
  </si>
  <si>
    <t>ИП500100802200000</t>
  </si>
  <si>
    <t>АО "ЛЮМЬЕР"</t>
  </si>
  <si>
    <t>5473021550</t>
  </si>
  <si>
    <t>ЮЛ5408039964</t>
  </si>
  <si>
    <t>ЮЛ540803996400001</t>
  </si>
  <si>
    <t>156019 Костромская область город Кострома УЛИЦА ИНДУСТРИАЛЬНАЯ ДОМ 50/2  ПОМЕЩЕНИЯ I-13012, ЭТАЖ №2</t>
  </si>
  <si>
    <t>ООО "ЮВЕЛИР ТРЕЙД"</t>
  </si>
  <si>
    <t>5504140694</t>
  </si>
  <si>
    <t>ЮЛ5508011218</t>
  </si>
  <si>
    <t>ЮЛ550801121800003</t>
  </si>
  <si>
    <t>156019 Костромская область город Кострома улица Локомотивная дом 2  С, С1</t>
  </si>
  <si>
    <t>ИП Виноградов Николай Сергеевич</t>
  </si>
  <si>
    <t>550620059627</t>
  </si>
  <si>
    <t>ИП4402014748</t>
  </si>
  <si>
    <t>ИП440201474800000</t>
  </si>
  <si>
    <t>156016 Костромская область город Кострома микрорайон Давыдовский-3 дом 28   помещение 57</t>
  </si>
  <si>
    <t>ООО "ЛОМБАРД ТИТАН"</t>
  </si>
  <si>
    <t>6319262650</t>
  </si>
  <si>
    <t>ЮЛ6306037282</t>
  </si>
  <si>
    <t>ЮЛ630603728200000</t>
  </si>
  <si>
    <t>156029 Костромская область город Кострома улица Советская дом 121/5   помещение 96</t>
  </si>
  <si>
    <t>ЮЛ630603728200001</t>
  </si>
  <si>
    <t>156007 Костромская область город Кострома улица Ленина дом 82   помещение 36</t>
  </si>
  <si>
    <t>ЮЛ630603728200002</t>
  </si>
  <si>
    <t>156019 Костромская область город Кострома улица Щербины Петра дом 7   пом. №ПЩ. 1.2.05</t>
  </si>
  <si>
    <t>ИП Ильясов Кирилл Насибуллович</t>
  </si>
  <si>
    <t>641097509843</t>
  </si>
  <si>
    <t>ИП4402039269</t>
  </si>
  <si>
    <t>ИП440203926900000</t>
  </si>
  <si>
    <t>156019 Костромская область город Кострома улица Деминская дом 2а</t>
  </si>
  <si>
    <t>ООО "ПРЕЦИОЗО"</t>
  </si>
  <si>
    <t>6686133161</t>
  </si>
  <si>
    <t>ЮЛ6607001861</t>
  </si>
  <si>
    <t>ЮЛ660700186100000</t>
  </si>
  <si>
    <t>156019 Костромская область город Кострома ул. Индустриальная дом 50/2   этаж 1, помещение №7</t>
  </si>
  <si>
    <t>ИП Дорохов Александр Александрович</t>
  </si>
  <si>
    <t>682706295156</t>
  </si>
  <si>
    <t>ИП5001017879</t>
  </si>
  <si>
    <t>ИП500101787900000</t>
  </si>
  <si>
    <t>156001 Костромская область город Кострома улица Московская дом 105  Литера С1 комнаты 1-7, 9-13, 17-25, 28-34</t>
  </si>
  <si>
    <t>ООО "ОРИОН"</t>
  </si>
  <si>
    <t>7604336528</t>
  </si>
  <si>
    <t>ЮЛ7602001316</t>
  </si>
  <si>
    <t>ЮЛ760200131600000</t>
  </si>
  <si>
    <t>156019 Костромская область город Кострома улица Щербины Петра дом 4 Б  Б №317,318</t>
  </si>
  <si>
    <t>ИП Ефимов Сергей Владимирович</t>
  </si>
  <si>
    <t>760602159204</t>
  </si>
  <si>
    <t>ИП4402030984</t>
  </si>
  <si>
    <t>ИП440203098400000</t>
  </si>
  <si>
    <t>156019 Костромская область город Кострома улица Щербины Петра дом 2   помещение 33, 35</t>
  </si>
  <si>
    <t>ИП Кравчук Анна Олеговна</t>
  </si>
  <si>
    <t>761025337012</t>
  </si>
  <si>
    <t>ИП4402034247</t>
  </si>
  <si>
    <t>ИП440203424700000</t>
  </si>
  <si>
    <t>157940 Костромская область поселок городского типа Красное-на-Волге улица Советская дом 49</t>
  </si>
  <si>
    <t>ИП770100417900013</t>
  </si>
  <si>
    <t>157501 Костромская область город Шарья улица Промышленная дом 9а корпус 1</t>
  </si>
  <si>
    <t>ИП770100417900017</t>
  </si>
  <si>
    <t>156019 Костромская область поселок Караваево шоссе Красносельское дом 1   помещение №1 на 1 этаже</t>
  </si>
  <si>
    <t>ИП770100417900028</t>
  </si>
  <si>
    <t>156002 Костромская область город Кострома улица Ткачей дом 7   помещение 18</t>
  </si>
  <si>
    <t>ИП770100417900043</t>
  </si>
  <si>
    <t>156019 Костромская область поселок Караваево шоссе Красносельское дом 1   помещение 1, комната 46, этаж 1</t>
  </si>
  <si>
    <t>ЮЛ770101216600110</t>
  </si>
  <si>
    <t>157940 Костромская область поселок городского типа Красное-на-Волге проспект Ювелиров дом 37  Литер А6А12 помещение 70, этаж 3</t>
  </si>
  <si>
    <t>ЮЛ770101216600327</t>
  </si>
  <si>
    <t>156022 Костромская область город Кострома улица Магистральная дом 20   этаж 2,  чать нежилого помещения №1-87 (№А20а)</t>
  </si>
  <si>
    <t>ЮЛ770101216600380</t>
  </si>
  <si>
    <t>156016 Костромская область город Кострома микрорайон Давыдовский-3 дом 32   1 этаж, нежилое помещение № А4</t>
  </si>
  <si>
    <t>ЮЛ770101216600759</t>
  </si>
  <si>
    <t>157501 Костромская область город Шарья улица Промышленная дом 9А корпус 1  1 этаж, нежилое помещение №99</t>
  </si>
  <si>
    <t>ЮЛ770101216600865</t>
  </si>
  <si>
    <t>157940 Костромская область поселок городского типа Красное-на-Волге улица Советская дом 59   1 этаж, помещение №6 нежилого помещения №1</t>
  </si>
  <si>
    <t>ЮЛ770101216600892</t>
  </si>
  <si>
    <t>156019 Костромская область город Кострома улица Зеленая дом 3   1 этаж, нежилое помещение № 53</t>
  </si>
  <si>
    <t>ЮЛ770101216600893</t>
  </si>
  <si>
    <t>157940 Костромская область поселок городского типа Красное-на-Волге проспект Ювелиров дом 37  Литер А6, А12 помещение 54 ,55, 56</t>
  </si>
  <si>
    <t>ЮЛ770100167700001</t>
  </si>
  <si>
    <t>157940 Костромская область поселок городского типа Красное-на-Волге улица Советская дом 59   помещение  6</t>
  </si>
  <si>
    <t>ЮЛ770100167700002</t>
  </si>
  <si>
    <t>156019 Костромская область город Кострома улица Зеленая дом 3   этаж 1, нежилое помещение №53</t>
  </si>
  <si>
    <t>ЮЛ770100167700005</t>
  </si>
  <si>
    <t>157940 Костромская область посёлок городского типа Красное-на-Волге улица Советская дом 53Б</t>
  </si>
  <si>
    <t>ИП ИВАНОВА Н. Н.</t>
  </si>
  <si>
    <t>772021950924</t>
  </si>
  <si>
    <t>ИП7701036647</t>
  </si>
  <si>
    <t>ИП770103664700000</t>
  </si>
  <si>
    <t>156019 Костромская область город Кострома улица Щербины Петра дом 23  литер О помещение 3 комната 29,часть помещения 23</t>
  </si>
  <si>
    <t>ИП Егоров Фёдор Дмитриевич</t>
  </si>
  <si>
    <t>772705517500</t>
  </si>
  <si>
    <t>ИП7701031782</t>
  </si>
  <si>
    <t>ИП770103178200000</t>
  </si>
  <si>
    <t>156000 Костромская область город Кострома улица Симановского дом 5в   торговый павильон №3</t>
  </si>
  <si>
    <t>ИП770103178200004</t>
  </si>
  <si>
    <t>ИП770103178200007</t>
  </si>
  <si>
    <t>156019 Костромская область поселок Караваево шоссе Красносельское дом 1</t>
  </si>
  <si>
    <t>ИП770103178200009</t>
  </si>
  <si>
    <t>156000 Костромская область город Кострома улица Советская дом 7   помещение 36</t>
  </si>
  <si>
    <t>ИП770103178200011</t>
  </si>
  <si>
    <t>156005 Костромская область город Кострома улица Юношеская дом 1   этаж 11, помещение № 2</t>
  </si>
  <si>
    <t>ООО "ЗОЛОТАЯ ЖИЗНЬ"</t>
  </si>
  <si>
    <t>7731421840</t>
  </si>
  <si>
    <t>ЮЛ7701002734</t>
  </si>
  <si>
    <t>ЮЛ770100273400053</t>
  </si>
  <si>
    <t>156013 Костромская область город Кострома проспект Мира дом 116 помещение 2,3</t>
  </si>
  <si>
    <t>ИП Захаров Геннадий Владимирович</t>
  </si>
  <si>
    <t>773272578693</t>
  </si>
  <si>
    <t>ИП4402000805</t>
  </si>
  <si>
    <t>ИП440200080500000</t>
  </si>
  <si>
    <t>156019 Костромская область город Кострома улица Петра Щербины дом 9   помещение 1</t>
  </si>
  <si>
    <t>ООО "ЮИ-ТРЕЙД"</t>
  </si>
  <si>
    <t>7802669141</t>
  </si>
  <si>
    <t>ЮЛ7803012327</t>
  </si>
  <si>
    <t>ЮЛ780301232700001</t>
  </si>
  <si>
    <t>156022 Костромская область город Кострома улица Магистральная дом 20   помещение 1-1 (К14)</t>
  </si>
  <si>
    <t>ЮЛ780300308200283</t>
  </si>
  <si>
    <t>156530 Костромская область поселок Караваево шоссе Красносельское дом 1</t>
  </si>
  <si>
    <t>ЮЛ780300308201115</t>
  </si>
  <si>
    <t>156002 Костромская область город Кострома улица Ткачей дом 7   нежилое помещение № 25</t>
  </si>
  <si>
    <t>ЮЛ780300308201145</t>
  </si>
  <si>
    <t>156530 Костромская область поселок Караваево шоссе Красносельское дом 1   помещение № 1 (комнаты №2-1, 2-2),</t>
  </si>
  <si>
    <t>ЮЛ780301261200043</t>
  </si>
  <si>
    <t>156022 Костромская область город Кострома улица Магистральная дом 20   помещение К12, 2 этаж, часть нежилого помещения 1-1</t>
  </si>
  <si>
    <t>ЮЛ780301261200069</t>
  </si>
  <si>
    <t>156001 Костромская область город Кострома улица Городская дом 1а</t>
  </si>
  <si>
    <t>ЮЛ770100029500001</t>
  </si>
  <si>
    <t>Краснодарский край</t>
  </si>
  <si>
    <t>354003 Краснодарский край город Сочи улица Макаренко дом 48   помещение 2</t>
  </si>
  <si>
    <t>ООО "ЛОМБАРД "КАРМАН"</t>
  </si>
  <si>
    <t>100006246</t>
  </si>
  <si>
    <t>ЮЛ0104035381</t>
  </si>
  <si>
    <t>ЮЛ010403538100008</t>
  </si>
  <si>
    <t>354375 Краснодарский край город Сочи улица Урожайная дом 110/1   помещения 3 и 4</t>
  </si>
  <si>
    <t>ЮЛ010403538100009</t>
  </si>
  <si>
    <t>352690 Краснодарский край город Апшеронск улица Ворошилова дом 30   помещение № 2</t>
  </si>
  <si>
    <t>ЮЛ010403538100010</t>
  </si>
  <si>
    <t>354340 Краснодарский край город Сочи улица Ромашек дом 42А   помещение № 3</t>
  </si>
  <si>
    <t>ЮЛ010403538100011</t>
  </si>
  <si>
    <t>350049 Краснодарский край город Краснодар улица им. Тургенева дом 112   помещение 87, 89-90</t>
  </si>
  <si>
    <t>ЮЛ010403538100012</t>
  </si>
  <si>
    <t>354340 Краснодарский край город Сочи улица Ленина/Демократическая  (у подземного перехода)</t>
  </si>
  <si>
    <t>ЮЛ010403538100013</t>
  </si>
  <si>
    <t>352800 Краснодарский край город Туапсе улица К. Маркса дом 20/13   помещение 2</t>
  </si>
  <si>
    <t>ЮЛ010403538100015</t>
  </si>
  <si>
    <t>350024 Краснодарский край город Краснодар улица Гомельская дом 3/1   помещение № 2</t>
  </si>
  <si>
    <t>ЮЛ010403538100016</t>
  </si>
  <si>
    <t>350087 Краснодарский край город Краснодар улица им. Евгении Жигуленко дом 4   кв. 193, помещение 2</t>
  </si>
  <si>
    <t>ЮЛ010403538100017</t>
  </si>
  <si>
    <t>354057 Краснодарский край город Сочи улица Чебрикова дом 7   помещение 2</t>
  </si>
  <si>
    <t>ЮЛ010403538100018</t>
  </si>
  <si>
    <t>350000 Краснодарский край город Краснодар улица Карасунская дом 86   помещение 2</t>
  </si>
  <si>
    <t>ЮЛ010403538100020</t>
  </si>
  <si>
    <t>354065 Краснодарский край город Сочи улица Гагарина дом 8   помещения 1-5</t>
  </si>
  <si>
    <t>ЮЛ010403538100021</t>
  </si>
  <si>
    <t>354200 Краснодарский край город Сочи улица Павлова дом 50/1</t>
  </si>
  <si>
    <t>ЮЛ010403538100022</t>
  </si>
  <si>
    <t>354207 Краснодарский край город Сочи улица Армавирская дом 77   помещение 2</t>
  </si>
  <si>
    <t>ЮЛ010403538100023</t>
  </si>
  <si>
    <t>354000 Краснодарский край город Сочи улица Северная дом 3   помещение 1</t>
  </si>
  <si>
    <t>ЮЛ010403538100024</t>
  </si>
  <si>
    <t>354066 Краснодарский край город Сочи улица Сухумское шоссе дом 50/2   помещение 2</t>
  </si>
  <si>
    <t>ЮЛ010403538100025</t>
  </si>
  <si>
    <t>354003 Краснодарский край город Сочи улица Труда дом 1/3   помещение 1</t>
  </si>
  <si>
    <t>ЮЛ010403538100026</t>
  </si>
  <si>
    <t>354068 Краснодарский край город Сочи улица Донская дом 27   помещения 46, 47/1 и 47/2</t>
  </si>
  <si>
    <t>ЮЛ010403538100027</t>
  </si>
  <si>
    <t>350080 Краснодарский край город Краснодар улица им. Тюляева дом 37/1   помещение 3173</t>
  </si>
  <si>
    <t>ЮЛ010403538100029</t>
  </si>
  <si>
    <t>354000 Краснодарский край город Сочи улица Московская дом 18   помещение 2</t>
  </si>
  <si>
    <t>ЮЛ010403538100030</t>
  </si>
  <si>
    <t>350058 Краснодарский край город Краснодар улица Ставропольская дом 185   помещения 75 и 77</t>
  </si>
  <si>
    <t>ЮЛ010403538100032</t>
  </si>
  <si>
    <t>354068 Краснодарский край город Сочи улица Донская дом 84   помещение 62</t>
  </si>
  <si>
    <t>ЮЛ010403538100033</t>
  </si>
  <si>
    <t>350061 Краснодарский край город Краснодар улица Трудовой Славы дом 9/1  литера г</t>
  </si>
  <si>
    <t>ЮЛ010403538100034</t>
  </si>
  <si>
    <t>350901 Краснодарский край город Краснодар улица 1-го Мая уч. 97/3   павильон 2</t>
  </si>
  <si>
    <t>ЮЛ010403538100035</t>
  </si>
  <si>
    <t>354065 Краснодарский край город Сочи улица Красноармейская дом 3   помещение 4</t>
  </si>
  <si>
    <t>ЮЛ010403538100036</t>
  </si>
  <si>
    <t>353100 Краснодарский край станица Выселки улица Дзержинского дом 68 - 7,8 -</t>
  </si>
  <si>
    <t>ИП Захарова Нина Ивановна</t>
  </si>
  <si>
    <t>10500388518</t>
  </si>
  <si>
    <t>ИП0104006261</t>
  </si>
  <si>
    <t>ИП010400626100001</t>
  </si>
  <si>
    <t>352630 Краснодарский край город Белореченск улица Интернациональная дом 18 - - 53</t>
  </si>
  <si>
    <t>ИП010400626100003</t>
  </si>
  <si>
    <t>352690 Краснодарский край город Апшеронск улица Ворошилова дом 24 - - -</t>
  </si>
  <si>
    <t>ИП010400626100004</t>
  </si>
  <si>
    <t>352680 Краснодарский край город Хадыженск улица Колхозная дом 3А - - -</t>
  </si>
  <si>
    <t>ИП010400626100005</t>
  </si>
  <si>
    <t>352290 Краснодарский край станица Отрадная улица Широкая дом 9А - - пом. 28</t>
  </si>
  <si>
    <t>ИП010400626100006</t>
  </si>
  <si>
    <t>353860 Краснодарский край город Приморско-Ахтарск улица Пролетарская дом 95 нет нет квартира 1</t>
  </si>
  <si>
    <t>ИП Потатня Василий Иванович</t>
  </si>
  <si>
    <t>10707101970</t>
  </si>
  <si>
    <t>ИП0104000035</t>
  </si>
  <si>
    <t>ИП010400003500001</t>
  </si>
  <si>
    <t>354068 Краснодарский край город Сочи улица Новая заря дом 7</t>
  </si>
  <si>
    <t>ИП Птахин Иван Владимирович</t>
  </si>
  <si>
    <t>26305284671</t>
  </si>
  <si>
    <t>ИП7803012912</t>
  </si>
  <si>
    <t>ИП780301291200001</t>
  </si>
  <si>
    <t>354068 Краснодарский край город Сочи улица Новая заря дом 7   683</t>
  </si>
  <si>
    <t>ИП Абдурашитов Руслан Зинатуллович</t>
  </si>
  <si>
    <t>26822821973</t>
  </si>
  <si>
    <t>ИП0206009066</t>
  </si>
  <si>
    <t>ИП020600906600005</t>
  </si>
  <si>
    <t>350000 Краснодарский край город Краснодар улица им. Володи Головатого дом 313</t>
  </si>
  <si>
    <t>ИП020600906600006</t>
  </si>
  <si>
    <t>350010 Краснодарский край город Краснодар улица Рашпилевская дом 238  литера б помещение 14, 14/1</t>
  </si>
  <si>
    <t>ИП Миркасимов Марат Мирахатович</t>
  </si>
  <si>
    <t>27622059069</t>
  </si>
  <si>
    <t>ИП2304033450</t>
  </si>
  <si>
    <t>ИП230403345000000</t>
  </si>
  <si>
    <t>350000 Краснодарский край город Краснодар улица им. Володи Головатого дом 313   62/2,62/7</t>
  </si>
  <si>
    <t>ООО "РУСЛАНДИАМАНТ"</t>
  </si>
  <si>
    <t>278970450</t>
  </si>
  <si>
    <t>ЮЛ0206000271</t>
  </si>
  <si>
    <t>ЮЛ020600027100005</t>
  </si>
  <si>
    <t>354068 Краснодарский край город Сочи улица Новая заря дом 7   683,683А</t>
  </si>
  <si>
    <t>ЮЛ020600027100006</t>
  </si>
  <si>
    <t>350031 Краснодарский край Краснодар улица 2-я целиноградская дом 15 - -</t>
  </si>
  <si>
    <t>ИП Магомедов Руслан Магомедович</t>
  </si>
  <si>
    <t>53600040884</t>
  </si>
  <si>
    <t>ИП2304001169</t>
  </si>
  <si>
    <t>ИП230400116900000</t>
  </si>
  <si>
    <t>350022 Краснодарский край город Краснодар улица Боспорская дом 2   помещение 8-10, 10/1</t>
  </si>
  <si>
    <t>ИП Каймаразов Дауд Гаджиабдуллаевич</t>
  </si>
  <si>
    <t>56210220206</t>
  </si>
  <si>
    <t>ИП0505011692</t>
  </si>
  <si>
    <t>ИП050501169200000</t>
  </si>
  <si>
    <t>350000 Краснодарский край город Краснодар  улица Коммунаров дом 67</t>
  </si>
  <si>
    <t>ИП Татаршао Фатима Азретовна</t>
  </si>
  <si>
    <t>90104576741</t>
  </si>
  <si>
    <t>ИП2304009843</t>
  </si>
  <si>
    <t>ИП230400984300000</t>
  </si>
  <si>
    <t>353730 Краснодарский край станица Каневская улица Черноморская дом 23</t>
  </si>
  <si>
    <t>ИП Киреева Диана Шакроевна</t>
  </si>
  <si>
    <t>100125177849</t>
  </si>
  <si>
    <t>ИП2304037967</t>
  </si>
  <si>
    <t>ИП230403796700000</t>
  </si>
  <si>
    <t>354000 Краснодарский край город Сочи проспект Курортный дом 73   офис 202</t>
  </si>
  <si>
    <t>ИП Самойлова Ирина Сергеевна</t>
  </si>
  <si>
    <t>150601623861</t>
  </si>
  <si>
    <t>ИП1505008539</t>
  </si>
  <si>
    <t>ИП150500853900000</t>
  </si>
  <si>
    <t>354000 Краснодарский край город Сочи улица Несебрская дом 1А</t>
  </si>
  <si>
    <t>ИП150500853900001</t>
  </si>
  <si>
    <t>354002 Краснодарский край город Сочи улица Черноморская дом 3</t>
  </si>
  <si>
    <t>ИП150500853900002</t>
  </si>
  <si>
    <t>354392 Краснодарский край город Сочи набережная Времена года дом 1</t>
  </si>
  <si>
    <t>ИП150500853900003</t>
  </si>
  <si>
    <t>ИП150500853900004</t>
  </si>
  <si>
    <t>350019 Краснодарский край город Краснодар улица им. Дзержинского дом 100</t>
  </si>
  <si>
    <t>ИП150500853900006</t>
  </si>
  <si>
    <t>354392 Краснодарский край город Сочи набережная Лаванда дом 2</t>
  </si>
  <si>
    <t>ИП150500853900007</t>
  </si>
  <si>
    <t>354340 Краснодарский край поселок городского типа Сириус улица Голубая дом 1А</t>
  </si>
  <si>
    <t>ИП150500853900008</t>
  </si>
  <si>
    <t>350007 Краснодарский край город Краснодар улица Индустриальная дом 2</t>
  </si>
  <si>
    <t>ИП150500853900010</t>
  </si>
  <si>
    <t>350007 Краснодарский край город Краснодар улица Индустриальная дом 2   13</t>
  </si>
  <si>
    <t>ИП Курбанова Лина Анатольевна</t>
  </si>
  <si>
    <t>166105229110</t>
  </si>
  <si>
    <t>ИП1606031569</t>
  </si>
  <si>
    <t>ИП160603156900012</t>
  </si>
  <si>
    <t>353380 Краснодарский край город Крымск улица Демьяна Бедного дом 8</t>
  </si>
  <si>
    <t>ИП Гертер Наталья Александровна</t>
  </si>
  <si>
    <t>220121644801</t>
  </si>
  <si>
    <t>ИП5408032783</t>
  </si>
  <si>
    <t>ИП540803278300000</t>
  </si>
  <si>
    <t>353440 Краснодарский край город Анапа улица Астраханская дом 6</t>
  </si>
  <si>
    <t>ИП Антропов Алексей Михайлович</t>
  </si>
  <si>
    <t>230101280479</t>
  </si>
  <si>
    <t>ИП2304009045</t>
  </si>
  <si>
    <t>ИП230400904500000</t>
  </si>
  <si>
    <t>353445 Краснодарский край город Анапа улица Красноармейская дом 1е   павильон-магазин №23</t>
  </si>
  <si>
    <t>ИП230400904500002</t>
  </si>
  <si>
    <t>353440 Краснодарский край город Анапа улица Астраханская дом 75</t>
  </si>
  <si>
    <t>ИП Карпушова Елена Сергеевна</t>
  </si>
  <si>
    <t>230105398190</t>
  </si>
  <si>
    <t>ИП2304018051</t>
  </si>
  <si>
    <t>ИП230401805100000</t>
  </si>
  <si>
    <t>353440 Краснодарский край город Анапа улица Красноармейская дом 13А   помещение № 1</t>
  </si>
  <si>
    <t>ИП Вартапетян Карине Георгиевна</t>
  </si>
  <si>
    <t>230107544537</t>
  </si>
  <si>
    <t>ИП2304003195</t>
  </si>
  <si>
    <t>ИП230400319500000</t>
  </si>
  <si>
    <t>353440 Краснодарский край город Анапа улица Крепостная дом 68   1 этаж</t>
  </si>
  <si>
    <t>ИП Николаев Александр Викторович</t>
  </si>
  <si>
    <t>230112885973</t>
  </si>
  <si>
    <t>ИП2304038650</t>
  </si>
  <si>
    <t>ИП230403865000000</t>
  </si>
  <si>
    <t>352905 Краснодарский край город Армавир улица Тургенева дом 140</t>
  </si>
  <si>
    <t>ИП Мирошникова Наталья Александровна</t>
  </si>
  <si>
    <t>230200682450</t>
  </si>
  <si>
    <t>ИП2304009695</t>
  </si>
  <si>
    <t>ИП230400969500000</t>
  </si>
  <si>
    <t>352900 Краснодарский край город Армавир улица Кирова дом 49</t>
  </si>
  <si>
    <t>ООО "ФАВОРИТ НЭЛ"</t>
  </si>
  <si>
    <t>2302010986</t>
  </si>
  <si>
    <t>ЮЛ2304006675</t>
  </si>
  <si>
    <t>ЮЛ230400667500000</t>
  </si>
  <si>
    <t>352120 Краснодарский край город Тихорецк улица Октябрьская дом 14/8</t>
  </si>
  <si>
    <t>ЮЛ230400667500002</t>
  </si>
  <si>
    <t>352900 Краснодарский край город Армавир улица Кирова дом 49А</t>
  </si>
  <si>
    <t>ЮЛ230400667500003</t>
  </si>
  <si>
    <t>352900 Краснодарский край город Армавир улица Кирова дом 56  А помещение 107</t>
  </si>
  <si>
    <t>ЮЛ230400667500005</t>
  </si>
  <si>
    <t>350019 Краснодарский край город Краснодар улица им. Дзержинского дом 100  Т помещение  69</t>
  </si>
  <si>
    <t>ЮЛ230400667500006</t>
  </si>
  <si>
    <t>352924 Краснодарский край город Армавир улица Новороссийская дом 129</t>
  </si>
  <si>
    <t>ИП Шматько Виктор Владимирович</t>
  </si>
  <si>
    <t>230202384019</t>
  </si>
  <si>
    <t>ИП2304002767</t>
  </si>
  <si>
    <t>ИП230400276700000</t>
  </si>
  <si>
    <t>352931 Краснодарский край город Армавир улица Ефремова дом 136   квартира 14</t>
  </si>
  <si>
    <t>ООО "ЛОМБАРД АРГУМЕНТЪ ИНВЕСТ"</t>
  </si>
  <si>
    <t>2302064029</t>
  </si>
  <si>
    <t>ЮЛ2304012613</t>
  </si>
  <si>
    <t>ЮЛ230401261300000</t>
  </si>
  <si>
    <t>352900 Краснодарский край город Армавир улица Кирова дом 49-49а   92-94,96,108</t>
  </si>
  <si>
    <t>ИП Карабахцян Алина Александровна</t>
  </si>
  <si>
    <t>230213458150</t>
  </si>
  <si>
    <t>ИП2304031591</t>
  </si>
  <si>
    <t>ИП230403159100000</t>
  </si>
  <si>
    <t>353460 Краснодарский край город Геленджик улица Первомайская дом 16 помещение 1</t>
  </si>
  <si>
    <t>ИП Спиро Иван Федорович</t>
  </si>
  <si>
    <t>230400777847</t>
  </si>
  <si>
    <t>ИП2304001776</t>
  </si>
  <si>
    <t>ИП230400177600000</t>
  </si>
  <si>
    <t>353460 Краснодарский край город Геленджик улица Островского дом 16</t>
  </si>
  <si>
    <t>ООО "АГАТ"</t>
  </si>
  <si>
    <t>2304032336</t>
  </si>
  <si>
    <t>ЮЛ2304014005</t>
  </si>
  <si>
    <t>ЮЛ230401400500000</t>
  </si>
  <si>
    <t>353460 Краснодарский край город Геленджик улица Горького дом 17  Литер И</t>
  </si>
  <si>
    <t>ИП Бурло Евгения Анатольевна</t>
  </si>
  <si>
    <t>230404375578</t>
  </si>
  <si>
    <t>ИП2304016095</t>
  </si>
  <si>
    <t>ИП230401609500000</t>
  </si>
  <si>
    <t>353460 Краснодарский край город Геленджик улица Ленина дом 1  Литер А помещение 31</t>
  </si>
  <si>
    <t>ИП230401609500002</t>
  </si>
  <si>
    <t>353475 Краснодарский край город Геленджик улица Островского дом 164в</t>
  </si>
  <si>
    <t>ИП Кешишянц Гайк Рафаэльевич</t>
  </si>
  <si>
    <t>230408266731</t>
  </si>
  <si>
    <t>ИП2304008972</t>
  </si>
  <si>
    <t>ИП230400897200000</t>
  </si>
  <si>
    <t>353460 Краснодарский край город Геленджик Херсонская 35</t>
  </si>
  <si>
    <t>ИП230403317100001</t>
  </si>
  <si>
    <t>353292 Краснодарский край город Горячий Ключ улица Ленина дом 2</t>
  </si>
  <si>
    <t>ИП Расторгуев В.П.</t>
  </si>
  <si>
    <t>230501286147</t>
  </si>
  <si>
    <t>ИП2304018313</t>
  </si>
  <si>
    <t>ИП230401831300000</t>
  </si>
  <si>
    <t>353292 Краснодарский край город Горячий Ключ улица Урусова дом 65   торговый павильон 19</t>
  </si>
  <si>
    <t>ИП Прокопук Людмила Валентиновна</t>
  </si>
  <si>
    <t>230502550980</t>
  </si>
  <si>
    <t>ИП2304002811</t>
  </si>
  <si>
    <t>ИП230400281100000</t>
  </si>
  <si>
    <t>353290 Краснодарский край город Горячий Ключ улица Ленина дом 187  Литер А</t>
  </si>
  <si>
    <t>ИП230400281100001</t>
  </si>
  <si>
    <t>353680 Краснодарский край город Ейск улица Свердлова/К.Либкнехта дом 87/39</t>
  </si>
  <si>
    <t>ИП Стариков Борис Николаевич</t>
  </si>
  <si>
    <t>230600343558</t>
  </si>
  <si>
    <t>ИП2304007723</t>
  </si>
  <si>
    <t>ИП230400772300000</t>
  </si>
  <si>
    <t>353620 Краснодарский край станица Старощербиновская улица Первомайская дом 149   1-6,15-18,26</t>
  </si>
  <si>
    <t>ИП Ляшенко Владимир Владимирович</t>
  </si>
  <si>
    <t>230600344505</t>
  </si>
  <si>
    <t>ИП2304012286</t>
  </si>
  <si>
    <t>ИП230401228600000</t>
  </si>
  <si>
    <t>352630 Краснодарский край город Белореченск улица Мира дом 75   помещение 13</t>
  </si>
  <si>
    <t>ИП610400007100000</t>
  </si>
  <si>
    <t>352040 Краснодарский край станица Павловская улица Горького дом 285   помещение 16</t>
  </si>
  <si>
    <t>ИП610400007100008</t>
  </si>
  <si>
    <t>352040 Краснодарский край станица Павловская улица Крупской дом 235</t>
  </si>
  <si>
    <t>ИП610400007100010</t>
  </si>
  <si>
    <t>353180 Краснодарский край город Кореновск улица Красная дом 130</t>
  </si>
  <si>
    <t>ИП610400007100012</t>
  </si>
  <si>
    <t>353740 Краснодарский край станица Ленинградская переулок Базарный дом 23</t>
  </si>
  <si>
    <t>ИП610400007100013</t>
  </si>
  <si>
    <t>352120 Краснодарский край город Тихорецк улица Калинина/Энгельса дом 37/95   комната 4,10,11,12</t>
  </si>
  <si>
    <t>ИП610400007100027</t>
  </si>
  <si>
    <t>353730 Краснодарский край станица Каневская улица Герцена дом 93</t>
  </si>
  <si>
    <t>ИП610400007100028</t>
  </si>
  <si>
    <t>352708 Краснодарский край город Тимашевск улица Братская дом 153а</t>
  </si>
  <si>
    <t>ИП610400007100035</t>
  </si>
  <si>
    <t>353993 Краснодарский край город Новороссийск улица Бирюзова дом 3  литер Б1 помещение VI</t>
  </si>
  <si>
    <t>ИП610400007100042</t>
  </si>
  <si>
    <t>352190 Краснодарский край город Гулькевичи улица Комсомольская дом 101   квартира 3</t>
  </si>
  <si>
    <t>ИП610400007100045</t>
  </si>
  <si>
    <t>352240 Краснодарский край город Новокубанск улица Первомайская дом 179/2   помещение 5</t>
  </si>
  <si>
    <t>ИП610400007100046</t>
  </si>
  <si>
    <t>352120 Краснодарский край город Тихорецк улица Энгельса дом 83</t>
  </si>
  <si>
    <t>ИП610400007100049</t>
  </si>
  <si>
    <t>353680 Краснодарский край город Ейск улица Ленина дом 59  литера "Б-3" ком.№5, ком.№7, ком.№8,ком.№9.</t>
  </si>
  <si>
    <t>ИП Осипова Галина Владимировна</t>
  </si>
  <si>
    <t>230601181324</t>
  </si>
  <si>
    <t>ИП2304007058</t>
  </si>
  <si>
    <t>ИП230400705800000</t>
  </si>
  <si>
    <t>353680 Краснодарский край город Ейск ул. Энгельса 62 угол ул. Свердлова 102    помещение 7</t>
  </si>
  <si>
    <t>ИП Рогалев Валерий Вениаминович</t>
  </si>
  <si>
    <t>230603556307</t>
  </si>
  <si>
    <t>ИП2304003091</t>
  </si>
  <si>
    <t>ИП230400309100000</t>
  </si>
  <si>
    <t>353680 Краснодарский край город Ейск улица Коммунаров дом 15   Офис 26, 28</t>
  </si>
  <si>
    <t>ИП230400309100001</t>
  </si>
  <si>
    <t>353680 Краснодарский край город Ейск улица Победы дом 78   комнаты №36/1,№36/2,часть №38/1</t>
  </si>
  <si>
    <t>ИП Бодяк Марина Николаевна</t>
  </si>
  <si>
    <t>230603833889</t>
  </si>
  <si>
    <t>ИП2304005407</t>
  </si>
  <si>
    <t>ИП230400540700000</t>
  </si>
  <si>
    <t>353680 Краснодарский край город Ейск Улица Ленина Дом 57 (Адамас) - 11,12,13,14 -</t>
  </si>
  <si>
    <t>ИП Булимин Александр Петрович</t>
  </si>
  <si>
    <t>230604643400</t>
  </si>
  <si>
    <t>ИП2304004261</t>
  </si>
  <si>
    <t>ИП230400426100000</t>
  </si>
  <si>
    <t>353680 Краснодарский край город Ейск Улица Ленина Дом 57 ком. А3, а4, а7, под.А3, а9 1-11,08,9,9а,10,11,12,13,14 (Golden Step)</t>
  </si>
  <si>
    <t>ИП230400426100001</t>
  </si>
  <si>
    <t>350000 Краснодарский край  город Краснодар улица Северная дом 265   офис 31</t>
  </si>
  <si>
    <t>ИП Даниелян Николай Михайлович</t>
  </si>
  <si>
    <t>230800507570</t>
  </si>
  <si>
    <t>ИП2304009629</t>
  </si>
  <si>
    <t>ИП230400962900000</t>
  </si>
  <si>
    <t>350000 Краснодарский край город Краснодар Красная 157</t>
  </si>
  <si>
    <t>ИП Фролова Татьяна Александровна</t>
  </si>
  <si>
    <t>230800808401</t>
  </si>
  <si>
    <t>ИП2304001473</t>
  </si>
  <si>
    <t>ИП230400147300000</t>
  </si>
  <si>
    <t>350019 Краснодарский край Город Краснодар  Улица Дзержинского Дом 100 1-й этаж  Помещение № 79, часть № 59</t>
  </si>
  <si>
    <t>ИП230400147300002</t>
  </si>
  <si>
    <t>350059 Краснодарский край Город Краснодар Улица Уральская Дом 79/2 1-й этаж  Помещение 72, 73</t>
  </si>
  <si>
    <t>ИП230400147300003</t>
  </si>
  <si>
    <t>350000 Краснодарский край город Краснодар улица Красная 81 2-й этаж  Помещение № 20</t>
  </si>
  <si>
    <t>ИП230400147300004</t>
  </si>
  <si>
    <t>350062 Краснодарский край город Краснодар улица им. Атарбекова Дом 44   А, а2  21 квартира,№ 35,40,131</t>
  </si>
  <si>
    <t>ИП Лысенко Сергей Иванович</t>
  </si>
  <si>
    <t>230807020578</t>
  </si>
  <si>
    <t>ИП2304003308</t>
  </si>
  <si>
    <t>ИП230400330800000</t>
  </si>
  <si>
    <t>354000 Краснодарский край город Сочи улица Воровского дом 4</t>
  </si>
  <si>
    <t>ИП Усуфян Григорий Ишханович</t>
  </si>
  <si>
    <t>230809420412</t>
  </si>
  <si>
    <t>ИП2304000784</t>
  </si>
  <si>
    <t>ИП230400078400000</t>
  </si>
  <si>
    <t>350007 Краснодарский край город Краснодар улица Индустриальная дом 2  Л Помещение № 64</t>
  </si>
  <si>
    <t>ИП Шелудько А.М.</t>
  </si>
  <si>
    <t>230809628107</t>
  </si>
  <si>
    <t>ИП2304006727</t>
  </si>
  <si>
    <t>ИП230400672700000</t>
  </si>
  <si>
    <t>350063 Краснодарский край Краснодар Мира 38</t>
  </si>
  <si>
    <t>ИП230400672700003</t>
  </si>
  <si>
    <t>350010 Краснодарский край город Краснодар улица Зиповская 5  Х 145</t>
  </si>
  <si>
    <t>ИП Троицкий Антон Евгеньевич</t>
  </si>
  <si>
    <t>230816791143</t>
  </si>
  <si>
    <t>ИП2304037505</t>
  </si>
  <si>
    <t>ИП230403750500000</t>
  </si>
  <si>
    <t>350089 Краснодарский край город Краснодар проспект Чекистов дом 12/1</t>
  </si>
  <si>
    <t>ООО "ЛОМБАРД ЗАПАДНЫЙ"</t>
  </si>
  <si>
    <t>2308281647</t>
  </si>
  <si>
    <t>ЮЛ2304000027</t>
  </si>
  <si>
    <t>ЮЛ230400002700001</t>
  </si>
  <si>
    <t>350000 Краснодарский край город Краснодар улица им. Калинина дом 333   помещение 2</t>
  </si>
  <si>
    <t>ЮЛ230400002700002</t>
  </si>
  <si>
    <t>350001 Краснодарский край город Краснодар улица Ставропольская дом 120   помещение 1100</t>
  </si>
  <si>
    <t>ЮЛ230400002700004</t>
  </si>
  <si>
    <t>350001 Краснодарский край город Краснодар улица Ставропольская дом 218/1   помещение 7/1</t>
  </si>
  <si>
    <t>ЮЛ230400002700005</t>
  </si>
  <si>
    <t>350000 Краснодарский край город Краснодар улица Карасунская дом 86</t>
  </si>
  <si>
    <t>ЮЛ230400002700006</t>
  </si>
  <si>
    <t>350020 Краснодарский край город Краснодар улица Одесская дом 35</t>
  </si>
  <si>
    <t>ЮЛ230400002700008</t>
  </si>
  <si>
    <t>350901 Краснодарский край город Краснодар улица 1-го Мая дом 158   помещение 7</t>
  </si>
  <si>
    <t>ЮЛ230400002700009</t>
  </si>
  <si>
    <t>350062 Краснодарский край город Краснодар улица им. Атарбекова дом 5</t>
  </si>
  <si>
    <t>ЮЛ230400002700010</t>
  </si>
  <si>
    <t>350024 Краснодарский край город Краснодар улица Суздальская дом 20   помещение 11</t>
  </si>
  <si>
    <t>ЮЛ230400002700011</t>
  </si>
  <si>
    <t>350016 Краснодарский край город Краснодар улица им. Карякина дом 18   помещение 50160</t>
  </si>
  <si>
    <t>ЮЛ230400002700012</t>
  </si>
  <si>
    <t>350012 Краснодарский край город Краснодар улица Сочинская дом 21/2</t>
  </si>
  <si>
    <t>ЮЛ230400002700013</t>
  </si>
  <si>
    <t>350087 Краснодарский край город Краснодар улица им. Комарова В.М. дом 21/1 корпус 4</t>
  </si>
  <si>
    <t>ЮЛ230400002700014</t>
  </si>
  <si>
    <t>350018 Краснодарский край город Краснодар улица Сормовская дом 12/7   помещение 14</t>
  </si>
  <si>
    <t>ЮЛ230400002700015</t>
  </si>
  <si>
    <t>350080 Краснодарский край город Краснодар улица им. Тюляева дом 37 корпус 1  помещение 61</t>
  </si>
  <si>
    <t>ЮЛ230400002700016</t>
  </si>
  <si>
    <t>350065 Краснодарский край город Краснодар улица Трудовой Славы дом 11</t>
  </si>
  <si>
    <t>ЮЛ230400002700017</t>
  </si>
  <si>
    <t>350058 Краснодарский край город Краснодар улица Ставропольская дом 181   помещение 83</t>
  </si>
  <si>
    <t>ЮЛ230400002700018</t>
  </si>
  <si>
    <t>350055 Краснодарский край город Краснодар улица Светлая дом 5/9   помещение 5</t>
  </si>
  <si>
    <t>ЮЛ230400002700023</t>
  </si>
  <si>
    <t>350053 Краснодарский край город Краснодар улица Западный Обход дом 41   помещение 22</t>
  </si>
  <si>
    <t>ЮЛ230400002700024</t>
  </si>
  <si>
    <t>350072 Краснодарский край город Краснодар улица Калинина дом 333   помещение 1</t>
  </si>
  <si>
    <t>ЮЛ230400002700025</t>
  </si>
  <si>
    <t>350901 Краснодарский край город Краснодар улица Дачная дом 514</t>
  </si>
  <si>
    <t>ЮЛ230400002700026</t>
  </si>
  <si>
    <t>350000 Краснодарский край город Краснодар улица Гимназическая дом 49   офис 103</t>
  </si>
  <si>
    <t>ООО "КОИНРУС"</t>
  </si>
  <si>
    <t>2308302128</t>
  </si>
  <si>
    <t>ЮЛ2304040076</t>
  </si>
  <si>
    <t>ЮЛ230404007600000</t>
  </si>
  <si>
    <t>350001 Краснодарский край город Краснодар улица Ставропольская дом 65</t>
  </si>
  <si>
    <t>2309031826</t>
  </si>
  <si>
    <t>ЮЛ2304001182</t>
  </si>
  <si>
    <t>ЮЛ230400118200000</t>
  </si>
  <si>
    <t>350007 Краснодарский край город Краснодар улица Индустриальная дом 2   помещения 65,66</t>
  </si>
  <si>
    <t>ЮЛ230400118200001</t>
  </si>
  <si>
    <t>350020 Краснодарский край город Краснодар улица Красная дом 176   помещение 1.019</t>
  </si>
  <si>
    <t>ЮЛ230400118200003</t>
  </si>
  <si>
    <t>350000 Краснодарский край город Краснодар улица Красная дом 71/1</t>
  </si>
  <si>
    <t>ЮЛ230400118200004</t>
  </si>
  <si>
    <t>350000 Краснодарский край город Краснодар Дзержинского 100 1 Т помещение 58</t>
  </si>
  <si>
    <t>ЮЛ230400118200005</t>
  </si>
  <si>
    <t>350001 Краснодарский край город Краснодар улица Ставропольская дом 63 1</t>
  </si>
  <si>
    <t>ИП Цикуниб Адам Сафербиевич</t>
  </si>
  <si>
    <t>230906566030</t>
  </si>
  <si>
    <t>ИП2304000845</t>
  </si>
  <si>
    <t>ИП230400084500000</t>
  </si>
  <si>
    <t>350001 Краснодарский край город Краснодар улица Ставропольская дом 67</t>
  </si>
  <si>
    <t>ИП Порозов Игорь Алексеевич</t>
  </si>
  <si>
    <t>230906681970</t>
  </si>
  <si>
    <t>ИП2304003313</t>
  </si>
  <si>
    <t>ИП230400331300000</t>
  </si>
  <si>
    <t>350910 Краснодарский край город Краснодар улица Крылатая дом 2</t>
  </si>
  <si>
    <t>ООО "ЗОЛОТОЙ ЛОТОС-2002"</t>
  </si>
  <si>
    <t>2309067533</t>
  </si>
  <si>
    <t>ЮЛ2304002382</t>
  </si>
  <si>
    <t>ЮЛ230400238200001</t>
  </si>
  <si>
    <t>350039 Краснодарский край город Краснодар улица им. Калинина дом 1/20</t>
  </si>
  <si>
    <t>ИП Гусиков Фёдор Яковлевич</t>
  </si>
  <si>
    <t>230906812937</t>
  </si>
  <si>
    <t>ИП2304004140</t>
  </si>
  <si>
    <t>ИП230400414000000</t>
  </si>
  <si>
    <t>353907 Краснодарский край город Новороссийск шоссе Анапское дом 2  Литер А Помещение 83</t>
  </si>
  <si>
    <t>ИП Стадниченко Татьяна Андреевна</t>
  </si>
  <si>
    <t>230907346502</t>
  </si>
  <si>
    <t>ИП2304033874</t>
  </si>
  <si>
    <t>ИП230403387400000</t>
  </si>
  <si>
    <t>350088 Краснодарский край город Краснодар улица им. Тюляева дом 2   офис 209</t>
  </si>
  <si>
    <t>ООО "ОКТИОН"</t>
  </si>
  <si>
    <t>2309073600</t>
  </si>
  <si>
    <t>ЮЛ2304001654</t>
  </si>
  <si>
    <t>ЮЛ230400165400000</t>
  </si>
  <si>
    <t>350001 Краснодарский край город Краснодар улица Ставропольская дом 75</t>
  </si>
  <si>
    <t>ООО "ФЕАР"</t>
  </si>
  <si>
    <t>2309079352</t>
  </si>
  <si>
    <t>ЮЛ2304001679</t>
  </si>
  <si>
    <t>ЮЛ230400167900000</t>
  </si>
  <si>
    <t>353500 Краснодарский край город Темрюк автодорога Темрюк-Кропоткин  участок 3</t>
  </si>
  <si>
    <t>ИП Арустамян Екатерина Артуровна</t>
  </si>
  <si>
    <t>230910437206</t>
  </si>
  <si>
    <t>ИП2304037375</t>
  </si>
  <si>
    <t>ИП230403737500000</t>
  </si>
  <si>
    <t>350001 Краснодарский край город Краснодар улица Ставропольская дом 110/1   помещение 1/5</t>
  </si>
  <si>
    <t>ООО "ДЕКОР БУРЖУА"</t>
  </si>
  <si>
    <t>2309124446</t>
  </si>
  <si>
    <t>ЮЛ2304002764</t>
  </si>
  <si>
    <t>ЮЛ230400276400000</t>
  </si>
  <si>
    <t>350062 Краснодарский край город Краснодар улица им. Тургенева дом 149   офис 36</t>
  </si>
  <si>
    <t>ООО "ФИРМА "ГЕФЕСТ"</t>
  </si>
  <si>
    <t>2310007592</t>
  </si>
  <si>
    <t>ЮЛ2304000282</t>
  </si>
  <si>
    <t>ЮЛ230400028200000</t>
  </si>
  <si>
    <t>353500 Краснодарский край город Темрюк улица Розы Люксембург дом 61 помещение №29, №30  СКЛАД</t>
  </si>
  <si>
    <t>ИП230400618900000</t>
  </si>
  <si>
    <t>353901 Краснодарский край город Новороссийск улица Советов дом 1 /помещение I</t>
  </si>
  <si>
    <t>ИП230400618900002</t>
  </si>
  <si>
    <t>352750 Краснодарский край станица Брюховецкая улица Октябрьская дом 28/1  литер Б</t>
  </si>
  <si>
    <t>ИП230400618900007</t>
  </si>
  <si>
    <t>350020 Краснодарский край город Тихорецк улица Энгельса/улица Ляпидевского дом 168/дом 15  литер Е</t>
  </si>
  <si>
    <t>ИП230400618900008</t>
  </si>
  <si>
    <t>352120 Краснодарский край город Тихорецк улица Подвойского дом 49  литер А</t>
  </si>
  <si>
    <t>ИП230400618900009</t>
  </si>
  <si>
    <t>353730 Краснодарский край станица Каневская улица Ленина/улица Горького дом 15/ дом 58</t>
  </si>
  <si>
    <t>ИП230400618900010</t>
  </si>
  <si>
    <t>352030 Краснодарский край станица Кущевская улица Ленина дом 23</t>
  </si>
  <si>
    <t>ИП230400618900011</t>
  </si>
  <si>
    <t>352040 Краснодарский край станица Павловская улица Горького дом 285 /помещение №1</t>
  </si>
  <si>
    <t>ИП230400618900012</t>
  </si>
  <si>
    <t>352360 Краснодарский край станица Тбилисская улица Октябрьская дом 167 корпус А</t>
  </si>
  <si>
    <t>ИП230400618900013</t>
  </si>
  <si>
    <t>353440 Краснодарский край город Анапа улица Астраханская дом 99</t>
  </si>
  <si>
    <t>ИП230400618900014</t>
  </si>
  <si>
    <t>353290 Краснодарский край город Горячий Ключ улица Революции дом 7</t>
  </si>
  <si>
    <t>ИП230400618900017</t>
  </si>
  <si>
    <t>353180 Краснодарский край город Кореновск улица Красная дом 122</t>
  </si>
  <si>
    <t>ИП230400618900020</t>
  </si>
  <si>
    <t>352394 Краснодарский край город Кропоткин улица Красная дом 226 корпус Д</t>
  </si>
  <si>
    <t>ИП230400618900021</t>
  </si>
  <si>
    <t>353380 Краснодарский край город Крымск улица Синева дом 15Б помещения 3,4</t>
  </si>
  <si>
    <t>ИП230400618900022</t>
  </si>
  <si>
    <t>352430 Краснодарский край город Курганинск улица Комсомольская дом 26В</t>
  </si>
  <si>
    <t>ИП230400618900023</t>
  </si>
  <si>
    <t>353556 Краснодарский край станица Тамань улица Пушкина дом 5</t>
  </si>
  <si>
    <t>ИП230400618900026</t>
  </si>
  <si>
    <t>353185 Краснодарский край город Кореновск улица Карла Маркса дом 318Б</t>
  </si>
  <si>
    <t>ИП230400618900027</t>
  </si>
  <si>
    <t>353800 Краснодарский край станица Полтавская улица Ковтюха дом 119 помещение 1,2</t>
  </si>
  <si>
    <t>ИП230400618900028</t>
  </si>
  <si>
    <t>353236 Краснодарский край поселок городского типа Афипский улица Пушкина дом 111/1</t>
  </si>
  <si>
    <t>ИП230400618900030</t>
  </si>
  <si>
    <t>353240 Краснодарский край станица Северская улица Народная дом 25</t>
  </si>
  <si>
    <t>ИП230400618900038</t>
  </si>
  <si>
    <t>353100 Краснодарский край станица Выселки переулок Якименко дом 7</t>
  </si>
  <si>
    <t>ИП230400618900040</t>
  </si>
  <si>
    <t>353204 Краснодарский край станица Динская улица Чапаева дом 83   помещение 1</t>
  </si>
  <si>
    <t>ИП230400618900046</t>
  </si>
  <si>
    <t>353500 Краснодарский край город Темрюк улица Розы Люксембург дом 61   помещение 29, 30</t>
  </si>
  <si>
    <t>ИП230400618900047</t>
  </si>
  <si>
    <t>353440 Краснодарский край город Анапа улица Горького дом 52</t>
  </si>
  <si>
    <t>ИП230400618900049</t>
  </si>
  <si>
    <t>353180 Краснодарский край город Кореновск улица Красная дом 122   1</t>
  </si>
  <si>
    <t>ИП230400618900050</t>
  </si>
  <si>
    <t>353907 Краснодарский край город Новороссийск шоссе Анапское дом 2</t>
  </si>
  <si>
    <t>ИП230400618900052</t>
  </si>
  <si>
    <t>350059 Краснодарский край город Краснодар улица Уральская дом 79/2   помещение 94</t>
  </si>
  <si>
    <t>ИП230400618900053</t>
  </si>
  <si>
    <t>352030 Краснодарский край станица Кущевская улица Ленина дом 23   помещение 1, часть 2</t>
  </si>
  <si>
    <t>ИП230400618900060</t>
  </si>
  <si>
    <t>350080 Краснодарский край город Краснодар улица Сормовская дом 177   помещение №9</t>
  </si>
  <si>
    <t>ИП Моисеенко Камила Ириковна</t>
  </si>
  <si>
    <t>231003721529</t>
  </si>
  <si>
    <t>ИП2304008359</t>
  </si>
  <si>
    <t>ИП230400835900000</t>
  </si>
  <si>
    <t>350063 Краснодарский край город Краснодар улица Мира/Кирова дом 18/7</t>
  </si>
  <si>
    <t>ИП Цюхай Ирина Витальевна</t>
  </si>
  <si>
    <t>231005729940</t>
  </si>
  <si>
    <t>ИП2304008734</t>
  </si>
  <si>
    <t>ИП230400873400000</t>
  </si>
  <si>
    <t>350000 Краснодарский край город Краснодар улица им. Гоголя дом 150/1   помещение №6</t>
  </si>
  <si>
    <t>ИП Данилов Евгений Владимирович</t>
  </si>
  <si>
    <t>231005933529</t>
  </si>
  <si>
    <t>ИП2304004775</t>
  </si>
  <si>
    <t>ИП230400477500000</t>
  </si>
  <si>
    <t>353501 Краснодарский край город Темрюк улица Калинина дом 23/1   нежилое помещение № 8.16</t>
  </si>
  <si>
    <t>ИП Метелкина Вера Валериевна</t>
  </si>
  <si>
    <t>231006458820</t>
  </si>
  <si>
    <t>ИП2304011388</t>
  </si>
  <si>
    <t>ИП230401138800000</t>
  </si>
  <si>
    <t>350000 Краснодарский край город Краснодар улица Игнатова дом 55  Литера 19 -1 этаж, квартира 2, нежилые помещения № 3, 6</t>
  </si>
  <si>
    <t>ООО "ЛОМБАРД "СЕМЕРОЧКА ЮГ"</t>
  </si>
  <si>
    <t>2310229997</t>
  </si>
  <si>
    <t>ЮЛ2304031074</t>
  </si>
  <si>
    <t>ЮЛ230403107400002</t>
  </si>
  <si>
    <t>350000 Краснодарский край город Краснодар улица Октябрьская дом 177/1</t>
  </si>
  <si>
    <t>ЮЛ230403107400014</t>
  </si>
  <si>
    <t>350016 Краснодарский край город Краснодар улица Московская Дом 160А   ряд 1</t>
  </si>
  <si>
    <t>ЮЛ230403107400031</t>
  </si>
  <si>
    <t>350015 Краснодарский край город Краснодар улица Коммунаров дом 256   помещение 1</t>
  </si>
  <si>
    <t>ООО "ЮД "ЭПАТАЖ"</t>
  </si>
  <si>
    <t>2310236384</t>
  </si>
  <si>
    <t>ЮЛ2304036753</t>
  </si>
  <si>
    <t>ЮЛ230403675300000</t>
  </si>
  <si>
    <t>350000 Краснодарский край город Краснодар улица Октябрьская дом115 корпус 1 Ч</t>
  </si>
  <si>
    <t>ИП Рябухина Лариса Бениаминовна</t>
  </si>
  <si>
    <t>231100170838</t>
  </si>
  <si>
    <t>ИП2304036963</t>
  </si>
  <si>
    <t>ИП230403696300000</t>
  </si>
  <si>
    <t>350089 Краснодарский край город Краснодар улица Платановый Бульвар дом 3</t>
  </si>
  <si>
    <t>ИП Чернышова Татьяна Витальевна</t>
  </si>
  <si>
    <t>231102654249</t>
  </si>
  <si>
    <t>ИП2304018360</t>
  </si>
  <si>
    <t>ИП230401836000000</t>
  </si>
  <si>
    <t>350000 Краснодарский край город Краснодар Гоголя 76/71   помещение 12</t>
  </si>
  <si>
    <t>ИП Каминский Евгений Евгеньевич</t>
  </si>
  <si>
    <t>231104670292</t>
  </si>
  <si>
    <t>ИП0104009936</t>
  </si>
  <si>
    <t>ИП010400993600000</t>
  </si>
  <si>
    <t>350016 Краснодарский край город Краснодар улица им. Артюшкова В.Д. дом 2</t>
  </si>
  <si>
    <t>ИП010400993600001</t>
  </si>
  <si>
    <t>350024 Краснодарский край город Краснодар улица Московская дом 162 (ЗОЛОТО)</t>
  </si>
  <si>
    <t>ИП010400993600002</t>
  </si>
  <si>
    <t>353380 Краснодарский край город Крымск улица Синева дом 15Б</t>
  </si>
  <si>
    <t>ИП010400993600005</t>
  </si>
  <si>
    <t>353500 Краснодарский край город Темрюк улица Розы Люксембург дом 61</t>
  </si>
  <si>
    <t>ИП010400993600007</t>
  </si>
  <si>
    <t>350089 Краснодарский край город Краснодар проспект Чекистов дом 17</t>
  </si>
  <si>
    <t>ИП010400993600013</t>
  </si>
  <si>
    <t>ИП010400993600014</t>
  </si>
  <si>
    <t>350073 Краснодарский край город Краснодар улица им. Адмирала Крузенштерна дом 4</t>
  </si>
  <si>
    <t>ИП010400993600015</t>
  </si>
  <si>
    <t>350024 Краснодарский край город Краснодар улица Московская дом 162 (СЕРЕБРО)</t>
  </si>
  <si>
    <t>ИП010400993600017</t>
  </si>
  <si>
    <t>350073 Краснодарский край город Краснодар улица Командорская дом 9 корпус 2</t>
  </si>
  <si>
    <t>ИП Агаджанян Феликс Григорьевич</t>
  </si>
  <si>
    <t>231105480456</t>
  </si>
  <si>
    <t>ИП2304012499</t>
  </si>
  <si>
    <t>ИП230401249900000</t>
  </si>
  <si>
    <t>350001 Краснодарский край город Краснодар улица Ставропольская дом 63/2</t>
  </si>
  <si>
    <t>ИП Берль Екатерина Николаевна</t>
  </si>
  <si>
    <t>231119211710</t>
  </si>
  <si>
    <t>ИП2304004239</t>
  </si>
  <si>
    <t>ИП230400423900000</t>
  </si>
  <si>
    <t>350062 Краснодарский край город Краснодар улица им. Атарбекова дом 44  А 35, 40, 131</t>
  </si>
  <si>
    <t>ИП Крупа Валерий Викторович</t>
  </si>
  <si>
    <t>231121463105</t>
  </si>
  <si>
    <t>ИП2304032510</t>
  </si>
  <si>
    <t>ИП230403251000000</t>
  </si>
  <si>
    <t>350001 Краснодарский край город Краснодар улица Ставропольская дом 67/2</t>
  </si>
  <si>
    <t>ИП Тоноян Артем Романович</t>
  </si>
  <si>
    <t>231122650740</t>
  </si>
  <si>
    <t>ИП2304004822</t>
  </si>
  <si>
    <t>ИП230400482200000</t>
  </si>
  <si>
    <t>350001 Краснодарский край город Краснодар улица Ставропольская дом 69/3</t>
  </si>
  <si>
    <t>ИП230400482200001</t>
  </si>
  <si>
    <t>350000 Краснодарский край город Краснодар Дальний проезд дом 11 корпус 1  помещения 68-86,86/1,87-91</t>
  </si>
  <si>
    <t>ИП Маркитан Анастасия Геннадьевна</t>
  </si>
  <si>
    <t>231126194079</t>
  </si>
  <si>
    <t>ИП2304037770</t>
  </si>
  <si>
    <t>ИП230403777000000</t>
  </si>
  <si>
    <t>350031 Краснодарский край город Краснодар улица 2-я Целиноградская дом 13   офис 16</t>
  </si>
  <si>
    <t>ООО "ЛОМБАРД ВЕНЕРА"</t>
  </si>
  <si>
    <t>2311286902</t>
  </si>
  <si>
    <t>ЮЛ2304001466</t>
  </si>
  <si>
    <t>ЮЛ230400146600000</t>
  </si>
  <si>
    <t>350033 Краснодарский край город Краснодар улица Железнодорожная дом 24   помещение 503, 504, 505, 506</t>
  </si>
  <si>
    <t>ИП Половинкин Никита Борисович</t>
  </si>
  <si>
    <t>231132987005</t>
  </si>
  <si>
    <t>ИП2304037740</t>
  </si>
  <si>
    <t>ИП230403774000000</t>
  </si>
  <si>
    <t>350916 Краснодарский край город Краснодар улица Степная дом 285   помещ. А-1</t>
  </si>
  <si>
    <t>ООО "СТОЗЛАТ"</t>
  </si>
  <si>
    <t>2311346686</t>
  </si>
  <si>
    <t>ЮЛ2304033778</t>
  </si>
  <si>
    <t>ЮЛ230403377800000</t>
  </si>
  <si>
    <t>353555 Краснодарский край станица Тамань улица Пушкина  дом 7    торговый павильон №7</t>
  </si>
  <si>
    <t>ИП Мустафаева Диана Дмитриевна</t>
  </si>
  <si>
    <t>231135936560</t>
  </si>
  <si>
    <t>ИП2304034646</t>
  </si>
  <si>
    <t>ИП230403464600000</t>
  </si>
  <si>
    <t>350016 Краснодарский край город Краснодар улица им. Котлярова Н.С. дом 7   помещение 44-46</t>
  </si>
  <si>
    <t>ИП Брежнев Артем Сергеевич</t>
  </si>
  <si>
    <t>231136170408</t>
  </si>
  <si>
    <t>ИП2304036405</t>
  </si>
  <si>
    <t>ИП230403640500000</t>
  </si>
  <si>
    <t>350000 Краснодарский край город Краснодар улица им. Гоголя/Коммунаров дом 76/71 нежил. помещ. 6,7,11 А</t>
  </si>
  <si>
    <t>ИП Гайдаева Антонина Ивановна</t>
  </si>
  <si>
    <t>231200713936</t>
  </si>
  <si>
    <t>ИП2304010374</t>
  </si>
  <si>
    <t>ИП230401037400000</t>
  </si>
  <si>
    <t>350000 Краснодарский край город Краснодар Восточно-Кругликовская 46/12 нежил. помещение №7</t>
  </si>
  <si>
    <t>ИП230401037400002</t>
  </si>
  <si>
    <t>350000 Краснодарский край город Краснодар Ставропольская 75  А. А1</t>
  </si>
  <si>
    <t>ИП230401037400004</t>
  </si>
  <si>
    <t>350000 Краснодарский край город Краснодар Ставропольская 57 неж.помещ 2/1, 4/1 А2</t>
  </si>
  <si>
    <t>ИП230401037400005</t>
  </si>
  <si>
    <t>350000 Краснодарский край Краснодар Ставропольская 59</t>
  </si>
  <si>
    <t>ИП230401037400008</t>
  </si>
  <si>
    <t>350080 Краснодарский край город Краснодар улица Уральская дом 156А   офис 63, 66, 75, 137</t>
  </si>
  <si>
    <t>ИП Гондарь Алексей Васильевич</t>
  </si>
  <si>
    <t>231201639756</t>
  </si>
  <si>
    <t>ИП2304000713</t>
  </si>
  <si>
    <t>ИП230400071300000</t>
  </si>
  <si>
    <t>354000 Краснодарский край город Сочи улица Приморская дом 3А  А</t>
  </si>
  <si>
    <t>ИП Ракова Ольга Игоревна</t>
  </si>
  <si>
    <t>231204577032</t>
  </si>
  <si>
    <t>ИП2304006625</t>
  </si>
  <si>
    <t>ИП230400662500000</t>
  </si>
  <si>
    <t>354008 Краснодарский край город Сочи улица Пирогова дом 10   помещение 8</t>
  </si>
  <si>
    <t>ИП230400662500001</t>
  </si>
  <si>
    <t>350080 Краснодарский край город Краснодар улица Уральская дом 156  Литера А помещ. 42;43</t>
  </si>
  <si>
    <t>ООО "СИТ-ЛОМБАРД"</t>
  </si>
  <si>
    <t>2312134130</t>
  </si>
  <si>
    <t>ЮЛ2304004109</t>
  </si>
  <si>
    <t>ЮЛ230400410900004</t>
  </si>
  <si>
    <t>350000 Краснодарский край город  Краснодар  улица Гоголя дом 76</t>
  </si>
  <si>
    <t>ИП Гайдаев Борис Борисович</t>
  </si>
  <si>
    <t>231215763658</t>
  </si>
  <si>
    <t>ИП0104010290</t>
  </si>
  <si>
    <t>ИП010401029000000</t>
  </si>
  <si>
    <t>353180 Краснодарский край город Кореновск улица Фрунзе дом 180Д</t>
  </si>
  <si>
    <t>ИП010401029000002</t>
  </si>
  <si>
    <t>353320 Краснодарский край город Абинск улица Советов дом 51</t>
  </si>
  <si>
    <t>ИП010401029000005</t>
  </si>
  <si>
    <t>ИП010401029000010</t>
  </si>
  <si>
    <t>352120 Краснодарский край город Тихорецк Подвойского  49  А</t>
  </si>
  <si>
    <t>ИП010401029000011</t>
  </si>
  <si>
    <t>353204 Краснодарский край станица Динская улица Красная дом 76А</t>
  </si>
  <si>
    <t>ИП010401029000012</t>
  </si>
  <si>
    <t>352040 Краснодарский край станица Павловская Ленина  9</t>
  </si>
  <si>
    <t>ИП010401029000015</t>
  </si>
  <si>
    <t>350080 Краснодарский край город Краснодар улица Уральская дом 99   офис 11</t>
  </si>
  <si>
    <t>ООО "КРАСЮЗ ЮГ"</t>
  </si>
  <si>
    <t>2312225839</t>
  </si>
  <si>
    <t>ЮЛ2304000231</t>
  </si>
  <si>
    <t>ЮЛ230400023100000</t>
  </si>
  <si>
    <t>350080 Краснодарский край город Краснодар улица Уральская дом 99   офис 11/4</t>
  </si>
  <si>
    <t>ООО "ЗЛАТАЯ ЦЕПЬ ЮГ"</t>
  </si>
  <si>
    <t>2312254325</t>
  </si>
  <si>
    <t>ЮЛ2304000230</t>
  </si>
  <si>
    <t>ЮЛ230400023000000</t>
  </si>
  <si>
    <t>350075 Краснодарский край город Краснодар улица им. Стасова дом 178   291</t>
  </si>
  <si>
    <t>ООО "ВЕРНИСАЖ ИСТОРИИ"</t>
  </si>
  <si>
    <t>2312273737</t>
  </si>
  <si>
    <t>ЮЛ2304039361</t>
  </si>
  <si>
    <t>ЮЛ230403936100000</t>
  </si>
  <si>
    <t>353500 Краснодарский край город Темрюк улица Ленина дом 79   помещение 6</t>
  </si>
  <si>
    <t>ИП Шайногина Галина Алексеевна</t>
  </si>
  <si>
    <t>231293829000</t>
  </si>
  <si>
    <t>ИП2304004251</t>
  </si>
  <si>
    <t>ИП230400425100000</t>
  </si>
  <si>
    <t>350088 Краснодарский край город Краснодар улица Сормовская 210   77</t>
  </si>
  <si>
    <t>ИП Ванецян Самвел Сейранович</t>
  </si>
  <si>
    <t>231293892611</t>
  </si>
  <si>
    <t>ИП2304035356</t>
  </si>
  <si>
    <t>ИП230403535600000</t>
  </si>
  <si>
    <t>353210 Краснодарский край станица Новотитаровская улица Советская дом 80Б</t>
  </si>
  <si>
    <t>ИП Соседко Денис Владимирович</t>
  </si>
  <si>
    <t>231294229911</t>
  </si>
  <si>
    <t>ИП2304001706</t>
  </si>
  <si>
    <t>ИП230400170600000</t>
  </si>
  <si>
    <t>352380 Краснодарский край Город Кропоткин Улица Красная Дом 97 ххх ххх ххх</t>
  </si>
  <si>
    <t>ИП Леушкина Валентина Кондратьевна</t>
  </si>
  <si>
    <t>231300046531</t>
  </si>
  <si>
    <t>ИП2304009878</t>
  </si>
  <si>
    <t>ИП230400987800000</t>
  </si>
  <si>
    <t>352380 Краснодарский край город Кропоткин улица Красная дом 47/4 - - -</t>
  </si>
  <si>
    <t>ИП Сухомлинова Мария Алексеевна</t>
  </si>
  <si>
    <t>231301084057</t>
  </si>
  <si>
    <t>ИП2304000239</t>
  </si>
  <si>
    <t>ИП230400023900000</t>
  </si>
  <si>
    <t>352000 Краснодарский край город Краснодар улица Дзержинского дом 100 - литера Т офис</t>
  </si>
  <si>
    <t>ИП230400023900001</t>
  </si>
  <si>
    <t>352380 Краснодарский край Город Кропоткин улица Красная дом 67 - - помещение 2</t>
  </si>
  <si>
    <t>ИП230400023900002</t>
  </si>
  <si>
    <t>352380 Краснодарский край город Кропоткин улица Красная дом 193 - - помещение 2</t>
  </si>
  <si>
    <t>ИП230400023900003</t>
  </si>
  <si>
    <t>352380 Краснодарский край город Краснодар улица Ставропольская дом 71 - - офис</t>
  </si>
  <si>
    <t>ИП230400023900004</t>
  </si>
  <si>
    <t>352000 Краснодарский край город Армавир улица Ленина дом 105 - - помещение 35</t>
  </si>
  <si>
    <t>ИП230400023900005</t>
  </si>
  <si>
    <t>352000 Краснодарский край город Анапа  улица Астраханская  дом 99 - - офис</t>
  </si>
  <si>
    <t>ИП230400023900006</t>
  </si>
  <si>
    <t>352000 Краснодарский край город Краснодар улица Дзержинского дом 100 - - -</t>
  </si>
  <si>
    <t>ИП230400023900007</t>
  </si>
  <si>
    <t>352000 Краснодарский край город Новороссийск  улица Советов дом 1 - - помещение 1</t>
  </si>
  <si>
    <t>ИП230400023900008</t>
  </si>
  <si>
    <t>352000 Краснодарский край город Анапа  улица Крымская/Красноармейская дом 151/15б - - -</t>
  </si>
  <si>
    <t>ИП230400023900009</t>
  </si>
  <si>
    <t>352000 Краснодарский край город Армавир улица Воровского дом 69 - - -</t>
  </si>
  <si>
    <t>ИП230400023900010</t>
  </si>
  <si>
    <t>352000 Краснодарский край город  Геленджик улица Островского  дом 12 - - офис</t>
  </si>
  <si>
    <t>ИП230400023900011</t>
  </si>
  <si>
    <t>352380 Краснодарский край город Кропоткин улица Красная дом 226 - д офис</t>
  </si>
  <si>
    <t>ИП230400023900012</t>
  </si>
  <si>
    <t>352000 Краснодарский край город Геленджик улица Ленина/Островсского дом 10/6 - - офис</t>
  </si>
  <si>
    <t>ИП230400023900013</t>
  </si>
  <si>
    <t>352000 Краснодарский край Краснодар улица Крылатая дом 2 - - помещение 34</t>
  </si>
  <si>
    <t>ИП230400023900014</t>
  </si>
  <si>
    <t>352000 Краснодарский край город Геленджик улица Херсонская дом 11 помещение 1-12/3 - офис</t>
  </si>
  <si>
    <t>ИП230400023900015</t>
  </si>
  <si>
    <t>352350 Краснодарский край станица Тбилисская улица Октябрьская дом 156А - - офис</t>
  </si>
  <si>
    <t>ИП230400023900016</t>
  </si>
  <si>
    <t>353907 Краснодарский край город Новороссийск Улица Анапское шоссе дом 2 - - офис</t>
  </si>
  <si>
    <t>ИП230400023900018</t>
  </si>
  <si>
    <t>352380 Краснодарский край город Кропоткин Красная 47 4  Офис</t>
  </si>
  <si>
    <t>ИП230400023900019</t>
  </si>
  <si>
    <t>350000 Краснодарский край  г. Краснодар  им. Володи Головатого 313   53</t>
  </si>
  <si>
    <t>ИП230400023900020</t>
  </si>
  <si>
    <t>352394 Краснодарский край Кропоткин город  Красная улица дом 226  литер Д</t>
  </si>
  <si>
    <t>ИП БОСЕНКО М. Л.</t>
  </si>
  <si>
    <t>231302635846</t>
  </si>
  <si>
    <t>ИП2304039979</t>
  </si>
  <si>
    <t>ИП230403997900000</t>
  </si>
  <si>
    <t>352500 Краснодарский край город Лабинск улица Халтурина дом 20</t>
  </si>
  <si>
    <t>ИП Саркисова Джульетта Вагановна</t>
  </si>
  <si>
    <t>231404125883</t>
  </si>
  <si>
    <t>ИП2304009343</t>
  </si>
  <si>
    <t>ИП230400934300000</t>
  </si>
  <si>
    <t>352508 Краснодарский край город Лабинск улица Победы дом 151   2 этаж</t>
  </si>
  <si>
    <t>ИП Чернова Людмила Габриэловна</t>
  </si>
  <si>
    <t>231405056103</t>
  </si>
  <si>
    <t>ИП2304008318</t>
  </si>
  <si>
    <t>ИП230400831800002</t>
  </si>
  <si>
    <t>352570 Краснодарский край поселок городского типа Мостовской улица Кооперативная дом 23   2 этаж</t>
  </si>
  <si>
    <t>ИП230400831800004</t>
  </si>
  <si>
    <t>352500 Краснодарский край город Лабинск улица Халтурина дом 57   1-ый этаж</t>
  </si>
  <si>
    <t>ИП230400831800005</t>
  </si>
  <si>
    <t>353913 Краснодарский край город Новороссийск проспект Дзержинского дом 172А</t>
  </si>
  <si>
    <t>ООО МХО "РАССВЕТ"</t>
  </si>
  <si>
    <t>2315010334</t>
  </si>
  <si>
    <t>ЮЛ2304002772</t>
  </si>
  <si>
    <t>ЮЛ230400277200000</t>
  </si>
  <si>
    <t>353900 Краснодарский край город Новороссийск переулок Мичуринский/улица Мира дом 2/23   помещение 17</t>
  </si>
  <si>
    <t>ИП Королюк Ольга Павловна</t>
  </si>
  <si>
    <t>231502881461</t>
  </si>
  <si>
    <t>ИП2304009608</t>
  </si>
  <si>
    <t>ИП230400960800000</t>
  </si>
  <si>
    <t>353900 Краснодарский край город Новороссийск улица Бирюзова дом 3</t>
  </si>
  <si>
    <t>ИП Григорьева Ирина Владимировна</t>
  </si>
  <si>
    <t>231506120570</t>
  </si>
  <si>
    <t>ИП2304003883</t>
  </si>
  <si>
    <t>ИП230400388300000</t>
  </si>
  <si>
    <t>353900 Краснодарский край город Новороссийск улица Советов дом 21  Литер А №9-12</t>
  </si>
  <si>
    <t>ИП Лещев Михаил Павлович</t>
  </si>
  <si>
    <t>231507065097</t>
  </si>
  <si>
    <t>ИП2304001556</t>
  </si>
  <si>
    <t>ИП230400155600001</t>
  </si>
  <si>
    <t>353900 Краснодарский край город Новороссийск улица Бирюзова дом 5   Помещение 4</t>
  </si>
  <si>
    <t>ИП230400155600002</t>
  </si>
  <si>
    <t>353925 Краснодарский край город Новороссийск проспект Дзержинского дом 172</t>
  </si>
  <si>
    <t>ИП230400155600003</t>
  </si>
  <si>
    <t>353900 Краснодарский край город Новороссийск улица Свободы-Леднева дом 3/5   Салон часов "Эпоха"</t>
  </si>
  <si>
    <t>ИП Корнеева Ия Владимировна</t>
  </si>
  <si>
    <t>231512256788</t>
  </si>
  <si>
    <t>ИП2304009931</t>
  </si>
  <si>
    <t>ИП230400993100000</t>
  </si>
  <si>
    <t>353900 Краснодарский край город Новороссийск улица Советов дом 24</t>
  </si>
  <si>
    <t>ИП Закомирная Алла Валерьевна</t>
  </si>
  <si>
    <t>231516165122</t>
  </si>
  <si>
    <t>ИП2304002083</t>
  </si>
  <si>
    <t>ИП230400208300000</t>
  </si>
  <si>
    <t>353913 Краснодарский край город Новороссийск улица Героев Десантников дом 2</t>
  </si>
  <si>
    <t>ИП230400208300002</t>
  </si>
  <si>
    <t>353900 Краснодарский край город Новороссийск улица Советов дом 25   помещение 2</t>
  </si>
  <si>
    <t>ООО "ЛОМБАРД "ТВОЙ ШАНС"</t>
  </si>
  <si>
    <t>2315226936</t>
  </si>
  <si>
    <t>ЮЛ2304032282</t>
  </si>
  <si>
    <t>ЮЛ230403228200000</t>
  </si>
  <si>
    <t>353913 Краснодарский край город Новороссийск улица Героев Десантников дом 2   помещение 40</t>
  </si>
  <si>
    <t>ЮЛ230403228200001</t>
  </si>
  <si>
    <t>350020 Краснодарский край город Краснодар улица Красная дом 190</t>
  </si>
  <si>
    <t>ЮЛ230403228200002</t>
  </si>
  <si>
    <t>353913 Краснодарский край город Новороссийск улица Героев Десантников дом 24А - - -</t>
  </si>
  <si>
    <t>ИП Королюк Дмитрий Павлович</t>
  </si>
  <si>
    <t>231555851284</t>
  </si>
  <si>
    <t>ИП2304000032</t>
  </si>
  <si>
    <t>ИП230400003200000</t>
  </si>
  <si>
    <t>354340 Краснодарский край город Сочи станция Адлер    часть помещения №1, 4 этаж</t>
  </si>
  <si>
    <t>ИП Шейгородская Неля Грачевна</t>
  </si>
  <si>
    <t>231700067600</t>
  </si>
  <si>
    <t>ИП2304009344</t>
  </si>
  <si>
    <t>ИП230400934400000</t>
  </si>
  <si>
    <t>354340 Краснодарский край город Сочи улица Демократическая дом 38</t>
  </si>
  <si>
    <t>ИП Данелян Ася Грикоровна</t>
  </si>
  <si>
    <t>231700101882</t>
  </si>
  <si>
    <t>ИП2304009933</t>
  </si>
  <si>
    <t>ИП230400993300000</t>
  </si>
  <si>
    <t>ИП Данелян Каринэ Альбертовна</t>
  </si>
  <si>
    <t>231700153707</t>
  </si>
  <si>
    <t>ИП2304000943</t>
  </si>
  <si>
    <t>ИП230400094300000</t>
  </si>
  <si>
    <t>354340 Краснодарский край город Сочи улица Демократическая дом 75</t>
  </si>
  <si>
    <t>ООО "ЛОМБАРД "ОВК-ГРУПП"</t>
  </si>
  <si>
    <t>2317045646</t>
  </si>
  <si>
    <t>ЮЛ2304006663</t>
  </si>
  <si>
    <t>ЮЛ230400666300000</t>
  </si>
  <si>
    <t>354340 Краснодарский край город Сочи  ТЕРРИТОРИЯ АЭРОПОРТ   часть помещений №91, №161 этаж 2</t>
  </si>
  <si>
    <t>ООО "РЕГСТАЭР-СК"</t>
  </si>
  <si>
    <t>2317071371</t>
  </si>
  <si>
    <t>ЮЛ2304030965</t>
  </si>
  <si>
    <t>ЮЛ230403096500000</t>
  </si>
  <si>
    <t>350912 Краснодарский край город Краснодар улица имени Евдокии Бершанской ДОМ 355  ЛИТЕРА 1Е магазин дьюти пейд</t>
  </si>
  <si>
    <t>ЮЛ230403096500002</t>
  </si>
  <si>
    <t>354340 Краснодарский край город Сочи улица Демократическая дом 49А</t>
  </si>
  <si>
    <t>ИП Григорян Оганес Гамлетович</t>
  </si>
  <si>
    <t>231707684150</t>
  </si>
  <si>
    <t>ИП2304008951</t>
  </si>
  <si>
    <t>ИП230400895100000</t>
  </si>
  <si>
    <t>354340 Краснодарский край город Сочи улица Ленина дом 1</t>
  </si>
  <si>
    <t>2317077782</t>
  </si>
  <si>
    <t>ЮЛ2304007457</t>
  </si>
  <si>
    <t>ЮЛ230400745700000</t>
  </si>
  <si>
    <t>354340 Краснодарский край город Сочи улица Свердлова дом 78</t>
  </si>
  <si>
    <t>ИП Ервандян Анаит Валерьевна</t>
  </si>
  <si>
    <t>231708290720</t>
  </si>
  <si>
    <t>ИП2304006723</t>
  </si>
  <si>
    <t>ИП230400672300000</t>
  </si>
  <si>
    <t>354349 Краснодарский край Федеральная Территория Сириус, поселок городского типа Сириус улица Фигурная дом 45</t>
  </si>
  <si>
    <t>ИП230400672300002</t>
  </si>
  <si>
    <t>354200 Краснодарский край город Сочи улица Калараша дом 2</t>
  </si>
  <si>
    <t>ООО "ИСТВУД"</t>
  </si>
  <si>
    <t>2318022994</t>
  </si>
  <si>
    <t>ЮЛ2304030167</t>
  </si>
  <si>
    <t>ЮЛ230403016700000</t>
  </si>
  <si>
    <t>ИП Арзамазов Кирилл Вадимович</t>
  </si>
  <si>
    <t>231802968106</t>
  </si>
  <si>
    <t>ИП2304039706</t>
  </si>
  <si>
    <t>ИП230403970600000</t>
  </si>
  <si>
    <t>354200 Краснодарский край город Сочи улица Победы дом 76</t>
  </si>
  <si>
    <t>ООО "ЛОМБАРД ЛАЗАРЕВСКИЙ"</t>
  </si>
  <si>
    <t>2318043715</t>
  </si>
  <si>
    <t>ЮЛ2304001082</t>
  </si>
  <si>
    <t>ЮЛ230400108200004</t>
  </si>
  <si>
    <t>354200 Краснодарский край город Сочи улица Победы дом 32-А</t>
  </si>
  <si>
    <t>ИП Исламова Алина Руслановна</t>
  </si>
  <si>
    <t>231804932627</t>
  </si>
  <si>
    <t>ИП2304000540</t>
  </si>
  <si>
    <t>ИП230400054000000</t>
  </si>
  <si>
    <t>354000 Краснодарский край город Сочи улица Воровского дом 5</t>
  </si>
  <si>
    <t>ИП Ващенко Тереза Николаевна</t>
  </si>
  <si>
    <t>231900071378</t>
  </si>
  <si>
    <t>ИП2304008947</t>
  </si>
  <si>
    <t>ИП230400894700000</t>
  </si>
  <si>
    <t>354054 Краснодарский край город Сочи улица Навагинская дом 3   помещение 111</t>
  </si>
  <si>
    <t>ИП Ващенко Алексей Александрович</t>
  </si>
  <si>
    <t>231900071441</t>
  </si>
  <si>
    <t>ИП2304008953</t>
  </si>
  <si>
    <t>ИП230400895300000</t>
  </si>
  <si>
    <t>354037 Краснодарский край город Сочи улица 50 лет СССР дом 17  литер А помещение №1,4,5,6,7,8</t>
  </si>
  <si>
    <t>ИП Исканян Нугзар Грантович</t>
  </si>
  <si>
    <t>231900269339</t>
  </si>
  <si>
    <t>ИП2304006264</t>
  </si>
  <si>
    <t>ИП230400626400000</t>
  </si>
  <si>
    <t>354340 Краснодарский край город Сочи улица Ленина дом 219</t>
  </si>
  <si>
    <t>ИП Григорян Елена Сергеевна</t>
  </si>
  <si>
    <t>231905938449</t>
  </si>
  <si>
    <t>ИП2304010311</t>
  </si>
  <si>
    <t>ИП230401031100000</t>
  </si>
  <si>
    <t>354000 Краснодарский край город Сочи улица Роз дом 63 нет нет квартира 46</t>
  </si>
  <si>
    <t>ИП Калашникова Галина Васильевна</t>
  </si>
  <si>
    <t>232000307167</t>
  </si>
  <si>
    <t>ИП2304000127</t>
  </si>
  <si>
    <t>ИП230400012700000</t>
  </si>
  <si>
    <t>354340 Краснодарский край город Сочи улица Кирова дом 58 нет  помещение № А-42</t>
  </si>
  <si>
    <t>ИП230400012700001</t>
  </si>
  <si>
    <t>354068 Краснодарский край город Сочи улица Новая заря дом 7 нет  помещение № 1.38</t>
  </si>
  <si>
    <t>ИП230400012700002</t>
  </si>
  <si>
    <t>354340 Краснодарский край город Сочи улица Демократическая дом 52 нет  помещение № О-16</t>
  </si>
  <si>
    <t>ИП230400012700003</t>
  </si>
  <si>
    <t>354392 Краснодарский край город Сочи , поселок Красная Поляна улица Защитников Кавказа дом 118 нет Б 52а</t>
  </si>
  <si>
    <t>ИП230400012700005</t>
  </si>
  <si>
    <t>354000 Краснодарский край Сочи Навагинская 3   99.100,101,102,103</t>
  </si>
  <si>
    <t>ИП230400012700006</t>
  </si>
  <si>
    <t>350059 Краснодарский край город Краснодар улица Уральская дом 79/2   73</t>
  </si>
  <si>
    <t>ИП230400012700007</t>
  </si>
  <si>
    <t>350019 Краснодарский край город Краснодар улица им. Дзержинского дом 100  Т 70</t>
  </si>
  <si>
    <t>ИП230400012700008</t>
  </si>
  <si>
    <t>350023 Краснодарский край город Краснодар улица Крылатая 2   К1-10</t>
  </si>
  <si>
    <t>ИП230400012700009</t>
  </si>
  <si>
    <t>354000 Краснодарский край город Сочи Батумское шоссе 28   помещения 5,6</t>
  </si>
  <si>
    <t>ИП230400012700010</t>
  </si>
  <si>
    <t>354000 Краснодарский край город Сочи Улица Курортный проспект Дом 16   пом. 15, 49.</t>
  </si>
  <si>
    <t>ИП230400012700011</t>
  </si>
  <si>
    <t>354000 Краснодарский край город Сочи улица Московская дом 22 нет нет нет</t>
  </si>
  <si>
    <t>ИП230400012700013</t>
  </si>
  <si>
    <t>354000 Краснодарский край город Сочи улица Северная дом 6  В пом.  30/5</t>
  </si>
  <si>
    <t>ИП230400012700014</t>
  </si>
  <si>
    <t>ИП Карфидов Николай Григорьевич</t>
  </si>
  <si>
    <t>232000395188</t>
  </si>
  <si>
    <t>ИП2304009507</t>
  </si>
  <si>
    <t>ИП230400950700000</t>
  </si>
  <si>
    <t>354065 Краснодарский край город Сочи улица Егорова дом 1   нестационарный торговый объект №17</t>
  </si>
  <si>
    <t>ИП Романтеева Анна Тельмановна</t>
  </si>
  <si>
    <t>232000477419</t>
  </si>
  <si>
    <t>ИП2304008321</t>
  </si>
  <si>
    <t>ИП230400832100000</t>
  </si>
  <si>
    <t>354000 Краснодарский край город Сочи улица Навагинская дом 3   помещения 38-43</t>
  </si>
  <si>
    <t>ООО "АЛМАЗНЫЙ БЕРЕГ"</t>
  </si>
  <si>
    <t>2320074887</t>
  </si>
  <si>
    <t>ЮЛ2304001552</t>
  </si>
  <si>
    <t>ЮЛ230400155200000</t>
  </si>
  <si>
    <t>354000 Краснодарский край город Сочи улица Горького дом 58А</t>
  </si>
  <si>
    <t>ИП Геворгян Гурген Сергеевич</t>
  </si>
  <si>
    <t>232009067079</t>
  </si>
  <si>
    <t>ИП2304008763</t>
  </si>
  <si>
    <t>ИП230400876300000</t>
  </si>
  <si>
    <t>354002 Краснодарский край город Сочи улица Черноморская дом 3  Литера А помещение 96</t>
  </si>
  <si>
    <t>ИП Сванидзе Людмила Самсоновна</t>
  </si>
  <si>
    <t>232009739683</t>
  </si>
  <si>
    <t>ИП2304000025</t>
  </si>
  <si>
    <t>ИП230400002500000</t>
  </si>
  <si>
    <t>354000 Краснодарский край город Сочи улица Навагинская дом 9/3 - - 4 блок торговой галереи</t>
  </si>
  <si>
    <t>ИП Малыгина Елена Борисовна</t>
  </si>
  <si>
    <t>232010240000</t>
  </si>
  <si>
    <t>ИП2304000410</t>
  </si>
  <si>
    <t>ИП230400041000000</t>
  </si>
  <si>
    <t>354000 Краснодарский край город Сочи улица Транспортная дом 78/7 нет  помещения 1,2,3,4,8,9,10,12</t>
  </si>
  <si>
    <t>ООО "РОСТЗОЛОТО-2"</t>
  </si>
  <si>
    <t>2320121713</t>
  </si>
  <si>
    <t>ЮЛ2304000085</t>
  </si>
  <si>
    <t>ЮЛ230400008500000</t>
  </si>
  <si>
    <t>354207 Краснодарский край город Сочи улица Батумское шоссе дом 39   помещение 1</t>
  </si>
  <si>
    <t>ООО "ЛОМБАРД АКВАМАРИН"</t>
  </si>
  <si>
    <t>2320140473</t>
  </si>
  <si>
    <t>ЮЛ2304008324</t>
  </si>
  <si>
    <t>ЮЛ230400832400000</t>
  </si>
  <si>
    <t>354000 Краснодарский край город Сочи улица Навагинская дом 7</t>
  </si>
  <si>
    <t>ООО ЛОМБАРД "ЗЕНИТ"</t>
  </si>
  <si>
    <t>2320160215</t>
  </si>
  <si>
    <t>ЮЛ2304008284</t>
  </si>
  <si>
    <t>ЮЛ230400828400000</t>
  </si>
  <si>
    <t>354000 Краснодарский край город Сочи улица Конституции СССР дом 20   помещение 1-7</t>
  </si>
  <si>
    <t>ООО "ЛОМБАРД ЕДИНСТВО"</t>
  </si>
  <si>
    <t>2320249336</t>
  </si>
  <si>
    <t>ЮЛ2304005644</t>
  </si>
  <si>
    <t>ЮЛ230400564400000</t>
  </si>
  <si>
    <t>352120 Краснодарский край город Тихорецк улица Энгельса дом 75  Б, Б1, Б2</t>
  </si>
  <si>
    <t>ИП Асатурян Татьяна Викторовна</t>
  </si>
  <si>
    <t>232100026057</t>
  </si>
  <si>
    <t>ИП2304004889</t>
  </si>
  <si>
    <t>ИП230400488900000</t>
  </si>
  <si>
    <t>352800 Краснодарский край город Туапсе улица Карла Маркса дом 8/7  Литер А Подвал</t>
  </si>
  <si>
    <t>ИП Сельвян Арутюн Ефремович</t>
  </si>
  <si>
    <t>232200158040</t>
  </si>
  <si>
    <t>ИП2304000769</t>
  </si>
  <si>
    <t>ИП230400076900001</t>
  </si>
  <si>
    <t>353320 Краснодарский край город Абинск улица Советов дом 53   магазин №19</t>
  </si>
  <si>
    <t>ИП Чаун Ольга Алексеевна</t>
  </si>
  <si>
    <t>232300361207</t>
  </si>
  <si>
    <t>ИП2304002086</t>
  </si>
  <si>
    <t>ИП230400208600000</t>
  </si>
  <si>
    <t>353320 Краснодарский край город Абинск улица Советов дом 51    2</t>
  </si>
  <si>
    <t>ИП230400208600002</t>
  </si>
  <si>
    <t>353320 Краснодарский край город Абинск проспект Комсомольский дом 70</t>
  </si>
  <si>
    <t>ИП Камардина Наталья Георгиевна</t>
  </si>
  <si>
    <t>232301447672</t>
  </si>
  <si>
    <t>ИП2304033651</t>
  </si>
  <si>
    <t>ИП230403365100000</t>
  </si>
  <si>
    <t>350020 Краснодарский край город Краснодар улица Гамбургская дом 16   торговый прилавок</t>
  </si>
  <si>
    <t>ИП Беркут И.Г.</t>
  </si>
  <si>
    <t>232304676624</t>
  </si>
  <si>
    <t>ИП2304012799</t>
  </si>
  <si>
    <t>ИП230401279900000</t>
  </si>
  <si>
    <t>353380 Краснодарский край город Крымск улица Синева дом 9   10, 14, 15</t>
  </si>
  <si>
    <t>ИП Чаун Дмитрий Романович</t>
  </si>
  <si>
    <t>232311215938</t>
  </si>
  <si>
    <t>ИП2304040068</t>
  </si>
  <si>
    <t>ИП230404006800000</t>
  </si>
  <si>
    <t>353290 Краснодарский край город Горячий Ключ улица Революции дом 4 павильон 90</t>
  </si>
  <si>
    <t>ИП Хомикова Галина Алексеевна</t>
  </si>
  <si>
    <t>232501223528</t>
  </si>
  <si>
    <t>ИП2304011214</t>
  </si>
  <si>
    <t>ИП230401121400000</t>
  </si>
  <si>
    <t>354200 Краснодарский край город Сочи улица Победы дом 31</t>
  </si>
  <si>
    <t>ИП Бондарь Анастасия Валерьевна</t>
  </si>
  <si>
    <t>232505580048</t>
  </si>
  <si>
    <t>ИП2304013204</t>
  </si>
  <si>
    <t>ИП230401320400000</t>
  </si>
  <si>
    <t>354000 Краснодарский край город Сочи улица Победы дом 153</t>
  </si>
  <si>
    <t>ИП230401320400001</t>
  </si>
  <si>
    <t>352690 Краснодарский край город Апшеронск улица Ворошилова дом 16   2</t>
  </si>
  <si>
    <t>ИП Матосьян Ольга Владимировна</t>
  </si>
  <si>
    <t>232507154729</t>
  </si>
  <si>
    <t>ИП2304000551</t>
  </si>
  <si>
    <t>ИП230400055100000</t>
  </si>
  <si>
    <t>352690 Краснодарский край город Апшеронск улица Ленина дом 12</t>
  </si>
  <si>
    <t>ИП Дроздова Нина Евгеньевна</t>
  </si>
  <si>
    <t>232524446376</t>
  </si>
  <si>
    <t>ИП2304031882</t>
  </si>
  <si>
    <t>ИП230403188200000</t>
  </si>
  <si>
    <t>350015 Краснодарский край город Краснодар улица Северная дом 408</t>
  </si>
  <si>
    <t>ИП Бондаренко Денис Андреевич</t>
  </si>
  <si>
    <t>232525765061</t>
  </si>
  <si>
    <t>ИП2304007376</t>
  </si>
  <si>
    <t>ИП230400737600000</t>
  </si>
  <si>
    <t>353040 Краснодарский край село Белая Глина улица Первомайская дом 195</t>
  </si>
  <si>
    <t>ИП Дьяков Виталий Эдуардович</t>
  </si>
  <si>
    <t>232600058106</t>
  </si>
  <si>
    <t>ИП2304007467</t>
  </si>
  <si>
    <t>ИП230400746700000</t>
  </si>
  <si>
    <t>353040 Краснодарский край село Белая Глина улица Красная дом 116   помещение магазина №27</t>
  </si>
  <si>
    <t>ИП Охрименко Ирина Николаевна</t>
  </si>
  <si>
    <t>232600355187</t>
  </si>
  <si>
    <t>ИП2304004238</t>
  </si>
  <si>
    <t>ИП230400423800000</t>
  </si>
  <si>
    <t>352750 Краснодарский край станица Брюховецкая улица Кирова дом 170Б/1</t>
  </si>
  <si>
    <t>ИП Слинченко Олег Анатольевич</t>
  </si>
  <si>
    <t>232701127540</t>
  </si>
  <si>
    <t>ИП2304003094</t>
  </si>
  <si>
    <t>ИП230400309400000</t>
  </si>
  <si>
    <t>352190 Краснодарский край город Гулькевичи улица Красная дом 20</t>
  </si>
  <si>
    <t>2329010775</t>
  </si>
  <si>
    <t>ЮЛ2304006611</t>
  </si>
  <si>
    <t>ЮЛ230400661100000</t>
  </si>
  <si>
    <t>352120 Краснодарский край город Тихорецк улица Октябрьская дом 58А</t>
  </si>
  <si>
    <t>ЮЛ230400661100001</t>
  </si>
  <si>
    <t>352380 Краснодарский край город Кропоткин улица Красная дом 54</t>
  </si>
  <si>
    <t>ЮЛ230400661100002</t>
  </si>
  <si>
    <t>352430 Краснодарский край город Курганинск улица Комсомольская дом 87   помещение 24, 25</t>
  </si>
  <si>
    <t>ИП Киселева Татьяна Валериевна</t>
  </si>
  <si>
    <t>232903614842</t>
  </si>
  <si>
    <t>ИП2304001100</t>
  </si>
  <si>
    <t>ИП230400110000000</t>
  </si>
  <si>
    <t>352190 Краснодарский край город Гулькевичи улица Красная дом 11б   -</t>
  </si>
  <si>
    <t>ИП230400110000004</t>
  </si>
  <si>
    <t>352190 Краснодарский край город Гулькевичи улица Красная дом 11А</t>
  </si>
  <si>
    <t>ИП230400110000005</t>
  </si>
  <si>
    <t>ИП Киселев Геннадий Сергеевич</t>
  </si>
  <si>
    <t>232904542661</t>
  </si>
  <si>
    <t>ИП2304006632</t>
  </si>
  <si>
    <t>ИП230400663200000</t>
  </si>
  <si>
    <t>352190 Краснодарский край город Гулькевичи улица Красная дом 11А - - -</t>
  </si>
  <si>
    <t>ИП Жемпала Карина Олеговна</t>
  </si>
  <si>
    <t>232906245671</t>
  </si>
  <si>
    <t>ИП7803019325</t>
  </si>
  <si>
    <t>ИП780301932500000</t>
  </si>
  <si>
    <t>353204 Краснодарский край станица Динская улица Чапаева дом 75  Литер: А,а5 1,2,3,4,5</t>
  </si>
  <si>
    <t>ИП Рипка Надежда Алексеевна</t>
  </si>
  <si>
    <t>233000561302</t>
  </si>
  <si>
    <t>ИП2304009722</t>
  </si>
  <si>
    <t>ИП230400972200000</t>
  </si>
  <si>
    <t>352147 Краснодарский край станица Казанская улица Красная дом 76/2</t>
  </si>
  <si>
    <t>ИП Матевосян Валерий Сергеевич</t>
  </si>
  <si>
    <t>233202675165</t>
  </si>
  <si>
    <t>ИП2304037140</t>
  </si>
  <si>
    <t>ИП230403714000000</t>
  </si>
  <si>
    <t>353793 Краснодарский край станица Старовеличковская улица Красная дом 165</t>
  </si>
  <si>
    <t>ИП Овчинникова Светлана Степановна</t>
  </si>
  <si>
    <t>233300054215</t>
  </si>
  <si>
    <t>ИП2304005658</t>
  </si>
  <si>
    <t>ИП230400565800000</t>
  </si>
  <si>
    <t>353780 Краснодарский край станица Калининская улица Фадеева дом 152</t>
  </si>
  <si>
    <t>ИП230400565800001</t>
  </si>
  <si>
    <t>353800 Краснодарский край станица Полтавская улица Ковтюха дом 90</t>
  </si>
  <si>
    <t>ИП230400565800002</t>
  </si>
  <si>
    <t>353555 Краснодарский край станица Тамань улица Пушкина павильон 7</t>
  </si>
  <si>
    <t>ИП230400565800003</t>
  </si>
  <si>
    <t>353780 Краснодарский край станица Калининская улица Пролетарская дом 53</t>
  </si>
  <si>
    <t>ИП Бурназян Артем Норикович</t>
  </si>
  <si>
    <t>233304244619</t>
  </si>
  <si>
    <t>ИП2304008719</t>
  </si>
  <si>
    <t>ИП230400871900000</t>
  </si>
  <si>
    <t>353780 Краснодарский край станица Калининская Базарная площадь торговое место 95</t>
  </si>
  <si>
    <t>ИП230400871900001</t>
  </si>
  <si>
    <t>353730 Краснодарский край станица Каневская Ленина 20</t>
  </si>
  <si>
    <t>ИП Марковина Ирина Леонидовна</t>
  </si>
  <si>
    <t>233400517700</t>
  </si>
  <si>
    <t>ИП2304033165</t>
  </si>
  <si>
    <t>ИП230403316500000</t>
  </si>
  <si>
    <t>350089 Краснодарский край город Краснодар проспект Чекистов дом 17 ТЦ Юбилейный</t>
  </si>
  <si>
    <t>ИП Топкин Евгений Валерьевич</t>
  </si>
  <si>
    <t>233504673439</t>
  </si>
  <si>
    <t>ИП2304017753</t>
  </si>
  <si>
    <t>ИП230401775300000</t>
  </si>
  <si>
    <t>353180 Краснодарский край город Кореновск улица Красная дом 57а</t>
  </si>
  <si>
    <t>ИП Мурай Марина Леонидовна</t>
  </si>
  <si>
    <t>233505343105</t>
  </si>
  <si>
    <t>ИП2304004250</t>
  </si>
  <si>
    <t>ИП230400425000000</t>
  </si>
  <si>
    <t>353180 Краснодарский край город Кореновск улица Красная 122</t>
  </si>
  <si>
    <t>ИП Башмаков Геннадий Даниэльевич</t>
  </si>
  <si>
    <t>233507231703</t>
  </si>
  <si>
    <t>ИП2304033890</t>
  </si>
  <si>
    <t>ИП230403389000000</t>
  </si>
  <si>
    <t>353715 Краснодарский край станица Челбасская улица Красноармейская дом 62</t>
  </si>
  <si>
    <t>ИП Сирота Наталья Сергеевна</t>
  </si>
  <si>
    <t>233507287400</t>
  </si>
  <si>
    <t>ИП2304036749</t>
  </si>
  <si>
    <t>ИП230403674900000</t>
  </si>
  <si>
    <t>353800 Краснодарский край станица Полтавская улица Ковтюха дом 68</t>
  </si>
  <si>
    <t>ИП Кузнецов Игорь Николаевич</t>
  </si>
  <si>
    <t>233600155937</t>
  </si>
  <si>
    <t>ИП2304000106</t>
  </si>
  <si>
    <t>ИП230400010600000</t>
  </si>
  <si>
    <t>353800 Краснодарский край станица Полтавская улица Красная дом 133(торговое помещение)</t>
  </si>
  <si>
    <t>ИП Прусс Татьяна Юрьевна</t>
  </si>
  <si>
    <t>233600961373</t>
  </si>
  <si>
    <t>ИП2304001310</t>
  </si>
  <si>
    <t>ИП230400131000000</t>
  </si>
  <si>
    <t>353560 Краснодарский край город Славянск-на-Кубани улица Ковтюха дом 5</t>
  </si>
  <si>
    <t>ИП Волкова Лада Михайловна</t>
  </si>
  <si>
    <t>233603094104</t>
  </si>
  <si>
    <t>ИП2304035633</t>
  </si>
  <si>
    <t>ИП230403563300000</t>
  </si>
  <si>
    <t>353380 Краснодарский край город Крымск улица Синева дом 11  А2 помещение 1</t>
  </si>
  <si>
    <t>ИП Андрющенко Виктор Леонидович</t>
  </si>
  <si>
    <t>233700808273</t>
  </si>
  <si>
    <t>ИП2304008706</t>
  </si>
  <si>
    <t>ИП230400870600000</t>
  </si>
  <si>
    <t>352080 Краснодарский край станица Крыловская улица Стаханова дом 7А</t>
  </si>
  <si>
    <t>ИП Солошенко Иван Сергеевич</t>
  </si>
  <si>
    <t>233803273118</t>
  </si>
  <si>
    <t>ИП2304009888</t>
  </si>
  <si>
    <t>ИП230400988800000</t>
  </si>
  <si>
    <t>352430 Краснодарский край город Курганинск улица Серова дом 3/3</t>
  </si>
  <si>
    <t>ИП Пестов Виктор Анатольевич</t>
  </si>
  <si>
    <t>233900329736</t>
  </si>
  <si>
    <t>ИП2304007436</t>
  </si>
  <si>
    <t>ИП230400743600000</t>
  </si>
  <si>
    <t>352630 Краснодарский край город Белореченск улица Красная дом 67</t>
  </si>
  <si>
    <t>ИП230400743600001</t>
  </si>
  <si>
    <t>352430 Краснодарский край город Курганинск улица Таманская дом 63</t>
  </si>
  <si>
    <t>ИП Кравченко Карина Рубеновна</t>
  </si>
  <si>
    <t>233900431257</t>
  </si>
  <si>
    <t>ИП2304013467</t>
  </si>
  <si>
    <t>ИП230401346700000</t>
  </si>
  <si>
    <t>352430 Краснодарский край город Курганинск улица Комсомольская дом 34</t>
  </si>
  <si>
    <t>ООО "ВИРАЖ-ЛОМБАРД"</t>
  </si>
  <si>
    <t>2339017900</t>
  </si>
  <si>
    <t>ЮЛ2304007268</t>
  </si>
  <si>
    <t>ЮЛ230400726800000</t>
  </si>
  <si>
    <t>352430 Краснодарский край Город Курганинск Улица Матросова Дом 237/3</t>
  </si>
  <si>
    <t>ИП Горковенко Т.Н.</t>
  </si>
  <si>
    <t>233904020530</t>
  </si>
  <si>
    <t>ИП2304007074</t>
  </si>
  <si>
    <t>ИП230400707400000</t>
  </si>
  <si>
    <t>352630 Краснодарский край Белореченск Ленина 129   3</t>
  </si>
  <si>
    <t>ИП Пестов Сергей Викторович</t>
  </si>
  <si>
    <t>233907319007</t>
  </si>
  <si>
    <t>ИП2304034435</t>
  </si>
  <si>
    <t>ИП230403443500000</t>
  </si>
  <si>
    <t>352430 Краснодарский край город Курганинск Комсомольская  26  3</t>
  </si>
  <si>
    <t>ИП230403443500002</t>
  </si>
  <si>
    <t>352030 Краснодарский край станица Кущевская переулок Куцева дом 39Б/2</t>
  </si>
  <si>
    <t>ИП Сурушкина Людмила Петровна</t>
  </si>
  <si>
    <t>234000335601</t>
  </si>
  <si>
    <t>ИП2304003311</t>
  </si>
  <si>
    <t>ИП230400331100000</t>
  </si>
  <si>
    <t>353740 Краснодарский край станица Ленинградская улица Кооперации дом 141/2</t>
  </si>
  <si>
    <t>ИП230400331100001</t>
  </si>
  <si>
    <t>353600 Краснодарский край станица Староминская улица Кольцовская дом 24В</t>
  </si>
  <si>
    <t>ИП230400331100002</t>
  </si>
  <si>
    <t>352030 Краснодарский край станица Кущевская переулок Куцева дом 43 б</t>
  </si>
  <si>
    <t>ИП Агеева Елена Викторовна</t>
  </si>
  <si>
    <t>234001671934</t>
  </si>
  <si>
    <t>ИП2304009016</t>
  </si>
  <si>
    <t>ИП230400901600000</t>
  </si>
  <si>
    <t>352030 Краснодарский край станица Кущевская переулок Первомайский дом 97   помещение 2</t>
  </si>
  <si>
    <t>ИП Оганесян Гарник Норикович</t>
  </si>
  <si>
    <t>234005323367</t>
  </si>
  <si>
    <t>ИП2304019592</t>
  </si>
  <si>
    <t>ИП230401959200000</t>
  </si>
  <si>
    <t>350087 Краснодарский край город Краснодар улица им. Комарова В.М. дом 21/1 корпус 6  помещение 9</t>
  </si>
  <si>
    <t>ИП Гергель Татьяна Валерьевна</t>
  </si>
  <si>
    <t>234100059240</t>
  </si>
  <si>
    <t>ИП2304035927</t>
  </si>
  <si>
    <t>ИП230403592700000</t>
  </si>
  <si>
    <t>353740 Краснодарский край Станица Ленинградаская Улица Кооперации  Дом 84-З-4  А</t>
  </si>
  <si>
    <t>ИП Прокопенко Клавдия Агвановна</t>
  </si>
  <si>
    <t>234100124241</t>
  </si>
  <si>
    <t>ИП2304005434</t>
  </si>
  <si>
    <t>ИП230400543400000</t>
  </si>
  <si>
    <t>353740 Краснодарский край станица Ленинградская улица Кооперации дом 141/2   27</t>
  </si>
  <si>
    <t>ИП Шведова Елена Вячеславовна</t>
  </si>
  <si>
    <t>234100219013</t>
  </si>
  <si>
    <t>ИП2304016523</t>
  </si>
  <si>
    <t>ИП230401652300000</t>
  </si>
  <si>
    <t>350916 Краснодарский край город Краснодар улица Степная дом 285   помещение 30</t>
  </si>
  <si>
    <t>ИП Гуцо Юлия Анатольевна</t>
  </si>
  <si>
    <t>234300780145</t>
  </si>
  <si>
    <t>ИП2304008992</t>
  </si>
  <si>
    <t>ИП230400899200000</t>
  </si>
  <si>
    <t>352240 Краснодарский край город Новокубанск улица Первомайская дом 177   помещение 1, 7</t>
  </si>
  <si>
    <t>ИП Коровчук Инна Александровна</t>
  </si>
  <si>
    <t>234300820503</t>
  </si>
  <si>
    <t>ИП2304007291</t>
  </si>
  <si>
    <t>ИП230400729100000</t>
  </si>
  <si>
    <t>352450 Краснодарский край село Успенское улица Ленина дом 112</t>
  </si>
  <si>
    <t>ИП230400729100003</t>
  </si>
  <si>
    <t>353240 Краснодарский край станица Северская улица Народная дом 23   помещение 8</t>
  </si>
  <si>
    <t>ИП230400729100005</t>
  </si>
  <si>
    <t>353204 Краснодарский край станица Динская улица Красная дом 78/1А   помещение 7,8</t>
  </si>
  <si>
    <t>ИП230400729100006</t>
  </si>
  <si>
    <t>353020 Краснодарский край станица Новопокровская улица Ленина дом 83</t>
  </si>
  <si>
    <t>ИП Радионова Светлана Александровна</t>
  </si>
  <si>
    <t>234402997108</t>
  </si>
  <si>
    <t>ИП2304000948</t>
  </si>
  <si>
    <t>ИП230400094800000</t>
  </si>
  <si>
    <t>352290 Краснодарский край станица Отрадная улица Широкая дом 2 корпус 17б  этаж 1 квартира 3</t>
  </si>
  <si>
    <t>ИП Анненко Инна Евгеньевна</t>
  </si>
  <si>
    <t>234504454887</t>
  </si>
  <si>
    <t>ИП2304033781</t>
  </si>
  <si>
    <t>ИП230403378100000</t>
  </si>
  <si>
    <t>352291 Краснодарский край станица Отрадная Октябрьская 149  А</t>
  </si>
  <si>
    <t>ИП Ераносян Елена Овсеповна</t>
  </si>
  <si>
    <t>234505617598</t>
  </si>
  <si>
    <t>ИП2304007450</t>
  </si>
  <si>
    <t>ИП230400745000000</t>
  </si>
  <si>
    <t>352040 Краснодарский край станица Павловская улица Ленина дом 24  литера Б</t>
  </si>
  <si>
    <t>ИП Фирсова Анна Григорьевна</t>
  </si>
  <si>
    <t>234600226435</t>
  </si>
  <si>
    <t>ИП7701000449</t>
  </si>
  <si>
    <t>ИП770100044900000</t>
  </si>
  <si>
    <t>352040 Краснодарский край станица Павловская улица Ленина дом 24 Д магазин</t>
  </si>
  <si>
    <t>ИП Шершень Елена Борисовна</t>
  </si>
  <si>
    <t>234600537790</t>
  </si>
  <si>
    <t>ИП2304007783</t>
  </si>
  <si>
    <t>ИП230400778300000</t>
  </si>
  <si>
    <t>353860 Краснодарский край город Приморско-Ахтарск улица Островского дом 71/3</t>
  </si>
  <si>
    <t>ИП Шатова Марина Владимировна</t>
  </si>
  <si>
    <t>234701571815</t>
  </si>
  <si>
    <t>ИП2304001549</t>
  </si>
  <si>
    <t>ИП230400154900000</t>
  </si>
  <si>
    <t>353860 Краснодарский край город Приморско-Ахтарск улица Островского дом 71/1</t>
  </si>
  <si>
    <t>ИП230400154900001</t>
  </si>
  <si>
    <t>353860 Краснодарский край город Приморско-Ахтарск улица Пролетарская дом 111   23,24</t>
  </si>
  <si>
    <t>ИП230400154900002</t>
  </si>
  <si>
    <t>353860 Краснодарский край город Приморско-Ахтарск улица Космонавтов дом 18/5</t>
  </si>
  <si>
    <t>ИП Шатов Петр Николаевич</t>
  </si>
  <si>
    <t>234704733310</t>
  </si>
  <si>
    <t>ИП2304034986</t>
  </si>
  <si>
    <t>ИП230403498600000</t>
  </si>
  <si>
    <t>353230 Краснодарский край поселок городского типа Ильский улица Первомайская 115</t>
  </si>
  <si>
    <t>ИП Григорян Г.С.</t>
  </si>
  <si>
    <t>234800014653</t>
  </si>
  <si>
    <t>ИП2304014288</t>
  </si>
  <si>
    <t>ИП230401428800000</t>
  </si>
  <si>
    <t>353240 Краснодарский край станица Северская  Улица 50 лет Октября дом 31 корпус/строение  литера  офис/квартира</t>
  </si>
  <si>
    <t>ИП Косенко Светлана Владиславовна</t>
  </si>
  <si>
    <t>234800967952</t>
  </si>
  <si>
    <t>ИП2304003096</t>
  </si>
  <si>
    <t>ИП230400309600000</t>
  </si>
  <si>
    <t>350020 Краснодарский край город Краснодар улица Красная дом 180А квартал 359 литер В помещение №№ 10, 14</t>
  </si>
  <si>
    <t>ИП Белова Марина Николаевна</t>
  </si>
  <si>
    <t>234803780134</t>
  </si>
  <si>
    <t>ИП2304001483</t>
  </si>
  <si>
    <t>ИП230400148300000</t>
  </si>
  <si>
    <t>350059 Краснодарский край город Краснодар улица Уральская дом 98/11</t>
  </si>
  <si>
    <t>ИП230400148300001</t>
  </si>
  <si>
    <t>353230 Краснодарский край посёлок гордского типа Ильский улица Мира дом 205  литер А помещение 23/1</t>
  </si>
  <si>
    <t>ИП Валько Руслан Николаевич</t>
  </si>
  <si>
    <t>234803780840</t>
  </si>
  <si>
    <t>ИП2304001562</t>
  </si>
  <si>
    <t>ИП230400156200000</t>
  </si>
  <si>
    <t>350916 Краснодарский край станица Елизаветинская улица Степная дом 314/1   помещение АА</t>
  </si>
  <si>
    <t>ИП230400156200001</t>
  </si>
  <si>
    <t>353560 Краснодарский край город Славянск-на-Кубани улица Дзержинского  дом 263   1 этаж</t>
  </si>
  <si>
    <t>ИП Ващенко Елена Евгеньевна</t>
  </si>
  <si>
    <t>234900165590</t>
  </si>
  <si>
    <t>ИП2304000207</t>
  </si>
  <si>
    <t>ИП230400020700000</t>
  </si>
  <si>
    <t>353560 Краснодарский край город Славянск-на-Кубани Красная 7Б</t>
  </si>
  <si>
    <t>ПК "СЛАВЯНСКОЕ ГОРПО"</t>
  </si>
  <si>
    <t>2349004000</t>
  </si>
  <si>
    <t>ЮЛ2304005235</t>
  </si>
  <si>
    <t>ЮЛ230400523500000</t>
  </si>
  <si>
    <t>353567 Краснодарский край город Славянск-на-Кубани улица Красная дом 4/1 помещение 2</t>
  </si>
  <si>
    <t>ЮЛ230400523500001</t>
  </si>
  <si>
    <t>353567 Краснодарский край город Славянск-на-Кубани улица Школьная дом 318</t>
  </si>
  <si>
    <t>ЮЛ230400523500002</t>
  </si>
  <si>
    <t>353560 Краснодарский край город Славянск-на-Кубани улица Ковтюха дом 30</t>
  </si>
  <si>
    <t>ИП Коток Полина Сергеевна</t>
  </si>
  <si>
    <t>234901156301</t>
  </si>
  <si>
    <t>ИП2304012869</t>
  </si>
  <si>
    <t>ИП230401286900000</t>
  </si>
  <si>
    <t>353590 Краснодарский край станица Анастасиевская улица Красная дом 77</t>
  </si>
  <si>
    <t>ИП Ястремская Вера Николаевна</t>
  </si>
  <si>
    <t>234901366098</t>
  </si>
  <si>
    <t>ИП2304004148</t>
  </si>
  <si>
    <t>ИП230400414800000</t>
  </si>
  <si>
    <t>353579 Краснодарский край станица Петровская улица Красная дом 25</t>
  </si>
  <si>
    <t>ИП Сапелкина Эльвира Петровна</t>
  </si>
  <si>
    <t>234909852646</t>
  </si>
  <si>
    <t>ИП2304000728</t>
  </si>
  <si>
    <t>ИП230400072800000</t>
  </si>
  <si>
    <t>353440 Краснодарский край город Анапа улица Астраханская дом 84В   помещение 18,19,20,21</t>
  </si>
  <si>
    <t>ИП Шайногин Андрей Михайлович</t>
  </si>
  <si>
    <t>235204398048</t>
  </si>
  <si>
    <t>ИП2304000206</t>
  </si>
  <si>
    <t>ИП230400020600000</t>
  </si>
  <si>
    <t>353507 Краснодарский край город Темрюк улица Ленина дом 180   помещение 3</t>
  </si>
  <si>
    <t>ООО "ЛОМБАРД КАРАТ ЮГ"</t>
  </si>
  <si>
    <t>2352058221</t>
  </si>
  <si>
    <t>ЮЛ2304030326</t>
  </si>
  <si>
    <t>ЮЛ230403032600000</t>
  </si>
  <si>
    <t>353780 Краснодарский край станица Калининская улица Советская дом 60/1</t>
  </si>
  <si>
    <t>ООО "АЛМАЗ-Л"</t>
  </si>
  <si>
    <t>2353025660</t>
  </si>
  <si>
    <t>ЮЛ2304005479</t>
  </si>
  <si>
    <t>ЮЛ230400547900000</t>
  </si>
  <si>
    <t>353556 Краснодарский край станица Тамань улица Карла Маркса дом 110</t>
  </si>
  <si>
    <t>ЮЛ230400547900002</t>
  </si>
  <si>
    <t>352708 Краснодарский край город Тимашевск улица Братская дом 135А</t>
  </si>
  <si>
    <t>ИП Лопинова Анна Борисовна</t>
  </si>
  <si>
    <t>235303660948</t>
  </si>
  <si>
    <t>ИП2304008335</t>
  </si>
  <si>
    <t>ИП230400833500000</t>
  </si>
  <si>
    <t>352800 Краснодарский край город Туапсе улица Маршала Жукова дом 22   помещение 35</t>
  </si>
  <si>
    <t>ИП Оксузян Шираз Арзуманович</t>
  </si>
  <si>
    <t>235500054590</t>
  </si>
  <si>
    <t>ИП2304006714</t>
  </si>
  <si>
    <t>ИП230400671400001</t>
  </si>
  <si>
    <t>352800 Краснодарский край город Туапсе улица К. Маркса дом 15</t>
  </si>
  <si>
    <t>ИП Романова Галина Ивановна</t>
  </si>
  <si>
    <t>235500480045</t>
  </si>
  <si>
    <t>ИП2304010852</t>
  </si>
  <si>
    <t>ИП230401085200000</t>
  </si>
  <si>
    <t>352855 Краснодарский край поселок городского типа Новомихайловский улица Ленина дом 4Г нет нет нет</t>
  </si>
  <si>
    <t>ИП Юнингер Анна Викторовна</t>
  </si>
  <si>
    <t>235503546907</t>
  </si>
  <si>
    <t>ИП2304007680</t>
  </si>
  <si>
    <t>ИП230400768000000</t>
  </si>
  <si>
    <t>353211 Краснодарский край станица Новотитаровская улица Коммунаров дом 90/2 нет нет нет</t>
  </si>
  <si>
    <t>ИП230400768000001</t>
  </si>
  <si>
    <t>350065 Краснодарский край город Краснодар улица им. Валерия Гассия дом 2А</t>
  </si>
  <si>
    <t>ИП Магденко Инна Васильевна</t>
  </si>
  <si>
    <t>235505034157</t>
  </si>
  <si>
    <t>ИП2304035891</t>
  </si>
  <si>
    <t>ИП230403589100000</t>
  </si>
  <si>
    <t>352330 Краснодарский край город Усть-Лабинск Улица Ободовского Дом  27   нежилые помещения 2,3</t>
  </si>
  <si>
    <t>ИП Гутиева Виктория Казбековна</t>
  </si>
  <si>
    <t>235603124592</t>
  </si>
  <si>
    <t>ИП2304003190</t>
  </si>
  <si>
    <t>ИП230400319000000</t>
  </si>
  <si>
    <t>352330 Краснодарский край город Усть-Лабинск улица Ленина дом 87Е   помещение 3</t>
  </si>
  <si>
    <t>ООО "ЛОМБАРД-КУБАНЬ"</t>
  </si>
  <si>
    <t>2356042470</t>
  </si>
  <si>
    <t>ЮЛ2304001092</t>
  </si>
  <si>
    <t>ЮЛ230400109200000</t>
  </si>
  <si>
    <t>352330 Краснодарский край город Усть-Лабинск улица Ленина дом 87Е</t>
  </si>
  <si>
    <t>ИП Кур Валерий Сергеевич</t>
  </si>
  <si>
    <t>235611906201</t>
  </si>
  <si>
    <t>ИП2304035486</t>
  </si>
  <si>
    <t>ИП230403548600000</t>
  </si>
  <si>
    <t>353460 Краснодарский край город Геленджик улица Революционная дом 53</t>
  </si>
  <si>
    <t>ИП Доценко Юрий Владимирович</t>
  </si>
  <si>
    <t>235622294141</t>
  </si>
  <si>
    <t>ИП2304007435</t>
  </si>
  <si>
    <t>ИП230400743500000</t>
  </si>
  <si>
    <t>353620 Краснодарский край станица Старощербиновская улица Первомайская дом 82/4</t>
  </si>
  <si>
    <t>ИП Зверькова Светлана Алексеевна</t>
  </si>
  <si>
    <t>235802509300</t>
  </si>
  <si>
    <t>ИП2304019853</t>
  </si>
  <si>
    <t>ИП230401985300000</t>
  </si>
  <si>
    <t>352120 Краснодарский край город Тихорецк улица Энгельса дом 74</t>
  </si>
  <si>
    <t>2360008070</t>
  </si>
  <si>
    <t>ЮЛ2304008320</t>
  </si>
  <si>
    <t>ЮЛ230400832000001</t>
  </si>
  <si>
    <t>353380 Краснодарский край город Крымск улица Ленина дом 211 корп. 4  помещение № В-1-26</t>
  </si>
  <si>
    <t>ООО "ТД ИЗУМРУД"</t>
  </si>
  <si>
    <t>2361015048</t>
  </si>
  <si>
    <t>ЮЛ2304001468</t>
  </si>
  <si>
    <t>ЮЛ230400146800001</t>
  </si>
  <si>
    <t>353370 Краснодарский край станица Варениковская улица Горького дом 25   помещение 4,5,6,7</t>
  </si>
  <si>
    <t>ЮЛ230400146800002</t>
  </si>
  <si>
    <t>350016 Краснодарский край город Краснодар улица Зиповская  34/Б   40</t>
  </si>
  <si>
    <t>ИП Петросян Виген Радикович</t>
  </si>
  <si>
    <t>236200912539</t>
  </si>
  <si>
    <t>ИП2304033187</t>
  </si>
  <si>
    <t>ИП230403318700000</t>
  </si>
  <si>
    <t>352380 Краснодарский край город Кропоткин улица Красная дом 226 д - -</t>
  </si>
  <si>
    <t>ООО ЛОМБАРД "ВЫСОКАЯ ОЦЕНКА"</t>
  </si>
  <si>
    <t>2364020737</t>
  </si>
  <si>
    <t>ЮЛ2304032098</t>
  </si>
  <si>
    <t>ЮЛ230403209800000</t>
  </si>
  <si>
    <t>352380 Краснодарский край город Кропоткин улица Красная дом 45 - - -</t>
  </si>
  <si>
    <t>ИП Сухомлинов Михаил Юрьевич</t>
  </si>
  <si>
    <t>236403746767</t>
  </si>
  <si>
    <t>ИП2304009013</t>
  </si>
  <si>
    <t>ИП230400901300000</t>
  </si>
  <si>
    <t>352380 Краснодарский край город Армавир улица Мира дом 51 - - офис</t>
  </si>
  <si>
    <t>ИП230400901300001</t>
  </si>
  <si>
    <t>353440 Краснодарский край город Анапа улица Красноармейская дом 17 павильон 20 литера А -</t>
  </si>
  <si>
    <t>ИП230400901300002</t>
  </si>
  <si>
    <t>353440 Краснодарский край город Анапа улица Астраханская дом 99 - - офис</t>
  </si>
  <si>
    <t>ИП230400901300003</t>
  </si>
  <si>
    <t>352380 Краснодарский край город Кропоткин Красная 45   офис 1</t>
  </si>
  <si>
    <t>ИП230400901300005</t>
  </si>
  <si>
    <t>352800 Краснодарский край город Туапсе улица К.Маркса дом 12   магазин 7</t>
  </si>
  <si>
    <t>ИП Кочян Алина Артуровна</t>
  </si>
  <si>
    <t>236504797983</t>
  </si>
  <si>
    <t>ИП2304002278</t>
  </si>
  <si>
    <t>ИП230400227800000</t>
  </si>
  <si>
    <t>354000 Краснодарский край город Сочи улица Воровского дом 58   Помещение 9</t>
  </si>
  <si>
    <t>ООО "НАШ ЛОМБАРД"</t>
  </si>
  <si>
    <t>2366006657</t>
  </si>
  <si>
    <t>ЮЛ2304001176</t>
  </si>
  <si>
    <t>ЮЛ230400117600000</t>
  </si>
  <si>
    <t>354000 Краснодарский край город Сочи улица Московская дом 18   помещение 4</t>
  </si>
  <si>
    <t>ООО "ЛОМБАРД КЛЕВЕР ПЛЮС"</t>
  </si>
  <si>
    <t>2366024952</t>
  </si>
  <si>
    <t>ЮЛ2304002668</t>
  </si>
  <si>
    <t>ЮЛ230400266800000</t>
  </si>
  <si>
    <t>354066 Краснодарский край город Сочи улица Сухумское шоссе дом 51</t>
  </si>
  <si>
    <t>ЮЛ230400266800001</t>
  </si>
  <si>
    <t>354068 Краснодарский край город Сочи улица Донская дом 96/2</t>
  </si>
  <si>
    <t>ЮЛ230400266800002</t>
  </si>
  <si>
    <t>354340 Краснодарский край город Сочи улица Демократическая дом 45   7а/1.1</t>
  </si>
  <si>
    <t>ЮЛ230400266800003</t>
  </si>
  <si>
    <t>354003 Краснодарский край г. Сочи ул. Макаренко 13</t>
  </si>
  <si>
    <t>ИП Папазян Эвелина Артуровна</t>
  </si>
  <si>
    <t>236700930624</t>
  </si>
  <si>
    <t>ИП2304033755</t>
  </si>
  <si>
    <t>ИП230403375500000</t>
  </si>
  <si>
    <t>354340 Краснодарский край город Сочи переулок Ереванский дом 8 А литер "Б"  кабинет № 2</t>
  </si>
  <si>
    <t>2367011900</t>
  </si>
  <si>
    <t>ЮЛ2304006414</t>
  </si>
  <si>
    <t>ЮЛ230400641400000</t>
  </si>
  <si>
    <t>353800 Краснодарский край станица Полтавская улица Ковтюха дом 119 нет нет владение 6</t>
  </si>
  <si>
    <t>ООО "МОЙ - ЛОМБАРД"</t>
  </si>
  <si>
    <t>2370011191</t>
  </si>
  <si>
    <t>ЮЛ2304001585</t>
  </si>
  <si>
    <t>ЮЛ230400158500000</t>
  </si>
  <si>
    <t>352900 Краснодарский край город Армавир улица Мира дом 53</t>
  </si>
  <si>
    <t>ООО "ТОПАЗ"</t>
  </si>
  <si>
    <t>2372012232</t>
  </si>
  <si>
    <t>ЮЛ2304009791</t>
  </si>
  <si>
    <t>ЮЛ230400979100000</t>
  </si>
  <si>
    <t>352904 Краснодарский край город Армавир улица Кирова дом 52</t>
  </si>
  <si>
    <t>ЮЛ230400979100001</t>
  </si>
  <si>
    <t>ИП Кур Екатерина Валерьевна</t>
  </si>
  <si>
    <t>237310103300</t>
  </si>
  <si>
    <t>ИП2304032621</t>
  </si>
  <si>
    <t>ИП230403262100000</t>
  </si>
  <si>
    <t>354068 Краснодарский край  Сочи Тимирязева 27   30</t>
  </si>
  <si>
    <t>ИП Пристенская Альбина Валентиновна</t>
  </si>
  <si>
    <t>242001451554</t>
  </si>
  <si>
    <t>ИП2304040906</t>
  </si>
  <si>
    <t>ИП230404090600000</t>
  </si>
  <si>
    <t>350061 Краснодарский край город Краснодар улица Трудовой Славы дом 5   помещение 19</t>
  </si>
  <si>
    <t>ООО "ЛОМБАРД КОРУНД"</t>
  </si>
  <si>
    <t>2462045761</t>
  </si>
  <si>
    <t>ЮЛ2408001830</t>
  </si>
  <si>
    <t>ЮЛ240800183000015</t>
  </si>
  <si>
    <t>350912 Краснодарский край город Краснодар улица им. Лавочкина дом 13/1</t>
  </si>
  <si>
    <t>ЮЛ240800183000016</t>
  </si>
  <si>
    <t>350073 Краснодарский край город Краснодар улица Командорская дом 3 корпус 1  пом. 27</t>
  </si>
  <si>
    <t>ЮЛ240800183000029</t>
  </si>
  <si>
    <t>352630 Краснодарский край город Белореченск улица Щорса дом 93</t>
  </si>
  <si>
    <t>ЮЛ240800183000031</t>
  </si>
  <si>
    <t>350090 Краснодарский край город Краснодар улица им. Дзержинского дом 137</t>
  </si>
  <si>
    <t>ЮЛ240800183000032</t>
  </si>
  <si>
    <t>352690 Краснодарский край город Апшеронск улица Кооперативная дом 40   пом. ТП-1.13</t>
  </si>
  <si>
    <t>ЮЛ240800183000056</t>
  </si>
  <si>
    <t>352330 Краснодарский край город Усть-Лабинск улица Октябрьская дом 72А</t>
  </si>
  <si>
    <t>ЮЛ240800183000057</t>
  </si>
  <si>
    <t>352637 Краснодарский край город Белореченск улица Интернациональная дом 28   пом. 46, 52</t>
  </si>
  <si>
    <t>ЮЛ240800183000058</t>
  </si>
  <si>
    <t>354340 Краснодарский край город Сочи улица Ленина дом 77</t>
  </si>
  <si>
    <t>ООО "ЛОМБАРД ПАРТНЕР"</t>
  </si>
  <si>
    <t>2466206730</t>
  </si>
  <si>
    <t>ЮЛ2408016258</t>
  </si>
  <si>
    <t>ЮЛ240801625800001</t>
  </si>
  <si>
    <t>354340 Краснодарский край город Сочи улица Садовая дом 5</t>
  </si>
  <si>
    <t>ЮЛ240801625800002</t>
  </si>
  <si>
    <t>354081 Краснодарский край город Сочи улица Урожайная дом 60</t>
  </si>
  <si>
    <t>ЮЛ240801625800003</t>
  </si>
  <si>
    <t>350028 Краснодарский край город Краснодар улица Черкасская дом 60   помещение 80цокол</t>
  </si>
  <si>
    <t>ИП Бусыгин Юрий Русланович</t>
  </si>
  <si>
    <t>262103456307</t>
  </si>
  <si>
    <t>ИП2605032006</t>
  </si>
  <si>
    <t>ИП260503200600000</t>
  </si>
  <si>
    <t>354000 Краснодарский край город Сочи переулок Морской 2</t>
  </si>
  <si>
    <t>ИП Чесноков Владислав Александрович</t>
  </si>
  <si>
    <t>262902381979</t>
  </si>
  <si>
    <t>ИП2605037922</t>
  </si>
  <si>
    <t>ИП260503792200000</t>
  </si>
  <si>
    <t>354000 Краснодарский край город Сочи улица Приморская дом 15   28</t>
  </si>
  <si>
    <t>ИП Сигалова Светлана Николаевна</t>
  </si>
  <si>
    <t>263200867872</t>
  </si>
  <si>
    <t>ИП2605006277</t>
  </si>
  <si>
    <t>ИП260500627700009</t>
  </si>
  <si>
    <t>354349 Краснодарский край поселок городского типа Сириус улица Нижнеимеретинская дом 30</t>
  </si>
  <si>
    <t>ИП260500627700010</t>
  </si>
  <si>
    <t>354000 Краснодарский край город Сочи улица Приморская дом 17   3</t>
  </si>
  <si>
    <t>ИП260500627700012</t>
  </si>
  <si>
    <t>354000 Краснодарский край город Сочи улица Приморская дом 15 28</t>
  </si>
  <si>
    <t>ИП260500627700014</t>
  </si>
  <si>
    <t>354000 Краснодарский край город Сочи улица Навагинская дом 3/15</t>
  </si>
  <si>
    <t>ИП Каташевская Ирина Николаевна</t>
  </si>
  <si>
    <t>263402452278</t>
  </si>
  <si>
    <t>ИП2605038926</t>
  </si>
  <si>
    <t>ИП260503892600002</t>
  </si>
  <si>
    <t>352500 Краснодарский край город Лабинск улица Константинова дом 14</t>
  </si>
  <si>
    <t>ИП Бобришов Павел Николаевич</t>
  </si>
  <si>
    <t>263603958307</t>
  </si>
  <si>
    <t>ИП2605006123</t>
  </si>
  <si>
    <t>ИП260500612300000</t>
  </si>
  <si>
    <t>353920 Краснодарский край город Новороссийск проспект Дзержинского 197</t>
  </si>
  <si>
    <t>ИП Даниелян Илона Алексеевна</t>
  </si>
  <si>
    <t>263605741959</t>
  </si>
  <si>
    <t>ИП2605006084</t>
  </si>
  <si>
    <t>ИП260500608400004</t>
  </si>
  <si>
    <t>354000 Краснодарский край город Сочи проспект Курортный дом 16   помещение №20</t>
  </si>
  <si>
    <t>ИП Янченко Ольга Сергеевна</t>
  </si>
  <si>
    <t>272412784245</t>
  </si>
  <si>
    <t>ИП2304002049</t>
  </si>
  <si>
    <t>ИП230400204900000</t>
  </si>
  <si>
    <t>354364 Краснодарский край город Сочи улица Ленина дом 219 Коралл</t>
  </si>
  <si>
    <t>ИП230400204900001</t>
  </si>
  <si>
    <t>354340 Краснодарский край город Сочи улица Ленина дом 233 1 Б4</t>
  </si>
  <si>
    <t>ИП230400204900002</t>
  </si>
  <si>
    <t>354340 Краснодарский край поселок городского типа Сириус улица Чемпионов дом 1 13</t>
  </si>
  <si>
    <t>ИП230400204900003</t>
  </si>
  <si>
    <t>354008 Краснодарский край город Сочи улица Политехническая дом 62  Д 165</t>
  </si>
  <si>
    <t>ИП230400204900004</t>
  </si>
  <si>
    <t>354340 Краснодарский край Сочи Просвещение 139 1</t>
  </si>
  <si>
    <t>ИП230400204900005</t>
  </si>
  <si>
    <t>350020 Краснодарский край город Краснодар улица Красная дом 176/1 корпус 2, сектор 1 линия 9  магазин 10</t>
  </si>
  <si>
    <t>ИП500101205300000</t>
  </si>
  <si>
    <t>350059 Краснодарский край город Краснодар улица Уральская дом 79/2   помещение 1этаж2</t>
  </si>
  <si>
    <t>ИП500101205300001</t>
  </si>
  <si>
    <t>ИП500101205300003</t>
  </si>
  <si>
    <t>350024 Краснодарский край город Краснодар улица им. Сергея Есенина дом 113   помещение 1102</t>
  </si>
  <si>
    <t>ИП340400993200018</t>
  </si>
  <si>
    <t>350016 Краснодарский край город Краснодар улица Зиповская дом 34Б</t>
  </si>
  <si>
    <t>ИП340400993200019</t>
  </si>
  <si>
    <t>350000 Краснодарский край город Краснодар улица Октябрьская дом 177</t>
  </si>
  <si>
    <t>ИП340400993200022</t>
  </si>
  <si>
    <t>352394 Краснодарский край город Кропоткин улица Красная дом 226е   помещение 79-81</t>
  </si>
  <si>
    <t>ИП340400993200023</t>
  </si>
  <si>
    <t>350000 Краснодарский край город Краснодар улица им. Володи Головатого дом 313  Литера А,А1 второй этаж, помещение 45</t>
  </si>
  <si>
    <t>ИП780301493800003</t>
  </si>
  <si>
    <t>350010 Краснодарский край город Краснодар улица Зиповская дом 5  литера ц офис 29</t>
  </si>
  <si>
    <t>ИП Новиков Павел Витальевич</t>
  </si>
  <si>
    <t>344113524461</t>
  </si>
  <si>
    <t>ИП2304040072</t>
  </si>
  <si>
    <t>ИП230404007200000</t>
  </si>
  <si>
    <t>350072 Краснодарский край город Краснодар улица Зиповская дом 34Б</t>
  </si>
  <si>
    <t>ЮЛ340400964300010</t>
  </si>
  <si>
    <t>ЮЛ340400964300015</t>
  </si>
  <si>
    <t>ЮЛ340400964300023</t>
  </si>
  <si>
    <t>ЮЛ340400964300024</t>
  </si>
  <si>
    <t>350000 Краснодарский край город Краснодар улица Красноармейская дом 64 помещение 10/1 литер А, А1</t>
  </si>
  <si>
    <t>ИП Кружкова Юлия Анатольевна</t>
  </si>
  <si>
    <t>366514369040</t>
  </si>
  <si>
    <t>ИП2304004241</t>
  </si>
  <si>
    <t>ИП230400424100000</t>
  </si>
  <si>
    <t>352360 Краснодарский край станица Тбилисская улица Октябрьская дом 156</t>
  </si>
  <si>
    <t>ИП370200958400002</t>
  </si>
  <si>
    <t>352080 Краснодарский край станица Крыловская улица Кооперативная дом 61</t>
  </si>
  <si>
    <t>ИП370200958400003</t>
  </si>
  <si>
    <t>354392 Краснодарский край город Сочи улица Февральская дом 1   часть помещения №1.1.2</t>
  </si>
  <si>
    <t>ИП Сизов Сергей Владимирович</t>
  </si>
  <si>
    <t>370306333306</t>
  </si>
  <si>
    <t>ИП3702008525</t>
  </si>
  <si>
    <t>ИП370200852500000</t>
  </si>
  <si>
    <t>354340 Краснодарский край город Сочи улица Калинина дом 1</t>
  </si>
  <si>
    <t>ИП370200852500004</t>
  </si>
  <si>
    <t>354000 Краснодарский край город Сочи улица Московская дом 22</t>
  </si>
  <si>
    <t>ИП Воробьева Анастасия Валерьевна</t>
  </si>
  <si>
    <t>370504412285</t>
  </si>
  <si>
    <t>ИП2005035668</t>
  </si>
  <si>
    <t>ИП200503566800000</t>
  </si>
  <si>
    <t>352800 Краснодарский край город Туапсе улица К. Маркса дом 10/8</t>
  </si>
  <si>
    <t>ИП200503566800001</t>
  </si>
  <si>
    <t>353460 Краснодарский край город Геленджик улица Островского дом 11а</t>
  </si>
  <si>
    <t>ИП200503566800002</t>
  </si>
  <si>
    <t>354393 Краснодарский край город Сочи улица Ленина дом 15</t>
  </si>
  <si>
    <t>ИП200503566800003</t>
  </si>
  <si>
    <t>350059 Краснодарский край город Краснодар улица Уральская дом 79/2   помещение 76</t>
  </si>
  <si>
    <t>ИП230400957000005</t>
  </si>
  <si>
    <t>354000 Краснодарский край город Сочи улица Московская дом 19</t>
  </si>
  <si>
    <t>ИП420800129700004</t>
  </si>
  <si>
    <t>354068 Краснодарский край Город Сочи улица Донская дом 58   Помещение 61</t>
  </si>
  <si>
    <t>ИП420800129700005</t>
  </si>
  <si>
    <t>354057 Краснодарский край город Сочи улица Чебрикова Литер Б   Павильон № 17</t>
  </si>
  <si>
    <t>ИП420800129700007</t>
  </si>
  <si>
    <t>353445 Краснодарский край город Анапа улица Северная дом 1  В часть комнаты №3</t>
  </si>
  <si>
    <t>ИП Скрыпай Ирина Евгеньевна</t>
  </si>
  <si>
    <t>421109068482</t>
  </si>
  <si>
    <t>ИП2304001306</t>
  </si>
  <si>
    <t>ИП230400130600000</t>
  </si>
  <si>
    <t>353905 Краснодарский край город Новороссийск набережная Имени Адмирала Серебрякова дом 27   часть нежилого помещения №16</t>
  </si>
  <si>
    <t>ИП Михайлюк Юлия Анатольевна</t>
  </si>
  <si>
    <t>421189208206</t>
  </si>
  <si>
    <t>ИП2304001446</t>
  </si>
  <si>
    <t>ИП230400144600000</t>
  </si>
  <si>
    <t>350059 Краснодарский край город Краснодар улица Уральская дом 79/2   52</t>
  </si>
  <si>
    <t>ИП420803323600008</t>
  </si>
  <si>
    <t>350007 Краснодарский край город Краснодар улица им. Захарова дом 11  литер А помещение 33</t>
  </si>
  <si>
    <t>ООО "АЛЬКОР-ЮГ"</t>
  </si>
  <si>
    <t>4431004769</t>
  </si>
  <si>
    <t>ЮЛ2304000303</t>
  </si>
  <si>
    <t>ЮЛ230400030300000</t>
  </si>
  <si>
    <t>354003 Краснодарский край город Сочи улица Абрикосовая 2/4</t>
  </si>
  <si>
    <t>ИП Чернецов Дмитрий Анатольевич</t>
  </si>
  <si>
    <t>470417651667</t>
  </si>
  <si>
    <t>ИП2304034473</t>
  </si>
  <si>
    <t>ИП230403447300002</t>
  </si>
  <si>
    <t>354053 Краснодарский край город Сочи улица Крымская дом 1А</t>
  </si>
  <si>
    <t>ИП230403447300003</t>
  </si>
  <si>
    <t>354340 Краснодарский край город Сочи улица Кирова дом 58   этаж 1, помещение ОЦ-1</t>
  </si>
  <si>
    <t>ООО "ШАКТИ"</t>
  </si>
  <si>
    <t>4706063151</t>
  </si>
  <si>
    <t>ЮЛ4703034607</t>
  </si>
  <si>
    <t>ЮЛ470303460700000</t>
  </si>
  <si>
    <t>352708 Краснодарский край город Тимашевск улица Красная дом 104   помещения №№34-38</t>
  </si>
  <si>
    <t>ЮЛ480100215000008</t>
  </si>
  <si>
    <t>352395 Краснодарский край город Кропоткин улица Красная дом 149  литер А этаж 1</t>
  </si>
  <si>
    <t>ЮЛ480100215000009</t>
  </si>
  <si>
    <t>353680 Краснодарский край город Ейск улица К.Либкнехта/Мира дом 60/128   этаж 1</t>
  </si>
  <si>
    <t>ЮЛ480100215000026</t>
  </si>
  <si>
    <t>352630 Краснодарский край город Белореченск улица Ленина дом 92   помещения №№1,7-11</t>
  </si>
  <si>
    <t>ЮЛ480100215000028</t>
  </si>
  <si>
    <t>352330 Краснодарский край город Усть-Лабинск улица Октябрьская дом 111  Литера А помещения №№1-6</t>
  </si>
  <si>
    <t>ЮЛ480100215000034</t>
  </si>
  <si>
    <t>350000 Краснодарский край город Краснодар улица им. Володи Головатого дом 313   этаж 1,  помещение 11/1</t>
  </si>
  <si>
    <t>ООО "БРОННИЦКИЙ ЮВЕЛИРНЫЙ САЛОН"</t>
  </si>
  <si>
    <t>5002003743</t>
  </si>
  <si>
    <t>ЮЛ5001006494</t>
  </si>
  <si>
    <t>ЮЛ500100649400002</t>
  </si>
  <si>
    <t>354068 Краснодарский край город Сочи улица Новая заря дом 7   этаж 1, помещения 675, 675а.</t>
  </si>
  <si>
    <t>ЮЛ500100649400055</t>
  </si>
  <si>
    <t>350023 Краснодарский край город Краснодар улица Крылатая дом 2   пом. 01-052с</t>
  </si>
  <si>
    <t>ИП Ращупкина Олеся Александровна</t>
  </si>
  <si>
    <t>500305469520</t>
  </si>
  <si>
    <t>ИП7803032320</t>
  </si>
  <si>
    <t>ИП780303232000002</t>
  </si>
  <si>
    <t>350000 Краснодарский край город Краснодар  улица Красная/улица Карасунская дом 65/дом 75   помещения №№ 9, 10, 10/1, 16, 16/1 на первом этаже</t>
  </si>
  <si>
    <t>ИП500100445500020</t>
  </si>
  <si>
    <t>354000 Краснодарский край город Сочи улица Навагинская дом 7/3   Помещение 1.3</t>
  </si>
  <si>
    <t>ИП500100445500072</t>
  </si>
  <si>
    <t>350059 Краснодарский край город Краснодар улица Уральская дом 79/2   СБС МЕГАМОЛЛ</t>
  </si>
  <si>
    <t>ИП500100445500081</t>
  </si>
  <si>
    <t>354068 Краснодарский край город Сочи улица Новая заря дом 7   Моремолл  1.165.0.4.01</t>
  </si>
  <si>
    <t>ИП500100445500105</t>
  </si>
  <si>
    <t>350000 Краснодарский край город Краснодар улица им. Володи Головатого дом 311   ТЦ Галерея</t>
  </si>
  <si>
    <t>ИП500100445500111</t>
  </si>
  <si>
    <t>352942 Краснодарский край город Армавир улица Осенняя дом 55а</t>
  </si>
  <si>
    <t>ИП Обручков Вячеслав Сергеевич</t>
  </si>
  <si>
    <t>502753229679</t>
  </si>
  <si>
    <t>ИП5001040356</t>
  </si>
  <si>
    <t>ИП500104035600000</t>
  </si>
  <si>
    <t>353440 Краснодарский край город Анапа улица Горького дом 18А</t>
  </si>
  <si>
    <t>ИП500101774600003</t>
  </si>
  <si>
    <t>354008 Краснодарский край город Сочи улица Виноградная дом 33   этаж 1, помещение №60</t>
  </si>
  <si>
    <t>ООО "М СТИЛЬ"</t>
  </si>
  <si>
    <t>5032231313</t>
  </si>
  <si>
    <t>ЮЛ5001002793</t>
  </si>
  <si>
    <t>ЮЛ500100279300008</t>
  </si>
  <si>
    <t>354000 Краснодарский край город Сочи улица Несебрская дом 1А   этаж 1, помещение № 1-16</t>
  </si>
  <si>
    <t>ЮЛ500100279300009</t>
  </si>
  <si>
    <t>354000 Краснодарский край город Сочи улица Орджоникидзе дом 17   этаж 1, часть помещения 01.35</t>
  </si>
  <si>
    <t>ЮЛ500100279300011</t>
  </si>
  <si>
    <t>ИП Смирнов Илья Анатольевич</t>
  </si>
  <si>
    <t>503819514840</t>
  </si>
  <si>
    <t>ИП7701040785</t>
  </si>
  <si>
    <t>ИП770104078500001</t>
  </si>
  <si>
    <t>350072 Краснодарский край город Краснодар улица Московская дом 83   помещение 4/2</t>
  </si>
  <si>
    <t>ИП Туева Анна Витальевна</t>
  </si>
  <si>
    <t>510802879386</t>
  </si>
  <si>
    <t>ИП2304030892</t>
  </si>
  <si>
    <t>ИП230403089200000</t>
  </si>
  <si>
    <t>354000 Краснодарский край город Сочи улица Навагинская дом 1/7</t>
  </si>
  <si>
    <t>ИП Перфилова Наталья Николаевна</t>
  </si>
  <si>
    <t>523500498650</t>
  </si>
  <si>
    <t>ИП5206034578</t>
  </si>
  <si>
    <t>ИП520603457800011</t>
  </si>
  <si>
    <t>354340 Краснодарский край город Сочи улица Кирова дом 58   помещение О8-1 этаж 1</t>
  </si>
  <si>
    <t>ИП520600807800013</t>
  </si>
  <si>
    <t>354002 Краснодарский край город Сочи улица Приморская дом 39   1 этаж, помещение 1</t>
  </si>
  <si>
    <t>ИП Минина Юлия Сергеевна</t>
  </si>
  <si>
    <t>525628134192</t>
  </si>
  <si>
    <t>ИП7701019383</t>
  </si>
  <si>
    <t>ИП770101938300000</t>
  </si>
  <si>
    <t>354002 Краснодарский край город Сочи улица Приморская дом 3 37</t>
  </si>
  <si>
    <t>ИП770101938300001</t>
  </si>
  <si>
    <t>350000 Краснодарский край город Краснодар улица им. Дзержинского  дом 100</t>
  </si>
  <si>
    <t>ЮЛ520603376600060</t>
  </si>
  <si>
    <t>354068 Краснодарский край город Сочи улица Новая Заря дом 7</t>
  </si>
  <si>
    <t>ЮЛ520603376600108</t>
  </si>
  <si>
    <t>352900 Краснодарский край город Армавир улица Воровского дом 69   часть помещения №141</t>
  </si>
  <si>
    <t>ЮЛ520603376600123</t>
  </si>
  <si>
    <t>350000 Краснодарский край город Краснодар улица им. Володи Головатого дом 313   часть помещения №68</t>
  </si>
  <si>
    <t>ЮЛ520603376600152</t>
  </si>
  <si>
    <t>354068 Краснодарский край город Сочи улица Новая заря дом 7   этаж 1, помещение 612, 612а</t>
  </si>
  <si>
    <t>ИП Перфилов Сергей Николаевич</t>
  </si>
  <si>
    <t>526312229562</t>
  </si>
  <si>
    <t>ИП7701008909</t>
  </si>
  <si>
    <t>ИП770100890900012</t>
  </si>
  <si>
    <t>ООО "ЛОМБАРД "СТРЕЛКА"</t>
  </si>
  <si>
    <t>5263154916</t>
  </si>
  <si>
    <t>ЮЛ5206038244</t>
  </si>
  <si>
    <t>ЮЛ520603824400001</t>
  </si>
  <si>
    <t>354000 Краснодарский край город Сочи улица Конституции СССР дом 22   1-5</t>
  </si>
  <si>
    <t>ООО "ОМЕГА"</t>
  </si>
  <si>
    <t>5406802886</t>
  </si>
  <si>
    <t>ЮЛ2304036092</t>
  </si>
  <si>
    <t>ЮЛ230403609200000</t>
  </si>
  <si>
    <t>354200 Краснодарский край город Сочи улица Сочинское шоссе дом 28  В 123</t>
  </si>
  <si>
    <t>ИП Апальков Константин Андреевич</t>
  </si>
  <si>
    <t>552001308728</t>
  </si>
  <si>
    <t>ИП5508032071</t>
  </si>
  <si>
    <t>ИП550803207100000</t>
  </si>
  <si>
    <t>353560 Краснодарский край город Славянск-на-Кубани улица Полковая дом 256</t>
  </si>
  <si>
    <t>ИП Лоскутова Валентина Александровна</t>
  </si>
  <si>
    <t>553500745531</t>
  </si>
  <si>
    <t>ИП5508034285</t>
  </si>
  <si>
    <t>ИП550803428500000</t>
  </si>
  <si>
    <t>350020 Краснодарский край город Краснодар улица Красная дом 176</t>
  </si>
  <si>
    <t>ИП550803428500008</t>
  </si>
  <si>
    <t>353380 Краснодарский край город Крымск улица Демьяна Бедного дом 19Е</t>
  </si>
  <si>
    <t>ИП550803428500009</t>
  </si>
  <si>
    <t>350000 Краснодарский край город Краснодар улица Красная/Чапаева дом 71/дом 88  Б 15-18</t>
  </si>
  <si>
    <t>ИП550803428500010</t>
  </si>
  <si>
    <t>353560 Краснодарский край город Славянск-на-Кубани улица Ковтюха дом 39   помещение  23</t>
  </si>
  <si>
    <t>ИП Максимова Наталья Геннадьевна</t>
  </si>
  <si>
    <t>553503038918</t>
  </si>
  <si>
    <t>ИП2304007085</t>
  </si>
  <si>
    <t>ИП230400708500000</t>
  </si>
  <si>
    <t>353560 Краснодарский край город Славянск-на-Кубани улица Ковтюха дом 19   помещение 1</t>
  </si>
  <si>
    <t>ИП230400708500001</t>
  </si>
  <si>
    <t>354057 Краснодарский край город Сочи переулок Трунова дом 6 корпус 8  помещение 6</t>
  </si>
  <si>
    <t>ИП Галина Альфия Мавлютовна</t>
  </si>
  <si>
    <t>590310964133</t>
  </si>
  <si>
    <t>ИП2304039772</t>
  </si>
  <si>
    <t>ИП230403977200000</t>
  </si>
  <si>
    <t>352500 Краснодарский край город Лабинск улица Красная дом 24</t>
  </si>
  <si>
    <t>ИП610400829500012</t>
  </si>
  <si>
    <t>352570 Краснодарский край поселок городского типа Мостовской улица Ленина дом 16</t>
  </si>
  <si>
    <t>ИП610400829500013</t>
  </si>
  <si>
    <t>352430 Краснодарский край город Курганинск улица Таманская дом 54</t>
  </si>
  <si>
    <t>ИП610400829500014</t>
  </si>
  <si>
    <t>352900 Краснодарский край город Армавир улица Мира дом 65</t>
  </si>
  <si>
    <t>ИП610401294100002</t>
  </si>
  <si>
    <t>352500 Краснодарский край город Лабинск улица Ленина дом 162/7</t>
  </si>
  <si>
    <t>ИП610401294100013</t>
  </si>
  <si>
    <t>352630 Краснодарский край город Белореченск улица Ленина дом 72   помещение 24</t>
  </si>
  <si>
    <t>ИП610401294100017</t>
  </si>
  <si>
    <t>353212 Краснодарский край станица Нововеличковская улица Краснодарская дом 14   3</t>
  </si>
  <si>
    <t>ИП Беляцкий Владислав Янович</t>
  </si>
  <si>
    <t>615011776012</t>
  </si>
  <si>
    <t>ИП2304009357</t>
  </si>
  <si>
    <t>ИП230400935700000</t>
  </si>
  <si>
    <t>352030 Краснодарский край станица Кущевская пер. Куцева дом 43И XXX ХХХ ХХХ</t>
  </si>
  <si>
    <t>ИП Маючая Наталия Юрьевна</t>
  </si>
  <si>
    <t>615014026498</t>
  </si>
  <si>
    <t>ИП2304008853</t>
  </si>
  <si>
    <t>ИП230400885300000</t>
  </si>
  <si>
    <t>350007 Краснодарский край город Краснодар улица Индустриальная дом 2  59</t>
  </si>
  <si>
    <t>ИП Захарюта Татьяна Валентиновна</t>
  </si>
  <si>
    <t>616100141009</t>
  </si>
  <si>
    <t>ИП6104032422</t>
  </si>
  <si>
    <t>ИП610403242200001</t>
  </si>
  <si>
    <t>350001 Краснодарский край ГОРОД КРАСНОДАР УЛИЦА СТАВРОПОЛЬСКАЯ ДОМ 63/2</t>
  </si>
  <si>
    <t>ООО "ЛОМБАРД-Л1"</t>
  </si>
  <si>
    <t>6163223766</t>
  </si>
  <si>
    <t>ЮЛ6104018046</t>
  </si>
  <si>
    <t>ЮЛ610401804600004</t>
  </si>
  <si>
    <t>353380 Краснодарский край город Крымск улица Синева дом 26  литер Г1</t>
  </si>
  <si>
    <t>ЮЛ610401804600016</t>
  </si>
  <si>
    <t>353440 Краснодарский край город Анапа улица Красноармейская дом 13А  1А 1-1</t>
  </si>
  <si>
    <t>ЮЛ610401804600029</t>
  </si>
  <si>
    <t>352030 Краснодарский край станица Кущевская переулок Куцева дом 50   помещение 2</t>
  </si>
  <si>
    <t>ЮЛ610401804600034</t>
  </si>
  <si>
    <t>ЮЛ610401804600037</t>
  </si>
  <si>
    <t>ЮЛ610401804600040</t>
  </si>
  <si>
    <t>352708 Краснодарский край город Тимашевск улица Красная дом 114/1   помещение 23</t>
  </si>
  <si>
    <t>ЮЛ610401804600043</t>
  </si>
  <si>
    <t>353204 Краснодарский край станица Динская улица Пролетарская дом 30   помещения 8,9</t>
  </si>
  <si>
    <t>ЮЛ610401804600044</t>
  </si>
  <si>
    <t>352120 Краснодарский край город Тихорецк улица Подвойского дом 39  Литер А</t>
  </si>
  <si>
    <t>ЮЛ610401804600046</t>
  </si>
  <si>
    <t>353460 Краснодарский край город Геленджик улица Кирова дом 60А</t>
  </si>
  <si>
    <t>ЮЛ610401804600048</t>
  </si>
  <si>
    <t>353567 Краснодарский край город Славянск-на-Кубани улица Красная дом 2г строение 5</t>
  </si>
  <si>
    <t>ЮЛ610401804600050</t>
  </si>
  <si>
    <t>353900 Краснодарский край город Новороссийск улица Бирюзова дом 2  Б 1-2</t>
  </si>
  <si>
    <t>ЮЛ610401804600052</t>
  </si>
  <si>
    <t>352395 Краснодарский край город Кропоткин улица Красная дом 176 корпус 1</t>
  </si>
  <si>
    <t>ЮЛ610401804600053</t>
  </si>
  <si>
    <t>352900 Краснодарский край город Армавир улица Мира дом 34</t>
  </si>
  <si>
    <t>ЮЛ610401804600056</t>
  </si>
  <si>
    <t>354000 Краснодарский край город Сочи улица Московская дом 18   пом. 7</t>
  </si>
  <si>
    <t>ЮЛ610401804600070</t>
  </si>
  <si>
    <t>353600 Краснодарский край Староминская ст-ца улица Кольцовская дом 21   помещение 4</t>
  </si>
  <si>
    <t>ЮЛ610401804600085</t>
  </si>
  <si>
    <t>35007 Краснодарский край город Краснодар улица Индустриальная 2  литер Л помещение 57</t>
  </si>
  <si>
    <t>ООО "АРС"</t>
  </si>
  <si>
    <t>6164048958</t>
  </si>
  <si>
    <t>ЮЛ6104001551</t>
  </si>
  <si>
    <t>ЮЛ610400155100005</t>
  </si>
  <si>
    <t>353460 Краснодарский край город Геленджик улица Горького дом 16-а</t>
  </si>
  <si>
    <t>ИП Алдабаева Елена Николаевна</t>
  </si>
  <si>
    <t>616509700062</t>
  </si>
  <si>
    <t>ИП6104009621</t>
  </si>
  <si>
    <t>ИП610400962100002</t>
  </si>
  <si>
    <t>354340 Краснодарский край город Сочи, А-340 улица Демократическая дом 55</t>
  </si>
  <si>
    <t>ИП610400962100003</t>
  </si>
  <si>
    <t>353900 Краснодарский край город Новороссийск улица Сипягина дом 11А</t>
  </si>
  <si>
    <t>ИП610400962100004</t>
  </si>
  <si>
    <t>350019 Краснодарский край город Краснодар улица им. Дзержинского дом 100   помещение 71 Т</t>
  </si>
  <si>
    <t>ИП630601425400005</t>
  </si>
  <si>
    <t>352900 Краснодарский край город Армавир улица Воровского дом 69</t>
  </si>
  <si>
    <t>ИП630601425400027</t>
  </si>
  <si>
    <t>353451 Краснодарский край город Анапа улица Астраханская дом 99</t>
  </si>
  <si>
    <t>ИП630601425400029</t>
  </si>
  <si>
    <t>ИП630601425400032</t>
  </si>
  <si>
    <t>ИП630601425400037</t>
  </si>
  <si>
    <t>354392 Краснодарский край город Сочи улица Горная карусель дом 3</t>
  </si>
  <si>
    <t>ИП Филоненко Полина Владимировна</t>
  </si>
  <si>
    <t>660108758041</t>
  </si>
  <si>
    <t>ИП6607031345</t>
  </si>
  <si>
    <t>ИП660703134500001</t>
  </si>
  <si>
    <t>354392 Краснодарский край город Сочи улица Турчинского дом 34</t>
  </si>
  <si>
    <t>ИП660703134500002</t>
  </si>
  <si>
    <t>353500 Краснодарский край город Темрюк улица Кирова дом 1   нежилое помещение № 2</t>
  </si>
  <si>
    <t>ЮЛ660700070800073</t>
  </si>
  <si>
    <t>352120 Краснодарский край город Тихорецк улица Подвойского дом 39</t>
  </si>
  <si>
    <t>ЮЛ660700070800084</t>
  </si>
  <si>
    <t>353380 Краснодарский край город Крымск улица Синева дом 13   нежилое помещение № 5</t>
  </si>
  <si>
    <t>ЮЛ660700070800092</t>
  </si>
  <si>
    <t>353567 Краснодарский край город Славянск-на-Кубани улица Красная дом 4/1</t>
  </si>
  <si>
    <t>ЮЛ660700070800111</t>
  </si>
  <si>
    <t>352800 Краснодарский край город Туапсе улица К. Маркса дом 16/1</t>
  </si>
  <si>
    <t>ЮЛ660700070800127</t>
  </si>
  <si>
    <t>353561 Краснодарский край город Славянск-на-Кубани улица Красная дом 68   помещение 2</t>
  </si>
  <si>
    <t>ЮЛ660700070800136</t>
  </si>
  <si>
    <t>ЮЛ660700070800161</t>
  </si>
  <si>
    <t>354200 Краснодарский край город Сочи, поселок Лазаревское улица Павлова дом 38А</t>
  </si>
  <si>
    <t>ЮЛ660700070800180</t>
  </si>
  <si>
    <t>353730 Краснодарский край станица Каневская улица Герцена дом 80Б   нежилое помещение № 4</t>
  </si>
  <si>
    <t>ЮЛ660700070800195</t>
  </si>
  <si>
    <t>353600 Краснодарский край станица Староминская улица Коммунаров б/н   помещение 4,7,8</t>
  </si>
  <si>
    <t>ЮЛ660700070800196</t>
  </si>
  <si>
    <t>352030 Краснодарский край станица Кущевская переулок Первомайский дом 97</t>
  </si>
  <si>
    <t>ЮЛ660700070800197</t>
  </si>
  <si>
    <t>353680 Краснодарский край Ейск Свердлова 85   помещение 1</t>
  </si>
  <si>
    <t>ЮЛ660700070800199</t>
  </si>
  <si>
    <t>353740 Краснодарский край станица Ленинградская улица Кооперации дом 139/1</t>
  </si>
  <si>
    <t>ЮЛ660700070800200</t>
  </si>
  <si>
    <t>353101 Краснодарский край станица Выселки улица Северная дом 7/1</t>
  </si>
  <si>
    <t>ЮЛ660700070800203</t>
  </si>
  <si>
    <t>352750 Краснодарский край станица Брюховецкая улица Кирова дом 170А/1</t>
  </si>
  <si>
    <t>ЮЛ660700070800215</t>
  </si>
  <si>
    <t>352430 Краснодарский край город Курганинск улица Ленина дом 31   помещения №3,4,5,6</t>
  </si>
  <si>
    <t>ЮЛ660700070800228</t>
  </si>
  <si>
    <t>350000 Краснодарский край Краснодар Октябрьская/Гимназическая 78/49   офис 103</t>
  </si>
  <si>
    <t>ООО "ЗОЛОТАЯ ПЛАТА"</t>
  </si>
  <si>
    <t>6679143916</t>
  </si>
  <si>
    <t>ЮЛ6607013042</t>
  </si>
  <si>
    <t>ЮЛ660701304200007</t>
  </si>
  <si>
    <t>352630 Краснодарский край город Белореченск улица Ленина дом 82   этаж 1, помещения №№ 1-5, 46</t>
  </si>
  <si>
    <t>ООО ЛОМБАРД "КАВА"</t>
  </si>
  <si>
    <t>6906012422</t>
  </si>
  <si>
    <t>ЮЛ6901006574</t>
  </si>
  <si>
    <t>ЮЛ690100657400006</t>
  </si>
  <si>
    <t>350087 Краснодарский край город Краснодар улица им. Цезаря Куникова дом 24 строение 1 место1 помещение1</t>
  </si>
  <si>
    <t>ИП Барлыбаев Гарифулла Шаймарданович</t>
  </si>
  <si>
    <t>701800211146</t>
  </si>
  <si>
    <t>ИП2304040634</t>
  </si>
  <si>
    <t>ИП230404063400000</t>
  </si>
  <si>
    <t>350000 Краснодарский край город Краснодар улица Черкасская дом 137   офис 18</t>
  </si>
  <si>
    <t>ИП Шаркова Дарья Валерьевна</t>
  </si>
  <si>
    <t>744410401047</t>
  </si>
  <si>
    <t>ИП0104040185</t>
  </si>
  <si>
    <t>ИП010404018500000</t>
  </si>
  <si>
    <t>353445 Краснодарский край город Анапа улица Красноармейская дом 13А   киоск 330</t>
  </si>
  <si>
    <t>ЮЛ770100201500514</t>
  </si>
  <si>
    <t>353460 Краснодарский край город Геленджик улица Кирова дом 60Б   помещение 18</t>
  </si>
  <si>
    <t>ЮЛ770100201500547</t>
  </si>
  <si>
    <t>352360 Краснодарский край станица Тбилисская улица Октябрьская дом 167   часть помещения 9, этаж 1</t>
  </si>
  <si>
    <t>ЮЛ770100201500584</t>
  </si>
  <si>
    <t>350000 Краснодарский край город Краснодар улица им. Володи Головатого дом 313   часть торгового центра с номером 80/1 и с номером 80/2</t>
  </si>
  <si>
    <t>ООО "ПОЙЗОН ДРОП"</t>
  </si>
  <si>
    <t>7704835739</t>
  </si>
  <si>
    <t>ЮЛ7701002789</t>
  </si>
  <si>
    <t>ЮЛ770100278900007</t>
  </si>
  <si>
    <t>350000 Краснодарский край город Краснодар улица Пашковская дом 83   помещение 27</t>
  </si>
  <si>
    <t>ООО "ЛОМБАРД ПЕРСПЕКТИВА"</t>
  </si>
  <si>
    <t>7704844780</t>
  </si>
  <si>
    <t>ЮЛ7701006230</t>
  </si>
  <si>
    <t>ЮЛ770100623000002</t>
  </si>
  <si>
    <t>353925 Краснодарский край город Новороссийск улица Анапское шоссе дом 2  Литера А часть нежилого помещения № 83 2 этаж</t>
  </si>
  <si>
    <t>ООО "СОФИЙСКАЯ НАБЕРЕЖНАЯ"</t>
  </si>
  <si>
    <t>7706408919</t>
  </si>
  <si>
    <t>ЮЛ7701002640</t>
  </si>
  <si>
    <t>ЮЛ770100264000024</t>
  </si>
  <si>
    <t>350019 Краснодарский край город Краснодар улица им. Дзержинского дом 100  Литера Т 1 этаж часть помещения № 220</t>
  </si>
  <si>
    <t>ЮЛ770100264000026</t>
  </si>
  <si>
    <t>350000 Краснодарский край город Краснодар улица им. Володи Головатого дом 313  Литера А А1 этаж 2, часть нежилого помещения № 15</t>
  </si>
  <si>
    <t>ЮЛ770100264000027</t>
  </si>
  <si>
    <t>350015 Краснодарский край город Краснодар улица им. Янковского дом 169   этаж 1, помещение 52</t>
  </si>
  <si>
    <t>ООО "КАЛИТА-ФИНАНС"</t>
  </si>
  <si>
    <t>7709525346</t>
  </si>
  <si>
    <t>ЮЛ7701003010</t>
  </si>
  <si>
    <t>ЮЛ770100301000003</t>
  </si>
  <si>
    <t>350007 Краснодарский край город Краснодар улица Индустриальная дом 2  Литера Л пом 1-4</t>
  </si>
  <si>
    <t>ООО "ФРАЙ ВИЛЛЕ"</t>
  </si>
  <si>
    <t>7710505993</t>
  </si>
  <si>
    <t>ЮЛ7701015003</t>
  </si>
  <si>
    <t>ЮЛ770101500300001</t>
  </si>
  <si>
    <t>354000 Краснодарский край ГОРОД СОЧИ УЛИЦА НЕСЕБРСКАЯ  СТОЕНИЕ 1А  пом 1-06</t>
  </si>
  <si>
    <t>ЮЛ770101500300010</t>
  </si>
  <si>
    <t>354000 Краснодарский край город Сочи улица Войкова дом 1</t>
  </si>
  <si>
    <t>ООО "МАГАЗИНЫ БОСКО"</t>
  </si>
  <si>
    <t>7710628219</t>
  </si>
  <si>
    <t>ЮЛ7701007945</t>
  </si>
  <si>
    <t>ЮЛ770100794500004</t>
  </si>
  <si>
    <t>354392 Краснодарский край город Сочи, село Эстосадок  набережная Времена года дом 1</t>
  </si>
  <si>
    <t>ЮЛ770100794500005</t>
  </si>
  <si>
    <t>354340 Краснодарский край поселок городского типа Сириус проспект Олимпийский дом 36/1 корпус 1</t>
  </si>
  <si>
    <t>ЮЛ770100794500007</t>
  </si>
  <si>
    <t>353456 Краснодарский край город Анапа проспект Пионерский дом 14</t>
  </si>
  <si>
    <t>ООО "АРБАТ ОТЕЛЬ МЕНЕДЖМЕНТ"</t>
  </si>
  <si>
    <t>7714619663</t>
  </si>
  <si>
    <t>ЮЛ7701033238</t>
  </si>
  <si>
    <t>ЮЛ770103323800002</t>
  </si>
  <si>
    <t>353440 Краснодарский край город Анапа проспект Пионерский дом 28</t>
  </si>
  <si>
    <t>ЮЛ770103323800003</t>
  </si>
  <si>
    <t>352800 Краснодарский край город Туапсе улица К. Маркса дом 18 корпус 15</t>
  </si>
  <si>
    <t>ИП770100417900002</t>
  </si>
  <si>
    <t>353561 Краснодарский край город Славянск-на-Кубани улица Ковтюха дом 100 этаж 1 Литер А помещение 4</t>
  </si>
  <si>
    <t>ИП770100417900003</t>
  </si>
  <si>
    <t>352800 Краснодарский край город Туапсе улица Сочинская дом 2  Литер А2 помещение А8 часть помещения 2, уровень 1, этаж 1</t>
  </si>
  <si>
    <t>ЮЛ770101216600095</t>
  </si>
  <si>
    <t>350059 Краснодарский край город Краснодар улица Уральская дом 79/2   помещения 82, 83, этаж 1</t>
  </si>
  <si>
    <t>ЮЛ770101216600106</t>
  </si>
  <si>
    <t>353907 Краснодарский край город Новороссийск шоссе Анапское дом 2   нежилое помещение А-29-1, этаж 1</t>
  </si>
  <si>
    <t>ЮЛ770101216600163</t>
  </si>
  <si>
    <t>352900 Краснодарский край город Армавир улица Воровского дом 69   помещение 147, этаж 1</t>
  </si>
  <si>
    <t>ЮЛ770101216600201</t>
  </si>
  <si>
    <t>350001 Краснодарский край город Краснодар улица Ставропольская дом 65   этаж 1</t>
  </si>
  <si>
    <t>ЮЛ770101216600227</t>
  </si>
  <si>
    <t>354340 Краснодарский край город Сочи улица Кирова дом 58   помещение 69, часть помещения 23</t>
  </si>
  <si>
    <t>ЮЛ770101216600344</t>
  </si>
  <si>
    <t>350020 Краснодарский край город Краснодар улица Красная дом 176   этаж 1, часть нежилого помещения №209</t>
  </si>
  <si>
    <t>ЮЛ770101216600390</t>
  </si>
  <si>
    <t>350019 Краснодарский край город Краснодар улица им. Дзержинского дом 100  Литера Т этаж 1, помещение №56</t>
  </si>
  <si>
    <t>ЮЛ770101216600403</t>
  </si>
  <si>
    <t>354000 Краснодарский край город Сочи улица Северная дом 6   этаж 1, нежилое помещение №17</t>
  </si>
  <si>
    <t>ЮЛ770101216600471</t>
  </si>
  <si>
    <t>350012 Краснодарский край город Краснодар улица Западный Обход дом 31   этаж 1, часть помещения №52</t>
  </si>
  <si>
    <t>ЮЛ770101216600479</t>
  </si>
  <si>
    <t>350059 Краснодарский край город Краснодар улица Уральская дом 98/11   этаж 1, помещение №355, 355/5, 355/6</t>
  </si>
  <si>
    <t>ЮЛ770101216600486</t>
  </si>
  <si>
    <t>353691 Краснодарский край город Ейск улица Коммунистическая дом 20/21   этаж 1</t>
  </si>
  <si>
    <t>ЮЛ770101216600493</t>
  </si>
  <si>
    <t>353907 Краснодарский край город Новороссийск шоссе Анапское дом 39А   помещение 1-3, 5-8, 12-14,15-30,34-38,40-106, этаж 1, часть нежилого помещения №27</t>
  </si>
  <si>
    <t>ЮЛ770101216600532</t>
  </si>
  <si>
    <t>350089 Краснодарский край город Краснодар проспект Чекистов дом 1/3   этаж 2, часть нежилого помещения № 104</t>
  </si>
  <si>
    <t>ЮЛ770101216600564</t>
  </si>
  <si>
    <t>352800 Краснодарский край город Туапсе улица К. Маркса дом 18   этаж 1</t>
  </si>
  <si>
    <t>ЮЛ770101216600569</t>
  </si>
  <si>
    <t>350073 Краснодарский край город Краснодар улица им. Адмирала Крузенштерна дом 4   этаж 1, нежилое помещение № 102, часть нежилого помещения № 100</t>
  </si>
  <si>
    <t>ЮЛ770101216600600</t>
  </si>
  <si>
    <t>350087 Краснодарский край город Краснодар улица им. Петра Метальникова дом 32/1   этаж 1, нежилое помещение № 3</t>
  </si>
  <si>
    <t>ЮЛ770101216600601</t>
  </si>
  <si>
    <t>354200 Краснодарский край город Сочи улица Циолковского дом 4   этаж 1</t>
  </si>
  <si>
    <t>ЮЛ770101216600608</t>
  </si>
  <si>
    <t>350061 Краснодарский край город Краснодар улица им. Мачуги В.Н. дом 2   этаж 1, нежилое помещение № 85</t>
  </si>
  <si>
    <t>ЮЛ770101216600639</t>
  </si>
  <si>
    <t>350004 Краснодарский край город Краснодар улица Минская дом 120/8   этаж 1,  нежилое помещение №89</t>
  </si>
  <si>
    <t>ЮЛ770101216600671</t>
  </si>
  <si>
    <t>350051 Краснодарский край город Краснодар улица Шоссе Нефтяников дом 42   1 этаж, неж пом 58</t>
  </si>
  <si>
    <t>ЮЛ770101216600729</t>
  </si>
  <si>
    <t>353924 Краснодарский край город Новороссийск улица Григорьева дом 1   часть нежилого помещения</t>
  </si>
  <si>
    <t>ЮЛ770101216600798</t>
  </si>
  <si>
    <t>350005 Краснодарский край город Краснодар улица Конгрессная дом 20/1   1 этаж, часть нежилого здания</t>
  </si>
  <si>
    <t>ЮЛ770101216600825</t>
  </si>
  <si>
    <t>354068 Краснодарский край город Сочи улица Новая заря дом 7   1 этаж, помещение 1.068.0.1.01</t>
  </si>
  <si>
    <t>ЮЛ770101216600826</t>
  </si>
  <si>
    <t>353460 Краснодарский край город Геленджик улица Островского дом 13   1 этаж,  нежилые помещения 2-5, 8, 10, 11</t>
  </si>
  <si>
    <t>ЮЛ770101216600827</t>
  </si>
  <si>
    <t>353913 Краснодарский край город Новороссийск улица Героев Десантников дом 2А   1 этаж, нежилое помещение №1</t>
  </si>
  <si>
    <t>ЮЛ770101216600881</t>
  </si>
  <si>
    <t>350051 Краснодарский край город Краснодар улица им. Тургенева дом 138/6   этаж 1</t>
  </si>
  <si>
    <t>ЮЛ770101216600926</t>
  </si>
  <si>
    <t>350004 Краснодарский край город Краснодар улица Минская дом 120/8   этаж 1, часть нежилого помещения инв. № 115</t>
  </si>
  <si>
    <t>ЮЛ770101216600951</t>
  </si>
  <si>
    <t>354340 Краснодарский край город Сочи улица Демократическая дом 38   этаж 1, нежилое помещение № 12</t>
  </si>
  <si>
    <t>ЮЛ770101216600953</t>
  </si>
  <si>
    <t>353451 Краснодарский край Город Анапа улица Астраханская Дом 99   Нежилое помещение № 58</t>
  </si>
  <si>
    <t>ИП Ковальский Олег Игоревич</t>
  </si>
  <si>
    <t>771771998555</t>
  </si>
  <si>
    <t>ИП7701015879</t>
  </si>
  <si>
    <t>ИП770101587900001</t>
  </si>
  <si>
    <t>353900 Краснодарский край город Новороссийск улица Советов Дом 1   Нежилое помещение № 26</t>
  </si>
  <si>
    <t>ИП770101587900002</t>
  </si>
  <si>
    <t>350019 Краснодарский край город Краснодар улица им. Дзержинского Дом 100  Литер Б Часть нежилого Помещение 1 этаж № 1 здания литер "Б", индекс помещения - А-75</t>
  </si>
  <si>
    <t>ИП770101587900003</t>
  </si>
  <si>
    <t>354340 Краснодарский край город Сочи улица Кирова дом 58   помещение А1</t>
  </si>
  <si>
    <t>ООО "АРГОС"</t>
  </si>
  <si>
    <t>7722395671</t>
  </si>
  <si>
    <t>ЮЛ7701010534</t>
  </si>
  <si>
    <t>ЮЛ770101053400001</t>
  </si>
  <si>
    <t>353730 Краснодарский край станица Каневская улица Нестеренко дом 86   помещение 13</t>
  </si>
  <si>
    <t>ИП Красненко Наталия Анатольевна</t>
  </si>
  <si>
    <t>772375166604</t>
  </si>
  <si>
    <t>ИП2304004438</t>
  </si>
  <si>
    <t>ИП230400443800000</t>
  </si>
  <si>
    <t>352395 Краснодарский край город Кропоткин улица Красная дом 196/1</t>
  </si>
  <si>
    <t>ООО ЛОМБАРД "ЮГ БФР"</t>
  </si>
  <si>
    <t>7723866980</t>
  </si>
  <si>
    <t>ЮЛ7701013246</t>
  </si>
  <si>
    <t>ЮЛ770101324600046</t>
  </si>
  <si>
    <t>353500 Краснодарский край город Темрюк улица Розы Люксембург дом 35</t>
  </si>
  <si>
    <t>ЮЛ770101324600057</t>
  </si>
  <si>
    <t>352800 Краснодарский край город Туапсе улица К. Маркса дом 19   помещение 18</t>
  </si>
  <si>
    <t>ЮЛ770101324600061</t>
  </si>
  <si>
    <t>ЮЛ770100419400079</t>
  </si>
  <si>
    <t>ЮЛ770100419400081</t>
  </si>
  <si>
    <t>350059 Краснодарский край город Краснодар улица Уральская дом 79/2</t>
  </si>
  <si>
    <t>ЮЛ770100419400082</t>
  </si>
  <si>
    <t>354000 Краснодарский край город Сочи проспект Курортный дом 16</t>
  </si>
  <si>
    <t>ЮЛ770100419400083</t>
  </si>
  <si>
    <t>350000 Краснодарский край город Краснодар улица им. Володи Головатого дом 311</t>
  </si>
  <si>
    <t>ЮЛ770100419400086</t>
  </si>
  <si>
    <t>ЮЛ770100419400180</t>
  </si>
  <si>
    <t>ЮЛ770100419400194</t>
  </si>
  <si>
    <t>ЮЛ770100419400197</t>
  </si>
  <si>
    <t>354000 Краснодарский край город Сочи улица Несебрская дом 1А   этаж 1, помещение 1-18</t>
  </si>
  <si>
    <t>ЮЛ770100419400251</t>
  </si>
  <si>
    <t>350001 Краснодарский край город Краснодар улица им. Вишняковой дом 118/1 Литер Аб</t>
  </si>
  <si>
    <t>ООО "ПРОСТОЕ РЕШЕНИЕ"</t>
  </si>
  <si>
    <t>7725302690</t>
  </si>
  <si>
    <t>ЮЛ7701012485</t>
  </si>
  <si>
    <t>ЮЛ770101248500050</t>
  </si>
  <si>
    <t>352800 Краснодарский край город Туапсе улица К. Маркса дом 19   квартира 18</t>
  </si>
  <si>
    <t>ЮЛ770101248500076</t>
  </si>
  <si>
    <t>353440 Краснодарский край город Анапа улица Красноармейская/Крымская павильон 38, этаж 1  литер А помещение 1</t>
  </si>
  <si>
    <t>ЮЛ770101248500077</t>
  </si>
  <si>
    <t>353500 Краснодарский край город Темрюк улица Розы Люксембург дом 35   Помещение 2</t>
  </si>
  <si>
    <t>ЮЛ770101248500079</t>
  </si>
  <si>
    <t>353320 Краснодарский край город Абинск улица Советов дом 51   Квартира 2</t>
  </si>
  <si>
    <t>ЮЛ770101248500080</t>
  </si>
  <si>
    <t>353451 Краснодарский край город Анапа улица Краснодарская дом 17   этаж 1</t>
  </si>
  <si>
    <t>АО "МЗСС"</t>
  </si>
  <si>
    <t>7728423036</t>
  </si>
  <si>
    <t>ЮЛ7701000390</t>
  </si>
  <si>
    <t>ЮЛ770100039000001</t>
  </si>
  <si>
    <t>350051 Краснодарский край город Краснодар улица имени Дзержинского дом 100  литер Т часть помещения 24, 14/1, помещения 14,15,16,17,18,19,20,23, 1 (первый) этаж</t>
  </si>
  <si>
    <t>ЮЛ770100193500049</t>
  </si>
  <si>
    <t>350059 Краснодарский край город Краснодар улица Уральская дом 79/2   помещение 86</t>
  </si>
  <si>
    <t>ЮЛ770100193500050</t>
  </si>
  <si>
    <t>350059 Краснодарский край город Краснодар улица Уральская дом 98/11   помещения 358, 258/1, 258/2, 368/8, 368/23</t>
  </si>
  <si>
    <t>ЮЛ770100193500051</t>
  </si>
  <si>
    <t>353900 Краснодарский край город Новороссийск улица Советов/улица Карла Маркса дом 42/ дом 11   помещение  IX, комната 1-2</t>
  </si>
  <si>
    <t>ЮЛ770100193500052</t>
  </si>
  <si>
    <t>353500 Краснодарский край город Темрюк улица Розы Люксембург дом 61   1 (первый) этаж</t>
  </si>
  <si>
    <t>ЮЛ770100193500053</t>
  </si>
  <si>
    <t>354000 Краснодарский край город Сочи улица Московская дом 19   комната 104,105,106, часть комнаты 107,108</t>
  </si>
  <si>
    <t>ЮЛ770100193500055</t>
  </si>
  <si>
    <t>354068 Краснодарский край город Сочи улица Новая заря дом 7   помещения 585,585а,585б</t>
  </si>
  <si>
    <t>ЮЛ770100193500056</t>
  </si>
  <si>
    <t>354340 Краснодарский край город Сочи улица Демократическая дом 8  литера А помещения 1,2,3,4,5,6,7,8</t>
  </si>
  <si>
    <t>ЮЛ770100193500057</t>
  </si>
  <si>
    <t>352900 Краснодарский край город Армавир улица Мира дом 24  корпус А  помещения 1,3,4,5</t>
  </si>
  <si>
    <t>ЮЛ770100193500058</t>
  </si>
  <si>
    <t>353380 Краснодарский край город Крымск улица Синева дом 9   помещения 1,2, часть помещения 3,4</t>
  </si>
  <si>
    <t>ЮЛ770100193500059</t>
  </si>
  <si>
    <t>353440 Краснодарский край город Анапа  улица Горького / улица Гребенская дом 9а / дом 3а   комнаты № 13, 16, 17, 18, 21</t>
  </si>
  <si>
    <t>ЮЛ770100193500310</t>
  </si>
  <si>
    <t>353460 Краснодарский край город Геленджик улица Ленина/улица Островского дом 10/дом 6   помещение 3, помещения 12,13</t>
  </si>
  <si>
    <t>ЮЛ770100193500327</t>
  </si>
  <si>
    <t>350000 Краснодарский край город Краснодар улица им. Володи Головатого дом 313  литера А, А1 подвал, помещение 49/1</t>
  </si>
  <si>
    <t>ЮЛ770100193500329</t>
  </si>
  <si>
    <t>350000 Краснодарский край город Краснодар улица Красная / улица Карасунская дом 74 / дом 77   помещения № 6, 10, 10/1</t>
  </si>
  <si>
    <t>ЮЛ770100193500330</t>
  </si>
  <si>
    <t>354000 Краснодарский край город Сочи Курортный проспект дом 16   часть помещения 1-100, состоящее из помещения № 41, части помещения № 38, части помещения № 40, 1 (первый) этаж</t>
  </si>
  <si>
    <t>ЮЛ770100193500494</t>
  </si>
  <si>
    <t>354200 Краснодарский край город Сочи, поселок Лазаревское улица Павлова дом 38а   второй этаж</t>
  </si>
  <si>
    <t>ЮЛ770100193500539</t>
  </si>
  <si>
    <t>352500 Краснодарский край город Лабинск улица Константинова № 4   нежилое помещение, этаж 1 (первый)</t>
  </si>
  <si>
    <t>ЮЛ770100193500542</t>
  </si>
  <si>
    <t>353680 Краснодарский край город Ейск улица Победы/ К. Либкнехта дом 78/46   помещение № 37, 38, этаж 1 (первый)</t>
  </si>
  <si>
    <t>ЮЛ770100193500561</t>
  </si>
  <si>
    <t>354000 Краснодарский край город Сочи улица Приморская набережная дом 2/4</t>
  </si>
  <si>
    <t>ЮЛ770100193500568</t>
  </si>
  <si>
    <t>353180 Краснодарский край Кореновский район, город Кореновск улица Красная дом 130   помещения №3, №4, №7, №8, №9, №10, этаж 1 (первый)</t>
  </si>
  <si>
    <t>ЮЛ770100193500615</t>
  </si>
  <si>
    <t>352690 Краснодарский край город Апшеронск улица Ворошилова дом 20   этаж 1 (первый)</t>
  </si>
  <si>
    <t>ЮЛ770100193500662</t>
  </si>
  <si>
    <t>353730 Краснодарский край станица Каневская улица Ленина дом 19/1   этаж 1 (первый)</t>
  </si>
  <si>
    <t>ЮЛ770100193500668</t>
  </si>
  <si>
    <t>354340 Краснодарский край город Сочи улица Ленина дом 1А   нежилые помещения № 1, № 26, № 27, этаж 1 (первый)</t>
  </si>
  <si>
    <t>ЮЛ770100193500683</t>
  </si>
  <si>
    <t>352190 Краснодарский край город Гулькевичи улица Красная дом 5   этаж 1 (первый)</t>
  </si>
  <si>
    <t>ЮЛ770100193500693</t>
  </si>
  <si>
    <t>353907 Краснодарский край город Новороссийск шоссе Анапское дом 2   часть помещения № 43, 45, этаж 1 (первый)</t>
  </si>
  <si>
    <t>ЮЛ770100193500702</t>
  </si>
  <si>
    <t>350020 Краснодарский край город Краснодар улица Красная дом 176   помещение 1108а, часть нежилого помещения № 209, этаж 1 (первый)</t>
  </si>
  <si>
    <t>ЮЛ770100193500703</t>
  </si>
  <si>
    <t>352900 Краснодарский край город Армавир улица Воровского дом 69   часть нежилого помещения № 142, этаж 1 (первый)</t>
  </si>
  <si>
    <t>ЮЛ770100193500710</t>
  </si>
  <si>
    <t>350012 Краснодарский край город Краснодар улица Западный Обход дом 31   часть нежилого помещения № 52, этаж 1 (первый)</t>
  </si>
  <si>
    <t>ЮЛ770100193500718</t>
  </si>
  <si>
    <t>350001 Краснодарский край город Краснодар улица Ставропольская дом 65   помещение, этаж 1 (первый)</t>
  </si>
  <si>
    <t>ЮЛ770100193500719</t>
  </si>
  <si>
    <t>352330 Краснодарский край город Усть-Лабинск улица Ободовского дом 27   этаж 1 (первый)</t>
  </si>
  <si>
    <t>ЮЛ770100193500723</t>
  </si>
  <si>
    <t>352708 Краснодарский край город Тимашевск улица Красная дом 105Ж/7   этаж 1 (первый)</t>
  </si>
  <si>
    <t>ЮЛ770100193500732</t>
  </si>
  <si>
    <t>352855 Краснодарский край поселок городского типа Новомихайловский улица Мира дом 76   помещение, этаж 1 (первый)</t>
  </si>
  <si>
    <t>ЮЛ770100193500735</t>
  </si>
  <si>
    <t>352900 Краснодарский край город Армавир улица Воровского дом 69   помещение 108, 1 (первый) этаж</t>
  </si>
  <si>
    <t>ЮЛ770100193500777</t>
  </si>
  <si>
    <t>352380 Краснодарский край город Кропоткин улица Красная дом 119   1 этаж, помещения 5-12,12-а,13-18,35,35-а,36,39-41</t>
  </si>
  <si>
    <t>ЮЛ770100193500797</t>
  </si>
  <si>
    <t>352800 Краснодарский край город Туапсе улица Карла Маркса дом 20/13   1 этаж</t>
  </si>
  <si>
    <t>ЮЛ770100193500812</t>
  </si>
  <si>
    <t>353451 Краснодарский край город Анапа улица Астраханская дом 99   часть помещения 44, 1 (первый) этаж</t>
  </si>
  <si>
    <t>ЮЛ770100193500814</t>
  </si>
  <si>
    <t>350000 Краснодарский край город Краснодар улица им. Володи Головатого дом 313  Литера А, А1 помещения 15, 15/1, 15/2, 1 (первый) этаж</t>
  </si>
  <si>
    <t>ЮЛ770100193500854</t>
  </si>
  <si>
    <t>353290 Краснодарский край город Горячий Ключ улица Революции дом 7   1 (первый) этаж</t>
  </si>
  <si>
    <t>ЮЛ770100193500864</t>
  </si>
  <si>
    <t>352570 Краснодарский край поселок городского типа Мостовской улица Первомайская дом 72   1 (первый) этаж</t>
  </si>
  <si>
    <t>ЮЛ770100193500875</t>
  </si>
  <si>
    <t>350023 Краснодарский край город Краснодар улица Крылатая дом 2   помещение № 01-097, этаж 1 (первый)</t>
  </si>
  <si>
    <t>ЮЛ770100193500882</t>
  </si>
  <si>
    <t>353445 Краснодарский край город Анапа улица Красноармейская дом 13А   часть киоска № 330</t>
  </si>
  <si>
    <t>ЮЛ770100193500899</t>
  </si>
  <si>
    <t>350073 Краснодарский край город Краснодар улица им. Адмирала Крузенштерна дом 4   помещение № 103, этаж 1 (первый)</t>
  </si>
  <si>
    <t>ЮЛ770100193500924</t>
  </si>
  <si>
    <t>ЮЛ770100193500959</t>
  </si>
  <si>
    <t>352395 Краснодарский край город Кропоткин улица Красная дом 176/2</t>
  </si>
  <si>
    <t>ЮЛ770100193500982</t>
  </si>
  <si>
    <t>352630 Краснодарский край город Белореченск улица Красная дом 65А</t>
  </si>
  <si>
    <t>ЮЛ770100193500988</t>
  </si>
  <si>
    <t>352360 Краснодарский край станица Тбилисская улица Октябрьская дом 167   часть помещения 9, 1 (первый) этаж</t>
  </si>
  <si>
    <t>ЮЛ770100193500992</t>
  </si>
  <si>
    <t>352380 Краснодарский край город Кропоткин улица Красная дом 152</t>
  </si>
  <si>
    <t>ЮЛ770100193501075</t>
  </si>
  <si>
    <t>353655 Краснодарский край станица Должанская улица переулок Советов Дом 14Д</t>
  </si>
  <si>
    <t>7734707942</t>
  </si>
  <si>
    <t>ЮЛ7701800007</t>
  </si>
  <si>
    <t>ЮЛ770180000700002</t>
  </si>
  <si>
    <t>352630 Краснодарский край Город Белореченск Улица Ленина  Дом 82</t>
  </si>
  <si>
    <t>ИП Волгина Наталья Владимировна</t>
  </si>
  <si>
    <t>773607266064</t>
  </si>
  <si>
    <t>ИП2304004819</t>
  </si>
  <si>
    <t>ИП230400481900002</t>
  </si>
  <si>
    <t>352630 Краснодарский край Город Белореченск Улица Красная Дом 65 "А"</t>
  </si>
  <si>
    <t>ИП230400481900003</t>
  </si>
  <si>
    <t>354340 Краснодарский край город Сочи улица Мира дом 50 Этаж 2 А комната 91</t>
  </si>
  <si>
    <t>ООО "ЛУАРА АРТ"</t>
  </si>
  <si>
    <t>7736665818</t>
  </si>
  <si>
    <t>ЮЛ1606003731</t>
  </si>
  <si>
    <t>ЮЛ160600373100002</t>
  </si>
  <si>
    <t>350019 Краснодарский край город Краснодар улица им. Дзержинского дом 100  литер Т часть помещения № 220</t>
  </si>
  <si>
    <t>ООО "МОНАРХ"</t>
  </si>
  <si>
    <t>7801468139</t>
  </si>
  <si>
    <t>ЮЛ7803002047</t>
  </si>
  <si>
    <t>ЮЛ780300204700001</t>
  </si>
  <si>
    <t>353730 Краснодарский край станица Каневская улица Герцена дом 80   помещение 9</t>
  </si>
  <si>
    <t>780225087280</t>
  </si>
  <si>
    <t>ИП7803014520</t>
  </si>
  <si>
    <t>ИП780301452000000</t>
  </si>
  <si>
    <t>353240 Краснодарский край станица Северская улица Калинина дом 147</t>
  </si>
  <si>
    <t>ИП780301452000007</t>
  </si>
  <si>
    <t>352126 Краснодарский край город Тихорецк улица Шоссейная дом 3</t>
  </si>
  <si>
    <t>ИП780301452000008</t>
  </si>
  <si>
    <t>353743 Краснодарский край станица Ленинградская улица им.302 Дивизии дом 115А</t>
  </si>
  <si>
    <t>ИП780301452000009</t>
  </si>
  <si>
    <t>350020 Краснодарский край Краснодар город улица Бабушкина дом 283   помещение 64</t>
  </si>
  <si>
    <t>ИП Никонова Валерия Яковлевна</t>
  </si>
  <si>
    <t>780243491992</t>
  </si>
  <si>
    <t>ИП7803032158</t>
  </si>
  <si>
    <t>ИП780303215800003</t>
  </si>
  <si>
    <t>350000 Краснодарский край город Краснодар улица Красная дом 120</t>
  </si>
  <si>
    <t>ИП780303215800004</t>
  </si>
  <si>
    <t>352700 Краснодарский край город Тимашевск улица Красная дом №105ж/6</t>
  </si>
  <si>
    <t>ЮЛ780300131300322</t>
  </si>
  <si>
    <t>352900 Краснодарский край город Армавир улица Мира дом 49</t>
  </si>
  <si>
    <t>ЮЛ780300131300324</t>
  </si>
  <si>
    <t>352900 Краснодарский край город Армавир улица Ленина дом №105   часть нежилого помещения № 34</t>
  </si>
  <si>
    <t>ЮЛ780300131300325</t>
  </si>
  <si>
    <t>352330 Краснодарский край город Усть-Лабинск улица Октябрьская 114   часть нежилого здания Литер А а</t>
  </si>
  <si>
    <t>ЮЛ780300131300326</t>
  </si>
  <si>
    <t>353440 Краснодарский край город Анапа улица Красноармейская дом 13А</t>
  </si>
  <si>
    <t>ЮЛ780300131300389</t>
  </si>
  <si>
    <t>353460 Краснодарский край город Геленджик улица Островского дом 17</t>
  </si>
  <si>
    <t>ЮЛ780300131300390</t>
  </si>
  <si>
    <t>350061 Краснодарский край город Краснодар улица им. Мачуги В.Н. дом 2   часть нежилого помещения инв. №93</t>
  </si>
  <si>
    <t>ЮЛ780300131300397</t>
  </si>
  <si>
    <t>352500 Краснодарский край город Лабинск улица Красная дом 25</t>
  </si>
  <si>
    <t>ЮЛ780300131300398</t>
  </si>
  <si>
    <t>354340 Краснодарский край город Сочи улица Демократическая дом 38   часть нежилого помещения № 12</t>
  </si>
  <si>
    <t>ЮЛ780300131300411</t>
  </si>
  <si>
    <t>354340 Краснодарский край город Сочи улица Демократическая дом №52  Литер А часть комнаты №52, комнаты №№ 50,54,55</t>
  </si>
  <si>
    <t>ЮЛ780300131300412</t>
  </si>
  <si>
    <t>354200 Краснодарский край город Сочи улица Павлова дом № 38</t>
  </si>
  <si>
    <t>ЮЛ780300131300413</t>
  </si>
  <si>
    <t>354000 Краснодарский край город Сочи переулок Лесной дом № 26  литер: Г</t>
  </si>
  <si>
    <t>ЮЛ780300131300415</t>
  </si>
  <si>
    <t>354000 Краснодарский край город Сочи улица Московская дом 25</t>
  </si>
  <si>
    <t>ЮЛ780300131300416</t>
  </si>
  <si>
    <t>353380 Краснодарский край город Крымск улица Синева дом 11-а  Литер А</t>
  </si>
  <si>
    <t>ЮЛ780300131300421</t>
  </si>
  <si>
    <t>352430 Краснодарский край город Курганинск улица Комсомольская 26г   часть помещения 2, помещения 3,4,6</t>
  </si>
  <si>
    <t>ЮЛ780300131300422</t>
  </si>
  <si>
    <t>352800 Краснодарский край город Туапсе улица Карла Маркса дом 23а</t>
  </si>
  <si>
    <t>ЮЛ780300131300438</t>
  </si>
  <si>
    <t>352800 Краснодарский край город Туапсе улица К. Маркса дом № 12</t>
  </si>
  <si>
    <t>ЮЛ780300131300439</t>
  </si>
  <si>
    <t>350040 Краснодарский край город Краснодар улица Ставропольская дом №224   кв. 3, пом. № 84,85,88,88/1</t>
  </si>
  <si>
    <t>ЮЛ780300131300447</t>
  </si>
  <si>
    <t>354340 Краснодарский край город Сочи улица Демократическая дом 38  литер Ю1-Ю2 часть помещения 11</t>
  </si>
  <si>
    <t>ЮЛ780300131300462</t>
  </si>
  <si>
    <t>350020 Краснодарский край город Краснодар улица Красная 190  Литер "З"</t>
  </si>
  <si>
    <t>ЮЛ780300131300466</t>
  </si>
  <si>
    <t>354000 Краснодарский край город Сочи улица Воровского дом 4   часть н.п. №№ 1,12,13,3,4,6,7,8,9,10,11 (нежилые помещения № 1,2, №1-9 подвала; нежилые помещения 1,3-14 первого этажа)</t>
  </si>
  <si>
    <t>ЮЛ780300131300484</t>
  </si>
  <si>
    <t>352630 Краснодарский край город Белореченск угол улицы Ленина и улицы Красная угол д.78 и д.94  Лит. А часть здания нежилого назначения - инвентарный №11301, а именно: помещение № 1, часть помещения № 10</t>
  </si>
  <si>
    <t>ЮЛ780300131300567</t>
  </si>
  <si>
    <t>353204 Краснодарский край станица Динская улица Красная дом 78/2   часть нежилого помещения №4</t>
  </si>
  <si>
    <t>ЮЛ780300131300568</t>
  </si>
  <si>
    <t>354207 Краснодарский край город Сочи, Лазаревский район улица Армавирская дом 56   часть нежилого помещения №4</t>
  </si>
  <si>
    <t>ЮЛ780300131300574</t>
  </si>
  <si>
    <t>350089 Краснодарский край город Краснодар проспект Чекистов дом 36</t>
  </si>
  <si>
    <t>ЮЛ780300131300626</t>
  </si>
  <si>
    <t>353236 Краснодарский край поселок городского типа Афипский улица Пушкина дом 130А  Литер: А,а помещения 1,2,9</t>
  </si>
  <si>
    <t>ЮЛ780300328000148</t>
  </si>
  <si>
    <t>352800 Краснодарский край город Туапсе улица К. Маркса 25/15</t>
  </si>
  <si>
    <t>ЮЛ780300328000150</t>
  </si>
  <si>
    <t>354375 Краснодарский край город Сочи улица Урожайная дом 98</t>
  </si>
  <si>
    <t>ЮЛ780300328000152</t>
  </si>
  <si>
    <t>352913 Краснодарский край город Армавир улица Новороссийская 78/11</t>
  </si>
  <si>
    <t>ЮЛ780300328000154</t>
  </si>
  <si>
    <t>352430 Краснодарский край город Курганинск улица Матросова дом 237/2   часть здания чз1- помещение № 29</t>
  </si>
  <si>
    <t>ЮЛ780300328000156</t>
  </si>
  <si>
    <t>353460 Краснодарский край город Геленджик улица Кирова дом №60а   помещения №№ 6, 12</t>
  </si>
  <si>
    <t>ЮЛ780300328000230</t>
  </si>
  <si>
    <t>354340 Краснодарский край город Сочи улица Ленина дом 156   не стационарный модульный павильон №4</t>
  </si>
  <si>
    <t>ЮЛ780300328000231</t>
  </si>
  <si>
    <t>352360 Краснодарский край станица Тбилисская улица Октябрьская дом 173Г</t>
  </si>
  <si>
    <t>ЮЛ780300328000234</t>
  </si>
  <si>
    <t>352333 Краснодарский край город Усть-Лабинск улица Ленина 91/3</t>
  </si>
  <si>
    <t>ЮЛ780300328000241</t>
  </si>
  <si>
    <t>353230 Краснодарский край поселок городского типа Ильский улица Первомайская дом 92а</t>
  </si>
  <si>
    <t>ЮЛ780300328000258</t>
  </si>
  <si>
    <t>352900 Краснодарский край город Армавир улица Воровского дом № 69   часть нежилого помещения № 13б</t>
  </si>
  <si>
    <t>ЮЛ780300331800013</t>
  </si>
  <si>
    <t>352630 Краснодарский край город Белореченск угол улицы Ленина и улицы Красная дом 78/94   помещение № 1, часть помещения № 10, помещение № 11</t>
  </si>
  <si>
    <t>ЮЛ780300331800015</t>
  </si>
  <si>
    <t>ЮЛ780300331800027</t>
  </si>
  <si>
    <t>353204 Краснодарский край станица Динская улица Красная дом 78/2   часть нежилых помещений: №№ 1,3,4</t>
  </si>
  <si>
    <t>ЮЛ780300331800090</t>
  </si>
  <si>
    <t>354207 Краснодарский край город Сочи улица Армавирская дом № 56   часть помещения № 4</t>
  </si>
  <si>
    <t>ЮЛ780300331800120</t>
  </si>
  <si>
    <t>350023 Краснодарский край город Краснодар улица Крылатая дом 2   ч. пом.  34</t>
  </si>
  <si>
    <t>ИП780303259200003</t>
  </si>
  <si>
    <t>352800 Краснодарский край город Туапсе улица К. Маркса дом 25/15</t>
  </si>
  <si>
    <t>ЮЛ780300323500032</t>
  </si>
  <si>
    <t>352900 Краснодарский край город Армавир улица Кирова дом 51/105   помещение №1</t>
  </si>
  <si>
    <t>ЮЛ780300323500038</t>
  </si>
  <si>
    <t>353440 Краснодарский край город Анапа улица Красноармейская дом 13</t>
  </si>
  <si>
    <t>ЮЛ780300323500043</t>
  </si>
  <si>
    <t>350059 Краснодарский край город Краснодар улица Уральская дом 102</t>
  </si>
  <si>
    <t>ЮЛ780300323500062</t>
  </si>
  <si>
    <t>352500 Краснодарский край город Лабинск улица Константинова дом 13   помещения 7, 8, 9</t>
  </si>
  <si>
    <t>ЮЛ780300323500068</t>
  </si>
  <si>
    <t>352900 Краснодарский край город Армавир улица Мира дом 24в   11</t>
  </si>
  <si>
    <t>ЮЛ780300323500070</t>
  </si>
  <si>
    <t>350023 Краснодарский край город Краснодар улица Крылатая дом 2   офис 01-093</t>
  </si>
  <si>
    <t>ИП Жемпала Георгий Дмитриевич</t>
  </si>
  <si>
    <t>781433624956</t>
  </si>
  <si>
    <t>ИП7803008868</t>
  </si>
  <si>
    <t>ИП780300886800000</t>
  </si>
  <si>
    <t>350023 Краснодарский край город Краснодар улица Крылатая дом 2   офис 01-098а</t>
  </si>
  <si>
    <t>ИП780300886800001</t>
  </si>
  <si>
    <t>350000 Краснодарский край г. Краснодар ул. им. Володи Головатого дом 313   пом.34, пом. 34/1, пом. 35</t>
  </si>
  <si>
    <t>ИП780300886800002</t>
  </si>
  <si>
    <t>350012 Краснодарский край город Краснодар улица Западный Обход дом 29</t>
  </si>
  <si>
    <t>ЮЛ780300308200045</t>
  </si>
  <si>
    <t>350061 Краснодарский край город Краснодар улица им. Мачуги В.Н. дом 2  литер а часть нежил. пом. инв. №93</t>
  </si>
  <si>
    <t>ЮЛ780300308200046</t>
  </si>
  <si>
    <t>350020 Краснодарский край город Краснодар улица Одесская дом 46   помещение №32</t>
  </si>
  <si>
    <t>ЮЛ780300308200047</t>
  </si>
  <si>
    <t>352120 Краснодарский край город Тихорецк улица Подвойского дом 39А   помещение 6245-1 Б</t>
  </si>
  <si>
    <t>ЮЛ780300308200091</t>
  </si>
  <si>
    <t>352190 Краснодарский край город Гулькевичи улица Красная дом 3   часть помещения 2</t>
  </si>
  <si>
    <t>ЮЛ780300308200122</t>
  </si>
  <si>
    <t>352395 Краснодарский край город Кропоткин улица Красная дом 176/2  литер А</t>
  </si>
  <si>
    <t>ЮЛ780300308200125</t>
  </si>
  <si>
    <t>352240 Краснодарский край город Новокубанск улица Первомайская дом 189/1</t>
  </si>
  <si>
    <t>ЮЛ780300308200130</t>
  </si>
  <si>
    <t>353900 Краснодарский край город Новороссийск улица Советов дом 13   часть нежилого помещения VI, литер А</t>
  </si>
  <si>
    <t>ЮЛ780300308200131</t>
  </si>
  <si>
    <t>353290 Краснодарский край город Горячий Ключ улица Революции дом 4   помещения 152,186,87</t>
  </si>
  <si>
    <t>ЮЛ780300308200186</t>
  </si>
  <si>
    <t>353740 Краснодарский край станица Ленинградская переулок Базарный дом 19   помещение 1,3</t>
  </si>
  <si>
    <t>ЮЛ780300308200189</t>
  </si>
  <si>
    <t>353900 Краснодарский край город Новороссийск улица Советов дом 40  литер А3 часть нежилого помещения 1 литер А3</t>
  </si>
  <si>
    <t>ЮЛ780300308200190</t>
  </si>
  <si>
    <t>352290 Краснодарский край станица Отрадная улица Первомайская дом 79А/9  литер Б</t>
  </si>
  <si>
    <t>ЮЛ780300308200191</t>
  </si>
  <si>
    <t>352690 Краснодарский край город Апшеронск улица Ворошилова дом 24   комната 1, часть комнаты 3</t>
  </si>
  <si>
    <t>ЮЛ780300308200199</t>
  </si>
  <si>
    <t>352900 Краснодарский край город Армавир улица Ленина дом 105   часть помещения 34</t>
  </si>
  <si>
    <t>ЮЛ780300308200201</t>
  </si>
  <si>
    <t>ЮЛ780300308200203</t>
  </si>
  <si>
    <t>350023 Краснодарский край город Краснодар Карасунский внутригородской округ, улица Крылатая дом 2   Торговая площадь №P1-05</t>
  </si>
  <si>
    <t>ЮЛ780300308200252</t>
  </si>
  <si>
    <t>350051 Краснодарский край город Краснодар улица Шоссе Нефтяников дом 42</t>
  </si>
  <si>
    <t>ЮЛ780300308200265</t>
  </si>
  <si>
    <t>353901 Краснодарский край город Новороссийск улица Советов дом 1   часть нежилого помещения №28</t>
  </si>
  <si>
    <t>ЮЛ780300308200267</t>
  </si>
  <si>
    <t>354068 Краснодарский край город Сочи улица Новая заря дом 7   часть нежилого помещения № 1.03</t>
  </si>
  <si>
    <t>ЮЛ780300308200271</t>
  </si>
  <si>
    <t>352630 Краснодарский край город Белореченск улица Мира дом 89   нежилое помещение 4</t>
  </si>
  <si>
    <t>ЮЛ780300308200275</t>
  </si>
  <si>
    <t>350001 Краснодарский край город Краснодар улица Ставропольская дом 69</t>
  </si>
  <si>
    <t>ЮЛ780300308200323</t>
  </si>
  <si>
    <t>350059 Краснодарский край город Краснодар улица Уральская дом 79/2   помещения № 100, 78, часть помещения № 77</t>
  </si>
  <si>
    <t>ЮЛ780300308200368</t>
  </si>
  <si>
    <t>353440 Краснодарский край город Анапа улица Астраханская дом 76   помещение 2/2</t>
  </si>
  <si>
    <t>ЮЛ780300308200433</t>
  </si>
  <si>
    <t>ЮЛ780300308200437</t>
  </si>
  <si>
    <t>352855 Краснодарский край поселок городского типа Новомихайловский улица Ленина дом 2а</t>
  </si>
  <si>
    <t>ЮЛ780300308200447</t>
  </si>
  <si>
    <t>353900 Краснодарский край город Новороссийск улица Советов дом 22  лит А часть помещения 4</t>
  </si>
  <si>
    <t>ЮЛ780300308200448</t>
  </si>
  <si>
    <t>ЮЛ780300308200456</t>
  </si>
  <si>
    <t>354200 Краснодарский край город Сочи улица Циолковского дом 4</t>
  </si>
  <si>
    <t>ЮЛ780300308200457</t>
  </si>
  <si>
    <t>354057 Краснодарский край город Сочи улица Чебрикова дом 11</t>
  </si>
  <si>
    <t>ЮЛ780300308200458</t>
  </si>
  <si>
    <t>353500 Краснодарский край город Темрюк улица Розы Люксембург дом 35   часть помещения №1</t>
  </si>
  <si>
    <t>ЮЛ780300308200460</t>
  </si>
  <si>
    <t>352750 Краснодарский край станица Брюховецкая улица Кирова дом 170а/3   часть нежилого помещения литер:Б</t>
  </si>
  <si>
    <t>ЮЛ780300308200513</t>
  </si>
  <si>
    <t>352430 Краснодарский край город Курганинск улица Матросова дом 237/2   часть здания чз 1 - помещение №29</t>
  </si>
  <si>
    <t>ЮЛ780300308200530</t>
  </si>
  <si>
    <t>353567 Краснодарский край город Славянск-на-Кубани улица Дзержинского дом 268</t>
  </si>
  <si>
    <t>ЮЛ780300308200538</t>
  </si>
  <si>
    <t>ЮЛ780300308200541</t>
  </si>
  <si>
    <t>352452 Краснодарский край село Успенское улица Буденного дом 41а   часть нежилого здания, торговый павильон, часть помещения №4</t>
  </si>
  <si>
    <t>ЮЛ780300308200543</t>
  </si>
  <si>
    <t>352681 Краснодарский край город Хадыженск улица Первомайская д. 103, блок 11</t>
  </si>
  <si>
    <t>ЮЛ780300308200545</t>
  </si>
  <si>
    <t>353230 Краснодарский край поселок городского типа Ильский улица Первомайская дом 92А   комнаты №2,5,14/1,14</t>
  </si>
  <si>
    <t>ЮЛ780300308200613</t>
  </si>
  <si>
    <t>353860 Краснодарский край город Приморско-Ахтарск улица Пролетарская дом 91   помещение №1, помещение № 3, помещение № 6, помещения № 7, помещение № 10, помещение № 11, помещение № 32, помещение № 33</t>
  </si>
  <si>
    <t>ЮЛ780300308200638</t>
  </si>
  <si>
    <t>354000 Краснодарский край город Сочи, Центральный район улица Воровского дом 4   нежилые помещения № 1,2, № 1-9 подвала; нежилые помещения 1,3-14 первого этажа (помещения №1,№12,№13,№3,№4,№6,№7№8,№9,№10,№11)</t>
  </si>
  <si>
    <t>ЮЛ780300308200651</t>
  </si>
  <si>
    <t>353691 Краснодарский край город Ейск улица Коммунистическая дом 20/21   часть нежилого помещения № 33,34,35</t>
  </si>
  <si>
    <t>ЮЛ780300308200653</t>
  </si>
  <si>
    <t>354340 Краснодарский край город Сочи улица Демократическая дом 52   часть нежилых помещений №50,53,54,55,57</t>
  </si>
  <si>
    <t>ЮЛ780300308200733</t>
  </si>
  <si>
    <t>354000 Краснодарский край город Сочи улица Московская дом 25   часть нежилого помещения 11-17</t>
  </si>
  <si>
    <t>ЮЛ780300308200734</t>
  </si>
  <si>
    <t>354200 Краснодарский край город Сочи улица Павлова дом 38 Литер "А, А1"   часть нежилых помещений № 1,1/1,1/2,1/3,1/4,1/5</t>
  </si>
  <si>
    <t>ЮЛ780300308200735</t>
  </si>
  <si>
    <t>354340 Краснодарский край город Сочи улица Демократическая дом 38 Литер Ю-1, Ю-2   часть нежилого помещения №11</t>
  </si>
  <si>
    <t>ЮЛ780300308200737</t>
  </si>
  <si>
    <t>354340 Краснодарский край город Сочи улица Демократическая дом 38 Литер Ю-1, Ю-2   часть нежилого помещение 12</t>
  </si>
  <si>
    <t>ЮЛ780300308200738</t>
  </si>
  <si>
    <t>ЮЛ780300308200816</t>
  </si>
  <si>
    <t>352923 Краснодарский край город Армавир улица Азовская дом 105 литер А   номера на поэтажном плане 33, 46, 46а, 47, 48(1 этаж), 11-14, 15а, 16, 22, 23 (подвал)</t>
  </si>
  <si>
    <t>ЮЛ780300308200817</t>
  </si>
  <si>
    <t>350001 Краснодарский край город Краснодар улица Ставропольская/Черноморская  литер Д, над/Д-магазин, литер Д, над/Д на 1 и 2 этаже здания</t>
  </si>
  <si>
    <t>ЮЛ780300308200819</t>
  </si>
  <si>
    <t>353445 Краснодарский край город Анапа улица Красноармейская дом 13А Литер "Л"</t>
  </si>
  <si>
    <t>ЮЛ780300308200825</t>
  </si>
  <si>
    <t>350000 Краснодарский край город Краснодар улица Красная/ул. им Горького дом 64/66   часть нежилых помещений №55,56,108,109,110,111</t>
  </si>
  <si>
    <t>ЮЛ780300308200835</t>
  </si>
  <si>
    <t>353680 Краснодарский край город Ейск улица Свердлова дом 85/14/Карла Либкнехта  д. 48/13</t>
  </si>
  <si>
    <t>ЮЛ780300308200836</t>
  </si>
  <si>
    <t>352430 Краснодарский край город Курганинск улица Комсомольская дом 26Г   часть нежилых помещений №2,3,4, 5,6</t>
  </si>
  <si>
    <t>ЮЛ780300308200837</t>
  </si>
  <si>
    <t>352708 Краснодарский край город Тимашевск улица Красная дом 105Ж/6   часть нежилых помещений №1, №2, №3</t>
  </si>
  <si>
    <t>ЮЛ780300308200841</t>
  </si>
  <si>
    <t>352570 Краснодарский край поселок городского типа Мостовской улица Первомайская дом 72 Литер А   часть здания магазина, а именно: №1, 4-7</t>
  </si>
  <si>
    <t>ЮЛ780300308200844</t>
  </si>
  <si>
    <t>353204 Краснодарский край станица Динская улица Красная дом 78/2   часть нежилых помещений №1,3,4</t>
  </si>
  <si>
    <t>ЮЛ780300308200847</t>
  </si>
  <si>
    <t>353380 Краснодарский край город Крымск улица Синева дом 11-а Литер А</t>
  </si>
  <si>
    <t>ЮЛ780300308200852</t>
  </si>
  <si>
    <t>350020 Краснодарский край город Краснодар улица Красная дом 190 литер "З"</t>
  </si>
  <si>
    <t>ЮЛ780300308200855</t>
  </si>
  <si>
    <t>353680 Краснодарский край город Ейск улица Ленина дом 59 Литер Б   ком №1,2,3, литер под Б комн. №2,1</t>
  </si>
  <si>
    <t>ЮЛ780300308200857</t>
  </si>
  <si>
    <t>ЮЛ780300308200865</t>
  </si>
  <si>
    <t>352500 Краснодарский край город Лабинск улица Константинова дом 4   часть нежилых помещений №1, 1а, 1б, 1в, 1г, 1д, 2,3,4,10, 11</t>
  </si>
  <si>
    <t>ЮЛ780300308200866</t>
  </si>
  <si>
    <t>ЮЛ780300308200871</t>
  </si>
  <si>
    <t>352800 Краснодарский край город Туапсе улица К. Маркса дом 23А   часть нежилого помещения</t>
  </si>
  <si>
    <t>ЮЛ780300308200872</t>
  </si>
  <si>
    <t>353600 Краснодарский край станица Староминская улица Кольцовская дом 21 Литер А   часть нежилого помещения №1,2,3</t>
  </si>
  <si>
    <t>ЮЛ780300308200882</t>
  </si>
  <si>
    <t>352330 Краснодарский край город Усть-Лабинск улица Октябрьская дом 114 Литер А,а   часть нежилого помещения инвентарный номер 10909</t>
  </si>
  <si>
    <t>ЮЛ780300308200883</t>
  </si>
  <si>
    <t>352030 Краснодарский край станица Кущевская переулок Первомайский дом 96   часть нежилого помещения  4,8,8 литер А</t>
  </si>
  <si>
    <t>ЮЛ780300308200974</t>
  </si>
  <si>
    <t>ЮЛ780300308200999</t>
  </si>
  <si>
    <t>353730 Краснодарский край станица Каневская улица Ленина дом 19\1</t>
  </si>
  <si>
    <t>ЮЛ780300308201008</t>
  </si>
  <si>
    <t>354000 Краснодарский край город Сочи переулок Лесной дом 26</t>
  </si>
  <si>
    <t>ЮЛ780300308201013</t>
  </si>
  <si>
    <t>352630 Краснодарский край город Белореченск угол ул. Ленина 78 и ул. Красная 94 литера А   часть помещения № 2, помещения №№4,8,9</t>
  </si>
  <si>
    <t>ЮЛ780300308201016</t>
  </si>
  <si>
    <t>352800 Краснодарский край город Туапсе улица Карла Маркса дом 12</t>
  </si>
  <si>
    <t>ЮЛ780300308201021</t>
  </si>
  <si>
    <t>353451 Краснодарский край город Анапа улица Астраханская дом 99   часть нежилого помещения № 59</t>
  </si>
  <si>
    <t>ЮЛ780300308201034</t>
  </si>
  <si>
    <t>350059 Краснодарский край город Краснодар улица Уральская дом 98/11   369 (часть)</t>
  </si>
  <si>
    <t>ЮЛ780300308201154</t>
  </si>
  <si>
    <t>350000 Краснодарский край город Краснодар улица им. Володи Головатого дом 313 литер А,А1   помещение № 58</t>
  </si>
  <si>
    <t>ЮЛ780300308201167</t>
  </si>
  <si>
    <t>350000 Краснодарский край город Краснодар улица им. Володи Головатого дом 313 литер А,А1   помещение в структуре ТН -1.110.0.4.02</t>
  </si>
  <si>
    <t>ЮЛ780300308201178</t>
  </si>
  <si>
    <t>354068 Краснодарский край город Сочи улица Новая заря дом 7   часть Торгового центра с номером 679, 679а, 679б</t>
  </si>
  <si>
    <t>ЮЛ780300308201216</t>
  </si>
  <si>
    <t>350019 Краснодарский край город Краснодар улица им. Дзержинского дом 100  литер Т нежилое помещение 1 (первого) этажа №77, нежилое помещение 1 (первого) этажа №78 и часть нежилого помещения 1 (первого) этажа №59</t>
  </si>
  <si>
    <t>ЮЛ780300308201219</t>
  </si>
  <si>
    <t>353460 Краснодарский край город Геленджик улица Ленина дом 1  лит.А пом. 42 (нежилое помещение №42)</t>
  </si>
  <si>
    <t>ЮЛ780300308201241</t>
  </si>
  <si>
    <t>ЮЛ780300363500002</t>
  </si>
  <si>
    <t>352500 Краснодарский край город Лабинск улица Константинова дом 13</t>
  </si>
  <si>
    <t>ЮЛ780300363500024</t>
  </si>
  <si>
    <t>352900 Краснодарский край город Армавир улица Кирова дом 51/105</t>
  </si>
  <si>
    <t>ЮЛ780300363500046</t>
  </si>
  <si>
    <t>352900 Краснодарский край город Армавир улица Мира дом 24в   помещение 11</t>
  </si>
  <si>
    <t>ЮЛ780300363500047</t>
  </si>
  <si>
    <t>ЮЛ780300363500126</t>
  </si>
  <si>
    <t>354000 Краснодарский край город Сочи переулок Лесной дом 27   помещение №15</t>
  </si>
  <si>
    <t>ЮЛ780300363500212</t>
  </si>
  <si>
    <t>ЮЛ780300363500214</t>
  </si>
  <si>
    <t>ЮЛ780300363500225</t>
  </si>
  <si>
    <t>352900 Краснодарский край город Армавир улица Воровского дом 69   1 этаж, помещение 135</t>
  </si>
  <si>
    <t>ЮЛ780301261200048</t>
  </si>
  <si>
    <t>350062 Краснодарский край город Краснодар улица им. Атарбекова дом 1/1</t>
  </si>
  <si>
    <t>ИП Наурузбаева Светлана Ивановна</t>
  </si>
  <si>
    <t>781800827218</t>
  </si>
  <si>
    <t>ИП2304009035</t>
  </si>
  <si>
    <t>ИП230400903500000</t>
  </si>
  <si>
    <t>350031 Краснодарский край город Краснодар улица Целиноградская дом 6/1</t>
  </si>
  <si>
    <t>ИП230400903500001</t>
  </si>
  <si>
    <t>353960 Краснодарский край город Новороссийск улица Ленина дом 7-Ж</t>
  </si>
  <si>
    <t>ИП230400903500002</t>
  </si>
  <si>
    <t>350024 Краснодарский край город Краснодар улица Российская дом 257</t>
  </si>
  <si>
    <t>ИП230400903500004</t>
  </si>
  <si>
    <t>350059 Краснодарский край город Краснодар улица Новороссийская дом 172  Литера А 225</t>
  </si>
  <si>
    <t>ИП Гулевцева Ольга Александровна</t>
  </si>
  <si>
    <t>910219058429</t>
  </si>
  <si>
    <t>ИП8204033256</t>
  </si>
  <si>
    <t>ИП820403325600000</t>
  </si>
  <si>
    <t>350059 Краснодарский край город Краснодар улица Новороссийская 174  литера А 18</t>
  </si>
  <si>
    <t>ИП Гулевцев Николай Владимирович</t>
  </si>
  <si>
    <t>910226850900</t>
  </si>
  <si>
    <t>ИП8204004721</t>
  </si>
  <si>
    <t>ИП820400472100000</t>
  </si>
  <si>
    <t>ИП Грабовская Юлия Александровна</t>
  </si>
  <si>
    <t>911016890802</t>
  </si>
  <si>
    <t>ИП8204009911</t>
  </si>
  <si>
    <t>ИП820400991100008</t>
  </si>
  <si>
    <t>ИП820400991100015</t>
  </si>
  <si>
    <t>350059 Краснодарский край город Краснодар улица Уральская дом 79/2   помещение 73 (часть)</t>
  </si>
  <si>
    <t>ИП Щеглов Сергей Валерьевич</t>
  </si>
  <si>
    <t>920161091567</t>
  </si>
  <si>
    <t>ИП8304010784</t>
  </si>
  <si>
    <t>ИП830401078400000</t>
  </si>
  <si>
    <t>352800 Краснодарский край город Туапсе улица Карла Маркса дом 12   помещения №1-4 цокольный этаж</t>
  </si>
  <si>
    <t>ЮЛ770100439200001</t>
  </si>
  <si>
    <t>350075 Краснодарский край город Краснодар улица Уральская дом 98/11   1 этаж помещения №339/2, №339/10 (секция А12)</t>
  </si>
  <si>
    <t>ЮЛ770100439200014</t>
  </si>
  <si>
    <t>353907 Краснодарский край город Новороссийск улица Анапское шоссе дом 2  Литер А помещение №77, 1 этаж</t>
  </si>
  <si>
    <t>ЮЛ770100439200015</t>
  </si>
  <si>
    <t>354200 Краснодарский край п. Лазаревское улица Победы дом 74   1 этаж жилого здания</t>
  </si>
  <si>
    <t>ЮЛ770100439200085</t>
  </si>
  <si>
    <t>354000 Краснодарский край город Сочи улица Навагинская дом 3/9   1 этаж здания, пом. №1-8</t>
  </si>
  <si>
    <t>ЮЛ770100439200086</t>
  </si>
  <si>
    <t>350001 Краснодарский край город Краснодар улица Ставропольская дом 63   помещения первого этажа №1, 1/1, 1/2 /часть/,3,16 здания литер Апод/Ааа1под/а1а2а3</t>
  </si>
  <si>
    <t>ЮЛ770100439200174</t>
  </si>
  <si>
    <t>353440 Краснодарский край город Анапа улица Терская/Астраханская дом 82/7   помещение 3, комнаты 3,5,6</t>
  </si>
  <si>
    <t>ЮЛ770100439200186</t>
  </si>
  <si>
    <t>350000 Краснодарский край город Краснодар улица им. Володи Головатого дом 313  А, А1 1 этаж, помещение №52</t>
  </si>
  <si>
    <t>ЮЛ770100439200208</t>
  </si>
  <si>
    <t>350019 Краснодарский край город Краснодар улица имени Дзержинского дом 100   1 этаж, помещение №75 литер "Т"</t>
  </si>
  <si>
    <t>ЮЛ770100439200211</t>
  </si>
  <si>
    <t>354068 Краснодарский край город Сочи улица Новая заря дом 7   1 этаж, помещения №689, 690</t>
  </si>
  <si>
    <t>ЮЛ770100439200232</t>
  </si>
  <si>
    <t>353440 Краснодарский край город Анапа улица Крымская/Красноармейская 151/15б   1 этаж</t>
  </si>
  <si>
    <t>ЮЛ770100439200241</t>
  </si>
  <si>
    <t>354000 Краснодарский край город Сочи улица Северная дом 6   помещение 20/1</t>
  </si>
  <si>
    <t>ЮЛ770100439200254</t>
  </si>
  <si>
    <t>354340 Краснодарский край город Сочи улица Демократическая дом 38/2</t>
  </si>
  <si>
    <t>ЮЛ770100439200261</t>
  </si>
  <si>
    <t>350007 Краснодарский край Краснодар Индустриальная 3/3   помещение 1406</t>
  </si>
  <si>
    <t>ЮЛ770100029500014</t>
  </si>
  <si>
    <t>353461 Краснодарский край город Геленджик улица Революционная дом 53</t>
  </si>
  <si>
    <t>ООО "СИРИН"</t>
  </si>
  <si>
    <t>9718165044</t>
  </si>
  <si>
    <t>ЮЛ7701037212</t>
  </si>
  <si>
    <t>ЮЛ770103721200001</t>
  </si>
  <si>
    <t>350001 Краснодарский край город Краснодар улица им. Вишняковой дом 118/1  Литер А6</t>
  </si>
  <si>
    <t>ООО "ЛОМБАРД И ТОЧКА"</t>
  </si>
  <si>
    <t>9727040500</t>
  </si>
  <si>
    <t>ЮЛ7701035024</t>
  </si>
  <si>
    <t>ЮЛ770103502400013</t>
  </si>
  <si>
    <t>354392 Краснодарский край город Сочи площадь Розы дом 2</t>
  </si>
  <si>
    <t>ООО "КАССИОПЕА"</t>
  </si>
  <si>
    <t>9728128228</t>
  </si>
  <si>
    <t>ЮЛ7701036414</t>
  </si>
  <si>
    <t>ЮЛ770103641400001</t>
  </si>
  <si>
    <t>Красноярский край</t>
  </si>
  <si>
    <t>662710 Красноярский край поселок городского типа Шушенское улица Полукольцевая дом 19</t>
  </si>
  <si>
    <t>ИП Цыденова Светлана Викторовна</t>
  </si>
  <si>
    <t>32302350734</t>
  </si>
  <si>
    <t>ИП1908008484</t>
  </si>
  <si>
    <t>ИП190800848400004</t>
  </si>
  <si>
    <t>660028 Красноярский край город Красноярск улица Телевизорная дом 1 строение 4</t>
  </si>
  <si>
    <t>ИП Арутюнян Эдуард Карапетович</t>
  </si>
  <si>
    <t>143300071422</t>
  </si>
  <si>
    <t>ИП1409007925</t>
  </si>
  <si>
    <t>ИП140900792500000</t>
  </si>
  <si>
    <t>662610 Красноярский край город Минусинск улица Абаканская дом 61   помещение 112</t>
  </si>
  <si>
    <t>ИП Шкуратова Наталья Александровна</t>
  </si>
  <si>
    <t>190110192464</t>
  </si>
  <si>
    <t>ИП1908002583</t>
  </si>
  <si>
    <t>ИП190800258300005</t>
  </si>
  <si>
    <t>662606 Красноярский край город Минусинск улица Народная дом 76   помещение 65н</t>
  </si>
  <si>
    <t>ИП Казачкин Олег Михайлович</t>
  </si>
  <si>
    <t>190158360484</t>
  </si>
  <si>
    <t>ИП1908037309</t>
  </si>
  <si>
    <t>ИП190803730900001</t>
  </si>
  <si>
    <t>662610 Красноярский край Город Минусинск Улица Абаканская Дом 58</t>
  </si>
  <si>
    <t>ИП Бутакова Фаина Альбертовна</t>
  </si>
  <si>
    <t>190200363900</t>
  </si>
  <si>
    <t>ИП1908008426</t>
  </si>
  <si>
    <t>ИП190800842600004</t>
  </si>
  <si>
    <t>663740 Красноярский край поселок Абан улица Пионерская дом 1</t>
  </si>
  <si>
    <t>ИП Семенова Татьяна Алексеевна</t>
  </si>
  <si>
    <t>240100961400</t>
  </si>
  <si>
    <t>ИП2408016771</t>
  </si>
  <si>
    <t>ИП240801677100000</t>
  </si>
  <si>
    <t>662978 Красноярский край город Железногорск проспект Ленинградский дом 13</t>
  </si>
  <si>
    <t>ООО "ЛОМБАРД УНЦИЯ"</t>
  </si>
  <si>
    <t>2404015359</t>
  </si>
  <si>
    <t>ЮЛ2408014110</t>
  </si>
  <si>
    <t>ЮЛ240801411000001</t>
  </si>
  <si>
    <t>663700 Красноярский край село Дзержинское улица Кирова 2</t>
  </si>
  <si>
    <t>ИП Шерстобаева Марина Васильевна</t>
  </si>
  <si>
    <t>241000253445</t>
  </si>
  <si>
    <t>ИП2408014439</t>
  </si>
  <si>
    <t>ИП240801443900000</t>
  </si>
  <si>
    <t>663770 Красноярский край село Тасеево улица Луначарского 2</t>
  </si>
  <si>
    <t>ИП240801443900001</t>
  </si>
  <si>
    <t>663800 Красноярский край город Иланский улица 40 лет ВЛКСМ здание 8А</t>
  </si>
  <si>
    <t>ИП Иванов Максим Васильевич</t>
  </si>
  <si>
    <t>241501600428</t>
  </si>
  <si>
    <t>ИП2408014517</t>
  </si>
  <si>
    <t>ИП240801451700000</t>
  </si>
  <si>
    <t>648000 Красноярский край поселок Тура улица Школьная дом 23</t>
  </si>
  <si>
    <t>ИП Шмакова Валентина Михайловна</t>
  </si>
  <si>
    <t>241700538358</t>
  </si>
  <si>
    <t>ИП2408005219</t>
  </si>
  <si>
    <t>ИП240800521900000</t>
  </si>
  <si>
    <t>663100 Красноярский край село Казачинское улица Советская здание 95</t>
  </si>
  <si>
    <t>ИП Тарасов Артем Николаевич</t>
  </si>
  <si>
    <t>241700899690</t>
  </si>
  <si>
    <t>ИП2408030429</t>
  </si>
  <si>
    <t>ИП240803042900000</t>
  </si>
  <si>
    <t>660004 Красноярский край город Красноярск проспект им.газеты "Красноярский рабочий" дом 27 строение 78  ч.пом.№48,ч.комн.№2</t>
  </si>
  <si>
    <t>ИП Кузнецов Александр Александрович</t>
  </si>
  <si>
    <t>241900907309</t>
  </si>
  <si>
    <t>ИП2408006985</t>
  </si>
  <si>
    <t>ИП240800698500000</t>
  </si>
  <si>
    <t>662850 Красноярский край Каратузское Карла Маркса Дом 35</t>
  </si>
  <si>
    <t>ИП Демидов Юрий Николаевич</t>
  </si>
  <si>
    <t>241901095184</t>
  </si>
  <si>
    <t>ИП2408800011</t>
  </si>
  <si>
    <t>ИП240880001100000</t>
  </si>
  <si>
    <t>663491 Красноярский край город Кодинск улица Гайнулина дом 3</t>
  </si>
  <si>
    <t>ИП Марченко Ольга Леонидовна</t>
  </si>
  <si>
    <t>242000099636</t>
  </si>
  <si>
    <t>ИП2408011189</t>
  </si>
  <si>
    <t>ИП240801118900000</t>
  </si>
  <si>
    <t>663491 Красноярский край город Кодинск улица Гайнулина дом 7   помещение 1</t>
  </si>
  <si>
    <t>ООО "ЕЛГОЛД"</t>
  </si>
  <si>
    <t>2420009183</t>
  </si>
  <si>
    <t>ЮЛ2408033126</t>
  </si>
  <si>
    <t>ЮЛ240803312600000</t>
  </si>
  <si>
    <t>660025 Красноярский край город Красноярск проспект им.газеты "Красноярский рабочий" дом 97   78</t>
  </si>
  <si>
    <t>ИП Галинский Петр Васильевич</t>
  </si>
  <si>
    <t>242100953900</t>
  </si>
  <si>
    <t>ИП2408032387</t>
  </si>
  <si>
    <t>ИП240803238700000</t>
  </si>
  <si>
    <t>662603 Красноярский край Минусинск Абаканская 41   187Н</t>
  </si>
  <si>
    <t>ИП НАГИРНЯК М. В.</t>
  </si>
  <si>
    <t>242201423145</t>
  </si>
  <si>
    <t>ИП2408039821</t>
  </si>
  <si>
    <t>ИП240803982100000</t>
  </si>
  <si>
    <t>662910 Красноярский край Курагино Пер. Кооперативный дом 41</t>
  </si>
  <si>
    <t>ИП Горностаев Геннадий Павлович</t>
  </si>
  <si>
    <t>242300040496</t>
  </si>
  <si>
    <t>ИП2408005021</t>
  </si>
  <si>
    <t>ИП240800502100000</t>
  </si>
  <si>
    <t>662910 Красноярский край Поселок городского типа Курагино Переулок Советский Дом 15</t>
  </si>
  <si>
    <t>ИП Масляков Александр Егорович</t>
  </si>
  <si>
    <t>242300061802</t>
  </si>
  <si>
    <t>ИП2408014544</t>
  </si>
  <si>
    <t>ИП240801454400000</t>
  </si>
  <si>
    <t>662910 Красноярский край поселок городского типа Курагино переулок Советский  дом 15</t>
  </si>
  <si>
    <t>ИП Спирюхова Марина Владимировна</t>
  </si>
  <si>
    <t>242302558533</t>
  </si>
  <si>
    <t>ИП2408004431</t>
  </si>
  <si>
    <t>ИП240800443100000</t>
  </si>
  <si>
    <t>663400 Красноярский край поселок городского типа Мотыгино улица Советская дом 138</t>
  </si>
  <si>
    <t>ИП Русина Елена Ивановна</t>
  </si>
  <si>
    <t>242600388630</t>
  </si>
  <si>
    <t>ИП2408005042</t>
  </si>
  <si>
    <t>ИП240800504200000</t>
  </si>
  <si>
    <t>662430 Красноярский край село Новоселово Театральная 3а 2</t>
  </si>
  <si>
    <t>ИП Шустикова Светлана Анатольевна</t>
  </si>
  <si>
    <t>242900035152</t>
  </si>
  <si>
    <t>ИП2408010199</t>
  </si>
  <si>
    <t>ИП240801019900000</t>
  </si>
  <si>
    <t>662430 Красноярский край село Новоселово улица Возрождения дом 7   помещение 3</t>
  </si>
  <si>
    <t>ИП Иордан Любовь Григорьевна</t>
  </si>
  <si>
    <t>242900896578</t>
  </si>
  <si>
    <t>ИП2408014724</t>
  </si>
  <si>
    <t>ИП240801472400000</t>
  </si>
  <si>
    <t>660050 Красноярский край город Красноярск улица Апрельская дом 4   1.3</t>
  </si>
  <si>
    <t>ИП Хозиенко Марина Ивановна</t>
  </si>
  <si>
    <t>243401060821</t>
  </si>
  <si>
    <t>ИП2408037006</t>
  </si>
  <si>
    <t>ИП240803700600000</t>
  </si>
  <si>
    <t>663040 Красноярский край село Сухобузимское улица Комсомольская дом 23</t>
  </si>
  <si>
    <t>ИП Гаржевский Сергей Иванович</t>
  </si>
  <si>
    <t>243500167903</t>
  </si>
  <si>
    <t>ИП2408032731</t>
  </si>
  <si>
    <t>ИП240803273100000</t>
  </si>
  <si>
    <t>662060 Красноярский край город Боготол улица Кирова дом 25В</t>
  </si>
  <si>
    <t>ИП Попелышко Валентина Викторовна</t>
  </si>
  <si>
    <t>243800932707</t>
  </si>
  <si>
    <t>ИП2408011086</t>
  </si>
  <si>
    <t>ИП240801108600000</t>
  </si>
  <si>
    <t>660028 Красноярский край Красноярск Телевизорная дом 1 строение 90  помещение 2</t>
  </si>
  <si>
    <t>ИП Рец Евгений Анатольевич</t>
  </si>
  <si>
    <t>243902303105</t>
  </si>
  <si>
    <t>ИП2408032115</t>
  </si>
  <si>
    <t>ИП240803211500001</t>
  </si>
  <si>
    <t>662252 Красноярский край город Ужур улица Кирова 19  А</t>
  </si>
  <si>
    <t>ИП Щербович Александр Олегович</t>
  </si>
  <si>
    <t>243903403134</t>
  </si>
  <si>
    <t>ИП2408014362</t>
  </si>
  <si>
    <t>ИП240801436200000</t>
  </si>
  <si>
    <t>662060 Красноярский край город Боготол улица Кирова дом 25Г</t>
  </si>
  <si>
    <t>ИП240801436200001</t>
  </si>
  <si>
    <t>662161 Красноярский край город Ачинск 4 микрорайон дом 1   помещение1</t>
  </si>
  <si>
    <t>ИП Брюханов Александр Васильевич</t>
  </si>
  <si>
    <t>244300027611</t>
  </si>
  <si>
    <t>ИП2408007919</t>
  </si>
  <si>
    <t>ИП240800791900000</t>
  </si>
  <si>
    <t>662156 Красноярский край город Ачинск улица Кирова дом 23   помещение 33</t>
  </si>
  <si>
    <t>ИП240800791900002</t>
  </si>
  <si>
    <t>662159 Красноярский край город Ачинск микрорайон Юго-Восточный район дом 31   помещение 72</t>
  </si>
  <si>
    <t>ИП240800791900003</t>
  </si>
  <si>
    <t>662161 Красноярский край город Ачинск микрорайон 4-й дом 7   помещение 82</t>
  </si>
  <si>
    <t>ИП240800791900004</t>
  </si>
  <si>
    <t>662150 Красноярский край город Ачинск микрорайон 6-й дом 10   помещение101</t>
  </si>
  <si>
    <t>ИП240800791900005</t>
  </si>
  <si>
    <t>662150 Красноярский край город Ачинск микрорайон 3-й дом 1   помещение 127</t>
  </si>
  <si>
    <t>ИП240800791900006</t>
  </si>
  <si>
    <t>662153 Красноярский край город Ачинск улица Декабристов дом 25   помещение 87</t>
  </si>
  <si>
    <t>ИП240800791900007</t>
  </si>
  <si>
    <t>662155 Красноярский край город Ачинск территория 3-й микрорайон Привокзального района дом 4   помещение  117</t>
  </si>
  <si>
    <t>ИП240800791900008</t>
  </si>
  <si>
    <t>662150 Красноярский край город Ачинск мкр 1-й дом 30А</t>
  </si>
  <si>
    <t>ИП Пенкина Татьяна Владимировна</t>
  </si>
  <si>
    <t>244300028037</t>
  </si>
  <si>
    <t>ИП2408014972</t>
  </si>
  <si>
    <t>ИП240801497200000</t>
  </si>
  <si>
    <t>662161 Красноярский край город Ачинск микрорайон 4 дом 2   помещение 131</t>
  </si>
  <si>
    <t>ИП Воробьевская Татьяна Павловна</t>
  </si>
  <si>
    <t>244300176557</t>
  </si>
  <si>
    <t>ИП2408008457</t>
  </si>
  <si>
    <t>ИП240800845700000</t>
  </si>
  <si>
    <t>662150 Красноярский край город Ачинск микрорайон Юго-Восточный район здание 65   объект 1/237</t>
  </si>
  <si>
    <t>ИП240800845700001</t>
  </si>
  <si>
    <t>662200 Красноярский край город Назарово улица Арбузова дом 106   помещение 169</t>
  </si>
  <si>
    <t>ИП240800845700002</t>
  </si>
  <si>
    <t>662150 Красноярский край город Ачинск микрорайон 3 дом 39</t>
  </si>
  <si>
    <t>ИП240800845700004</t>
  </si>
  <si>
    <t>662161 Красноярский край город Ачинск проспект Лапенкова  строение 1</t>
  </si>
  <si>
    <t>ИП Колтыга Елена Васильевна</t>
  </si>
  <si>
    <t>244300391057</t>
  </si>
  <si>
    <t>ИП2408013909</t>
  </si>
  <si>
    <t>ИП240801390900000</t>
  </si>
  <si>
    <t>660064 Красноярский край город Красноярск улица Александра Матросова дом 11</t>
  </si>
  <si>
    <t>ИП240801390900003</t>
  </si>
  <si>
    <t>662161 Красноярский край город Ачинск Улица 5-й микрорайон  дом 50</t>
  </si>
  <si>
    <t>ИП Гуркаев Илья Евгеньевич</t>
  </si>
  <si>
    <t>244313506410</t>
  </si>
  <si>
    <t>ИП2408034631</t>
  </si>
  <si>
    <t>ИП240803463100000</t>
  </si>
  <si>
    <t>662150 Красноярский край город Ачинск мкр 3-й строение 39   помещение 4</t>
  </si>
  <si>
    <t>ИП Колтыга Николай Николаевич</t>
  </si>
  <si>
    <t>244314978455</t>
  </si>
  <si>
    <t>ИП2408014545</t>
  </si>
  <si>
    <t>ИП240801454500000</t>
  </si>
  <si>
    <t>662150 Красноярский край город Ачинск проспект Лапенкова дом 1</t>
  </si>
  <si>
    <t>ИП240801454500004</t>
  </si>
  <si>
    <t>662150 Красноярский край город Ачинск микрорайон 6 дом 8   помещение 82</t>
  </si>
  <si>
    <t>ИП240801454500005</t>
  </si>
  <si>
    <t>662060 Красноярский край город Боготол улица Кирова дом 4</t>
  </si>
  <si>
    <t>ИП Жданова Дарья Сергеевна</t>
  </si>
  <si>
    <t>244410005804</t>
  </si>
  <si>
    <t>ИП2408032372</t>
  </si>
  <si>
    <t>ИП240803237200000</t>
  </si>
  <si>
    <t>663973 Красноярский край поселок городского типа Саянский улица Мира дом 4а</t>
  </si>
  <si>
    <t>ИП Стребкова Ольга Викторовна</t>
  </si>
  <si>
    <t>244501612482</t>
  </si>
  <si>
    <t>ИП2408032446</t>
  </si>
  <si>
    <t>ИП240803244600000</t>
  </si>
  <si>
    <t>663090 Красноярский край Город Дивногорск Улица Машиностроителей Дом 6   Помещение 6а/7</t>
  </si>
  <si>
    <t>ИП Смирнова Раиса Иосифовна</t>
  </si>
  <si>
    <t>244600061148</t>
  </si>
  <si>
    <t>ИП2408016187</t>
  </si>
  <si>
    <t>ИП240801618700000</t>
  </si>
  <si>
    <t>663614 Красноярский край город Канск улица Гвардейская дом 1   помещение 104</t>
  </si>
  <si>
    <t>ИП Переведенцев Александр Сергеевич</t>
  </si>
  <si>
    <t>244600104955</t>
  </si>
  <si>
    <t>ИП2408018995</t>
  </si>
  <si>
    <t>ИП240801899500000</t>
  </si>
  <si>
    <t>663090 Красноярский край город Дивногорск улица Комсомольская дом 13</t>
  </si>
  <si>
    <t>ИП Кулик Татьяна Николаевна</t>
  </si>
  <si>
    <t>244600655046</t>
  </si>
  <si>
    <t>ИП2408014507</t>
  </si>
  <si>
    <t>ИП240801450700000</t>
  </si>
  <si>
    <t>663090 Красноярский край город Дивногорск улица Заводская дом 2Б   помещение 3</t>
  </si>
  <si>
    <t>ООО "ЛОМБАРД ПАНДОРА"</t>
  </si>
  <si>
    <t>2446007744</t>
  </si>
  <si>
    <t>ЮЛ2408008725</t>
  </si>
  <si>
    <t>ЮЛ240800872500000</t>
  </si>
  <si>
    <t>663091 Красноярский край город Дивногорск улица Машиностроителей дом 6   офис 6а/6</t>
  </si>
  <si>
    <t>ИП Леус Евгений Владиславович</t>
  </si>
  <si>
    <t>244601878091</t>
  </si>
  <si>
    <t>ИП2408017475</t>
  </si>
  <si>
    <t>ИП240801747500000</t>
  </si>
  <si>
    <t>663091 Красноярский край город Дивногорск улица Бочкина дом 36</t>
  </si>
  <si>
    <t>ИП240801747500002</t>
  </si>
  <si>
    <t>663091 Красноярский край город Дивногорск улица Бочкина дом 5А</t>
  </si>
  <si>
    <t>ИП240801747500003</t>
  </si>
  <si>
    <t>663606 Красноярский край город Канск улица 40 лет Октября здание 62 строение 4  помещение 26</t>
  </si>
  <si>
    <t>ИП Варламова Ольга Владимировна</t>
  </si>
  <si>
    <t>244602297847</t>
  </si>
  <si>
    <t>ИП2408014541</t>
  </si>
  <si>
    <t>ИП240801454100000</t>
  </si>
  <si>
    <t>663060 Красноярский край поселок городского типа Большая Мурта переулок Центральный дом 7   комната 22</t>
  </si>
  <si>
    <t>ИП Андрюшкин Константин Михайлович</t>
  </si>
  <si>
    <t>244602635912</t>
  </si>
  <si>
    <t>ИП2408012530</t>
  </si>
  <si>
    <t>ИП240801253000000</t>
  </si>
  <si>
    <t>663180 Красноярский край город Енисейск улица Ленина дом 124   помещение 3</t>
  </si>
  <si>
    <t>ИП Деньгина Лидия Федоровна</t>
  </si>
  <si>
    <t>244700085054</t>
  </si>
  <si>
    <t>ИП2408001622</t>
  </si>
  <si>
    <t>ИП240800162200000</t>
  </si>
  <si>
    <t>663180 Красноярский край город Енисейск улица Ленина дом 93</t>
  </si>
  <si>
    <t>ИП240800162200001</t>
  </si>
  <si>
    <t>663282 Красноярский край городской поселок Северо-Енисейский улица Ленина дом 5Г/1</t>
  </si>
  <si>
    <t>ИП240800162200002</t>
  </si>
  <si>
    <t>662547 Красноярский край город Лесосибирск микрорайон 9-й дом 2А   помещение 53</t>
  </si>
  <si>
    <t>ИП240800162200003</t>
  </si>
  <si>
    <t>662547 Красноярский край город Лесосибирск микрорайон 5-й дом 3</t>
  </si>
  <si>
    <t>ИП240800162200004</t>
  </si>
  <si>
    <t>663180 Красноярский край город Енисейск улица Ленина дом 124   помещение 1</t>
  </si>
  <si>
    <t>ИП240800162200008</t>
  </si>
  <si>
    <t>ИП Пономарева Ольга Антоновна</t>
  </si>
  <si>
    <t>244701309853</t>
  </si>
  <si>
    <t>ИП2408010120</t>
  </si>
  <si>
    <t>ИП240801012000000</t>
  </si>
  <si>
    <t>663180 Красноярский край город Енисейск улица Ленина дом 104   помещение 2</t>
  </si>
  <si>
    <t>ИП Гуликян Ася Арташевна</t>
  </si>
  <si>
    <t>244703981250</t>
  </si>
  <si>
    <t>ИП2408002504</t>
  </si>
  <si>
    <t>ИП240800250400000</t>
  </si>
  <si>
    <t>663960 Красноярский край город Заозерный улица Мира дом 56</t>
  </si>
  <si>
    <t>ИП Стародубцев Константин Карпович</t>
  </si>
  <si>
    <t>244801652711</t>
  </si>
  <si>
    <t>ИП2408017033</t>
  </si>
  <si>
    <t>ИП240801703300000</t>
  </si>
  <si>
    <t>663960 Красноярский край город Заозерный улица К.Маркса дом 11   помещение 6</t>
  </si>
  <si>
    <t>ИП Потехин Сергей Юрьевич</t>
  </si>
  <si>
    <t>244801756710</t>
  </si>
  <si>
    <t>ИП2408008481</t>
  </si>
  <si>
    <t>ИП240800848100000</t>
  </si>
  <si>
    <t>663980 Красноярский край город Бородино улица Ленина дом 54/7</t>
  </si>
  <si>
    <t>ИП Потехин Арсений Викторович</t>
  </si>
  <si>
    <t>244804881389</t>
  </si>
  <si>
    <t>ИП2408032748</t>
  </si>
  <si>
    <t>ИП240803274800000</t>
  </si>
  <si>
    <t>663200 Красноярский край город Игарка микрорайон 1-й дом 29   83</t>
  </si>
  <si>
    <t>ИП Мартьянова Юлия Владимировна</t>
  </si>
  <si>
    <t>244900425438</t>
  </si>
  <si>
    <t>ИП2408036167</t>
  </si>
  <si>
    <t>ИП240803616700000</t>
  </si>
  <si>
    <t>663600 Красноярский край город Канск улица Коростелева дом 36</t>
  </si>
  <si>
    <t>ООО "РОДНИК"</t>
  </si>
  <si>
    <t>2450013204</t>
  </si>
  <si>
    <t>ЮЛ2408004316</t>
  </si>
  <si>
    <t>ЮЛ240800431600000</t>
  </si>
  <si>
    <t>663600 Красноярский край город Канск улица Московская дом №55</t>
  </si>
  <si>
    <t>ЮЛ240800431600001</t>
  </si>
  <si>
    <t>663600 Красноярский край город Канск улица Московская Дом №70   Помещение №3</t>
  </si>
  <si>
    <t>ЮЛ240800431600002</t>
  </si>
  <si>
    <t>663614 Красноярский край город Канск  дом 4А   квартира 16</t>
  </si>
  <si>
    <t>ООО "ВЕНГШЕНГ"</t>
  </si>
  <si>
    <t>2450037501</t>
  </si>
  <si>
    <t>ЮЛ2408037267</t>
  </si>
  <si>
    <t>ЮЛ240803726700000</t>
  </si>
  <si>
    <t>660123 Красноярский край город Красноярск Транспортный проезд Дом 1</t>
  </si>
  <si>
    <t>ОАО "КРАСЦВЕТМЕТ"</t>
  </si>
  <si>
    <t>2451000818</t>
  </si>
  <si>
    <t>ЮЛ2408001476</t>
  </si>
  <si>
    <t>ЮЛ240800147600000</t>
  </si>
  <si>
    <t>662970 Красноярский край город Железногорск проспект Курчатова дом 48   помещение 176</t>
  </si>
  <si>
    <t>ИП Голуб Наталья Юрьевна</t>
  </si>
  <si>
    <t>245201103609</t>
  </si>
  <si>
    <t>ИП2408008718</t>
  </si>
  <si>
    <t>ИП240800871800000</t>
  </si>
  <si>
    <t>662971 Красноярский край город Железногорск улица Свердлова дом 20   помещение 13</t>
  </si>
  <si>
    <t>ИП240800871800001</t>
  </si>
  <si>
    <t>660049 Красноярский край город Красноярск улица Урицкого дом 117   помещение 17</t>
  </si>
  <si>
    <t>ИП Гусенцова Лариса Игнатьевна</t>
  </si>
  <si>
    <t>245202647150</t>
  </si>
  <si>
    <t>ИП2408006827</t>
  </si>
  <si>
    <t>ИП240800682700000</t>
  </si>
  <si>
    <t>660095 Красноярский край город Красноярск проспект им.газеты "Красноярский рабочий" дом 120   комната 53 помещения 5</t>
  </si>
  <si>
    <t>ИП240800682700003</t>
  </si>
  <si>
    <t>660095 Красноярский край город Красноярск проспект им.газеты "Красноярский рабочий" дом 120   комната 13 помещения 1</t>
  </si>
  <si>
    <t>ИП240800682700004</t>
  </si>
  <si>
    <t>660037 Красноярский край город Красноярск проспект им.газеты "Красноярский рабочий" здание 27 строение 78  часть комнаты 2 помещения 49</t>
  </si>
  <si>
    <t>ИП240800682700005</t>
  </si>
  <si>
    <t>660037 Красноярский край город Красноярск проспект им.газеты "Красноярский рабочий" здание 27 строение 78  часть комнаты 4 помещения 51</t>
  </si>
  <si>
    <t>ИП240800682700006</t>
  </si>
  <si>
    <t>662971 Красноярский край город Железногорск улица Свердлова дом 21   помещение 34</t>
  </si>
  <si>
    <t>ООО "СК КРАС"</t>
  </si>
  <si>
    <t>2452041790</t>
  </si>
  <si>
    <t>ЮЛ2408008462</t>
  </si>
  <si>
    <t>ЮЛ240800846200000</t>
  </si>
  <si>
    <t>662548 Красноярский край  город Лесосибирск улица Калинина дом 16</t>
  </si>
  <si>
    <t>ИП Кислощей Надежда Дмитриевна</t>
  </si>
  <si>
    <t>245400266069</t>
  </si>
  <si>
    <t>ИП2408014515</t>
  </si>
  <si>
    <t>ИП240801451500000</t>
  </si>
  <si>
    <t>662544 Красноярский край город Лесосибирск улица 60 лет ВЛКСМ 11</t>
  </si>
  <si>
    <t>ООО ЛОМБАРД "24 КАРАТА"</t>
  </si>
  <si>
    <t>2454027840</t>
  </si>
  <si>
    <t>ЮЛ2408012047</t>
  </si>
  <si>
    <t>ЮЛ240801204700001</t>
  </si>
  <si>
    <t>660113 Красноярский край город Красноярск улица Тотмина дом 6   помещение 173</t>
  </si>
  <si>
    <t>ЮЛ240801204700002</t>
  </si>
  <si>
    <t>662541 Красноярский край город Лесосибирск улица Горького дом 110 строение 2</t>
  </si>
  <si>
    <t>ИП Финк Любовь Павловна</t>
  </si>
  <si>
    <t>245403384688</t>
  </si>
  <si>
    <t>ИП2408011557</t>
  </si>
  <si>
    <t>ИП240801155700000</t>
  </si>
  <si>
    <t>663180 Красноярский край город Енисейск улица Рабоче-Крестьянская 198 здание 4  помещение 1</t>
  </si>
  <si>
    <t>ИП240801155700001</t>
  </si>
  <si>
    <t>662543 Красноярский край город Лесосибирск улица Белинского дом 19   офис 87</t>
  </si>
  <si>
    <t>ИП Бабаян Карлен Бабкени</t>
  </si>
  <si>
    <t>245404993523</t>
  </si>
  <si>
    <t>ИП2408013918</t>
  </si>
  <si>
    <t>ИП240801391800000</t>
  </si>
  <si>
    <t>662547 Красноярский край город Лесосибирск улица микрорайон 5-й дом 4Е</t>
  </si>
  <si>
    <t>ИП240801391800006</t>
  </si>
  <si>
    <t>662543 Красноярский край город Лесосибирск улица Победы дом 31б</t>
  </si>
  <si>
    <t>ИП240801391800008</t>
  </si>
  <si>
    <t>660068 Красноярский край город Красноярск улица Мичурина дом 3   помещение 51</t>
  </si>
  <si>
    <t>ИП Новикова Валерия Сергеевна</t>
  </si>
  <si>
    <t>245406603088</t>
  </si>
  <si>
    <t>ИП2408038460</t>
  </si>
  <si>
    <t>ИП240803846000000</t>
  </si>
  <si>
    <t>660125 Красноярский край город Красноярск улица 9 Мая дом 77   помещение 2 комната 426</t>
  </si>
  <si>
    <t>ИП Жуков Дмитрий Александрович</t>
  </si>
  <si>
    <t>245408130180</t>
  </si>
  <si>
    <t>ИП2408004413</t>
  </si>
  <si>
    <t>ИП240800441300000</t>
  </si>
  <si>
    <t>662910 Красноярский край поселок городского типа Курагино улица Петряева дом 59</t>
  </si>
  <si>
    <t>ИП Шафран Елена Александровна</t>
  </si>
  <si>
    <t>245500086849</t>
  </si>
  <si>
    <t>ИП2408000696</t>
  </si>
  <si>
    <t>ИП240800069600001</t>
  </si>
  <si>
    <t>662608 Красноярский край город Минусинск улица Ленина дом 81</t>
  </si>
  <si>
    <t>ИП240800069600002</t>
  </si>
  <si>
    <t>662610 Красноярский край город Минусинск улица Абаканская дом 52Б   помещение 1</t>
  </si>
  <si>
    <t>ИП240800069600003</t>
  </si>
  <si>
    <t>662606 Красноярский край город Минусинск улица Абаканская дом 56б   помещение 5</t>
  </si>
  <si>
    <t>ИП240800069600004</t>
  </si>
  <si>
    <t>662608 Красноярский край город Минусинск Штабная 39 1</t>
  </si>
  <si>
    <t>ИП Порывай Тимофей Александрович</t>
  </si>
  <si>
    <t>245501246661</t>
  </si>
  <si>
    <t>ИП1908009185</t>
  </si>
  <si>
    <t>ИП190800918500000</t>
  </si>
  <si>
    <t>662600 Красноярский край город Минусинск Абаканская 54 1 А</t>
  </si>
  <si>
    <t>ИП190800918500004</t>
  </si>
  <si>
    <t>662606 Красноярский край город Минусинск улица Абаканская дом 52 корпус Б</t>
  </si>
  <si>
    <t>ООО "ЛОМБАРД ЮМ"</t>
  </si>
  <si>
    <t>2455029889</t>
  </si>
  <si>
    <t>ЮЛ2408001486</t>
  </si>
  <si>
    <t>ЮЛ240800148600000</t>
  </si>
  <si>
    <t>660049 Красноярский край город Красноярск улица Урицкого  дом 51   помещение 76</t>
  </si>
  <si>
    <t>ИП Павлюкова Елена Юрьевна</t>
  </si>
  <si>
    <t>245508470239</t>
  </si>
  <si>
    <t>ИП2408002448</t>
  </si>
  <si>
    <t>ИП240800244800000</t>
  </si>
  <si>
    <t>662200 Красноярский край город Назарово улица 30 лет ВЛКСМ дом 51   помещение 2</t>
  </si>
  <si>
    <t>ИП Чернецов Михаил Николаевич</t>
  </si>
  <si>
    <t>245602604747</t>
  </si>
  <si>
    <t>ИП2408007399</t>
  </si>
  <si>
    <t>ИП240800739900000</t>
  </si>
  <si>
    <t>662200 Красноярский край город Назарово улица 30 лет ВЛКСМ дом 51   помещение 1</t>
  </si>
  <si>
    <t>ИП240800739900004</t>
  </si>
  <si>
    <t>662200 Красноярский край город Назарово улица Арбузова дом 106   помещение 171</t>
  </si>
  <si>
    <t>ИП Капустина Наталья Игоревна</t>
  </si>
  <si>
    <t>245606126308</t>
  </si>
  <si>
    <t>ИП2408015175</t>
  </si>
  <si>
    <t>ИП240801517500000</t>
  </si>
  <si>
    <t>662200 Красноярский край город Назарово улица Арбузова дом 133   помещение № 20</t>
  </si>
  <si>
    <t>ИП Полушина Оксана Александровна</t>
  </si>
  <si>
    <t>245606787379</t>
  </si>
  <si>
    <t>ИП2408004291</t>
  </si>
  <si>
    <t>ИП240800429100000</t>
  </si>
  <si>
    <t>660049 Красноярский край город Красноярск улица 9 Января дом 23   помещение 74</t>
  </si>
  <si>
    <t>ИП Иванов Иван Николаевич</t>
  </si>
  <si>
    <t>245614066099</t>
  </si>
  <si>
    <t>ИП2408010112</t>
  </si>
  <si>
    <t>ИП240801011200000</t>
  </si>
  <si>
    <t>663340 Красноярский край город Норильск улица Победы дом 1А   12</t>
  </si>
  <si>
    <t>ИП Афанасьева Гальфия Зинятулловна</t>
  </si>
  <si>
    <t>245700156010</t>
  </si>
  <si>
    <t>ИП2408017387</t>
  </si>
  <si>
    <t>ИП240801738700000</t>
  </si>
  <si>
    <t>663305 Красноярский край город Норильск проспект Ленинский дом 16   помещение 127</t>
  </si>
  <si>
    <t>ИП240801738700002</t>
  </si>
  <si>
    <t>663300 Красноярский край город Норильск Талнахская дом 52   пом.130</t>
  </si>
  <si>
    <t>ООО "ЗОЛОТО СЕВЕРА НОРИЛЬСК"</t>
  </si>
  <si>
    <t>2457089731</t>
  </si>
  <si>
    <t>ЮЛ2408032954</t>
  </si>
  <si>
    <t>ЮЛ240803295400000</t>
  </si>
  <si>
    <t>663310 Красноярский край Норильск Ленинский проспект дом 24   пом.189</t>
  </si>
  <si>
    <t>ИП Сафонова Елена Владимировна</t>
  </si>
  <si>
    <t>245711673645</t>
  </si>
  <si>
    <t>ИП2408013804</t>
  </si>
  <si>
    <t>ИП240801380400000</t>
  </si>
  <si>
    <t>662310 Красноярский край город Шарыпово 2 микрорайон 16 - - 11</t>
  </si>
  <si>
    <t>ИП Дмитриева Надежда Михайловна</t>
  </si>
  <si>
    <t>245900443044</t>
  </si>
  <si>
    <t>ИП2408014728</t>
  </si>
  <si>
    <t>ИП240801472800000</t>
  </si>
  <si>
    <t>662313 Красноярский край город Шарыпово микрорайон 6 дом 5</t>
  </si>
  <si>
    <t>2459021697</t>
  </si>
  <si>
    <t>ЮЛ2408033635</t>
  </si>
  <si>
    <t>ЮЛ240803363500000</t>
  </si>
  <si>
    <t>662313 Красноярский край город Шарыпово Индустриальная 1 8</t>
  </si>
  <si>
    <t>ЮЛ240803363500001</t>
  </si>
  <si>
    <t>662315 Красноярский край город Шарыпово 2 мкр. дом 1/18</t>
  </si>
  <si>
    <t>ИП Королев Анатолий Николаевич</t>
  </si>
  <si>
    <t>245902983239</t>
  </si>
  <si>
    <t>ИП2408030862</t>
  </si>
  <si>
    <t>ИП240803086200000</t>
  </si>
  <si>
    <t>660125 Красноярский край город Красноярск проспект Комсомольский дом 18   часть отдела №37 нежилого помещения №115</t>
  </si>
  <si>
    <t>ИП Шульгин Михаил Владимирович</t>
  </si>
  <si>
    <t>246000119030</t>
  </si>
  <si>
    <t>ИП2408014558</t>
  </si>
  <si>
    <t>ИП240801455800000</t>
  </si>
  <si>
    <t>660018 Красноярский край город Красноярск улица Новосибирская дом 7</t>
  </si>
  <si>
    <t>ИП240801455800001</t>
  </si>
  <si>
    <t>660049 Красноярский край город Красноярск проспект Мира дом 60   комн.39,41</t>
  </si>
  <si>
    <t>ИП Требушевский Денис Васильевич</t>
  </si>
  <si>
    <t>246000174866</t>
  </si>
  <si>
    <t>ИП2408008607</t>
  </si>
  <si>
    <t>ИП240800860700004</t>
  </si>
  <si>
    <t>660095 Красноярский край город Красноярск проспект им.газеты "Красноярский рабочий" Дом 120   комната №51 помещение 5</t>
  </si>
  <si>
    <t>ИП240800860700008</t>
  </si>
  <si>
    <t>660028 Красноярский край город Красноярск улица Телевизорная дом 1 строение 4  помещение №32 комната №14</t>
  </si>
  <si>
    <t>ИП240800860700011</t>
  </si>
  <si>
    <t>660004 Красноярский край город Красноярск проспект им.газеты "Красноярский рабочий" дом 27 строение 78  помещение №51 комната 4</t>
  </si>
  <si>
    <t>ИП240800860700015</t>
  </si>
  <si>
    <t>660025 Красноярский край город Красноярск проспект им.газеты "Красноярский рабочий" Дом 93   Помещение 33</t>
  </si>
  <si>
    <t>ИП Кротова Арина Александровна</t>
  </si>
  <si>
    <t>246001876402</t>
  </si>
  <si>
    <t>ИП2408013907</t>
  </si>
  <si>
    <t>ИП240801390700000</t>
  </si>
  <si>
    <t>660021 Красноярский край город Красноярск улица Ленина дом 128</t>
  </si>
  <si>
    <t>ООО "ЛОМБАРД "ТИП-ТОП"</t>
  </si>
  <si>
    <t>2460022913</t>
  </si>
  <si>
    <t>ЮЛ2408008538</t>
  </si>
  <si>
    <t>ЮЛ240800853800000</t>
  </si>
  <si>
    <t>660075 Красноярский край город Красноярск улица Маерчака здание 8/1   помещение 9</t>
  </si>
  <si>
    <t>ООО "СИБТАЙМ"</t>
  </si>
  <si>
    <t>2460028841</t>
  </si>
  <si>
    <t>ЮЛ2408005784</t>
  </si>
  <si>
    <t>ЮЛ240800578400000</t>
  </si>
  <si>
    <t>660021 Красноярский край город Красноярск проспект Мира дом 105   помещение 45</t>
  </si>
  <si>
    <t>ЮЛ240800578400001</t>
  </si>
  <si>
    <t>660028 Красноярский край город Красноярск улица Телевизорная дом 1 строение 4  помещение 32</t>
  </si>
  <si>
    <t>ЮЛ240800578400003</t>
  </si>
  <si>
    <t>660017 Красноярский край город Красноярск проспект Мира 98   офис 30</t>
  </si>
  <si>
    <t>ЮЛ240800578400007</t>
  </si>
  <si>
    <t>663319 Красноярский край город Норильск площадь Металлургов дом 10</t>
  </si>
  <si>
    <t>ЮЛ240800578400008</t>
  </si>
  <si>
    <t>660125 Красноярский край город Красноярск улица 9 Мая дом 77   помещение 2</t>
  </si>
  <si>
    <t>ЮЛ240800578400009</t>
  </si>
  <si>
    <t>660095 Красноярский край город Красноярск проспект им.газеты "Красноярский рабочий" 120 помещение 1  комната 181</t>
  </si>
  <si>
    <t>ЮЛ240800578400010</t>
  </si>
  <si>
    <t>660077 Красноярский край город Красноярск улица Алексеева дом 34   офис 164</t>
  </si>
  <si>
    <t>ЮЛ240800578400011</t>
  </si>
  <si>
    <t>660077 Красноярский край город Красноярск улица Маерчака здание 8/1   помещение 11 комн 9</t>
  </si>
  <si>
    <t>ЮЛ240800578400012</t>
  </si>
  <si>
    <t>660075 Красноярский край город Красноярск улица Маерчака здание 8/1   помещение 11 комната 11</t>
  </si>
  <si>
    <t>ЮЛ240800578400013</t>
  </si>
  <si>
    <t>660017 Красноярский край город Красноярск улица Ленина дом 118   17</t>
  </si>
  <si>
    <t>ИП Черкашина Татьяна Владимировна</t>
  </si>
  <si>
    <t>246008296640</t>
  </si>
  <si>
    <t>ИП2408007218</t>
  </si>
  <si>
    <t>ИП240800721800001</t>
  </si>
  <si>
    <t>660049 Красноярский край город Красноярск проспект Мира  дом 60    помещение 54</t>
  </si>
  <si>
    <t>ИП Греков Андрей Леонидович</t>
  </si>
  <si>
    <t>246010246485</t>
  </si>
  <si>
    <t>ИП2408006166</t>
  </si>
  <si>
    <t>ИП240800616600001</t>
  </si>
  <si>
    <t>660017 Красноярский край город Красноярск улица Красной Армии дом 10 строение 4  офис 14-06Б</t>
  </si>
  <si>
    <t>ИП Шакоян Эдуард Леваевич</t>
  </si>
  <si>
    <t>246011179023</t>
  </si>
  <si>
    <t>ИП2408015235</t>
  </si>
  <si>
    <t>ИП240801523500000</t>
  </si>
  <si>
    <t>660018 Красноярский край город Красноярск улица Новосибирская дом 3   офис 173</t>
  </si>
  <si>
    <t>ООО "ЗОЛОТНИК"</t>
  </si>
  <si>
    <t>2460209855</t>
  </si>
  <si>
    <t>ЮЛ2408011028</t>
  </si>
  <si>
    <t>ЮЛ240801102800000</t>
  </si>
  <si>
    <t>ООО "ЗОЛОТНИК +"</t>
  </si>
  <si>
    <t>2460227815</t>
  </si>
  <si>
    <t>ЮЛ2408006052</t>
  </si>
  <si>
    <t>ЮЛ240800605200000</t>
  </si>
  <si>
    <t>660004 Красноярский край город Красноярск проспект им.газеты "Красноярский рабочий" дом 27 строение 78 помещение 49 комната 7</t>
  </si>
  <si>
    <t>ИП Данилова Надежда Владимировна</t>
  </si>
  <si>
    <t>246100329591</t>
  </si>
  <si>
    <t>ИП2408033878</t>
  </si>
  <si>
    <t>ИП240803387800000</t>
  </si>
  <si>
    <t>660000 Красноярский край город Красноярск улица  Белинского 8   С2-1</t>
  </si>
  <si>
    <t>ИП Юртаев Антон Олегович</t>
  </si>
  <si>
    <t>246100559002</t>
  </si>
  <si>
    <t>ИП2408009197</t>
  </si>
  <si>
    <t>ИП240800919700000</t>
  </si>
  <si>
    <t>660012 Красноярский край город Красноярск улица Судостроительная 58</t>
  </si>
  <si>
    <t>ИП Полежаев Евгений Юрьевич</t>
  </si>
  <si>
    <t>246100791855</t>
  </si>
  <si>
    <t>ИП2408010258</t>
  </si>
  <si>
    <t>ИП240801025800000</t>
  </si>
  <si>
    <t>660119 Красноярский край город Красноярск бульвар Солнечный 6 1</t>
  </si>
  <si>
    <t>ИП Ларченкова Ирина Анатольевна</t>
  </si>
  <si>
    <t>246101643779</t>
  </si>
  <si>
    <t>ИП2408015716</t>
  </si>
  <si>
    <t>ИП240801571600000</t>
  </si>
  <si>
    <t>660119 Красноярский край город Красноярск Ул Тельмана дом 29</t>
  </si>
  <si>
    <t>ИП240801571600001</t>
  </si>
  <si>
    <t>660025 Красноярский край город Красноярск проспект им.газеты "Красноярский рабочий" 93   33</t>
  </si>
  <si>
    <t>ООО "ВАШ ЛОМБАРД КРАСНОЯРСК"</t>
  </si>
  <si>
    <t>2461032368</t>
  </si>
  <si>
    <t>ЮЛ2408010394</t>
  </si>
  <si>
    <t>ЮЛ240801039400000</t>
  </si>
  <si>
    <t>660133 Красноярский край город Красноярск проспект Металлургов дом 53Г</t>
  </si>
  <si>
    <t>ИП Данилов Антон Валерьевич</t>
  </si>
  <si>
    <t>246103987849</t>
  </si>
  <si>
    <t>ИП2408009315</t>
  </si>
  <si>
    <t>ИП240800931500000</t>
  </si>
  <si>
    <t>660095 Красноярский край город Красноярск проспект им.газеты "Красноярский рабочий" дом118   пом214</t>
  </si>
  <si>
    <t>ЮЛ240803662200000</t>
  </si>
  <si>
    <t>660069 Красноярский край город Красноярск улица Московская/Мичурина дом 9/9   помещение 35</t>
  </si>
  <si>
    <t>ЮЛ240803662200001</t>
  </si>
  <si>
    <t>660094 Красноярский край город Красноярск улица Академика Павлова дом 44   помещение 73</t>
  </si>
  <si>
    <t>ЮЛ240803662200002</t>
  </si>
  <si>
    <t>663613 Красноярский край город Канск улица Эйдемана дом 18 помещение 42</t>
  </si>
  <si>
    <t>ЮЛ240803662200004</t>
  </si>
  <si>
    <t>660118 Красноярский край город Красноярск проспект Комсомольский дом 3А   помещение 91</t>
  </si>
  <si>
    <t>ЮЛ240803662200005</t>
  </si>
  <si>
    <t>663615 Красноярский край город Канск мкр. Северо-Западный дом 45</t>
  </si>
  <si>
    <t>ЮЛ240803662200006</t>
  </si>
  <si>
    <t>663604 Красноярский край город Канск улица 40 лет Октября дом 56А   помещение 2</t>
  </si>
  <si>
    <t>ЮЛ240803662200007</t>
  </si>
  <si>
    <t>663690 Красноярский край город Зеленогорск улица Бортникова дом 8   помещение 63</t>
  </si>
  <si>
    <t>ЮЛ240803662200008</t>
  </si>
  <si>
    <t>663981 Красноярский край город Бородино улица Ленина дом 48   помещение 63</t>
  </si>
  <si>
    <t>ЮЛ240803662200010</t>
  </si>
  <si>
    <t>660018 Красноярский край город Красноярск улица Красномосковская дом 25   помещение 63</t>
  </si>
  <si>
    <t>ЮЛ240803662200011</t>
  </si>
  <si>
    <t>663960 Красноярский край город Заозерный улица К.Маркса дом 12   помещение 39</t>
  </si>
  <si>
    <t>ЮЛ240803662200012</t>
  </si>
  <si>
    <t>663694 Красноярский край город Зеленогорск улица Парковая дом 2</t>
  </si>
  <si>
    <t>ЮЛ240803662200013</t>
  </si>
  <si>
    <t>660022 Красноярский край город Красноярск улица Партизана Железняка дом 11   комната номер 2</t>
  </si>
  <si>
    <t>ЮЛ240803662200014</t>
  </si>
  <si>
    <t>660003 Красноярский край город Красноярск улица Кутузова дом 44   помещение 150/1</t>
  </si>
  <si>
    <t>ЮЛ240803662200015</t>
  </si>
  <si>
    <t>662520 Красноярский край поселок городского типа Березовка улица Дружбы дом 18   помещение 10</t>
  </si>
  <si>
    <t>ЮЛ240803662200016</t>
  </si>
  <si>
    <t>663800 Красноярский край город Иланский улица Красная здание 29   помещение 2</t>
  </si>
  <si>
    <t>ЮЛ240803662200017</t>
  </si>
  <si>
    <t>663600 Красноярский край город Канск улица Московская 76   помещение 71</t>
  </si>
  <si>
    <t>ЮЛ240803662200019</t>
  </si>
  <si>
    <t>662543 Красноярский край город Лесосибирск улица Белинского 9   помещение 102</t>
  </si>
  <si>
    <t>ЮЛ240803662200020</t>
  </si>
  <si>
    <t>660041 Красноярский край город Красноярск улица Высотная дом 1   помещение 72</t>
  </si>
  <si>
    <t>ЮЛ240803662200021</t>
  </si>
  <si>
    <t>660010 Красноярский край город Красноярск проспект им.газеты "Красноярский рабочий" дом 127   помещение 70</t>
  </si>
  <si>
    <t>ЮЛ240803662200022</t>
  </si>
  <si>
    <t>662548 Красноярский край город Лесосибирск 6-й квартал дом 16   85</t>
  </si>
  <si>
    <t>ЮЛ240803662200026</t>
  </si>
  <si>
    <t>662547 Красноярский край город Лесосибирск 9-й мкр дом 1а   помещение 83</t>
  </si>
  <si>
    <t>ЮЛ240803662200027</t>
  </si>
  <si>
    <t>663740 Красноярский край поселок Абан улица Пионерская дом 1 1  помещение 1</t>
  </si>
  <si>
    <t>ЮЛ240803662200030</t>
  </si>
  <si>
    <t>663850 Красноярский край поселок городского типа Нижний Ингаш улица Ленина дом 85</t>
  </si>
  <si>
    <t>ЮЛ240803662200033</t>
  </si>
  <si>
    <t>660123 Красноярский край город Красноярск проспект  "Красноярский рабочий" дом 54</t>
  </si>
  <si>
    <t>ЮЛ240803662200039</t>
  </si>
  <si>
    <t>662510 Красноярский край рп Березовка улица Центральная дом 6</t>
  </si>
  <si>
    <t>ИП Пиляева Лилия Валерьевна</t>
  </si>
  <si>
    <t>246106962698</t>
  </si>
  <si>
    <t>ИП2408014103</t>
  </si>
  <si>
    <t>ИП240801410300000</t>
  </si>
  <si>
    <t>663060 Красноярский край поселок городского типа Большая Мурта улица Советская дом 15а</t>
  </si>
  <si>
    <t>ИП Рау София Сергеевна</t>
  </si>
  <si>
    <t>246107080988</t>
  </si>
  <si>
    <t>ИП2408018223</t>
  </si>
  <si>
    <t>ИП240801822300000</t>
  </si>
  <si>
    <t>660125 Красноярский край город Красноярск проспект Комсомольский дом 18   116/1</t>
  </si>
  <si>
    <t>ИП Фирсов Георгий Владимирович</t>
  </si>
  <si>
    <t>246107129224</t>
  </si>
  <si>
    <t>ИП2408010072</t>
  </si>
  <si>
    <t>ИП240801007200000</t>
  </si>
  <si>
    <t>660003 Красноярский край город Красноярск Улица Академика Павлова Дом 9</t>
  </si>
  <si>
    <t>ИП Чугунов Александр Александрович</t>
  </si>
  <si>
    <t>246107294115</t>
  </si>
  <si>
    <t>ИП2408010373</t>
  </si>
  <si>
    <t>ИП240801037300000</t>
  </si>
  <si>
    <t>660111 Красноярский край город Красноярск улица Тельмана дом 30Г</t>
  </si>
  <si>
    <t>ИП Подольницкая Екатерина Сергеевна</t>
  </si>
  <si>
    <t>246107808988</t>
  </si>
  <si>
    <t>ИП2408013423</t>
  </si>
  <si>
    <t>ИП240801342300000</t>
  </si>
  <si>
    <t>660068 Красноярский край город Красноярск проспект им.газеты "Красноярский рабочий" дом 80   помещение 112</t>
  </si>
  <si>
    <t>ИП Камина Виктория Николаевна</t>
  </si>
  <si>
    <t>246108779634</t>
  </si>
  <si>
    <t>ИП2408012563</t>
  </si>
  <si>
    <t>ИП240801256300000</t>
  </si>
  <si>
    <t>660013 Красноярский край город Красноярск улица Тамбовская здание 5 корпус 2 стр 1 Б Б1 302</t>
  </si>
  <si>
    <t>ИП Курышева Маргарита Николаевна</t>
  </si>
  <si>
    <t>246109350767</t>
  </si>
  <si>
    <t>ИП2408040557</t>
  </si>
  <si>
    <t>ИП240804055700000</t>
  </si>
  <si>
    <t>660017 Красноярский край город Красноярск улица Горького дом 10   116</t>
  </si>
  <si>
    <t>ИП Скубко Алёна Валериевна</t>
  </si>
  <si>
    <t>246109407357</t>
  </si>
  <si>
    <t>ИП2408012720</t>
  </si>
  <si>
    <t>ИП240801272000000</t>
  </si>
  <si>
    <t>660119 Красноярский край город Красноярск бульвар Солнечный дом 6 корпус 1</t>
  </si>
  <si>
    <t>ИП Филиппович Любовь Олеговна</t>
  </si>
  <si>
    <t>246113551106</t>
  </si>
  <si>
    <t>ИП2408038402</t>
  </si>
  <si>
    <t>ИП240803840200000</t>
  </si>
  <si>
    <t>660119 Красноярский край город Красноярск проспект 60 лет Образования СССР дом 18   помещение 98</t>
  </si>
  <si>
    <t>ИП240803840200001</t>
  </si>
  <si>
    <t>660094 Красноярский край город Красноярск улица Щорса дом 60   помещение №3</t>
  </si>
  <si>
    <t>ИП Крутиков Владимир Юрьевич</t>
  </si>
  <si>
    <t>246200466545</t>
  </si>
  <si>
    <t>ИП2408009236</t>
  </si>
  <si>
    <t>ИП240800923600000</t>
  </si>
  <si>
    <t>660068 Красноярский край город Красноярск проспект им.газеты "Красноярский рабочий" дом 82а   помещение 63</t>
  </si>
  <si>
    <t>ЮЛ240800183000000</t>
  </si>
  <si>
    <t>660073 Красноярский край город Красноярск проспект Металлургов дом 27   помещение 1</t>
  </si>
  <si>
    <t>ЮЛ240800183000001</t>
  </si>
  <si>
    <t>660068 Красноярский край город Красноярск проспект им.газеты "Красноярский рабочий" дом 82а   часть помещения 63</t>
  </si>
  <si>
    <t>ЮЛ240800183000002</t>
  </si>
  <si>
    <t>660113 Красноярский край город Красноярск улица Тотмина дом 3   помещение 105</t>
  </si>
  <si>
    <t>ЮЛ240800183000004</t>
  </si>
  <si>
    <t>660119 Красноярский край город Красноярск проспект 60 лет Образования СССР дом 14   помещение 38</t>
  </si>
  <si>
    <t>ЮЛ240800183000005</t>
  </si>
  <si>
    <t>660043 Красноярский край город Красноярск улица Чернышевского дом 65   пом. 93</t>
  </si>
  <si>
    <t>ЮЛ240800183000024</t>
  </si>
  <si>
    <t>660012 Красноярский край город Красноярск улица Судостроительная дом 95</t>
  </si>
  <si>
    <t>ЮЛ240800183000025</t>
  </si>
  <si>
    <t>ЮЛ240800183000026</t>
  </si>
  <si>
    <t>660059 Красноярский край город Красноярск проспект им.газеты "Красноярский рабочий" дом 81   пом. 23</t>
  </si>
  <si>
    <t>ЮЛ240800183000027</t>
  </si>
  <si>
    <t>663040 Красноярский край село Сухобузимское улица Комсомольская дом 33   пом. 3</t>
  </si>
  <si>
    <t>ЮЛ240800183000033</t>
  </si>
  <si>
    <t>662153 Красноярский край город Ачинск 25 квартал дом 2   пом. 81</t>
  </si>
  <si>
    <t>ЮЛ240800183000034</t>
  </si>
  <si>
    <t>662501 Красноярский край город Сосновоборск улица Весенняя дом 12</t>
  </si>
  <si>
    <t>ЮЛ240800183000036</t>
  </si>
  <si>
    <t>662501 Красноярский край город Сосновоборск улица 9-й пятилетки дом 18   пом. 60</t>
  </si>
  <si>
    <t>ЮЛ240800183000037</t>
  </si>
  <si>
    <t>660094 Красноярский край город Красноярск улица Щорса дом 44</t>
  </si>
  <si>
    <t>ЮЛ240800183000038</t>
  </si>
  <si>
    <t>660122 Красноярский край город Красноярск улица Щорса дом 76</t>
  </si>
  <si>
    <t>ЮЛ240800183000039</t>
  </si>
  <si>
    <t>660078 Красноярский край город Красноярск улица 60 лет Октября дом 42</t>
  </si>
  <si>
    <t>ЮЛ240800183000040</t>
  </si>
  <si>
    <t>660012 Красноярский край город Красноярск улица Карамзина дом 14А   пом. 10/11</t>
  </si>
  <si>
    <t>ЮЛ240800183000041</t>
  </si>
  <si>
    <t>660079 Красноярский край город Красноярск улица 60 лет Октября дом 87   пом. 20</t>
  </si>
  <si>
    <t>ЮЛ240800183000042</t>
  </si>
  <si>
    <t>660048 Красноярский край город Красноярск улица Калинина дом 18   пом. 533</t>
  </si>
  <si>
    <t>ЮЛ240800183000043</t>
  </si>
  <si>
    <t>660133 Красноярский край город Красноярск проспект Металлургов дом 53  А3 пом. 253</t>
  </si>
  <si>
    <t>ЮЛ240800183000044</t>
  </si>
  <si>
    <t>660132 Красноярский край город Красноярск проспект 60 лет Образования СССР здание 24а   пом. 26</t>
  </si>
  <si>
    <t>ЮЛ240800183000045</t>
  </si>
  <si>
    <t>660020 Красноярский край город Красноярск улица Мужества дом 10   пом. 2</t>
  </si>
  <si>
    <t>ЮЛ240800183000046</t>
  </si>
  <si>
    <t>660006 Красноярский край город Красноярск улица Лесников дом 23   пом. 1192</t>
  </si>
  <si>
    <t>ЮЛ240800183000047</t>
  </si>
  <si>
    <t>660004 Красноярский край город Красноярск проспект им.газеты "Красноярский рабочий" дом 16   1-113</t>
  </si>
  <si>
    <t>ЮЛ240800183000049</t>
  </si>
  <si>
    <t>660004 Красноярский край город Красноярск улица 26 Бакинских Комиссаров дом 28А   пом. 149</t>
  </si>
  <si>
    <t>ЮЛ240800183000051</t>
  </si>
  <si>
    <t>660013 Красноярский край город Красноярск улица Волжская дом 9   пом. 85</t>
  </si>
  <si>
    <t>ЮЛ240800183000052</t>
  </si>
  <si>
    <t>660092 Красноярский край город Красноярск улица Шевченко дом 46</t>
  </si>
  <si>
    <t>ЮЛ240800183000053</t>
  </si>
  <si>
    <t>660130 Красноярский край город Красноярск улица Петра Словцова дом 8   пом. 238 ком. 11</t>
  </si>
  <si>
    <t>ЮЛ240800183000054</t>
  </si>
  <si>
    <t>660075 Красноярский край город Красноярск улица Северо-Енисейская дом 44   пом. 162</t>
  </si>
  <si>
    <t>ЮЛ240800183000059</t>
  </si>
  <si>
    <t>660125 Красноярский край город Красноярск улица 9 Мая дом 14А</t>
  </si>
  <si>
    <t>ЮЛ240800183000060</t>
  </si>
  <si>
    <t>660052 Красноярский край город Красноярск улица Алеши Тимошенкова дом 187   пом. 1</t>
  </si>
  <si>
    <t>ЮЛ240800183000061</t>
  </si>
  <si>
    <t>660074 Красноярский край город Красноярск улица Академика Киренского дом 13</t>
  </si>
  <si>
    <t>ЮЛ240800183000063</t>
  </si>
  <si>
    <t>660098 Красноярский край город Красноярск улица Алексеева дом 25   пом. 327</t>
  </si>
  <si>
    <t>ЮЛ240800183000066</t>
  </si>
  <si>
    <t>660125 Красноярский край город Красноярск проспект Комсомольский дом 18   пом. 115</t>
  </si>
  <si>
    <t>ЮЛ240800183000068</t>
  </si>
  <si>
    <t>660077 Красноярский край город Красноярск улица Весны дом 5   пом. 222</t>
  </si>
  <si>
    <t>ЮЛ240800183000069</t>
  </si>
  <si>
    <t>660115 Красноярский край город Красноярск улица Попова дом 12   пом. 61</t>
  </si>
  <si>
    <t>ЮЛ240800183000076</t>
  </si>
  <si>
    <t>660098 Красноярский край город Красноярск улица Водопьянова дом 19А</t>
  </si>
  <si>
    <t>ЮЛ240800183000081</t>
  </si>
  <si>
    <t>660123 Красноярский край город Красноярск улица Чайковского дом 8   помещение 20</t>
  </si>
  <si>
    <t>ЮЛ240800183000088</t>
  </si>
  <si>
    <t>662161 Красноярский край город Ачинск  дом 3   помещение 102</t>
  </si>
  <si>
    <t>ЮЛ240800183000092</t>
  </si>
  <si>
    <t>660050 Красноярский край город Красноярск улица Кутузова домовладение 1 строение 84  помещение 1</t>
  </si>
  <si>
    <t>ЮЛ240800183000096</t>
  </si>
  <si>
    <t>660041 Красноярский край город Красноярск улица Можайского дом 5   помещение 1</t>
  </si>
  <si>
    <t>ЮЛ240800183000097</t>
  </si>
  <si>
    <t>ЮЛ240800183000098</t>
  </si>
  <si>
    <t>660046 Красноярский край город Красноярск улица Амурская дом 32   торговое место 2</t>
  </si>
  <si>
    <t>ЮЛ240800183000099</t>
  </si>
  <si>
    <t>660078 Красноярский край Красноярск 60 лет Октября 48</t>
  </si>
  <si>
    <t>ИП Рыбникова Ирина Валериевна</t>
  </si>
  <si>
    <t>246206999420</t>
  </si>
  <si>
    <t>ИП2408014113</t>
  </si>
  <si>
    <t>ИП240801411300000</t>
  </si>
  <si>
    <t>662977 Красноярский край город Железногорск улица Южная здание 39Б   помещение 5</t>
  </si>
  <si>
    <t>ООО "РУСДАЙМОНДС КРАСНОЯРСК"</t>
  </si>
  <si>
    <t>2462070084</t>
  </si>
  <si>
    <t>ЮЛ2408014848</t>
  </si>
  <si>
    <t>ЮЛ240801484800000</t>
  </si>
  <si>
    <t>660020 Красноярский край город Красноярск улица Линейная здание 91   офис 101</t>
  </si>
  <si>
    <t>ООО "ИНТЕР ГОЛД"</t>
  </si>
  <si>
    <t>2462073624</t>
  </si>
  <si>
    <t>ЮЛ2408031002</t>
  </si>
  <si>
    <t>ЮЛ240803100200000</t>
  </si>
  <si>
    <t>ИП Хозиенко Александр Павлович</t>
  </si>
  <si>
    <t>246209656269</t>
  </si>
  <si>
    <t>ИП2408001807</t>
  </si>
  <si>
    <t>ИП240800180700000</t>
  </si>
  <si>
    <t>660077 Красноярский край город Красноярск улица Авиаторов дом 5</t>
  </si>
  <si>
    <t>ИП Киселева Светлана Николаевна</t>
  </si>
  <si>
    <t>246212475544</t>
  </si>
  <si>
    <t>ИП2408015163</t>
  </si>
  <si>
    <t>ИП240801516300000</t>
  </si>
  <si>
    <t>660049 Красноярский край город Красноярск проспект Мира дом 60   пом.1 ком.47</t>
  </si>
  <si>
    <t>ИП Якушевич Вера Александровна</t>
  </si>
  <si>
    <t>246300269460</t>
  </si>
  <si>
    <t>ИП2408011614</t>
  </si>
  <si>
    <t>ИП240801161400000</t>
  </si>
  <si>
    <t>660049 Красноярский край город Красноярск улица Перенсона дом 23 корпус 1</t>
  </si>
  <si>
    <t>ИП Бурда Валерий Иванович</t>
  </si>
  <si>
    <t>246300918185</t>
  </si>
  <si>
    <t>ИП2408005033</t>
  </si>
  <si>
    <t>ИП240800503300000</t>
  </si>
  <si>
    <t>660049 Красноярский край город Красноярск проспект Мира дом 60   1-24; 34; 36</t>
  </si>
  <si>
    <t>ИП Лыков Сергей Михайлович</t>
  </si>
  <si>
    <t>246301982610</t>
  </si>
  <si>
    <t>ИП2408002654</t>
  </si>
  <si>
    <t>ИП240800265400000</t>
  </si>
  <si>
    <t>660017 Красноярский край город Красноярск улица Красной Армии дом 10 Строение 4  0-5А</t>
  </si>
  <si>
    <t>ИП240800265400001</t>
  </si>
  <si>
    <t>663690 Красноярский край город Зеленогорск улица Мира дом 22</t>
  </si>
  <si>
    <t>ООО "ТРЕЙЛ"</t>
  </si>
  <si>
    <t>2463054737</t>
  </si>
  <si>
    <t>ЮЛ2408013964</t>
  </si>
  <si>
    <t>ЮЛ240801396400003</t>
  </si>
  <si>
    <t>660122 Красноярский край город Красноярск улица Затонская здание 32 строение 3</t>
  </si>
  <si>
    <t>ИП Бурда Виталий Валерьевич</t>
  </si>
  <si>
    <t>246305524106</t>
  </si>
  <si>
    <t>ИП2408001456</t>
  </si>
  <si>
    <t>ИП240800145600000</t>
  </si>
  <si>
    <t>660017 Красноярский край город Красноярск улица Красной Армии дом 10 строение 4  офис 12-08</t>
  </si>
  <si>
    <t>ИП240800145600002</t>
  </si>
  <si>
    <t>660004 Красноярский край город Красноярск проспект им.газеты "Красноярский рабочий" дом 27 строение 78  пом 51 комната 4</t>
  </si>
  <si>
    <t>ИП240800145600004</t>
  </si>
  <si>
    <t>660095 Красноярский край город Красноярск проспект им.газеты "Красноярский рабочий" дом 120   Ком 81, пом 5, Ком 149, пом 5</t>
  </si>
  <si>
    <t>ИП240800145600005</t>
  </si>
  <si>
    <t>660020 Красноярский край город Красноярск улица Мужества 10   помещение 3,6</t>
  </si>
  <si>
    <t>ИП240800145600008</t>
  </si>
  <si>
    <t>663650 Красноярский край село Ирбейское Кооперативная зд. 51  лит. А</t>
  </si>
  <si>
    <t>ИП240800145600009</t>
  </si>
  <si>
    <t>660078 Красноярский край город Красноярск улица 60 лет Октября 48   ком. 16</t>
  </si>
  <si>
    <t>ИП240800145600010</t>
  </si>
  <si>
    <t>660113 Красноярский край город Красноярск улица Тотмина дом 1</t>
  </si>
  <si>
    <t>ИП240800145600011</t>
  </si>
  <si>
    <t>660130 Красноярский край город Красноярск улица Мирошниченко дом 6</t>
  </si>
  <si>
    <t>ИП Сабаев Олег Петрович</t>
  </si>
  <si>
    <t>246305675360</t>
  </si>
  <si>
    <t>ИП2408011278</t>
  </si>
  <si>
    <t>ИП240801127800000</t>
  </si>
  <si>
    <t>ИП Арутунян Эдуард Майсурикович</t>
  </si>
  <si>
    <t>246306052061</t>
  </si>
  <si>
    <t>ИП2408031010</t>
  </si>
  <si>
    <t>ИП240803101000000</t>
  </si>
  <si>
    <t>660017 Красноярский край город Красноярск улица Карла Маркса дом 102   3,4</t>
  </si>
  <si>
    <t>ИП240803101000001</t>
  </si>
  <si>
    <t>660135 Красноярский край город Красноярск улица Весны дом 1</t>
  </si>
  <si>
    <t>ИП240803101000003</t>
  </si>
  <si>
    <t>660013 Красноярский край город Красноярск улица Говорова здание 57   комната 106</t>
  </si>
  <si>
    <t>ИП240803101000004</t>
  </si>
  <si>
    <t>660095 Красноярский край город Красноярск проспект им.газеты "Красноярский рабочий" домовладение 120</t>
  </si>
  <si>
    <t>ИП240803101000005</t>
  </si>
  <si>
    <t>660017 Красноярский край город Красноярск улица Карла Маркса дом 102   18</t>
  </si>
  <si>
    <t>ИП240803101000006</t>
  </si>
  <si>
    <t>660028 Красноярский край город Красноярск улица Телевизорная дом 1 строение 4  13</t>
  </si>
  <si>
    <t>ИП240803101000007</t>
  </si>
  <si>
    <t>660017 Красноярский край город Красноярск улица Карла Маркса дом 102   17</t>
  </si>
  <si>
    <t>ИП240803101000008</t>
  </si>
  <si>
    <t>660133 Красноярский край город Красноярск улица Партизана Железняка дом 23   л1-32</t>
  </si>
  <si>
    <t>ИП Зарецкий Виктор Сергеевич</t>
  </si>
  <si>
    <t>246306617868</t>
  </si>
  <si>
    <t>ИП2408014102</t>
  </si>
  <si>
    <t>ИП240801410200000</t>
  </si>
  <si>
    <t>660025 Красноярский край город Красноярск пр-т Им. Газеты "Красноярский Рабочий" дом 120 Помещение 5  Комната 55</t>
  </si>
  <si>
    <t>2463098685</t>
  </si>
  <si>
    <t>ЮЛ2408014259</t>
  </si>
  <si>
    <t>ЮЛ240801425900000</t>
  </si>
  <si>
    <t>660000 Красноярский край город Красноярск пр-кт им. газеты "Красноярский рабочий" 120   Комната 80, помещение 5</t>
  </si>
  <si>
    <t>ЮЛ240801425900001</t>
  </si>
  <si>
    <t>660000 Красноярский край город Красноярск пр-кт им. газеты "Красноярский рабочий" 120   Комната 55, 0.9 кв. м. комнаты 149 помещения 5</t>
  </si>
  <si>
    <t>ЮЛ240801425900002</t>
  </si>
  <si>
    <t>660100 Красноярский край город Красноярск улица Михаила Годенко дом 1   офис 6, помещение 291</t>
  </si>
  <si>
    <t>ООО "ПЕРВЫЙ ЛОМБАРД"</t>
  </si>
  <si>
    <t>2463123243</t>
  </si>
  <si>
    <t>ЮЛ2408018353</t>
  </si>
  <si>
    <t>ЮЛ240801835300000</t>
  </si>
  <si>
    <t>660125 Красноярский край город Красноярск улица 9 Мая дом 77</t>
  </si>
  <si>
    <t>ИП Лыкова Екатерина Сергеевна</t>
  </si>
  <si>
    <t>246314751970</t>
  </si>
  <si>
    <t>ИП2408006808</t>
  </si>
  <si>
    <t>ИП240800680800000</t>
  </si>
  <si>
    <t>660028 Красноярский край город Красноярск улица Телевизорная дом 1 строение 90  помещение 2</t>
  </si>
  <si>
    <t>ИП Касьянова Юлия Романовна</t>
  </si>
  <si>
    <t>246315708208</t>
  </si>
  <si>
    <t>ИП5001032225</t>
  </si>
  <si>
    <t>ИП500103222500001</t>
  </si>
  <si>
    <t>660125 Красноярский край город Красноярск улица 9 Мая здание 77   помещение№ 2 комната 149</t>
  </si>
  <si>
    <t>ИП Бурда Иван Валерьевич</t>
  </si>
  <si>
    <t>246316131361</t>
  </si>
  <si>
    <t>ИП2408004422</t>
  </si>
  <si>
    <t>ИП240800442200000</t>
  </si>
  <si>
    <t>660049 Красноярский край город Красноярск проспект Мира 60   пом.26</t>
  </si>
  <si>
    <t>ИП Перетрухин Дмитрий Александрович</t>
  </si>
  <si>
    <t>246318190700</t>
  </si>
  <si>
    <t>ИП2408037951</t>
  </si>
  <si>
    <t>ИП240803795100000</t>
  </si>
  <si>
    <t>660017 Красноярский край Город Красноярск Улица Карла Маркса Дом 141   Помещение 52</t>
  </si>
  <si>
    <t>ИП Губкина Любовь Михайловна</t>
  </si>
  <si>
    <t>246403130653</t>
  </si>
  <si>
    <t>ИП2408013558</t>
  </si>
  <si>
    <t>ИП240801355800000</t>
  </si>
  <si>
    <t>2464112822</t>
  </si>
  <si>
    <t>ЮЛ2408001912</t>
  </si>
  <si>
    <t>ЮЛ240800191200001</t>
  </si>
  <si>
    <t>ЮЛ240800191200002</t>
  </si>
  <si>
    <t>662153 Красноярский край город Ачинск 25 квартал дом 2   помещение 81</t>
  </si>
  <si>
    <t>ЮЛ240800191200003</t>
  </si>
  <si>
    <t>660004 Красноярский край город Красноярск улица 26 Бакинских Комиссаров дом 28А   помещение 149</t>
  </si>
  <si>
    <t>ЮЛ240800191200004</t>
  </si>
  <si>
    <t>ЮЛ240800191200005</t>
  </si>
  <si>
    <t>660111 Красноярский край город Красноярск улица Тельмана дом 30Г   помещение 2 комната 62</t>
  </si>
  <si>
    <t>ЮЛ240800191200006</t>
  </si>
  <si>
    <t>660125 Красноярский край город Красноярск проспект Комсомольский дом 18   помещение 115</t>
  </si>
  <si>
    <t>ЮЛ240800191200007</t>
  </si>
  <si>
    <t>660077 Красноярский край город Красноярск улица Молокова дом 54</t>
  </si>
  <si>
    <t>ЮЛ240800191200008</t>
  </si>
  <si>
    <t>660012 Красноярский край город Красноярск улица Полтавская дом 38 строение 22</t>
  </si>
  <si>
    <t>ЮЛ240800191200009</t>
  </si>
  <si>
    <t>660132 Красноярский край город Красноярск проспект 60 лет Образования СССР здание 24а   помещение 26</t>
  </si>
  <si>
    <t>ЮЛ240800191200010</t>
  </si>
  <si>
    <t>660020 Красноярский край город Красноярск улица Мужества дом 10</t>
  </si>
  <si>
    <t>ЮЛ240800191200011</t>
  </si>
  <si>
    <t>ЮЛ240800191200012</t>
  </si>
  <si>
    <t>660004 Красноярский край город Красноярск проспект им.газеты "Красноярский рабочий" здание 27 строение 78   помещение 49 комната 7</t>
  </si>
  <si>
    <t>ЮЛ240800191200015</t>
  </si>
  <si>
    <t>660068 Красноярский край город Красноярск проспект им.газеты "Красноярский рабочий" дом 82а   часть помещения 64</t>
  </si>
  <si>
    <t>ЮЛ240800191200018</t>
  </si>
  <si>
    <t>660125 Красноярский край город Красноярск улица 9 Мая здание 77</t>
  </si>
  <si>
    <t>ИП240801156100000</t>
  </si>
  <si>
    <t>660111 Красноярский край город Красноярск улица Тельмана Дом 29</t>
  </si>
  <si>
    <t>ИП Фирсова Раиса Владиславовна</t>
  </si>
  <si>
    <t>246415814908</t>
  </si>
  <si>
    <t>ИП2408018924</t>
  </si>
  <si>
    <t>ИП240801892400000</t>
  </si>
  <si>
    <t>660022 Красноярский край город Красноярск улица Аэровокзальная Дом 22</t>
  </si>
  <si>
    <t>ИП240801892400001</t>
  </si>
  <si>
    <t>660021 Красноярский край город Красноярск улица Ленина дом 128   помещение 194</t>
  </si>
  <si>
    <t>ИП Базаралинова Алина Кабасовна</t>
  </si>
  <si>
    <t>246500386435</t>
  </si>
  <si>
    <t>ИП2408016189</t>
  </si>
  <si>
    <t>ИП240801618900000</t>
  </si>
  <si>
    <t>ИП Сотникова Светлана Михайловна</t>
  </si>
  <si>
    <t>246500841500</t>
  </si>
  <si>
    <t>ИП2408011952</t>
  </si>
  <si>
    <t>ИП240801195200000</t>
  </si>
  <si>
    <t>66049 Красноярский край город Красноярск проспект Мира Дом 60   комната №37, №38</t>
  </si>
  <si>
    <t>ИП Провоторова Елена Петровна</t>
  </si>
  <si>
    <t>246503317221</t>
  </si>
  <si>
    <t>ИП2408008608</t>
  </si>
  <si>
    <t>ИП240800860800001</t>
  </si>
  <si>
    <t>660017 Красноярский край город Красноярск улица Карла Маркса дом 102   помещение №3 :ком.№17, ком.№20</t>
  </si>
  <si>
    <t>ИП240800860800002</t>
  </si>
  <si>
    <t>660095 Красноярский край город Красноярск проспект им.газеты "Красноярский рабочий" Дом 120   комната №54 помещение 5</t>
  </si>
  <si>
    <t>ИП240800860800004</t>
  </si>
  <si>
    <t>660028 Красноярский край город Красноярск улица Телевизорная Дом 1 Корпус 4  помещение №46 комната №57, №58</t>
  </si>
  <si>
    <t>ИП240800860800006</t>
  </si>
  <si>
    <t>660095 Красноярский край город Красноярск проспект им.газеты "Красноярский рабочий" Дом 120   комната №56,149 помещение 5</t>
  </si>
  <si>
    <t>ИП240800860800007</t>
  </si>
  <si>
    <t>660013 Красноярский край город Красноярск улица Говорова Дом 57   комната №8</t>
  </si>
  <si>
    <t>ИП240800860800008</t>
  </si>
  <si>
    <t>660132 Красноярский край город Красноярск проспект 60 лет Образования СССР Дом 24 А   помещение 17</t>
  </si>
  <si>
    <t>ИП240800860800009</t>
  </si>
  <si>
    <t>660018 Красноярский край Город Красноярск Улица Новосибирская Дом 7   95</t>
  </si>
  <si>
    <t>ИП Хандошко Максим Алексеевич</t>
  </si>
  <si>
    <t>246503398982</t>
  </si>
  <si>
    <t>ИП2408013819</t>
  </si>
  <si>
    <t>ИП240801381900003</t>
  </si>
  <si>
    <t>663430 Красноярский край село Богучаны улица Октябрьская дом122 А   офис 3</t>
  </si>
  <si>
    <t>ИП Сосковец Сергей Григорьевич</t>
  </si>
  <si>
    <t>246504126364</t>
  </si>
  <si>
    <t>ИП2408011589</t>
  </si>
  <si>
    <t>ИП240801158900000</t>
  </si>
  <si>
    <t>660037 Красноярский край город Красноярск проспект имени Газеты Красноярский рабочий дом 37   офис 57</t>
  </si>
  <si>
    <t>ИП Семеновский Игорь Иосифович</t>
  </si>
  <si>
    <t>246508733948</t>
  </si>
  <si>
    <t>ИП2408004347</t>
  </si>
  <si>
    <t>ИП240800434700000</t>
  </si>
  <si>
    <t>660028 Красноярский край город Красноярск улица Ладо Кецховели дом 54</t>
  </si>
  <si>
    <t>ИП Сабаева Светлана Николаевна</t>
  </si>
  <si>
    <t>246511946209</t>
  </si>
  <si>
    <t>ИП2408011563</t>
  </si>
  <si>
    <t>ИП240801156300000</t>
  </si>
  <si>
    <t>660004 Красноярский край Город Красноярск Проспект имени газеты "Красноярский рабочий" Дом 27 Строение 78  Помещение 49</t>
  </si>
  <si>
    <t>ИП Трухина Людмила Николаевна</t>
  </si>
  <si>
    <t>246512794012</t>
  </si>
  <si>
    <t>ИП2408007807</t>
  </si>
  <si>
    <t>ИП240800780700000</t>
  </si>
  <si>
    <t>660077 Красноярский край город Красноярск улица 78 Добровольческой Бригады дом 14 А   помещение 223</t>
  </si>
  <si>
    <t>ООО ТД "РУССКОЕ ЗОЛОТО"</t>
  </si>
  <si>
    <t>2465133127</t>
  </si>
  <si>
    <t>ЮЛ2408005738</t>
  </si>
  <si>
    <t>ЮЛ240800573800000</t>
  </si>
  <si>
    <t>ИП Иванова Наталья Григорьевна</t>
  </si>
  <si>
    <t>246515150496</t>
  </si>
  <si>
    <t>ИП2408038195</t>
  </si>
  <si>
    <t>ИП240803819500000</t>
  </si>
  <si>
    <t>660077 Красноярский край город Красноярск улица 78 Добровольческой Бригады дом 14 корпус а  помещение 226</t>
  </si>
  <si>
    <t>ООО "ЮПИТЕР"</t>
  </si>
  <si>
    <t>2465153652</t>
  </si>
  <si>
    <t>ЮЛ2408014715</t>
  </si>
  <si>
    <t>ЮЛ240801471500000</t>
  </si>
  <si>
    <t>660003 Красноярский край город Красноярск улица Щорса дом 30</t>
  </si>
  <si>
    <t>ИП Пусеп Ирина Александровна</t>
  </si>
  <si>
    <t>246518362509</t>
  </si>
  <si>
    <t>ИП2408018018</t>
  </si>
  <si>
    <t>ИП240801801800000</t>
  </si>
  <si>
    <t>660021 Красноярский край город Красноярск улица Карла Маркса дом 148  литера А</t>
  </si>
  <si>
    <t>ИП240801801800001</t>
  </si>
  <si>
    <t>660037 Красноярский край город Красноярск проспект им.газеты "Красноярский рабочий" дом 47</t>
  </si>
  <si>
    <t>ИП240801801800002</t>
  </si>
  <si>
    <t>660012 Красноярский край  город Красноярск улица Полтавская дом 38  строение 22</t>
  </si>
  <si>
    <t>ИП240801801800005</t>
  </si>
  <si>
    <t>662710 Красноярский край поселок городского типа Шушенское микрорайон 4-й дом 10А</t>
  </si>
  <si>
    <t>ИП Шпак Евгений Андреевич</t>
  </si>
  <si>
    <t>246519478351</t>
  </si>
  <si>
    <t>ИП1708015291</t>
  </si>
  <si>
    <t>ИП170801529100005</t>
  </si>
  <si>
    <t>662340 Красноярский край поселок городского типа Балахта улица 60 лет Октября земельный участок 11А</t>
  </si>
  <si>
    <t>ИП Лейтис Наталья Александровна</t>
  </si>
  <si>
    <t>246520845327</t>
  </si>
  <si>
    <t>ИП2408001628</t>
  </si>
  <si>
    <t>ИП240800162800000</t>
  </si>
  <si>
    <t>660020 Красноярский край город Красноярск улица Шахтеров дом 49   офис 2.7</t>
  </si>
  <si>
    <t>ИП Аристов Сергей Викторович</t>
  </si>
  <si>
    <t>246520974298</t>
  </si>
  <si>
    <t>ИП2408010241</t>
  </si>
  <si>
    <t>ИП240801024100000</t>
  </si>
  <si>
    <t>660077 Красноярский край город Красноярск улица 78 Добровольческой Бригады дом 14А   помещение 223</t>
  </si>
  <si>
    <t>ООО "СибГолд"</t>
  </si>
  <si>
    <t>2465339520</t>
  </si>
  <si>
    <t>ЮЛ2408005745</t>
  </si>
  <si>
    <t>ЮЛ240800574500000</t>
  </si>
  <si>
    <t>660077 Красноярский край город Красноярск улица 78 Добровольческой бригады дом 14 А   помещение 226, кабинет 4</t>
  </si>
  <si>
    <t>ООО "ТИАН"</t>
  </si>
  <si>
    <t>2465343195</t>
  </si>
  <si>
    <t>ЮЛ2408018595</t>
  </si>
  <si>
    <t>ЮЛ240801859500000</t>
  </si>
  <si>
    <t>660125 Красноярский край город Красноярск переулок Светлогорский дом 12   помещение 594</t>
  </si>
  <si>
    <t>ООО ЛОМБАРД "КВАЗАР"</t>
  </si>
  <si>
    <t>2465362670</t>
  </si>
  <si>
    <t>ЮЛ2408037450</t>
  </si>
  <si>
    <t>ЮЛ240803745000002</t>
  </si>
  <si>
    <t>660059 Красноярский край город Красноярск проспект им.газеты "Красноярский рабочий" дом 90   пом. 2</t>
  </si>
  <si>
    <t>ЮЛ240803745000011</t>
  </si>
  <si>
    <t>660017 Красноярский край город Красноярск улица Карла Маркса дом 141   помещение 52</t>
  </si>
  <si>
    <t>2466024586</t>
  </si>
  <si>
    <t>ЮЛ2408002620</t>
  </si>
  <si>
    <t>ЮЛ240800262000000</t>
  </si>
  <si>
    <t>660018 Красноярский край город Красноярск улица Новосибирская дом 9А</t>
  </si>
  <si>
    <t>ИП Нурисламова Марина Михайловна</t>
  </si>
  <si>
    <t>246602468750</t>
  </si>
  <si>
    <t>ИП2408005334</t>
  </si>
  <si>
    <t>ИП240800533400000</t>
  </si>
  <si>
    <t>660012 Красноярский край город Красноярск улица Полтавская дом 38 стр 22</t>
  </si>
  <si>
    <t>ООО "КАССАНДРА"</t>
  </si>
  <si>
    <t>2466075541</t>
  </si>
  <si>
    <t>ЮЛ2408000641</t>
  </si>
  <si>
    <t>ЮЛ240800064100002</t>
  </si>
  <si>
    <t>660111 Красноярский край город Красноярск улица Тельмана дом 29</t>
  </si>
  <si>
    <t>ЮЛ240800064100005</t>
  </si>
  <si>
    <t>660006 Красноярский край город Красноярск улица Свердловская 8а/2</t>
  </si>
  <si>
    <t>ЮЛ240801625800000</t>
  </si>
  <si>
    <t>660049 Красноярский край город Красноярск проспект Мира дом 60   помещение 25,26</t>
  </si>
  <si>
    <t>ООО "ЛОМБАРД ВАШ ВЫБОР"</t>
  </si>
  <si>
    <t>2466299870</t>
  </si>
  <si>
    <t>ЮЛ2408037544</t>
  </si>
  <si>
    <t>ЮЛ240803754400000</t>
  </si>
  <si>
    <t>660024 Красноярский край Красноярск Линейная 89   офис 308</t>
  </si>
  <si>
    <t>ООО "ЗОЛОТОЙ РЕГИОН-24"</t>
  </si>
  <si>
    <t>2466300099</t>
  </si>
  <si>
    <t>ЮЛ2408037705</t>
  </si>
  <si>
    <t>ЮЛ240803770500000</t>
  </si>
  <si>
    <t>660049 Красноярский край город Красноярск проспект Мира 60   помещение.25,26</t>
  </si>
  <si>
    <t>ООО "ЮД ВАШ ВЫБОР"</t>
  </si>
  <si>
    <t>2466301511</t>
  </si>
  <si>
    <t>ЮЛ2408038669</t>
  </si>
  <si>
    <t>ЮЛ240803866900000</t>
  </si>
  <si>
    <t>663960 Красноярский край город Заозерный Улица Мира Дом 56</t>
  </si>
  <si>
    <t>ИП Потехина Наталья Анатольевна</t>
  </si>
  <si>
    <t>253100474663</t>
  </si>
  <si>
    <t>ИП2408012043</t>
  </si>
  <si>
    <t>ИП240801204300000</t>
  </si>
  <si>
    <t>660037 Красноярский край город Красноярск проспект им.газеты "Красноярский рабочий" 27 78  48</t>
  </si>
  <si>
    <t>ИП Махнева Галина Николаевна</t>
  </si>
  <si>
    <t>383405944756</t>
  </si>
  <si>
    <t>ИП3808040049</t>
  </si>
  <si>
    <t>ИП380804004900000</t>
  </si>
  <si>
    <t>ЮЛ380800074700003</t>
  </si>
  <si>
    <t>660000 Красноярский край город Красноярск Мужества 10</t>
  </si>
  <si>
    <t>ИП Бут Лидия Евгеньевна</t>
  </si>
  <si>
    <t>421300641177</t>
  </si>
  <si>
    <t>ИП4208033022</t>
  </si>
  <si>
    <t>ИП420803302200000</t>
  </si>
  <si>
    <t>ИП Протасова Наталья Александровна</t>
  </si>
  <si>
    <t>424400194746</t>
  </si>
  <si>
    <t>ИП4208014959</t>
  </si>
  <si>
    <t>ИП420801495900000</t>
  </si>
  <si>
    <t>660017 Красноярский край город Красноярск улица Красной Армии дом 10</t>
  </si>
  <si>
    <t>ИП420801495900002</t>
  </si>
  <si>
    <t>660125 Красноярский край город Красноярск улица 9 Мая здание 77   помещение №2, комнаты 459</t>
  </si>
  <si>
    <t>ЮЛ500100602500048</t>
  </si>
  <si>
    <t>660125 Красноярский край город Красноярск улица 9 Мая дом 77   помещение №2 комнаты 499, 500</t>
  </si>
  <si>
    <t>ИП Фетисова Юлия Александровна</t>
  </si>
  <si>
    <t>472201812308</t>
  </si>
  <si>
    <t>ИП4703033821</t>
  </si>
  <si>
    <t>ИП470303382100000</t>
  </si>
  <si>
    <t>660125 Красноярский край город Красноярск улица 9 Мая дом 77   помещение №2 комнаты 154,155</t>
  </si>
  <si>
    <t>ИП470303382100001</t>
  </si>
  <si>
    <t>660125 Красноярский край город Красноярск улица 9 Мая дом 77   остров в центре</t>
  </si>
  <si>
    <t>ИП470303382100002</t>
  </si>
  <si>
    <t>660013 Красноярский край город Красноярск улица Говорова дом 57   часть комнаты №8</t>
  </si>
  <si>
    <t>ИП Раков Виталий Олегович</t>
  </si>
  <si>
    <t>500603481795</t>
  </si>
  <si>
    <t>ИП5001032224</t>
  </si>
  <si>
    <t>ИП500103222400003</t>
  </si>
  <si>
    <t>660017 Красноярский край город Красноярск проспект Мира дом 91а</t>
  </si>
  <si>
    <t>ИП500100445500006</t>
  </si>
  <si>
    <t>660020 Красноярский край город Красноярск улица Дмитрия Мартынова дом 12   часть нежилого помещения № 30</t>
  </si>
  <si>
    <t>ИП440200426400015</t>
  </si>
  <si>
    <t>663302 Красноярский край Город Норильск Улица Комсомольская Дом 31   Комната №3е этаж 1</t>
  </si>
  <si>
    <t>ИП Дибульских Вальдемар Яонасович</t>
  </si>
  <si>
    <t>507702843784</t>
  </si>
  <si>
    <t>ИП5001018766</t>
  </si>
  <si>
    <t>ИП500101876600000</t>
  </si>
  <si>
    <t>660125 Красноярский край город Красноярск улица 9 Мая здание 77   помещение №2 комната 184</t>
  </si>
  <si>
    <t>ЮЛ520603376600044</t>
  </si>
  <si>
    <t>660025 Красноярский край город Красноярск проспект им.газеты "Красноярский рабочий" дом 89   помещение 32</t>
  </si>
  <si>
    <t>ООО "ЛОМБАРД ПАРИТЕТ"</t>
  </si>
  <si>
    <t>6317158333</t>
  </si>
  <si>
    <t>ЮЛ6306002593</t>
  </si>
  <si>
    <t>ЮЛ630600259300007</t>
  </si>
  <si>
    <t>660022 Красноярский край город Красноярск улица Партизана Железняка дом 12а   помещение 1</t>
  </si>
  <si>
    <t>ООО "ЛОМБАРД ВЕРШИНА"</t>
  </si>
  <si>
    <t>6382100118</t>
  </si>
  <si>
    <t>ЮЛ6306037499</t>
  </si>
  <si>
    <t>ЮЛ630603749900001</t>
  </si>
  <si>
    <t>660012 Красноярский край город Красноярск улица Карамзина дом 18   помещение 456</t>
  </si>
  <si>
    <t>ЮЛ630603749900002</t>
  </si>
  <si>
    <t>660131 Красноярский край город Красноярск улица Воронова дом 12А   помещение 155</t>
  </si>
  <si>
    <t>ЮЛ630603749900003</t>
  </si>
  <si>
    <t>660077 Красноярский край г. Красноярск улица 78 Добровольческой Бригады дом 2   помещение 149</t>
  </si>
  <si>
    <t>АО "ПКФ "ЭРМИ"</t>
  </si>
  <si>
    <t>6663061168</t>
  </si>
  <si>
    <t>ЮЛ6607004298</t>
  </si>
  <si>
    <t>ЮЛ660700429800005</t>
  </si>
  <si>
    <t>660077 Красноярский край город Красноярск улица Весны дом 22   помещение 97</t>
  </si>
  <si>
    <t>ИП Самкова Надежда Анатольевна</t>
  </si>
  <si>
    <t>700704639522</t>
  </si>
  <si>
    <t>ИП2408000967</t>
  </si>
  <si>
    <t>ИП240800096700000</t>
  </si>
  <si>
    <t>660000 Красноярский край город Красноярск Улица Ленина  Дом 116</t>
  </si>
  <si>
    <t>ИП Норкина Варвара Владимировна</t>
  </si>
  <si>
    <t>701771895019</t>
  </si>
  <si>
    <t>ИП7008011611</t>
  </si>
  <si>
    <t>ИП700801161100003</t>
  </si>
  <si>
    <t>663694 Красноярский край город Зеленогорск улица Песчаная дом 2   помещение 01.10</t>
  </si>
  <si>
    <t>ЮЛ760201190700070</t>
  </si>
  <si>
    <t>663606 Красноярский край город Канск улица 40 лет Октября здание  62 строение 4   помещение 75, этаж 1</t>
  </si>
  <si>
    <t>ЮЛ770101216600212</t>
  </si>
  <si>
    <t>663319 Красноярский край город Норильск площадь Металлургов дом 10   помещение 5, этаж 1</t>
  </si>
  <si>
    <t>ЮЛ770101216600245</t>
  </si>
  <si>
    <t>663330 Красноярский край город Норильск улица Строителей дом 12   этаж 1, часть  нежилого помещения №2</t>
  </si>
  <si>
    <t>ЮЛ770101216600381</t>
  </si>
  <si>
    <t>660020 Красноярский край город Красноярск улица Мужества дом 10   этаж 1, помещение №3,место ОА-3.1</t>
  </si>
  <si>
    <t>ЮЛ770101216600385</t>
  </si>
  <si>
    <t>660133 Красноярский край город Красноярск улица Партизана Железняка дом 23   этаж 1, часть комнаты №75, место Л1-53</t>
  </si>
  <si>
    <t>ЮЛ770101216600398</t>
  </si>
  <si>
    <t>660078 Красноярский край город Красноярск улица 60 лет Октября дом 48   этаж 1, часть нежилого помещения №2, часть комнаты №21</t>
  </si>
  <si>
    <t>ЮЛ770101216600474</t>
  </si>
  <si>
    <t>660032 Красноярский край город Красноярск улица Белинского дом  8   этаж 1</t>
  </si>
  <si>
    <t>ЮЛ770101216600507</t>
  </si>
  <si>
    <t>660004 Красноярский край город Красноярск проспект им.газеты "Красноярский рабочий" дом 27 строение 78  этаж 1, помещение 51, часть комнаты №4</t>
  </si>
  <si>
    <t>ЮЛ770101216600531</t>
  </si>
  <si>
    <t>660010 Красноярский край город Красноярск улица Академика Вавилова дом 1 строение 39  этаж 1, часть нежилого помещения № 36, часть комнаты № 135</t>
  </si>
  <si>
    <t>ЮЛ770101216600578</t>
  </si>
  <si>
    <t>660111 Красноярский край город Красноярск улица Тельмана дом 30Г   этаж 1, часть нежилого помещения № 2 (а именно комнату № 53)</t>
  </si>
  <si>
    <t>ЮЛ770101216600603</t>
  </si>
  <si>
    <t>663604 Красноярский край город Канск улица 40 лет Октября дом 62 строение 4  помещение 15, этаж 1, часть нежилого помещения торговая точка № 32/1</t>
  </si>
  <si>
    <t>ЮЛ770101216600663</t>
  </si>
  <si>
    <t>660068 Красноярский край город Красноярск переулок Сибирский дом 5а   этаж 1, нежилое помещение № 34</t>
  </si>
  <si>
    <t>ЮЛ770101216600707</t>
  </si>
  <si>
    <t>660017 Красноярский край город Красноярск улица Красной Армии дом 10 строение 4  1 этаж, помещение 23</t>
  </si>
  <si>
    <t>ЮЛ770101216600763</t>
  </si>
  <si>
    <t>660127 Красноярский край город Красноярск улица Мате Залки дом 5   1 этаж, часть комнаты №3</t>
  </si>
  <si>
    <t>ЮЛ770101216600820</t>
  </si>
  <si>
    <t>663305 Красноярский край город Норильск проспект Ленинский дом 12 помещение 121  этаж 1, часть нежилого помещения № 63</t>
  </si>
  <si>
    <t>ЮЛ770101216600920</t>
  </si>
  <si>
    <t>660077 Красноярский край город Красноярск улица Молокова здание 54   этаж 1, часть комнаты № 2</t>
  </si>
  <si>
    <t>ЮЛ770101216600935</t>
  </si>
  <si>
    <t>ЮЛ770100419400207</t>
  </si>
  <si>
    <t>663305 Красноярский край город Норильск Ленинский проспект дом 12   часть помещения 121, 1 этаж</t>
  </si>
  <si>
    <t>ЮЛ770100193500060</t>
  </si>
  <si>
    <t>663319 Красноярский край город Норильск площадь Металлургов дом 10   помещение 5, комната 174</t>
  </si>
  <si>
    <t>ЮЛ770100193500061</t>
  </si>
  <si>
    <t>660028 Красноярский край город Красноярск улица Телевизорная дом 1 строение 90  помещение 2, комнаты 18,40</t>
  </si>
  <si>
    <t>ЮЛ770100193500063</t>
  </si>
  <si>
    <t>660125 Красноярский край город Красноярск улица 9 Мая дом 77   помещение 2, комнаты 367,368</t>
  </si>
  <si>
    <t>ЮЛ770100193500331</t>
  </si>
  <si>
    <t>660133 Красноярский край город Красноярск улица Партизана Железняка дом 23   часть помещения 3, помещение 1-02, комната 79, 1 (первый) этаж</t>
  </si>
  <si>
    <t>ЮЛ770100193500347</t>
  </si>
  <si>
    <t>662150 Красноярский край город Ачинск  дом 41А корпус 1  часть нежилого помещения № 20, этаж 1 (первый)</t>
  </si>
  <si>
    <t>ЮЛ770100193500608</t>
  </si>
  <si>
    <t>660020 Красноярский край город Красноярск улица Мужества дом 10   помещение №А45 частью нежилого помещения №2, этаж 1 (первый)</t>
  </si>
  <si>
    <t>ЮЛ770100193500616</t>
  </si>
  <si>
    <t>660020 Красноярский край город Красноярск улица Дмитрия Мартынова дом 12   часть помещения № 30, 1 этаж</t>
  </si>
  <si>
    <t>ЮЛ770100193500695</t>
  </si>
  <si>
    <t>662547 Красноярский край город Лесосибирск 5 Микрорайон здание 1   помещение 1, этаж 1 (первый)</t>
  </si>
  <si>
    <t>ЮЛ770100193500721</t>
  </si>
  <si>
    <t>663330 Красноярский край город Норильск улица Строителей дом 12</t>
  </si>
  <si>
    <t>ЮЛ770100193500832</t>
  </si>
  <si>
    <t>660125 Красноярский край город Красноярск улица 9 Мая дом 77   помещение 2, комнаты 396, 397, 1 (первый) этаж</t>
  </si>
  <si>
    <t>ЮЛ770100193500851</t>
  </si>
  <si>
    <t>660004 Красноярский край город Красноярск проспект им.газеты "Красноярский рабочий" дом 28 строение 78  часть нежилого помещение 51, часть комнаты № 4, этаж 1 (первый)</t>
  </si>
  <si>
    <t>ЮЛ770100193501024</t>
  </si>
  <si>
    <t>663604 Красноярский край город Канск улица 40 лет Октября здание 62 строение 4  помещение 15, торговая точка №32/1</t>
  </si>
  <si>
    <t>ЮЛ770100193501125</t>
  </si>
  <si>
    <t>660125 Красноярский край город Красноярск улица 9 Мая здание 77   часть помещения 2, комнаты 396,397, 1 (первый) этаж</t>
  </si>
  <si>
    <t>ЮЛ770100193501139</t>
  </si>
  <si>
    <t>663013 Красноярский край территория Аэропорт Красноярск (пгт Емельяново)  строение 100  этаж 3 часть помещ 240</t>
  </si>
  <si>
    <t>ЮЛ160600373100011</t>
  </si>
  <si>
    <t>660025 Красноярский край город Красноярск проспект им.газеты "Красноярский рабочий" дом 89   квартира 32 этаж № 1</t>
  </si>
  <si>
    <t>7743396605</t>
  </si>
  <si>
    <t>ЮЛ7701031819</t>
  </si>
  <si>
    <t>ЮЛ770103181900007</t>
  </si>
  <si>
    <t>660017 Красноярский край город Красноярск улица Дубровинского дом 106   пом.332</t>
  </si>
  <si>
    <t>ИП Жердева Анна Сергеевна</t>
  </si>
  <si>
    <t>780102920487</t>
  </si>
  <si>
    <t>ИП7803001363</t>
  </si>
  <si>
    <t>ИП780300136300008</t>
  </si>
  <si>
    <t>662161 Красноярский край город Ачинск микрорайон 5 дом 5   помещение №129</t>
  </si>
  <si>
    <t>ЮЛ780300131300328</t>
  </si>
  <si>
    <t>663319 Красноярский край город Норильск проспект Ленинский 42</t>
  </si>
  <si>
    <t>ЮЛ780300131300348</t>
  </si>
  <si>
    <t>ЮЛ780300131300350</t>
  </si>
  <si>
    <t>660004 Красноярский край город Красноярск проспект имени газеты "Красноярский рабочий" дом 27</t>
  </si>
  <si>
    <t>ЮЛ780300131300353</t>
  </si>
  <si>
    <t>660064 Красноярский край город Красноярск улица Академика Вавилова 1 стр. 39  часть помещения № 36</t>
  </si>
  <si>
    <t>ЮЛ780300131300354</t>
  </si>
  <si>
    <t>660131 Красноярский край город Красноярск улица Воронова 18</t>
  </si>
  <si>
    <t>ЮЛ780300131300355</t>
  </si>
  <si>
    <t>660022 Красноярский край город Красноярск улица Партизана Железняка 12а  литер А</t>
  </si>
  <si>
    <t>ЮЛ780300131300356</t>
  </si>
  <si>
    <t>660111 Красноярский край город Красноярск улица Тельмана 30г  Лит. Б</t>
  </si>
  <si>
    <t>ЮЛ780300131300357</t>
  </si>
  <si>
    <t>660094 Красноярский край город Красноярск улица Щорса дом 44   часть нежилого помещения № 8</t>
  </si>
  <si>
    <t>ЮЛ780300131300624</t>
  </si>
  <si>
    <t>663340 Красноярский край город Норильск улица Победы дом 1А</t>
  </si>
  <si>
    <t>ЮЛ780300131300660</t>
  </si>
  <si>
    <t>660094 Красноярский край город Красноярск улица Щорса дом 44   пом. 8</t>
  </si>
  <si>
    <t>ЮЛ780300331800028</t>
  </si>
  <si>
    <t>ЮЛ780300331800059</t>
  </si>
  <si>
    <t>662971 Красноярский край город Железногорск проспект Ленинградский здание 55</t>
  </si>
  <si>
    <t>ЮЛ780300308200059</t>
  </si>
  <si>
    <t>660068 Красноярский край город Красноярск переулок Сибирский здание 5А   помещение 29</t>
  </si>
  <si>
    <t>ЮЛ780300308200063</t>
  </si>
  <si>
    <t>660127 Красноярский край город Красноярск улица Мате Залки дом 5</t>
  </si>
  <si>
    <t>ЮЛ780300308200064</t>
  </si>
  <si>
    <t>ЮЛ780300308200065</t>
  </si>
  <si>
    <t>660111 Красноярский край город Красноярск улица Тельмана дом 30г  литер б</t>
  </si>
  <si>
    <t>ЮЛ780300308200066</t>
  </si>
  <si>
    <t>ЮЛ780300308200068</t>
  </si>
  <si>
    <t>ЮЛ780300308200075</t>
  </si>
  <si>
    <t>660028 Красноярский край город Красноярск улица Телевизорная дом 1</t>
  </si>
  <si>
    <t>ЮЛ780300308200231</t>
  </si>
  <si>
    <t>662501 Красноярский край город Сосновоборск улица Ленинского Комсомола дом 4   помещение 1</t>
  </si>
  <si>
    <t>ЮЛ780300308200306</t>
  </si>
  <si>
    <t>662150 Красноярский край город Ачинск микрорайон №6 здание №8А/2</t>
  </si>
  <si>
    <t>ЮЛ780300308200333</t>
  </si>
  <si>
    <t>663604 Красноярский край город Канск улица 40 лет Октября дом 62 строение 4  помещение 75</t>
  </si>
  <si>
    <t>ЮЛ780300308200343</t>
  </si>
  <si>
    <t>663604 Красноярский край город Канск улица 40 лет Октября дом 62 строение 4  помещение 15</t>
  </si>
  <si>
    <t>ЮЛ780300308200344</t>
  </si>
  <si>
    <t>663980 Красноярский край город Бородино улица Ленина здание 45</t>
  </si>
  <si>
    <t>ЮЛ780300308200604</t>
  </si>
  <si>
    <t>660125 Красноярский край город Красноярск улица 9 Мая д. 77   часть нежилого помещения, расположенная на 1 (первом) этаже, площадью 10 кв.м.</t>
  </si>
  <si>
    <t>ЮЛ780300308200640</t>
  </si>
  <si>
    <t>647000 Красноярский край город Дудинка улица Островского дом 8 "А"   часть нежилого помещения в нежилом помещении №10 помещения № 39</t>
  </si>
  <si>
    <t>ЮЛ780300308200914</t>
  </si>
  <si>
    <t>ЮЛ780300308200927</t>
  </si>
  <si>
    <t>663305 Красноярский край город Норильск улица Богдана Хмельницкого дом 1   помещение 1</t>
  </si>
  <si>
    <t>ЮЛ780300308200931</t>
  </si>
  <si>
    <t>660017 Красноярский край город Красноярск проспект Мира дом 85   пом.6</t>
  </si>
  <si>
    <t>ЮЛ780300308200937</t>
  </si>
  <si>
    <t>662547 Красноярский край город Лесосибирск 5 мкр-н дом 3   пом.86</t>
  </si>
  <si>
    <t>ЮЛ780300308200938</t>
  </si>
  <si>
    <t>663319 Красноярский край город Норильск проспект Ленинский дом 42   пом.183</t>
  </si>
  <si>
    <t>ЮЛ780300308200941</t>
  </si>
  <si>
    <t>ЮЛ780300308200948</t>
  </si>
  <si>
    <t>660131 Красноярский край город Красноярск улица Воронова дом 18</t>
  </si>
  <si>
    <t>ЮЛ780300308200959</t>
  </si>
  <si>
    <t>660022 Красноярский край город Красноярск улица Партизана Железняка дом 12 "А"   помещение 57</t>
  </si>
  <si>
    <t>ЮЛ780300308200970</t>
  </si>
  <si>
    <t>663319 Красноярский край город Норильск улица Металлургов дом 10</t>
  </si>
  <si>
    <t>ЮЛ780300308200978</t>
  </si>
  <si>
    <t>662161 Красноярский край город Ачинск  дом 5   пом.№129</t>
  </si>
  <si>
    <t>ЮЛ780300308201032</t>
  </si>
  <si>
    <t>663694 Красноярский край город Зеленогорск улица Песчаная дом 2</t>
  </si>
  <si>
    <t>ЮЛ780300308201038</t>
  </si>
  <si>
    <t>660004 Красноярский край город Красноярск проспект им.газеты "Красноярский рабочий" дом 27 строение 78  часть нежилого помещения №51 в  составе части комнаты №4</t>
  </si>
  <si>
    <t>ЮЛ780300308201043</t>
  </si>
  <si>
    <t>660064 Красноярский край город Красноярск улица Академика Вавилова дом 1 строение 39  часть нежилого помещения площадью 30 кв. м., расположенного в части помещения №36</t>
  </si>
  <si>
    <t>ЮЛ780300308201063</t>
  </si>
  <si>
    <t>660125 Красноярский край город Красноярск улица 9 Мая дом 77   нежилое помещение № 2, комнаты 399, 398</t>
  </si>
  <si>
    <t>ЮЛ780300308201113</t>
  </si>
  <si>
    <t>660125 Красноярский край город Красноярск улица 9 Мая здание 77   часть нежилого помещения №2 часть комнаты 184</t>
  </si>
  <si>
    <t>ЮЛ780300308201206</t>
  </si>
  <si>
    <t>660028 Красноярский край город Красноярск улица Телевизорная дом 1 строение 4  часть помещения №46, комнаты №73,74,75</t>
  </si>
  <si>
    <t>ЮЛ780300308201229</t>
  </si>
  <si>
    <t>663604 Красноярский край город Канск улица 40 лет Октября здание 62 строение 4  помещение 15</t>
  </si>
  <si>
    <t>ЮЛ780301261200055</t>
  </si>
  <si>
    <t>660049 Красноярский край город Красноярск улица Карла Маркса здание 75а   помещение 2 помещение 2-28</t>
  </si>
  <si>
    <t>ЮЛ900403653600005</t>
  </si>
  <si>
    <t>660028 Красноярский край город Красноярск улица Телевизорная дом 1 строение 90  нежилое помещение №2, комната №10, 1 этаж здания</t>
  </si>
  <si>
    <t>ЮЛ770100439200087</t>
  </si>
  <si>
    <t>660125 Красноярский край город Красноярск улица 9 Мая дом 77   пом.№ 2, комнаты № 294,295</t>
  </si>
  <si>
    <t>ЮЛ770100439200088</t>
  </si>
  <si>
    <t>660077 Красноярский край город Красноярск улица Алексеева 49   пом. 133 (офис 9-09)</t>
  </si>
  <si>
    <t>ЮЛ770100029500012</t>
  </si>
  <si>
    <t>660125 Красноярский край город Красноярск улица 9 Мая дом 77   помещение № 2, комнаты 396, 397, 1 (первый) этаж</t>
  </si>
  <si>
    <t>ЮЛ770104000500008</t>
  </si>
  <si>
    <t>Курганская область</t>
  </si>
  <si>
    <t>640000 Курганская область Курган улица Щорса дом 92</t>
  </si>
  <si>
    <t>ИП Гильманов Руслан Альфисович</t>
  </si>
  <si>
    <t>164491473981</t>
  </si>
  <si>
    <t>ИП4507040534</t>
  </si>
  <si>
    <t>ИП450704053400000</t>
  </si>
  <si>
    <t>640002 Курганская область город Курган улица Куйбышева дом 68</t>
  </si>
  <si>
    <t>ОАО ''ЗТД''</t>
  </si>
  <si>
    <t>4501001588</t>
  </si>
  <si>
    <t>ЮЛ4507006852</t>
  </si>
  <si>
    <t>ЮЛ450700685200000</t>
  </si>
  <si>
    <t>640000 Курганская область город Курган улица Ленина дом 11  литера А помещения 1-8</t>
  </si>
  <si>
    <t>ИП Смирнова Лариса Валерьевна</t>
  </si>
  <si>
    <t>450101958829</t>
  </si>
  <si>
    <t>ИП4507000125</t>
  </si>
  <si>
    <t>ИП450700012500000</t>
  </si>
  <si>
    <t>640003 Курганская область город Курган улица Тимофея Невежина дом 3 строение 10  помещение 185</t>
  </si>
  <si>
    <t>ИП Коньков Сергей Леонидович</t>
  </si>
  <si>
    <t>450102366021</t>
  </si>
  <si>
    <t>ИП4507000149</t>
  </si>
  <si>
    <t>ИП450700014900000</t>
  </si>
  <si>
    <t>640023 Курганская область город Курган 3-й микрорайон дом 27/5</t>
  </si>
  <si>
    <t>ИП Меньщиков Александр Лифантьевич</t>
  </si>
  <si>
    <t>450102381414</t>
  </si>
  <si>
    <t>ИП4507017300</t>
  </si>
  <si>
    <t>ИП450701730000002</t>
  </si>
  <si>
    <t>640002 Курганская область город Курган улица Гоголя дом 107/3   1-5</t>
  </si>
  <si>
    <t>ИП450701730000003</t>
  </si>
  <si>
    <t>640018 Курганская область город Курган улица Ленина дом 24/4   1-3</t>
  </si>
  <si>
    <t>ИП450701730000004</t>
  </si>
  <si>
    <t>640023 Курганская область город Курган 3-й микрорайон дом 30   часть помещения 1</t>
  </si>
  <si>
    <t>ИП450701730000005</t>
  </si>
  <si>
    <t>640003 Курганская область город Курган улица Тимофея Невежина дом 3 строение 10  помещение 77</t>
  </si>
  <si>
    <t>ИП450701730000007</t>
  </si>
  <si>
    <t>640003 Курганская область город Курган улица Пушкина дом 25</t>
  </si>
  <si>
    <t>ИП450701730000008</t>
  </si>
  <si>
    <t>640023 Курганская область город Курган 2-й микрорайон дом 17   часть нежилого помещения 42</t>
  </si>
  <si>
    <t>ИП450701730000010</t>
  </si>
  <si>
    <t>640018 Курганская область город Курган улица Куйбышева дом 72/3   3-7</t>
  </si>
  <si>
    <t>ИП450701730000011</t>
  </si>
  <si>
    <t>640003 Курганская область город Курган улица Коли Мяготина дом 8   359-360</t>
  </si>
  <si>
    <t>ИП450701730000012</t>
  </si>
  <si>
    <t>640003 Курганская область город Курган улица Рихарда Зорге дом 41   помещение 2.04</t>
  </si>
  <si>
    <t>ИП450701730000013</t>
  </si>
  <si>
    <t>640027 Курганская область город Курган проспект Машиностроителей дом 2 строение В</t>
  </si>
  <si>
    <t>ИП450701730000014</t>
  </si>
  <si>
    <t>640002 Курганская область город Курган улица Коли Мяготина дом 117/2   1-7</t>
  </si>
  <si>
    <t>ИП450701730000015</t>
  </si>
  <si>
    <t>640003 Курганская область город Курган улица Коли Мяготина дом 83/7   1-7</t>
  </si>
  <si>
    <t>ИП450701730000016</t>
  </si>
  <si>
    <t>640001 Курганская область город Курган улица Коли Мяготина дом 87   16-24</t>
  </si>
  <si>
    <t>ИП450701730000017</t>
  </si>
  <si>
    <t>640000 Курганская область Курган Пролетарская 57   2/1</t>
  </si>
  <si>
    <t>ИП450701730000018</t>
  </si>
  <si>
    <t>640026 Курганская область город Курган улица Красина дом 61/3</t>
  </si>
  <si>
    <t>ИП Гольдберг Наталья Павловна</t>
  </si>
  <si>
    <t>450102514495</t>
  </si>
  <si>
    <t>ИП4507006406</t>
  </si>
  <si>
    <t>ИП450700640600000</t>
  </si>
  <si>
    <t>640018 Курганская область город Курган улица Ленина дом 24/2</t>
  </si>
  <si>
    <t>ИП450700640600003</t>
  </si>
  <si>
    <t>640020 Курганская область город Курган улица Советская дом 24/V</t>
  </si>
  <si>
    <t>ИП Моторина Елена Петровна</t>
  </si>
  <si>
    <t>450103435550</t>
  </si>
  <si>
    <t>ИП4507004794</t>
  </si>
  <si>
    <t>ИП450700479400000</t>
  </si>
  <si>
    <t>640022 Курганская область город Курган улица Бурова-Петрова дом 60   помещение V</t>
  </si>
  <si>
    <t>ИП450700479400002</t>
  </si>
  <si>
    <t>640023 Курганская область город Курган мкр. 3-й дом 37/V</t>
  </si>
  <si>
    <t>ИП450700479400003</t>
  </si>
  <si>
    <t>640003 Курганская область город Курган улица Коли Мяготина дом 56А   нежилое помещение № 31</t>
  </si>
  <si>
    <t>ООО "ФКЦ "ЗОЛОТОЕ ПАРТНЕРСТВО"</t>
  </si>
  <si>
    <t>4501037714</t>
  </si>
  <si>
    <t>ЮЛ4507006853</t>
  </si>
  <si>
    <t>ЮЛ450700685300000</t>
  </si>
  <si>
    <t>640002 Курганская область город Курган улица Гоголя дом 53/1   помещения №№1-5, 10</t>
  </si>
  <si>
    <t>ЮЛ450700685300001</t>
  </si>
  <si>
    <t>640020 Курганская область город Курган улица Ленина дом 32 I</t>
  </si>
  <si>
    <t>ЮЛ450700685300002</t>
  </si>
  <si>
    <t>640018 Курганская область город Курган улица Ленина дом 6/1  литер А помещения №№ 6, 7а, 10, 11</t>
  </si>
  <si>
    <t>ЮЛ450700685300003</t>
  </si>
  <si>
    <t>640018 Курганская область город Курган улица Куйбышева дом 70/2  Литер А1 помещения №№1-7</t>
  </si>
  <si>
    <t>ЮЛ450700685300004</t>
  </si>
  <si>
    <t>640018 Курганская область город Курган улица Ленина дом 14   нежилое помещение</t>
  </si>
  <si>
    <t>ИП Щербина Елена Александровна</t>
  </si>
  <si>
    <t>450104060504</t>
  </si>
  <si>
    <t>ИП4507003160</t>
  </si>
  <si>
    <t>ИП450700316000000</t>
  </si>
  <si>
    <t>640014 Курганская область город Курган улица Промышленная дом 33</t>
  </si>
  <si>
    <t>ИП Гомзяков Михаил Юрьевич</t>
  </si>
  <si>
    <t>450104238427</t>
  </si>
  <si>
    <t>ИП4507000102</t>
  </si>
  <si>
    <t>ИП450700010200000</t>
  </si>
  <si>
    <t>640000 Курганская область город Курган улица Ленина дом 24/3</t>
  </si>
  <si>
    <t>4501054220</t>
  </si>
  <si>
    <t>ЮЛ4507003192</t>
  </si>
  <si>
    <t>ЮЛ450700319200000</t>
  </si>
  <si>
    <t>640023 Курганская область город Курган 3-й микрорайон дом 34-а   помещения 10, 21, 22, 31, 32</t>
  </si>
  <si>
    <t>ЮЛ450700319200001</t>
  </si>
  <si>
    <t>640018 Курганская область город Курган улица Ленина дом 14   помещение /6</t>
  </si>
  <si>
    <t>ЮЛ450700319200002</t>
  </si>
  <si>
    <t>640001 Курганская область город Курган улица Коли Мяготина дом 64/1</t>
  </si>
  <si>
    <t>ООО ЛОМБАРД "ЗОЛОТНИК"</t>
  </si>
  <si>
    <t>4501145780</t>
  </si>
  <si>
    <t>ЮЛ4507007867</t>
  </si>
  <si>
    <t>ЮЛ450700786700000</t>
  </si>
  <si>
    <t>640020 Курганская область город Курган улица Куйбышева дом 36   офис 220а</t>
  </si>
  <si>
    <t>ООО "ЛОМБАРД СПЕКТР"</t>
  </si>
  <si>
    <t>4501231567</t>
  </si>
  <si>
    <t>ЮЛ4507000889</t>
  </si>
  <si>
    <t>ЮЛ450700088900000</t>
  </si>
  <si>
    <t>640022 Курганская область город Курган улица Бурова-Петрова дом 59   помещение 99</t>
  </si>
  <si>
    <t>ИП Калюжная Татьяна Ивановна</t>
  </si>
  <si>
    <t>450126641527</t>
  </si>
  <si>
    <t>ИП4507040520</t>
  </si>
  <si>
    <t>ИП450704052000000</t>
  </si>
  <si>
    <t>640001 Курганская область город Курган ул Коли Мяготина  дом 64-4</t>
  </si>
  <si>
    <t>ИП Тихонов Игорь Васильевич</t>
  </si>
  <si>
    <t>450133141116</t>
  </si>
  <si>
    <t>ИП4507008585</t>
  </si>
  <si>
    <t>ИП450700858500000</t>
  </si>
  <si>
    <t>640027 Курганская область город Курган улица Некрасова дом 9А</t>
  </si>
  <si>
    <t>ИП450700858500002</t>
  </si>
  <si>
    <t>640018 Курганская область город Курган улица Савельева дом 35   помещение 3</t>
  </si>
  <si>
    <t>ИП Мишагин Роман Владиславович</t>
  </si>
  <si>
    <t>450139108764</t>
  </si>
  <si>
    <t>ИП4507007591</t>
  </si>
  <si>
    <t>ИП450700759100000</t>
  </si>
  <si>
    <t>641882 Курганская область город Шадринск Февральская 56   нежилое помещение III</t>
  </si>
  <si>
    <t>ИП Кропачев Владимир Анатольевич</t>
  </si>
  <si>
    <t>450200221592</t>
  </si>
  <si>
    <t>ИП4507008122</t>
  </si>
  <si>
    <t>ИП450700812200000</t>
  </si>
  <si>
    <t>641870 Курганская область город Шадринск улица Комсомольская дом 15</t>
  </si>
  <si>
    <t>ИП Кошурников Александр Сергеевич</t>
  </si>
  <si>
    <t>450200315709</t>
  </si>
  <si>
    <t>ИП4507000309</t>
  </si>
  <si>
    <t>ИП450700030900000</t>
  </si>
  <si>
    <t>641700 Курганская область город Катайск улица Ленина дом 245</t>
  </si>
  <si>
    <t>ИП450700030900001</t>
  </si>
  <si>
    <t>641876 Курганская область город Шадринск улица Октябрьская дом 104</t>
  </si>
  <si>
    <t>ИП Ерастова Наталья Владимировна</t>
  </si>
  <si>
    <t>450200374831</t>
  </si>
  <si>
    <t>ИП4507012256</t>
  </si>
  <si>
    <t>ИП450701225600000</t>
  </si>
  <si>
    <t>641870 Курганская область город Шадринск улица Комсомольская дом 25   помещение 7</t>
  </si>
  <si>
    <t>ИП Кошурникова Татьяна Владимировна</t>
  </si>
  <si>
    <t>450204359810</t>
  </si>
  <si>
    <t>ИП4507000341</t>
  </si>
  <si>
    <t>ИП450700034100000</t>
  </si>
  <si>
    <t>641730 Курганская область город Далматово улица Ленина дом 58   2 этаж</t>
  </si>
  <si>
    <t>ИП Бычкова Татьяна Владимировна</t>
  </si>
  <si>
    <t>450600054177</t>
  </si>
  <si>
    <t>ИП4507007857</t>
  </si>
  <si>
    <t>ИП450700785700000</t>
  </si>
  <si>
    <t>641430 Курганская область город Куртамыш  проспект Ленина дом 10А</t>
  </si>
  <si>
    <t>ИП Малькова Елена Михайловна</t>
  </si>
  <si>
    <t>451101483006</t>
  </si>
  <si>
    <t>ИП4507011101</t>
  </si>
  <si>
    <t>ИП450701110100000</t>
  </si>
  <si>
    <t>641150 Курганская область село Целинное улица Бухарова дом 43</t>
  </si>
  <si>
    <t>ИП450701110100002</t>
  </si>
  <si>
    <t>641200 Курганская область рабочий поселок Юргамыш улица Ленина дом 47   квартира 2</t>
  </si>
  <si>
    <t>ИП450701110100003</t>
  </si>
  <si>
    <t>640020 Курганская область город Курган улица Красина дом 47/III</t>
  </si>
  <si>
    <t>ИП450701110100007</t>
  </si>
  <si>
    <t>641500 Курганская область рабочий поселок Лебяжье улица Пушкина дом 13/1</t>
  </si>
  <si>
    <t>ИП Тихонова Наталья Александровна</t>
  </si>
  <si>
    <t>451201913767</t>
  </si>
  <si>
    <t>ИП4507035985</t>
  </si>
  <si>
    <t>ИП450703598500000</t>
  </si>
  <si>
    <t>641530 Курганская область село Мокроусово улица Володи Долгих дом 5   Престиж</t>
  </si>
  <si>
    <t>ИП Мандрыгин Денис Сергеевич</t>
  </si>
  <si>
    <t>451500043832</t>
  </si>
  <si>
    <t>ИП4507037806</t>
  </si>
  <si>
    <t>ИП450703780600000</t>
  </si>
  <si>
    <t>641920 Курганская область Рабочий поселок Каргаполье Улица Пушкина Дом 6</t>
  </si>
  <si>
    <t>ИП Водянникова Ольга Ивановна</t>
  </si>
  <si>
    <t>452400003901</t>
  </si>
  <si>
    <t>ИП4507013706</t>
  </si>
  <si>
    <t>ИП450701370600000</t>
  </si>
  <si>
    <t>641100 Курганская область город Шумиха улица Ленина дом 110</t>
  </si>
  <si>
    <t>ИП Банников Юрий Владимирович</t>
  </si>
  <si>
    <t>452400021192</t>
  </si>
  <si>
    <t>ИП4507015721</t>
  </si>
  <si>
    <t>ИП450701572100000</t>
  </si>
  <si>
    <t>641100 Курганская область город Шумиха улица Ленина дом 22</t>
  </si>
  <si>
    <t>ИП Казанцева Юлия Винеровна</t>
  </si>
  <si>
    <t>452402483918</t>
  </si>
  <si>
    <t>ИП4507018373</t>
  </si>
  <si>
    <t>ИП450701837300000</t>
  </si>
  <si>
    <t>641010 Курганская область город Щучье улица Советская дом 7/II</t>
  </si>
  <si>
    <t>ИП Проскурнин Сергей Александрович</t>
  </si>
  <si>
    <t>452500048060</t>
  </si>
  <si>
    <t>ИП4507004319</t>
  </si>
  <si>
    <t>ИП450700431900000</t>
  </si>
  <si>
    <t>640003 Курганская область город Курган улица Коли Мяготина дом 8</t>
  </si>
  <si>
    <t>ИП500100445500048</t>
  </si>
  <si>
    <t>640018 Курганская область город Курган улица Куйбышева дом 72б</t>
  </si>
  <si>
    <t>ООО "ЛОМБАРД ВОСТОК"</t>
  </si>
  <si>
    <t>6382099141</t>
  </si>
  <si>
    <t>ЮЛ6306037265</t>
  </si>
  <si>
    <t>ЮЛ630603726500001</t>
  </si>
  <si>
    <t>640018 Курганская область город Курган улица Пролетарская дом 35   помещение IV</t>
  </si>
  <si>
    <t>ЮЛ630603726500002</t>
  </si>
  <si>
    <t>640001 Курганская область город Курган улица Коли Мяготина дом 91   помещение III</t>
  </si>
  <si>
    <t>ЮЛ630603726500003</t>
  </si>
  <si>
    <t>640027 Курганская область город Курган проспект Машиностроителей дом 4   помещение I</t>
  </si>
  <si>
    <t>ЮЛ630603726500004</t>
  </si>
  <si>
    <t>640018 Курганская область город Курган улица Куйбышева дом 105   нежилые помещения№ 7</t>
  </si>
  <si>
    <t>ООО ЛОМБАРД "ГОЛД КРЕДО"</t>
  </si>
  <si>
    <t>7446025816</t>
  </si>
  <si>
    <t>ЮЛ7407007472</t>
  </si>
  <si>
    <t>ЮЛ740700747200002</t>
  </si>
  <si>
    <t>640027 Курганская область город Курган проспект Машиностроителей дом 2</t>
  </si>
  <si>
    <t>ЮЛ740700747200028</t>
  </si>
  <si>
    <t>640014 Курганская область город Курган улица Карбышева дом 3   помещение 3</t>
  </si>
  <si>
    <t>ЮЛ740700747200029</t>
  </si>
  <si>
    <t>641100 Курганская область город Шумиха улица Ленина дом 66</t>
  </si>
  <si>
    <t>ИП Баев Сергей Владимирович</t>
  </si>
  <si>
    <t>744701246702</t>
  </si>
  <si>
    <t>ИП7407010611</t>
  </si>
  <si>
    <t>ИП740701061100003</t>
  </si>
  <si>
    <t>641040 Курганская область рабочий поселок Мишкино улица Телеграфная дом 1</t>
  </si>
  <si>
    <t>ИП740701061100004</t>
  </si>
  <si>
    <t>641882 Курганская область город Шадринск улица Февральская дом 56</t>
  </si>
  <si>
    <t>ИП Кропачева Дина Николаевна</t>
  </si>
  <si>
    <t>744842576943</t>
  </si>
  <si>
    <t>ИП6607036812</t>
  </si>
  <si>
    <t>ИП660703681200001</t>
  </si>
  <si>
    <t>640003 Курганская область город Курган улица Тимофея Невежина дом 3 строение 10  часть нежилого помещения №185 (30 кв.м.)</t>
  </si>
  <si>
    <t>ИП Ефимова Людмила Вячеславовна</t>
  </si>
  <si>
    <t>744916649268</t>
  </si>
  <si>
    <t>ИП7407007552</t>
  </si>
  <si>
    <t>ИП740700755200005</t>
  </si>
  <si>
    <t>640003 Курганская область город Курган улица Тимофея Невежина дом 3 строение 10  часть нежилого помещения 185 (21 кв.м.)</t>
  </si>
  <si>
    <t>ИП740700755200006</t>
  </si>
  <si>
    <t>640023 Курганская область город Курган 2-ой микрорайон 17   часть помещения № 42</t>
  </si>
  <si>
    <t>ИП740700755200013</t>
  </si>
  <si>
    <t>640003 Курганская область город Курган улица Пушкина дом 25   90 пом</t>
  </si>
  <si>
    <t>ИП740700755200020</t>
  </si>
  <si>
    <t>640003 Курганская область город Курган улица Коли Мяготина дом 8   помещение № 809</t>
  </si>
  <si>
    <t>ИП740700755200023</t>
  </si>
  <si>
    <t>ИП740700755200027</t>
  </si>
  <si>
    <t>641700 Курганская область город Катайск улица Ленина дом 223/2</t>
  </si>
  <si>
    <t>ООО "КОЛЬЕ"</t>
  </si>
  <si>
    <t>7452072740</t>
  </si>
  <si>
    <t>ЮЛ7407002126</t>
  </si>
  <si>
    <t>ЮЛ740700212600006</t>
  </si>
  <si>
    <t>640001 Курганская область город Курган улица Коли Мяготина дом 89</t>
  </si>
  <si>
    <t>ЮЛ740700212600014</t>
  </si>
  <si>
    <t>641870 Курганская область город Шадринск улица Комсомольская дом 19</t>
  </si>
  <si>
    <t>ЮЛ740700212600015</t>
  </si>
  <si>
    <t>640002 Курганская область город Курган улица Ленина дом 19   помещение 5</t>
  </si>
  <si>
    <t>ЮЛ770100201500554</t>
  </si>
  <si>
    <t>640003 Курганская область город Курган улица Тимофея Невежина дом 3 строение 10  этаж 1, часть нежилого помещения № 185</t>
  </si>
  <si>
    <t>ЮЛ770101216600420</t>
  </si>
  <si>
    <t>640003 Курганская область город Курган улица Коли Мяготина дом 8   этаж 1, помещение №14</t>
  </si>
  <si>
    <t>ЮЛ770101216600529</t>
  </si>
  <si>
    <t>641870 Курганская область город Шадринск улица Комсомольская дом 16 строение 3  этаж 1</t>
  </si>
  <si>
    <t>ЮЛ770101216600530</t>
  </si>
  <si>
    <t>640023 Курганская область город Курган  дом 17   этаж 1, часть нежилого помещения №42</t>
  </si>
  <si>
    <t>ЮЛ770101216600643</t>
  </si>
  <si>
    <t>640018 Курганская область город Курган улица Куйбышева дом 72б   1 этаж</t>
  </si>
  <si>
    <t>ЮЛ770100193500407</t>
  </si>
  <si>
    <t>640003 Курганская область город Курган улица Коли Мяготина дом 8   помещение № 784</t>
  </si>
  <si>
    <t>ЮЛ770100193500409</t>
  </si>
  <si>
    <t>ЮЛ770100193500989</t>
  </si>
  <si>
    <t>640018 Курганская область город Курган улица Куйбышева дом 105   часть нежилых помещений № 2 и № 3, часть пом. № 33</t>
  </si>
  <si>
    <t>ЮЛ780300131300161</t>
  </si>
  <si>
    <t>640007 Курганская область город Курган проспект Машиностроителей д.2/IV</t>
  </si>
  <si>
    <t>ЮЛ780300131300162</t>
  </si>
  <si>
    <t>640018 Курганская область город Курган улица Куйбышева дом 105</t>
  </si>
  <si>
    <t>ЮЛ780300131300194</t>
  </si>
  <si>
    <t>640018 Курганская область город Курган улица Куйбышева дом 105   часть нежилого помещения № 32</t>
  </si>
  <si>
    <t>ЮЛ780300131300195</t>
  </si>
  <si>
    <t>640018 Курганская область город Курган улица Ленина 30  лит.А нежилые помещения № 5,8,9</t>
  </si>
  <si>
    <t>ЮЛ780300131300481</t>
  </si>
  <si>
    <t>ЮЛ780300308200481</t>
  </si>
  <si>
    <t>640003 Курганская область город Курган улица Тимофея Невежина дом 3 строение 10  часть помещения № 125</t>
  </si>
  <si>
    <t>ЮЛ780300308200629</t>
  </si>
  <si>
    <t>640018 Курганская область город Курган улица Ленина дом 30   нежилые помещения № 2,3,4, часть нежилого помещения № 2а, к/н 45:25:070310:4176, нежилые помещения №№1,6,7,10,11, к/н 45:25:070310:4175</t>
  </si>
  <si>
    <t>ЮЛ780300308200911</t>
  </si>
  <si>
    <t>ЮЛ780300308200912</t>
  </si>
  <si>
    <t>641882 Курганская область город Шадринск улица Комсомольская дом 22</t>
  </si>
  <si>
    <t>ЮЛ780300308200915</t>
  </si>
  <si>
    <t>640018 Курганская область город Курган улица Куйбышева дом 105   часть нежилых помещений №2-3</t>
  </si>
  <si>
    <t>ЮЛ780300308200916</t>
  </si>
  <si>
    <t>ЮЛ780300308200925</t>
  </si>
  <si>
    <t>640027 Курганская область город Курган улица  Машиностроителей дом 2\IV</t>
  </si>
  <si>
    <t>ЮЛ780300308200926</t>
  </si>
  <si>
    <t>640023 Курганская область город Курган 2 мкрн. дом 17</t>
  </si>
  <si>
    <t>ЮЛ780300308200994</t>
  </si>
  <si>
    <t>640003 Курганская область город Курган улица Коли Мяготина дом 83/IV</t>
  </si>
  <si>
    <t>ЮЛ780300308201232</t>
  </si>
  <si>
    <t>Курская область</t>
  </si>
  <si>
    <t>305004 Курская область город Курск улица Ленина дом 65   помещение VII здание литер А</t>
  </si>
  <si>
    <t>ЮЛ310100216200002</t>
  </si>
  <si>
    <t>305001 Курская область город Курск улица Дзержинского здание 25   литер Б помещение №18 этаж 1</t>
  </si>
  <si>
    <t>ЮЛ310100216200003</t>
  </si>
  <si>
    <t>305040 Курская область город Курск улица Студенческая дом 1   этаж 1</t>
  </si>
  <si>
    <t>ЮЛ310100216200008</t>
  </si>
  <si>
    <t>305000 Курская область город Курск улица Ленина дом 30   1 этаж, нежилые помещения 135, 135а</t>
  </si>
  <si>
    <t>ЮЛ310100189400002</t>
  </si>
  <si>
    <t>305000 Курская область город Курск улица Карла Маркса дом 68   1 этаж, нежилое помещение 247</t>
  </si>
  <si>
    <t>ЮЛ310100189400003</t>
  </si>
  <si>
    <t>307179 Курская область город Железногорск улица Воинов-интернационалистов дом 18   Гипермаркет "Линия", этаж 1, помещение № 13</t>
  </si>
  <si>
    <t>ИП320101991400003</t>
  </si>
  <si>
    <t>307170 Курская область город Железногорск улица Ленина дом 50-А   этаж 1</t>
  </si>
  <si>
    <t>ИП320101991400004</t>
  </si>
  <si>
    <t>305029 Курская область город Курск улица Карла Маркса дом 68   этаж 1</t>
  </si>
  <si>
    <t>ИП320101991400006</t>
  </si>
  <si>
    <t>305029 Курская область город Курск улица Карла Маркса здание 68   1 этаж "Торговое место №54а"</t>
  </si>
  <si>
    <t>ИП320101991400016</t>
  </si>
  <si>
    <t>305000 Курская область город Курск улица Ленина здание 30   1 этаж Здания ТЦ "Пушкинский"</t>
  </si>
  <si>
    <t>ИП320101991400017</t>
  </si>
  <si>
    <t>307170 Курская область город Железногорск улица Воинов-Интернационалистов дом 18  литер Б комната 61</t>
  </si>
  <si>
    <t>ООО "АРСЕНАЛЪ"</t>
  </si>
  <si>
    <t>4606001754</t>
  </si>
  <si>
    <t>ЮЛ4601007558</t>
  </si>
  <si>
    <t>ЮЛ460100755800000</t>
  </si>
  <si>
    <t>306230 Курская область город Обоянь улица Ленина дом 34 Б</t>
  </si>
  <si>
    <t>ООО "ГОЛД И КО"</t>
  </si>
  <si>
    <t>4616007219</t>
  </si>
  <si>
    <t>ЮЛ4601015212</t>
  </si>
  <si>
    <t>ЮЛ460101521200000</t>
  </si>
  <si>
    <t>306200 Курская область рабочий поселок Пристень Ленина 4 а</t>
  </si>
  <si>
    <t>ИП Нелидова Татьяна Юрьевна</t>
  </si>
  <si>
    <t>461901426317</t>
  </si>
  <si>
    <t>ИП4601016111</t>
  </si>
  <si>
    <t>ИП460101611100000</t>
  </si>
  <si>
    <t>305029 Курская область город Курск улица Карла Маркса дом 68   торговое место части помещения №174, 1 этаж</t>
  </si>
  <si>
    <t>ИП Лукьянцева Ева Викторовна</t>
  </si>
  <si>
    <t>462201301787</t>
  </si>
  <si>
    <t>ИП4601032786</t>
  </si>
  <si>
    <t>ИП460103278600000</t>
  </si>
  <si>
    <t>306230 Курская область город Обоянь улица Ленина дом 37   Помещение 2</t>
  </si>
  <si>
    <t>ИП Шевкунов Александр Алексеевич</t>
  </si>
  <si>
    <t>462301913952</t>
  </si>
  <si>
    <t>ИП4601019107</t>
  </si>
  <si>
    <t>ИП460101910700002</t>
  </si>
  <si>
    <t>307370 Курская область город Рыльск улица Дзержинского дом 28</t>
  </si>
  <si>
    <t>ИП460101910700006</t>
  </si>
  <si>
    <t>307750 Курская область город Льгов улица Черняховского дом 25/32</t>
  </si>
  <si>
    <t>ИП460101910700007</t>
  </si>
  <si>
    <t>306000 Курская область рабочий поселок Поныри улица Почтовая дом 22</t>
  </si>
  <si>
    <t>ИП460101910700009</t>
  </si>
  <si>
    <t>307100 Курская область город Фатеж улица Загородняя дом 24а</t>
  </si>
  <si>
    <t>ИП460101910700010</t>
  </si>
  <si>
    <t>306200 Курская область рабочий поселок Пристень улица Ленина дом 1</t>
  </si>
  <si>
    <t>ИП460101910700011</t>
  </si>
  <si>
    <t>306120 Курская область рабочий поселок Солнцево улица Ленина здание 40а</t>
  </si>
  <si>
    <t>ИП460101910700012</t>
  </si>
  <si>
    <t>305004 Курская область город Курск улица Ленина дом 63   помещение 2</t>
  </si>
  <si>
    <t>ИП460101910700013</t>
  </si>
  <si>
    <t>306020 Курская область поселок Золотухино улица Почтовая дом 12</t>
  </si>
  <si>
    <t>ИП460101910700014</t>
  </si>
  <si>
    <t>307060 Курская область поселок Тим улица Максима Горького дом 13</t>
  </si>
  <si>
    <t>ИП Авдеев Николай Александрович</t>
  </si>
  <si>
    <t>462400218501</t>
  </si>
  <si>
    <t>ИП4601032992</t>
  </si>
  <si>
    <t>ИП460103299200000</t>
  </si>
  <si>
    <t>305001 Курская область город Курск улица Дзержинского дом 25   1 этаж</t>
  </si>
  <si>
    <t>ИП Мищенко Владимир Алексеевич</t>
  </si>
  <si>
    <t>462900990410</t>
  </si>
  <si>
    <t>ИП4601000986</t>
  </si>
  <si>
    <t>ИП460100098600000</t>
  </si>
  <si>
    <t>305040 Курская область город Курск улица Студенческая дом 1   1 этаж ТЦ</t>
  </si>
  <si>
    <t>ИП460100098600001</t>
  </si>
  <si>
    <t>305000 Курская область город Курск улица Ленина дом 31</t>
  </si>
  <si>
    <t>ИП Кузьмина Елена Вячеславовна</t>
  </si>
  <si>
    <t>462901476260</t>
  </si>
  <si>
    <t>ИП4601032001</t>
  </si>
  <si>
    <t>ИП460103200100000</t>
  </si>
  <si>
    <t>305004 Курская область город Курск улица Карла Маркса дом 6   1 этаж, помещение № 101</t>
  </si>
  <si>
    <t>ИП Никулин Константин Николаевич</t>
  </si>
  <si>
    <t>463000800354</t>
  </si>
  <si>
    <t>ИП4601005963</t>
  </si>
  <si>
    <t>ИП460100596300000</t>
  </si>
  <si>
    <t>305029 Курская область город Курск улица Карла Маркса дом 10</t>
  </si>
  <si>
    <t>ИП Новицкая Наталья Владимировна</t>
  </si>
  <si>
    <t>463200165501</t>
  </si>
  <si>
    <t>ИП4601012347</t>
  </si>
  <si>
    <t>ИП460101234700000</t>
  </si>
  <si>
    <t>305007 Курская область город Курск улица Сумская дом 44   2 этаж</t>
  </si>
  <si>
    <t>ИП Панькова Вера Петровна</t>
  </si>
  <si>
    <t>463200709800</t>
  </si>
  <si>
    <t>ИП4601036867</t>
  </si>
  <si>
    <t>ИП460103686700000</t>
  </si>
  <si>
    <t>305000 Курская область город Курск улица К. Маркса дом 59   2 этаж, часть нежилого помещения (комнаты) № 84</t>
  </si>
  <si>
    <t>ИП460103686700001</t>
  </si>
  <si>
    <t>305000 Курская область город Курск улица Ленина дом 30 ТРЦ "Пушкинский"  Помещение №134</t>
  </si>
  <si>
    <t>ИП Калиновская Ирина Николаевна</t>
  </si>
  <si>
    <t>463202924867</t>
  </si>
  <si>
    <t>ИП4601012683</t>
  </si>
  <si>
    <t>ИП460101268300000</t>
  </si>
  <si>
    <t>305000 Курская область город Курск улица Ленина дом 30 ТРЦ "Пушкинский"  помещение № 133</t>
  </si>
  <si>
    <t>ИП460101268300002</t>
  </si>
  <si>
    <t>305004 Курская область город Курск улица Карла Маркса дом 6 ТРЦ "Central park"  помещение № 31</t>
  </si>
  <si>
    <t>ИП460101268300003</t>
  </si>
  <si>
    <t>305004 Курская область город Курск улица Карла Маркса дом 6 ТРЦ "Central Park"  помещение № 89</t>
  </si>
  <si>
    <t>ИП460101268300004</t>
  </si>
  <si>
    <t>305040 Курская область город Курск улица Студенческая дом 1   Помещение 1, 1 этаж (комнаты №82, 82а</t>
  </si>
  <si>
    <t>ИП460101268300005</t>
  </si>
  <si>
    <t>307100 Курская область город Фатеж улица Карла Маркса дом 62А</t>
  </si>
  <si>
    <t>ИП Поздняков Иван Иванович</t>
  </si>
  <si>
    <t>463204658699</t>
  </si>
  <si>
    <t>ИП4601008806</t>
  </si>
  <si>
    <t>ИП460100880600000</t>
  </si>
  <si>
    <t>307250 Курская область город Курчатов улица Энергетиков дом 60   торговое помещение № 33</t>
  </si>
  <si>
    <t>ООО Ломбард "Жемчужина"</t>
  </si>
  <si>
    <t>4632066412</t>
  </si>
  <si>
    <t>ЮЛ4601007267</t>
  </si>
  <si>
    <t>ЮЛ460100726700001</t>
  </si>
  <si>
    <t>305018 Курская область город Курск улица Харьковская дом 3   часть нежилого помещения, место у эскалатора</t>
  </si>
  <si>
    <t>ЮЛ460100726700015</t>
  </si>
  <si>
    <t>305029 Курская область город Курск улица Карла Маркса дом 68   нежилое помещение № 59, торговый павильон № 22, 1 А этаж</t>
  </si>
  <si>
    <t>ЮЛ460100726700021</t>
  </si>
  <si>
    <t>307750 Курская область город Льгов улица Гагарина дом 5А</t>
  </si>
  <si>
    <t>ИП Шестаков Олег Владимирович</t>
  </si>
  <si>
    <t>463209127571</t>
  </si>
  <si>
    <t>ИП4601004191</t>
  </si>
  <si>
    <t>ИП460100419100000</t>
  </si>
  <si>
    <t>305023 Курская область город Курск улица Энгельса дом 70   нежилое помещение № 11 (павильон № 4)</t>
  </si>
  <si>
    <t>ИП460100419100001</t>
  </si>
  <si>
    <t>307200 Курская область поселок городского типа Прямицыно улица Октябрьская дом 120Б   павильон № 8</t>
  </si>
  <si>
    <t>ИП460100419100003</t>
  </si>
  <si>
    <t>305018 Курская область город Курск улица Харьковская дом 3   нежилое помещение № 36</t>
  </si>
  <si>
    <t>ИП460100419100004</t>
  </si>
  <si>
    <t>307750 Курская область город Льгов улица К.Маркса дом 4/33</t>
  </si>
  <si>
    <t>ИП460100419100005</t>
  </si>
  <si>
    <t>305004 Курская область город Курск улица Челюскинцев дом 23  Литер А офис 4</t>
  </si>
  <si>
    <t>ООО "ЛОМБАРД РАНТЬЕ"</t>
  </si>
  <si>
    <t>4632115130</t>
  </si>
  <si>
    <t>ЮЛ4601007042</t>
  </si>
  <si>
    <t>ЮЛ460100704200000</t>
  </si>
  <si>
    <t>305018 Курская область город Курск проспект Кулакова дом 9   офис 6</t>
  </si>
  <si>
    <t>ЮЛ460100704200002</t>
  </si>
  <si>
    <t>305029 Курская область город Курск улица Карла Маркса дом 62/21 литер А  офис 204, помещения 4, 4а, 4б, 4в</t>
  </si>
  <si>
    <t>ООО "ЛОМБАРД "КОШЕЛЁК"</t>
  </si>
  <si>
    <t>4632180884</t>
  </si>
  <si>
    <t>ЮЛ4601002680</t>
  </si>
  <si>
    <t>ЮЛ460100268000000</t>
  </si>
  <si>
    <t>306440 Курская область поселок городского типа Черемисиново улица Советская дом 1а</t>
  </si>
  <si>
    <t>ИП460103958400001</t>
  </si>
  <si>
    <t>306530 Курская область город Щигры улица Красная дом 1д</t>
  </si>
  <si>
    <t>ИП460103958400003</t>
  </si>
  <si>
    <t>306530 Курская область город Щигры улица Красная дом 4</t>
  </si>
  <si>
    <t>ИП460103958400004</t>
  </si>
  <si>
    <t>306600 Курская область рабочий поселок Кшенский улица Ленина дом 43/1</t>
  </si>
  <si>
    <t>ИП460103958400007</t>
  </si>
  <si>
    <t>306700 Курская область рабочий поселок Касторное улица Ленина дом 142</t>
  </si>
  <si>
    <t>ИП460103958400008</t>
  </si>
  <si>
    <t>305021 Курская область город Курск проспект Победы дом 74а   помещение № 2, 1 этаж ТЦ "Триумф"</t>
  </si>
  <si>
    <t>ИП Зюкин Андрей Александрович</t>
  </si>
  <si>
    <t>463222817790</t>
  </si>
  <si>
    <t>ИП4601009810</t>
  </si>
  <si>
    <t>ИП460100981000000</t>
  </si>
  <si>
    <t>305000 Курская область город Курск площадь Красная дом 2/4  литер А 1 этаж, помещения 121, 123, 124, 124А, 125, 126, 128, 128А-128Е, 129, 129А-129Г</t>
  </si>
  <si>
    <t>НПК "ВАШ ЗОЛОТОЙ РЕЗЕРВЪ"</t>
  </si>
  <si>
    <t>4632258322</t>
  </si>
  <si>
    <t>ЮЛ4601008217</t>
  </si>
  <si>
    <t>ЮЛ460100821700000</t>
  </si>
  <si>
    <t>305000 Курская область город Курск улица Ленина дом 2 помещение II</t>
  </si>
  <si>
    <t>ООО "АМЕТИСТ"</t>
  </si>
  <si>
    <t>4632260321</t>
  </si>
  <si>
    <t>ЮЛ4601008782</t>
  </si>
  <si>
    <t>ЮЛ460100878200000</t>
  </si>
  <si>
    <t>306600 Курская область рабочий поселок Кшенский улица Тельмана дом 12А</t>
  </si>
  <si>
    <t>ИП Чуйкова Татьяна Александровна</t>
  </si>
  <si>
    <t>463230702665</t>
  </si>
  <si>
    <t>ИП4601012769</t>
  </si>
  <si>
    <t>ИП460101276900000</t>
  </si>
  <si>
    <t>305044 Курская область город Курск улица Соловьиная дом 51   помещение №1</t>
  </si>
  <si>
    <t>ИП Подколзина Людмила Ивановна</t>
  </si>
  <si>
    <t>463231623014</t>
  </si>
  <si>
    <t>ИП4601000543</t>
  </si>
  <si>
    <t>ИП460100054300000</t>
  </si>
  <si>
    <t>305021 Курская область город Курск улица Карла Маркса 68 строение</t>
  </si>
  <si>
    <t>ИП Сыроваткина Ирина Павловна</t>
  </si>
  <si>
    <t>463240677707</t>
  </si>
  <si>
    <t>ИП4601013637</t>
  </si>
  <si>
    <t>ИП460101363700000</t>
  </si>
  <si>
    <t>307250 Курская область город Курчатов улица Энергетиков дом 46   2 этаж, торговое место 10</t>
  </si>
  <si>
    <t>ИП Журбенко Иван Алексеевич</t>
  </si>
  <si>
    <t>463243208968</t>
  </si>
  <si>
    <t>ИП4601007538</t>
  </si>
  <si>
    <t>ИП460100753800005</t>
  </si>
  <si>
    <t>305023 Курская область город Курск улица Энгельса дом 70   1 этаж, нежилое помещение № 21, торговый павильон № 10</t>
  </si>
  <si>
    <t>ИП Журбенко Василий Алексеевич</t>
  </si>
  <si>
    <t>463256710614</t>
  </si>
  <si>
    <t>ИП4601004540</t>
  </si>
  <si>
    <t>ИП460100454000003</t>
  </si>
  <si>
    <t>307250 Курская область город Курчатов улица Энергетиков дом 60   1 этаж, торговое помещение № 6</t>
  </si>
  <si>
    <t>ИП460100454000005</t>
  </si>
  <si>
    <t>305018 Курская область город Курск улица Харьковская дом 3   павильон № 19, 2 этаж</t>
  </si>
  <si>
    <t>ИП460100454000006</t>
  </si>
  <si>
    <t>305004 Курская область город Курск улица Карла Маркса дом 10   нежилое помещение № 16, 1 этаж ТЦ</t>
  </si>
  <si>
    <t>ИП460100454000011</t>
  </si>
  <si>
    <t>307170 Курская область город Железногорск улица Ленина дом 37</t>
  </si>
  <si>
    <t>ИП Голубкова Зоя Михайловна</t>
  </si>
  <si>
    <t>463300509837</t>
  </si>
  <si>
    <t>ИП4601010398</t>
  </si>
  <si>
    <t>ИП460101039800000</t>
  </si>
  <si>
    <t>307179 Курская область город Железногорск улица Воинов-интернационалистов здание 18 1 этаж №2</t>
  </si>
  <si>
    <t>ИП Гончарова Евгения Николаевна</t>
  </si>
  <si>
    <t>463302552500</t>
  </si>
  <si>
    <t>ИП4601038554</t>
  </si>
  <si>
    <t>ИП460103855400000</t>
  </si>
  <si>
    <t>307179 Курская область город Железногорск Микрорайон № 12, улица Воинов-интернационалистов здание 18   Этаж  3, комната 1</t>
  </si>
  <si>
    <t>ООО "ЭЛИТ-ЮВЕЛИР"</t>
  </si>
  <si>
    <t>4633032705</t>
  </si>
  <si>
    <t>ЮЛ4601004774</t>
  </si>
  <si>
    <t>ЮЛ460100477400000</t>
  </si>
  <si>
    <t>307170 Курская область город Железногорск улица Гагарина микрорайон 8 дом 28   помещения №№3-6</t>
  </si>
  <si>
    <t>ЮЛ480100215000033</t>
  </si>
  <si>
    <t>305044 Курская область город Курск улица Союзная здание 6А</t>
  </si>
  <si>
    <t>ИП Щедрин Максим Леонидович</t>
  </si>
  <si>
    <t>500110356885</t>
  </si>
  <si>
    <t>ИП5001004007</t>
  </si>
  <si>
    <t>ИП500100400700004</t>
  </si>
  <si>
    <t>305001 Курская область город Курск улица Верхняя Луговая дом 6   помещения 16, 16а, 28, 29</t>
  </si>
  <si>
    <t>ИП500100400700006</t>
  </si>
  <si>
    <t>305004 Курская область город Курск улица Карла Маркса дом 10   помещение 40</t>
  </si>
  <si>
    <t>ИП520600807800005</t>
  </si>
  <si>
    <t>305000 Курская область город Курск улица Студенческая  дом 1   часть помещения №42</t>
  </si>
  <si>
    <t>ИП520600807800036</t>
  </si>
  <si>
    <t>307179 Курская область город Железногорск микрорайон №13, улица Ленина дом 57   часть помещения №45</t>
  </si>
  <si>
    <t>ЮЛ520603376600094</t>
  </si>
  <si>
    <t>305029 Курская область город Курск улица Карла Маркса здание 68   часть помещения 237,248</t>
  </si>
  <si>
    <t>ИП630601425400039</t>
  </si>
  <si>
    <t>305040 Курская область город Курск улица Студенческая дом 1</t>
  </si>
  <si>
    <t>ИП630601425400043</t>
  </si>
  <si>
    <t>305000 Курская область город Курск улица Ленина дом 30   нежилое помещение 99,99а,105/26,105/25</t>
  </si>
  <si>
    <t>ИП630601425400049</t>
  </si>
  <si>
    <t>305040 Курская область город Курск проспект Дружбы дом 9А   первый этаж в Торговом центре</t>
  </si>
  <si>
    <t>ИП670100329400003</t>
  </si>
  <si>
    <t>307179 Курская область город Железногорск улица Ленина дом 57   этаж 1</t>
  </si>
  <si>
    <t>ИП670100329400022</t>
  </si>
  <si>
    <t>305029 Курская область город Курск улица Карла Маркса дом 68   этаж 1 помещение № 234, 235, 236</t>
  </si>
  <si>
    <t>ИП670100329400024</t>
  </si>
  <si>
    <t>305029 Курская область город Курск улица Карла Маркса дом 6   1 этаж, пом. № 80,81,79</t>
  </si>
  <si>
    <t>ИП710100775300004</t>
  </si>
  <si>
    <t>ИП000100637600011</t>
  </si>
  <si>
    <t>305029 Курская область город Курск улица Карла Маркса здание 68   помещения №№ 225а, 225б</t>
  </si>
  <si>
    <t>ИП Алехин Алан Владимирович</t>
  </si>
  <si>
    <t>710606322266</t>
  </si>
  <si>
    <t>ИП7101017240</t>
  </si>
  <si>
    <t>ИП710101724000010</t>
  </si>
  <si>
    <t>305040 Курская область город Курск улица Студенческая дом 1   1-ый этаж, часть комнаты 86</t>
  </si>
  <si>
    <t>ИП710101724000011</t>
  </si>
  <si>
    <t>307179 Курская область город Железногорск улица Ленина дом 57   часть нежилого помещения 45, этаж 1</t>
  </si>
  <si>
    <t>ЮЛ770101216600142</t>
  </si>
  <si>
    <t>ЮЛ770101216600207</t>
  </si>
  <si>
    <t>305000 Курская область город Курск улица Ленина дом 30   помещения, 89, 89а, 90, 91, 92, 93, этаж 1</t>
  </si>
  <si>
    <t>ЮЛ770101216600300</t>
  </si>
  <si>
    <t>305004 Курская область город Курск улица Карла Маркса дом  6   помещение 83, этаж 1</t>
  </si>
  <si>
    <t>ЮЛ770101216600312</t>
  </si>
  <si>
    <t>305040 Курская область город Курск улица Студенческая дом 1   этаж 1,  часть нежилого помещения №42</t>
  </si>
  <si>
    <t>ЮЛ770101216600464</t>
  </si>
  <si>
    <t>305050 Курская область город Курск проспект Дружбы дом 9а   этаж 1, часть нежилого помещения №42</t>
  </si>
  <si>
    <t>ЮЛ770101216600555</t>
  </si>
  <si>
    <t>305016 Курская область город Курск улица Щепкина дом 4б   этаж 1, часть помещения №42</t>
  </si>
  <si>
    <t>ЮЛ770101216600557</t>
  </si>
  <si>
    <t>305004 Курская область город Курск улица Карла Маркса дом 10   этаж 1, часть нежилого помещения № 40</t>
  </si>
  <si>
    <t>ЮЛ770101216600596</t>
  </si>
  <si>
    <t>307251 Курская область город Курчатов проспект Коммунистический дом 33А   этаж 1,  помещение VIII, часть нежилого помещения № 6</t>
  </si>
  <si>
    <t>ЮЛ770101216600597</t>
  </si>
  <si>
    <t>305006 Курская область деревня Татаренкова улица Ивана Никитина здание 1в   1этаж, помещ 134</t>
  </si>
  <si>
    <t>ЮЛ770101216600717</t>
  </si>
  <si>
    <t>305040 Курская область город Курск улица Студенческая дом 1   помещение I, комната 83</t>
  </si>
  <si>
    <t>ЮЛ770100193500162</t>
  </si>
  <si>
    <t>305000 Курская область город Курск улица Ленина дом 30   1 этаж, часть помещения № 95</t>
  </si>
  <si>
    <t>ЮЛ770100193500171</t>
  </si>
  <si>
    <t>305004 Курская область город Курск улица Карла Маркса 10   часть комнаты № 16</t>
  </si>
  <si>
    <t>ЮЛ770100193500410</t>
  </si>
  <si>
    <t>305029 Курская область город Курск улица Карла Маркса здание 68   нежилые помещения (Павильон №11): №245, №227, №244, этаж 1 (первый)</t>
  </si>
  <si>
    <t>ЮЛ770100193500617</t>
  </si>
  <si>
    <t>307179 Курская область город Железногорск, м-н № 13 улица Ленина дом 57   часть нежилого помещения № 45, этаж 1 (первый)</t>
  </si>
  <si>
    <t>ЮЛ770100193500692</t>
  </si>
  <si>
    <t>305004 Курская область город Курск улица Карла Маркса дом 6   часть нежилого помещения № 87, этаж 1 (первый)</t>
  </si>
  <si>
    <t>ЮЛ770100193501017</t>
  </si>
  <si>
    <t>307179 Курская область город Железногорск микрорайон №13, улица Ленина дом 57</t>
  </si>
  <si>
    <t>ЮЛ780300308200557</t>
  </si>
  <si>
    <t>305004 Курская область город Курск улица Карла Маркса дом 10   часть нежилого помещения №40</t>
  </si>
  <si>
    <t>ЮЛ780300308200565</t>
  </si>
  <si>
    <t>305029 Курская область город Курск улица Ленина дом 30   часть нежилого помещения ком. №131</t>
  </si>
  <si>
    <t>ЮЛ780300308200566</t>
  </si>
  <si>
    <t>ЮЛ780300308200567</t>
  </si>
  <si>
    <t>307250 Курская область город Курчатов улица Энергетиков владение 20-В</t>
  </si>
  <si>
    <t>ЮЛ780300308200569</t>
  </si>
  <si>
    <t>307173 Курская область город Железногорск улица Ленина дом 10</t>
  </si>
  <si>
    <t>ЮЛ780300308200908</t>
  </si>
  <si>
    <t>305004 Курская область город Курск улица Радищева дом 115А</t>
  </si>
  <si>
    <t>ЮЛ770100902000041</t>
  </si>
  <si>
    <t>Ленинградская область</t>
  </si>
  <si>
    <t>188689 Ленинградская область Заневское городское поселение, городской поселок Янино-1 территория Производственная зона Янино, проезд Терминальный здание 2   офис 38</t>
  </si>
  <si>
    <t>ЮЛ420801680900000</t>
  </si>
  <si>
    <t>195267 Ленинградская область Санкт-Петербург пр-кт Просвещения 84 1 А 50Н</t>
  </si>
  <si>
    <t>ИП Смирнова Ольга Александровна</t>
  </si>
  <si>
    <t>440103012646</t>
  </si>
  <si>
    <t>ИП4402030881</t>
  </si>
  <si>
    <t>ИП440203088100002</t>
  </si>
  <si>
    <t>198216 Ленинградская область Санк-Петербург пр-кт Ленинский  138/5</t>
  </si>
  <si>
    <t>ИП440203088100003</t>
  </si>
  <si>
    <t>188662 Ленинградская область город Мурино Охтинская аллея 9</t>
  </si>
  <si>
    <t>ИП350300414400035</t>
  </si>
  <si>
    <t>187553 Ленинградская область город Тихвин улица Карла Маркса дом 50</t>
  </si>
  <si>
    <t>ИП Ермилова Татьяна Петровна</t>
  </si>
  <si>
    <t>470100804378</t>
  </si>
  <si>
    <t>ИП4703015046</t>
  </si>
  <si>
    <t>ИП470301504600000</t>
  </si>
  <si>
    <t>187600 Ленинградская область город Пикалево улица Советская дом 25</t>
  </si>
  <si>
    <t>ИП Чистякова Мария Сергеевна</t>
  </si>
  <si>
    <t>470102892524</t>
  </si>
  <si>
    <t>ИП4703014601</t>
  </si>
  <si>
    <t>ИП470301460100000</t>
  </si>
  <si>
    <t>187402 Ленинградская область город Волхов проспект Кировский дом 47   7</t>
  </si>
  <si>
    <t>ИП Горячева Ирина Анатольевна</t>
  </si>
  <si>
    <t>470200984332</t>
  </si>
  <si>
    <t>ИП4703005609</t>
  </si>
  <si>
    <t>ИП470300560900000</t>
  </si>
  <si>
    <t>188650 Ленинградская область город Сертолово улица Сосновая дом 3А</t>
  </si>
  <si>
    <t>ИП Горячева Людмила Вячеславовна</t>
  </si>
  <si>
    <t>470300120336</t>
  </si>
  <si>
    <t>ИП4703000128</t>
  </si>
  <si>
    <t>ИП470300012800000</t>
  </si>
  <si>
    <t>188640 Ленинградская область город Всеволожск проспект Всеволожский дом 72   помещение 21</t>
  </si>
  <si>
    <t>ООО "ПРОМТОВАРЫ ПЛЮС"</t>
  </si>
  <si>
    <t>4703066637</t>
  </si>
  <si>
    <t>ЮЛ4703007619</t>
  </si>
  <si>
    <t>ЮЛ470300761900000</t>
  </si>
  <si>
    <t>188644 Ленинградская область Всеволожск Александровская 75  а 34</t>
  </si>
  <si>
    <t>ИП Джалалян Елена Сергеевна</t>
  </si>
  <si>
    <t>470307239757</t>
  </si>
  <si>
    <t>ИП4703013434</t>
  </si>
  <si>
    <t>ИП470301343400000</t>
  </si>
  <si>
    <t>188640 Ленинградская область город Всеволожск улица Александровская дом 75А   офис 11</t>
  </si>
  <si>
    <t>ИП Черных Валентина Юрьевна</t>
  </si>
  <si>
    <t>470314457065</t>
  </si>
  <si>
    <t>ИП4703005119</t>
  </si>
  <si>
    <t>ИП470300511900000</t>
  </si>
  <si>
    <t>188800 Ленинградская область г. Выборг Московский п-тк 11</t>
  </si>
  <si>
    <t>ИП Галанова Наталия Михайловна</t>
  </si>
  <si>
    <t>470402305209</t>
  </si>
  <si>
    <t>ИП4703017461</t>
  </si>
  <si>
    <t>ИП470301746100000</t>
  </si>
  <si>
    <t>188800 Ленинградская область город Выборг проспект Ленина дом 28   помещение 1-5</t>
  </si>
  <si>
    <t>ООО "ЮВЕЛИР-КАРАТ" В ВЫБОРГЕ"</t>
  </si>
  <si>
    <t>4704087125</t>
  </si>
  <si>
    <t>ЮЛ4703004876</t>
  </si>
  <si>
    <t>ЮЛ470300487600000</t>
  </si>
  <si>
    <t>188800 Ленинградская область город Выборг улица Северный Вал дом 19</t>
  </si>
  <si>
    <t>ЮЛ470300219500000</t>
  </si>
  <si>
    <t>188300 Ленинградская область город Гатчина улица Соборная дом 14</t>
  </si>
  <si>
    <t>ЗАО "ГЮС "КРЕДО ПРИОРАТ"</t>
  </si>
  <si>
    <t>4705006802</t>
  </si>
  <si>
    <t>ЮЛ4703008089</t>
  </si>
  <si>
    <t>ЮЛ470300808900000</t>
  </si>
  <si>
    <t>188309 Ленинградская область город Гатчина улица Генерала Кныша дом 2а</t>
  </si>
  <si>
    <t>ЮЛ470300808900002</t>
  </si>
  <si>
    <t>188330 Ленинградская область городской поселок Сиверский улица Вокзальная дом 1А</t>
  </si>
  <si>
    <t>ЮЛ470300808900003</t>
  </si>
  <si>
    <t>188300 Ленинградская область город Гатчина шоссе Пушкинское дом 15а</t>
  </si>
  <si>
    <t>ЮЛ470300808900004</t>
  </si>
  <si>
    <t>188410 Ленинградская область город Волосово проспект Вингиссара дом 21</t>
  </si>
  <si>
    <t>ЮЛ470300808900005</t>
  </si>
  <si>
    <t>188300 Ленинградская область город Гатчина улица Карла Маркса дом 41   помещение 15</t>
  </si>
  <si>
    <t>ООО "ГАТЧИНА ЮК"</t>
  </si>
  <si>
    <t>4705062652</t>
  </si>
  <si>
    <t>ЮЛ4703003242</t>
  </si>
  <si>
    <t>ЮЛ470300324200000</t>
  </si>
  <si>
    <t>188382 Ленинградская область городской поселок Вырица улица Жертв Революции дом 20А   помещение 5А</t>
  </si>
  <si>
    <t>ООО "ЮТЕРАС"</t>
  </si>
  <si>
    <t>4705073333</t>
  </si>
  <si>
    <t>ЮЛ4703011431</t>
  </si>
  <si>
    <t>ЮЛ470301143100000</t>
  </si>
  <si>
    <t>187342 Ленинградская область город Кировск улица Пионерская дом 1</t>
  </si>
  <si>
    <t>ООО "СОЗВЕЗДИЕ"</t>
  </si>
  <si>
    <t>4706035771</t>
  </si>
  <si>
    <t>ЮЛ4703003697</t>
  </si>
  <si>
    <t>ЮЛ470300369700000</t>
  </si>
  <si>
    <t>187342 Ленинградская область город Кировск улица Пионерская дом 1   офис 9</t>
  </si>
  <si>
    <t>ООО "ЛОМБАРД АНТУРАЖ"</t>
  </si>
  <si>
    <t>4706038388</t>
  </si>
  <si>
    <t>ЮЛ4703005576</t>
  </si>
  <si>
    <t>ЮЛ470300557600001</t>
  </si>
  <si>
    <t>187320 Ленинградская область город Шлиссельбург улица Жука дом 4   офис 1-8</t>
  </si>
  <si>
    <t>ЮЛ470300557600002</t>
  </si>
  <si>
    <t>187330 Ленинградская область город Отрадное улица Щурова дом 3 корпус 1  помещение 2.22</t>
  </si>
  <si>
    <t>ЮЛ470300557600003</t>
  </si>
  <si>
    <t>187026 Ленинградская область город Никольское проспект Советский дом 160а   помещение 203</t>
  </si>
  <si>
    <t>ЮЛ470300557600004</t>
  </si>
  <si>
    <t>187342 Ленинградская область город Кировск улица Пионерская  1   -</t>
  </si>
  <si>
    <t>ИП Староверова Юлия Анатольевна</t>
  </si>
  <si>
    <t>470608976338</t>
  </si>
  <si>
    <t>ИП4703003081</t>
  </si>
  <si>
    <t>ИП470300308100000</t>
  </si>
  <si>
    <t>188480 Ленинградская область город Кингисепп проспект Карла Маркса дом 38/2</t>
  </si>
  <si>
    <t>ООО "ЮВЕЛИР-КАРАТ" В КИНГИСЕППЕ"</t>
  </si>
  <si>
    <t>4707032526</t>
  </si>
  <si>
    <t>ЮЛ4703005438</t>
  </si>
  <si>
    <t>ЮЛ470300543800000</t>
  </si>
  <si>
    <t>188480 Ленинградская область Город Кингисепп Улица Воровского дом 34   Ювелирный магазин "Золотой век"</t>
  </si>
  <si>
    <t>ИП Комиссарова Наталия Ивановна</t>
  </si>
  <si>
    <t>470703917195</t>
  </si>
  <si>
    <t>ИП4703008611</t>
  </si>
  <si>
    <t>ИП470300861100000</t>
  </si>
  <si>
    <t>188560 Ленинградская область город Сланцы улица Ленина дом 11   помещение 2Н</t>
  </si>
  <si>
    <t>4707044151</t>
  </si>
  <si>
    <t>ЮЛ4703014512</t>
  </si>
  <si>
    <t>ЮЛ470301451200000</t>
  </si>
  <si>
    <t>187556 Ленинградская область город Тихвин улица Карла Маркса дом 50Б</t>
  </si>
  <si>
    <t>ЮЛ470301451200001</t>
  </si>
  <si>
    <t>187111 Ленинградская область город Кириши улица Романтиков дом 4   помещение 49</t>
  </si>
  <si>
    <t>ЮЛ470301451200002</t>
  </si>
  <si>
    <t>188490 Ленинградская область город Ивангород шоссе Кингисеппское дом 20</t>
  </si>
  <si>
    <t>4707048854</t>
  </si>
  <si>
    <t>ЮЛ4703032130</t>
  </si>
  <si>
    <t>ЮЛ470303213000000</t>
  </si>
  <si>
    <t>187110 Ленинградская область город Кириши ул. Романтиков дом 8б   офис 30</t>
  </si>
  <si>
    <t>ИП Власова Оксана Владимировна</t>
  </si>
  <si>
    <t>470802060024</t>
  </si>
  <si>
    <t>ИП4703032700</t>
  </si>
  <si>
    <t>ИП470303270000000</t>
  </si>
  <si>
    <t>187110 Ленинградская область город Кириши Героев 2</t>
  </si>
  <si>
    <t>ООО "ЮВЕЛИР-КАРАТ КИРИШИ"</t>
  </si>
  <si>
    <t>4708022200</t>
  </si>
  <si>
    <t>ЮЛ4703004069</t>
  </si>
  <si>
    <t>ЮЛ470300406900000</t>
  </si>
  <si>
    <t>187110 Ленинградская область город Кириши проспект Ленина дом 45   помещение 2-18</t>
  </si>
  <si>
    <t>ИП Айсанова Дана Заурбиевна</t>
  </si>
  <si>
    <t>470804218813</t>
  </si>
  <si>
    <t>ИП4703001631</t>
  </si>
  <si>
    <t>ИП470300163100000</t>
  </si>
  <si>
    <t>187700 Ленинградская область город Лодейное Поле улица Карла Маркса дом 39</t>
  </si>
  <si>
    <t>ИП Ерофеева Людмила Николаевна</t>
  </si>
  <si>
    <t>470900010751</t>
  </si>
  <si>
    <t>ИП4703003462</t>
  </si>
  <si>
    <t>ИП470300346200000</t>
  </si>
  <si>
    <t>187700 Ленинградская область Лодейное Поле Володарского 30</t>
  </si>
  <si>
    <t>ИП Кочурова Валентина Ильинична</t>
  </si>
  <si>
    <t>470900015728</t>
  </si>
  <si>
    <t>ИП4703012616</t>
  </si>
  <si>
    <t>ИП470301261600000</t>
  </si>
  <si>
    <t>187700 Ленинградская область город Лодейное Поле Володарского 48 2 этаж  Торговый остров 9 кв.м.</t>
  </si>
  <si>
    <t>ИП Шарипова Татьяна Александровна</t>
  </si>
  <si>
    <t>470900044214</t>
  </si>
  <si>
    <t>ИП4703020237</t>
  </si>
  <si>
    <t>ИП470302023700000</t>
  </si>
  <si>
    <t>188230 Ленинградская область город Луга проспект Урицкого дом 76   помещение №3</t>
  </si>
  <si>
    <t>ИП Миронова Валентина Ивановна</t>
  </si>
  <si>
    <t>471000008455</t>
  </si>
  <si>
    <t>ИП4703006369</t>
  </si>
  <si>
    <t>ИП470300636900000</t>
  </si>
  <si>
    <t>188230 Ленинградская область город Луга проспект Урицкого дом 77 корпус 3</t>
  </si>
  <si>
    <t>ИП470300636900001</t>
  </si>
  <si>
    <t>188230 Ленинградская область город Луга переулок Толмачева 2</t>
  </si>
  <si>
    <t>ИП Зиновьев Юрий Анатольевич</t>
  </si>
  <si>
    <t>471000017040</t>
  </si>
  <si>
    <t>ИП4703013954</t>
  </si>
  <si>
    <t>ИП470301395400000</t>
  </si>
  <si>
    <t>188230 Ленинградская область город Луга улица А.Яковлева дом 1А</t>
  </si>
  <si>
    <t>ИП Баранов Алексей Павлович</t>
  </si>
  <si>
    <t>471000121740</t>
  </si>
  <si>
    <t>ИП4703031688</t>
  </si>
  <si>
    <t>ИП470303168800000</t>
  </si>
  <si>
    <t>188230 Ленинградская область город Луга проспект Володарского дом 30а</t>
  </si>
  <si>
    <t>ИП470303168800002</t>
  </si>
  <si>
    <t>188230 Ленинградская область город Луга проспект Кирова дом 46   помещение 2</t>
  </si>
  <si>
    <t>ИП Сухова Елена Сергеевна</t>
  </si>
  <si>
    <t>471000759532</t>
  </si>
  <si>
    <t>ИП4703014221</t>
  </si>
  <si>
    <t>ИП470301422100000</t>
  </si>
  <si>
    <t>188230 Ленинградская область город Луга проспект Кирова дом 79</t>
  </si>
  <si>
    <t>ИП470301422100001</t>
  </si>
  <si>
    <t>188230 Ленинградская область Луга переулок Толмачева 2    помещение 27,28,29</t>
  </si>
  <si>
    <t>ООО " ЛСК"</t>
  </si>
  <si>
    <t>4710030818</t>
  </si>
  <si>
    <t>ЮЛ4703040862</t>
  </si>
  <si>
    <t>ЮЛ470304086200000</t>
  </si>
  <si>
    <t>187780 Ленинградская область город Подпорожье улица Свирская дом 35</t>
  </si>
  <si>
    <t>ИП Микшина Татьяна Владимировна</t>
  </si>
  <si>
    <t>471100089881</t>
  </si>
  <si>
    <t>ИП4703014571</t>
  </si>
  <si>
    <t>ИП470301457100000</t>
  </si>
  <si>
    <t>187700 Ленинградская область город Лодейное Поле проспект Ленина дом 14</t>
  </si>
  <si>
    <t>ИП470301457100001</t>
  </si>
  <si>
    <t>187780 Ленинградская область город Подпорожье улица Свирская дом 66</t>
  </si>
  <si>
    <t>ИП470301457100002</t>
  </si>
  <si>
    <t>188760 Ленинградская область город Приозерск Красноармейская 6</t>
  </si>
  <si>
    <t>ООО "РУБИН-1"</t>
  </si>
  <si>
    <t>4712000826</t>
  </si>
  <si>
    <t>ЮЛ4703016548</t>
  </si>
  <si>
    <t>ЮЛ470301654800000</t>
  </si>
  <si>
    <t>188540 Ленинградская область город Сосновый Бор проспект Героев 51</t>
  </si>
  <si>
    <t>ООО "ЮВЕЛИР-КАРАТ" В СОСНОВОМ БОРУ"</t>
  </si>
  <si>
    <t>4714025022</t>
  </si>
  <si>
    <t>ЮЛ4703004000</t>
  </si>
  <si>
    <t>ЮЛ470300400000000</t>
  </si>
  <si>
    <t>187553 Ленинградская область город Тихвин 1 микрорайон строение 51а</t>
  </si>
  <si>
    <t>ИП Осыкин Василий Павлович</t>
  </si>
  <si>
    <t>471500009859</t>
  </si>
  <si>
    <t>ИП4703031294</t>
  </si>
  <si>
    <t>ИП470303129400000</t>
  </si>
  <si>
    <t>187556 Ленинградская область город Тихвин 4 микрорайон 31   22/23</t>
  </si>
  <si>
    <t>ООО "ЮВЕЛИР-КАРАТ" В ТИХВИНЕ"</t>
  </si>
  <si>
    <t>4715022507</t>
  </si>
  <si>
    <t>ЮЛ4703002957</t>
  </si>
  <si>
    <t>ЮЛ470300295700000</t>
  </si>
  <si>
    <t>187553 Ленинградская область город Тихвин 1 микр-н дом 40</t>
  </si>
  <si>
    <t>ИП Гордейчук Юрий Борисович</t>
  </si>
  <si>
    <t>471505069805</t>
  </si>
  <si>
    <t>ИП2304008285</t>
  </si>
  <si>
    <t>ИП230400828500000</t>
  </si>
  <si>
    <t>187000 Ленинградская область город Тосно проспект Ленина дом 47</t>
  </si>
  <si>
    <t>ТОСНЕНСКОЕ РАЙПО</t>
  </si>
  <si>
    <t>4716000538</t>
  </si>
  <si>
    <t>ЮЛ4703016454</t>
  </si>
  <si>
    <t>ЮЛ470301645400000</t>
  </si>
  <si>
    <t>187450 Ленинградская область город Новая Ладога проспект Карла Маркса дом 26/12</t>
  </si>
  <si>
    <t>ИП Тиханова Ирина Алексеевна</t>
  </si>
  <si>
    <t>471800007108</t>
  </si>
  <si>
    <t>ИП4703015993</t>
  </si>
  <si>
    <t>ИП470301599300000</t>
  </si>
  <si>
    <t>187420 Ленинградская область город Сясьстрой улица Петрозаводская дом 13</t>
  </si>
  <si>
    <t>ИП Рахимбаева Рано Каримовна</t>
  </si>
  <si>
    <t>471804500681</t>
  </si>
  <si>
    <t>ИП7803004695</t>
  </si>
  <si>
    <t>ИП780300469500000</t>
  </si>
  <si>
    <t>187000 Ленинградская область город Тосно улица Советская дом 3</t>
  </si>
  <si>
    <t>ИП Федоров Илья Владимирович</t>
  </si>
  <si>
    <t>471908813209</t>
  </si>
  <si>
    <t>ИП4703031873</t>
  </si>
  <si>
    <t>ИП470303187300000</t>
  </si>
  <si>
    <t>188380 Ленинградская область городской поселок Вырица Улица Футбольная  дом 33</t>
  </si>
  <si>
    <t>ИП Спасская Кристина Николаевна</t>
  </si>
  <si>
    <t>471909237325</t>
  </si>
  <si>
    <t>ИП4703011203</t>
  </si>
  <si>
    <t>ИП470301120300000</t>
  </si>
  <si>
    <t>187600 Ленинградская область город Пикалево Советская 56   32</t>
  </si>
  <si>
    <t>ИП Варзилов Сергей Владимирович</t>
  </si>
  <si>
    <t>472200994020</t>
  </si>
  <si>
    <t>ИП4703018005</t>
  </si>
  <si>
    <t>ИП470301800500000</t>
  </si>
  <si>
    <t>188677 Ленинградская область город Мурино аллея Охтинская дом 9</t>
  </si>
  <si>
    <t>ИП500100445500074</t>
  </si>
  <si>
    <t>188660 Ленинградская область деревня Порошкино километр КАД (внешнее кольцо) 117 строение 1</t>
  </si>
  <si>
    <t>ИП500100445500084</t>
  </si>
  <si>
    <t>193315 Ленинградская область город Кудрово километр Мурманское шоссе 12-й строение 1а   Мега Дыбенко, 504KSK-36</t>
  </si>
  <si>
    <t>ИП500100445500123</t>
  </si>
  <si>
    <t>188680 Ленинградская область Всеволожский муниципальный район, Заневское городское поселение, город Кудрово Мурманское шоссе 12 км  стр. 1-а  504KSK-30</t>
  </si>
  <si>
    <t>ИП Иванов Петр Вячеславович</t>
  </si>
  <si>
    <t>504108705536</t>
  </si>
  <si>
    <t>ИП7701032693</t>
  </si>
  <si>
    <t>ИП770103269300000</t>
  </si>
  <si>
    <t>188800 Ленинградская область город Выборг тупик Железнодорожный дом 4   помещение О-4</t>
  </si>
  <si>
    <t>ЮЛ520603376600113</t>
  </si>
  <si>
    <t>188820 Ленинградская область городской поселок Рощино улица Советская дом 8А  А помещение 5</t>
  </si>
  <si>
    <t>ИП Акопян Левон Володяевич</t>
  </si>
  <si>
    <t>543206924160</t>
  </si>
  <si>
    <t>ИП4703016173</t>
  </si>
  <si>
    <t>ИП470301617300000</t>
  </si>
  <si>
    <t>188678 Ленинградская область город Мурино улица Парковая дом 8  Помещение 4 литера Н комната 109</t>
  </si>
  <si>
    <t>ИП Квашин Юрий Анатольевич</t>
  </si>
  <si>
    <t>550335458824</t>
  </si>
  <si>
    <t>ИП4703013166</t>
  </si>
  <si>
    <t>ИП470301316600000</t>
  </si>
  <si>
    <t>188677 Ленинградская область город Мурино бульвар Менделеева дом 14   помещение 3-н</t>
  </si>
  <si>
    <t>ООО "ЛОМБАРД ЭКСПЕРТ"</t>
  </si>
  <si>
    <t>6382077765</t>
  </si>
  <si>
    <t>ЮЛ7803008254</t>
  </si>
  <si>
    <t>ЮЛ780300825400014</t>
  </si>
  <si>
    <t>188650 Ленинградская область Сертолово микрорайон Сертолово- 1 улица Молодцова дом 8 корпус 2   помещение 5Н</t>
  </si>
  <si>
    <t>ИП Коновалюк Анна Владимировна</t>
  </si>
  <si>
    <t>672700943608</t>
  </si>
  <si>
    <t>ИП4703014911</t>
  </si>
  <si>
    <t>ИП470301491100000</t>
  </si>
  <si>
    <t>188677 Ленинградская область город Мурино аллея Охтинская дом 9   помещение на первом этаже</t>
  </si>
  <si>
    <t>ИП770100417900055</t>
  </si>
  <si>
    <t>188660 Ленинградская область деревня Порошкино километр КАД (внешнее кольцо) 117 строение 1   помещение 4048</t>
  </si>
  <si>
    <t>ЮЛ770101216600028</t>
  </si>
  <si>
    <t>188800 Ленинградская область город Выборг тупик Железнодорожный дом 4   нежилые помещения 1-15, этаж 1</t>
  </si>
  <si>
    <t>ЮЛ770101216600038</t>
  </si>
  <si>
    <t>188689 Ленинградская область город Кудрово километр Мурманское шоссе 12-й строение 1А   Помещение 5044</t>
  </si>
  <si>
    <t>ЮЛ770101216600127</t>
  </si>
  <si>
    <t>187401 Ленинградская область город Волхов улица Юрия Гагарина дом 1в   этаж 1,  нежилое помещение 2</t>
  </si>
  <si>
    <t>ЮЛ770101216600338</t>
  </si>
  <si>
    <t>188480 Ленинградская область город Кингисепп проспект Карла Маркса здание 42   этаж 1,помещение № 1-35</t>
  </si>
  <si>
    <t>ЮЛ770101216600428</t>
  </si>
  <si>
    <t>188677 Ленинградская область город Мурино аллея Охтинская дом 9   этаж 1, помещение №1.14.1</t>
  </si>
  <si>
    <t>ЮЛ770101216600502</t>
  </si>
  <si>
    <t>188542 Ленинградская область город Сосновый Бор улица Красных Фортов дом 26   этаж 1</t>
  </si>
  <si>
    <t>ЮЛ770101216600633</t>
  </si>
  <si>
    <t>188508 Ленинградская область территория Общественно-торговая вдоль Таллинского ш  дом 27   этаж 1, нежилое помещение № 36</t>
  </si>
  <si>
    <t>ЮЛ770101216600660</t>
  </si>
  <si>
    <t>193315 Ленинградская область город Кудрово Мурманское шоссе 12 километр  строение 1-а  помещение 8038</t>
  </si>
  <si>
    <t>ЮЛ770101216600688</t>
  </si>
  <si>
    <t>187000 Ленинградская область город Тосно улица Боярова дом 4а   этаж 1</t>
  </si>
  <si>
    <t>ЮЛ770101216600702</t>
  </si>
  <si>
    <t>187553 Ленинградская область город Тихвин улица Карла Маркса дом 50   этаж 1</t>
  </si>
  <si>
    <t>ЮЛ770101216600742</t>
  </si>
  <si>
    <t>188309 Ленинградская область город Гатчина улица Генерала Кныша дом 2а   1 этаж, часть нежилого помещения № 22</t>
  </si>
  <si>
    <t>ЮЛ770101216600777</t>
  </si>
  <si>
    <t>188300 Ленинградская область город Гатчина проспект 25 Октября дом 11/13   1 этаж, часть нежилого помещения № 19</t>
  </si>
  <si>
    <t>ЮЛ770101216600793</t>
  </si>
  <si>
    <t>188689 Ленинградская область  Заневское городское поселение, микрорайон Янила Кантри, (городской поселок Янино-1) улица Ветряных мельниц здание 3/1   1 этаж, часть нежилого помещения №14Н</t>
  </si>
  <si>
    <t>ЮЛ770101216600814</t>
  </si>
  <si>
    <t>187032 Ленинградская область поселение Тельмана  дом 2б   1 этаж, нежилое помещение №18/1</t>
  </si>
  <si>
    <t>ЮЛ770101216600830</t>
  </si>
  <si>
    <t>188300 Ленинградская область город Гатчина шоссе Пушкинское дом 15   этаж 1, нежилое помещение 13-Н</t>
  </si>
  <si>
    <t>ЮЛ770101216600919</t>
  </si>
  <si>
    <t>188689 Ленинградская область город Кудрово километр Мурманское шоссе 12-й строение 1а</t>
  </si>
  <si>
    <t>ЮЛ770100419400214</t>
  </si>
  <si>
    <t>188689 Ленинградская область город Кудрово Мурманское шоссе 12-й километр  строение 1а  помещение 1038</t>
  </si>
  <si>
    <t>ЮЛ770100193500163</t>
  </si>
  <si>
    <t>188660 Ленинградская область деревня Порошкино километр КАД (внешнее кольцо) 117 строение 1   помещение № 4058</t>
  </si>
  <si>
    <t>ЮЛ770100193500164</t>
  </si>
  <si>
    <t>188300 Ленинградская область город Гатчина улица Соборная дом 17А   помещения 1, 2, 6</t>
  </si>
  <si>
    <t>ЮЛ770100193500165</t>
  </si>
  <si>
    <t>187110 Ленинградская область город Кириши проспект Героев дом 33   помещение 6-Н, помещение 1-07, часть помещения 107, первый этаж</t>
  </si>
  <si>
    <t>ЮЛ770100193500166</t>
  </si>
  <si>
    <t>188800 Ленинградская область город Выборг тупик Железнодорожный дом 4   помещение 1-4, первый этаж</t>
  </si>
  <si>
    <t>ЮЛ770100193500525</t>
  </si>
  <si>
    <t>188300 Ленинградская область город Гатчина шоссе Пушкинское дом 15   нежилое помещение у.н 1-10, этаж 1 (первый)</t>
  </si>
  <si>
    <t>ЮЛ770100193500563</t>
  </si>
  <si>
    <t>188673 Ленинградская область деревня Новое Девяткино улица Главная дом 60  литер А часть помещений 160,161,164, 165, 1 (первый) этаж</t>
  </si>
  <si>
    <t>ЮЛ770100193500582</t>
  </si>
  <si>
    <t>188480 Ленинградская область город Кингисепп проспект Карла Маркса здание 42   нежилые помещения № 1-25, этаж 1 (первый)</t>
  </si>
  <si>
    <t>ЮЛ770100193500601</t>
  </si>
  <si>
    <t>187401 Ленинградская область город Волхов улица Юрия Гагарина дом 1в   нежилое помещение № 8-9, этаж 1 (первый)</t>
  </si>
  <si>
    <t>ЮЛ770100193500709</t>
  </si>
  <si>
    <t>188480 Ленинградская область город Кингисепп улица Октябрьская дом 9   помещение № 82, этаж 1 (первый)</t>
  </si>
  <si>
    <t>ЮЛ770100193500766</t>
  </si>
  <si>
    <t>188309 Ленинградская область город Гатчина улица Генерала Кныша дом 2а   помещение А27, 1 (первый) этаж</t>
  </si>
  <si>
    <t>ЮЛ770100193500778</t>
  </si>
  <si>
    <t>188677 Ленинградская область город Мурино аллея Охтинская дом 9   помещение 1.51, первый этаж</t>
  </si>
  <si>
    <t>ЮЛ770100193500817</t>
  </si>
  <si>
    <t>188677 Ленинградская область город Мурино бульвар Менделеева дом 1/1   часть помещения 1-Н</t>
  </si>
  <si>
    <t>ЮЛ770100193500860</t>
  </si>
  <si>
    <t>188542 Ленинградская область город Сосновый Бор проспект Героев дом 37   1 этаж</t>
  </si>
  <si>
    <t>ЮЛ770100193501144</t>
  </si>
  <si>
    <t>188800 Ленинградская область город Выборг ул. Краснофлотская 4А   помещение 1/4</t>
  </si>
  <si>
    <t>ИП Бойко Елена Владимировна</t>
  </si>
  <si>
    <t>780100278296</t>
  </si>
  <si>
    <t>ИП4703030019</t>
  </si>
  <si>
    <t>ИП470303001900002</t>
  </si>
  <si>
    <t>188640 Ленинградская область город Всеволожск проспект Октябрьский дом 85   помещение 1-2</t>
  </si>
  <si>
    <t>ООО "ЕЛАНА"</t>
  </si>
  <si>
    <t>7802221825</t>
  </si>
  <si>
    <t>ЮЛ7803000993</t>
  </si>
  <si>
    <t>ЮЛ780300099300004</t>
  </si>
  <si>
    <t>192177 Ленинградская область Санкт-Петербург Участок железной дороги "улица Юннатов- станция Рыбацкое   Литера Е помещение 3-Н, 5-Н, 6-Н, 7-Н, 8-Н, 9-Н, 11-Н, 12-Н, 1 ЛК, 4 ЛК, 6 ЛК, 7 ЛК, 8 ЛК</t>
  </si>
  <si>
    <t>ИП Червякова Екатерина Михайловна</t>
  </si>
  <si>
    <t>780242636892</t>
  </si>
  <si>
    <t>ИП7803015316</t>
  </si>
  <si>
    <t>ИП780301531600004</t>
  </si>
  <si>
    <t>188693 Ленинградская область город Кудрово Мурманское ш. 12 км строение 1-а   пом. 504KSK-61</t>
  </si>
  <si>
    <t>ЮЛ780301232700013</t>
  </si>
  <si>
    <t>188640 Ленинградская область город Всеволожск проспект Всеволожский дом 55</t>
  </si>
  <si>
    <t>ООО "Ломбард "Реал Голд"</t>
  </si>
  <si>
    <t>7804676521</t>
  </si>
  <si>
    <t>ЮЛ7803014912</t>
  </si>
  <si>
    <t>ЮЛ780301491200004</t>
  </si>
  <si>
    <t>187401 Ленинградская область город Волхов улица Юрия Гагарина дом 1В</t>
  </si>
  <si>
    <t>ЮЛ780300131300198</t>
  </si>
  <si>
    <t>188300 Ленинградская область город Гатчина улица Соборная дом 4/9</t>
  </si>
  <si>
    <t>ЮЛ780300131300200</t>
  </si>
  <si>
    <t>187330 Ленинградская область город Отрадное улица Щурова дом 3  литер А часть комнаты № 31</t>
  </si>
  <si>
    <t>ЮЛ780300131300201</t>
  </si>
  <si>
    <t>188542 Ленинградская область город Сосновый Бор проспект Героев дом 37   пом.1, а именно: комната №39</t>
  </si>
  <si>
    <t>ЮЛ780300131300231</t>
  </si>
  <si>
    <t>188800 Ленинградская область город Выборг тупик Железнодорожный дом 4   часть нежилого помещения, площадью 5 кв. м</t>
  </si>
  <si>
    <t>ЮЛ780300131300597</t>
  </si>
  <si>
    <t>188673 Ленинградская область деревня Новое Девяткино улица Главная дом 60  лит. А ч.ч.п. 152, 157, 160,161</t>
  </si>
  <si>
    <t>ЮЛ780300328000017</t>
  </si>
  <si>
    <t>188800 Ленинградская область МО "Город Выборг", г. Выборг Железнодорожный тупик дом 4</t>
  </si>
  <si>
    <t>ЮЛ780300328000018</t>
  </si>
  <si>
    <t>187342 Ленинградская область город Кировск улица Набережная реки Невы дом 15</t>
  </si>
  <si>
    <t>ЮЛ780300328000023</t>
  </si>
  <si>
    <t>187000 Ленинградская область город Тосно улица Боярова дом 4а</t>
  </si>
  <si>
    <t>ЮЛ780300328000025</t>
  </si>
  <si>
    <t>187026 Ленинградская область город Никольское улица Школьная дом 2а</t>
  </si>
  <si>
    <t>ЮЛ780300328000026</t>
  </si>
  <si>
    <t>188800 Ленинградская область город Выборг улица Крепостная дом 43   магазин "Алмаз"</t>
  </si>
  <si>
    <t>ЮЛ780300179700035</t>
  </si>
  <si>
    <t>188330 Ленинградская область городской поселок Сиверский улица Вокзальная дом 2   помещение №3</t>
  </si>
  <si>
    <t>ООО "ПРЕСТИЖ"</t>
  </si>
  <si>
    <t>7810590008</t>
  </si>
  <si>
    <t>ЮЛ7803015296</t>
  </si>
  <si>
    <t>ЮЛ780301529600001</t>
  </si>
  <si>
    <t>188380 Ленинградская область городской поселок Вырица проспект Коммунальный дом 1/28  А 32</t>
  </si>
  <si>
    <t>ЮЛ780301529600002</t>
  </si>
  <si>
    <t>187000 Ленинградская область город Тосно проспект Ленина дом 43</t>
  </si>
  <si>
    <t>ЮЛ780301529600003</t>
  </si>
  <si>
    <t>187340 Ленинградская область КИРОВСК ГОРОД ПИОНЕРСКАЯ УЛИЦА ДОМ 1   ПОМЕЩЕНИЕ 9 ЧАСТЬ  ЭТАЖ 1</t>
  </si>
  <si>
    <t>ООО "ТАНДЕМ"</t>
  </si>
  <si>
    <t>7810846147</t>
  </si>
  <si>
    <t>ЮЛ7803004476</t>
  </si>
  <si>
    <t>ЮЛ780300447600002</t>
  </si>
  <si>
    <t>187026 Ленинградская область НИКОЛЬСКОЕ ГОРОД СОВЕТСКИЙ ПРОСПЕКТ  ДОМ 160А   ПОМЕЩЕНИЕ 203 ЧАСТЬ ЭТАЖ 2</t>
  </si>
  <si>
    <t>ЮЛ780300447600003</t>
  </si>
  <si>
    <t>187320 Ленинградская область ШЛИССЕЛЬБУРГ ГОРОД ЖУКА УЛИЦА ДОМ 4   ПОМЕЩЕНИЕ 1-8 ЧАСТЬ 1 ЭТАЖ</t>
  </si>
  <si>
    <t>ЮЛ780300447600004</t>
  </si>
  <si>
    <t>187330 Ленинградская область ОТРАДНОЕ ЩУРОВА 3 1  2.21</t>
  </si>
  <si>
    <t>ЮЛ780300447600006</t>
  </si>
  <si>
    <t>188692 Ленинградская область город Кудрово проспект Европейский дом 14 корпус 1  помещение 13-Н</t>
  </si>
  <si>
    <t>ИП Капин Артем Андреевич</t>
  </si>
  <si>
    <t>781107513448</t>
  </si>
  <si>
    <t>ИП7803006336</t>
  </si>
  <si>
    <t>ИП780300633600000</t>
  </si>
  <si>
    <t>187032 Ленинградская область поселок Тельмана  дом 2б   место № 17</t>
  </si>
  <si>
    <t>ИП Гончарова Юлия Владимировна</t>
  </si>
  <si>
    <t>781130143636</t>
  </si>
  <si>
    <t>ИП7803007183</t>
  </si>
  <si>
    <t>ИП780300718300005</t>
  </si>
  <si>
    <t>188800 Ленинградская область город Выборг проспект Ленина дом 20</t>
  </si>
  <si>
    <t>ЮЛ780300323500127</t>
  </si>
  <si>
    <t>188304 Ленинградская область город Гатчина улица Соборная дом 9</t>
  </si>
  <si>
    <t>ЮЛ780300323500128</t>
  </si>
  <si>
    <t>188480 Ленинградская область город Кингисепп проспект Карла Маркса здание 33В   помещение 2Н</t>
  </si>
  <si>
    <t>ЮЛ780300323500129</t>
  </si>
  <si>
    <t>188300 Ленинградская область город Гатчина проспект 25 Октября дом 42а   часть помещения 297</t>
  </si>
  <si>
    <t>ООО "ТК БОСКО"</t>
  </si>
  <si>
    <t>7813597548</t>
  </si>
  <si>
    <t>ЮЛ7803006327</t>
  </si>
  <si>
    <t>ЮЛ780300632700008</t>
  </si>
  <si>
    <t>187342 Ленинградская область город Кировск улица Пионерская дом 2   помещение 104</t>
  </si>
  <si>
    <t>ЮЛ780300632700010</t>
  </si>
  <si>
    <t>188300 Ленинградская область город Гатчина ул. Генерала Кныша 8а</t>
  </si>
  <si>
    <t>ЮЛ780300632700012</t>
  </si>
  <si>
    <t>188653 Ленинградская область Агалатовское сельское поселение, массив Скотное  дом № 1   пом.№№1.63-1.68,1.76-1.81,1.82-1.89,пом.№№2.32-2.37,2.48,2.49,2.51,2.52,2.53.1,2.54-2.66,5.67,часть нежилых пом.№№3.26,3.23,нежилые помещения 3.32,3.5,3.7,часть нежилого помещения №4.1,нежилые помещения №4.4,4.5,4.15,4.15.1,4.17</t>
  </si>
  <si>
    <t>ЮЛ780300308200000</t>
  </si>
  <si>
    <t>188800 Ленинградская область город Выборг тупик Железнодорожный дом 4</t>
  </si>
  <si>
    <t>ЮЛ780300308200011</t>
  </si>
  <si>
    <t>188480 Ленинградская область город Кингисепп проспект Карла Маркса дом 42   нежилые помещения у.н. 1,2</t>
  </si>
  <si>
    <t>ЮЛ780300308200014</t>
  </si>
  <si>
    <t>187112 Ленинградская область город Кириши проспект Ленина дом 37   часть встроенного нежилого помещения №9</t>
  </si>
  <si>
    <t>ЮЛ780300308200015</t>
  </si>
  <si>
    <t>188661 Ленинградская область деревня Новое Девяткино улица Главная дом 60А   часть части помещений 152,157,160,161</t>
  </si>
  <si>
    <t>ЮЛ780300308200021</t>
  </si>
  <si>
    <t>187000 Ленинградская область город Тосно улица Боярова здание 4А</t>
  </si>
  <si>
    <t>ЮЛ780300308200078</t>
  </si>
  <si>
    <t>188300 Ленинградская область город Гатчина шоссе Пушкинское дом 15   нежилое помещение 1-36 (ч.п. 62)</t>
  </si>
  <si>
    <t>ЮЛ780300308200094</t>
  </si>
  <si>
    <t>188660 Ленинградская область деревня Порошкино километр КАД (внешнее кольцо) 117 строение 1   помещение 2024</t>
  </si>
  <si>
    <t>ЮЛ780300308200232</t>
  </si>
  <si>
    <t>187026 Ленинградская область город Никольское улица Школьная дом 2А</t>
  </si>
  <si>
    <t>ЮЛ780300308200376</t>
  </si>
  <si>
    <t>187330 Ленинградская область город Отрадное улица Щурова дом 3  литера а комната 31</t>
  </si>
  <si>
    <t>ЮЛ780300308200377</t>
  </si>
  <si>
    <t>188760 Ленинградская область город Приозерск улица Ленина дом 34а   помещения А4</t>
  </si>
  <si>
    <t>ЮЛ780300308200379</t>
  </si>
  <si>
    <t>188677 Ленинградская область город Мурино аллея Охтинская дом 9   номер Помещения на плане 1.50</t>
  </si>
  <si>
    <t>ЮЛ780300308200658</t>
  </si>
  <si>
    <t>188640 Ленинградская область город Всеволожск проспект Всеволожский дом 68 к.1</t>
  </si>
  <si>
    <t>ЮЛ780300308200660</t>
  </si>
  <si>
    <t>ЮЛ780300308200774</t>
  </si>
  <si>
    <t>188542 Ленинградская область город Сосновый Бор проспект Героев дом 37   часть нежилого помещения №1</t>
  </si>
  <si>
    <t>ЮЛ780300308200830</t>
  </si>
  <si>
    <t>187342 Ленинградская область город Кировск улица Набережная дом 15   помещение 1-Н №№56-57</t>
  </si>
  <si>
    <t>ЮЛ780300308200831</t>
  </si>
  <si>
    <t>ЮЛ780300308200957</t>
  </si>
  <si>
    <t>188800 Ленинградская область город Выборг улица Северная дом 10   пом. 11 номера на поэтажном плане №№1-13</t>
  </si>
  <si>
    <t>ЮЛ780300308201058</t>
  </si>
  <si>
    <t>193315 Ленинградская область город Кудрово километр Мурманское шоссе 12-й строение 1а   номер площадей 504КSК-13</t>
  </si>
  <si>
    <t>ЮЛ780300308201109</t>
  </si>
  <si>
    <t>188687 Ленинградская область город Мурино улица Романовская дом 1/31   нежилое помещение №22</t>
  </si>
  <si>
    <t>ЮЛ780300308201173</t>
  </si>
  <si>
    <t>188677 Ленинградская область город Мурино бульвар Менделеева дом 1/1   часть нежилого помещения №4-Н</t>
  </si>
  <si>
    <t>ЮЛ780300308201234</t>
  </si>
  <si>
    <t>ЮЛ780300379600016</t>
  </si>
  <si>
    <t>188480 Ленинградская область город Кингисепп проспект Карла Маркса дом 33  Литера А1</t>
  </si>
  <si>
    <t>ЮЛ780300379600017</t>
  </si>
  <si>
    <t>188304 Ленинградская область город Гатчина улица Соборная дом 9   помещение 1</t>
  </si>
  <si>
    <t>ЮЛ780300379600054</t>
  </si>
  <si>
    <t>188305 Ленинградская область город Гатчина улица Соборная дом 9   помещение 1Н</t>
  </si>
  <si>
    <t>ЮЛ780300363500348</t>
  </si>
  <si>
    <t>193315 Ленинградская область город Кудрово километр Мурманское шоссе 12-й строение 1а   504KSK-11</t>
  </si>
  <si>
    <t>ИП Бойко Борис Евгеньевич</t>
  </si>
  <si>
    <t>781601566794</t>
  </si>
  <si>
    <t>ИП7803000844</t>
  </si>
  <si>
    <t>ИП780300084400003</t>
  </si>
  <si>
    <t>187032 Ленинградская область поселок Тельмана  дом 2б  литер А комната 17</t>
  </si>
  <si>
    <t>ООО "ГОРОДСКОЙ ЛОМБАРД САНИС"</t>
  </si>
  <si>
    <t>7842160760</t>
  </si>
  <si>
    <t>ЮЛ7803011467</t>
  </si>
  <si>
    <t>ЮЛ780301146700009</t>
  </si>
  <si>
    <t>188501 Ленинградская область деревня Низино  д. кадастровый № 47:14:0302003:4133</t>
  </si>
  <si>
    <t>ИП Томашевская Ирина Владимировна</t>
  </si>
  <si>
    <t>890511979233</t>
  </si>
  <si>
    <t>ИП4703040615</t>
  </si>
  <si>
    <t>ИП470304061500000</t>
  </si>
  <si>
    <t>193315 Ленинградская область город Кудрово километр Мурманское шоссе 12-й строение 1а   помещение 5028</t>
  </si>
  <si>
    <t>ЮЛ770100439200250</t>
  </si>
  <si>
    <t>Липецкая область</t>
  </si>
  <si>
    <t>398002 Липецкая область город Липецк улица Валентины Терешковой дом 35Б</t>
  </si>
  <si>
    <t>ИП Дианов Евгений Андреевич</t>
  </si>
  <si>
    <t>143517648592</t>
  </si>
  <si>
    <t>ИП4801012689</t>
  </si>
  <si>
    <t>ИП480101268900000</t>
  </si>
  <si>
    <t>399370 Липецкая область город Усмань улица Воеводы Вельяминова дом 15 -</t>
  </si>
  <si>
    <t>ИП360100329900002</t>
  </si>
  <si>
    <t>399370 Липецкая область город Усмань улица Воеводы Вельяминова дом 46</t>
  </si>
  <si>
    <t>ИП360100329900004</t>
  </si>
  <si>
    <t>398000 Липецкая область город Липецк улица Советская дом 66   помещение 11,12</t>
  </si>
  <si>
    <t>ИП360101554200004</t>
  </si>
  <si>
    <t>398000 Липецкая область город Липецк улица Катукова дом 51   помещение55,56</t>
  </si>
  <si>
    <t>ИП360101554200005</t>
  </si>
  <si>
    <t>399850 Липецкая область город Данков улица Мира дом 1   помещение 7</t>
  </si>
  <si>
    <t>ИП Тупикина Любовь Александровна</t>
  </si>
  <si>
    <t>366304128218</t>
  </si>
  <si>
    <t>ИП3601018042</t>
  </si>
  <si>
    <t>ИП360101804200000</t>
  </si>
  <si>
    <t>399430 Липецкая область сельское поселение Добринский сельсовет поселок Добринка улица М.Горького дом 10  литер А этаж 1</t>
  </si>
  <si>
    <t>ИП360101804200001</t>
  </si>
  <si>
    <t>399852 Липецкая область город Данков улица Ленина дом 2/2   помещение 3</t>
  </si>
  <si>
    <t>ИП360101804200002</t>
  </si>
  <si>
    <t>399850 Липецкая область Город Данков Улица Карла Маркса Дом 12</t>
  </si>
  <si>
    <t>ИП Сафарова Елена Геннадьевна</t>
  </si>
  <si>
    <t>366313495944</t>
  </si>
  <si>
    <t>ИП3601018133</t>
  </si>
  <si>
    <t>ИП360101813300000</t>
  </si>
  <si>
    <t>399430 Липецкая область Поселок Добринка Улица Максима Горького Дом 10</t>
  </si>
  <si>
    <t>ИП360101813300001</t>
  </si>
  <si>
    <t>398001 Липецкая область город Липецк улица Советская дом 66   помещение № 1.61</t>
  </si>
  <si>
    <t>ЮЛ500100602500039</t>
  </si>
  <si>
    <t>398036 Липецкая область город Липецк улица Катукова владение 51  А первый этаж, помещение 3</t>
  </si>
  <si>
    <t>ЮЛ500100602500059</t>
  </si>
  <si>
    <t>399058 Липецкая область город Грязи улица Воровского дом 14</t>
  </si>
  <si>
    <t>ИП Фролова Людмила Ивановна</t>
  </si>
  <si>
    <t>480200276819</t>
  </si>
  <si>
    <t>ИП4801035098</t>
  </si>
  <si>
    <t>ИП480103509800000</t>
  </si>
  <si>
    <t>398059 Липецкая область город Липецк улица М.И. Неделина дом 32    офис 23</t>
  </si>
  <si>
    <t>ИП Бахаев Владимир Александрович</t>
  </si>
  <si>
    <t>480200310851</t>
  </si>
  <si>
    <t>ИП4801000783</t>
  </si>
  <si>
    <t>ИП480100078300000</t>
  </si>
  <si>
    <t>398027 Липецкая область город Липецк улица Шерстобитова С.М. дом 8   помещение 18</t>
  </si>
  <si>
    <t>ИП Трухачева Лилия Александровна</t>
  </si>
  <si>
    <t>480405977212</t>
  </si>
  <si>
    <t>ИП4801040379</t>
  </si>
  <si>
    <t>ИП480104037900000</t>
  </si>
  <si>
    <t>399260 Липецкая область село Хлевное улица Свободы дом 46а</t>
  </si>
  <si>
    <t>ИП Свиридова Ирина Ивановна</t>
  </si>
  <si>
    <t>480825209534</t>
  </si>
  <si>
    <t>ИП4801016362</t>
  </si>
  <si>
    <t>ИП480101636200000</t>
  </si>
  <si>
    <t>399610 Липецкая область Лебедянь Почтовая    торговые ряды</t>
  </si>
  <si>
    <t>ИП Рассказов Николай Анатольевич</t>
  </si>
  <si>
    <t>481100078276</t>
  </si>
  <si>
    <t>ИП4801002216</t>
  </si>
  <si>
    <t>ИП480100221600000</t>
  </si>
  <si>
    <t>399371 Липецкая область город Усмань улица Ленина дом 101</t>
  </si>
  <si>
    <t>ИП Рогова Татьяна Валерьевна</t>
  </si>
  <si>
    <t>481600085514</t>
  </si>
  <si>
    <t>ИП4801009266</t>
  </si>
  <si>
    <t>ИП480100926600000</t>
  </si>
  <si>
    <t>399900 Липецкая область город Чаплыгин улица Советская дом 39   офис 17</t>
  </si>
  <si>
    <t>ООО "ГЛОБУС"</t>
  </si>
  <si>
    <t>4818006779</t>
  </si>
  <si>
    <t>ЮЛ4801011411</t>
  </si>
  <si>
    <t>ЮЛ480101141100000</t>
  </si>
  <si>
    <t>399850 Липецкая область город Данков улица Карла Маркса дом 11</t>
  </si>
  <si>
    <t>ЮЛ480101141100001</t>
  </si>
  <si>
    <t>399770 Липецкая область город Елец улица Мира Дом 113</t>
  </si>
  <si>
    <t>ООО "СУВЕНИРЫ"</t>
  </si>
  <si>
    <t>4821001890</t>
  </si>
  <si>
    <t>ЮЛ4801017357</t>
  </si>
  <si>
    <t>ЮЛ480101735700000</t>
  </si>
  <si>
    <t>399770 Липецкая область город Елец улица Советская дом 45   помещение 2</t>
  </si>
  <si>
    <t>ИП Лавренова Оксана Александровна</t>
  </si>
  <si>
    <t>482100348703</t>
  </si>
  <si>
    <t>ИП4801004838</t>
  </si>
  <si>
    <t>ИП480100483800000</t>
  </si>
  <si>
    <t>399770 Липецкая область город  Елец  улица Орджоникидзе  дом 40 этаж 1</t>
  </si>
  <si>
    <t>ИП Лаврищева Ольга Эдуардовна</t>
  </si>
  <si>
    <t>482101307509</t>
  </si>
  <si>
    <t>ИП4801033208</t>
  </si>
  <si>
    <t>ИП480103320800000</t>
  </si>
  <si>
    <t>398005 Липецкая область город Липецк площадь Мира дом 1В    офис 10</t>
  </si>
  <si>
    <t>ООО "ЮВЕМАСТ"</t>
  </si>
  <si>
    <t>4823075665</t>
  </si>
  <si>
    <t>ЮЛ4801001690</t>
  </si>
  <si>
    <t>ЮЛ480100169000000</t>
  </si>
  <si>
    <t>398006 Липецкая область город Липецк улица Жуковского дом 6   помещение 2</t>
  </si>
  <si>
    <t>ООО ТК "СИГМА"</t>
  </si>
  <si>
    <t>4824006311</t>
  </si>
  <si>
    <t>ЮЛ4801019029</t>
  </si>
  <si>
    <t>ЮЛ480101902900000</t>
  </si>
  <si>
    <t>398007 Липецкая область город Липецк площадь Заводская дом 1</t>
  </si>
  <si>
    <t>ЮЛ480101902900001</t>
  </si>
  <si>
    <t>398017 Липецкая область город Липецк улица 9-го Мая  стр.10А</t>
  </si>
  <si>
    <t>ЮЛ480100215000000</t>
  </si>
  <si>
    <t>398024 Липецкая область город Липецк проспект Победы дом 2</t>
  </si>
  <si>
    <t>ЮЛ480100215000001</t>
  </si>
  <si>
    <t>398050 Липецкая область город Липецк улица Зегеля дом 27/2   помещение №6</t>
  </si>
  <si>
    <t>ЮЛ480100215000002</t>
  </si>
  <si>
    <t>398046 Липецкая область город Липецк улица П.И.Смородина дом 13а</t>
  </si>
  <si>
    <t>ЮЛ480100215000015</t>
  </si>
  <si>
    <t>399784 Липецкая область город Елец улица Радиотехническая дом 1А   помещения №№5,6,7</t>
  </si>
  <si>
    <t>ЮЛ480100215000032</t>
  </si>
  <si>
    <t>399056 Липецкая область город Грязи улица 30 лет Победы дом 61А   помещение №53а, часть пом.№53, часть пом.№54</t>
  </si>
  <si>
    <t>ЮЛ480100215000038</t>
  </si>
  <si>
    <t>398046 Липецкая область город Липецк улица Катукова владение 51  литера А помещение №146, этаж 1</t>
  </si>
  <si>
    <t>ЮЛ480100215000039</t>
  </si>
  <si>
    <t>398007 Липецкая область город Липецк улица Студеновская дом 184   нежилое помещение 77</t>
  </si>
  <si>
    <t>ЮЛ480100215000048</t>
  </si>
  <si>
    <t>398035 Липецкая область город Липецк улица Космонавтов дом 41 корпус 1  нежилое помещение № 1</t>
  </si>
  <si>
    <t>ИП Панаско Виктор Михайлович</t>
  </si>
  <si>
    <t>482407452937</t>
  </si>
  <si>
    <t>ИП4801007954</t>
  </si>
  <si>
    <t>ИП480100795400002</t>
  </si>
  <si>
    <t>398004 Липецкая область город Липецк улица А.Г. Стаханова дом 44   помещение 7</t>
  </si>
  <si>
    <t>ИП480100795400003</t>
  </si>
  <si>
    <t>399610 Липецкая область город Лебедянь "Торговые ряды" улица Почтовая  (Юго-Восточный корпус ул.Почтовая-Интернациональная)</t>
  </si>
  <si>
    <t>ИП480100795400004</t>
  </si>
  <si>
    <t>399430 Липецкая область поселок Добринка улица Октябрьская  дом 37а</t>
  </si>
  <si>
    <t>ИП480100795400006</t>
  </si>
  <si>
    <t>399540 Липецкая область село Тербуны улица Октябрьская  дом 40В</t>
  </si>
  <si>
    <t>ИП480100795400007</t>
  </si>
  <si>
    <t>398000 Липецкая область город Липецк площадь Победы 5   нежилое помещение</t>
  </si>
  <si>
    <t>ИП480100795400008</t>
  </si>
  <si>
    <t>398001 Липецкая область город Липецк площадь Победы 6</t>
  </si>
  <si>
    <t>ИП Колесников Сергей Федорович</t>
  </si>
  <si>
    <t>482500039812</t>
  </si>
  <si>
    <t>ИП4801016810</t>
  </si>
  <si>
    <t>ИП480101681000000</t>
  </si>
  <si>
    <t>398008 Липецкая область город Липецк улица 50 лет НЛМК дом 4а -  помещение 74.1</t>
  </si>
  <si>
    <t>ИП Леонов Дмитрий Александрович</t>
  </si>
  <si>
    <t>482500288417</t>
  </si>
  <si>
    <t>ИП4801002155</t>
  </si>
  <si>
    <t>ИП480100215500000</t>
  </si>
  <si>
    <t>398016 Липецкая область город Липецк улица Космонавтов дом 10 -  1 этаж</t>
  </si>
  <si>
    <t>ИП480100215500001</t>
  </si>
  <si>
    <t>398036 Липецкая область город Липецк улица Катукова владение 51 -  1 этаж, часть помещения G7</t>
  </si>
  <si>
    <t>ИП480100215500002</t>
  </si>
  <si>
    <t>398005 Липецкая область город Липецк проспект Мира дом 1   помещение 6, этаж 1</t>
  </si>
  <si>
    <t>ООО "ПЕРВЫЙ ГОРОДСКОЙ ЛОМБАРД"</t>
  </si>
  <si>
    <t>4825065461</t>
  </si>
  <si>
    <t>ЮЛ4801008971</t>
  </si>
  <si>
    <t>ЮЛ480100897100000</t>
  </si>
  <si>
    <t>398024 Липецкая область город Липецк проспект Победы дом 74   помещение 11, этаж 1</t>
  </si>
  <si>
    <t>ЮЛ480100897100001</t>
  </si>
  <si>
    <t>398042 Липецкая область город Липецк улица Космонавтов дом 98</t>
  </si>
  <si>
    <t>ИП Чага Наталья Юрьевна</t>
  </si>
  <si>
    <t>482600248538</t>
  </si>
  <si>
    <t>ИП4801007674</t>
  </si>
  <si>
    <t>ИП480100767400000</t>
  </si>
  <si>
    <t>398050 Липецкая область город Липецк улица Зегеля дом 27/1</t>
  </si>
  <si>
    <t>ООО "АДАМАС-ЛИПЕЦК"</t>
  </si>
  <si>
    <t>4826039810</t>
  </si>
  <si>
    <t>ЮЛ4801013181</t>
  </si>
  <si>
    <t>ЮЛ480101318100000</t>
  </si>
  <si>
    <t>ООО ЛОМБАРД "САПФИР"</t>
  </si>
  <si>
    <t>4826042241</t>
  </si>
  <si>
    <t>ЮЛ4801007968</t>
  </si>
  <si>
    <t>ЮЛ480100796800000</t>
  </si>
  <si>
    <t>398043 Липецкая область город Липецк улица Германа Титова дом 15   помещение 4</t>
  </si>
  <si>
    <t>ИП Корнукова Н.Г.</t>
  </si>
  <si>
    <t>482606979936</t>
  </si>
  <si>
    <t>ИП4801007957</t>
  </si>
  <si>
    <t>ИП480100795700001</t>
  </si>
  <si>
    <t>399610 Липецкая область город Лебедянь улица Мира дом № 7</t>
  </si>
  <si>
    <t>ИП480100795700003</t>
  </si>
  <si>
    <t>398000 Липецкая область город Данков  улица Мира дом 63/4</t>
  </si>
  <si>
    <t>ИП480100795700004</t>
  </si>
  <si>
    <t>ИП Батищева Юлия Николаевна</t>
  </si>
  <si>
    <t>482609397559</t>
  </si>
  <si>
    <t>ИП4801009025</t>
  </si>
  <si>
    <t>ИП480100902500000</t>
  </si>
  <si>
    <t>399540 Липецкая область село Тербуны улица Октябрьская дом 41-43</t>
  </si>
  <si>
    <t>ИП480100902500001</t>
  </si>
  <si>
    <t>399510 Липецкая область село Долгоруково улица Ленина дом 33</t>
  </si>
  <si>
    <t>ИП480100902500002</t>
  </si>
  <si>
    <t>398042 Липецкая область город Липецк Универсальный проезд владение 14   этаж 2, помещение 8</t>
  </si>
  <si>
    <t>ИП Кузьмина Татьяна Петровна</t>
  </si>
  <si>
    <t>482610992344</t>
  </si>
  <si>
    <t>ИП4801009375</t>
  </si>
  <si>
    <t>ИП480100937500000</t>
  </si>
  <si>
    <t>399050 Липецкая область город Грязи улица Правды дом 28Б</t>
  </si>
  <si>
    <t>ИП Семиколенов Аркадий Сергеевич</t>
  </si>
  <si>
    <t>482612428479</t>
  </si>
  <si>
    <t>ИП4801003019</t>
  </si>
  <si>
    <t>ИП480100301900000</t>
  </si>
  <si>
    <t>399056 Липецкая область город Грязи улица 30 лет Победы дом 61а   Помещение №63, часть павильона №А6</t>
  </si>
  <si>
    <t>ИП480100301900001</t>
  </si>
  <si>
    <t>398000 Липецкая область город Липецк улица Катукова владение 51   часть помещения №153</t>
  </si>
  <si>
    <t>ЮЛ520603376600099</t>
  </si>
  <si>
    <t>398001 Липецкая область город Липецк улица Советская дом 66   часть помещения №11 место 4</t>
  </si>
  <si>
    <t>ИП610400426600026</t>
  </si>
  <si>
    <t>398001 Липецкая область город Липецк улица Советская дом 66</t>
  </si>
  <si>
    <t>ИП630601425400054</t>
  </si>
  <si>
    <t>398004 Липецкая область город Липецк улица Катукова дом 51а</t>
  </si>
  <si>
    <t>ИП630601425400118</t>
  </si>
  <si>
    <t>398005 Липецкая область город Липецк проспект Мира дом 5</t>
  </si>
  <si>
    <t>ЮЛ630603373600066</t>
  </si>
  <si>
    <t>398020 Липецкая область город Липецк улица Гагарина дом 15</t>
  </si>
  <si>
    <t>ЮЛ630603373600072</t>
  </si>
  <si>
    <t>398004 Липецкая область город Липецк улица Катукова владение 51  Литер А помещение 67</t>
  </si>
  <si>
    <t>ИП710100775300000</t>
  </si>
  <si>
    <t>398036 Липецкая область город Липецк улица Катукова владение 51  Литера А этаж 1, помещение 68</t>
  </si>
  <si>
    <t>ИП710101724000000</t>
  </si>
  <si>
    <t>398046 Липецкая область город Липецк улица П.И.Смородина дом 13а  Литера А1 Этаж 1, помещения 131,132,133</t>
  </si>
  <si>
    <t>ИП000100534900021</t>
  </si>
  <si>
    <t>398016 Липецкая область город Липецк улица Мусоргского дом 3   помещение 3</t>
  </si>
  <si>
    <t>ЮЛ770100201500562</t>
  </si>
  <si>
    <t>399784 Липецкая область город Елец улица Радиотехническая дом 5  Литера А1 1 этаж, помещение 114, 115</t>
  </si>
  <si>
    <t>ЮЛ770100193500167</t>
  </si>
  <si>
    <t>398004 Липецкая область город Липецк улица Катукова дом 51   помещение 137, 138, 139, 140, 141, 142, 144</t>
  </si>
  <si>
    <t>ЮЛ770100193500168</t>
  </si>
  <si>
    <t>398046 Липецкая область город Липецк улица П.И.Смородина дом 13а   часть помещения, часть Бутика № 131, этаж 1 (первый)</t>
  </si>
  <si>
    <t>ЮЛ770100193500579</t>
  </si>
  <si>
    <t>398036 Липецкая область город Липецк улица Катукова владение 51 строение 2 литер А помещение, этаж 1 (первый)</t>
  </si>
  <si>
    <t>ЮЛ770100193500808</t>
  </si>
  <si>
    <t>398016 Липецкая область город Липецк улица Валентины Терешковой дом 9 корпус 1  помещение 6</t>
  </si>
  <si>
    <t>ЮЛ770100193500883</t>
  </si>
  <si>
    <t>398016 Липецкая область город Липецк улица Мусоргского дом 3   часть помещения 3</t>
  </si>
  <si>
    <t>ЮЛ770100193500895</t>
  </si>
  <si>
    <t>398007 Липецкая область город Липецк улица Студеновская дом 184   нежилое помещение № 6.2, этаж 1 (первый)</t>
  </si>
  <si>
    <t>ЮЛ770100193501021</t>
  </si>
  <si>
    <t>398016 Липецкая область город Липецк улица Валентины Терешковой дом 5/1   помещение 6</t>
  </si>
  <si>
    <t>ЮЛ770100193501047</t>
  </si>
  <si>
    <t>398024 Липецкая область город Липецк проспект Победы дом 74</t>
  </si>
  <si>
    <t>ЮЛ770100193501065</t>
  </si>
  <si>
    <t>398050 Липецкая область город Липецк улица Зегеля дом 44   помещение №4</t>
  </si>
  <si>
    <t>ИП Архипенко Роман Вячеславович</t>
  </si>
  <si>
    <t>773460747263</t>
  </si>
  <si>
    <t>ИП4801030728</t>
  </si>
  <si>
    <t>ИП480103072800000</t>
  </si>
  <si>
    <t>399784 Липецкая область город Елец улица Радиотехническая дом 5   часть помещения №13</t>
  </si>
  <si>
    <t>ЮЛ780300131300233</t>
  </si>
  <si>
    <t>398046 Липецкая область город Липецк улица Меркулова дом 2  лит.А часть нежилого помещения №7</t>
  </si>
  <si>
    <t>ЮЛ780300131300234</t>
  </si>
  <si>
    <t>398001 Липецкая область город Липецк площадь Победы дом 1   часть нежилого помещения №1</t>
  </si>
  <si>
    <t>ЮЛ780300131300235</t>
  </si>
  <si>
    <t>399770 Липецкая область город Елец улица Мира дом 102   пом.4</t>
  </si>
  <si>
    <t>ЮЛ780300131300528</t>
  </si>
  <si>
    <t>399770 Липецкая область город Елец улица Мира дом 102   помещение 4</t>
  </si>
  <si>
    <t>ЮЛ780300308200124</t>
  </si>
  <si>
    <t>398024 Липецкая область город Липецк проспект Победы дом 3 корпус а  помещение 1</t>
  </si>
  <si>
    <t>ЮЛ780300308200409</t>
  </si>
  <si>
    <t>399784 Липецкая область город Елец улица Радиотехническая дом 5а   часть помещения №13</t>
  </si>
  <si>
    <t>ЮЛ780300308200556</t>
  </si>
  <si>
    <t>398001 Липецкая область город Липецк улица Советская дом 66   часть нежилого помещения, расположенного в помещении №11, состоящего из нежилых комнат "263-264 (№1,62 по внутренней планировке)</t>
  </si>
  <si>
    <t>ЮЛ780300308200784</t>
  </si>
  <si>
    <t>398046 Липецкая область город Липецк улица им. Генерала Меркулова дом 2 лит А   часть нежилого помещения №7</t>
  </si>
  <si>
    <t>ЮЛ780300308200792</t>
  </si>
  <si>
    <t>398059 Липецкая область город Липецк проспект Победы дом 1   часть нежилого помещения № 1</t>
  </si>
  <si>
    <t>ЮЛ780300308200972</t>
  </si>
  <si>
    <t>398036 Липецкая область город Липецк улица Катукова владение 51   помещение А4</t>
  </si>
  <si>
    <t>ЮЛ780300308201143</t>
  </si>
  <si>
    <t>399770 Липецкая область город Елец улица Коммунаров дом 68   помещение 2</t>
  </si>
  <si>
    <t>ЮЛ770104038200005</t>
  </si>
  <si>
    <t>399773 Липецкая область город Елец улица Орджоникидзе дом 12   помещение 1</t>
  </si>
  <si>
    <t>ЮЛ770104038200006</t>
  </si>
  <si>
    <t>399782 Липецкая область город Елец поселок Строитель дом 27   помещение 6</t>
  </si>
  <si>
    <t>ЮЛ770104038200013</t>
  </si>
  <si>
    <t>398035 Липецкая область город Липецк улица Космонавтов дом 41/1   помещение 16</t>
  </si>
  <si>
    <t>ЮЛ770104038200025</t>
  </si>
  <si>
    <t>398024 Липецкая область город Липецк проспект Победы дом 72   помещение 9</t>
  </si>
  <si>
    <t>ЮЛ770104038200033</t>
  </si>
  <si>
    <t>Луганская Народная Республика</t>
  </si>
  <si>
    <t>294005 Луганская Народная Республика город Стаханов улица Богдана Хмельницкого дом 42</t>
  </si>
  <si>
    <t>ИП Фёдорова Ирина Михайловна</t>
  </si>
  <si>
    <t>236602516655</t>
  </si>
  <si>
    <t>ИП9404038956</t>
  </si>
  <si>
    <t>ИП940403895600000</t>
  </si>
  <si>
    <t>291016 Луганская Народная Республика город Луганск улица Советская дом 58   помещение 48, а именно: нежилые помещения № 10, № 11, № 12, № 13, № 14, № 15, № 16, № 17, № 18, № 19, № 20, № 21, № 23, № 24, № 25</t>
  </si>
  <si>
    <t>ИП470303686600019</t>
  </si>
  <si>
    <t>291016 Луганская Народная Республика город Луганск улица Ленина дом 46   помещение 7</t>
  </si>
  <si>
    <t>ИП Шевченко Игорь Александрович</t>
  </si>
  <si>
    <t>345906681305</t>
  </si>
  <si>
    <t>ИП9404040021</t>
  </si>
  <si>
    <t>ИП940404002100000</t>
  </si>
  <si>
    <t>294003 Луганская Народная Республика г.Стаханов ул.Б.Хмельницкого 36</t>
  </si>
  <si>
    <t>ИП Истратова Олеся Васильевна</t>
  </si>
  <si>
    <t>345906980785</t>
  </si>
  <si>
    <t>ИП9404035268</t>
  </si>
  <si>
    <t>П1010403507000000</t>
  </si>
  <si>
    <t>294407 Луганская Народная Республика город Краснодон Петра Котова 3   помещение 2</t>
  </si>
  <si>
    <t>ИП Касминина Оксана Анатольевна</t>
  </si>
  <si>
    <t>345908251812</t>
  </si>
  <si>
    <t>ИП9404035355</t>
  </si>
  <si>
    <t>ИП940403535500000</t>
  </si>
  <si>
    <t>294407 Луганская Народная Республика город Краснодон улица Микроцентр дом 22   часть нежилого помещения №2</t>
  </si>
  <si>
    <t>ИП940403535500001</t>
  </si>
  <si>
    <t>291005 Луганская Народная Республика город Луганск Годуванцева 4 помещение 31</t>
  </si>
  <si>
    <t>ИП940403535500003</t>
  </si>
  <si>
    <t>291021 Луганская Народная Республика Луганск Советская Дом 57   Помещение 2</t>
  </si>
  <si>
    <t>ИП Кузьменко Елена Александровна</t>
  </si>
  <si>
    <t>345910835815</t>
  </si>
  <si>
    <t>ИП9404037625</t>
  </si>
  <si>
    <t>ИП940403762500000</t>
  </si>
  <si>
    <t>294520 Луганская Народная Республика Красный Луч Ленина дом 48 строение 24</t>
  </si>
  <si>
    <t>ИП ФЕДЯК Т. В.</t>
  </si>
  <si>
    <t>345912928818</t>
  </si>
  <si>
    <t>ИП9404036975</t>
  </si>
  <si>
    <t>ИП940403697500000</t>
  </si>
  <si>
    <t>291011 Луганская Народная Республика город Луганск улица Оборонная дом 1Е   торговое место № 2</t>
  </si>
  <si>
    <t>ИП Арутюнян Ашхен Юриковна</t>
  </si>
  <si>
    <t>345913942597</t>
  </si>
  <si>
    <t>ИП9404035292</t>
  </si>
  <si>
    <t>ИП940403529200000</t>
  </si>
  <si>
    <t>291048 Луганская Народная Республика город Луганск улица Буденного дом 138   секции №43, 44, 45, 46, 47, 48, 49, 50, 51, 52, 53, 54, 55, 56, 57, 58, 59, 60, 61, 62, 63, 64, 65, 66</t>
  </si>
  <si>
    <t>ИП Михайленко Сергей Владимирович</t>
  </si>
  <si>
    <t>345916428326</t>
  </si>
  <si>
    <t>ИП9404037595</t>
  </si>
  <si>
    <t>ИП940403759500000</t>
  </si>
  <si>
    <t>292000 Луганская Народная Республика город Лутугино улица Ленина дом 71А</t>
  </si>
  <si>
    <t>ИП940403759500001</t>
  </si>
  <si>
    <t>293401 Луганская Народная Республика город Северодонецк проспект Гвардейский дом 46   офис 209</t>
  </si>
  <si>
    <t>ИП940403759500002</t>
  </si>
  <si>
    <t>294005 Луганская Народная Республика город Стаханов улица Кирова дом 41</t>
  </si>
  <si>
    <t>ИП Демиденко Юрий Николаевич</t>
  </si>
  <si>
    <t>345916586883</t>
  </si>
  <si>
    <t>ИП9404035273</t>
  </si>
  <si>
    <t>ИП940403527300000</t>
  </si>
  <si>
    <t>291000 Луганская Народная Республика город Луганск улица Челюскинцев дом 1А   помещение инв.№ 02 на втором этаже трёхэтажного здания</t>
  </si>
  <si>
    <t>ИП Дежин Андрей Николаевич</t>
  </si>
  <si>
    <t>345918280971</t>
  </si>
  <si>
    <t>ИП9404035285</t>
  </si>
  <si>
    <t>ИП940403528500000</t>
  </si>
  <si>
    <t>294700 Луганская Народная Республика город Ровеньки улица Коммунистическая дом 18   комната 5</t>
  </si>
  <si>
    <t>ИП Кузьменкова Наталья Ивановна</t>
  </si>
  <si>
    <t>345918359861</t>
  </si>
  <si>
    <t>ИП9404035913</t>
  </si>
  <si>
    <t>ИП940403591300000</t>
  </si>
  <si>
    <t>294220 Луганская Народная Республика город Алчевск улица Гмыри дом 55  158</t>
  </si>
  <si>
    <t>ИП Доренская Елена Николаевна</t>
  </si>
  <si>
    <t>345919116124</t>
  </si>
  <si>
    <t>ИП9404036447</t>
  </si>
  <si>
    <t>ИП940403644700000</t>
  </si>
  <si>
    <t>291000 Луганская Народная Республика город Луганск улица Советская  дом 54   помещение 548 (торговое место №23)</t>
  </si>
  <si>
    <t>ИП940403644700001</t>
  </si>
  <si>
    <t>291000 Луганская Народная Республика город Луганск Советская 54   помещение 548( торговое место №4)</t>
  </si>
  <si>
    <t>ИП940403644700002</t>
  </si>
  <si>
    <t>291000 Луганская Народная Республика город Луганск улица Коцюбинского дом 25   помещение 43</t>
  </si>
  <si>
    <t>ИП Цуркан Денис Витальевич</t>
  </si>
  <si>
    <t>345920496181</t>
  </si>
  <si>
    <t>ИП9404036130</t>
  </si>
  <si>
    <t>ИП940403613000000</t>
  </si>
  <si>
    <t>291000 Луганская Народная Республика город Луганск Оборонная 26 лот  84</t>
  </si>
  <si>
    <t>ИП Зухбая Ольга Римовна</t>
  </si>
  <si>
    <t>345920566223</t>
  </si>
  <si>
    <t>ИП9404035298</t>
  </si>
  <si>
    <t>ИП940403529800001</t>
  </si>
  <si>
    <t>291000 Луганская Народная Республика город Луганск Советская 54 пом 548 т.т торг. место 24</t>
  </si>
  <si>
    <t>ИП940403529800002</t>
  </si>
  <si>
    <t>291000 Луганская Народная Республика город Луганск Советская 54 пом 548 т.т торг. место 27</t>
  </si>
  <si>
    <t>ИП940403529800003</t>
  </si>
  <si>
    <t>291000 Луганская Народная Республика город Луганск Советская 77</t>
  </si>
  <si>
    <t>ИП940403529800004</t>
  </si>
  <si>
    <t>291000 Луганская Народная Республика город Луганск 2-я Краснознаменная 28 лот  122/2</t>
  </si>
  <si>
    <t>ИП940403529800005</t>
  </si>
  <si>
    <t>291000 Луганская Народная Республика город Луганск Советская 54 пом 552 пом 552 торг. место 137</t>
  </si>
  <si>
    <t>ИП940403529800006</t>
  </si>
  <si>
    <t>291000 Луганская Народная Республика город Луганск Советская 54 пом 548  торговое место 2</t>
  </si>
  <si>
    <t>ИП940403529800007</t>
  </si>
  <si>
    <t>291000 Луганская Народная Республика город Луганск Советская 54 пом 548  торговое место 22</t>
  </si>
  <si>
    <t>ИП940403529800008</t>
  </si>
  <si>
    <t>291057 Луганская Народная Республика город Луганск кв. Солнечный 4  а 1</t>
  </si>
  <si>
    <t>ИП940403529800010</t>
  </si>
  <si>
    <t>291000 Луганская Народная Республика город Луганск Советская 54 пом 548  торг место 5</t>
  </si>
  <si>
    <t>ИП940403529800011</t>
  </si>
  <si>
    <t>291000 Луганская Народная Республика город Луганск Советская 54 пом 548  торговое место №30</t>
  </si>
  <si>
    <t>ИП940403529800012</t>
  </si>
  <si>
    <t>292700 Луганская Народная Республика город Старобельск Улица Коммунаров Дом 89А   Этаж 1</t>
  </si>
  <si>
    <t>ИП Титаренко Александр Владимирович</t>
  </si>
  <si>
    <t>345923687272</t>
  </si>
  <si>
    <t>ИП2304037597</t>
  </si>
  <si>
    <t>ИП230403759700000</t>
  </si>
  <si>
    <t>294701 Луганская Народная Республика город Ровеньки улица Ленина дом 45   помещение 72</t>
  </si>
  <si>
    <t>ИП Пронина Елена Александровна</t>
  </si>
  <si>
    <t>345925281912</t>
  </si>
  <si>
    <t>ИП9404035911</t>
  </si>
  <si>
    <t>ИП940403591100000</t>
  </si>
  <si>
    <t>291000 Луганская Народная Республика город Луганск улица Демехина дом 27</t>
  </si>
  <si>
    <t>ИП Мельник Анна Владимировна</t>
  </si>
  <si>
    <t>345925664471</t>
  </si>
  <si>
    <t>ИП9404037550</t>
  </si>
  <si>
    <t>ИП940403755000000</t>
  </si>
  <si>
    <t>294801 Луганская Народная Республика город Свердловск улица Зои Космодемьянской дом 2</t>
  </si>
  <si>
    <t>ИП Смирных Анна Александровна</t>
  </si>
  <si>
    <t>345926037554</t>
  </si>
  <si>
    <t>ИП9404036014</t>
  </si>
  <si>
    <t>ИП940403601400000</t>
  </si>
  <si>
    <t>294801 Луганская Народная Республика город Свердловск улица Косиора здание 4/1</t>
  </si>
  <si>
    <t>ИП940403601400001</t>
  </si>
  <si>
    <t>294407 Луганская Народная Республика город Краснодон улица Петра Котова дом 3</t>
  </si>
  <si>
    <t>ИП940403601400002</t>
  </si>
  <si>
    <t>294701 Луганская Народная Республика город Ровеньки улица Коммунистическая дом 18   комната 6</t>
  </si>
  <si>
    <t>ИП940403601400003</t>
  </si>
  <si>
    <t>294520 Луганская Народная Республика город Красный Луч улица Ленина здание 45  Ж</t>
  </si>
  <si>
    <t>ИП940403601400004</t>
  </si>
  <si>
    <t>294407 Луганская Народная Республика город Краснодон улица Артема дом 9   помещение 3/1</t>
  </si>
  <si>
    <t>ИП940403601400005</t>
  </si>
  <si>
    <t>294613 Луганская Народная Республика город Антрацит улица Ростовская дом 15-б второй этаж №215</t>
  </si>
  <si>
    <t>ИП Волобуев Виталий Юрьевич</t>
  </si>
  <si>
    <t>345928287983</t>
  </si>
  <si>
    <t>ИП9404035291</t>
  </si>
  <si>
    <t>ИП940403529100000</t>
  </si>
  <si>
    <t>293401 Луганская Народная Республика город Северодонецк проспект Гвардейский дом 46</t>
  </si>
  <si>
    <t>ИП Костина Ирина Александровна</t>
  </si>
  <si>
    <t>345928616758</t>
  </si>
  <si>
    <t>ИП9404039312</t>
  </si>
  <si>
    <t>ИП940403931200000</t>
  </si>
  <si>
    <t>291011 Луганская Народная Республика город Луганск ул. Оборонная 2ж</t>
  </si>
  <si>
    <t>ИП Долиба Николай Михайлович</t>
  </si>
  <si>
    <t>345931328767</t>
  </si>
  <si>
    <t>ИП9404040370</t>
  </si>
  <si>
    <t>ИП940404037000000</t>
  </si>
  <si>
    <t>291000 Луганская Народная Республика город Луганск квартал Мирный дом 2в</t>
  </si>
  <si>
    <t>ИП940404037000001</t>
  </si>
  <si>
    <t>291021 Луганская Народная Республика город Луганск улица Советская дом 63 (помещение 3)</t>
  </si>
  <si>
    <t>ИП940404037000002</t>
  </si>
  <si>
    <t>291000 Луганская Народная Республика поселок  Юбилейный улица Артёма дом 12</t>
  </si>
  <si>
    <t>ИП940404037000003</t>
  </si>
  <si>
    <t>294005 Луганская Народная Республика город Стаханов улица Богдана Хмельницкого дом 40Б</t>
  </si>
  <si>
    <t>ИП940404037000004</t>
  </si>
  <si>
    <t>291000 Луганская Народная Республика город Луганск квартал Героев Сталинграда 6-а</t>
  </si>
  <si>
    <t>ИП940404037000005</t>
  </si>
  <si>
    <t>294220 Луганская Народная Республика город Алчевск улица  Ленина дом 80а</t>
  </si>
  <si>
    <t>ИП940404037000006</t>
  </si>
  <si>
    <t>291000 Луганская Народная Республика город Луганск  квартал Дружба возле дома 1</t>
  </si>
  <si>
    <t>ИП940404037000007</t>
  </si>
  <si>
    <t>291000 Луганская Народная Республика город Луганск квартал Ватутина дом 27г</t>
  </si>
  <si>
    <t>ИП940404037000009</t>
  </si>
  <si>
    <t>291000 Луганская Народная Республика город Лутугино улица Ленина дом 118б</t>
  </si>
  <si>
    <t>ИП940404037000010</t>
  </si>
  <si>
    <t>294801 Луганская Народная Республика город Свердловск улица Косиора дом 7-а (1 этаж, место №126/2)</t>
  </si>
  <si>
    <t>ИП940404037000012</t>
  </si>
  <si>
    <t>294204 Луганская Народная Республика город Алчевск улица Горького дом 29</t>
  </si>
  <si>
    <t>ИП940404037000013</t>
  </si>
  <si>
    <t>294613 Луганская Народная Республика город Антрацит улица Петровского дом 27/32</t>
  </si>
  <si>
    <t>ИП940404037000014</t>
  </si>
  <si>
    <t>291000 Луганская Народная Республика город Краснодон улица П.Котова  дом 16</t>
  </si>
  <si>
    <t>ИП940404037000015</t>
  </si>
  <si>
    <t>291000 Луганская Народная Республика город Луганск улица Советская дом 64А   1 этаж</t>
  </si>
  <si>
    <t>ИП Минкина Юлия Васильевна</t>
  </si>
  <si>
    <t>345933748823</t>
  </si>
  <si>
    <t>ИП9404035270</t>
  </si>
  <si>
    <t>ИП940403527000000</t>
  </si>
  <si>
    <t>294520 Луганская Народная Республика город Красный Луч улица Шевченко дом 71</t>
  </si>
  <si>
    <t>ИП940403527000001</t>
  </si>
  <si>
    <t>291000 Луганская Народная Республика город Луганск улица Советская дом 63   3</t>
  </si>
  <si>
    <t>ИП Кожухалова Тамара Львовна</t>
  </si>
  <si>
    <t>345958933930</t>
  </si>
  <si>
    <t>ИП9404035737</t>
  </si>
  <si>
    <t>ИП940403573700000</t>
  </si>
  <si>
    <t>294520 Луганская Народная Республика город Красный Луч улица Ленина дом 48</t>
  </si>
  <si>
    <t>ИП Ефимова Инна Евгеньевна</t>
  </si>
  <si>
    <t>345967385529</t>
  </si>
  <si>
    <t>ИП9404039770</t>
  </si>
  <si>
    <t>ИП940403977000000</t>
  </si>
  <si>
    <t>291031 Луганская Народная Республика город Луганск улица Оборонная дом 26   лот 89</t>
  </si>
  <si>
    <t>ИП ГАРИБЯН Р. Р.</t>
  </si>
  <si>
    <t>345972665810</t>
  </si>
  <si>
    <t>ИП9404039413</t>
  </si>
  <si>
    <t>ИП940403941300000</t>
  </si>
  <si>
    <t>294005 Луганская Народная Республика город Стаханов улица Богдана Хмельницкого дом 36</t>
  </si>
  <si>
    <t>ИП Подлесная Оксана Сергеевна</t>
  </si>
  <si>
    <t>345974479584</t>
  </si>
  <si>
    <t>ИП9404039644</t>
  </si>
  <si>
    <t>ИП940403964400000</t>
  </si>
  <si>
    <t>294204 Луганская Народная Республика город Алчевск улица Менжинского дом 84</t>
  </si>
  <si>
    <t>ИП940403964400001</t>
  </si>
  <si>
    <t>294220 Луганская Народная Республика Алчевск Гмыри 55</t>
  </si>
  <si>
    <t>ИП Милявская Оксана Степановна</t>
  </si>
  <si>
    <t>366238407600</t>
  </si>
  <si>
    <t>ИП9404035286</t>
  </si>
  <si>
    <t>П1010403383500000</t>
  </si>
  <si>
    <t>294220 Луганская Народная Республика г.Алчевск Гмыри 55 1 этаж</t>
  </si>
  <si>
    <t>ИП Истратова Нина Владимировна</t>
  </si>
  <si>
    <t>460103000883</t>
  </si>
  <si>
    <t>ИП9404035283</t>
  </si>
  <si>
    <t>ИП940403528300000</t>
  </si>
  <si>
    <t>294207 Луганская Народная Республика г.Алчевск Чапаева 164в</t>
  </si>
  <si>
    <t>ИП940403528300001</t>
  </si>
  <si>
    <t>294220 Луганская Народная Республика г.Алчевск Гмыри 55 2 этаж</t>
  </si>
  <si>
    <t>ИП940403528300002</t>
  </si>
  <si>
    <t>291016 Луганская Народная Республика город Луганск улица Советская дом 54 помещение 548  торговое место №14</t>
  </si>
  <si>
    <t>ИП Пилипчак Наталья Леонидовна</t>
  </si>
  <si>
    <t>614503354550</t>
  </si>
  <si>
    <t>ИП9404035297</t>
  </si>
  <si>
    <t>ИП940403529700000</t>
  </si>
  <si>
    <t>291016 Луганская Народная Республика город Луганск улица Советская дом 54 помещение 548  торговое место №84</t>
  </si>
  <si>
    <t>ИП940403529700001</t>
  </si>
  <si>
    <t>294220 Луганская Народная Республика город Алчевск улица Гмыри дом 55   офис 49</t>
  </si>
  <si>
    <t>ИП940403529700002</t>
  </si>
  <si>
    <t>294407 Луганская Народная Республика город Краснодон улица П. Котова дом 16   помещение №1</t>
  </si>
  <si>
    <t>ИП940403529700004</t>
  </si>
  <si>
    <t>291048 Луганская Народная Республика город Луганск улица Буденного дом 138   секция №1, 2, 3, 4, 5, 6, 7, 8, 9, 10, 11, 12, 13, 14, 15, 16, 17, 18, 19, 20, 21, 22, 23, 24, 25, 26, 27, 28, 29, 30, 31, 32, 33, 34, 35, 36, 39, 40, 41, 42.</t>
  </si>
  <si>
    <t>ИП940403529700005</t>
  </si>
  <si>
    <t>294801 Луганская Народная Республика город Свердловск улица Косиора дом 7А 1-й этаж  место №114</t>
  </si>
  <si>
    <t>ИП Лототович Элина Алефтиновна</t>
  </si>
  <si>
    <t>614809021653</t>
  </si>
  <si>
    <t>ИП9404037721</t>
  </si>
  <si>
    <t>ИП940403772100000</t>
  </si>
  <si>
    <t>294407 Луганская Народная Республика город Краснодон улица Петра Котова 4  а</t>
  </si>
  <si>
    <t>ИП Маранчак Вадим Анатольевич</t>
  </si>
  <si>
    <t>616406635421</t>
  </si>
  <si>
    <t>ИП6104033153</t>
  </si>
  <si>
    <t>ИП610403315300000</t>
  </si>
  <si>
    <t>294801 Луганская Народная Республика город Свердловск Косиора 7</t>
  </si>
  <si>
    <t>ИП610403315300002</t>
  </si>
  <si>
    <t>ИП Фёдоров Вячеслав Александрович</t>
  </si>
  <si>
    <t>770600535019</t>
  </si>
  <si>
    <t>ИП9404039108</t>
  </si>
  <si>
    <t>ИП940403910800000</t>
  </si>
  <si>
    <t>ИП Смирных Данил Александрович</t>
  </si>
  <si>
    <t>910309371749</t>
  </si>
  <si>
    <t>ИП9104037732</t>
  </si>
  <si>
    <t>ИП910403773200000</t>
  </si>
  <si>
    <t>ИП910403773200001</t>
  </si>
  <si>
    <t>ИП910403773200002</t>
  </si>
  <si>
    <t>ИП910403773200003</t>
  </si>
  <si>
    <t>294520 Луганская Народная Республика город Красный Луч улица Ленина дом 45-ж</t>
  </si>
  <si>
    <t>ИП910403773200004</t>
  </si>
  <si>
    <t>294407 Луганская Народная Республика город Краснодон улица Артема дом 9   помещение 3</t>
  </si>
  <si>
    <t>ИП910403773200005</t>
  </si>
  <si>
    <t>294214 Луганская Народная Республика город Алчевск улица Ленина дом 35К</t>
  </si>
  <si>
    <t>ИП Мирончик Сергей Иванович</t>
  </si>
  <si>
    <t>911004831810</t>
  </si>
  <si>
    <t>ИП9404039578</t>
  </si>
  <si>
    <t>ИП940403957800000</t>
  </si>
  <si>
    <t>94000 Луганская Народная Республика город Стаханов улица Перекопская дом 3б</t>
  </si>
  <si>
    <t>ИП Болотов Станислав Леонидович</t>
  </si>
  <si>
    <t>911109417797</t>
  </si>
  <si>
    <t>ИП8204031597</t>
  </si>
  <si>
    <t>ИП820403159700000</t>
  </si>
  <si>
    <t>291000 Луганская Народная Республика город Луганск Советская 54   помещение 548 (торговое место 20)</t>
  </si>
  <si>
    <t>ИП Ковта Алла Николаевна</t>
  </si>
  <si>
    <t>940200181844</t>
  </si>
  <si>
    <t>ИП9404036148</t>
  </si>
  <si>
    <t>ИП940403614800000</t>
  </si>
  <si>
    <t>291000 Луганская Народная Республика город Луганск Советская 54   помещение 548 (торговое место 28)</t>
  </si>
  <si>
    <t>ИП940403614800001</t>
  </si>
  <si>
    <t>291000 Луганская Народная Республика город Луганск кв.Солнечный 4А-1</t>
  </si>
  <si>
    <t>ИП Черевань Татьяна Григорьевна</t>
  </si>
  <si>
    <t>940200183601</t>
  </si>
  <si>
    <t>ИП9404035279</t>
  </si>
  <si>
    <t>ИП940403527900001</t>
  </si>
  <si>
    <t>291000 Луганская Народная Республика город Луганск кв.Солнечный  4А   т.м №3</t>
  </si>
  <si>
    <t>ИП940403527900002</t>
  </si>
  <si>
    <t>291000 Луганская Народная Республика город Луганск Краснознаменная 28   лот 140</t>
  </si>
  <si>
    <t>ИП940403527900003</t>
  </si>
  <si>
    <t>291000 Луганская Народная Республика город Луганск Советская 54 пом 548  торговое место 18</t>
  </si>
  <si>
    <t>ИП940403527900005</t>
  </si>
  <si>
    <t>291000 Луганская Народная Республика город Луганск Оборонная 26   лот 195</t>
  </si>
  <si>
    <t>ИП940403527900007</t>
  </si>
  <si>
    <t>291000 Луганская Народная Республика город Луганск улица Советская дом 54   помещение 548</t>
  </si>
  <si>
    <t>ИП Антипова Лилия Анатольевна</t>
  </si>
  <si>
    <t>940200197731</t>
  </si>
  <si>
    <t>ИП9404036200</t>
  </si>
  <si>
    <t>ИП940403620000000</t>
  </si>
  <si>
    <t>ИП Ковта Кристина Андреевна</t>
  </si>
  <si>
    <t>940201381853</t>
  </si>
  <si>
    <t>ИП9404036877</t>
  </si>
  <si>
    <t>ИП940403687700000</t>
  </si>
  <si>
    <t>291000 Луганская Народная Республика город Луганск улица Коцюбинского дом 13   Кабинет 11</t>
  </si>
  <si>
    <t>ИП Милащенко Максим Александрович</t>
  </si>
  <si>
    <t>940201776033</t>
  </si>
  <si>
    <t>ИП9404038842</t>
  </si>
  <si>
    <t>ИП940403884200000</t>
  </si>
  <si>
    <t>291000 Луганская Народная Республика город Луганск улица Градусова дом 4</t>
  </si>
  <si>
    <t>ИП Федина Людмила Степановна</t>
  </si>
  <si>
    <t>940300120080</t>
  </si>
  <si>
    <t>ИП9404036149</t>
  </si>
  <si>
    <t>ИП940403614900000</t>
  </si>
  <si>
    <t>291050 Луганская Народная Республика город Луганск улица 2-я Краснознаменная дом 28   Лот № 139</t>
  </si>
  <si>
    <t>ИП Лозинский Александр Михайлович</t>
  </si>
  <si>
    <t>940300130191</t>
  </si>
  <si>
    <t>ИП9404035275</t>
  </si>
  <si>
    <t>ИП940403527500000</t>
  </si>
  <si>
    <t>291000 Луганская Народная Республика город Луганск квартал Солнечный дом 4 А   Тогровый модуль № 9</t>
  </si>
  <si>
    <t>ИП940403527500001</t>
  </si>
  <si>
    <t>293600 Луганская Народная Республика поселок городского типа Станица Луганская улица Ленина дом 30А</t>
  </si>
  <si>
    <t>ИП Антипова Анна Владимировна</t>
  </si>
  <si>
    <t>940300175428</t>
  </si>
  <si>
    <t>ИП9404037426</t>
  </si>
  <si>
    <t>ИП940403742600000</t>
  </si>
  <si>
    <t>293402 Луганская Народная Республика город Северодонецк проспект Химиков дом 23/1</t>
  </si>
  <si>
    <t>ИП940403742600001</t>
  </si>
  <si>
    <t>291000 Луганская Народная Республика город Луганск Коцюбинского 15А</t>
  </si>
  <si>
    <t>ИП Фруман Сергей Борисович</t>
  </si>
  <si>
    <t>940300472011</t>
  </si>
  <si>
    <t>ИП9404035703</t>
  </si>
  <si>
    <t>ИП940403570300000</t>
  </si>
  <si>
    <t>291031 Луганская Народная Республика город Луганск улица КОЦЮБИНСКОГО дом 15-А</t>
  </si>
  <si>
    <t>ИП Фруман Ирина Ивановна</t>
  </si>
  <si>
    <t>940301758912</t>
  </si>
  <si>
    <t>ИП9404040158</t>
  </si>
  <si>
    <t>ИП940404015800000</t>
  </si>
  <si>
    <t>292300 Луганская Народная Республика поселок городского типа Новопсков улица Ленина дом 118 К этаж №2   помещение № 1</t>
  </si>
  <si>
    <t>ИП Чайка Карина Васильевна</t>
  </si>
  <si>
    <t>940400088507</t>
  </si>
  <si>
    <t>ИП9404038721</t>
  </si>
  <si>
    <t>ИП940403872100000</t>
  </si>
  <si>
    <t>292700 Луганская Народная Республика город Старобельск площадь Базарная 1 а</t>
  </si>
  <si>
    <t>ИП Нагорный Алексей Викторович</t>
  </si>
  <si>
    <t>940400379577</t>
  </si>
  <si>
    <t>ИП9404036421</t>
  </si>
  <si>
    <t>ИП940403642100000</t>
  </si>
  <si>
    <t>292700 Луганская Народная Республика город Старобельск Коммунаров 89А</t>
  </si>
  <si>
    <t>ИП Смокина Наталья Анатольевна</t>
  </si>
  <si>
    <t>940500146520</t>
  </si>
  <si>
    <t>ИП9404036502</t>
  </si>
  <si>
    <t>ИП940403650200000</t>
  </si>
  <si>
    <t>ИП Васильев Денис Юрьевич</t>
  </si>
  <si>
    <t>940501052296</t>
  </si>
  <si>
    <t>ИП9404036770</t>
  </si>
  <si>
    <t>ИП940403677000000</t>
  </si>
  <si>
    <t>294204 Луганская Народная Республика город Алчевск Менжинского  84</t>
  </si>
  <si>
    <t>ИП940403528000000</t>
  </si>
  <si>
    <t>294801 Луганская Народная Республика город Свердловск Энгельса 36</t>
  </si>
  <si>
    <t>ИП940403528000001</t>
  </si>
  <si>
    <t>294204 Луганская Народная Республика город Алчевск Менжинского  40</t>
  </si>
  <si>
    <t>ИП940403528000002</t>
  </si>
  <si>
    <t>294005 Луганская Народная Республика город Стаханов Б.Хмельницкого 36</t>
  </si>
  <si>
    <t>ИП940403528000003</t>
  </si>
  <si>
    <t>294214 Луганская Народная Республика город Алчевск улица Гмыри дом 18   помещение 3</t>
  </si>
  <si>
    <t>ООО "МАРТ"</t>
  </si>
  <si>
    <t>9406008007</t>
  </si>
  <si>
    <t>ЮЛ9404038949</t>
  </si>
  <si>
    <t>ЮЛ940403894900000</t>
  </si>
  <si>
    <t>294005 Луганская Народная Республика город Стаханов улица Богдана Хмельницкого  38/48 бутик №49</t>
  </si>
  <si>
    <t>ИП Самодурова Вера Николаевна</t>
  </si>
  <si>
    <t>940700137138</t>
  </si>
  <si>
    <t>ИП9404035278</t>
  </si>
  <si>
    <t>ИП940403527800000</t>
  </si>
  <si>
    <t>294005 Луганская Народная Республика Город Стаханов Улица Б.Хмельницкого Магазин "Культтовары"Дом 38/22</t>
  </si>
  <si>
    <t>ИП Матушкова Елена Николаевна</t>
  </si>
  <si>
    <t>940701291478</t>
  </si>
  <si>
    <t>ИП9404038209</t>
  </si>
  <si>
    <t>ИП940403820900000</t>
  </si>
  <si>
    <t>29300 Луганская Народная Республика Первомайск квартал 40лет Победы Дом 4а</t>
  </si>
  <si>
    <t>ИП940403820900003</t>
  </si>
  <si>
    <t>29300 Луганская Народная Республика Первомайск Улица Островского Дом 1а</t>
  </si>
  <si>
    <t>ИП940403820900004</t>
  </si>
  <si>
    <t>294407 Луганская Народная Республика город Краснодон улица Артема 9   56</t>
  </si>
  <si>
    <t>ИП Сахаров Александр Александрович</t>
  </si>
  <si>
    <t>940800542901</t>
  </si>
  <si>
    <t>ИП9404035271</t>
  </si>
  <si>
    <t>П1010403481200000</t>
  </si>
  <si>
    <t>ИП Носова Наталья Александровна</t>
  </si>
  <si>
    <t>940900102453</t>
  </si>
  <si>
    <t>ИП9404036281</t>
  </si>
  <si>
    <t>ИП940403628100000</t>
  </si>
  <si>
    <t>291016 Луганская Народная Республика г. Луганск ул. Советская 56</t>
  </si>
  <si>
    <t>ИП Капелис Мария Юрьевна</t>
  </si>
  <si>
    <t>940900109360</t>
  </si>
  <si>
    <t>ИП9404035288</t>
  </si>
  <si>
    <t>П1010403358300000</t>
  </si>
  <si>
    <t>294701 Луганская Народная Республика город Ровеньки улица Коммунистическая  дом 1</t>
  </si>
  <si>
    <t>ООО "ПЮКП "АГАТ"</t>
  </si>
  <si>
    <t>9409003399</t>
  </si>
  <si>
    <t>ЮЛ9404035262</t>
  </si>
  <si>
    <t>ЮЛ940403526200000</t>
  </si>
  <si>
    <t>294701 Луганская Народная Республика город Ровеньки улица Коммунистическая дом 1   этаж №1 комнаты 136 и 9</t>
  </si>
  <si>
    <t>ЮЛ940403526200002</t>
  </si>
  <si>
    <t>294701 Луганская Народная Республика город Ровеньки улица Капанелли дом 5   помещение 40</t>
  </si>
  <si>
    <t>ЮЛ940403526200003</t>
  </si>
  <si>
    <t>294707 Луганская Народная Республика город Ровеньки улица Дзержинского дом 78М</t>
  </si>
  <si>
    <t>ИП Кузьменкова Екатерина Юрьевна</t>
  </si>
  <si>
    <t>940900739683</t>
  </si>
  <si>
    <t>ИП9404036595</t>
  </si>
  <si>
    <t>ИП940403659500000</t>
  </si>
  <si>
    <t>294520 Луганская Народная Республика город Красный Луч улица Магистральная 64</t>
  </si>
  <si>
    <t>ИП Дядищева Лилия Николаевна</t>
  </si>
  <si>
    <t>941000088409</t>
  </si>
  <si>
    <t>ИП9404037947</t>
  </si>
  <si>
    <t>ИП940403794700000</t>
  </si>
  <si>
    <t>294613 Луганская Народная Республика город Антрацит улица Ростовская дом 15б   101</t>
  </si>
  <si>
    <t>ИП940403794700001</t>
  </si>
  <si>
    <t>294520 Луганская Народная Республика город Красный Луч улица Магистральная дом 64   1 этаж</t>
  </si>
  <si>
    <t>ИП Ракул Оксана Анатольевна</t>
  </si>
  <si>
    <t>941000176510</t>
  </si>
  <si>
    <t>ИП9404037944</t>
  </si>
  <si>
    <t>ИП940403794400000</t>
  </si>
  <si>
    <t>294701 Луганская Народная Республика город Ровеньки ул.Коммуностическая 6</t>
  </si>
  <si>
    <t>ИП940403794400001</t>
  </si>
  <si>
    <t>294520 Луганская Народная Республика город Красный Луч Магистральная 64   2 этаж</t>
  </si>
  <si>
    <t>ИП940403794400002</t>
  </si>
  <si>
    <t>294520 Луганская Народная Республика Красный Луч Магистральная 43</t>
  </si>
  <si>
    <t>ИП КРЫЖАНОВА А. В.</t>
  </si>
  <si>
    <t>941000453524</t>
  </si>
  <si>
    <t>ИП9404038947</t>
  </si>
  <si>
    <t>ИП940403894700000</t>
  </si>
  <si>
    <t>294520 Луганская Народная Республика г. Красный Луч Магистральная 64</t>
  </si>
  <si>
    <t>ИП Назарова Наиля Азизуловна</t>
  </si>
  <si>
    <t>941002214000</t>
  </si>
  <si>
    <t>ИП9404039445</t>
  </si>
  <si>
    <t>ИП940403944500000</t>
  </si>
  <si>
    <t>294520 Луганская Народная Республика город Красный Луч Магистральная 64</t>
  </si>
  <si>
    <t>ИП940403944500001</t>
  </si>
  <si>
    <t>Магаданская область</t>
  </si>
  <si>
    <t>685030 Магаданская область город Магадан улица Портовая дом 7   помещение 1,4</t>
  </si>
  <si>
    <t>ООО "ПАП"</t>
  </si>
  <si>
    <t>4900014821</t>
  </si>
  <si>
    <t>ЮЛ4909035256</t>
  </si>
  <si>
    <t>ЮЛ490903525600000</t>
  </si>
  <si>
    <t>685000 Магаданская область город Магадан улица Гагарина дом 36   помещение 1</t>
  </si>
  <si>
    <t>ЮЛ490903525600001</t>
  </si>
  <si>
    <t>685000 Магаданская область город Магадан пр. Карла Маркса  дом 31/18   помещение 1</t>
  </si>
  <si>
    <t>ЮЛ490903525600002</t>
  </si>
  <si>
    <t>685017 Магаданская область город Магадан улица Дзержинского дом 2</t>
  </si>
  <si>
    <t>ИП Ахайпина Алевтина Анатольевна</t>
  </si>
  <si>
    <t>490300256604</t>
  </si>
  <si>
    <t>ИП4909017800</t>
  </si>
  <si>
    <t>ИП490901780000000</t>
  </si>
  <si>
    <t>686314 Магаданская область город Сусуман улица Ленина дом 8</t>
  </si>
  <si>
    <t>ИП Никифорова Людмила Михайловна</t>
  </si>
  <si>
    <t>490500004241</t>
  </si>
  <si>
    <t>ИП4909001071</t>
  </si>
  <si>
    <t>ИП490900107100000</t>
  </si>
  <si>
    <t>685000 Магаданская область город Магадан проезд 2-й Горького дом 5</t>
  </si>
  <si>
    <t>ИП Басанский Владислав Олегович</t>
  </si>
  <si>
    <t>490701578895</t>
  </si>
  <si>
    <t>ИП4909002848</t>
  </si>
  <si>
    <t>ИП490900284800001</t>
  </si>
  <si>
    <t>685000 Магаданская область город Магадан проспект Карла Маркса дом 35</t>
  </si>
  <si>
    <t>ИП490900284800002</t>
  </si>
  <si>
    <t>685000 Магаданская область город Магадан проспект Карла Маркса дом 38 ювелирный отдел "Серебро"  торгового центра "Восход"</t>
  </si>
  <si>
    <t>ООО ПО "ЗОЛОТОЙ САМОРОДОК"</t>
  </si>
  <si>
    <t>4907017660</t>
  </si>
  <si>
    <t>ЮЛ4909002893</t>
  </si>
  <si>
    <t>ЮЛ490900289300001</t>
  </si>
  <si>
    <t>685000 Магаданская область город Магадан проспект Карла Маркса дом 35 ювелирный отдел "Серебро"  магазин "Самородок"</t>
  </si>
  <si>
    <t>ЮЛ490900289300002</t>
  </si>
  <si>
    <t>685000 Магаданская область город Магадан улица Горького дом 8   ювелирный магазин "Бриллиант"</t>
  </si>
  <si>
    <t>ЮЛ490900289300003</t>
  </si>
  <si>
    <t>685000 Магаданская область город Магадан проспект Ленина дом 22/2 ювелирный магазин  "Золотой Арбат"</t>
  </si>
  <si>
    <t>ЮЛ490900289300004</t>
  </si>
  <si>
    <t>685000 Магаданская область город Магадан проспект Карла Маркса дом 27 ювелирный магазин  "Золото-Серебро"</t>
  </si>
  <si>
    <t>ЮЛ490900289300005</t>
  </si>
  <si>
    <t>685000 Магаданская область город Магадан проспект Карла Маркса дом 40 помещение 001  ювелирный магазин "Золотой"</t>
  </si>
  <si>
    <t>ЮЛ490900289300006</t>
  </si>
  <si>
    <t>685000 Магаданская область город Магадан проспект Карла Маркса дом 38 ювелирный отдел "Золотой мир  торгового центра "Восход"</t>
  </si>
  <si>
    <t>ЮЛ490900289300007</t>
  </si>
  <si>
    <t>685000 Магаданская область город Магадан 2 км Основной трассы  ювелирный павильон "Самородок"  ТРЦ "МегаМаг"</t>
  </si>
  <si>
    <t>ЮЛ490900289300008</t>
  </si>
  <si>
    <t>685000 Магаданская область город Магадан Пролетарская 13 1  ювелирный магазин "Золото" Хуторок</t>
  </si>
  <si>
    <t>ЮЛ490900289300009</t>
  </si>
  <si>
    <t>686230 Магаданская область поселок городского типа Ягодное Набережная 8</t>
  </si>
  <si>
    <t>4908001398</t>
  </si>
  <si>
    <t>ЮЛ4909000318</t>
  </si>
  <si>
    <t>ЮЛ490900031800000</t>
  </si>
  <si>
    <t>685000 Магаданская область город Магадан улица Набережная реки Магаданки 15 1</t>
  </si>
  <si>
    <t>ООО "ПРОИЗВОДСТВЕННОЕ ОБЪЕДИНЕНИЕ "999"</t>
  </si>
  <si>
    <t>4909086690</t>
  </si>
  <si>
    <t>ЮЛ4909011062</t>
  </si>
  <si>
    <t>ЮЛ490901106200000</t>
  </si>
  <si>
    <t>685000 Магаданская область город Магадан площадь Горького дом 9</t>
  </si>
  <si>
    <t>ЮЛ490901106200001</t>
  </si>
  <si>
    <t>685030 Магаданская область город Магадан улица Наровчатова дом 16</t>
  </si>
  <si>
    <t>ООО ЛОМБАРД "АСТЕРОИД"</t>
  </si>
  <si>
    <t>4909111650</t>
  </si>
  <si>
    <t>ЮЛ4909013543</t>
  </si>
  <si>
    <t>ЮЛ490901354300000</t>
  </si>
  <si>
    <t>685000 Магаданская область город Магадан переулок Марчеканский дом 8 корпус 1</t>
  </si>
  <si>
    <t>ООО "СФЕРА ПЛЮС"</t>
  </si>
  <si>
    <t>4909115077</t>
  </si>
  <si>
    <t>ЮЛ4909009152</t>
  </si>
  <si>
    <t>ЮЛ490900915200000</t>
  </si>
  <si>
    <t>685000 Магаданская область город Магадан улица Портовая дом 8</t>
  </si>
  <si>
    <t>ООО "САМОРОДКИ КОЛЫМЫ"</t>
  </si>
  <si>
    <t>4909909457</t>
  </si>
  <si>
    <t>ЮЛ4909003372</t>
  </si>
  <si>
    <t>ЮЛ490900337200001</t>
  </si>
  <si>
    <t>685000 Магаданская область город Магадан площадь Комсомольская дом 2</t>
  </si>
  <si>
    <t>ЮЛ490900337200002</t>
  </si>
  <si>
    <t>685030 Магаданская область город Магадан улица Наровчатова дом 11/69 помещение №1</t>
  </si>
  <si>
    <t>ЮЛ490900337200003</t>
  </si>
  <si>
    <t>685000 Магаданская область город Магадан улица Гагарина дом 28 помещение №002</t>
  </si>
  <si>
    <t>ЮЛ490900337200004</t>
  </si>
  <si>
    <t>685910 Магаданская область поселок городского типа Ола улица Каширина дом 6</t>
  </si>
  <si>
    <t>ЮЛ490900337200005</t>
  </si>
  <si>
    <t>685000 Магаданская область город Магадан улица Портовая дом 11/2</t>
  </si>
  <si>
    <t>ЮЛ490900337200006</t>
  </si>
  <si>
    <t>685000 Магаданская область город Магадан улица Горького дом 7</t>
  </si>
  <si>
    <t>ЮЛ490900337200007</t>
  </si>
  <si>
    <t>686110 Магаданская область поселок городского типа Палатка улица Центральная дом 22</t>
  </si>
  <si>
    <t>ЮЛ490900337200008</t>
  </si>
  <si>
    <t>685918 Магаданская область город Магадан  Аэропорт, зал прилета аэровокзала, помещение № 65/1</t>
  </si>
  <si>
    <t>ЮЛ490900337200009</t>
  </si>
  <si>
    <t>685000 Магаданская область город Магадан улица Портовая дом 9   01 этаж, помещения 21,23,23а,23б,28,29,30,30а,31, 00 этаж, помещения 34,36,37,37а,37б</t>
  </si>
  <si>
    <t>ЮЛ770100193500169</t>
  </si>
  <si>
    <t>685000 Магаданская область город Магадан улица Дзержинского дом 21   часть нежилого помещения №1, нежилые помещения №№2,3,4,5,6 на первом этаже, часть нежилых помещений №2,№5, нежилые помещения №№1,8,9, расположенные в подвале</t>
  </si>
  <si>
    <t>ЮЛ780300308201226</t>
  </si>
  <si>
    <t>Москва</t>
  </si>
  <si>
    <t>123103 город Москва проспект Маршала Жукова дом 76 корпус 2  51а</t>
  </si>
  <si>
    <t>ИП Манюшкина Альбина Исламовна</t>
  </si>
  <si>
    <t>22404311953</t>
  </si>
  <si>
    <t>ИП7701005457</t>
  </si>
  <si>
    <t>ИП770100545700000</t>
  </si>
  <si>
    <t>125252 город Москва бульвар Ходынский дом 4</t>
  </si>
  <si>
    <t>ИП780301291200018</t>
  </si>
  <si>
    <t>105064 город Москва улица Земляной Вал дом 33</t>
  </si>
  <si>
    <t>ИП780301291200022</t>
  </si>
  <si>
    <t>123112 город Москва набережная Пресненская дом 2</t>
  </si>
  <si>
    <t>ИП780301291200024</t>
  </si>
  <si>
    <t>125171 город Москва шоссе Ленинградское дом 16а строение 4</t>
  </si>
  <si>
    <t>ИП780301291200027</t>
  </si>
  <si>
    <t>119331 город Москва улица Кравченко дом 8   подвал, помещение IV, комнаты 1-13</t>
  </si>
  <si>
    <t>ИП Бутенко Елена Николаевна</t>
  </si>
  <si>
    <t>26808707891</t>
  </si>
  <si>
    <t>ИП7701036398</t>
  </si>
  <si>
    <t>ИП770103639800000</t>
  </si>
  <si>
    <t>125047 город Москва улица 1-я Брестская владение 35   помещение 609</t>
  </si>
  <si>
    <t>ИП Иванова Ольга Викторовна</t>
  </si>
  <si>
    <t>27412963006</t>
  </si>
  <si>
    <t>ИП5001012854</t>
  </si>
  <si>
    <t>ИП500101285400000</t>
  </si>
  <si>
    <t>125009 город Москва переулок Малый Кисловский 1/4   Помещение 2, комнаты 1-8</t>
  </si>
  <si>
    <t>ИП Сагидуллина Дина Нургизовна</t>
  </si>
  <si>
    <t>27611196514</t>
  </si>
  <si>
    <t>ИП7701015194</t>
  </si>
  <si>
    <t>ИП770101519400000</t>
  </si>
  <si>
    <t>109012 город Москва улица Никольская дом 10   Комната 5</t>
  </si>
  <si>
    <t>ИП Язова Галина Валерьевна</t>
  </si>
  <si>
    <t>27615430500</t>
  </si>
  <si>
    <t>ИП7701004663</t>
  </si>
  <si>
    <t>ИП770100466300000</t>
  </si>
  <si>
    <t>117042 город Москва проезд Чечёрский дом 51</t>
  </si>
  <si>
    <t>ЮЛ020603117700066</t>
  </si>
  <si>
    <t>115563 город Москва шоссе Каширское дом 61</t>
  </si>
  <si>
    <t>ЮЛ020603117700095</t>
  </si>
  <si>
    <t>123022 город Москва улица Пресненский Вал дом 8 корпус 3</t>
  </si>
  <si>
    <t>ИП Агнаева Нина Вячеславовна</t>
  </si>
  <si>
    <t>32616913970</t>
  </si>
  <si>
    <t>ИП0309039329</t>
  </si>
  <si>
    <t>ИП030903932900001</t>
  </si>
  <si>
    <t>115035 город Москва улица Балчуг дом 1   офис 1</t>
  </si>
  <si>
    <t>ООО "ОРИЕНТАЛ ВЭЙ"</t>
  </si>
  <si>
    <t>326560015</t>
  </si>
  <si>
    <t>ЮЛ0309008398</t>
  </si>
  <si>
    <t>ЮЛ030900839800003</t>
  </si>
  <si>
    <t>117042 Москва Адмирала Лазарева дом24   комната 48.49</t>
  </si>
  <si>
    <t>ИП Юхаранов Магоммед Закариевич</t>
  </si>
  <si>
    <t>51100055864</t>
  </si>
  <si>
    <t>ИП0505017283</t>
  </si>
  <si>
    <t>ИП050501728300000</t>
  </si>
  <si>
    <t>117342 город Москва улица Бутлерова дом 17</t>
  </si>
  <si>
    <t>ООО "КУБАЧИНСКОЕ СЕРЕБРО"</t>
  </si>
  <si>
    <t>511002400</t>
  </si>
  <si>
    <t>ЮЛ0505008274</t>
  </si>
  <si>
    <t>ЮЛ050500827400003</t>
  </si>
  <si>
    <t>129085 город Москва проспект Мира дом 95 строение 1</t>
  </si>
  <si>
    <t>ЮЛ050500827400005</t>
  </si>
  <si>
    <t>109147 город Москва улица Марксистская дом 34 корпус 4  помещение 1/2</t>
  </si>
  <si>
    <t>ИП Шалласуев Рустам Магадович</t>
  </si>
  <si>
    <t>52401104309</t>
  </si>
  <si>
    <t>ИП0505013675</t>
  </si>
  <si>
    <t>ИП050501367500000</t>
  </si>
  <si>
    <t>115191 город Москва переулок Холодильный дом 3 корпус 1 строение 2</t>
  </si>
  <si>
    <t>ИП050501367500001</t>
  </si>
  <si>
    <t>119002 город Москва улица Арбат дом 20   помещение 7</t>
  </si>
  <si>
    <t>ИП Халилов Эльдар Магомедович</t>
  </si>
  <si>
    <t>53800845406</t>
  </si>
  <si>
    <t>ИП7701018236</t>
  </si>
  <si>
    <t>ИП770101823600000</t>
  </si>
  <si>
    <t>107031 город Москва переулок Петровский дом 5 строение 7 этаж 1 помещение 25</t>
  </si>
  <si>
    <t>ИП Ибрагимов Тимур Магомедович</t>
  </si>
  <si>
    <t>54514455301</t>
  </si>
  <si>
    <t>ИП7701033735</t>
  </si>
  <si>
    <t>ИП770103373500000</t>
  </si>
  <si>
    <t>123112 Город Москва Набережная Пресненская Дом 10 Строение 2  Этаж 16, помещение 144</t>
  </si>
  <si>
    <t>ИП Алиев Камиль Багаутдинович</t>
  </si>
  <si>
    <t>56007365148</t>
  </si>
  <si>
    <t>ИП7701002061</t>
  </si>
  <si>
    <t>ИП770100206100000</t>
  </si>
  <si>
    <t>127490 город Москва улица Мусоргского дом 3   408</t>
  </si>
  <si>
    <t>ИП Абдуразаков Абдуразак Расулович</t>
  </si>
  <si>
    <t>56202404746</t>
  </si>
  <si>
    <t>ИП7701017236</t>
  </si>
  <si>
    <t>ИП770101723600000</t>
  </si>
  <si>
    <t>115054 город Москва улица Большая Пионерская 4   1-10</t>
  </si>
  <si>
    <t>ИП Ахмедов Гаджиомар Магомедович</t>
  </si>
  <si>
    <t>57166950001</t>
  </si>
  <si>
    <t>ИП0505012486</t>
  </si>
  <si>
    <t>ИП050501248600000</t>
  </si>
  <si>
    <t>105187 город Москва шоссе Измайловское дом 73Ж   Помещение XXXVIII, комната 5</t>
  </si>
  <si>
    <t>ИП Панаиоти Элеонора Валерьевна</t>
  </si>
  <si>
    <t>71402864977</t>
  </si>
  <si>
    <t>ИП5001031742</t>
  </si>
  <si>
    <t>ИП500103174200000</t>
  </si>
  <si>
    <t>115088 город Москва переулок Хлебников дом 2   Этаж 1, Помещение II, комната 5</t>
  </si>
  <si>
    <t>ИП Шульженко Анастасия Николаевна</t>
  </si>
  <si>
    <t>71610433114</t>
  </si>
  <si>
    <t>ИП5701010741</t>
  </si>
  <si>
    <t>ИП570101074100000</t>
  </si>
  <si>
    <t>115035 город Москва набережная Овчинниковская дом 6 строение 1  помещение 6</t>
  </si>
  <si>
    <t>ИП Плешакова Виолетта Аркадьевна</t>
  </si>
  <si>
    <t>72111176819</t>
  </si>
  <si>
    <t>ИП7701008976</t>
  </si>
  <si>
    <t>ИП770100897600000</t>
  </si>
  <si>
    <t>129343 город Москва проезд Серебрякова дом 14 строение 23  этаж 1 - помещение 03, 04, 04а, 04б, 04в, 04г, 04д, 04е, 04ж, 05, 06, 06а, 07, 08, 09, 10, 11; этаж 2 - помещение 17, 18, 18а</t>
  </si>
  <si>
    <t>800028750</t>
  </si>
  <si>
    <t>ЮЛ0804039455</t>
  </si>
  <si>
    <t>ЮЛ080403945500000</t>
  </si>
  <si>
    <t>111123 город Москва шоссе Энтузиастов дом 31 строение 38  павильон А18</t>
  </si>
  <si>
    <t>ИП Щелканова Илона Владимировна</t>
  </si>
  <si>
    <t>90800231660</t>
  </si>
  <si>
    <t>ИП5001006655</t>
  </si>
  <si>
    <t>ИП500100665500000</t>
  </si>
  <si>
    <t>107031 город Москва улица Дмитровка Б. дом 32 строение 1  часть нежилого помещения 1, 2 этаж</t>
  </si>
  <si>
    <t>ИП Забродина Кристина Сергеевна</t>
  </si>
  <si>
    <t>100123012249</t>
  </si>
  <si>
    <t>ИП7701018763</t>
  </si>
  <si>
    <t>ИП770101876300000</t>
  </si>
  <si>
    <t>127562 город Москва улица Декабристов дом 12   часть комнаты №2</t>
  </si>
  <si>
    <t>ИП Лучин Роман Константинович</t>
  </si>
  <si>
    <t>101801804696</t>
  </si>
  <si>
    <t>ИП1003038044</t>
  </si>
  <si>
    <t>ИП100303804400002</t>
  </si>
  <si>
    <t>109341 город Москва улица Перерва дом 43 корпус 1  часть комнаты №80 помещения IV</t>
  </si>
  <si>
    <t>ИП100303804400003</t>
  </si>
  <si>
    <t>111024 город Москва улица 2-я Энтузиастов дом 5 корпус 4  квартира 2</t>
  </si>
  <si>
    <t>ИП Васильев Степан Павлович</t>
  </si>
  <si>
    <t>110209963700</t>
  </si>
  <si>
    <t>ИП5001016849</t>
  </si>
  <si>
    <t>ИП500101684900000</t>
  </si>
  <si>
    <t>129085 город Москва проспект Мира дом 95   помещение 152</t>
  </si>
  <si>
    <t>ИП Вехованец Маргарита Александровна</t>
  </si>
  <si>
    <t>110605111280</t>
  </si>
  <si>
    <t>ИП5001014887</t>
  </si>
  <si>
    <t>ИП500101488700000</t>
  </si>
  <si>
    <t>107076 город Москва улица Стромынка дом 18 корпус 5Б  офис 108</t>
  </si>
  <si>
    <t>ИП Ильина Анастасия Витальевна</t>
  </si>
  <si>
    <t>110701927201</t>
  </si>
  <si>
    <t>ИП5001034788</t>
  </si>
  <si>
    <t>ИП500103478800000</t>
  </si>
  <si>
    <t>119421 Город Москва Улица Ленинский проспект дом 109   часть нежилого помещения №11, комната №105, на -1 этаже под условным номером №0-06</t>
  </si>
  <si>
    <t>ИП Саакян Людвик Геворгович</t>
  </si>
  <si>
    <t>110805440652</t>
  </si>
  <si>
    <t>ИП7701018146</t>
  </si>
  <si>
    <t>ИП770101814600000</t>
  </si>
  <si>
    <t>127422 город Москва улица Тимирязевская дом 2/3   1-й этаж Помещение V Комната 65 (А10)</t>
  </si>
  <si>
    <t>ИП Левочкина Т.М.</t>
  </si>
  <si>
    <t>132401902837</t>
  </si>
  <si>
    <t>ИП7701006708</t>
  </si>
  <si>
    <t>ИП770100670800000</t>
  </si>
  <si>
    <t>125212 город Москва бульвар Кронштадтский дом 3А   1 этаж Остров № 1-4</t>
  </si>
  <si>
    <t>ИП770100670800001</t>
  </si>
  <si>
    <t>105120 город Москва улица Верхняя Сыромятническая дом 2   54</t>
  </si>
  <si>
    <t>ИП Адушкин Максим Николаевич</t>
  </si>
  <si>
    <t>132812782653</t>
  </si>
  <si>
    <t>ИП5001012213</t>
  </si>
  <si>
    <t>ИП500101221300000</t>
  </si>
  <si>
    <t>101000 город Москва улица Покровка дом 43 строение 8  помещение 9</t>
  </si>
  <si>
    <t>ООО "АЛМАЗНАЯ РЕСПУБЛИКА"</t>
  </si>
  <si>
    <t>1400028059</t>
  </si>
  <si>
    <t>ЮЛ1409035522</t>
  </si>
  <si>
    <t>ЮЛ140903552200002</t>
  </si>
  <si>
    <t>125480 город Москва улица Планерная дом 7   Помещение Б-26</t>
  </si>
  <si>
    <t>ООО "ДРАКОН"</t>
  </si>
  <si>
    <t>1400032030</t>
  </si>
  <si>
    <t>ЮЛ1409037396</t>
  </si>
  <si>
    <t>ЮЛ140903739600000</t>
  </si>
  <si>
    <t>125493 город Москва улица Смольная дом 12</t>
  </si>
  <si>
    <t>АК "АЛРОСА" (ПАО)</t>
  </si>
  <si>
    <t>1433000147</t>
  </si>
  <si>
    <t>ЮЛ1409009099</t>
  </si>
  <si>
    <t>ЮЛ140900909900002</t>
  </si>
  <si>
    <t>107078 город Москва проезд Мясницкий дом 3 строение 1  помещение № 13 этаж 1</t>
  </si>
  <si>
    <t>ИП Сухомясова Ирина Егоровна</t>
  </si>
  <si>
    <t>143504002709</t>
  </si>
  <si>
    <t>ИП7701002105</t>
  </si>
  <si>
    <t>ИП770100210500000</t>
  </si>
  <si>
    <t>105187 город Москва шоссе Измайловское дом 69Д</t>
  </si>
  <si>
    <t>ИП Кокорина Татьяна Ивановна</t>
  </si>
  <si>
    <t>143506797779</t>
  </si>
  <si>
    <t>ИП1409000578</t>
  </si>
  <si>
    <t>ИП140900057800000</t>
  </si>
  <si>
    <t>107078 город Москва Мясницкий проезд 3 1</t>
  </si>
  <si>
    <t>ООО "КИЭРГЭ"</t>
  </si>
  <si>
    <t>1435103540</t>
  </si>
  <si>
    <t>ЮЛ1409008431</t>
  </si>
  <si>
    <t>ЮЛ140900843100001</t>
  </si>
  <si>
    <t>117519 город Москва улица Кировоградская дом 13А   1 этаж, Торговое место 1.098.0.4.01</t>
  </si>
  <si>
    <t>ИП Девятых Оксана Павловна</t>
  </si>
  <si>
    <t>143519552367</t>
  </si>
  <si>
    <t>ИП7701006410</t>
  </si>
  <si>
    <t>ИП770100641000000</t>
  </si>
  <si>
    <t>108850 город Москва улица Лётчика Ульянина дом 7   помещение 117</t>
  </si>
  <si>
    <t>ИП Медвежова Татьяна Евгеньевна</t>
  </si>
  <si>
    <t>143519964265</t>
  </si>
  <si>
    <t>ИП1409009124</t>
  </si>
  <si>
    <t>ИП140900912400000</t>
  </si>
  <si>
    <t>115280 город Москва улица Автозаводская дом 18</t>
  </si>
  <si>
    <t>ИП Васильев Евгений Вячеславович</t>
  </si>
  <si>
    <t>143522215273</t>
  </si>
  <si>
    <t>ИП7701016495</t>
  </si>
  <si>
    <t>ИП770101649500000</t>
  </si>
  <si>
    <t>121552 город Москва улица Ярцевская дом 19</t>
  </si>
  <si>
    <t>ИП770101649500001</t>
  </si>
  <si>
    <t>115563 город Москва шоссе Каширское дом 61Г</t>
  </si>
  <si>
    <t>ИП770101649500002</t>
  </si>
  <si>
    <t>125009 город Москва переулок Глинищевский дом 3   1 этаж, офис 128</t>
  </si>
  <si>
    <t>ИП Городничев Роман Михайлович</t>
  </si>
  <si>
    <t>143522226405</t>
  </si>
  <si>
    <t>ИП5001003904</t>
  </si>
  <si>
    <t>ИП500100390400000</t>
  </si>
  <si>
    <t>125009 город Москва площадь Манежная дом 1 строение 2</t>
  </si>
  <si>
    <t>ООО "УРУУ"</t>
  </si>
  <si>
    <t>1435323016</t>
  </si>
  <si>
    <t>ЮЛ1409002911</t>
  </si>
  <si>
    <t>ЮЛ140900291100009</t>
  </si>
  <si>
    <t>125493 город Москва улица Смольная дом 12   3 этаж, Помещение №168</t>
  </si>
  <si>
    <t>1435352779</t>
  </si>
  <si>
    <t>ЮЛ7701037174</t>
  </si>
  <si>
    <t>ЮЛ770103717400000</t>
  </si>
  <si>
    <t>109044 город Москва улица 2-я Дубровская дом 6   1 этаж, подсобное помещение 12</t>
  </si>
  <si>
    <t>ИП Гецати Константин Константинович</t>
  </si>
  <si>
    <t>151208931291</t>
  </si>
  <si>
    <t>ИП7701037761</t>
  </si>
  <si>
    <t>ИП770103776100000</t>
  </si>
  <si>
    <t>129090 город Москва улица Щепкина дом 28   517</t>
  </si>
  <si>
    <t>ИП Гобозов Теймураз Хсарович</t>
  </si>
  <si>
    <t>151601636196</t>
  </si>
  <si>
    <t>ИП1505009388</t>
  </si>
  <si>
    <t>ИП150500938800000</t>
  </si>
  <si>
    <t>101000 город Москва проезд Лубянский дом 7 строение 1  комн. 3,4</t>
  </si>
  <si>
    <t>ИП Богданчиков Клим Николаевич</t>
  </si>
  <si>
    <t>164408515396</t>
  </si>
  <si>
    <t>ИП7803011406</t>
  </si>
  <si>
    <t>ИП780301140600003</t>
  </si>
  <si>
    <t>123022 город Москва переулок Столярный дом 3 корпус 3  вход со стороны улица Малая Грузинская</t>
  </si>
  <si>
    <t>ИП Фазулзянов Ильгиз Фаритович</t>
  </si>
  <si>
    <t>164800399262</t>
  </si>
  <si>
    <t>ИП1606031618</t>
  </si>
  <si>
    <t>ИП160603161800000</t>
  </si>
  <si>
    <t>115114 город Москва улица Кожевническая дом 7 строение 1</t>
  </si>
  <si>
    <t>ИП Рахманов Айдар Минибаевич</t>
  </si>
  <si>
    <t>165018886340</t>
  </si>
  <si>
    <t>ИП5001005657</t>
  </si>
  <si>
    <t>ИП500100565700000</t>
  </si>
  <si>
    <t>121165 город Москва проспект Кутузовский дом 27</t>
  </si>
  <si>
    <t>ООО "ВИП ЛОМБАРД"</t>
  </si>
  <si>
    <t>1657257741</t>
  </si>
  <si>
    <t>ЮЛ1606002603</t>
  </si>
  <si>
    <t>ЮЛ160600260300010</t>
  </si>
  <si>
    <t>119071 город Москва проспект Ленинский дом 15   4 этаж, помещение IV, комната 1</t>
  </si>
  <si>
    <t>ИП Кигель Ольга Михайловна</t>
  </si>
  <si>
    <t>165913881905</t>
  </si>
  <si>
    <t>ИП7701032103</t>
  </si>
  <si>
    <t>ИП770103210300000</t>
  </si>
  <si>
    <t>109012 город Москва улица Неглинная дом 4   офис 226</t>
  </si>
  <si>
    <t>ИП Назарян Гоар Гагиковна</t>
  </si>
  <si>
    <t>166025310060</t>
  </si>
  <si>
    <t>ИП1606036807</t>
  </si>
  <si>
    <t>ИП160603680700000</t>
  </si>
  <si>
    <t>111033 город Москва улица Самокатная дом 2А строение 1  310</t>
  </si>
  <si>
    <t>ИП Галимзянова Алия Рашидовна</t>
  </si>
  <si>
    <t>166025621315</t>
  </si>
  <si>
    <t>ИП1606032024</t>
  </si>
  <si>
    <t>ИП160603202400000</t>
  </si>
  <si>
    <t>119034 город Москва набережная Пречистенская дом 17</t>
  </si>
  <si>
    <t>ИП160603156900004</t>
  </si>
  <si>
    <t>123100 город Москва набережная Краснопресненская дом 2/1   помещение 1/1</t>
  </si>
  <si>
    <t>ИП160603156900005</t>
  </si>
  <si>
    <t>123060 город Москва улица Народного Ополчения дом 47 корпус 1, строение 1  2 этаж, часть помещения №1, комнаты №15</t>
  </si>
  <si>
    <t>ИП Зиятдинова Татьяна Владимировна</t>
  </si>
  <si>
    <t>166400021705</t>
  </si>
  <si>
    <t>ИП5001004793</t>
  </si>
  <si>
    <t>ИП500100479300000</t>
  </si>
  <si>
    <t>105082 город Москва улица Большая Почтовая дом 36 строение 10  помещение А108</t>
  </si>
  <si>
    <t>ИП Дьяконова Ангелина Вениаминовна</t>
  </si>
  <si>
    <t>181500846742</t>
  </si>
  <si>
    <t>ИП5001016075</t>
  </si>
  <si>
    <t>ИП500101607500000</t>
  </si>
  <si>
    <t>109559 город Москва улица Краснодарская дом 57 корпус 2</t>
  </si>
  <si>
    <t>ИП Исламов Наиль Нурмухамедович</t>
  </si>
  <si>
    <t>183202492386</t>
  </si>
  <si>
    <t>ИП1806001064</t>
  </si>
  <si>
    <t>ИП180600106400008</t>
  </si>
  <si>
    <t>121309 город Москва улица Барклая дом 10   помещение А-61</t>
  </si>
  <si>
    <t>ИП Семенова Татьяна Петровна</t>
  </si>
  <si>
    <t>212300033852</t>
  </si>
  <si>
    <t>ИП7701006591</t>
  </si>
  <si>
    <t>ИП770100659100000</t>
  </si>
  <si>
    <t>117335 город Москва улица Вавилова дом 69/75   этаж 10, комната №15</t>
  </si>
  <si>
    <t>ИП Махмутова Ольга Викторовна</t>
  </si>
  <si>
    <t>212913380439</t>
  </si>
  <si>
    <t>ИП7701034778</t>
  </si>
  <si>
    <t>ИП770103477800000</t>
  </si>
  <si>
    <t>119019 Москва Волхонка 6   1/П</t>
  </si>
  <si>
    <t>ИП Глушакова Нина Михайловна</t>
  </si>
  <si>
    <t>222100160673</t>
  </si>
  <si>
    <t>ИП2208013360</t>
  </si>
  <si>
    <t>ИП220801336000007</t>
  </si>
  <si>
    <t>121059 город Москва площадь Киевского Вокзала дом 2</t>
  </si>
  <si>
    <t>ИП220801106500006</t>
  </si>
  <si>
    <t>108811 город Московский Микрорайон 3-й дом 1а</t>
  </si>
  <si>
    <t>ИП610400007100019</t>
  </si>
  <si>
    <t>129110 город Москва улица Гиляровского дом 65 строение 1  этаж 3, помещение XV,часть  комнаты 11,ком.12,12а,12б</t>
  </si>
  <si>
    <t>ИП Егиазарян Давид Эдуардович</t>
  </si>
  <si>
    <t>230819873411</t>
  </si>
  <si>
    <t>ИП7701018165</t>
  </si>
  <si>
    <t>ИП770101816500000</t>
  </si>
  <si>
    <t>109377 город Москва проспект Рязанский дом 46 корпус 3</t>
  </si>
  <si>
    <t>ЮЛ230403107400019</t>
  </si>
  <si>
    <t>109429 город Москва 3-й кв-л Капотня дом 11   комната №3</t>
  </si>
  <si>
    <t>ЮЛ230403107400027</t>
  </si>
  <si>
    <t>101000 Москва Большой Харитоньевский дом 10   комната 19</t>
  </si>
  <si>
    <t>ИП ЛОЗЫНИН А. В.</t>
  </si>
  <si>
    <t>232009710934</t>
  </si>
  <si>
    <t>ИП7701039715</t>
  </si>
  <si>
    <t>ИП770103971500000</t>
  </si>
  <si>
    <t>123056 город Москва улица Большая Грузинская дом 30А строение 1  Помещение № 216</t>
  </si>
  <si>
    <t>ИП Богданова Мария Андреевна</t>
  </si>
  <si>
    <t>232204007186</t>
  </si>
  <si>
    <t>ИП7701019710</t>
  </si>
  <si>
    <t>ИП770101971000000</t>
  </si>
  <si>
    <t>129301 город Москва улица Касаткина дом 3 2  29</t>
  </si>
  <si>
    <t>ИП Петросян Лиана Владимировна</t>
  </si>
  <si>
    <t>234999525457</t>
  </si>
  <si>
    <t>ИП2304018524</t>
  </si>
  <si>
    <t>ИП230401852400000</t>
  </si>
  <si>
    <t>115191 город Москва улица Малая Тульская дом 16   офис 4</t>
  </si>
  <si>
    <t>ИП Ржевская Людмила Владимировна</t>
  </si>
  <si>
    <t>235700848505</t>
  </si>
  <si>
    <t>ИП2304031685</t>
  </si>
  <si>
    <t>ИП230403168500000</t>
  </si>
  <si>
    <t>111539 город Москва улица Вешняковская дом 15А   офис 14</t>
  </si>
  <si>
    <t>ИП Максименко Н.А.</t>
  </si>
  <si>
    <t>236101329125</t>
  </si>
  <si>
    <t>ИП2304006539</t>
  </si>
  <si>
    <t>ИП230400653900000</t>
  </si>
  <si>
    <t>125375 город Москва переулок Леонтьевский дом 25</t>
  </si>
  <si>
    <t>ИП Григорян Мина Ваграмовна</t>
  </si>
  <si>
    <t>237002662511</t>
  </si>
  <si>
    <t>ИП7701040845</t>
  </si>
  <si>
    <t>ИП770104084500000</t>
  </si>
  <si>
    <t>115280 город Москва улица Автозаводская дом 17 корпус 1  помещение 10</t>
  </si>
  <si>
    <t>ООО "ЛОМБАРД ПРЕМИУМ"</t>
  </si>
  <si>
    <t>2376004458</t>
  </si>
  <si>
    <t>ЮЛ2304031498</t>
  </si>
  <si>
    <t>ЮЛ230403149800000</t>
  </si>
  <si>
    <t>117639 город Москва улица Чертановская дом 1Г   помещение IV, комната 4</t>
  </si>
  <si>
    <t>ЮЛ230403149800007</t>
  </si>
  <si>
    <t>105005 город Москва улица Фридриха Энгельса дом 3-5 строение 2  помещение I, комната 2</t>
  </si>
  <si>
    <t>ЮЛ230403149800010</t>
  </si>
  <si>
    <t>125565 город Москва улица Фестивальная дом 2А   помещение 1-Б-42/1</t>
  </si>
  <si>
    <t>ЮЛ230403149800012</t>
  </si>
  <si>
    <t>109456 город Москва проспект Рязанский дом 75 строение 1  помещение 2/1</t>
  </si>
  <si>
    <t>ЮЛ230403149800013</t>
  </si>
  <si>
    <t>121552 город Москва улица Ярцевская дом 25А   комната 52, секция 04А</t>
  </si>
  <si>
    <t>ЮЛ230403149800015</t>
  </si>
  <si>
    <t>107241 город Москва улица Уральская дом 1А   помещение 1П</t>
  </si>
  <si>
    <t>ЮЛ230403149800018</t>
  </si>
  <si>
    <t>117628 город Москва улица Грина дом 26   этаж 3 (частично), офис 313</t>
  </si>
  <si>
    <t>ИП Коркунова Эльвира Александровна</t>
  </si>
  <si>
    <t>244300251980</t>
  </si>
  <si>
    <t>ИП7701002219</t>
  </si>
  <si>
    <t>ИП770100221900000</t>
  </si>
  <si>
    <t>121357 город Москва улица Верейская дом 29 строение 33  часть комнаты № 20 этаж 1</t>
  </si>
  <si>
    <t>ИП Пылихина Татьяна Алексеевна</t>
  </si>
  <si>
    <t>245701150283</t>
  </si>
  <si>
    <t>ИП5001016716</t>
  </si>
  <si>
    <t>ИП500101671600000</t>
  </si>
  <si>
    <t>115230 город Москва улица Нагатинская дом 2   помещение 22/3</t>
  </si>
  <si>
    <t>ИП Белясова Нина Васильевна</t>
  </si>
  <si>
    <t>245709636131</t>
  </si>
  <si>
    <t>ИП4703039583</t>
  </si>
  <si>
    <t>ИП470303958300000</t>
  </si>
  <si>
    <t>127521 город Москва улица Октябрьская дом 69</t>
  </si>
  <si>
    <t>ИП Бунова Анна Максимовна</t>
  </si>
  <si>
    <t>246009680401</t>
  </si>
  <si>
    <t>ИП5001016517</t>
  </si>
  <si>
    <t>ИП500101651700001</t>
  </si>
  <si>
    <t>115580 город Москва бульвар Ореховый дом 47/33</t>
  </si>
  <si>
    <t>ООО "ЛОМБАРД КРИСТАЛЛ"</t>
  </si>
  <si>
    <t>2461045303</t>
  </si>
  <si>
    <t>ЮЛ2408004024</t>
  </si>
  <si>
    <t>ЮЛ240800402400004</t>
  </si>
  <si>
    <t>109548 город Москва улица Шоссейная дом 8</t>
  </si>
  <si>
    <t>ЮЛ240800402400005</t>
  </si>
  <si>
    <t>109443 город Москва проспект Волгоградский дом 121/35   помещение VIв</t>
  </si>
  <si>
    <t>ЮЛ240800402400006</t>
  </si>
  <si>
    <t>127560 город Москва улица Плещеева дом 8   помещение XIV</t>
  </si>
  <si>
    <t>ЮЛ240800402400007</t>
  </si>
  <si>
    <t>111401 город Москва улица 2-я Владимирская дом 41 корпус 1  помещение 1/1</t>
  </si>
  <si>
    <t>ЮЛ240800402400008</t>
  </si>
  <si>
    <t>109559 город Москва улица Краснодарская дом 57 корпус 2  помещение 250 (II), комната 2</t>
  </si>
  <si>
    <t>ЮЛ240800402400009</t>
  </si>
  <si>
    <t>123060 город Москва улица Народного Ополчения дом 41</t>
  </si>
  <si>
    <t>ЮЛ240800402400011</t>
  </si>
  <si>
    <t>117574 город Москва проспект Новоясеневский владение 2Б строение 1  помещение 16</t>
  </si>
  <si>
    <t>ЮЛ240800402400012</t>
  </si>
  <si>
    <t>121609 город Москва бульвар Осенний дом 5 корпус 1  помещение 4/1</t>
  </si>
  <si>
    <t>ЮЛ240800402400013</t>
  </si>
  <si>
    <t>ЮЛ240800402400014</t>
  </si>
  <si>
    <t>107370 город Москва шоссе Открытое дом 5 корпус 11  помещение 55/1, комната 1</t>
  </si>
  <si>
    <t>ЮЛ240800402400015</t>
  </si>
  <si>
    <t>109451 город Москва улица Братиславская дом 16 корпус 1  помещение 1/1</t>
  </si>
  <si>
    <t>ЮЛ240800402400016</t>
  </si>
  <si>
    <t>119119 город Москва проспект Ленинский  дом 42 корпус 4   комната 272</t>
  </si>
  <si>
    <t>ИП Мороз Елена Ивановна</t>
  </si>
  <si>
    <t>246212992567</t>
  </si>
  <si>
    <t>ИП5001016839</t>
  </si>
  <si>
    <t>ИП500101683900000</t>
  </si>
  <si>
    <t>117042 город Москва бульвар Адмирала Ушакова дом 12   помещение IX, комната 1</t>
  </si>
  <si>
    <t>ООО "ЛОМБАРД 24"</t>
  </si>
  <si>
    <t>2464134632</t>
  </si>
  <si>
    <t>ЮЛ7701000524</t>
  </si>
  <si>
    <t>ЮЛ770100052400000</t>
  </si>
  <si>
    <t>117403 город Москва улица Булатниковская дом 2А   этаж 2, павильон 16-17</t>
  </si>
  <si>
    <t>ЮЛ770100052400001</t>
  </si>
  <si>
    <t>117546 город Москва улица Харьковская дом 4 корпус 3</t>
  </si>
  <si>
    <t>ЮЛ770100052400002</t>
  </si>
  <si>
    <t>108851 город Москва, город Щербинка улица Пушкинская дом 4   помещение 31-32</t>
  </si>
  <si>
    <t>ЮЛ770100052400005</t>
  </si>
  <si>
    <t>119019 город Москва улица Новый Арбат дом 7 строение 1 этаж - 1 101,101а</t>
  </si>
  <si>
    <t>ИП Мирзоян Эдмонд Эльманович</t>
  </si>
  <si>
    <t>261811790154</t>
  </si>
  <si>
    <t>ИП5001039128</t>
  </si>
  <si>
    <t>ИП500103912800000</t>
  </si>
  <si>
    <t>125493 город Москва улица Смольная дом 12   офис 2040</t>
  </si>
  <si>
    <t>ООО "ЗОЛОТОЙ КОМПАС М"</t>
  </si>
  <si>
    <t>2628058334</t>
  </si>
  <si>
    <t>ЮЛ2605013097</t>
  </si>
  <si>
    <t>ЮЛ260501309700001</t>
  </si>
  <si>
    <t>125171 город Москва шоссе Ленинградское дом 16А строение 4  помещение 2.063.0.1.01</t>
  </si>
  <si>
    <t>ЮЛ260501309700009</t>
  </si>
  <si>
    <t>129085 город Москва проспект Мира дом 95 строение 1  этаж 10, помещение 1/1, часть помещения I.</t>
  </si>
  <si>
    <t>ИП Царева Яна Николаевна</t>
  </si>
  <si>
    <t>263108976809</t>
  </si>
  <si>
    <t>ИП7701015362</t>
  </si>
  <si>
    <t>ИП770101536200000</t>
  </si>
  <si>
    <t>117246 город Москва проезд Научный дом 10   помещения 21-23</t>
  </si>
  <si>
    <t>ИП Казаков Василий Васильевич</t>
  </si>
  <si>
    <t>263110456187</t>
  </si>
  <si>
    <t>ИП5001010121</t>
  </si>
  <si>
    <t>ИП500101012100000</t>
  </si>
  <si>
    <t>111116 город Москва улица Энергетическая Дом 4   Помещение 1/Н</t>
  </si>
  <si>
    <t>ИП Велева Дарья Емиловна</t>
  </si>
  <si>
    <t>263517460317</t>
  </si>
  <si>
    <t>ИП7701034972</t>
  </si>
  <si>
    <t>ИП770103497200000</t>
  </si>
  <si>
    <t>129515 город Москва улица Академика Королева дом 13 1  Офис 210</t>
  </si>
  <si>
    <t>ИП Власенко Максим Викторович</t>
  </si>
  <si>
    <t>263521758314</t>
  </si>
  <si>
    <t>ИП2605034277</t>
  </si>
  <si>
    <t>ИП260503427700000</t>
  </si>
  <si>
    <t>109469 город Москва улица Братиславская дом 22</t>
  </si>
  <si>
    <t>ИП Скоробогатов В.Н.</t>
  </si>
  <si>
    <t>272328010910</t>
  </si>
  <si>
    <t>ИП7701002345</t>
  </si>
  <si>
    <t>ИП770100234500000</t>
  </si>
  <si>
    <t>123056 город Москва улица Юлиуса Фучика дом 6 строение 2  этаж 3</t>
  </si>
  <si>
    <t>ИП Колпащикова Виктория Николаевна</t>
  </si>
  <si>
    <t>290135642044</t>
  </si>
  <si>
    <t>ИП7701034497</t>
  </si>
  <si>
    <t>ИП770103449700000</t>
  </si>
  <si>
    <t>109028 город Москва бульвар Покровский дом 8 строение 1  помещения 14, 19</t>
  </si>
  <si>
    <t>ИП Демиденок Алина Вадимовна</t>
  </si>
  <si>
    <t>312771613832</t>
  </si>
  <si>
    <t>ИП5001003028</t>
  </si>
  <si>
    <t>ИП500100302800000</t>
  </si>
  <si>
    <t>127560 город Москва улица Пришвина дом 26   этаж 1, секция А28</t>
  </si>
  <si>
    <t>ИП Арсеева Наталия Вадимовна</t>
  </si>
  <si>
    <t>312824857786</t>
  </si>
  <si>
    <t>ИП7701002165</t>
  </si>
  <si>
    <t>ИП770100216500000</t>
  </si>
  <si>
    <t>109028 город Москва переулок Казарменный дом 8 строение 2  помещение 7</t>
  </si>
  <si>
    <t>ИП Матлина Нина Алексеевна</t>
  </si>
  <si>
    <t>320208458023</t>
  </si>
  <si>
    <t>ИП7701015889</t>
  </si>
  <si>
    <t>ИП770101588900000</t>
  </si>
  <si>
    <t>108803 поселение Сосенское квартал 180 дом 265А строение 1  этаж 2, помещение 65, офис 8</t>
  </si>
  <si>
    <t>ИП Мохин Григорий Валерьевич</t>
  </si>
  <si>
    <t>324300362345</t>
  </si>
  <si>
    <t>ИП7701007060</t>
  </si>
  <si>
    <t>ИП770100706000000</t>
  </si>
  <si>
    <t>101000 город Москва Большая Якиманка 19</t>
  </si>
  <si>
    <t>ИП Шуняев Алексей Вадимович</t>
  </si>
  <si>
    <t>330702130463</t>
  </si>
  <si>
    <t>ИП3301037834</t>
  </si>
  <si>
    <t>ИП330103783400001</t>
  </si>
  <si>
    <t>125581 город Москва улица Флотская дом 7   помещение 731Н/9</t>
  </si>
  <si>
    <t>ИП ЕГОРОВ С. С.</t>
  </si>
  <si>
    <t>330903100557</t>
  </si>
  <si>
    <t>ИП5001038654</t>
  </si>
  <si>
    <t>ИП500103865400000</t>
  </si>
  <si>
    <t>117535 город Москва Россошанский проезд дом 3   этаж 1, помещение №96/2, по внутренней планировке №1-23</t>
  </si>
  <si>
    <t>ИП Самойлова Елена Олеговна</t>
  </si>
  <si>
    <t>332100863121</t>
  </si>
  <si>
    <t>ИП5001011383</t>
  </si>
  <si>
    <t>ИП500101138300000</t>
  </si>
  <si>
    <t>111020 город Москва улица 2-я Синичкина дом 9А строение 10  помещение 1, этаж 2, часть комнаты 2</t>
  </si>
  <si>
    <t>ИП Данилова Елизавета Юрьевна</t>
  </si>
  <si>
    <t>332907066188</t>
  </si>
  <si>
    <t>ИП3301004161</t>
  </si>
  <si>
    <t>ИП330100416100000</t>
  </si>
  <si>
    <t>125413 город Москва улица Флотская дом 15 корпус 1  3 этаж комната № 6</t>
  </si>
  <si>
    <t>ИП Игнатов Кирилл Игоревич</t>
  </si>
  <si>
    <t>333411337420</t>
  </si>
  <si>
    <t>ИП3301036881</t>
  </si>
  <si>
    <t>ИП330103688100000</t>
  </si>
  <si>
    <t>108802 п. Сосенское километр Калужское шоссе 22-й (п Сосенское) дом 10</t>
  </si>
  <si>
    <t>ИП340400993200028</t>
  </si>
  <si>
    <t>125009 город Москва улица Тверская 20/1 2  1</t>
  </si>
  <si>
    <t>ИП Рыжкова Надежда Геннадиевна</t>
  </si>
  <si>
    <t>343607712914</t>
  </si>
  <si>
    <t>ИП3404031497</t>
  </si>
  <si>
    <t>ИП340403149700000</t>
  </si>
  <si>
    <t>109377 город Москва  улица 1-я Новокузьминская дом 7  корпус 1  Помещение 2,3,4</t>
  </si>
  <si>
    <t>ИП Веледов Меджид Султанмурад Оглы</t>
  </si>
  <si>
    <t>343704500577</t>
  </si>
  <si>
    <t>ИП3404012916</t>
  </si>
  <si>
    <t>ИП340401291600000</t>
  </si>
  <si>
    <t>121352 город Москва проспект Кутузовский дом 57 ТЦ Океания</t>
  </si>
  <si>
    <t>ИП Головинова Яна Викторовна</t>
  </si>
  <si>
    <t>344405075679</t>
  </si>
  <si>
    <t>ИП7701006245</t>
  </si>
  <si>
    <t>ИП770100624500000</t>
  </si>
  <si>
    <t>117519 город Москва улица Кировоградская дом 13А</t>
  </si>
  <si>
    <t>ИП770100624500001</t>
  </si>
  <si>
    <t>108802 п Сосенское километр Калужское шоссе 22-й (п Сосенское) дом 10</t>
  </si>
  <si>
    <t>ЮЛ340400964300029</t>
  </si>
  <si>
    <t>127055 город Москва улица Новосущёвская дом 19Б   помещение 32</t>
  </si>
  <si>
    <t>ИП Суетин Никита Сергеевич</t>
  </si>
  <si>
    <t>352533606127</t>
  </si>
  <si>
    <t>ИП3503037182</t>
  </si>
  <si>
    <t>ИП350303718200000</t>
  </si>
  <si>
    <t>115191 город Москва улица Большая Тульская дом 13   помещение 19</t>
  </si>
  <si>
    <t>ЮЛ350300010000003</t>
  </si>
  <si>
    <t>117437 город Москва улица Островитянова дом 2</t>
  </si>
  <si>
    <t>ИП Еськова Наталия Валерьевна</t>
  </si>
  <si>
    <t>360601065305</t>
  </si>
  <si>
    <t>ИП7701005835</t>
  </si>
  <si>
    <t>ИП770100583500000</t>
  </si>
  <si>
    <t>119334 город Москва проспект Ленинский дом 34/1</t>
  </si>
  <si>
    <t>ИП770100583500002</t>
  </si>
  <si>
    <t>101000 город Москва улица Большая Лубянка дом 24/15 строение 3</t>
  </si>
  <si>
    <t>ИП Цицилин Владислав Львович</t>
  </si>
  <si>
    <t>366106543188</t>
  </si>
  <si>
    <t>ИП3601011708</t>
  </si>
  <si>
    <t>ИП360101170800000</t>
  </si>
  <si>
    <t>101000 город Москва улица Мясницкая дом 22 строение 1</t>
  </si>
  <si>
    <t>ИП360101170800007</t>
  </si>
  <si>
    <t>129110 город Москва проспект Олимпийский дом 16 строение 5  этаж 1,помещение 1,комната 8</t>
  </si>
  <si>
    <t>ИП Середа Павел Евгеньевич</t>
  </si>
  <si>
    <t>366601958606</t>
  </si>
  <si>
    <t>ИП3601006479</t>
  </si>
  <si>
    <t>ИП360100647900000</t>
  </si>
  <si>
    <t>119072 город Москва набережная Болотная 3 2  1</t>
  </si>
  <si>
    <t>ООО ЧАСЫ ПАЛЕХ</t>
  </si>
  <si>
    <t>3700008829</t>
  </si>
  <si>
    <t>ЮЛ3702036033</t>
  </si>
  <si>
    <t>ЮЛ370203603300001</t>
  </si>
  <si>
    <t>109012 Москва Красная площадь дом 3 3  XLIв</t>
  </si>
  <si>
    <t>ЮЛ370203603300002</t>
  </si>
  <si>
    <t>129226 город Москва улица проспект Мира дом 211 корпус 2  комната 124, входящая в состав нежилого помещения 1</t>
  </si>
  <si>
    <t>ИП370200427400009</t>
  </si>
  <si>
    <t>125212 город Москва бульвар Кронштадтский дом 7   подвал, часть комнаты 32, часть комнаты 25</t>
  </si>
  <si>
    <t>ИП Вечканова Ирина Алексеевна</t>
  </si>
  <si>
    <t>370264851293</t>
  </si>
  <si>
    <t>ИП5001014024</t>
  </si>
  <si>
    <t>ИП500101402400000</t>
  </si>
  <si>
    <t>129226 город Москва улица Вильгельма Пика 16   1 этаж, часть помещения 48</t>
  </si>
  <si>
    <t>ИП380800789000005</t>
  </si>
  <si>
    <t>127055 город Москва улица Новослободская 18   208</t>
  </si>
  <si>
    <t>ООО "СТУДИЯ ОКСАНЫ ГОХФЕЛЬД"</t>
  </si>
  <si>
    <t>3808237430</t>
  </si>
  <si>
    <t>ЮЛ3808014964</t>
  </si>
  <si>
    <t>ЮЛ380801496400000</t>
  </si>
  <si>
    <t>ООО "НОМИНЕЙШЕН РИТЕЙЛ"</t>
  </si>
  <si>
    <t>3849031580</t>
  </si>
  <si>
    <t>ЮЛ3808000850</t>
  </si>
  <si>
    <t>ЮЛ380800085000001</t>
  </si>
  <si>
    <t>125009 город Москва улица Большая Никитская дом 21/18 строение 1</t>
  </si>
  <si>
    <t>ИП Антипова Елизавета Сергеевна</t>
  </si>
  <si>
    <t>390408108408</t>
  </si>
  <si>
    <t>ИП3903009043</t>
  </si>
  <si>
    <t>ИП390300904300000</t>
  </si>
  <si>
    <t>119121 город Москва улица Смоленская дом 5   помещение I, комната №28а</t>
  </si>
  <si>
    <t>ЮЛ390300208200001</t>
  </si>
  <si>
    <t>125124 город Москва улица 3-я Ямского Поля дом 9 корпус 3  офис G402</t>
  </si>
  <si>
    <t>ИП Акланова Елена Сергеевна</t>
  </si>
  <si>
    <t>390611227882</t>
  </si>
  <si>
    <t>ИП3903010348</t>
  </si>
  <si>
    <t>ИП390301034800000</t>
  </si>
  <si>
    <t>125493 город Москва улица Смольная дом 12   Этаж 3 , помещение № 44в</t>
  </si>
  <si>
    <t>ООО "БРИАНТ"</t>
  </si>
  <si>
    <t>3906222336</t>
  </si>
  <si>
    <t>ЮЛ3903008829</t>
  </si>
  <si>
    <t>ЮЛ390300882900000</t>
  </si>
  <si>
    <t>101000 Москва переулок Большой Златоустинский 3/5 1  Помещ.2/П ком. №1,3,8</t>
  </si>
  <si>
    <t>ИП Давыдов Олег Викторович</t>
  </si>
  <si>
    <t>391000038040</t>
  </si>
  <si>
    <t>ИП3903015232</t>
  </si>
  <si>
    <t>ИП390301523200000</t>
  </si>
  <si>
    <t>117303 город Москва улица Большая Юшуньская дом 1А корпус 4  помещение 714-Б</t>
  </si>
  <si>
    <t>ИП390300762100003</t>
  </si>
  <si>
    <t>119002 город Москва улица Арбат дом 23 строение 1</t>
  </si>
  <si>
    <t>ЮЛ390300814700006</t>
  </si>
  <si>
    <t>123112 город Москва набережная Пресненская дом 2   1 этаж, помещение № 13А</t>
  </si>
  <si>
    <t>ИП770103325500003</t>
  </si>
  <si>
    <t>129347 город Москва шоссе Ярославское дом 146 корпус 1  Помещение 1-А52,1-А54</t>
  </si>
  <si>
    <t>ИП Посвежная Софья Николаевна</t>
  </si>
  <si>
    <t>391242313666</t>
  </si>
  <si>
    <t>ИП3903036987</t>
  </si>
  <si>
    <t>ИП390303698700000</t>
  </si>
  <si>
    <t>119311 город Москва площадь Джавахарлала Неру дом 1   Торговая площадь №2 (1 этаж, помещение I, комната 29, часть коридора № 33)</t>
  </si>
  <si>
    <t>ИП390303698700001</t>
  </si>
  <si>
    <t>125475 город Москва улица Дыбенко дом 7/1 строение 1</t>
  </si>
  <si>
    <t>ИП390301170700005</t>
  </si>
  <si>
    <t>109125 город Москва проспект Волгоградский дом 63   этаж 1, помещение III, помещение 3</t>
  </si>
  <si>
    <t>ИП Одилбеков Ховар Шодибекович</t>
  </si>
  <si>
    <t>400502001062</t>
  </si>
  <si>
    <t>ИП7701032301</t>
  </si>
  <si>
    <t>ИП770103230100000</t>
  </si>
  <si>
    <t>125057 город Москва улица Алабяна дом 3 корпус 1  помещение XIV, комнаты 1-8, помещение II, комнаты 39-47, 49-55</t>
  </si>
  <si>
    <t>ИП Попов Артем Евгеньевич</t>
  </si>
  <si>
    <t>400799929765</t>
  </si>
  <si>
    <t>ИП7701007605</t>
  </si>
  <si>
    <t>ИП770100760500000</t>
  </si>
  <si>
    <t>115172 город Москва набережная Котельническая дом 25 строение 1  помещение 8</t>
  </si>
  <si>
    <t>ИП Овсепян Акоп Гамлетович</t>
  </si>
  <si>
    <t>400801093103</t>
  </si>
  <si>
    <t>ИП7306008057</t>
  </si>
  <si>
    <t>ИП730600805700000</t>
  </si>
  <si>
    <t>119034 город Москва улица Пречистенка дом 30/2   этаж 1, часть нежилого помещения №9</t>
  </si>
  <si>
    <t>ИП Саркисян Забела Грачьяевна</t>
  </si>
  <si>
    <t>401100339030</t>
  </si>
  <si>
    <t>ИП4001001623</t>
  </si>
  <si>
    <t>ИП400100162300000</t>
  </si>
  <si>
    <t>117042 город Москва проезд Чечёрский дом 51   1 этаж , помещение № 1К8-2</t>
  </si>
  <si>
    <t>ИП Скурту Ольга Валерьевна</t>
  </si>
  <si>
    <t>402510854460</t>
  </si>
  <si>
    <t>ИП4001016310</t>
  </si>
  <si>
    <t>ИП400101631000000</t>
  </si>
  <si>
    <t>117042 город Москва проезд Чечёрский дом 51   комната 65</t>
  </si>
  <si>
    <t>ИП400101631000006</t>
  </si>
  <si>
    <t>119311 город Москва проспект Вернадского дом 6</t>
  </si>
  <si>
    <t>ИП400101631000009</t>
  </si>
  <si>
    <t>125171 город Москва шоссе Ленинградское дом 16А строение 4 II комната 509</t>
  </si>
  <si>
    <t>ЮЛ400100976800001</t>
  </si>
  <si>
    <t>109012 город Москва площадь Красная дом 3   помещение XLIб</t>
  </si>
  <si>
    <t>ЮЛ400100976800002</t>
  </si>
  <si>
    <t>119311 город Москва проспект Вернадского дом 6   1 этаж, помещение №691, №692</t>
  </si>
  <si>
    <t>ЮЛ400100976800003</t>
  </si>
  <si>
    <t>107031 город Москва улица Петровка дом 15 строение 1</t>
  </si>
  <si>
    <t>ИП Ахмелкин Дмитрий Михайлович</t>
  </si>
  <si>
    <t>402708787083</t>
  </si>
  <si>
    <t>ИП4001040090</t>
  </si>
  <si>
    <t>ИП400104009000000</t>
  </si>
  <si>
    <t>127521 город Москва улица Веткина владение 2А строение 8, 10  этаж 2</t>
  </si>
  <si>
    <t>ИП Манукян Манук Арамаисович</t>
  </si>
  <si>
    <t>402902481018</t>
  </si>
  <si>
    <t>ИП6901003333</t>
  </si>
  <si>
    <t>ИП690100333300000</t>
  </si>
  <si>
    <t>115516 город Москва улица Луганская дом 10   этаж 2, комната №13л</t>
  </si>
  <si>
    <t>ИП Данелян Агаси Татосович</t>
  </si>
  <si>
    <t>410119971511</t>
  </si>
  <si>
    <t>ИП7701008954</t>
  </si>
  <si>
    <t>ИП770100895400000</t>
  </si>
  <si>
    <t>115114 город Москва переулок 2-й Кожевнический дом 12   32</t>
  </si>
  <si>
    <t>ИП Нейман Марк Александрович</t>
  </si>
  <si>
    <t>423083443002</t>
  </si>
  <si>
    <t>ИП7701009512</t>
  </si>
  <si>
    <t>ИП770100951200000</t>
  </si>
  <si>
    <t>123182 город Москва улица Щукинская дом 42   помещение 1/1, комната 86, 86а, 86б, 86в - ТЦ ЩУКА</t>
  </si>
  <si>
    <t>ИП Бартева Яна Александровна</t>
  </si>
  <si>
    <t>432205092990</t>
  </si>
  <si>
    <t>ИП2106000487</t>
  </si>
  <si>
    <t>ИП210600048700007</t>
  </si>
  <si>
    <t>121352 город Москва проспект Кутузовский дом 57   помещение №1.081.3.4.04 - ТЦ Океания</t>
  </si>
  <si>
    <t>ИП Санникова Екатерина Викторовна</t>
  </si>
  <si>
    <t>434500732962</t>
  </si>
  <si>
    <t>ИП1606001137</t>
  </si>
  <si>
    <t>ИП160600113700011</t>
  </si>
  <si>
    <t>107078 город Москва переулок Малый Харитоньевский дом 9/13 строение 6</t>
  </si>
  <si>
    <t>ИП Сибирякова Анна Михайловна</t>
  </si>
  <si>
    <t>434584670607</t>
  </si>
  <si>
    <t>ИП4306036606</t>
  </si>
  <si>
    <t>ИП430603660600000</t>
  </si>
  <si>
    <t>121099 город Москва бульвар Новинский дом 8   1 этаж, помещение № 1, 47 и 47а</t>
  </si>
  <si>
    <t>ИП Чекотина Мария Вадимовна</t>
  </si>
  <si>
    <t>440101178759</t>
  </si>
  <si>
    <t>ИП7701011790</t>
  </si>
  <si>
    <t>ИП770101179000000</t>
  </si>
  <si>
    <t>119180 город Москва улица Большая Якиманка дом 17/2 строение 1  помещение 1/4</t>
  </si>
  <si>
    <t>ЮЛ440200001100000</t>
  </si>
  <si>
    <t>121059 город Москва площадь Киевского Вокзала дом 2   помещение I, комната 95</t>
  </si>
  <si>
    <t>ЮЛ500100602500017</t>
  </si>
  <si>
    <t>101000 город Москва улица Авиамоторная дом 4 корпус 3  пом.II, ком.1,2,3,6,12,13</t>
  </si>
  <si>
    <t>ООО "ФАСЕТ"</t>
  </si>
  <si>
    <t>4401170800</t>
  </si>
  <si>
    <t>ЮЛ4402002740</t>
  </si>
  <si>
    <t>ЮЛ440200274000003</t>
  </si>
  <si>
    <t>123376 город Москва улица Рочдельская Дом 15 Строение 17  Этаж 2 Помещение I Комнаты 25, 25а, 26, 26а, 26б, 26в, 26д, 26е, 26ж, 26г</t>
  </si>
  <si>
    <t>ИП Федоров Дмитрий Сергеевич</t>
  </si>
  <si>
    <t>440117450865</t>
  </si>
  <si>
    <t>ИП5806000559</t>
  </si>
  <si>
    <t>ИП580600055900000</t>
  </si>
  <si>
    <t>123007 город Москва шоссе Хорошёвское владение  27   этаж 1, место №КА 13</t>
  </si>
  <si>
    <t>ИП770101182200001</t>
  </si>
  <si>
    <t>105120 город Москва улица Верхняя Сыромятническая 2   2/1</t>
  </si>
  <si>
    <t>ИП440200822300012</t>
  </si>
  <si>
    <t>105005 город Москва улица Бауманская дом 20 строение 7  комната 38</t>
  </si>
  <si>
    <t>ИП Канивец Елизавета Евгеньевна</t>
  </si>
  <si>
    <t>440120958507</t>
  </si>
  <si>
    <t>ИП7701037325</t>
  </si>
  <si>
    <t>ИП770103732500000</t>
  </si>
  <si>
    <t>115088 город Москва улица Угрешская дом 35  строение 1</t>
  </si>
  <si>
    <t>ИП Охримчук Евгений Валентинович</t>
  </si>
  <si>
    <t>440122012722</t>
  </si>
  <si>
    <t>ИП4402014154</t>
  </si>
  <si>
    <t>ИП440201415400000</t>
  </si>
  <si>
    <t>119002 Город Москва Улица Арбат Дом 38/1 Строение 2  Часть нежилого помещения №1 в помещении III</t>
  </si>
  <si>
    <t>ИП Жеребцова Мария Игоревна</t>
  </si>
  <si>
    <t>440131833612</t>
  </si>
  <si>
    <t>ИП5001012474</t>
  </si>
  <si>
    <t>ИП500101247400000</t>
  </si>
  <si>
    <t>119021 город Москва проспект Комсомольский дом 24 строение 1</t>
  </si>
  <si>
    <t>ИП ПОЛЯШОВ РУСЛАН НИКОЛАЕВИЧ</t>
  </si>
  <si>
    <t>440600857636</t>
  </si>
  <si>
    <t>ИП4402012877</t>
  </si>
  <si>
    <t>ИП440201287700000</t>
  </si>
  <si>
    <t>119049 город Москва улица Большая Полянка дом 44  помещение 315</t>
  </si>
  <si>
    <t>ЮЛ440200095500001</t>
  </si>
  <si>
    <t>115184 город Москва переулок Большой Ордынский дом 4 строение 4  помещение 87</t>
  </si>
  <si>
    <t>ИП440200263100001</t>
  </si>
  <si>
    <t>121059 город Москва улица Большая Дорогомиловская дом 8   помещ. 1</t>
  </si>
  <si>
    <t>ЮЛ440200000800003</t>
  </si>
  <si>
    <t>117519 город Москва улица Кировоградская дом 13А   помещение 103</t>
  </si>
  <si>
    <t>ЮЛ440200000800005</t>
  </si>
  <si>
    <t>115054 город Москва площадь Павелецкая дом 3   помещение № А5</t>
  </si>
  <si>
    <t>ЮЛ440200000800006</t>
  </si>
  <si>
    <t>101000 город Москва площадь Тургеневская дом 2   комната 34</t>
  </si>
  <si>
    <t>ИП Кузнецов Юрий Александрович</t>
  </si>
  <si>
    <t>450109351810</t>
  </si>
  <si>
    <t>ИП4507005359</t>
  </si>
  <si>
    <t>ИП450700535900002</t>
  </si>
  <si>
    <t>121069 город Москва улица Большая Молчановка дом 17   помещение 2/1</t>
  </si>
  <si>
    <t>ИП Ковалева Анна Вячеславовна</t>
  </si>
  <si>
    <t>450163965216</t>
  </si>
  <si>
    <t>ИП4703015072</t>
  </si>
  <si>
    <t>ИП470301507200002</t>
  </si>
  <si>
    <t>111394 город Москва улица Перовская дом 61А   Помещение № 22</t>
  </si>
  <si>
    <t>ИП Краснова Евгения Александровна</t>
  </si>
  <si>
    <t>462601890400</t>
  </si>
  <si>
    <t>ИП7701010352</t>
  </si>
  <si>
    <t>ИП770101035200000</t>
  </si>
  <si>
    <t>105066 город Москва улица Нижняя Красносельская дом 35 строение 3  помещение 121</t>
  </si>
  <si>
    <t>ИП Голосовская Роксана Романовна</t>
  </si>
  <si>
    <t>463405596354</t>
  </si>
  <si>
    <t>ИП7701036973</t>
  </si>
  <si>
    <t>ИП770103697300000</t>
  </si>
  <si>
    <t>119019 город Москва улица Новый Арбат дом 6   помещение 2462</t>
  </si>
  <si>
    <t>ЮЛ470300219500002</t>
  </si>
  <si>
    <t>115088 город Москва улица 2-я Машиностроения дом 17 строение 1  этаж 1, помещение I, комнаты №43(часть), 59, 60. Офис № 306</t>
  </si>
  <si>
    <t>ИП Кирюшина Татьяна Андреевна</t>
  </si>
  <si>
    <t>482413391104</t>
  </si>
  <si>
    <t>ИП5001001305</t>
  </si>
  <si>
    <t>ИП500100130500000</t>
  </si>
  <si>
    <t>117647 город Москва улица Профсоюзная дом 109   помещение 241</t>
  </si>
  <si>
    <t>ООО "ЗОЛОТОЙ СЛОНЪ"</t>
  </si>
  <si>
    <t>5001064253</t>
  </si>
  <si>
    <t>ЮЛ5001004087</t>
  </si>
  <si>
    <t>ЮЛ500100408700003</t>
  </si>
  <si>
    <t>129085 город Москва проспект Мира дом 95   помещение 160</t>
  </si>
  <si>
    <t>ИП Царев Павел Николаевич</t>
  </si>
  <si>
    <t>500107534143</t>
  </si>
  <si>
    <t>ИП5001006397</t>
  </si>
  <si>
    <t>ИП500100639700000</t>
  </si>
  <si>
    <t>105077 город Москва бульвар Измайловский дом 60/10   помещение 2П</t>
  </si>
  <si>
    <t>ИП Волосатов Александр Александрович</t>
  </si>
  <si>
    <t>500108504712</t>
  </si>
  <si>
    <t>ИП5001037723</t>
  </si>
  <si>
    <t>ИП500103772300000</t>
  </si>
  <si>
    <t>121165 город Москва проспект Кутузовский дом 27/1   Этаж 1, Антресоль 1</t>
  </si>
  <si>
    <t>ИП Юров Сергей Юрьевич</t>
  </si>
  <si>
    <t>500111991008</t>
  </si>
  <si>
    <t>ИП5001031622</t>
  </si>
  <si>
    <t>ИП500103162200000</t>
  </si>
  <si>
    <t>111672 город Москва Улица Новокосинская Владение 32А Строение 1</t>
  </si>
  <si>
    <t>ИП Журавлев Евгений Александрович</t>
  </si>
  <si>
    <t>500119085260</t>
  </si>
  <si>
    <t>ИП5001003552</t>
  </si>
  <si>
    <t>ИП500100355200001</t>
  </si>
  <si>
    <t>111531 город Москва Улица Саянская Дом 7А</t>
  </si>
  <si>
    <t>ИП500100355200003</t>
  </si>
  <si>
    <t>111675 город Москва улица Руднёвка дом 19  1 этаж</t>
  </si>
  <si>
    <t>ИП500100355200015</t>
  </si>
  <si>
    <t>115230 город Москва шоссе Каширское дом 14   этаж 1, часть помещения № 181, часть помещения № 182.</t>
  </si>
  <si>
    <t>ЮЛ500100649400003</t>
  </si>
  <si>
    <t>109341 город Москва улица Перерва дом 43 корпус 1  этаж 1, часть комнаты № 80, помещение IV.</t>
  </si>
  <si>
    <t>ЮЛ500100649400004</t>
  </si>
  <si>
    <t>117420 город Москва улица Профсоюзная дом 61А   этаж 1, помещение I, комната 96 (часть).</t>
  </si>
  <si>
    <t>ЮЛ500100649400006</t>
  </si>
  <si>
    <t>121609 город Москва шоссе Рублёвское дом 62   этаж 1, часть комнаты № 278, между комнатами № 135 и № 12.</t>
  </si>
  <si>
    <t>ЮЛ500100649400008</t>
  </si>
  <si>
    <t>117279 город Москва улица Миклухо-Маклая дом 32А   этаж 1</t>
  </si>
  <si>
    <t>ЮЛ500100649400010</t>
  </si>
  <si>
    <t>105318 город Москва улица Щербаковская дом 3   этаж 1, помещение 1/1, комнаты № 40, 41, 42, 43.</t>
  </si>
  <si>
    <t>ЮЛ500100649400011</t>
  </si>
  <si>
    <t>117519 город Москва улица Красного Маяка дом 2Б   внутреннее помещение 112, по БТИ: этаж 1, помещение II, комнаты 95, 95 а.</t>
  </si>
  <si>
    <t>ЮЛ500100649400013</t>
  </si>
  <si>
    <t>125363 город Москва улица Сходненская дом 56   этаж 1, помещение I, комната № 156.</t>
  </si>
  <si>
    <t>ЮЛ500100649400020</t>
  </si>
  <si>
    <t>117519 город Москва улица Кировоградская дом 13А   этаж 1, помещение XLVIII, комната № 104.</t>
  </si>
  <si>
    <t>ЮЛ500100649400021</t>
  </si>
  <si>
    <t>127204 город Москва шоссе Дмитровское дом 163А корпус 1  этаж 1, помещение № А74а</t>
  </si>
  <si>
    <t>ЮЛ500100649400022</t>
  </si>
  <si>
    <t>119619 город Москва улица Авиаторов дом 3А   этаж 1, помещение 201.</t>
  </si>
  <si>
    <t>ЮЛ500100649400024</t>
  </si>
  <si>
    <t>101000 город Москва/деревня Лапшинка земельный участок 8/2  Торговый павильон № 1П  помещение инвентарный номер 00-000001.</t>
  </si>
  <si>
    <t>ЮЛ500100649400028</t>
  </si>
  <si>
    <t>119571 город Москва проспект Вернадского дом 86А   этаж 1, часть помещения № 2, помещение № 1-1 ТМ.</t>
  </si>
  <si>
    <t>ЮЛ500100649400030</t>
  </si>
  <si>
    <t>127030 город Москва улица Новослободская дом 4   этаж 1, часть комнаты № 27.</t>
  </si>
  <si>
    <t>ЮЛ500100649400032</t>
  </si>
  <si>
    <t>111024 город Москва шоссе Энтузиастов дом 12 корпус 2  помещение 6\1, этаж 1, помещение III под условным номером № К124.</t>
  </si>
  <si>
    <t>ЮЛ500100649400033</t>
  </si>
  <si>
    <t>121059 город Москва площадь Киевского Вокзала дом 2   этаж 1, помещение I, комната 77.</t>
  </si>
  <si>
    <t>ЮЛ500100649400034</t>
  </si>
  <si>
    <t>121552 город Москва улица Ярцевская дом 19   этаж 2.</t>
  </si>
  <si>
    <t>ЮЛ500100649400036</t>
  </si>
  <si>
    <t>129594 город Москва улица Шереметьевская дом 6 корпус 1  этаж 1, помещение № XVI, комната 78, секция № 1-33.</t>
  </si>
  <si>
    <t>ЮЛ500100649400037</t>
  </si>
  <si>
    <t>121352 город Москва проспект Кутузовский дом 57   этаж 1, помещение № 1.075.4.4.03.</t>
  </si>
  <si>
    <t>ЮЛ500100649400039</t>
  </si>
  <si>
    <t>115573 город Москва бульвар Ореховый дом 22А   этаж 1, часть комнаты № 63 в помещении № IX.</t>
  </si>
  <si>
    <t>ЮЛ500100649400040</t>
  </si>
  <si>
    <t>108811 город Московский Киевское шоссе 23-й километр дом 1   этаж 3, помещение под условным номером 1К5</t>
  </si>
  <si>
    <t>ЮЛ500100649400041</t>
  </si>
  <si>
    <t>119602 город Москва улица Мичуринский проспект.Олимпийская деревня дом 3 корпус 1  этаж 1, помещение IV, комната № 11, 12, 14.</t>
  </si>
  <si>
    <t>ЮЛ500100649400043</t>
  </si>
  <si>
    <t>129327 город Москва улица Енисейская дом 19 корпус 1  этаж 1, помещение № В2.</t>
  </si>
  <si>
    <t>ЮЛ500100649400044</t>
  </si>
  <si>
    <t>115093 город Москва переулок Партийный дом 1 корпус 46  этаж 3, офисы: 20, 21, 22, 26, 29, 30, 31, 32, 33, 34, 35, 36, 37, 37а, 38, 39, 39а, 42, 43, 43а, 44, 57, 58.</t>
  </si>
  <si>
    <t>ЮЛ500100649400046</t>
  </si>
  <si>
    <t>119421 город Москва проспект Ленинский дом 109   этаж 1, помещение III, комната 134, условный номер 1-30.</t>
  </si>
  <si>
    <t>ЮЛ500100649400048</t>
  </si>
  <si>
    <t>125009 город Москва улица Тверская дом 6/1 строение 1</t>
  </si>
  <si>
    <t>ЮЛ500100649400050</t>
  </si>
  <si>
    <t>129226 город Москва проспект Мира дом 211 корпус 2  комната № 146</t>
  </si>
  <si>
    <t>ЮЛ500100649400052</t>
  </si>
  <si>
    <t>115563 город Москва шоссе Каширское дом 61Г   этаж 1, часть нежилого помещения под условным номером 0-5.</t>
  </si>
  <si>
    <t>ЮЛ500100649400053</t>
  </si>
  <si>
    <t>123007 город Москва шоссе Хорошёвское дом 27   этаж 1</t>
  </si>
  <si>
    <t>ЮЛ500100649400054</t>
  </si>
  <si>
    <t>125047 город Москва площадь Тверская Застава дом 4   этаж 1, часть комнаты № 1 помещения № 17Н.</t>
  </si>
  <si>
    <t>ЮЛ500100649400056</t>
  </si>
  <si>
    <t>119311 город Москва проспект Вернадского дом 6   этаж 1</t>
  </si>
  <si>
    <t>ЮЛ500100649400059</t>
  </si>
  <si>
    <t>129226 город Москва улица Вильгельма Пика дом 11   этаж 1, часть нежилого помещения 1Н, комната № 2.</t>
  </si>
  <si>
    <t>ЮЛ500100649400060</t>
  </si>
  <si>
    <t>109443 город Москва улица Зеленодольская дом 42   этаж 1, помещение № А15</t>
  </si>
  <si>
    <t>ЮЛ500100649400061</t>
  </si>
  <si>
    <t>108820 город Москва километр 21-й владение 3А строение 1  этаж 1, помещение 1 ж, комната 2, 2а.</t>
  </si>
  <si>
    <t>ЮЛ500100649400062</t>
  </si>
  <si>
    <t>115054 город Москва площадь Павелецкая дом 3   этаж  -1, помещение А10.</t>
  </si>
  <si>
    <t>ЮЛ500100649400063</t>
  </si>
  <si>
    <t>105064 город Москва улица Земляной Вал дом 33   этаж 1, помещение 26Н, часть помещения XI, комната 21.</t>
  </si>
  <si>
    <t>ЮЛ500100649400067</t>
  </si>
  <si>
    <t>123112 город Москва набережная Пресненская дом 2   помещение 1Н/6, этаж 3, помещение I, комнаты: № 251а, 252, 252а.</t>
  </si>
  <si>
    <t>ЮЛ500100649400069</t>
  </si>
  <si>
    <t>123182 город Москва улица Щукинская дом 42   помещение I, комнаты 72г, 72д, 72е.</t>
  </si>
  <si>
    <t>ЮЛ500100649400070</t>
  </si>
  <si>
    <t>107113 город Москва улица Русаковская дом 31   этаж 1, комната № 5.</t>
  </si>
  <si>
    <t>ЮЛ500100649400071</t>
  </si>
  <si>
    <t>125171 город Москва шоссе Ленинградское дом 16А строение 4  этаж 1, помещение 1-018</t>
  </si>
  <si>
    <t>ЮЛ500100649400073</t>
  </si>
  <si>
    <t>115598 город Москва улица Загорьевская дом 25 этаж 1  помещение 12, комната 7А</t>
  </si>
  <si>
    <t>ИП Ландырева Наталья Федоровна</t>
  </si>
  <si>
    <t>500200903003</t>
  </si>
  <si>
    <t>ИП5001018552</t>
  </si>
  <si>
    <t>ИП500101855200000</t>
  </si>
  <si>
    <t>115093 город Москва переулок Партийный дом 1 корпус 46  этаж 3, офисы 27а, 27б, 28, 31, 37, 37а, 38, 39, 39а, 40, 42, 42а, 42б, 42в, 45, 48, 49, 50, часть офисов 27, 30.</t>
  </si>
  <si>
    <t>ООО "БЮЗ"</t>
  </si>
  <si>
    <t>5002065838</t>
  </si>
  <si>
    <t>ЮЛ5001004773</t>
  </si>
  <si>
    <t>ЮЛ500100477300001</t>
  </si>
  <si>
    <t>109390 город Москва улица Люблинская дом 18А   комната 3.10</t>
  </si>
  <si>
    <t>ИП Попов Сергей Викторович</t>
  </si>
  <si>
    <t>500310803361</t>
  </si>
  <si>
    <t>ИП5001004644</t>
  </si>
  <si>
    <t>ИП500100464400000</t>
  </si>
  <si>
    <t>111024 город Москва улица Авиамоторная дом 50 строение 2  помещение 26/14Ч</t>
  </si>
  <si>
    <t>ИП Калинин Роман Валериевич</t>
  </si>
  <si>
    <t>500408041208</t>
  </si>
  <si>
    <t>ИП5001039253</t>
  </si>
  <si>
    <t>ИП500103925300000</t>
  </si>
  <si>
    <t>121351 город Москва улица Партизанская дом 25   Этаж 2, помещение I, комнаты 3(часть 17,1 кв. м.),4,5,6</t>
  </si>
  <si>
    <t>ИП Самородов Вадим Анатольевич</t>
  </si>
  <si>
    <t>500600975108</t>
  </si>
  <si>
    <t>ИП7701003310</t>
  </si>
  <si>
    <t>ИП770100331000000</t>
  </si>
  <si>
    <t>125363 город Москва улица Сходненская дом 37   этаж 1, помещение VI комнаты 1-6</t>
  </si>
  <si>
    <t>ИП Серихин Максим Евгеньевич</t>
  </si>
  <si>
    <t>500703332451</t>
  </si>
  <si>
    <t>ИП5001004102</t>
  </si>
  <si>
    <t>ИП500100410200000</t>
  </si>
  <si>
    <t>129344 город Москва улица Искры дом 17А строение 3   этаж2</t>
  </si>
  <si>
    <t>ИП Панфилова Ольга Алексеевна</t>
  </si>
  <si>
    <t>500804011599</t>
  </si>
  <si>
    <t>ИП7701007171</t>
  </si>
  <si>
    <t>ИП770100717100000</t>
  </si>
  <si>
    <t>127273 город Москва улица Олонецкая дом 4   Помещение № 404</t>
  </si>
  <si>
    <t>ИП Митрофанов Алексей Анатольевич</t>
  </si>
  <si>
    <t>500805258609</t>
  </si>
  <si>
    <t>ИП7701036304</t>
  </si>
  <si>
    <t>ИП770103630400000</t>
  </si>
  <si>
    <t>119415 город Москва проспект Вернадского дом 37 корпус 2  помещение 360, комната 30, этаж 4</t>
  </si>
  <si>
    <t>ООО "Т-М"</t>
  </si>
  <si>
    <t>5008060346</t>
  </si>
  <si>
    <t>ЮЛ7701007336</t>
  </si>
  <si>
    <t>ЮЛ770100733600000</t>
  </si>
  <si>
    <t>117342 город Москва улица Бутлерова дом 17   3 этаж, ком. 61</t>
  </si>
  <si>
    <t>ИП Гайсина Анна Юрьевна</t>
  </si>
  <si>
    <t>500908955312</t>
  </si>
  <si>
    <t>ИП5001005198</t>
  </si>
  <si>
    <t>ИП500100519800000</t>
  </si>
  <si>
    <t>123104 город Москва Большая Бронная дом 23 1  Помещение 1, оф. 33-39</t>
  </si>
  <si>
    <t>ООО "ЛХАСА"</t>
  </si>
  <si>
    <t>5009133244</t>
  </si>
  <si>
    <t>ЮЛ5001031866</t>
  </si>
  <si>
    <t>ЮЛ500103186600000</t>
  </si>
  <si>
    <t>107031 город Москва улица Неглинная дом 18 строение 1  помещение 3</t>
  </si>
  <si>
    <t>ООО "ЕВРО-ФЭШН"</t>
  </si>
  <si>
    <t>5009138348</t>
  </si>
  <si>
    <t>ЮЛ5001039258</t>
  </si>
  <si>
    <t>ЮЛ500103925800000</t>
  </si>
  <si>
    <t>107140 город Москва улица Русаковская дом 1   Этаж № 1, Этаж № 3, Этаж № 2</t>
  </si>
  <si>
    <t>ИП500100445500000</t>
  </si>
  <si>
    <t>127051 город Москва бульвар Петровский дом 21   на поэтапном плане: этаж 1, помещение VI - комнаты с 1 по 5</t>
  </si>
  <si>
    <t>ИП500100445500010</t>
  </si>
  <si>
    <t>111024 город Москва улица 2-я Энтузиастов дом 5 корпус 41</t>
  </si>
  <si>
    <t>ИП500100445500013</t>
  </si>
  <si>
    <t>119571 город Москва проспект Вернадского дом 86А</t>
  </si>
  <si>
    <t>ИП500100445500024</t>
  </si>
  <si>
    <t>107207 город Москва шоссе Щёлковское дом 75   часть комнаты 1, являющейся частью помещения I</t>
  </si>
  <si>
    <t>ИП500100445500025</t>
  </si>
  <si>
    <t>108811 город Москва километр Киевское шоссе 23-й (п Московский) дом 1   на 3 (1 торговый ) этаже обозначенным на поэтажном плане под номером 1K29</t>
  </si>
  <si>
    <t>ИП500100445500029</t>
  </si>
  <si>
    <t>123112 город Москва набережная Пресненская дом 2   этаж, место установки КВ4а</t>
  </si>
  <si>
    <t>ИП500100445500030</t>
  </si>
  <si>
    <t>125047 город Москва площадь Тверская Застава дом 4   1 этаж , отм.0-000 КА2</t>
  </si>
  <si>
    <t>ИП500100445500046</t>
  </si>
  <si>
    <t>ИП500100445500050</t>
  </si>
  <si>
    <t>123112 город Москва набережная Пресненская дом 2   2 этаж, отм. 129.7 КВ7b</t>
  </si>
  <si>
    <t>ИП500100445500052</t>
  </si>
  <si>
    <t>125047 город Москва площадь Тверская Застава дом 4   1 этаж, отм. 0-000KA1</t>
  </si>
  <si>
    <t>ИП500100445500053</t>
  </si>
  <si>
    <t>119334 город Москва улица Вавилова дом 3</t>
  </si>
  <si>
    <t>ИП500100445500056</t>
  </si>
  <si>
    <t>109443 город Москва улица Зеленодольская дом 42   1 этаж , №1-18</t>
  </si>
  <si>
    <t>ИП500100445500064</t>
  </si>
  <si>
    <t>108811 город Москва Киевское шоссе километр 23-й дом 1   1К35</t>
  </si>
  <si>
    <t>ИП500100445500077</t>
  </si>
  <si>
    <t>108811 город Москва Киевское шоссе километр 23-й дом 1   1К36</t>
  </si>
  <si>
    <t>ИП500100445500079</t>
  </si>
  <si>
    <t>108811 город Москва Киевское шоссе километр 23-й дом 1   1К39</t>
  </si>
  <si>
    <t>ИП500100445500080</t>
  </si>
  <si>
    <t>121059 город Москва площадь Киевского Вокзала дом 2   ТРЦ Европейский, первый этаж , помещение 152</t>
  </si>
  <si>
    <t>ИП500100445500091</t>
  </si>
  <si>
    <t>125171 город Москва шоссе Ленинградское дом 16А строение 4   ТРЦ Метрополис . 1 этаж помещение 1.211.1.4.02</t>
  </si>
  <si>
    <t>ИП500100445500094</t>
  </si>
  <si>
    <t>123112 город Москва набережная Пресненская дом 2   Афимолл Сити , Место KB21</t>
  </si>
  <si>
    <t>ИП500100445500100</t>
  </si>
  <si>
    <t>105064 город Москва улица Земляной Вал дом 33   ТЦ Атриум касио</t>
  </si>
  <si>
    <t>ИП500100445500103</t>
  </si>
  <si>
    <t>121352 город Москва проспект Кутузовский дом 57   ТЦ Океания, тц по адресу Кутузовский проспект 57/ на земельном участке Славянский бульвар вл. 3</t>
  </si>
  <si>
    <t>ИП500100445500112</t>
  </si>
  <si>
    <t>129226 город Москва проспект Мира дом 211 корпус 2  ТЦ Европолис</t>
  </si>
  <si>
    <t>ИП500100445500118</t>
  </si>
  <si>
    <t>129594 город Москва улица Шереметьевская дом 6 корпус 1  помещение 2/1, Райкин Плаза, секция Б14</t>
  </si>
  <si>
    <t>ИП500100445500124</t>
  </si>
  <si>
    <t>129366 город Москва проспект Мира дом 146</t>
  </si>
  <si>
    <t>ИП Петушков Илья Олегович</t>
  </si>
  <si>
    <t>501006009340</t>
  </si>
  <si>
    <t>ИП5001040688</t>
  </si>
  <si>
    <t>ИП500104068800000</t>
  </si>
  <si>
    <t>107023 город Москва переулок Барабанный дом 4 строение 6  2 этаж, помещение 3, комната 5, офис 6</t>
  </si>
  <si>
    <t>ИП Литвинова Кристина Сергеевна</t>
  </si>
  <si>
    <t>501208589172</t>
  </si>
  <si>
    <t>ИП7701031037</t>
  </si>
  <si>
    <t>ИП770103103700000</t>
  </si>
  <si>
    <t>107031 город Москва улица Петровка дом 11   комнаты 1-8</t>
  </si>
  <si>
    <t>ИП Кытин Константин Александрович</t>
  </si>
  <si>
    <t>501208938480</t>
  </si>
  <si>
    <t>ИП5001010687</t>
  </si>
  <si>
    <t>ИП500101068700001</t>
  </si>
  <si>
    <t>125080 город Москва улица Алабяна дом 12 корпус 4  помещение II</t>
  </si>
  <si>
    <t>ИП Белякова Вера Александровна</t>
  </si>
  <si>
    <t>501209711330</t>
  </si>
  <si>
    <t>ИП7701008162</t>
  </si>
  <si>
    <t>ИП770100816200000</t>
  </si>
  <si>
    <t>109431 город Москва улица Привольная дом 70 корпус 1  комната 3 н</t>
  </si>
  <si>
    <t>ИП Бондарева Ольга Валериевна</t>
  </si>
  <si>
    <t>501210878012</t>
  </si>
  <si>
    <t>ИП5001000090</t>
  </si>
  <si>
    <t>ИП500100009000000</t>
  </si>
  <si>
    <t>107113 город Москва улица Русаковская дом 25 строение 1  часть нежилого помещения в помещении 4/1</t>
  </si>
  <si>
    <t>ИП Авдеева Наталья Николаевна</t>
  </si>
  <si>
    <t>501807159919</t>
  </si>
  <si>
    <t>ИП5001004683</t>
  </si>
  <si>
    <t>ИП500100468300021</t>
  </si>
  <si>
    <t>107553 город Москва улица Амурская дом 1А корпус 2  помещение 11Н</t>
  </si>
  <si>
    <t>ИП500100468300024</t>
  </si>
  <si>
    <t>109012 город Москва улица Охотный Ряд дом 2   Салон "Rodis".Помещение №1</t>
  </si>
  <si>
    <t>ИП Минакова Елена Владимировна</t>
  </si>
  <si>
    <t>501809282844</t>
  </si>
  <si>
    <t>ИП7701009001</t>
  </si>
  <si>
    <t>ИП770100900100001</t>
  </si>
  <si>
    <t>127055 город Москва улица Тихвинская дом 9</t>
  </si>
  <si>
    <t>ИП Пахолок Даниил Романович</t>
  </si>
  <si>
    <t>501822252704</t>
  </si>
  <si>
    <t>ИП5001037293</t>
  </si>
  <si>
    <t>ИП500103729300000</t>
  </si>
  <si>
    <t>125047 город Москва улица 1-я Тверская-Ямская дом 13 строение 1А  часть помещения 1</t>
  </si>
  <si>
    <t>ИП Куртенок Маргарита Владимировна</t>
  </si>
  <si>
    <t>501849003600</t>
  </si>
  <si>
    <t>ИП5001037050</t>
  </si>
  <si>
    <t>ИП500103705000000</t>
  </si>
  <si>
    <t>127006 Москва Малая Дмитровка  дом 24/2   этаж 1</t>
  </si>
  <si>
    <t>ИП Торосян Айкануш Хореновна</t>
  </si>
  <si>
    <t>501911051485</t>
  </si>
  <si>
    <t>ИП5001038256</t>
  </si>
  <si>
    <t>ИП500103825600000</t>
  </si>
  <si>
    <t>107150 город Москва улица Бойцовая дом 22   помещение 1П</t>
  </si>
  <si>
    <t>ИП Моргун Олег Николаевич</t>
  </si>
  <si>
    <t>502008340373</t>
  </si>
  <si>
    <t>ИП5001037530</t>
  </si>
  <si>
    <t>ИП500103753000000</t>
  </si>
  <si>
    <t>115184 город Москва улица Новокузнецкая дом 1 строение 3  этаж 1 помещение №25</t>
  </si>
  <si>
    <t>ИП Залесский Кирилл Андреевич</t>
  </si>
  <si>
    <t>502013165991</t>
  </si>
  <si>
    <t>ИП5001018849</t>
  </si>
  <si>
    <t>ИП500101884900002</t>
  </si>
  <si>
    <t>117105 город Москва улица Нагатинская дом 3А   В-201</t>
  </si>
  <si>
    <t>ИП Лысков Кирилл Викторович</t>
  </si>
  <si>
    <t>502103274843</t>
  </si>
  <si>
    <t>ИП7701017704</t>
  </si>
  <si>
    <t>ИП770101770400000</t>
  </si>
  <si>
    <t>125009 Город Москва Переулок Брюсов Дом 8-10 Строение 1  Подъезд 1, 1 этаж, помещения № X.</t>
  </si>
  <si>
    <t>ИП Денисова Галина Александровна</t>
  </si>
  <si>
    <t>502105818506</t>
  </si>
  <si>
    <t>ИП5001008631</t>
  </si>
  <si>
    <t>ИП500100863100000</t>
  </si>
  <si>
    <t>125009 Город Москва Переулок Брюсов Дом 8-10 Строение 1   Подъезд 1, Этаж 1, Помещение № IV,V, Магазин 2</t>
  </si>
  <si>
    <t>ИП500100863100002</t>
  </si>
  <si>
    <t>115201 город Москва улица Котляковская дом 3 строение 1  комната №29</t>
  </si>
  <si>
    <t>ИП Котова Светлана Александровна</t>
  </si>
  <si>
    <t>502403219554</t>
  </si>
  <si>
    <t>ИП7701004545</t>
  </si>
  <si>
    <t>ИП770100454500000</t>
  </si>
  <si>
    <t>125375 город Москва переулок Глинищевский дом 3   этаж 4, помещение №25</t>
  </si>
  <si>
    <t>ИП Окутова Ирина Александровна</t>
  </si>
  <si>
    <t>502404457350</t>
  </si>
  <si>
    <t>ИП5001035732</t>
  </si>
  <si>
    <t>ИП500103573200000</t>
  </si>
  <si>
    <t>121248 город Москва проспект Кутузовский дом 2/1 строение 1  этаж1, помещение 1, комната 50</t>
  </si>
  <si>
    <t>ИП Васина Юлия Сергеевна</t>
  </si>
  <si>
    <t>502406730012</t>
  </si>
  <si>
    <t>ИП5001039927</t>
  </si>
  <si>
    <t>ИП500103992700000</t>
  </si>
  <si>
    <t>107014 Город МОСКВА Улица РУСАКОВСКАЯ дом 22   Помещение 1 этаж</t>
  </si>
  <si>
    <t>ИП Коренева Екатерина Александровна</t>
  </si>
  <si>
    <t>502407921757</t>
  </si>
  <si>
    <t>ИП7701003042</t>
  </si>
  <si>
    <t>ИП770100304200000</t>
  </si>
  <si>
    <t>105122 город Москва шоссе Щёлковское дом 8   помещение 1 этаж</t>
  </si>
  <si>
    <t>ИП770100304200001</t>
  </si>
  <si>
    <t>119017 город Москва улица Малая Ордынка дом 24   Помещение 1-6</t>
  </si>
  <si>
    <t>ИП Рудакова Елена Вениаминовна</t>
  </si>
  <si>
    <t>502410397903</t>
  </si>
  <si>
    <t>ИП7701002249</t>
  </si>
  <si>
    <t>ИП770100224900000</t>
  </si>
  <si>
    <t>101000 город Москва Ленинградский проспект дом 36   помещение 1/1, комната 308</t>
  </si>
  <si>
    <t>ООО "АЛМАЗНЫЙ ОСТРОВ"</t>
  </si>
  <si>
    <t>5024243594</t>
  </si>
  <si>
    <t>ЮЛ5001037710</t>
  </si>
  <si>
    <t>ЮЛ500103771000000</t>
  </si>
  <si>
    <t>124365 город Зеленоград  корпус 1637   помещение 43</t>
  </si>
  <si>
    <t>ООО "ЛОМБАРД ДОВЕРИЕ"</t>
  </si>
  <si>
    <t>5024247870</t>
  </si>
  <si>
    <t>ЮЛ5001038760</t>
  </si>
  <si>
    <t>ЮЛ500103876000002</t>
  </si>
  <si>
    <t>121614 город Москва улица Крылатские Холмы дом 32 корпус 2  помещение 4/1</t>
  </si>
  <si>
    <t>ИП Ермишина Мария Николаевна</t>
  </si>
  <si>
    <t>502506991755</t>
  </si>
  <si>
    <t>ИП7701037762</t>
  </si>
  <si>
    <t>ИП770103776200000</t>
  </si>
  <si>
    <t>105264 город Москва улица Верхняя Первомайская дом 36   помещение 5/1</t>
  </si>
  <si>
    <t>ИП Кузнечевский Владимир Александрович</t>
  </si>
  <si>
    <t>502700337078</t>
  </si>
  <si>
    <t>ИП7701013466</t>
  </si>
  <si>
    <t>ИП770101346600000</t>
  </si>
  <si>
    <t>123112 город Москва набережная Пресненская дом 2   этаж 3, комната 182А помещения №1</t>
  </si>
  <si>
    <t>ИП Гаврилов Сергей Вячеславович</t>
  </si>
  <si>
    <t>502706347611</t>
  </si>
  <si>
    <t>ИП7701009516</t>
  </si>
  <si>
    <t>ИП770100951600000</t>
  </si>
  <si>
    <t>115184 город Москва набережная Озерковская дом 22/24 строение 1  помещение 102</t>
  </si>
  <si>
    <t>ИП Васильев Никита Петрович</t>
  </si>
  <si>
    <t>502714314754</t>
  </si>
  <si>
    <t>ИП5001002223</t>
  </si>
  <si>
    <t>ИП500100222300000</t>
  </si>
  <si>
    <t>105064 город Москва переулок Гороховский Дом 5   этаж 4, комната 2</t>
  </si>
  <si>
    <t>ИП Спешинская Юлия Вадимовна</t>
  </si>
  <si>
    <t>502717708940</t>
  </si>
  <si>
    <t>ИП7701030295</t>
  </si>
  <si>
    <t>ИП770103029500000</t>
  </si>
  <si>
    <t>125039 город Москва набережная Пресненская дом 10 строение 2  этаж 11, пом. 97, ком. 2</t>
  </si>
  <si>
    <t>ИП Писаренко Алексей Дмитриевич</t>
  </si>
  <si>
    <t>502719417802</t>
  </si>
  <si>
    <t>ИП5001005180</t>
  </si>
  <si>
    <t>ИП500100518000000</t>
  </si>
  <si>
    <t>101000 город Москва бульвар Сретенский дом 2 строение 1  этаж мансарда, комната №17 (офис 416)</t>
  </si>
  <si>
    <t>ИП Бершадская Ксения Валерьевна</t>
  </si>
  <si>
    <t>502721631553</t>
  </si>
  <si>
    <t>ИП7701020366</t>
  </si>
  <si>
    <t>ИП770102036600000</t>
  </si>
  <si>
    <t>115404 город Москва улица 6-я Радиальная дом 3 корпус 9  эт/секция 1/3</t>
  </si>
  <si>
    <t>ИП Ситникова Юлия Николаевна</t>
  </si>
  <si>
    <t>502771325456</t>
  </si>
  <si>
    <t>ИП5001015543</t>
  </si>
  <si>
    <t>ИП500101554300000</t>
  </si>
  <si>
    <t>129164 город Москва улица Маломосковская дом 22 строение 4  помещение 1 часть комнаты 2</t>
  </si>
  <si>
    <t>ИП Виноградов Василий Владимирович</t>
  </si>
  <si>
    <t>502907428927</t>
  </si>
  <si>
    <t>ИП5001014898</t>
  </si>
  <si>
    <t>ИП500101489800000</t>
  </si>
  <si>
    <t>129336 город Москва проезд Анадырский дом 63А</t>
  </si>
  <si>
    <t>ООО "ФИНАНСИСТ"</t>
  </si>
  <si>
    <t>5029214981</t>
  </si>
  <si>
    <t>ЮЛ5001003188</t>
  </si>
  <si>
    <t>ЮЛ500100318800007</t>
  </si>
  <si>
    <t>ООО "ЛОМБАРД ФИНАНСОВЫЕ УСЛУГИ"</t>
  </si>
  <si>
    <t>5029279643</t>
  </si>
  <si>
    <t>ЮЛ5001035843</t>
  </si>
  <si>
    <t>ЮЛ500103584300004</t>
  </si>
  <si>
    <t>105082 город Москва переулок Налесный дом 9/11   Помещение 1/П кабинет №5</t>
  </si>
  <si>
    <t>ИП Шамина Александра Александровна</t>
  </si>
  <si>
    <t>502981411493</t>
  </si>
  <si>
    <t>ИП5001039313</t>
  </si>
  <si>
    <t>ИП500103931300000</t>
  </si>
  <si>
    <t>125171 город Москва шоссе Ленинградское дом 16А строение 8</t>
  </si>
  <si>
    <t>ИП Тютюкова Елена Викторовна</t>
  </si>
  <si>
    <t>503111998954</t>
  </si>
  <si>
    <t>ИП5001016942</t>
  </si>
  <si>
    <t>ИП500101694200000</t>
  </si>
  <si>
    <t>ИП500101694200002</t>
  </si>
  <si>
    <t>105005 город Москва улица Бауманская дом 7 строение 1   помещение 15А</t>
  </si>
  <si>
    <t>ООО "ЗОЛОТЫЕ ДЕНЬГИ"</t>
  </si>
  <si>
    <t>5031159505</t>
  </si>
  <si>
    <t>ЮЛ5001038535</t>
  </si>
  <si>
    <t>ЮЛ500103853500000</t>
  </si>
  <si>
    <t>107023 город Москва улица Малая Семёновская дом 3 строение 2  комната 3</t>
  </si>
  <si>
    <t>ИП Маркина Ирина Владимировна</t>
  </si>
  <si>
    <t>503116897621</t>
  </si>
  <si>
    <t>ИП5001032302</t>
  </si>
  <si>
    <t>ИП500103230200000</t>
  </si>
  <si>
    <t>121471 город Москва шоссе Можайское дом 31 корпус 1  помещение 1.часть комнаты  №1 площадью 6 кв.м.</t>
  </si>
  <si>
    <t>ИП Мустафаева Балаханум Азизовна</t>
  </si>
  <si>
    <t>503199748500</t>
  </si>
  <si>
    <t>ИП5001015612</t>
  </si>
  <si>
    <t>ИП500101561200000</t>
  </si>
  <si>
    <t>115407 город Москва улица Речников дом 7 2</t>
  </si>
  <si>
    <t>ИП Молдован Ирина Леонидовна</t>
  </si>
  <si>
    <t>503200732258</t>
  </si>
  <si>
    <t>ИП5001040221</t>
  </si>
  <si>
    <t>ИП500104022100000</t>
  </si>
  <si>
    <t>117246 город Москва проезд Научный дом 10   этаж 4, помещение 29, помещение 30</t>
  </si>
  <si>
    <t>ИП Антонов Андрей Игоревич</t>
  </si>
  <si>
    <t>503201711028</t>
  </si>
  <si>
    <t>ИП5001010550</t>
  </si>
  <si>
    <t>ИП500101055000000</t>
  </si>
  <si>
    <t>125009 город Москва переулок Газетный дом 9 строение 5  этаж 1</t>
  </si>
  <si>
    <t>ИП Ильина Дарья Михайловна</t>
  </si>
  <si>
    <t>503213873129</t>
  </si>
  <si>
    <t>ИП5001002512</t>
  </si>
  <si>
    <t>ИП500100251200000</t>
  </si>
  <si>
    <t>125124 город Москва улица 1-я Ямского Поля дом 1 корпус 1  этаж 13, помещение №433</t>
  </si>
  <si>
    <t>ИП Бем Эдуард Эдуардович</t>
  </si>
  <si>
    <t>503218245706</t>
  </si>
  <si>
    <t>ИП5001015390</t>
  </si>
  <si>
    <t>ИП500101539000000</t>
  </si>
  <si>
    <t>121059 город Москва площадь Евразии дом 2   этаж 1, помещение 2, комната 144</t>
  </si>
  <si>
    <t>ЮЛ500100279300001</t>
  </si>
  <si>
    <t>121248 город Москва проспект Кутузовский дом 2/1 строение 1  этаж 1, помещение 1, комната 54</t>
  </si>
  <si>
    <t>ЮЛ500100279300002</t>
  </si>
  <si>
    <t>123112 город Москва набережная Пресненская дом 2   этаж 2, помещение 1, комната 229</t>
  </si>
  <si>
    <t>ЮЛ500100279300003</t>
  </si>
  <si>
    <t>109012 город Москва улица Охотный Ряд дом 2   этаж 1, помещение XV, комната 1</t>
  </si>
  <si>
    <t>ЮЛ500100279300012</t>
  </si>
  <si>
    <t>107031 город Москва улица Петровка дом 15 строение 1  этаж 1, помещение IX, комнаты №№ 3-7</t>
  </si>
  <si>
    <t>ЮЛ500100279300013</t>
  </si>
  <si>
    <t>109012 город Москва улица Никольская дом 19-21/1   этаж, 1, помещение V, комната 1</t>
  </si>
  <si>
    <t>ЮЛ500100279300014</t>
  </si>
  <si>
    <t>125009 город Москва улица Петровка дом 2 строение 2  этаж 1, часть комнаты 1</t>
  </si>
  <si>
    <t>ЮЛ500100279300015</t>
  </si>
  <si>
    <t>121165 город Москва проспект Кутузовский дом 31   этаж 1, помещение V, комната 1</t>
  </si>
  <si>
    <t>ЮЛ500100279300016</t>
  </si>
  <si>
    <t>109012 город Москва проезд Театральный дом 2   этаж 1, помещение 1, комната 7</t>
  </si>
  <si>
    <t>ЮЛ500100279300017</t>
  </si>
  <si>
    <t>121108 город Москва проспект Кутузовский дом 48   этаж 1, помещение I, комната 67</t>
  </si>
  <si>
    <t>ЮЛ500100279300020</t>
  </si>
  <si>
    <t>109012 город Москва улица Никольская дом 19-21/1   этаж 1 помещение VI комнаты 1-7</t>
  </si>
  <si>
    <t>ООО "МЕРКУРИ МОДА"</t>
  </si>
  <si>
    <t>5032277847</t>
  </si>
  <si>
    <t>ЮЛ5001009903</t>
  </si>
  <si>
    <t>ЮЛ500100990300002</t>
  </si>
  <si>
    <t>109028 город Москва улица Солянка дом 15   Этаж 1, помещение 1, комната 4 (офис № 110)</t>
  </si>
  <si>
    <t>ИП Павлова Анна Анатольевна</t>
  </si>
  <si>
    <t>503242011321</t>
  </si>
  <si>
    <t>ИП5001003986</t>
  </si>
  <si>
    <t>ИП500100398600000</t>
  </si>
  <si>
    <t>127434 город Москва шоссе Дмитровское дом 5 корпус 1  этаж подвал №0</t>
  </si>
  <si>
    <t>ИП Петрова Анастасия Львовна</t>
  </si>
  <si>
    <t>503411902580</t>
  </si>
  <si>
    <t>ИП5001036413</t>
  </si>
  <si>
    <t>ИП500103641300000</t>
  </si>
  <si>
    <t>123100 город Москва улица 1905 года дом 1   пом. II , комн. 3</t>
  </si>
  <si>
    <t>ИП Глебова Юлия Александровна</t>
  </si>
  <si>
    <t>503506799122</t>
  </si>
  <si>
    <t>ИП7701038708</t>
  </si>
  <si>
    <t>ИП770103870800000</t>
  </si>
  <si>
    <t>117648 город Москва Микрорайон Чертаново Северное дом 1А   помещение №52, №52а</t>
  </si>
  <si>
    <t>ИП Долотов Виталий Юрьевич</t>
  </si>
  <si>
    <t>503602117460</t>
  </si>
  <si>
    <t>ИП5001005957</t>
  </si>
  <si>
    <t>ИП500100595700003</t>
  </si>
  <si>
    <t>127055 город Москва переулок Тихвинский дом 7 строение 1</t>
  </si>
  <si>
    <t>ИП Матвеев Евгений Игоревич</t>
  </si>
  <si>
    <t>503609561072</t>
  </si>
  <si>
    <t>ИП5001011463</t>
  </si>
  <si>
    <t>ИП500101146300000</t>
  </si>
  <si>
    <t>121087 город Москва проезд Береговой дом 5А корпус 1  помещение 104</t>
  </si>
  <si>
    <t>ИП Балихина Евгения Владимировна</t>
  </si>
  <si>
    <t>503612266711</t>
  </si>
  <si>
    <t>ИП7701038600</t>
  </si>
  <si>
    <t>ИП770103860000000</t>
  </si>
  <si>
    <t>108801 город Москва, Сосенское поселение, поселок Коммунарка улица Липовый парк дом 11</t>
  </si>
  <si>
    <t>ООО "ДОМАШНИЙ ЛОМБАРД"</t>
  </si>
  <si>
    <t>5036156900</t>
  </si>
  <si>
    <t>ЮЛ5001000527</t>
  </si>
  <si>
    <t>ЮЛ500100052700003</t>
  </si>
  <si>
    <t>108801 город Москва, Сосенское поселение, поселок Коммунарка улица Александры Монаховой дом 92 корпус 1</t>
  </si>
  <si>
    <t>ЮЛ500100052700004</t>
  </si>
  <si>
    <t>115372 город Москва улица Бирюлёвская дом 51 корпус 1</t>
  </si>
  <si>
    <t>ЮЛ500100052700005</t>
  </si>
  <si>
    <t>108801 город Москва, Сосенское поселение, поселок Коммунарка улица Липовый парк дом 4 корпус 1</t>
  </si>
  <si>
    <t>ЮЛ500100052700008</t>
  </si>
  <si>
    <t>125493 город Москва улица Смольная дом 12   Этаж П Помещение 25</t>
  </si>
  <si>
    <t>ИП Закревский Александр Сергеевич</t>
  </si>
  <si>
    <t>503622893077</t>
  </si>
  <si>
    <t>ИП5001020071</t>
  </si>
  <si>
    <t>ИП500102007100000</t>
  </si>
  <si>
    <t>119027 город Москва улица 2-я Рейсовая дом 2 корпус 5  эт.4, часть помещ. ВИП зала</t>
  </si>
  <si>
    <t>ИП Москалева Мария Сергеевна</t>
  </si>
  <si>
    <t>503807785194</t>
  </si>
  <si>
    <t>ИП5001007346</t>
  </si>
  <si>
    <t>ИП500100734600000</t>
  </si>
  <si>
    <t>119034 город Москва улица Пречистенка Дом 6</t>
  </si>
  <si>
    <t>ООО "ХПП "СОФРИНО" РПЦ"</t>
  </si>
  <si>
    <t>5038079440</t>
  </si>
  <si>
    <t>ЮЛ5001015807</t>
  </si>
  <si>
    <t>ЮЛ500101580700001</t>
  </si>
  <si>
    <t>107113 Москва Сокольническая площадь дом 6 стр. 3</t>
  </si>
  <si>
    <t>ЮЛ500101580700005</t>
  </si>
  <si>
    <t>123104 город Москва переулок Большой Палашёвский дом 12 строение 2  помещение 2/1</t>
  </si>
  <si>
    <t>ИП770104078500002</t>
  </si>
  <si>
    <t>111538 город Москва улица Вешняковская дом 18А</t>
  </si>
  <si>
    <t>ИП Майорова Екатерина Вячеславовна</t>
  </si>
  <si>
    <t>504007394933</t>
  </si>
  <si>
    <t>ИП5001014042</t>
  </si>
  <si>
    <t>ИП500101404200001</t>
  </si>
  <si>
    <t>111024 город Москва улица шоссе Энтузиастов дом 12</t>
  </si>
  <si>
    <t>ИП500101404200002</t>
  </si>
  <si>
    <t>105120 город Москва улица Верхняя Сыромятническая дом 2   пом2/1, антресоль 1 этаж, помещение VI,часть комнаты 1</t>
  </si>
  <si>
    <t>ИП Румянцев Георгий Вячеславович</t>
  </si>
  <si>
    <t>504016623883</t>
  </si>
  <si>
    <t>ИП5001002763</t>
  </si>
  <si>
    <t>ИП500100276300000</t>
  </si>
  <si>
    <t>127486 город Москва улица Ивана Сусанина дом 2А   комната № 36</t>
  </si>
  <si>
    <t>ИП Хазова Оксана Александровна</t>
  </si>
  <si>
    <t>504022079911</t>
  </si>
  <si>
    <t>ИП5001034566</t>
  </si>
  <si>
    <t>ИП500103456600000</t>
  </si>
  <si>
    <t>117647 город Москва улица Профсоюзная дом 109   помещение 241, Этаж 2</t>
  </si>
  <si>
    <t>ИП Чепа Ольга Борисовна</t>
  </si>
  <si>
    <t>504103528805</t>
  </si>
  <si>
    <t>ИП7701005383</t>
  </si>
  <si>
    <t>ИП770100538300000</t>
  </si>
  <si>
    <t>107023 город Москва улица Большая Семёновская дом 20 строение 1  этаж 1 БЛОК 1.03</t>
  </si>
  <si>
    <t>ИП Смирнов Максим Васильевич</t>
  </si>
  <si>
    <t>504104816130</t>
  </si>
  <si>
    <t>ИП7701016818</t>
  </si>
  <si>
    <t>ИП770101681800000</t>
  </si>
  <si>
    <t>101000 город Москва улица Измайловский вал дом 20</t>
  </si>
  <si>
    <t>ИП770101681800002</t>
  </si>
  <si>
    <t>111622 город Москва Новоухтомское шоссе дом 2А   этаж 2 помещение 221 (К221)</t>
  </si>
  <si>
    <t>ИП770103269300003</t>
  </si>
  <si>
    <t>129085 город Москва проспект Мира дом 105 строение 1  офис 706-1</t>
  </si>
  <si>
    <t>ИП Божедай Владислав Григорьевич</t>
  </si>
  <si>
    <t>504200073857</t>
  </si>
  <si>
    <t>ИП7701036390</t>
  </si>
  <si>
    <t>ИП770103639000000</t>
  </si>
  <si>
    <t>129626 город Москва проспект Мира дом 102 строение 12  комната 19</t>
  </si>
  <si>
    <t>ИП МОЛОЖАВЕНКО А. Д.</t>
  </si>
  <si>
    <t>504207218572</t>
  </si>
  <si>
    <t>ИП5001036489</t>
  </si>
  <si>
    <t>ИП500103648900000</t>
  </si>
  <si>
    <t>121165 город Москва проспект Кутузовский дом 27   помещение 1/Т</t>
  </si>
  <si>
    <t>ИП Кузнецов Алексей Анатольевич</t>
  </si>
  <si>
    <t>504221668492</t>
  </si>
  <si>
    <t>ИП5001016721</t>
  </si>
  <si>
    <t>ИП500101672100000</t>
  </si>
  <si>
    <t>107564 г. Москва ул. Краснобогатырская дом 2 строение 2 подъезд  28, этаж 3 помещение 39</t>
  </si>
  <si>
    <t>ООО "РУССКАЯ БРИЛЛИАНТОВАЯ КОМПАНИЯ"</t>
  </si>
  <si>
    <t>5043055229</t>
  </si>
  <si>
    <t>ЮЛ5001020041</t>
  </si>
  <si>
    <t>ЮЛ500102004100000</t>
  </si>
  <si>
    <t>124681 город Москва, город Зеленоград площадь Привокзальная дом 1   офис 50/3А</t>
  </si>
  <si>
    <t>ИП Курникова Юлия Владимировна</t>
  </si>
  <si>
    <t>504407369890</t>
  </si>
  <si>
    <t>ИП5001006911</t>
  </si>
  <si>
    <t>ИП500100691100000</t>
  </si>
  <si>
    <t>117303 город Москва улица Малая Юшуньская 1 1  17 этаж, Пом.1, комн. 99-101</t>
  </si>
  <si>
    <t>ИП Селиванов Дмитрий Владимирович</t>
  </si>
  <si>
    <t>504505208690</t>
  </si>
  <si>
    <t>ИП5001007121</t>
  </si>
  <si>
    <t>ИП500100712100000</t>
  </si>
  <si>
    <t>115162 город Москва улица Павла Андреева дом 23 строение 12  1 этаж, помещение I , комната 6</t>
  </si>
  <si>
    <t>ИП Носов Владислав Викторович</t>
  </si>
  <si>
    <t>504510192928</t>
  </si>
  <si>
    <t>ИП5001039626</t>
  </si>
  <si>
    <t>ИП500103962600000</t>
  </si>
  <si>
    <t>125212 город Москва шоссе Ленинградское дом 39 строение 7  этаж 1, помещение IV</t>
  </si>
  <si>
    <t>ИП Малышев Павел Игоревич</t>
  </si>
  <si>
    <t>504602126940</t>
  </si>
  <si>
    <t>ИП7701031470</t>
  </si>
  <si>
    <t>ИП770103147000000</t>
  </si>
  <si>
    <t>108840 город Троицк бульвар Сиреневый дом 1   помещение V</t>
  </si>
  <si>
    <t>ООО ЮК "ДИАМАНТ"</t>
  </si>
  <si>
    <t>5046071204</t>
  </si>
  <si>
    <t>ЮЛ7701007281</t>
  </si>
  <si>
    <t>ЮЛ770100728100000</t>
  </si>
  <si>
    <t>115191 город Москва переулок Духовской дом 17 строение 11  помещение 5, 1 этаж</t>
  </si>
  <si>
    <t>ИП Полубехин Игорь Петрович</t>
  </si>
  <si>
    <t>504707923886</t>
  </si>
  <si>
    <t>ИП5001004019</t>
  </si>
  <si>
    <t>ИП500100401900000</t>
  </si>
  <si>
    <t>127221 город Москва проезд Шокальского дом 23А</t>
  </si>
  <si>
    <t>ООО "ПЛАТИНОР"</t>
  </si>
  <si>
    <t>5047169700</t>
  </si>
  <si>
    <t>ЮЛ5001004672</t>
  </si>
  <si>
    <t>ЮЛ500100467200000</t>
  </si>
  <si>
    <t>125130 город Москва проезд Старопетровский дом 7А строение 6  этаж 1, помещение 101</t>
  </si>
  <si>
    <t>ИП Емельянова Ольга Александровна</t>
  </si>
  <si>
    <t>504795864394</t>
  </si>
  <si>
    <t>ИП7701037746</t>
  </si>
  <si>
    <t>ИП770103774600000</t>
  </si>
  <si>
    <t>108811 пос. Московский Киевское шоссе, 23-й километр дом 1   помещение 1К8</t>
  </si>
  <si>
    <t>ИП Бойтан Максим Валерьевич</t>
  </si>
  <si>
    <t>504796690905</t>
  </si>
  <si>
    <t>ИП7701014010</t>
  </si>
  <si>
    <t>ИП770101401000003</t>
  </si>
  <si>
    <t>127562 город Москва улица Декабристов дом 12 помещение 1 1-этаж комната 1, 159, 160</t>
  </si>
  <si>
    <t>ИП Нарулин Денис Сергеевич</t>
  </si>
  <si>
    <t>504810447302</t>
  </si>
  <si>
    <t>ИП5001013683</t>
  </si>
  <si>
    <t>ИП500101368300000</t>
  </si>
  <si>
    <t>119421 город Москва проспект Ленинский дом 109   помещение</t>
  </si>
  <si>
    <t>ИП500101368300003</t>
  </si>
  <si>
    <t>115191 город Москва переулок Холодильный дом 3 корпус 1 стр 4   этаж 4 пом. LXI комн. 5,6,7</t>
  </si>
  <si>
    <t>ИП500101368300004</t>
  </si>
  <si>
    <t>125047 город Москва площадь Тверская Застава дом 4   Помещение № А2</t>
  </si>
  <si>
    <t>ИП500101368300005</t>
  </si>
  <si>
    <t>121099 город Москва переулок Шубинский дом 2/3   помещение 1/2</t>
  </si>
  <si>
    <t>ИП500101368300006</t>
  </si>
  <si>
    <t>115563 город Москва шоссе Каширское дом 61Г   этаж -1</t>
  </si>
  <si>
    <t>ИП500101368300007</t>
  </si>
  <si>
    <t>129343 город Москва проезд Серебрякова дом 14 строение 23  этаж 1, помещение №03, 04, 04а, 04б, 04в, 04г, 04д, 04е, 04ж, 05, 06, 06а, 07, 08, 09, 10, 11, Офис В</t>
  </si>
  <si>
    <t>ИП Камашев Вадим Жакенович</t>
  </si>
  <si>
    <t>504902762865</t>
  </si>
  <si>
    <t>ИП0804006734</t>
  </si>
  <si>
    <t>ИП080400673400000</t>
  </si>
  <si>
    <t>127030 город Москва улица Новослободская дом 4   часть комнаты №27</t>
  </si>
  <si>
    <t>ИП Галкин Всеволод Григорьевич</t>
  </si>
  <si>
    <t>504935587305</t>
  </si>
  <si>
    <t>ИП4703001040</t>
  </si>
  <si>
    <t>ИП470300104000000</t>
  </si>
  <si>
    <t>117246 город Москва улица Профсоюзная дом 61А   помещение I, часть комнаты №96</t>
  </si>
  <si>
    <t>ИП470300104000001</t>
  </si>
  <si>
    <t>117556 город Москва шоссе Варшавское дом 87Б   помещение V, часть комнаты №108</t>
  </si>
  <si>
    <t>ИП470300104000003</t>
  </si>
  <si>
    <t>125363 город Москва улица Сходненская дом 56   помещение I, часть комнаты №176</t>
  </si>
  <si>
    <t>ИП470300104000004</t>
  </si>
  <si>
    <t>121059 город Москва площадь Киевского Вокзала дом 2   помещение I, часть комнаты 121, комната 121б</t>
  </si>
  <si>
    <t>ИП470300104000006</t>
  </si>
  <si>
    <t>125565 город Москва улица Фестивальная дом 2Б   часть комнаты №40</t>
  </si>
  <si>
    <t>ИП470300104000007</t>
  </si>
  <si>
    <t>109341 город Москва улица Перерва дом 43 корпус 1  помещение IV, часть комнаты №80</t>
  </si>
  <si>
    <t>ИП470300104000008</t>
  </si>
  <si>
    <t>117519 город Москва улица Кировоградская дом 13А   место 1-17</t>
  </si>
  <si>
    <t>ИП470300104000009</t>
  </si>
  <si>
    <t>125368 город Москва улица Дубравная дом 34/29   помещение II, часть комнаты №171</t>
  </si>
  <si>
    <t>ИП470300104000010</t>
  </si>
  <si>
    <t>107207 город Москва шоссе Щёлковское дом 75   помещение №140</t>
  </si>
  <si>
    <t>ИП470300104000011</t>
  </si>
  <si>
    <t>109548 город Москва улица Шоссейная дом 1/2 строение 4</t>
  </si>
  <si>
    <t>ИП Королькова Татьяна Борисовна</t>
  </si>
  <si>
    <t>505005134360</t>
  </si>
  <si>
    <t>ИП5001006209</t>
  </si>
  <si>
    <t>ИП500100620900000</t>
  </si>
  <si>
    <t>108850 город Москва улица Лётчика Ульянина дом 5</t>
  </si>
  <si>
    <t>ИП500100620900001</t>
  </si>
  <si>
    <t>107564 город Москва улица Краснобогатырская дом 2 строение 2  этаж 3, помещение 87</t>
  </si>
  <si>
    <t>ИП Мельник Илья Сергеевич</t>
  </si>
  <si>
    <t>505008583741</t>
  </si>
  <si>
    <t>ИП5001007088</t>
  </si>
  <si>
    <t>ИП500100708800000</t>
  </si>
  <si>
    <t>111024 город Москва улица 2-я Энтузиастов дом 5 корпус 1  97/1</t>
  </si>
  <si>
    <t>ИП Перель Иван Ильич</t>
  </si>
  <si>
    <t>505012639330</t>
  </si>
  <si>
    <t>ИП5001039341</t>
  </si>
  <si>
    <t>ИП500103934100000</t>
  </si>
  <si>
    <t>123104 город Москва улица Большая Бронная дом 23 строение 1  Этаж 1, помещение III, комната №1</t>
  </si>
  <si>
    <t>ИП Галактионова Евгения Константиновна</t>
  </si>
  <si>
    <t>505014379007</t>
  </si>
  <si>
    <t>ИП5001016337</t>
  </si>
  <si>
    <t>ИП500101633700000</t>
  </si>
  <si>
    <t>125009 город Москва улица Тверская дом 15   помещение 8Н</t>
  </si>
  <si>
    <t>ИП500101633700001</t>
  </si>
  <si>
    <t>107076 город Москва улица Стромынка дом 18 корпус 5  Этаж 1, помещение 108</t>
  </si>
  <si>
    <t>ИП Алдухова Наталия Андреевна</t>
  </si>
  <si>
    <t>505015276406</t>
  </si>
  <si>
    <t>ИП7701011400</t>
  </si>
  <si>
    <t>ИП770101140000000</t>
  </si>
  <si>
    <t>127254 город Москва проезд Огородный Дом 16/1 Строение 3  Офис 207</t>
  </si>
  <si>
    <t>ИП Павлова Ирина Анатольевна</t>
  </si>
  <si>
    <t>505025467015</t>
  </si>
  <si>
    <t>ИП5001006374</t>
  </si>
  <si>
    <t>ИП500100637400000</t>
  </si>
  <si>
    <t>129515 город Москва улица Академика Королева дом 13 строение 1  Этаж 2, Помещение I, комн.53г, 53в, 53д, внутр.№209</t>
  </si>
  <si>
    <t>ИП Коновалов Александр Владимирович</t>
  </si>
  <si>
    <t>505027125715</t>
  </si>
  <si>
    <t>ИП5001032892</t>
  </si>
  <si>
    <t>ИП500103289200000</t>
  </si>
  <si>
    <t>105120 город Москва улица Верхняя Сыромятническая дом 2   1 этаж, помещение IIa, часть комнаты 1</t>
  </si>
  <si>
    <t>ИП Кочеткова Людмила Валентиновна</t>
  </si>
  <si>
    <t>505301003872</t>
  </si>
  <si>
    <t>ИП5001003529</t>
  </si>
  <si>
    <t>ИП500100352900001</t>
  </si>
  <si>
    <t>105120 город Москва улица Верхняя Сыромятническая  дом 2   1 этаж, помещение IIв, часть комнаты 1</t>
  </si>
  <si>
    <t>ИП500100352900002</t>
  </si>
  <si>
    <t>107076 город Москва улица Стромынка дом 18 корпус 5  этаж 1, помещение 108</t>
  </si>
  <si>
    <t>ИП Сидорова Надежда Михайловна</t>
  </si>
  <si>
    <t>505309817200</t>
  </si>
  <si>
    <t>ИП5001009902</t>
  </si>
  <si>
    <t>ИП500100990200000</t>
  </si>
  <si>
    <t>107023 город Москва площадь Журавлёва дом 2 строение 2  505</t>
  </si>
  <si>
    <t>ИП Феоктистова Светлана Юрьевна</t>
  </si>
  <si>
    <t>507402861912</t>
  </si>
  <si>
    <t>ИП7701002281</t>
  </si>
  <si>
    <t>ИП770100228100000</t>
  </si>
  <si>
    <t>117534 город Москва улица Академика Янгеля дом 6 корпус 1  подвал, помещение 1, комнаты 3-5</t>
  </si>
  <si>
    <t>ИП Ерицян Аркадий Ервандович</t>
  </si>
  <si>
    <t>507404824850</t>
  </si>
  <si>
    <t>ИП5001001731</t>
  </si>
  <si>
    <t>ИП500100173100000</t>
  </si>
  <si>
    <t>123112 город Москва набережная Пресненская дом 2   помещение 217</t>
  </si>
  <si>
    <t>ООО "КУЛЬТУРА ДОМА 1"</t>
  </si>
  <si>
    <t>5074079082</t>
  </si>
  <si>
    <t>ЮЛ5001038365</t>
  </si>
  <si>
    <t>ЮЛ500103836500002</t>
  </si>
  <si>
    <t>ЮЛ500103836500003</t>
  </si>
  <si>
    <t>119121 город Москва переулок 1-й Тружеников дом 12 строение 3  1 Этаж, Помещение IV, Комната 17</t>
  </si>
  <si>
    <t>ИП Абдуллаева Инна Анваровна</t>
  </si>
  <si>
    <t>507903447163</t>
  </si>
  <si>
    <t>ИП7701011440</t>
  </si>
  <si>
    <t>ИП770101144000000</t>
  </si>
  <si>
    <t>119192 город Москва проспект Мичуринский дом 34   помещение 1/7</t>
  </si>
  <si>
    <t>ИП Арчинов Роман Валерьевич</t>
  </si>
  <si>
    <t>519017276204</t>
  </si>
  <si>
    <t>ИП5103038717</t>
  </si>
  <si>
    <t>ИП510303871700000</t>
  </si>
  <si>
    <t>109012 город Москва площадь Красная дом 3</t>
  </si>
  <si>
    <t>ООО "ТД "ХОХЛОМА"</t>
  </si>
  <si>
    <t>5228059265</t>
  </si>
  <si>
    <t>ЮЛ5206037781</t>
  </si>
  <si>
    <t>ЮЛ520603778100000</t>
  </si>
  <si>
    <t>123001 город Москва улица Большая Садовая дом 5   помещение 209А комната №1,№2,№3</t>
  </si>
  <si>
    <t>ООО "ВЛ"</t>
  </si>
  <si>
    <t>5250082051</t>
  </si>
  <si>
    <t>ЮЛ5206040544</t>
  </si>
  <si>
    <t>ЮЛ520604054400000</t>
  </si>
  <si>
    <t>109651 город Москва улица Перерва дом 11 строение 4  помещение 17Н</t>
  </si>
  <si>
    <t>ИП Подоплелов Артем Алексеевич</t>
  </si>
  <si>
    <t>525712922402</t>
  </si>
  <si>
    <t>ИП5206037753</t>
  </si>
  <si>
    <t>ИП520603775300000</t>
  </si>
  <si>
    <t>101000 город Москва проспект Солнцевский дом 21   помещение II, комната 74</t>
  </si>
  <si>
    <t>ЮЛ520603376600090</t>
  </si>
  <si>
    <t>119334 город Москва улица Вавилова дом 3   часть 178, помещение №XV</t>
  </si>
  <si>
    <t>ЮЛ520603376600101</t>
  </si>
  <si>
    <t>101000 город Москва улица Азовская дом 24 корпус 3  помещение III, часть №29</t>
  </si>
  <si>
    <t>ЮЛ520603376600109</t>
  </si>
  <si>
    <t>101000 город Москва шоссе Энтузиастов  дом 12   помещение 6/1, часть №245</t>
  </si>
  <si>
    <t>ЮЛ520603376600120</t>
  </si>
  <si>
    <t>101000 город Москва улица Каховка дом 29А   помещение №1С</t>
  </si>
  <si>
    <t>ЮЛ520603376600133</t>
  </si>
  <si>
    <t>101000 город Москва улица Профсоюзная дом 61 А   помещение I, часть комнаты №96</t>
  </si>
  <si>
    <t>ЮЛ520603376600141</t>
  </si>
  <si>
    <t>101000 муниципальный округ Косино-Ухтомский улица Святоозерская дом 1А   помещение 3/1, часть комнаты №146</t>
  </si>
  <si>
    <t>ЮЛ520603376600146</t>
  </si>
  <si>
    <t>101000 город Москва Каширское шоссе дом 26   часть комнаты №63</t>
  </si>
  <si>
    <t>ЮЛ520603376600162</t>
  </si>
  <si>
    <t>101000 город Москва улица Зеленодольская дом 42   место №1-17</t>
  </si>
  <si>
    <t>ЮЛ520603376600165</t>
  </si>
  <si>
    <t>117519 город Москва улица Кировоградская 28 корпус 1  комната 2-3</t>
  </si>
  <si>
    <t>ООО "ЛОМБАРД "НОВЫЙ МИР"</t>
  </si>
  <si>
    <t>5257199242</t>
  </si>
  <si>
    <t>ЮЛ5206013526</t>
  </si>
  <si>
    <t>ЮЛ520601352600017</t>
  </si>
  <si>
    <t>125171 город Москва площадь Ганецкого дом 1Б</t>
  </si>
  <si>
    <t>ЮЛ520601352600030</t>
  </si>
  <si>
    <t>ЮЛ520601352600032</t>
  </si>
  <si>
    <t>117519 город Москва улица Кировоградская дом 28 корпус 1  комната 2-3</t>
  </si>
  <si>
    <t>ЮЛ520601352600034</t>
  </si>
  <si>
    <t>107031 город Москва улица Дмитровка Б. дом 32 строение 1  комнаты № 21, 22, 24</t>
  </si>
  <si>
    <t>ИП Ермина Марина Михайловна</t>
  </si>
  <si>
    <t>531201310279</t>
  </si>
  <si>
    <t>ИП5303007580</t>
  </si>
  <si>
    <t>ИП530300758000000</t>
  </si>
  <si>
    <t>109147 город Москва улица Воронцовская Дом 35Б корпус 1  этаж 2, помещение I, комната №30</t>
  </si>
  <si>
    <t>ИП Аракелян Мария Леонидовна</t>
  </si>
  <si>
    <t>532126140242</t>
  </si>
  <si>
    <t>ИП7701031459</t>
  </si>
  <si>
    <t>ИП770103145900000</t>
  </si>
  <si>
    <t>119180 город Москва улица Большая Полянка дом 51А/9   помещение 1/1/8</t>
  </si>
  <si>
    <t>ИП Фарафонтова Анна Николаевна</t>
  </si>
  <si>
    <t>540212330120</t>
  </si>
  <si>
    <t>ИП7701037430</t>
  </si>
  <si>
    <t>ИП770103743000000</t>
  </si>
  <si>
    <t>111033 город Москва улица Золоторожский Вал дом 32 строение 2  этаж 2, помещение 11,11а, 12</t>
  </si>
  <si>
    <t>ИП Закиров Константин Анатольевич</t>
  </si>
  <si>
    <t>540225696259</t>
  </si>
  <si>
    <t>ИП7701038872</t>
  </si>
  <si>
    <t>ИП770103887200000</t>
  </si>
  <si>
    <t>121087 город Москва проезд Береговой дом 5 корпус 2  этаж I, помещение III</t>
  </si>
  <si>
    <t>ИП Менжулина Ольга Александровна</t>
  </si>
  <si>
    <t>540630554818</t>
  </si>
  <si>
    <t>ИП7701034261</t>
  </si>
  <si>
    <t>ИП770103426100000</t>
  </si>
  <si>
    <t>111677 город Москва улица Рождественская дом 5/7 строение 1  комната 11</t>
  </si>
  <si>
    <t>ООО "СЕРВИС ГРУПП"</t>
  </si>
  <si>
    <t>5406527460</t>
  </si>
  <si>
    <t>ЮЛ5408001219</t>
  </si>
  <si>
    <t>ЮЛ540800121900001</t>
  </si>
  <si>
    <t>129343 город Москва проезд Серебрякова дом 14 строение 23  помещение 17, 18, 18а</t>
  </si>
  <si>
    <t>ИП Хомич Алексей Георгиевич</t>
  </si>
  <si>
    <t>540787401376</t>
  </si>
  <si>
    <t>ИП4703012135</t>
  </si>
  <si>
    <t>ИП470301213500000</t>
  </si>
  <si>
    <t>125130 город Москва проезд Старопетровский дом 1 строение 2  комната 2</t>
  </si>
  <si>
    <t>ИП Комолова Ирина Викторовна</t>
  </si>
  <si>
    <t>540821022892</t>
  </si>
  <si>
    <t>ИП5001015621</t>
  </si>
  <si>
    <t>ИП500101562100000</t>
  </si>
  <si>
    <t>109147 город Москва улица Таганская дом 5 строение 1  3</t>
  </si>
  <si>
    <t>ИП Данилова Жанна Ивановна</t>
  </si>
  <si>
    <t>544600015566</t>
  </si>
  <si>
    <t>ИП5408037832</t>
  </si>
  <si>
    <t>ИП540803783200000</t>
  </si>
  <si>
    <t>108801 поселение Сосенское, поселок Коммунарка улица Александры Монаховой дом 98 корпус 3  помещение 5/2</t>
  </si>
  <si>
    <t>ИП Догадина Юлия Анатольевна</t>
  </si>
  <si>
    <t>550107623518</t>
  </si>
  <si>
    <t>ИП5508013809</t>
  </si>
  <si>
    <t>ИП550801380900000</t>
  </si>
  <si>
    <t>107031 город Москва пер. Васнецова 9 стр. 2  пом. 1/4, этаж 2, пом. I, комнаты 1, 1а, 2, 3, 3а, 3б, 3в, 3г, 4, 5</t>
  </si>
  <si>
    <t>ИП Терехин Денис Валерьевич</t>
  </si>
  <si>
    <t>550201194143</t>
  </si>
  <si>
    <t>ИП7602013528</t>
  </si>
  <si>
    <t>ИП760201352800000</t>
  </si>
  <si>
    <t>127051 город Москва переулок Малый Сухаревский дом 9 строение 1</t>
  </si>
  <si>
    <t>ИП760201352800001</t>
  </si>
  <si>
    <t>121069 город Москва бульвар Новинский дом 18 строение 1  часть нежилого помещения VI,комнаты 14,14а,15,16</t>
  </si>
  <si>
    <t>ИП Судаков Сергей Евгеньевич</t>
  </si>
  <si>
    <t>550505666359</t>
  </si>
  <si>
    <t>ИП7701015536</t>
  </si>
  <si>
    <t>ИП770101553600000</t>
  </si>
  <si>
    <t>115191 город Москва переулок Духовской дом 17 строение 15  помещение 12Н/2, офис 12</t>
  </si>
  <si>
    <t>ИП Лозынина Екатерина Евгеньевна</t>
  </si>
  <si>
    <t>550522116524</t>
  </si>
  <si>
    <t>ИП7701034128</t>
  </si>
  <si>
    <t>ИП770103412800000</t>
  </si>
  <si>
    <t>127030 город Москва улица Новослободская дом 4   комната 25 и часть комнаты 27</t>
  </si>
  <si>
    <t>ИП Огородник Дмитрий Анатольевич</t>
  </si>
  <si>
    <t>550550524719</t>
  </si>
  <si>
    <t>ИП7803016084</t>
  </si>
  <si>
    <t>ИП780301608400000</t>
  </si>
  <si>
    <t>105203 город Москва улица 16-я Парковая дом 5   этаж 2, помещение VIII, комната 8</t>
  </si>
  <si>
    <t>ИП Иляева Марина Валерьевна</t>
  </si>
  <si>
    <t>560712767062</t>
  </si>
  <si>
    <t>ИП7701006048</t>
  </si>
  <si>
    <t>ИП770100604800000</t>
  </si>
  <si>
    <t>105120 город Москва улица Верхняя Сыромятническая 2 пом.2/1  торговое помещение - 1 этаж, помещение IIв, часть комнаты 1, 40.6 кв.м</t>
  </si>
  <si>
    <t>ИП Князева Наталья Викторовна</t>
  </si>
  <si>
    <t>571601032952</t>
  </si>
  <si>
    <t>ИП7701031073</t>
  </si>
  <si>
    <t>ИП770103107300001</t>
  </si>
  <si>
    <t>105120 город Москва улица Верхняя Сыромятническая 2 пом.2/1  торговое помещение - 1 этаж, помещение II, часть комнаты 5, 49.69 кв.м.</t>
  </si>
  <si>
    <t>ИП770103107300002</t>
  </si>
  <si>
    <t>105120 город Москва улица Верхняя Сыромятническая 2 пом.2/1  торговое помещение - 1 этаж, помещение IIб, часть комнаты 1, 36 кв.м</t>
  </si>
  <si>
    <t>ИП770103107300003</t>
  </si>
  <si>
    <t>125504 город Москва шоссе Дмитровское дом 89   помещение IX, часть комнаты 42 на первом этаже</t>
  </si>
  <si>
    <t>ИП770103107300006</t>
  </si>
  <si>
    <t>125319 город Москва проспект Ленинградский дом 62А   1 этаж, помещение II, комната 93</t>
  </si>
  <si>
    <t>ИП770103107300007</t>
  </si>
  <si>
    <t>105120 город Москва улица Верхняя Сыромятническая дом 2   этаж 1, помещение 2/1, помещение IIг, часть комнаты 11</t>
  </si>
  <si>
    <t>ИП770103107300008</t>
  </si>
  <si>
    <t>107113 город Москва улица Русаковская дом 31   часть комнаты №1 расположена на 1 этаже Центра общей площадью 8 кв.м</t>
  </si>
  <si>
    <t>ИП770103107300009</t>
  </si>
  <si>
    <t>108849 город Москва улица Корнея Чуковского дом 2 1  № Этажа 1, № Помещения XXXVII, № Комнаты 79, площадь 27,0кв.м</t>
  </si>
  <si>
    <t>ИП770103107300010</t>
  </si>
  <si>
    <t>111558 город Москва проспект Зелёный дом 81   А 10</t>
  </si>
  <si>
    <t>ИП770103107300011</t>
  </si>
  <si>
    <t>117042 город Москва проезд Чечёрский дом 51   часть нежилого помещения № 16, комната № 136, общей площадью 35,1 кв.м и часть комнаты № 135, площадью 3.7 кв.м, расположенное на 1 (первом) этаже здания ТРЦ</t>
  </si>
  <si>
    <t>ИП770103107300013</t>
  </si>
  <si>
    <t>109377 город Москва улица 1-я Новокузьминская дом 19   этаж 3, комната 12</t>
  </si>
  <si>
    <t>ИП Торосян Артур Акопович</t>
  </si>
  <si>
    <t>580508958687</t>
  </si>
  <si>
    <t>ИП5806041159</t>
  </si>
  <si>
    <t>ИП580604115900000</t>
  </si>
  <si>
    <t>125009 город Москва переулок Нижний Кисловский дом 5 строение 1  кабинеты № 12, 13, 14, 15</t>
  </si>
  <si>
    <t>ИП Якупов Руслан Хамзинович</t>
  </si>
  <si>
    <t>581203083930</t>
  </si>
  <si>
    <t>ИП5001011257</t>
  </si>
  <si>
    <t>ИП500101125700000</t>
  </si>
  <si>
    <t>125057 город Москва проспект Ленинградский дом 63   Этаж 6, помещение № 606</t>
  </si>
  <si>
    <t>ИП Растегин Алексей Валерьевич</t>
  </si>
  <si>
    <t>582001639542</t>
  </si>
  <si>
    <t>ИП5001008093</t>
  </si>
  <si>
    <t>ИП500100809300001</t>
  </si>
  <si>
    <t>101000 город Москва улица Мещанская  дом 1/17 строение 1  цокольный этаж номер 0</t>
  </si>
  <si>
    <t>ИП Саламатин Андрей Александрович</t>
  </si>
  <si>
    <t>590600374908</t>
  </si>
  <si>
    <t>ИП5906000442</t>
  </si>
  <si>
    <t>ИП590600044200004</t>
  </si>
  <si>
    <t>125424 город Москва тупик  Сходненский дом 16 строение  4 помещение 1 комната 3</t>
  </si>
  <si>
    <t>ИП Кумова Влада Андреевна</t>
  </si>
  <si>
    <t>591454580570</t>
  </si>
  <si>
    <t>ИП5906001962</t>
  </si>
  <si>
    <t>ИП590600196200000</t>
  </si>
  <si>
    <t>101000 город Москва улица Генерала Кузнецова дом 22</t>
  </si>
  <si>
    <t>ИП610400426600029</t>
  </si>
  <si>
    <t>101000 город Москва улица Большая Черемушкинская  дом 1   помещение XV, часть комнаты 92а</t>
  </si>
  <si>
    <t>ИП610400426600032</t>
  </si>
  <si>
    <t>ИП Другалев Динис Владимирович</t>
  </si>
  <si>
    <t>611203374790</t>
  </si>
  <si>
    <t>ИП6104038066</t>
  </si>
  <si>
    <t>ИП610403806600000</t>
  </si>
  <si>
    <t>129090 город Москва улица Троицкая дом 5 строение 7  этаж 2, помещение 2-1</t>
  </si>
  <si>
    <t>ИП Семенова Евгения Евгеньевна</t>
  </si>
  <si>
    <t>614007828996</t>
  </si>
  <si>
    <t>ИП6104001560</t>
  </si>
  <si>
    <t>ИП610400156000000</t>
  </si>
  <si>
    <t>115432 город Москва бульвар Братьев Весниных дом 2   комната 1.21</t>
  </si>
  <si>
    <t>ИП Лужковский Вадим Владимирович</t>
  </si>
  <si>
    <t>614705713233</t>
  </si>
  <si>
    <t>ИП6104009763</t>
  </si>
  <si>
    <t>ИП610400976300000</t>
  </si>
  <si>
    <t>107031 город Москва улица Петровка дом 11   комната 43</t>
  </si>
  <si>
    <t>ИП Маркова Надежда Викторовна</t>
  </si>
  <si>
    <t>615403468530</t>
  </si>
  <si>
    <t>ИП6104000704</t>
  </si>
  <si>
    <t>ИП610400070400005</t>
  </si>
  <si>
    <t>109390 город Москва проспект Мира дом 95 строение 1  помещение 1/1, этаж 10, часть помещения I,комнаты 16, часть комнаты 25</t>
  </si>
  <si>
    <t>ИП ТКАЧУК ОКСАНА АНДРЕЕВНА</t>
  </si>
  <si>
    <t>615421070968</t>
  </si>
  <si>
    <t>ИП7701017305</t>
  </si>
  <si>
    <t>ИП770101730500000</t>
  </si>
  <si>
    <t>129085 город Москва улица Люблинская дом 18А   комната N 3.7</t>
  </si>
  <si>
    <t>ИП770101730500003</t>
  </si>
  <si>
    <t>125565 город Москва улица Фестивальная 2Б   комната №35</t>
  </si>
  <si>
    <t>ИП Измайлов Сергей Владимирович</t>
  </si>
  <si>
    <t>615500653306</t>
  </si>
  <si>
    <t>ИП6104000437</t>
  </si>
  <si>
    <t>ИП610400043700005</t>
  </si>
  <si>
    <t>123060 город Москва улица Маршала Бирюзова дом 32 помещение №III  №63</t>
  </si>
  <si>
    <t>ИП610400043700006</t>
  </si>
  <si>
    <t>105215 город Москва бульвар Сиреневый дом 31   помещение А34, 1 этаж</t>
  </si>
  <si>
    <t>ИП610400043700007</t>
  </si>
  <si>
    <t>129110 город Москва улица Гиляровского дом 57 строение 1  этаж 2, комната 20 (офис 212)</t>
  </si>
  <si>
    <t>ИП Исаева Юлия Константиновна</t>
  </si>
  <si>
    <t>615524215372</t>
  </si>
  <si>
    <t>ИП6104034752</t>
  </si>
  <si>
    <t>ИП610403475200000</t>
  </si>
  <si>
    <t>117208 город Москва улица Чертановская дом 7А   помещение 6П</t>
  </si>
  <si>
    <t>ИП Москвичев Аристарх Валерьевич</t>
  </si>
  <si>
    <t>616208985858</t>
  </si>
  <si>
    <t>ИП7701039279</t>
  </si>
  <si>
    <t>ИП770103927900000</t>
  </si>
  <si>
    <t>107031 город Москва улица Большая Лубянка дом 17 строение 1  комната 2</t>
  </si>
  <si>
    <t>ИП Волков Виктор Петрович</t>
  </si>
  <si>
    <t>620805230694</t>
  </si>
  <si>
    <t>ИП7701038084</t>
  </si>
  <si>
    <t>ИП770103808400000</t>
  </si>
  <si>
    <t>119021 город Москва проспект Комсомольский дом 4</t>
  </si>
  <si>
    <t>ИП Бурмистрова Людмила Викторовна</t>
  </si>
  <si>
    <t>622701829568</t>
  </si>
  <si>
    <t>ИП5001011137</t>
  </si>
  <si>
    <t>ИП500101113700000</t>
  </si>
  <si>
    <t>115563 город Москва проезд Борисовский дом 14 корпус 1</t>
  </si>
  <si>
    <t>ИП Рубцов Михаил Вячеславович</t>
  </si>
  <si>
    <t>623001694194</t>
  </si>
  <si>
    <t>ИП6201005305</t>
  </si>
  <si>
    <t>ИП620100530500013</t>
  </si>
  <si>
    <t>129164 город Москва улица Ярославская дом 8 корпус 4  офис 409, 27, 210а</t>
  </si>
  <si>
    <t>ИП Зыскин Евгений Владимирович</t>
  </si>
  <si>
    <t>631107080479</t>
  </si>
  <si>
    <t>ИП7701004826</t>
  </si>
  <si>
    <t>ИП770100482600000</t>
  </si>
  <si>
    <t>127299 Москва улица Академическая Б.  дом 5   121-124А</t>
  </si>
  <si>
    <t>ИП Землянская Елена Антоновна</t>
  </si>
  <si>
    <t>631200714708</t>
  </si>
  <si>
    <t>ИП6306032340</t>
  </si>
  <si>
    <t>ИП630603234000000</t>
  </si>
  <si>
    <t>123242 город Москва бульвар Новинский дом 31   6</t>
  </si>
  <si>
    <t>ИП Собко Константин Геннадьевич</t>
  </si>
  <si>
    <t>631300224640</t>
  </si>
  <si>
    <t>ИП6306009942</t>
  </si>
  <si>
    <t>ИП630600994200001</t>
  </si>
  <si>
    <t>123242 город Москва бульвар Новинский дом 31   75а</t>
  </si>
  <si>
    <t>ИП630600994200002</t>
  </si>
  <si>
    <t>121099 город Москва площадь Смоленская дом 3</t>
  </si>
  <si>
    <t>ИП630600994200003</t>
  </si>
  <si>
    <t>125124 город Москва улица 3-я Ямского Поля дом 28   302</t>
  </si>
  <si>
    <t>ИП Воскресенский Вячеслав Викторович</t>
  </si>
  <si>
    <t>631500918903</t>
  </si>
  <si>
    <t>ИП6306008770</t>
  </si>
  <si>
    <t>ИП630600877000000</t>
  </si>
  <si>
    <t>123182 город Москва улица Щукинская дом 42</t>
  </si>
  <si>
    <t>ИП630601425400031</t>
  </si>
  <si>
    <t>117321 город Москва улица Профсоюзная дом 128 корпус 1  помещение 3н</t>
  </si>
  <si>
    <t>ООО "ЛОМБАРД ВЕСТА"</t>
  </si>
  <si>
    <t>6320064438</t>
  </si>
  <si>
    <t>ЮЛ6306001901</t>
  </si>
  <si>
    <t>ЮЛ630600190100010</t>
  </si>
  <si>
    <t>107241 город Москва улица Уральская дом 1   помещение 3/1, комната 2</t>
  </si>
  <si>
    <t>ЮЛ630600190100013</t>
  </si>
  <si>
    <t>115477 город Москва проспект Пролетарский владение 23А   помещение X</t>
  </si>
  <si>
    <t>ЮЛ630600190100016</t>
  </si>
  <si>
    <t>123022 город Москва улица Пресненский Вал дом 4/29</t>
  </si>
  <si>
    <t>ЮЛ630600190100017</t>
  </si>
  <si>
    <t>111558 город Москва проспект Свободный дом 33А   помещение IX</t>
  </si>
  <si>
    <t>ЮЛ630603037200080</t>
  </si>
  <si>
    <t>125430 город Москва улица Митинская дом 44   помещение 2</t>
  </si>
  <si>
    <t>ЮЛ630603037200088</t>
  </si>
  <si>
    <t>109377 город Москва проспект Рязанский дом 46 корпус 3  помещение lV</t>
  </si>
  <si>
    <t>ЮЛ630603037200090</t>
  </si>
  <si>
    <t>117574 город Москва проспект Новоясеневский владение 2Б строение 1</t>
  </si>
  <si>
    <t>ЮЛ630603037200102</t>
  </si>
  <si>
    <t>111524 город Москва улица Электродная дом 2 строение 12-13-14  офисное помещение № 231</t>
  </si>
  <si>
    <t>ИП Пяташова Ольга Олеговна</t>
  </si>
  <si>
    <t>632140718778</t>
  </si>
  <si>
    <t>ИП7701032706</t>
  </si>
  <si>
    <t>ИП770103270600000</t>
  </si>
  <si>
    <t>123112 город Москва набережная Пресненская дом 10 строение 2  47</t>
  </si>
  <si>
    <t>ИП Оксузян Маргарита Суреновна</t>
  </si>
  <si>
    <t>632301952919</t>
  </si>
  <si>
    <t>ИП6306032240</t>
  </si>
  <si>
    <t>ИП630603224000000</t>
  </si>
  <si>
    <t>127051 город Москва улица Садовая-Сухаревская дом 2/34 строение 1  415</t>
  </si>
  <si>
    <t>ИП630603224000001</t>
  </si>
  <si>
    <t>107023 город Москва улица Суворовская дом 19 строение 1</t>
  </si>
  <si>
    <t>ИП Белова Дарья Сергеевна</t>
  </si>
  <si>
    <t>637771489159</t>
  </si>
  <si>
    <t>ИП6306039915</t>
  </si>
  <si>
    <t>ИП630603991500000</t>
  </si>
  <si>
    <t>111524 город Москва улица Электродная дом 2 строение 12  помещение 6н</t>
  </si>
  <si>
    <t>ООО "ЛОМБАРД ОНИКС"</t>
  </si>
  <si>
    <t>6382093598</t>
  </si>
  <si>
    <t>ЮЛ6306033185</t>
  </si>
  <si>
    <t>ЮЛ630603318500000</t>
  </si>
  <si>
    <t>127273 город Москва улица Декабристов дом 20 корпус 1</t>
  </si>
  <si>
    <t>ЮЛ630603318500001</t>
  </si>
  <si>
    <t>105043 город Москва улица 9-я Парковая дом 27   помещение II, комната 17</t>
  </si>
  <si>
    <t>ЮЛ630603318500002</t>
  </si>
  <si>
    <t>127349 город Москва шоссе Алтуфьевское дом 86   помещение 16б, комната 2</t>
  </si>
  <si>
    <t>ЮЛ630603318500003</t>
  </si>
  <si>
    <t>105043 город Москва улица Парковая 3-я дом 4   помещение 1/1</t>
  </si>
  <si>
    <t>ЮЛ630603318500004</t>
  </si>
  <si>
    <t>107023 город Москва улица Большая Семёновская дом 26 строение 7</t>
  </si>
  <si>
    <t>ЮЛ630603318500005</t>
  </si>
  <si>
    <t>117519 город Москва улица Красного Маяка дом 4 корпус 1  помещение 1/1, комната 3</t>
  </si>
  <si>
    <t>ЮЛ630603318500006</t>
  </si>
  <si>
    <t>129327 город Москва улица Енисейская дом 19   помещение 3П</t>
  </si>
  <si>
    <t>ЮЛ630603318500007</t>
  </si>
  <si>
    <t>111558 город Москва проспект Свободный дом 33А   помещение I, комната 1, комната 2</t>
  </si>
  <si>
    <t>ЮЛ630603318500008</t>
  </si>
  <si>
    <t>117519 город Москва улица Красного Маяка дом 2   помещение 2П</t>
  </si>
  <si>
    <t>ЮЛ630603318500009</t>
  </si>
  <si>
    <t>125424 город Москва проезд Стратонавтов дом 9   помещение 8/1</t>
  </si>
  <si>
    <t>ЮЛ630603318500010</t>
  </si>
  <si>
    <t>105215 город Москва улица 9-я Парковая дом 61 корпус 1  помещение 3/1, комната 1</t>
  </si>
  <si>
    <t>ЮЛ630603318500011</t>
  </si>
  <si>
    <t>123056 город Москва улица Грузинский Вал дом 26 строение 1  помещение 5б, комната 1</t>
  </si>
  <si>
    <t>ЮЛ630603318500012</t>
  </si>
  <si>
    <t>115583 город Москва улица Генерала Белова дом 18Б</t>
  </si>
  <si>
    <t>ЮЛ630603318500013</t>
  </si>
  <si>
    <t>109451 город Москва улица Братиславская дом 14   помещение 4/1</t>
  </si>
  <si>
    <t>ЮЛ630603318500014</t>
  </si>
  <si>
    <t>125212 город Москва бульвар Кронштадтский дом 7   комната 35</t>
  </si>
  <si>
    <t>ЮЛ630603318500015</t>
  </si>
  <si>
    <t>125171 город Москва шоссе Ленинградское дом 8 корпус 2  помещение 38/1</t>
  </si>
  <si>
    <t>ЮЛ630603318500016</t>
  </si>
  <si>
    <t>115054 город Москва улица Новокузнецкая дом 43/16 строение 2  помещение 2/1</t>
  </si>
  <si>
    <t>ЮЛ630603318500018</t>
  </si>
  <si>
    <t>109125 город Москва проспект Волгоградский дом 46/15 строение 3А</t>
  </si>
  <si>
    <t>ЮЛ630603318500020</t>
  </si>
  <si>
    <t>119602 город Москва улица Покрышкина дом 4  Литера А помещение XVI, часть комнаты 17</t>
  </si>
  <si>
    <t>ИП Полякова Галина Сергеевна</t>
  </si>
  <si>
    <t>643965750428</t>
  </si>
  <si>
    <t>ИП5001012925</t>
  </si>
  <si>
    <t>ИП500101292500000</t>
  </si>
  <si>
    <t>108840 город Троицк бульвар Сиреневый дом 1   1 этаж, помещение V</t>
  </si>
  <si>
    <t>ИП Тихонова Алла Владимировна</t>
  </si>
  <si>
    <t>644102166580</t>
  </si>
  <si>
    <t>ИП7701005373</t>
  </si>
  <si>
    <t>ИП770100537300000</t>
  </si>
  <si>
    <t>108841 город Троицк Академическая площадь  дом 3   помещение 3, помещение 5</t>
  </si>
  <si>
    <t>ИП770100537300001</t>
  </si>
  <si>
    <t>108814 город Москва бульвар Веласкеса дом 6   помещение 1068Н</t>
  </si>
  <si>
    <t>ИП770100537300003</t>
  </si>
  <si>
    <t>105523 город Москва шоссе Щёлковское дом 100 корпус 100  помещение XXIII, часть комнаты 25, этаж 2</t>
  </si>
  <si>
    <t>ИП Запарова Ирина Федоровна</t>
  </si>
  <si>
    <t>644900496711</t>
  </si>
  <si>
    <t>ИП6406003811</t>
  </si>
  <si>
    <t>ИП640600381100003</t>
  </si>
  <si>
    <t>107140 город Москва площадь Комсомольская дом 6</t>
  </si>
  <si>
    <t>ИП Фельдман Виктория Викторовна</t>
  </si>
  <si>
    <t>645003007911</t>
  </si>
  <si>
    <t>ИП6406004646</t>
  </si>
  <si>
    <t>ИП640600464600005</t>
  </si>
  <si>
    <t>117574 город Москва улица Профсоюзная дом 129А</t>
  </si>
  <si>
    <t>ИП640600464600006</t>
  </si>
  <si>
    <t>115583 город Москва бульвар Ореховый дом 14 корпус 3</t>
  </si>
  <si>
    <t>ИП640600464600008</t>
  </si>
  <si>
    <t>109316 город Москва улица Талалихина дом 41 строение 66  14</t>
  </si>
  <si>
    <t>ИП Вартанов Сергей Рафаэльевич</t>
  </si>
  <si>
    <t>645004195714</t>
  </si>
  <si>
    <t>ИП5001013216</t>
  </si>
  <si>
    <t>ИП500101321600000</t>
  </si>
  <si>
    <t>105064 город Москва улица Садовая-Черногрязская дом 13/3 строение 1</t>
  </si>
  <si>
    <t>ИП Хон Георгий Кензекович</t>
  </si>
  <si>
    <t>650107669233</t>
  </si>
  <si>
    <t>ИП2809040048</t>
  </si>
  <si>
    <t>ИП280904004800000</t>
  </si>
  <si>
    <t>115088 город Москва Угрешская  дом 12 строение 1  122, к-1,2</t>
  </si>
  <si>
    <t>ИП Бамбизо Анатолий Витальевич</t>
  </si>
  <si>
    <t>650108916100</t>
  </si>
  <si>
    <t>ИП5001017246</t>
  </si>
  <si>
    <t>ИП500101724600000</t>
  </si>
  <si>
    <t>125009 город Москва улица Тверская дом 25/12   1этаж</t>
  </si>
  <si>
    <t>ИП770101425100019</t>
  </si>
  <si>
    <t>115280 город Москва улица Автозаводская дом 18   пом. А - 064.1</t>
  </si>
  <si>
    <t>ИП770101425100038</t>
  </si>
  <si>
    <t>125009 город Москва улица Тверская 3   62</t>
  </si>
  <si>
    <t>ИП Кузьмина Лариса Вячеславовна</t>
  </si>
  <si>
    <t>660100027360</t>
  </si>
  <si>
    <t>ИП6607000531</t>
  </si>
  <si>
    <t>ИП660700053100002</t>
  </si>
  <si>
    <t>109012 город Москва проезд Театральный дом 2   Ювелирный бутик Chamovskikh</t>
  </si>
  <si>
    <t>ИП660700053100003</t>
  </si>
  <si>
    <t>115184 город Москва улица Пятницкая дом 59/19 строение 5  помещение №1 комнаты 10,11,12</t>
  </si>
  <si>
    <t>ИП Вагнер Марта Вадимовна</t>
  </si>
  <si>
    <t>662860127009</t>
  </si>
  <si>
    <t>ИП7803040730</t>
  </si>
  <si>
    <t>ИП780304073000000</t>
  </si>
  <si>
    <t>119019 город Москва улица Новый Арбат дом 17   пом.1,комн.3-7</t>
  </si>
  <si>
    <t>ИП780304073000001</t>
  </si>
  <si>
    <t>127051 город Москва бульвар Цветной дом 20/1   цокольный эт.,  помещение 2/Ц</t>
  </si>
  <si>
    <t>ИП780304073000002</t>
  </si>
  <si>
    <t>109147 город Москва улица Марксистская дом 34 корпус 10  пом. 8/1, комната 58</t>
  </si>
  <si>
    <t>ИП Патрушев Георгий Григорьевич</t>
  </si>
  <si>
    <t>662941540704</t>
  </si>
  <si>
    <t>ИП6607038696</t>
  </si>
  <si>
    <t>ИП660703869600000</t>
  </si>
  <si>
    <t>101000 город Москва улица Покровка дом 7/9 корпус 1</t>
  </si>
  <si>
    <t>ИП Гарагуля Константин Сергеевич</t>
  </si>
  <si>
    <t>663201049856</t>
  </si>
  <si>
    <t>ИП6607011265</t>
  </si>
  <si>
    <t>ИП660701126500000</t>
  </si>
  <si>
    <t>105064 город Москва улица Казакова дом 3 строение 1  помещение №Iб</t>
  </si>
  <si>
    <t>ИП Чуркина Мария Вадимовна</t>
  </si>
  <si>
    <t>665812954068</t>
  </si>
  <si>
    <t>ИП6607000076</t>
  </si>
  <si>
    <t>ИП660700007600000</t>
  </si>
  <si>
    <t>127051 город Москва улица Петровка дом 24 строение 2  помещение 1/1</t>
  </si>
  <si>
    <t>ООО ТОРГОВЫЙ ДОМ "УШАТАВА"</t>
  </si>
  <si>
    <t>6658529034</t>
  </si>
  <si>
    <t>ЮЛ6607002138</t>
  </si>
  <si>
    <t>ЮЛ660700213800003</t>
  </si>
  <si>
    <t>ЮЛ660700213800006</t>
  </si>
  <si>
    <t>127051 город Москва бульвар Цветной 15 1</t>
  </si>
  <si>
    <t>ЮЛ660700213800009</t>
  </si>
  <si>
    <t>101000 город Москва улица Покровка дом 11 этаж 1  помещ. №22, 23</t>
  </si>
  <si>
    <t>ИП Локшина Ольга Семеновна</t>
  </si>
  <si>
    <t>667012558703</t>
  </si>
  <si>
    <t>ИП6607006812</t>
  </si>
  <si>
    <t>ИП660700681200004</t>
  </si>
  <si>
    <t>107031 город Москва переулок Столешников дом 14   помещение 7/1</t>
  </si>
  <si>
    <t>ООО "АВГУСТ"</t>
  </si>
  <si>
    <t>6671180095</t>
  </si>
  <si>
    <t>ЮЛ6607013469</t>
  </si>
  <si>
    <t>ЮЛ660701346900003</t>
  </si>
  <si>
    <t>105064 город Москва Гороховский переулок 5   2</t>
  </si>
  <si>
    <t>ИП Калыга Игорь Владимирович</t>
  </si>
  <si>
    <t>667223085301</t>
  </si>
  <si>
    <t>ИП6607018942</t>
  </si>
  <si>
    <t>ИП660701894200000</t>
  </si>
  <si>
    <t>129110 город Москва улица Гиляровского дом 62   помещение 1/1</t>
  </si>
  <si>
    <t>ЮЛ660701304200008</t>
  </si>
  <si>
    <t>115114 город Москва набережная Павелецкая дом 8Б   помещение 76Н</t>
  </si>
  <si>
    <t>6685046773</t>
  </si>
  <si>
    <t>ЮЛ6607006206</t>
  </si>
  <si>
    <t>ЮЛ660700620600001</t>
  </si>
  <si>
    <t>119517 город Москва шоссе Аминьевское дом 6   помещение 2</t>
  </si>
  <si>
    <t>ЮЛ660700186100002</t>
  </si>
  <si>
    <t>119019 Город Москва Малый Знаменский переулок Дом 9</t>
  </si>
  <si>
    <t>ИП Кузьмишкина Анастасия Валериевна</t>
  </si>
  <si>
    <t>672213683613</t>
  </si>
  <si>
    <t>ИП7701037778</t>
  </si>
  <si>
    <t>ИП770103777800000</t>
  </si>
  <si>
    <t>119330 город Москва улица Улофа Пальме дом 1 цокольный этаж № 2  помещение  1</t>
  </si>
  <si>
    <t>ИП Степанова Светлана Олеговна</t>
  </si>
  <si>
    <t>673004584804</t>
  </si>
  <si>
    <t>ИП5001007419</t>
  </si>
  <si>
    <t>ИП500100741900000</t>
  </si>
  <si>
    <t>127051 город Москва улица Петровка дом 28/2 строение 1  помещение I (1-й этаж) комнаты 1-11; помещение I (антресоль 1 этажа) комнаты 1-3; помещение V (подвал) комнаты 1,2</t>
  </si>
  <si>
    <t>ЮЛ670100207100004</t>
  </si>
  <si>
    <t>107031 город Москва переулок Столешников дом 14 строение 1</t>
  </si>
  <si>
    <t>ЮЛ670100207100007</t>
  </si>
  <si>
    <t>109012 город Москва проезд Театральный дом 2   Этаж №1: помещение XIII, комн. № 1, 2, помещение XIV - комнаты № 1, 2, 3,4; подвал: помещение IV, комн. № 14, 15,  антресоль: помещение VI, ком.1,2,3,4,5,5а,6</t>
  </si>
  <si>
    <t>ЮЛ670100207100008</t>
  </si>
  <si>
    <t>121108 г.Москва проспект Кутузовский дом 48   комнаты №№ 54в, 54г, 54д, 54е, 54и, 54к, 54л, 54м, 55</t>
  </si>
  <si>
    <t>ЮЛ670100207100009</t>
  </si>
  <si>
    <t>107564 город Москва Краснобогатырская улица дом 6 корпус 1 этаж 2 помещение 210</t>
  </si>
  <si>
    <t>ИП Монич Екатерина Сергеевна</t>
  </si>
  <si>
    <t>673111554000</t>
  </si>
  <si>
    <t>ИП7701038455</t>
  </si>
  <si>
    <t>ИП770103845500000</t>
  </si>
  <si>
    <t>115419 город Москва улица Орджоникидзе дом 11 строение 41</t>
  </si>
  <si>
    <t>ИП Казарян Раффи Маратович</t>
  </si>
  <si>
    <t>673200072601</t>
  </si>
  <si>
    <t>ИП7701011895</t>
  </si>
  <si>
    <t>ИП770101189500000</t>
  </si>
  <si>
    <t>105275 город Москва улица Уткина 48   412</t>
  </si>
  <si>
    <t>ИП Молодцов Максим Викторович</t>
  </si>
  <si>
    <t>680201451346</t>
  </si>
  <si>
    <t>ИП5001016805</t>
  </si>
  <si>
    <t>ИП500101680500000</t>
  </si>
  <si>
    <t>117335 город Москва улица Гарибальди  дом 23   этаж 1 помещение I, комнаты 29,30</t>
  </si>
  <si>
    <t>ИП Антонова Оксана Юрьевна</t>
  </si>
  <si>
    <t>683211028640</t>
  </si>
  <si>
    <t>ИП7701010785</t>
  </si>
  <si>
    <t>ИП770101078500000</t>
  </si>
  <si>
    <t>107045 город Москва переулок Последний дом 25 корпус 2  помещение 1/1</t>
  </si>
  <si>
    <t>ИП Колбин Михаил Юрьевич</t>
  </si>
  <si>
    <t>690100623789</t>
  </si>
  <si>
    <t>ИП7701036744</t>
  </si>
  <si>
    <t>ИП770103674400000</t>
  </si>
  <si>
    <t>125315 город Москва проезд Большой Коптевский дом 3 строение 1  этаж 1, помещение 106</t>
  </si>
  <si>
    <t>ИП Фишбейн Александр Вольфович</t>
  </si>
  <si>
    <t>690810923794</t>
  </si>
  <si>
    <t>ИП6901037235</t>
  </si>
  <si>
    <t>ИП690103723500000</t>
  </si>
  <si>
    <t>101000 город Москва улица Вавилова дом 3   Помещение № Х, комната № 48 часть, киоск № 1r.</t>
  </si>
  <si>
    <t>ИП Меркушева Ирина Валерьевна</t>
  </si>
  <si>
    <t>691007032590</t>
  </si>
  <si>
    <t>ИП5001008931</t>
  </si>
  <si>
    <t>ИП500100893100000</t>
  </si>
  <si>
    <t>119571 город Москва проспект Вернадского дом 117   помещение 1</t>
  </si>
  <si>
    <t>ИП Игнатова Ирина Васильевна</t>
  </si>
  <si>
    <t>691100486598</t>
  </si>
  <si>
    <t>ИП7701012055</t>
  </si>
  <si>
    <t>ИП770101205500000</t>
  </si>
  <si>
    <t>105064 город Москва переулок Нижний Сусальный дом 5 строение 10  этаж 1, помещение №IV</t>
  </si>
  <si>
    <t>ИП Котов Алексей Владимирович</t>
  </si>
  <si>
    <t>694903663592</t>
  </si>
  <si>
    <t>ИП6901006662</t>
  </si>
  <si>
    <t>ИП690100666200000</t>
  </si>
  <si>
    <t>109147 город Москва улица Марксистская дом 34 корпус 8  помещение 1/1</t>
  </si>
  <si>
    <t>ИП Горбунова Марина Владимировна</t>
  </si>
  <si>
    <t>702405794996</t>
  </si>
  <si>
    <t>ИП7008001956</t>
  </si>
  <si>
    <t>ИП700800195600000</t>
  </si>
  <si>
    <t>105005 город Москва улица 2-я Бауманская дом 9/23 строение 3</t>
  </si>
  <si>
    <t>ИП Маймур Всеволод Эдуардович</t>
  </si>
  <si>
    <t>710605847278</t>
  </si>
  <si>
    <t>ИП0804037976</t>
  </si>
  <si>
    <t>ИП080403797600001</t>
  </si>
  <si>
    <t>127055 город Москва переулок Тихвинский дом 7 строение 1  этаж 1, помещение 3</t>
  </si>
  <si>
    <t>ООО "ЛОМБАРД МИСТЕР ДАЙМОНД"</t>
  </si>
  <si>
    <t>7107092350</t>
  </si>
  <si>
    <t>ЮЛ7701006505</t>
  </si>
  <si>
    <t>ЮЛ770100650500000</t>
  </si>
  <si>
    <t>109443 город Москва улица Зеленодольская дом 42   1 этаж, Торговое место № 1-2</t>
  </si>
  <si>
    <t>ИП Андеян Трчун Тигранович</t>
  </si>
  <si>
    <t>711305595409</t>
  </si>
  <si>
    <t>ИП7101037785</t>
  </si>
  <si>
    <t>ИП710103778500000</t>
  </si>
  <si>
    <t>111622 город Москва шоссе Новоухтомское дом 2А   помещение 23Н, комната 269</t>
  </si>
  <si>
    <t>ИП Иванов Иван Вячеславович</t>
  </si>
  <si>
    <t>711710846003</t>
  </si>
  <si>
    <t>ИП5001036719</t>
  </si>
  <si>
    <t>ИП500103671900000</t>
  </si>
  <si>
    <t>129090 город Москва проспект Мира дом 7 строение 1  этаж 1, помещение I, комнаты 1-6</t>
  </si>
  <si>
    <t>ИП500101079300000</t>
  </si>
  <si>
    <t>127015 город Москва улица Большая Новодмитровская дом 36 строение 10  помещение II, комната 1</t>
  </si>
  <si>
    <t>ИП Кузнецова Яна Николаевна</t>
  </si>
  <si>
    <t>723005917937</t>
  </si>
  <si>
    <t>ИП7803039474</t>
  </si>
  <si>
    <t>ИП780303947400001</t>
  </si>
  <si>
    <t>ИП Шкиль Полина Эдуардовна</t>
  </si>
  <si>
    <t>723018954982</t>
  </si>
  <si>
    <t>ИП7207039777</t>
  </si>
  <si>
    <t>ИП720703977700000</t>
  </si>
  <si>
    <t>108813 город Московский улица Хабарова дом 2   этаж 12 офис 31</t>
  </si>
  <si>
    <t>ИП Ильин Владимир Александрович</t>
  </si>
  <si>
    <t>730203662826</t>
  </si>
  <si>
    <t>ИП7701012171</t>
  </si>
  <si>
    <t>ИП770101217100000</t>
  </si>
  <si>
    <t>105064 город Москва улица Садовая-Черногрязская дом 13/3 строение 1  помещение 5П</t>
  </si>
  <si>
    <t>ИП Шалашов Иван Игоревич</t>
  </si>
  <si>
    <t>740104546543</t>
  </si>
  <si>
    <t>ИП7701019748</t>
  </si>
  <si>
    <t>ИП770101974800000</t>
  </si>
  <si>
    <t>101000 город Москва улица Покровка дом 7/9-11 корпус 1  6/1</t>
  </si>
  <si>
    <t>ИП Кромм Анастасия Олеговна</t>
  </si>
  <si>
    <t>744612420998</t>
  </si>
  <si>
    <t>ИП7701008860</t>
  </si>
  <si>
    <t>ИП770100886000000</t>
  </si>
  <si>
    <t>101000 город Москва улица Покровка дом 7/9-11 корпус 1  помещение 6/1</t>
  </si>
  <si>
    <t>ИП770100886000002</t>
  </si>
  <si>
    <t>109028 город Москва улица Яузская дом 5 помещение XVIII этаж 2 комнаты 26-34</t>
  </si>
  <si>
    <t>ИП МАЛЮГА О. Ю.</t>
  </si>
  <si>
    <t>744705872443</t>
  </si>
  <si>
    <t>ИП7701038060</t>
  </si>
  <si>
    <t>ИП770103806000000</t>
  </si>
  <si>
    <t>115191 город Москва переулок Холодильный дом 3 корпус 1 стр 2 подъезд 1 этаж 2, помещение 45, офис 2207</t>
  </si>
  <si>
    <t>ИП Синицын Александр Сергеевич</t>
  </si>
  <si>
    <t>745111540414</t>
  </si>
  <si>
    <t>ИП7407001869</t>
  </si>
  <si>
    <t>ИП740700186900000</t>
  </si>
  <si>
    <t>115035 город Москва улица Садовническая дом 29   помещение 4</t>
  </si>
  <si>
    <t>ИП Грачев Данила Евгеньевич</t>
  </si>
  <si>
    <t>745114830464</t>
  </si>
  <si>
    <t>ИП7407012733</t>
  </si>
  <si>
    <t>ИП740701273300000</t>
  </si>
  <si>
    <t>123104 город Москва улица Б. Бронная дом 23 строение 1  помещение I</t>
  </si>
  <si>
    <t>ИП Бодрова Наталья Валерьевна</t>
  </si>
  <si>
    <t>745208601950</t>
  </si>
  <si>
    <t>ИП7407000781</t>
  </si>
  <si>
    <t>ИП740700078100000</t>
  </si>
  <si>
    <t>123112 город Москва набережная Пресненская дом 2   Место KB5</t>
  </si>
  <si>
    <t>ИП Бахметьев Артур Николаевич</t>
  </si>
  <si>
    <t>752402563209</t>
  </si>
  <si>
    <t>ИП7701036713</t>
  </si>
  <si>
    <t>ИП770103671300001</t>
  </si>
  <si>
    <t>108811 город Москва, поселение Московский километр 23-й дом 1   часть помещения 1К7.1.</t>
  </si>
  <si>
    <t>ИП770103671300002</t>
  </si>
  <si>
    <t>101000 Москва улица Покровка дом 4 стр.1</t>
  </si>
  <si>
    <t>ООО "ТД "АЛМАЗ"</t>
  </si>
  <si>
    <t>7604112038</t>
  </si>
  <si>
    <t>ЮЛ7602010418</t>
  </si>
  <si>
    <t>ЮЛ760201041800024</t>
  </si>
  <si>
    <t>121352 город Москва проспект Кутузовский дом 57   1 этаж, комната №3, нежилое помещение XL</t>
  </si>
  <si>
    <t>7604374996</t>
  </si>
  <si>
    <t>ЮЛ7602012600</t>
  </si>
  <si>
    <t>ЮЛ760201260000000</t>
  </si>
  <si>
    <t>ООО "МОСКОВСКИЙ ЧАСОВОЙ ЛОМБАРД"</t>
  </si>
  <si>
    <t>7701090622</t>
  </si>
  <si>
    <t>ЮЛ7701003083</t>
  </si>
  <si>
    <t>ЮЛ770100308300000</t>
  </si>
  <si>
    <t>115093 город Москва улица Большая Серпуховская Дом 31 Корпус 14  Комната 11</t>
  </si>
  <si>
    <t>ООО "СЕРЕБРЯНЫЙ ЛЕС"</t>
  </si>
  <si>
    <t>7701094151</t>
  </si>
  <si>
    <t>ЮЛ7701036795</t>
  </si>
  <si>
    <t>ЮЛ770103679500000</t>
  </si>
  <si>
    <t>105082 город Москва улица Бакунинская дом 94 строение 1 этаж 2 кабинет № 2</t>
  </si>
  <si>
    <t>ООО "РОДИС-М"</t>
  </si>
  <si>
    <t>7701357403</t>
  </si>
  <si>
    <t>ЮЛ7701002500</t>
  </si>
  <si>
    <t>ЮЛ770100250000000</t>
  </si>
  <si>
    <t>121108 город Москва проспект Кутузовский дом 48   Цокольный этаж, Комната №58, Помещение I</t>
  </si>
  <si>
    <t>ЮЛ770100250000001</t>
  </si>
  <si>
    <t>121099 город Москва площадь Смоленская дом 3   1 этаж, Помещение I, Комнаты 87,88,89,90</t>
  </si>
  <si>
    <t>ЮЛ770100250000002</t>
  </si>
  <si>
    <t>101000 город Москва улица Мясницкая дом 30/1/2 строение 2  помещение II, этаж 2, комната 2</t>
  </si>
  <si>
    <t>ООО "БИЗНЕСКЛАСС-ЛОМБАРД"</t>
  </si>
  <si>
    <t>7701518210</t>
  </si>
  <si>
    <t>ЮЛ7701004848</t>
  </si>
  <si>
    <t>ЮЛ770100484800000</t>
  </si>
  <si>
    <t>125284 город Москва шоссе Хорошёвское дом 16 строение 3</t>
  </si>
  <si>
    <t>ООО "АЛМАЗЫ ЯКУТИИ"</t>
  </si>
  <si>
    <t>7701534229</t>
  </si>
  <si>
    <t>ЮЛ7701013446</t>
  </si>
  <si>
    <t>ЮЛ770101344600000</t>
  </si>
  <si>
    <t>121059 город Москва площадь Киевского Вокзала Дом 2   этаж первый помещение I комната 91</t>
  </si>
  <si>
    <t>ИП Тридинский Игорь Викторович</t>
  </si>
  <si>
    <t>770165005501</t>
  </si>
  <si>
    <t>ИП7701019736</t>
  </si>
  <si>
    <t>ИП770101973600003</t>
  </si>
  <si>
    <t>115563 город Москва Ореховый бульвар Дом 15   помещение II часть комнаты № 56, комната 56А,комната №56б</t>
  </si>
  <si>
    <t>ИП770101973600004</t>
  </si>
  <si>
    <t>121552 город Москва улица Ярцевская дом 25А   этаж 2, часть комнаты 1, секция 228</t>
  </si>
  <si>
    <t>ИП Лавринович Михаил Кронидович</t>
  </si>
  <si>
    <t>770165074350</t>
  </si>
  <si>
    <t>ИП7701003710</t>
  </si>
  <si>
    <t>ИП770100371000000</t>
  </si>
  <si>
    <t>119021 город Москва проспект Комсомольский дом 24 строение 1  этаж 1, часть комнаты 46 помещения VII</t>
  </si>
  <si>
    <t>ИП770100371000002</t>
  </si>
  <si>
    <t>127560 город Москва улица Пришвина дом 22 помещение 1  этаж 1, часть комнаты 108</t>
  </si>
  <si>
    <t>ИП770100371000003</t>
  </si>
  <si>
    <t>125480 город Москва улица Планерная дом 7   этаж 1</t>
  </si>
  <si>
    <t>ИП770100371000004</t>
  </si>
  <si>
    <t>115522 город Москва шоссе Каширское дом 26   этаж 1, часть комнаты 63</t>
  </si>
  <si>
    <t>ИП770100371000005</t>
  </si>
  <si>
    <t>117588 город Москва проспект Новоясеневский дом 7   этаж 1, часть помещения 20</t>
  </si>
  <si>
    <t>ИП770100371000007</t>
  </si>
  <si>
    <t>117246 город Москва улица Профсоюзная дом 61А помещение 1  этаж 1, часть комнаты 96</t>
  </si>
  <si>
    <t>ИП770100371000010</t>
  </si>
  <si>
    <t>125167 город Москва проспект Ленинградский дом 62   этаж 1, часть комнаты 96 в помещении V</t>
  </si>
  <si>
    <t>ИП770100371000011</t>
  </si>
  <si>
    <t>123182 город Москва улица Щукинская дом 42   этаж 1, часть комнаты 12а в помещении 1</t>
  </si>
  <si>
    <t>ИП770100371000012</t>
  </si>
  <si>
    <t>109341 город Москва улица Перерва дом 43 корпус 1  этаж 1, часть комнаты 80 помещения IV</t>
  </si>
  <si>
    <t>ИП770100371000013</t>
  </si>
  <si>
    <t>125363 город Москва улица Сходненская дом 56 помещение 1  этаж 1, часть комнаты 176</t>
  </si>
  <si>
    <t>ИП770100371000015</t>
  </si>
  <si>
    <t>125424 город Москва тупик Сходненский дом 4   помещение 114 на 1 этаже</t>
  </si>
  <si>
    <t>ООО "АТРИКС"</t>
  </si>
  <si>
    <t>7701694230</t>
  </si>
  <si>
    <t>ЮЛ7701011658</t>
  </si>
  <si>
    <t>ЮЛ770101165800000</t>
  </si>
  <si>
    <t>115191 город Москва ПЕР.ДУХОВСКОЙ дом17   ПОМЕЩ.4/2</t>
  </si>
  <si>
    <t>ООО "АРТЕМИДА"</t>
  </si>
  <si>
    <t>7701702762</t>
  </si>
  <si>
    <t>ЮЛ7701005985</t>
  </si>
  <si>
    <t>ЮЛ770100598500000</t>
  </si>
  <si>
    <t>119049 город Москва улица Коровий Вал дом 1А строение 1  1 этаж помещение IV, комната 2в</t>
  </si>
  <si>
    <t>ИП Шавкунов Игорь Николаевич</t>
  </si>
  <si>
    <t>770170555275</t>
  </si>
  <si>
    <t>ИП7701012716</t>
  </si>
  <si>
    <t>ИП770101271600000</t>
  </si>
  <si>
    <t>119049 город Москва улица Коровий Вал дом 7 строение 1  помещение 7Н/2</t>
  </si>
  <si>
    <t>ИП770101271600007</t>
  </si>
  <si>
    <t>115114 Город Москва 2-й Кожевнический переулок Дом 12</t>
  </si>
  <si>
    <t>ИП Писарева Екатерина Владимировна</t>
  </si>
  <si>
    <t>770172791006</t>
  </si>
  <si>
    <t>ИП7701035679</t>
  </si>
  <si>
    <t>ИП770103567900000</t>
  </si>
  <si>
    <t>117105 город Москва проезд Нагорный дом 7 строение 1, корпус 2/0  помещение 2422, 2423</t>
  </si>
  <si>
    <t>ООО "САКУРА М"</t>
  </si>
  <si>
    <t>7701861265</t>
  </si>
  <si>
    <t>ЮЛ7701007192</t>
  </si>
  <si>
    <t>ЮЛ770100719200000</t>
  </si>
  <si>
    <t>105005 город Москва улица Бауманская дом 20 корпус 7  1 этаж Помещение II Комнаты №7 по №9, №12 по №17, №23 по №26</t>
  </si>
  <si>
    <t>ООО "РУССКИЙ ЮВЕЛИР"</t>
  </si>
  <si>
    <t>7701927300</t>
  </si>
  <si>
    <t>ЮЛ7701011226</t>
  </si>
  <si>
    <t>ЮЛ770101122600000</t>
  </si>
  <si>
    <t>107076 город Москва улица Стромынка дом 18 корпус 5  этаж 1 помещение 108</t>
  </si>
  <si>
    <t>ИП Зуйкова Елизавета Олеговна</t>
  </si>
  <si>
    <t>770201161065</t>
  </si>
  <si>
    <t>ИП7701036574</t>
  </si>
  <si>
    <t>ИП770103657400000</t>
  </si>
  <si>
    <t>115404 город Москва улица 6-я Радиальная дом 62 строение 1</t>
  </si>
  <si>
    <t>ИП Тарасова Анастасия Станиславовна</t>
  </si>
  <si>
    <t>770201353240</t>
  </si>
  <si>
    <t>ИП7701010401</t>
  </si>
  <si>
    <t>ИП770101040100000</t>
  </si>
  <si>
    <t>119002 город Москва переулок Малый Николопесковский 4   этаж 1, помещение 1, комната №09</t>
  </si>
  <si>
    <t>ИП Бурлак Мария Александровна</t>
  </si>
  <si>
    <t>770201572932</t>
  </si>
  <si>
    <t>ИП7701039255</t>
  </si>
  <si>
    <t>ИП770103925500000</t>
  </si>
  <si>
    <t>117420 город Москва улица Намёткина дом 16 корпус 2</t>
  </si>
  <si>
    <t>ООО "ГАЗПРОМ ПИТАНИЕ"</t>
  </si>
  <si>
    <t>7702211710</t>
  </si>
  <si>
    <t>ЮЛ7701007583</t>
  </si>
  <si>
    <t>ЮЛ770100758300000</t>
  </si>
  <si>
    <t>129110 город Москва проспект Мира дом 33 корпус 1</t>
  </si>
  <si>
    <t>ЗАО "НИТЬ АРИАДНЫ ХХI"</t>
  </si>
  <si>
    <t>7702328490</t>
  </si>
  <si>
    <t>ЮЛ7701010249</t>
  </si>
  <si>
    <t>ЮЛ770101024900000</t>
  </si>
  <si>
    <t>129110 город Москва улица Средняя Переяславская дом 27 строение 1  помещение 16П</t>
  </si>
  <si>
    <t>ООО "МИТРА"</t>
  </si>
  <si>
    <t>7702337199</t>
  </si>
  <si>
    <t>ЮЛ7701007226</t>
  </si>
  <si>
    <t>ЮЛ770100722600000</t>
  </si>
  <si>
    <t>107031 город Москва переулок Столешников дом 11   Пп.I,К.17,18;Эт.1,п.IXa,к.1-5</t>
  </si>
  <si>
    <t>ООО "ДАМИАНИ РАША"</t>
  </si>
  <si>
    <t>7702383580</t>
  </si>
  <si>
    <t>ЮЛ7701002185</t>
  </si>
  <si>
    <t>ЮЛ770100218500000</t>
  </si>
  <si>
    <t>107031 город Москва улица Кузнецкий Мост дом 21/5   Этаж 2, Помещение II,  Комнаты 29, 30</t>
  </si>
  <si>
    <t>ООО "7КАРАТ"</t>
  </si>
  <si>
    <t>7702399389</t>
  </si>
  <si>
    <t>ЮЛ7701013113</t>
  </si>
  <si>
    <t>ЮЛ770101311300000</t>
  </si>
  <si>
    <t>123458 город Москва Смольная дом 14   этаж 13, комнаты № 1322, № 1324</t>
  </si>
  <si>
    <t>ООО "АОМ"</t>
  </si>
  <si>
    <t>7702422567</t>
  </si>
  <si>
    <t>ЮЛ7701032771</t>
  </si>
  <si>
    <t>ЮЛ770103277100000</t>
  </si>
  <si>
    <t>107045 город Москва переулок Колокольников дом 9/10 строение 2  3 этаж, помещения 1,2,3,4,5</t>
  </si>
  <si>
    <t>ООО "УЛИСС НАРДАН"</t>
  </si>
  <si>
    <t>7702643823</t>
  </si>
  <si>
    <t>ЮЛ7701009368</t>
  </si>
  <si>
    <t>ЮЛ770100936800000</t>
  </si>
  <si>
    <t>105094 город Москва улица Большая Семеновская дом 42 строение 4  этаж 3, помещение I, комната 9</t>
  </si>
  <si>
    <t>ИП Иванов Сергей Яковлевич</t>
  </si>
  <si>
    <t>770265011900</t>
  </si>
  <si>
    <t>ИП7701002596</t>
  </si>
  <si>
    <t>ИП770100259600000</t>
  </si>
  <si>
    <t>125009 город Москва переулок Столешников дом 2 строение 1, этаж 1  офис 1</t>
  </si>
  <si>
    <t>ООО "БУБНОВЫЙ ВАЛЕТ"</t>
  </si>
  <si>
    <t>7702690333</t>
  </si>
  <si>
    <t>ЮЛ7701039958</t>
  </si>
  <si>
    <t>ЮЛ770103995800000</t>
  </si>
  <si>
    <t>107140 город Москва улица Русаковская дом 13</t>
  </si>
  <si>
    <t>ООО "КАРИ"</t>
  </si>
  <si>
    <t>7702764909</t>
  </si>
  <si>
    <t>ЮЛ7701008264</t>
  </si>
  <si>
    <t>ЮЛ770100826400000</t>
  </si>
  <si>
    <t>107031 город Москва улица Петровка 17 строение 1  этаж 1, помещение 3, комнаты 1-6, помещение 9, комнаты А,Б,В,1</t>
  </si>
  <si>
    <t>ООО "РЕГОР"</t>
  </si>
  <si>
    <t>7702795897</t>
  </si>
  <si>
    <t>ЮЛ7701011485</t>
  </si>
  <si>
    <t>ЮЛ770101148500000</t>
  </si>
  <si>
    <t>125171 город Москва шоссе Ленинградское дом 16А строение 4  1 этаж, помещение № 1-092.2</t>
  </si>
  <si>
    <t>ООО "САРГАС"</t>
  </si>
  <si>
    <t>7702795907</t>
  </si>
  <si>
    <t>ЮЛ7701011510</t>
  </si>
  <si>
    <t>ЮЛ770101151000000</t>
  </si>
  <si>
    <t>121059 город Москва площадь Киевского Вокзала дом 2   1 этаж помещение I  комната 100</t>
  </si>
  <si>
    <t>ООО "ЮК ЗОЛОТОЙ САД"</t>
  </si>
  <si>
    <t>7702797301</t>
  </si>
  <si>
    <t>ЮЛ7701007988</t>
  </si>
  <si>
    <t>ЮЛ770100798800001</t>
  </si>
  <si>
    <t>121059 город Москва площадь Киевского Вокзала дом 2 этаж первый  помещение I   комната 3а</t>
  </si>
  <si>
    <t>ЮЛ770100798800002</t>
  </si>
  <si>
    <t>121151 город Москва проспект Кутузовский дом 23 корпус 1  1 этаж помещение I, комнаты 1, 1а, 2-5, антресоль1-помещениеVI, комнаты 2-4, подвал - помещение I комната 11</t>
  </si>
  <si>
    <t>7702797904</t>
  </si>
  <si>
    <t>ЮЛ7701006454</t>
  </si>
  <si>
    <t>ЮЛ770100645400000</t>
  </si>
  <si>
    <t>101000 город Москва улица Маросейка дом 15   1 этаж</t>
  </si>
  <si>
    <t>ИП Зорипов Антон Ильдусович</t>
  </si>
  <si>
    <t>770300748961</t>
  </si>
  <si>
    <t>ИП7701012334</t>
  </si>
  <si>
    <t>ИП770101233400000</t>
  </si>
  <si>
    <t>107031 город Москва переулок Столешников дом 14 1  1 этаж, помещение I, ком. 1, 1а-1и, 4-6, 6а-6ж, 7б</t>
  </si>
  <si>
    <t>АО "МФК ДЖАМИЛЬКО"</t>
  </si>
  <si>
    <t>7703013782</t>
  </si>
  <si>
    <t>ЮЛ7701018885</t>
  </si>
  <si>
    <t>ЮЛ770101888500001</t>
  </si>
  <si>
    <t>109012 город Москва площадь Красная дом 3   этаж 2, помещение №LXIII, часть комнаты 1</t>
  </si>
  <si>
    <t>ЮЛ770101888500002</t>
  </si>
  <si>
    <t>107031 город Москва улица Петровка дом 11   этаж 1, ком. 64-74, 74а, 74б, 75, 76, 87-89, 92</t>
  </si>
  <si>
    <t>ЮЛ770101888500005</t>
  </si>
  <si>
    <t>111395 город Москва аллея Маёвки Первой дом 15 строение 2  помещение 108А</t>
  </si>
  <si>
    <t>ИП Мороз Дарья Михайловна</t>
  </si>
  <si>
    <t>770301932201</t>
  </si>
  <si>
    <t>ИП7701016355</t>
  </si>
  <si>
    <t>ИП770101635500000</t>
  </si>
  <si>
    <t>123104 Город Москва Улица Малая Бронная Дом 20А/10 Строение 1</t>
  </si>
  <si>
    <t>ООО "КОММЕРЧЕСКАЯ ФИРМА "БИХС"</t>
  </si>
  <si>
    <t>7703060285</t>
  </si>
  <si>
    <t>ЮЛ7701016864</t>
  </si>
  <si>
    <t>ЮЛ770101686400000</t>
  </si>
  <si>
    <t>101000 город Москва проезд Лубянский дом 27/1 строение 1  помещение 17, офис А</t>
  </si>
  <si>
    <t>ООО "ОРФЕЙ"</t>
  </si>
  <si>
    <t>7703186680</t>
  </si>
  <si>
    <t>ЮЛ7701004662</t>
  </si>
  <si>
    <t>ЮЛ770100466200000</t>
  </si>
  <si>
    <t>125375 город Москва переулок Глинищевский дом 3   этаж 3, комната 308</t>
  </si>
  <si>
    <t>ООО "КРЕМЛЕВСКИЕ МАСТЕРА"</t>
  </si>
  <si>
    <t>7703258327</t>
  </si>
  <si>
    <t>ЮЛ7701004927</t>
  </si>
  <si>
    <t>ЮЛ770100492700000</t>
  </si>
  <si>
    <t>109012 город Москва площадь Красная дом 3   комната 8</t>
  </si>
  <si>
    <t>ЮЛ770100492700001</t>
  </si>
  <si>
    <t>125493 город Москва улица Смольная дом 12   3 этаж, помещение №№106щ, 106ц</t>
  </si>
  <si>
    <t>ООО "Р. Д. К."</t>
  </si>
  <si>
    <t>7703337635</t>
  </si>
  <si>
    <t>ЮЛ7701003634</t>
  </si>
  <si>
    <t>ЮЛ770100363400000</t>
  </si>
  <si>
    <t>115054 Город Москва Улица Озерковская набережная дом 50  строение 1  Этаж 2 Помещение I Комната 49</t>
  </si>
  <si>
    <t>ООО "НЕДРА ЭКСПЕРТ"</t>
  </si>
  <si>
    <t>7703412723</t>
  </si>
  <si>
    <t>ЮЛ7701019864</t>
  </si>
  <si>
    <t>ЮЛ770101986400000</t>
  </si>
  <si>
    <t>123001 город Москва переулок Козихинский Б. дом 19/6 строение 1  этаж 1, помещение II</t>
  </si>
  <si>
    <t>7703427222</t>
  </si>
  <si>
    <t>ЮЛ7701039589</t>
  </si>
  <si>
    <t>ЮЛ770103958900000</t>
  </si>
  <si>
    <t>123022 город Москва улица 2-я Звенигородская дом 13 строение 37  помещение № I, комната №30, этаж 2</t>
  </si>
  <si>
    <t>ООО "БАЗЕЛЬ ГОЛД"</t>
  </si>
  <si>
    <t>7703439267</t>
  </si>
  <si>
    <t>ЮЛ7701017437</t>
  </si>
  <si>
    <t>ЮЛ770101743700000</t>
  </si>
  <si>
    <t>123022 город Москва улица 1905 года дом 10А строение 1</t>
  </si>
  <si>
    <t>ООО "ТОРГОВЫЙ ДОМ МОСТАР"</t>
  </si>
  <si>
    <t>7703475650</t>
  </si>
  <si>
    <t>ЮЛ7701006459</t>
  </si>
  <si>
    <t>ЮЛ770100645900000</t>
  </si>
  <si>
    <t>109428 город Москва проспект Рязанский Дом 8А Строение 1  Помещ VII Комн 30 Офис 535/2</t>
  </si>
  <si>
    <t>ООО "ОРЕАДА - ИНТЕРНЕТ"</t>
  </si>
  <si>
    <t>7703695091</t>
  </si>
  <si>
    <t>ЮЛ7701002245</t>
  </si>
  <si>
    <t>ЮЛ770100224500000</t>
  </si>
  <si>
    <t>109012 город Москва улица Охотный Ряд дом 2   5 этаж помещение II комн 25</t>
  </si>
  <si>
    <t>ООО "ПАССАЖ"</t>
  </si>
  <si>
    <t>7703727890</t>
  </si>
  <si>
    <t>ЮЛ7701003305</t>
  </si>
  <si>
    <t>ЮЛ770100330500000</t>
  </si>
  <si>
    <t>119019 город Москва улица Волхонка дом 15   5 этаж помещение XLII пилон I</t>
  </si>
  <si>
    <t>7703756562</t>
  </si>
  <si>
    <t>ЮЛ7701014195</t>
  </si>
  <si>
    <t>ЮЛ770101419500000</t>
  </si>
  <si>
    <t>119049 город Москва переулок 4-й Добрынинский дом 8   этаж 1, помещение R00-I, комната 169 (R00-127)</t>
  </si>
  <si>
    <t>ООО "ЭМИЛИ"</t>
  </si>
  <si>
    <t>7703780928</t>
  </si>
  <si>
    <t>ЮЛ7701010782</t>
  </si>
  <si>
    <t>ЮЛ770101078200000</t>
  </si>
  <si>
    <t>123104 город Москва переулок Малый Палашёвский дом 6   этаж  4, комнаты №№ 1Б (часть комнаты № 1), 3(частично), 5,6, 1В</t>
  </si>
  <si>
    <t>ООО "ПЕРВЫЙ ЮВЕЛИРНЫЙ ЛОМБАРД"</t>
  </si>
  <si>
    <t>7703805756</t>
  </si>
  <si>
    <t>ЮЛ7701000684</t>
  </si>
  <si>
    <t>ЮЛ770100068400000</t>
  </si>
  <si>
    <t>121069 город Москва переулок Хлебный дом 2/3 строение 1</t>
  </si>
  <si>
    <t>ИП Балихина Инесса Вячеславовна</t>
  </si>
  <si>
    <t>770381246830</t>
  </si>
  <si>
    <t>ИП7701040595</t>
  </si>
  <si>
    <t>ИП770104059500000</t>
  </si>
  <si>
    <t>103073 город Москва улица Кремль</t>
  </si>
  <si>
    <t>МУЗЕИ МОСКОВСКОГО КРЕМЛЯ</t>
  </si>
  <si>
    <t>7704017525</t>
  </si>
  <si>
    <t>ЮЛ7701018333</t>
  </si>
  <si>
    <t>ЮЛ770101833300000</t>
  </si>
  <si>
    <t>119002 город Москва переулок Карманицкий дом 5</t>
  </si>
  <si>
    <t>ООО "СКАЗКА"</t>
  </si>
  <si>
    <t>7704038540</t>
  </si>
  <si>
    <t>ЮЛ7701017607</t>
  </si>
  <si>
    <t>ЮЛ770101760700000</t>
  </si>
  <si>
    <t>123112 город Москва набережная Пресненская дом 2   2 этаж, киоск, отм.129,7 помещение  КВ4</t>
  </si>
  <si>
    <t>ИП Шулаков Андрей Владимирович</t>
  </si>
  <si>
    <t>770404016169</t>
  </si>
  <si>
    <t>ИП7701007663</t>
  </si>
  <si>
    <t>ИП770100766300000</t>
  </si>
  <si>
    <t>121059 город Москва площадь Киевского Вокзала дом 2   этаж первый помещение I часть комнаты 3</t>
  </si>
  <si>
    <t>ИП770100766300001</t>
  </si>
  <si>
    <t>119019 город Москва улица Воздвиженка дом 5/25 строение 1</t>
  </si>
  <si>
    <t>МУЗЕЙ АРХИТЕКТУРЫ ИМ. А.В. ЩУСЕВА</t>
  </si>
  <si>
    <t>7704060792</t>
  </si>
  <si>
    <t>ЮЛ7701033328</t>
  </si>
  <si>
    <t>ЮЛ770103332800000</t>
  </si>
  <si>
    <t>129626 город Москва Проспект Мира дом 116А   помещение V</t>
  </si>
  <si>
    <t>Индивидуальный предприниматель ОРДОВА ЛАРИСА МИХАЙЛОВНА</t>
  </si>
  <si>
    <t>770406199334</t>
  </si>
  <si>
    <t>ИП7701014415</t>
  </si>
  <si>
    <t>ИП770101441500000</t>
  </si>
  <si>
    <t>109428 город Москва проспект Рязанский дом 8А строение 1  офис 535/2</t>
  </si>
  <si>
    <t>ИП Афанасьев Григорий Михайлович</t>
  </si>
  <si>
    <t>770408890160</t>
  </si>
  <si>
    <t>ИП7701037833</t>
  </si>
  <si>
    <t>ИП770103783300000</t>
  </si>
  <si>
    <t>119002 город Москва улица Арбат дом 36/2 строение 1</t>
  </si>
  <si>
    <t>ООО "Книгочей С"</t>
  </si>
  <si>
    <t>7704198021</t>
  </si>
  <si>
    <t>ЮЛ7701002373</t>
  </si>
  <si>
    <t>ЮЛ770100237300000</t>
  </si>
  <si>
    <t>123112 город Москва набережная Пресненская дом 10   помещение I этаж 41 комната 6</t>
  </si>
  <si>
    <t>ООО "ИНТЕРНЕТ РЕШЕНИЯ"</t>
  </si>
  <si>
    <t>7704217370</t>
  </si>
  <si>
    <t>ЮЛ7701014513</t>
  </si>
  <si>
    <t>ЮЛ770101451300000</t>
  </si>
  <si>
    <t>107031 город Москва переулок Столешников дом 14   помещение 1/1</t>
  </si>
  <si>
    <t>ООО "АР-ЭЛ-ДЖИ"</t>
  </si>
  <si>
    <t>7704242231</t>
  </si>
  <si>
    <t>ЮЛ7701000347</t>
  </si>
  <si>
    <t>ЮЛ770100034700000</t>
  </si>
  <si>
    <t>119019 город Москва бульвар Никитский дом 5   помещение 3 комн 2</t>
  </si>
  <si>
    <t>ООО "КОМПАНИЯ "ДЖИ ЭЛ ДЖУЕЛРИ"</t>
  </si>
  <si>
    <t>7704326403</t>
  </si>
  <si>
    <t>ЮЛ7701006280</t>
  </si>
  <si>
    <t>ЮЛ770100628000000</t>
  </si>
  <si>
    <t>119002 город Москва улица Арбат дом 45/24   подвал помещение I комнаты №№ 1-2, 24-30; этаж 1 помещение Iа комнаты №№ 2-5</t>
  </si>
  <si>
    <t>ООО "МАЛАХИТ"</t>
  </si>
  <si>
    <t>7704359455</t>
  </si>
  <si>
    <t>ЮЛ7701018937</t>
  </si>
  <si>
    <t>ЮЛ770101893700000</t>
  </si>
  <si>
    <t>119019 город Москва улица Волхонка 15 строение 4  помещение 1, комната 1,2</t>
  </si>
  <si>
    <t>ООО "ВРАТА-4"</t>
  </si>
  <si>
    <t>7704398359</t>
  </si>
  <si>
    <t>ЮЛ7701006492</t>
  </si>
  <si>
    <t>ЮЛ770100649200000</t>
  </si>
  <si>
    <t>121069 город Москва улица Малая Никитская дом 8/1   этаж 1, помещение I, комната № 1, комната № 2, комната № 4</t>
  </si>
  <si>
    <t>ООО "ДАР"</t>
  </si>
  <si>
    <t>7704451002</t>
  </si>
  <si>
    <t>ЮЛ7701040787</t>
  </si>
  <si>
    <t>ЮЛ770104078700000</t>
  </si>
  <si>
    <t>119146 город Москва набережная Фрунзенская дом 36/2   помещение II комн 1</t>
  </si>
  <si>
    <t>ООО "ОКТЯБРЬ"</t>
  </si>
  <si>
    <t>7704451919</t>
  </si>
  <si>
    <t>ЮЛ7701005912</t>
  </si>
  <si>
    <t>ЮЛ770100591200000</t>
  </si>
  <si>
    <t>123376 город Москва улица Рочдельская дом 15 строение 16А</t>
  </si>
  <si>
    <t>ООО "БЭСТДАЙМОНД"</t>
  </si>
  <si>
    <t>7704459040</t>
  </si>
  <si>
    <t>ЮЛ7701009619</t>
  </si>
  <si>
    <t>ЮЛ770100961900000</t>
  </si>
  <si>
    <t>127521 город Москва улица Веткина дом 2А строение 12</t>
  </si>
  <si>
    <t>ИП Гаврилов Павел Сергеевич</t>
  </si>
  <si>
    <t>770470671811</t>
  </si>
  <si>
    <t>ИП7701018478</t>
  </si>
  <si>
    <t>ИП770101847800000</t>
  </si>
  <si>
    <t>119002 Город Москва Улица Арбат Дом 38/1 строение 2  часть помещения №1, №№2,3 в помещении III</t>
  </si>
  <si>
    <t>ООО "ЛОМБАРД № 38"</t>
  </si>
  <si>
    <t>7704725800</t>
  </si>
  <si>
    <t>ЮЛ7701010674</t>
  </si>
  <si>
    <t>ЮЛ770101067400000</t>
  </si>
  <si>
    <t>119146 город Москва проспект Комсомольский дом 33/11   этаж 1, помещение №1, комнаты 4,7,8,9,10,11,13</t>
  </si>
  <si>
    <t>ООО "ТИК-ТАК"</t>
  </si>
  <si>
    <t>7704733470</t>
  </si>
  <si>
    <t>ЮЛ7701005544</t>
  </si>
  <si>
    <t>ЮЛ770100554400000</t>
  </si>
  <si>
    <t>109012 город Москва переулок Малый Черкасский дом 2   этаж 2 комната 6</t>
  </si>
  <si>
    <t>ИП Чернышева Марина Олеговна</t>
  </si>
  <si>
    <t>770474478030</t>
  </si>
  <si>
    <t>ИП7701020310</t>
  </si>
  <si>
    <t>ИП770102031000000</t>
  </si>
  <si>
    <t>119034 город Москва проспект Комсомольский дом 14/1 корпус 1  1 этаж помещение VII комн 1-4</t>
  </si>
  <si>
    <t>ООО "СОВ-АРТ"</t>
  </si>
  <si>
    <t>7704744930</t>
  </si>
  <si>
    <t>ЮЛ7701016627</t>
  </si>
  <si>
    <t>ЮЛ770101662700000</t>
  </si>
  <si>
    <t>121069 город Москва улица Малая Никитская дом 8/1   этаж 1, помещение I, комнаты № 1, 3, 4, 5, 6.</t>
  </si>
  <si>
    <t>ИП Левашова-Елагина Евгения Михайловна</t>
  </si>
  <si>
    <t>770475496680</t>
  </si>
  <si>
    <t>ИП7701017893</t>
  </si>
  <si>
    <t>ИП770101789300000</t>
  </si>
  <si>
    <t>107023 город Москва улица Электрозаводская дом 21 строение 6  4 этаж, помещение XXVII комната 8</t>
  </si>
  <si>
    <t>ИП770101789300001</t>
  </si>
  <si>
    <t>121099 город Москва бульвар Новинский дом 8 строение 2</t>
  </si>
  <si>
    <t>ООО "КИТ ТРЕЙДИНГ"</t>
  </si>
  <si>
    <t>7704755579</t>
  </si>
  <si>
    <t>ЮЛ7701012476</t>
  </si>
  <si>
    <t>ЮЛ770101247600000</t>
  </si>
  <si>
    <t>127473 город Москва улица Селезневская дом 11А строение 2  4 этаж,пом.I, ком.№15,16,17,офис 407</t>
  </si>
  <si>
    <t>ИП Величко Ирина Викторовна</t>
  </si>
  <si>
    <t>770479596894</t>
  </si>
  <si>
    <t>ИП5001038805</t>
  </si>
  <si>
    <t>ИП500103880500000</t>
  </si>
  <si>
    <t>101000 город Москва улица Арбат дом 30/3 строение 2  1-й этаж помещение 1/1 комната № 1</t>
  </si>
  <si>
    <t>ООО "КЕХЛЕ"</t>
  </si>
  <si>
    <t>7704822803</t>
  </si>
  <si>
    <t>ЮЛ7701011220</t>
  </si>
  <si>
    <t>ЮЛ770101122000000</t>
  </si>
  <si>
    <t>119002 город Москва улица Арбат дом 36/2 строение 1  этаж 1, помещение 1, часть комнаты 1, 2-6, 6а, 7,8,</t>
  </si>
  <si>
    <t>ЮЛ770101122000001</t>
  </si>
  <si>
    <t>109012 город Москва переулок Ипатьевский дом 9/1 строение 1</t>
  </si>
  <si>
    <t>ФГБУ "КОМБИНАТ ПИТАНИЯ "КРЕМЛЕВСКИЙ"</t>
  </si>
  <si>
    <t>7704825628</t>
  </si>
  <si>
    <t>ЮЛ7701004667</t>
  </si>
  <si>
    <t>ЮЛ770100466700000</t>
  </si>
  <si>
    <t>109012 город Москва переулок Ипатьевский дом 4-10 строение 1  помещение IV</t>
  </si>
  <si>
    <t>ЮЛ770100466700001</t>
  </si>
  <si>
    <t>103274 город Москва набережная Краснопресненская дом 2 строение 1</t>
  </si>
  <si>
    <t>ЮЛ770100466700002</t>
  </si>
  <si>
    <t>103132 город Москва улица Ильинка дом 8 строение 4  помещение I</t>
  </si>
  <si>
    <t>ЮЛ770100466700003</t>
  </si>
  <si>
    <t>103132 город Москва площадь Старая дом 6 строение 1  помещение I</t>
  </si>
  <si>
    <t>ЮЛ770100466700004</t>
  </si>
  <si>
    <t>103132 город Москва площадь Старая дом 4 строение 1  помещение II</t>
  </si>
  <si>
    <t>ЮЛ770100466700005</t>
  </si>
  <si>
    <t>103426 город Москва улица Большая Дмитровка  дом 26   комната 97а помещения I/1</t>
  </si>
  <si>
    <t>ЮЛ770100466700006</t>
  </si>
  <si>
    <t>119121 город Москва улица Зубовская дом 2   комната 1б помещения I/1</t>
  </si>
  <si>
    <t>ЮЛ770100466700007</t>
  </si>
  <si>
    <t>103265 город Москва переулок Георгиевский дом 2   часть комнаты 4 помещения I/1</t>
  </si>
  <si>
    <t>ЮЛ770100466700008</t>
  </si>
  <si>
    <t>103132 город Москва Никитников переулок дом 2/9/11 строение 1</t>
  </si>
  <si>
    <t>ЮЛ770100466700009</t>
  </si>
  <si>
    <t>107016 город Москва улица Неглинная дом 12 корпус А  этаж 1, помещения 11а, 11б</t>
  </si>
  <si>
    <t>ЮЛ770100466700010</t>
  </si>
  <si>
    <t>121359 город Москва улица Маршала Тимошенко  дом 15   помещения 75, 76</t>
  </si>
  <si>
    <t>ЮЛ770100466700011</t>
  </si>
  <si>
    <t>125047 город Москва улица 1-я Тверская-Ямская дом 3 строение 1</t>
  </si>
  <si>
    <t>ЮЛ770100466700012</t>
  </si>
  <si>
    <t>119019 город Москва улица Знаменка дом 14   этаж 1, помещение №1134</t>
  </si>
  <si>
    <t>ЮЛ770100466700013</t>
  </si>
  <si>
    <t>119160 город Москва Фрунзенская набережная дом 22 строение 10  этаж 5, часть помещения № 76</t>
  </si>
  <si>
    <t>ЮЛ770100466700014</t>
  </si>
  <si>
    <t>121359 город Москва улица Маршала Тимошенко  дом 15   помещение 1а</t>
  </si>
  <si>
    <t>ЮЛ770100466700015</t>
  </si>
  <si>
    <t>115191 город Москва переулок Холодильный дом 3   этаж 1, помещение I, ком. 51 - 57, 70-80 (часть), 83 (часть), 84 (часть), 95 (часть), Б, 1</t>
  </si>
  <si>
    <t>ЮЛ770100278900000</t>
  </si>
  <si>
    <t>127051 город Москва бульвар Цветной дом 15 строение 1  1 этаж</t>
  </si>
  <si>
    <t>ЮЛ770100278900001</t>
  </si>
  <si>
    <t>115054 город Москва площадь Павелецкая дом 3  А помещение А76 этаж минус первый</t>
  </si>
  <si>
    <t>ЮЛ770100278900003</t>
  </si>
  <si>
    <t>123112 город Москва набережная Пресненская дом 2   этаж 3, помещение № В71</t>
  </si>
  <si>
    <t>ЮЛ770100278900005</t>
  </si>
  <si>
    <t>123104 город Москва переулок Спиридоньевский дом 17   помещение на 1 этаже и подвал №0</t>
  </si>
  <si>
    <t>ЮЛ770100278900009</t>
  </si>
  <si>
    <t>125252 город Москва бульвар Ходынский дом 4   помещение № 03К-1072, 3 этаж</t>
  </si>
  <si>
    <t>ЮЛ770100278900010</t>
  </si>
  <si>
    <t>125171 город Москва шоссе Ленинградское дом 16А строение 4  1 этаж, помещение 1-030</t>
  </si>
  <si>
    <t>ЮЛ770100278900011</t>
  </si>
  <si>
    <t>105064 город Москва улица Земляной Вал дом 33   помещение 26Н, 1 этаж, часть помещения №ХI, комната №63а, часть комнаты 63б</t>
  </si>
  <si>
    <t>ЮЛ770100278900012</t>
  </si>
  <si>
    <t>108811 город Москва километр 23-й дом 1   помещение 1-148, состоящее из помещений 95.1 и 95.2, 3 этаж</t>
  </si>
  <si>
    <t>ЮЛ770100278900013</t>
  </si>
  <si>
    <t>119034 город Москва переулок Коробейников дом 1   подвал 2 пом. III ком. 1, 2, этаж 1 пом. IV ком. 1, 2</t>
  </si>
  <si>
    <t>ЮЛ770100623000000</t>
  </si>
  <si>
    <t>119048 город Москва улица Ефремова дом 23</t>
  </si>
  <si>
    <t>ООО "ПОДНЕСИ.РУ"</t>
  </si>
  <si>
    <t>7704858461</t>
  </si>
  <si>
    <t>ЮЛ7701018395</t>
  </si>
  <si>
    <t>ЮЛ770101839500000</t>
  </si>
  <si>
    <t>127051 город Москва улица Петровские Линии дом 2   помещение IV комн 4-14</t>
  </si>
  <si>
    <t>ООО "РИЧ ТАЙМ ГРУПП"</t>
  </si>
  <si>
    <t>7704866649</t>
  </si>
  <si>
    <t>ЮЛ7701016717</t>
  </si>
  <si>
    <t>ЮЛ770101671700000</t>
  </si>
  <si>
    <t>117535 город Москва проезд Россошанский дом 3 - - этаж 1 помещение II комната 85</t>
  </si>
  <si>
    <t>7705021066</t>
  </si>
  <si>
    <t>ЮЛ7701007362</t>
  </si>
  <si>
    <t>ЮЛ770100736200001</t>
  </si>
  <si>
    <t>123182 город Москва улица Маршала Василевского дом 15 - - этаж 1 помещение IX комнаты 1-5,7</t>
  </si>
  <si>
    <t>ЮЛ770100736200002</t>
  </si>
  <si>
    <t>105043 город Москва улица 3-я Парковая дом 20 - - этаж 1 помещение II комнаты 1-3</t>
  </si>
  <si>
    <t>ЮЛ770100736200004</t>
  </si>
  <si>
    <t>109548 город Москва улица Шоссейная дом 1/2 строение 4 - этаж 1 помещение III комната 38б</t>
  </si>
  <si>
    <t>ЮЛ770100736200005</t>
  </si>
  <si>
    <t>109341 город Москва улица Братиславская дом 10 - - этаж 1 помещение VII комнаты 5, 5а, 5б, 5в, 6-8</t>
  </si>
  <si>
    <t>ЮЛ770100736200006</t>
  </si>
  <si>
    <t>115612 город Москва улица Борисовские Пруды владение 26 корпус 2   этаж 1 помещение XIII комната 4</t>
  </si>
  <si>
    <t>ЮЛ770100736200007</t>
  </si>
  <si>
    <t>109443 город Москва улица Зеленодольская дом 41 корпус 1 - подвал, помещение III комнаты 9,10,11,12</t>
  </si>
  <si>
    <t>ЮЛ770100736200009</t>
  </si>
  <si>
    <t>117279 город Москва улица Миклухо-Маклая дом 30 - - этаж 1 помещение I комнаты 7,7а,8,9,10,11а</t>
  </si>
  <si>
    <t>ЮЛ770100736200010</t>
  </si>
  <si>
    <t>115583 город Москва бульвар Ореховый дом 16 - - этаж 1 помещение II комнаты 1,1а,2,3,4,4а; помещение III комнаты 1,2,3,4</t>
  </si>
  <si>
    <t>ЮЛ770100736200011</t>
  </si>
  <si>
    <t>127644 город Москва бульвар Карельский дом 5 - - этаж 1 помещение II комнаты 47,48</t>
  </si>
  <si>
    <t>ЮЛ770100736200012</t>
  </si>
  <si>
    <t>123423 город Москва проспект Маршала Жукова дом 39 корпус 1 - этаж 1 помещение V комнаты 1,7-12</t>
  </si>
  <si>
    <t>ЮЛ770100736200013</t>
  </si>
  <si>
    <t>117452 город Москва бульвар Симферопольский дом 17 корпус 1 - этаж 1 помещение VI комнаты 1,2,2а,3,3а,4-9</t>
  </si>
  <si>
    <t>ЮЛ770100736200014</t>
  </si>
  <si>
    <t>125412 город Москва шоссе Коровинское дом 19 - - этаж 1 помещение II комнаты 1, 2,часть комнаты 2а, комнаты 2б, 3,4, часть комнаты 4а, комнаты 4б,4в,4г,4д</t>
  </si>
  <si>
    <t>ЮЛ770100736200015</t>
  </si>
  <si>
    <t>121433 город Москва улица Малая Филёвская дом 22 - - часть помещения XVII</t>
  </si>
  <si>
    <t>ЮЛ770100736200016</t>
  </si>
  <si>
    <t>121096 город Москва улица Олеко Дундича дом 25 - - помещение 134</t>
  </si>
  <si>
    <t>ЮЛ770100736200017</t>
  </si>
  <si>
    <t>115172 город Москва переулок 1-й Гончарный дом 7   подвал помещение X комната 11 часть комнаты 7</t>
  </si>
  <si>
    <t>ЮЛ770100736200018</t>
  </si>
  <si>
    <t>117042 город Москва улица Бунинская Аллея дом 7 строение 1  этаж 1 часть помещения 2</t>
  </si>
  <si>
    <t>ЮЛ770100736200020</t>
  </si>
  <si>
    <t>119602 город Москва улица Покрышкина дом 4  Литера А 1 этаж, помещение XVI, часть комнаты №17</t>
  </si>
  <si>
    <t>ИП Захарова Дарья Владимировна</t>
  </si>
  <si>
    <t>770505869340</t>
  </si>
  <si>
    <t>ИП7701008212</t>
  </si>
  <si>
    <t>ИП770100821200000</t>
  </si>
  <si>
    <t>121353 город Москва шоссе Можайское дом 45А   помещение 19</t>
  </si>
  <si>
    <t>ИП Мкртычева Яна Владимировна</t>
  </si>
  <si>
    <t>770507712390</t>
  </si>
  <si>
    <t>ИП7701040912</t>
  </si>
  <si>
    <t>ИП770104091200000</t>
  </si>
  <si>
    <t>119049 город Москва площадь Калужская дом 1 корпус 1  помещение V</t>
  </si>
  <si>
    <t>ЮЛ330100492500001</t>
  </si>
  <si>
    <t>117342 город Москва улица Обручева дом 40 строение 4 этаж 1 помещение VII  комната №№ 55- 84, 86- 88, 82а, 86а, 88а</t>
  </si>
  <si>
    <t>ООО "ИНТЕР-ЧАС"</t>
  </si>
  <si>
    <t>7705529519</t>
  </si>
  <si>
    <t>ЮЛ7701002136</t>
  </si>
  <si>
    <t>ЮЛ770100213600000</t>
  </si>
  <si>
    <t>129090 город Москва улица Гиляровского дом 4 строение 5  этаж 2, офис 202</t>
  </si>
  <si>
    <t>ООО "КРАСЮЗ М"</t>
  </si>
  <si>
    <t>7705554970</t>
  </si>
  <si>
    <t>ЮЛ7701001300</t>
  </si>
  <si>
    <t>ЮЛ770100130000000</t>
  </si>
  <si>
    <t>115114 город Москва улица Кожевническая дом 3 строение 1  этаж 1 помещение II комната 7</t>
  </si>
  <si>
    <t>ООО "ЭКСКЛЮЗИВ-М"</t>
  </si>
  <si>
    <t>7705645459</t>
  </si>
  <si>
    <t>ЮЛ7701013865</t>
  </si>
  <si>
    <t>ЮЛ770101386500000</t>
  </si>
  <si>
    <t>119180 город Москва улица Большая Полянка дом 28 корпус 1</t>
  </si>
  <si>
    <t>ООО "ДОМ КНИГИ "МОЛОДАЯ ГВАРДИЯ"</t>
  </si>
  <si>
    <t>7706013276</t>
  </si>
  <si>
    <t>ЮЛ7701015616</t>
  </si>
  <si>
    <t>ЮЛ770101561600000</t>
  </si>
  <si>
    <t>123112 город Москва вн.тер.г.муниципальный округ Пресненский проезд 1-й Красногвардейский 21 2  1/75</t>
  </si>
  <si>
    <t>ИП Дмитриева Наталия Вячеславовна</t>
  </si>
  <si>
    <t>770602205055</t>
  </si>
  <si>
    <t>ИП7701037940</t>
  </si>
  <si>
    <t>ИП770103794000000</t>
  </si>
  <si>
    <t>127473 город Москва переулок 1-й Волконский дом 11 строение 2   4 этаж, комната№ 4-13, 15,16</t>
  </si>
  <si>
    <t>ИП Винокурова Мария Михайловна</t>
  </si>
  <si>
    <t>770602244907</t>
  </si>
  <si>
    <t>ИП7701002937</t>
  </si>
  <si>
    <t>ИП770100293700000</t>
  </si>
  <si>
    <t>119017 город Москва переулок Лаврушинский дом 10</t>
  </si>
  <si>
    <t>ГОСУДАРСТВЕННАЯ ТРЕТЬЯКОВСКАЯ ГАЛЕРЕЯ, ТРЕТЬЯКОВСКАЯ ГАЛЕРЕЯ</t>
  </si>
  <si>
    <t>7706032800</t>
  </si>
  <si>
    <t>ЮЛ7701018904</t>
  </si>
  <si>
    <t>ЮЛ770101890400000</t>
  </si>
  <si>
    <t>115487 город Москва проспект Андропова дом 35</t>
  </si>
  <si>
    <t>ООО "ЛОМБАРД "СТОЛИЧНЫЙ"</t>
  </si>
  <si>
    <t>7706127851</t>
  </si>
  <si>
    <t>ЮЛ7701003038</t>
  </si>
  <si>
    <t>ЮЛ770100303800000</t>
  </si>
  <si>
    <t>105484 город Москва улица 15-я Парковая дом 41 корпус 1</t>
  </si>
  <si>
    <t>ЮЛ770100303800001</t>
  </si>
  <si>
    <t>115432 город Москва улица Трофимова дом 32 корпус 1</t>
  </si>
  <si>
    <t>ЮЛ770100303800002</t>
  </si>
  <si>
    <t>109369 город Москва бульвар Новочеркасский дом 55   1 этаж,помещение №XXIII, комната1,1а,2-4</t>
  </si>
  <si>
    <t>ЮЛ770100303800003</t>
  </si>
  <si>
    <t>127490 город Москва бульвар Северный дом 2   этаж 1, помещение XI</t>
  </si>
  <si>
    <t>ЮЛ770100303800004</t>
  </si>
  <si>
    <t>127224 город Москва улица Грекова дом 4   1 этаж, помещение № V, комнаты 3,3а, 4, 5, 7</t>
  </si>
  <si>
    <t>ЮЛ770100303800005</t>
  </si>
  <si>
    <t>109377 город Москва улица Зеленодольская дом 3   помещение 3/П</t>
  </si>
  <si>
    <t>ЮЛ770100303800006</t>
  </si>
  <si>
    <t>117321 город Москва улица Островитянова дом 30 корпус 1</t>
  </si>
  <si>
    <t>ЮЛ770100303800007</t>
  </si>
  <si>
    <t>123060 город Москва улица Народного Ополчения дом 37 корпус 1  комнаты 1, 1а, 1б, 1в, 2</t>
  </si>
  <si>
    <t>ЮЛ770100303800008</t>
  </si>
  <si>
    <t>127030 город Москва улица Сущёвская дом 16 строение 4  1 этаж, помещение II, комнаты 1-4</t>
  </si>
  <si>
    <t>ЮЛ770100303800009</t>
  </si>
  <si>
    <t>115580 город Москва улица Шипиловская дом 60 корпус 1</t>
  </si>
  <si>
    <t>ЮЛ770100303800010</t>
  </si>
  <si>
    <t>127560 город Москва улица Плещеева дом 8   этаж 1, помещение IX, комнаты 1, 1а, 2-5</t>
  </si>
  <si>
    <t>ЮЛ770100303800011</t>
  </si>
  <si>
    <t>105077 город Москва улица 15-я Парковая дом 27/1   помещение 1Н</t>
  </si>
  <si>
    <t>ЮЛ770100303800012</t>
  </si>
  <si>
    <t>129327 город Москва улица Енисейская дом 17 корпус 1 - этаж 1 помещение II комнаты 1-7</t>
  </si>
  <si>
    <t>7706147512</t>
  </si>
  <si>
    <t>ЮЛ7701007177</t>
  </si>
  <si>
    <t>ЮЛ770100717700001</t>
  </si>
  <si>
    <t>109145 город Москва улица Привольная дом 9 корпус 1 - этаж 1 комнаты 10-17, 20</t>
  </si>
  <si>
    <t>ЮЛ770100717700002</t>
  </si>
  <si>
    <t>107061 город Москва улица  Большая Черкизовская  дом 3 корпус 1 - -</t>
  </si>
  <si>
    <t>ЮЛ770100717700003</t>
  </si>
  <si>
    <t>125368 город Москва улица Митинская дом 37 - - этаж 1 помещение VII комнаты1-8</t>
  </si>
  <si>
    <t>ЮЛ770100717700004</t>
  </si>
  <si>
    <t>119618 город Москва улица 50 лет Октября дом 7 - - этаж 1 помещение I комната 26</t>
  </si>
  <si>
    <t>ЮЛ770100717700005</t>
  </si>
  <si>
    <t>127322 город Москва улица Яблочкова дом 21А - -  этаж 3</t>
  </si>
  <si>
    <t>ЮЛ770100717700006</t>
  </si>
  <si>
    <t>125008 город Москва улица Михалковская дом 2 - - этаж 1 помещение II комнаты 1-6</t>
  </si>
  <si>
    <t>ЮЛ770100717700007</t>
  </si>
  <si>
    <t>119049 город Москва площадь Калужская дом 1 корпус 1 - этаж 1 помещение VII комнаты 1,1а,2,3</t>
  </si>
  <si>
    <t>ЮЛ770100717700009</t>
  </si>
  <si>
    <t>105005 город Москва улица Ладожская дом 7А - - этаж 1 помещение I комната 2</t>
  </si>
  <si>
    <t>ЮЛ770100717700010</t>
  </si>
  <si>
    <t>115172 город Москва переулок 1-й Гончарный дом 7 - - подвал помещение X  комнаты 8,9,12,13,14, 15, часть комнат 1,7,10</t>
  </si>
  <si>
    <t>ЮЛ770100717700012</t>
  </si>
  <si>
    <t>127220 город Москва улица Нижняя Масловка дом 10 - - этаж -1, номер помещений G2</t>
  </si>
  <si>
    <t>ЮЛ770100717700013</t>
  </si>
  <si>
    <t>107045 город Москва площадь Большая Сухаревская дом 14/7 - - этаж 1 помещение VII комнаты 1-7</t>
  </si>
  <si>
    <t>ЮЛ770100717700014</t>
  </si>
  <si>
    <t>125565 город Москва шоссе Ленинградское дом 94 корпус 2  этаж 1 помещение 1Н</t>
  </si>
  <si>
    <t>ЮЛ770100717700016</t>
  </si>
  <si>
    <t>109145 город Москва проспект Лермонтовский дом 10 корпус 1  этаж 1 часть помещения IV</t>
  </si>
  <si>
    <t>ЮЛ770100717700017</t>
  </si>
  <si>
    <t>127427 город Москва улица Академика Королева дом 12</t>
  </si>
  <si>
    <t>ЮЛ770100264000003</t>
  </si>
  <si>
    <t>119607 город Москва проспект Мичуринский дом 27   помещение № 17</t>
  </si>
  <si>
    <t>ЮЛ770100264000005</t>
  </si>
  <si>
    <t>119421 город Москва проспект Ленинский дом 109   2 этаж Помещение 3 часть комнаты 119  Внутренний номер: К-16</t>
  </si>
  <si>
    <t>ЮЛ770100264000007</t>
  </si>
  <si>
    <t>105120 город Москва улица Верхняя Сыромятническая дом 2</t>
  </si>
  <si>
    <t>ЮЛ770100264000008</t>
  </si>
  <si>
    <t>109341 город Москва улица Перерва дом 43 корпус 1  часть комнаты № 80 помещения IV первого этажа</t>
  </si>
  <si>
    <t>ЮЛ770100264000009</t>
  </si>
  <si>
    <t>125363 город Москва улица Сходненская дом 56   2-ой этаж, Помещение I: Часть комнаты № 118, площадью 10 (Десять) кв.м.</t>
  </si>
  <si>
    <t>ЮЛ770100264000012</t>
  </si>
  <si>
    <t>117574 город Москва улица Профсоюзная дом 129А   -1 этаж</t>
  </si>
  <si>
    <t>ЮЛ770100264000013</t>
  </si>
  <si>
    <t>117556 город Москва шоссе Варшавское дом 87Б   1 этаж  здания Помещений № V комната № 108</t>
  </si>
  <si>
    <t>ЮЛ770100264000014</t>
  </si>
  <si>
    <t>129594 город Москва улица Шереметьевская дом 6 корпус 1  секция № Б9 1 этаж</t>
  </si>
  <si>
    <t>ЮЛ770100264000015</t>
  </si>
  <si>
    <t>119571 город Москва проспект Вернадского дом 86А   условное  место № КА 09</t>
  </si>
  <si>
    <t>ЮЛ770100264000017</t>
  </si>
  <si>
    <t>129226 город Москва проспект Мира дом 211 корпус 2  часть  комнаты   361 номер КС06  входящей в состав комнаты № 1</t>
  </si>
  <si>
    <t>ЮЛ770100264000019</t>
  </si>
  <si>
    <t>119334 город Москва улица Вавилова дом 3   комната 78 помещение № XV на втором этаже киоск № 9</t>
  </si>
  <si>
    <t>ЮЛ770100264000023</t>
  </si>
  <si>
    <t>115533 город Москва проспект Андропова дом 22   помещение А29/1 1 этаж</t>
  </si>
  <si>
    <t>ЮЛ770100264000025</t>
  </si>
  <si>
    <t>117588 город Москва проспект Новоясеневский дом 7   Этаж 1, Часть помещения № 20</t>
  </si>
  <si>
    <t>ЮЛ770100264000030</t>
  </si>
  <si>
    <t>117042 город Москва проезд Чечёрский дом 51   Часть комнаты № 3 нежилого помещения № 16 1К-21</t>
  </si>
  <si>
    <t>ЮЛ770100264000032</t>
  </si>
  <si>
    <t>117519 город Москва улица Кировоградская дом 13 А   1.087.0.4.01</t>
  </si>
  <si>
    <t>ЮЛ770100264000034</t>
  </si>
  <si>
    <t>123182 город Москва улица Щукинская дом 42   помещение 1/1</t>
  </si>
  <si>
    <t>ЮЛ770100264000035</t>
  </si>
  <si>
    <t>119602 город Москва улица Мичуринский проспект.Олимпийская деревня дом 3 корпус 1  1 этаж помещение А88</t>
  </si>
  <si>
    <t>ЮЛ770100264000036</t>
  </si>
  <si>
    <t>119049 город Москва улица Крымский Вал дом 9 строение 25  помещение 1 офис 4</t>
  </si>
  <si>
    <t>7706416807</t>
  </si>
  <si>
    <t>ЮЛ7701017045</t>
  </si>
  <si>
    <t>ЮЛ770101704500000</t>
  </si>
  <si>
    <t>101000 город Москва ДМИТРОВСКОЕ ШОССЕ дом 100 корпус 2/строение 2 этаж 1 офис 143</t>
  </si>
  <si>
    <t>ООО "КАМЕННАЯ ОРХИДЕЯ"</t>
  </si>
  <si>
    <t>7706448830</t>
  </si>
  <si>
    <t>ЮЛ7701003029</t>
  </si>
  <si>
    <t>ЮЛ770100302900000</t>
  </si>
  <si>
    <t>115093 город Москва переулок Партийный дом 1 корпус 11  3 этаж, помещение I, офисы №31,32</t>
  </si>
  <si>
    <t>ООО "БАЛЕКС 925"</t>
  </si>
  <si>
    <t>7706452925</t>
  </si>
  <si>
    <t>ЮЛ7701003259</t>
  </si>
  <si>
    <t>ЮЛ770100325900000</t>
  </si>
  <si>
    <t>115280 город Москва улица Ленинская Слобода дом 19   помещение 25/1</t>
  </si>
  <si>
    <t>ООО "ГОЛДЕН СТАИЛ"</t>
  </si>
  <si>
    <t>7706456366</t>
  </si>
  <si>
    <t>ЮЛ7701008224</t>
  </si>
  <si>
    <t>ЮЛ770100822400000</t>
  </si>
  <si>
    <t>127006 город Москва улица Долгоруковская дом 29 строение 1  этаж 1 комната А</t>
  </si>
  <si>
    <t>ООО "ЗОЛОТОЙ ДОМ"</t>
  </si>
  <si>
    <t>7706514674</t>
  </si>
  <si>
    <t>ЮЛ7701001971</t>
  </si>
  <si>
    <t>ЮЛ770100197100000</t>
  </si>
  <si>
    <t>123430 город Москва улица Фабричная дом 6 стр. 17</t>
  </si>
  <si>
    <t>ИП Шапов Евгений Владимирович</t>
  </si>
  <si>
    <t>770700050882</t>
  </si>
  <si>
    <t>ИП7701005470</t>
  </si>
  <si>
    <t>ИП770100547000000</t>
  </si>
  <si>
    <t>129226 город Москва проспект Мира дом 211 корпус 2  помещение I, комната №147</t>
  </si>
  <si>
    <t>ООО "АЛЬБИОН-ТУР"</t>
  </si>
  <si>
    <t>7707122020</t>
  </si>
  <si>
    <t>ЮЛ7701011420</t>
  </si>
  <si>
    <t>ЮЛ770101142000000</t>
  </si>
  <si>
    <t>107031 город Москва переулок Столешников дом 12</t>
  </si>
  <si>
    <t>АО "ЭРМЕС РУС"</t>
  </si>
  <si>
    <t>7707286653</t>
  </si>
  <si>
    <t>ЮЛ7701012220</t>
  </si>
  <si>
    <t>ЮЛ770101222000000</t>
  </si>
  <si>
    <t>ЮЛ770101222000005</t>
  </si>
  <si>
    <t>123104 Москва Улица Малая Бронная дом 2 строение 1  этаж 4 помещение I комната  58</t>
  </si>
  <si>
    <t>7707338580</t>
  </si>
  <si>
    <t>ЮЛ7701013917</t>
  </si>
  <si>
    <t>ЮЛ770101391700000</t>
  </si>
  <si>
    <t>127051 город Москва Петровский бульвар дом 8  строение 1  этаж 1: помещение I, состоящее из комнат с №1 по №9, комнаты №9а, комнаты с №10 по 12; помещение II, состоящее  из комнат с №1 по №7; комнаты №№а, б, А, Б; этаж 2: помещение №I, состоящее из комнат с №1 по №3, с №5 по №13, с №16 по №19; комнаты №А, №Б.</t>
  </si>
  <si>
    <t>ООО "ТРАЕКТОРИЯ"</t>
  </si>
  <si>
    <t>7707338615</t>
  </si>
  <si>
    <t>ЮЛ7701033392</t>
  </si>
  <si>
    <t>ЮЛ770103339200000</t>
  </si>
  <si>
    <t>107031 город Москва переулок Столешников дом 7 строение 3  помещение 3/1</t>
  </si>
  <si>
    <t>ЮЛ770103339200001</t>
  </si>
  <si>
    <t>111558 город Москва проспект Зелёный дом 81   помещение А10</t>
  </si>
  <si>
    <t>ООО "КАМЕЛИЯ"</t>
  </si>
  <si>
    <t>7707350235</t>
  </si>
  <si>
    <t>ЮЛ7701014599</t>
  </si>
  <si>
    <t>ЮЛ770101459900005</t>
  </si>
  <si>
    <t>105215 город Москва бульвар Сиреневый дом 31   помещение А34</t>
  </si>
  <si>
    <t>ЮЛ770101459900006</t>
  </si>
  <si>
    <t>119530 город Москва Аминьевское ш. дом 6   помещение 2 Н, 2 этаж № 1-13b</t>
  </si>
  <si>
    <t>ЮЛ770101459900007</t>
  </si>
  <si>
    <t>121165 город Москва проспект Кутузовский Дом 26 Корпус 1  Помещение III, комната 3,4,5</t>
  </si>
  <si>
    <t>ООО "ЛОМБАРД ХРОНОЛАНД"</t>
  </si>
  <si>
    <t>7707365591</t>
  </si>
  <si>
    <t>ЮЛ7701006509</t>
  </si>
  <si>
    <t>ЮЛ770100650900000</t>
  </si>
  <si>
    <t>129226 город Москва улица Сельскохозяйственная дом 17 корпус 1  помещение 13П</t>
  </si>
  <si>
    <t>ООО "ВИКТОРИЯ"</t>
  </si>
  <si>
    <t>7707416454</t>
  </si>
  <si>
    <t>ЮЛ7701004910</t>
  </si>
  <si>
    <t>ЮЛ770100491000000</t>
  </si>
  <si>
    <t>127051 город Москва улица Петровка дом 26 строение 2  Помещение 1/П</t>
  </si>
  <si>
    <t>ООО "ГРАН"</t>
  </si>
  <si>
    <t>7707428876</t>
  </si>
  <si>
    <t>ЮЛ7701015630</t>
  </si>
  <si>
    <t>ЮЛ770101563000000</t>
  </si>
  <si>
    <t>127051 город Москва улица Петровка дом 26 строение 2  комната 29</t>
  </si>
  <si>
    <t>7707444500</t>
  </si>
  <si>
    <t>ЮЛ7701004850</t>
  </si>
  <si>
    <t>ЮЛ770100485000000</t>
  </si>
  <si>
    <t>ООО "СИТИ ОФ ДРИМ"</t>
  </si>
  <si>
    <t>7707446561</t>
  </si>
  <si>
    <t>ЮЛ7701010728</t>
  </si>
  <si>
    <t>ЮЛ770101072800001</t>
  </si>
  <si>
    <t>111033 город Москва улица Золоторожский Вал дом 32 строение 2  этаж 3, помещение № 3</t>
  </si>
  <si>
    <t>ООО "АВТО-ЛОМБАРД ЭКВИВАЛЕНТ"</t>
  </si>
  <si>
    <t>7707446931</t>
  </si>
  <si>
    <t>ЮЛ7701001028</t>
  </si>
  <si>
    <t>ЮЛ770100102800000</t>
  </si>
  <si>
    <t>127051 город Москва улица Петровка дом 26 строение 2  помещение 21, 27, 28</t>
  </si>
  <si>
    <t>ООО "ЛОЛАЛАЙТ"</t>
  </si>
  <si>
    <t>7707456792</t>
  </si>
  <si>
    <t>ЮЛ7701017311</t>
  </si>
  <si>
    <t>ЮЛ770101731100000</t>
  </si>
  <si>
    <t>127006 город Москва улица Долгоруковская дом 31 строение 3  комната 4</t>
  </si>
  <si>
    <t>ООО "ЮВЕЛИРНАЯ КОМПАНИЯ"</t>
  </si>
  <si>
    <t>7707474671</t>
  </si>
  <si>
    <t>ЮЛ7701031381</t>
  </si>
  <si>
    <t>ЮЛ770103138100000</t>
  </si>
  <si>
    <t>107076 город Москва улица Матросская Тишина дом 23 строение 2  ЭТАЖ1/ПОМЕЩЕНИЕ VI A / КОМНАТА 11</t>
  </si>
  <si>
    <t>ООО "Деметра"</t>
  </si>
  <si>
    <t>7707519308</t>
  </si>
  <si>
    <t>ЮЛ7701016188</t>
  </si>
  <si>
    <t>ЮЛ770101618800000</t>
  </si>
  <si>
    <t>111033 город Москва улица Золоторожский Вал дом 32 строение 2  офис В</t>
  </si>
  <si>
    <t>ПАО "МГКЛ"</t>
  </si>
  <si>
    <t>7707600245</t>
  </si>
  <si>
    <t>ЮЛ7701037835</t>
  </si>
  <si>
    <t>ЮЛ770103783500000</t>
  </si>
  <si>
    <t>127006 город Москва улица Краснопролетарская дом 9 корпус 2  этаж 2</t>
  </si>
  <si>
    <t>ООО "НАСОН"</t>
  </si>
  <si>
    <t>7707605050</t>
  </si>
  <si>
    <t>ЮЛ7701011854</t>
  </si>
  <si>
    <t>ЮЛ770101185400000</t>
  </si>
  <si>
    <t>127030 город Москва улица Новослободская Дом 4   2 этаж, помещение №20</t>
  </si>
  <si>
    <t>ЮЛ770101185400002</t>
  </si>
  <si>
    <t>125009 город Москва улица Моховая дом 15/1 строение 1  помещение 1</t>
  </si>
  <si>
    <t>ООО "ФЛОРЕНЦИЯ ДИЗАЙН"</t>
  </si>
  <si>
    <t>7707712728</t>
  </si>
  <si>
    <t>ЮЛ5001005492</t>
  </si>
  <si>
    <t>ЮЛ500100549200000</t>
  </si>
  <si>
    <t>127473 город Москва улица Селезневская дом 11А строение 2  комната 4</t>
  </si>
  <si>
    <t>ООО "ДИРЕКТ ТРЕЙД"</t>
  </si>
  <si>
    <t>7707741704</t>
  </si>
  <si>
    <t>ЮЛ7701009762</t>
  </si>
  <si>
    <t>ЮЛ770100976200000</t>
  </si>
  <si>
    <t>121108 город Москва проспект Кутузовский дом 48   2 этаж, часть комнаты 69</t>
  </si>
  <si>
    <t>ООО "ЮВЕЛИРНАЯ КОМПАНИЯ МК"</t>
  </si>
  <si>
    <t>7707780326</t>
  </si>
  <si>
    <t>ЮЛ7701016520</t>
  </si>
  <si>
    <t>ЮЛ770101652000000</t>
  </si>
  <si>
    <t>127473 город Москва улица Селезневская дом 11А строение 2  4 этаж, помещение I, комната №1, 2, офис №401</t>
  </si>
  <si>
    <t>ООО "МКЗНАК"</t>
  </si>
  <si>
    <t>7707824446</t>
  </si>
  <si>
    <t>ЮЛ7701013520</t>
  </si>
  <si>
    <t>ЮЛ770101352000000</t>
  </si>
  <si>
    <t>121108 город Москва проспект Кутузовский дом 48   помещение № I, 3 Этаж, комнаты №№ 94, 94а, 94б</t>
  </si>
  <si>
    <t>ООО "ФЛОУЛЕСС МЕНЕДЖМЕНТ"</t>
  </si>
  <si>
    <t>7707839700</t>
  </si>
  <si>
    <t>ЮЛ7701016730</t>
  </si>
  <si>
    <t>ЮЛ770101673000001</t>
  </si>
  <si>
    <t>125565 город Москва улица Фестивальная дом 13 корпус 1 помещение  XII, этаж 1,ком. 23</t>
  </si>
  <si>
    <t>ИП Урвачева Инесса Александровна</t>
  </si>
  <si>
    <t>770803696879</t>
  </si>
  <si>
    <t>ИП7701008652</t>
  </si>
  <si>
    <t>ИП770100865200000</t>
  </si>
  <si>
    <t>ЮЛ400100866000001</t>
  </si>
  <si>
    <t>121059 город Москва улица Большая Дорогомиловская дом 1   этаж 1 помещение II комната 2</t>
  </si>
  <si>
    <t>ООО "М ЛОМБАРД"</t>
  </si>
  <si>
    <t>7708337854</t>
  </si>
  <si>
    <t>ЮЛ7701004764</t>
  </si>
  <si>
    <t>ЮЛ770100476400002</t>
  </si>
  <si>
    <t>127238 город Москва проезд Локомотивный дом 4   этаж 1, павильон №138</t>
  </si>
  <si>
    <t>ООО "ЦЕНТР ЛОМБАРД ПЛЮС"</t>
  </si>
  <si>
    <t>7708339241</t>
  </si>
  <si>
    <t>ЮЛ7701003870</t>
  </si>
  <si>
    <t>ЮЛ770100387000001</t>
  </si>
  <si>
    <t>109559 город Москва улица Краснодарская дом 57 корпус 2  помещения 5/1</t>
  </si>
  <si>
    <t>ЮЛ770100387000004</t>
  </si>
  <si>
    <t>107207 город Москва шоссе Щёлковское дом 54   помещение V, комната 64</t>
  </si>
  <si>
    <t>ЮЛ770100387000006</t>
  </si>
  <si>
    <t>107023 город Москва площадь Семёновская дом 1А   этаж 24, помещение №XXXIII, комната 8</t>
  </si>
  <si>
    <t>ООО "ЭНКЕЙ ДЖЕВЕЛ"</t>
  </si>
  <si>
    <t>7708385270</t>
  </si>
  <si>
    <t>ЮЛ7701010304</t>
  </si>
  <si>
    <t>ЮЛ770101030400000</t>
  </si>
  <si>
    <t>107045 город Москва бульвар Сретенский дом 5   1 этаж, помещение № 3</t>
  </si>
  <si>
    <t>ООО "СЕЛИСА"</t>
  </si>
  <si>
    <t>7708419017</t>
  </si>
  <si>
    <t>ЮЛ7701035828</t>
  </si>
  <si>
    <t>ЮЛ770103582800000</t>
  </si>
  <si>
    <t>107140 город Москва площадь Комсомольская дом 6   офис524А</t>
  </si>
  <si>
    <t>ООО "ДИЦАЙТ"</t>
  </si>
  <si>
    <t>7708431536</t>
  </si>
  <si>
    <t>ЮЛ7701036314</t>
  </si>
  <si>
    <t>ЮЛ770103631400000</t>
  </si>
  <si>
    <t>108811 дер. Лапшинка, з/у 8/2</t>
  </si>
  <si>
    <t>ЮЛ770103631400001</t>
  </si>
  <si>
    <t>107078 город Москва улица Новая Басманная дом 19 строение 2  этаж 2, комната № 11</t>
  </si>
  <si>
    <t>ООО "ГРУША ДАЙМОНДС"</t>
  </si>
  <si>
    <t>7708436975</t>
  </si>
  <si>
    <t>ЮЛ7701037136</t>
  </si>
  <si>
    <t>ЮЛ770103713600000</t>
  </si>
  <si>
    <t>125565 город Москва улица Фестивальная дом 13 корпус 1  1 этаж , помещение XII-комната  23</t>
  </si>
  <si>
    <t>ООО "ДРАГОЦЕННЫЕ МОМЕНТЫ"</t>
  </si>
  <si>
    <t>7708446740</t>
  </si>
  <si>
    <t>ЮЛ7701038880</t>
  </si>
  <si>
    <t>ЮЛ770103888000000</t>
  </si>
  <si>
    <t>119049 город Москва улица Шаболовка дом 10 корпус 1  этаж цокольный, помещение №1, комната №80</t>
  </si>
  <si>
    <t>ООО "АНОЛИТ"</t>
  </si>
  <si>
    <t>7708760474</t>
  </si>
  <si>
    <t>ЮЛ7701004459</t>
  </si>
  <si>
    <t>ЮЛ770100445900003</t>
  </si>
  <si>
    <t>101000 город Москва бульвар Сретенский дом 6/1 строение 1  помещение 1</t>
  </si>
  <si>
    <t>ООО "РИНГ СТУДИО"</t>
  </si>
  <si>
    <t>7708776876</t>
  </si>
  <si>
    <t>ЮЛ7701005518</t>
  </si>
  <si>
    <t>ЮЛ770100551800000</t>
  </si>
  <si>
    <t>105215 город Москва шоссе Щёлковское дом 54   1 этаж, помещение II, комнаты 1, 2</t>
  </si>
  <si>
    <t>АО "ЛОМБАРД МЕРИДИАН"</t>
  </si>
  <si>
    <t>7709055235</t>
  </si>
  <si>
    <t>ЮЛ7701001506</t>
  </si>
  <si>
    <t>ЮЛ770100150600013</t>
  </si>
  <si>
    <t>125315 город Москва проспект Ленинградский дом 76А   подвальный этаж, помещение I, комната №27</t>
  </si>
  <si>
    <t>ЮЛ770100150600016</t>
  </si>
  <si>
    <t>119311 город Москва проспект Ломоносовский дом 23</t>
  </si>
  <si>
    <t>ЮЛ770100150600017</t>
  </si>
  <si>
    <t>127560 город Москва улица Плещеева дом 4   1 этаж, часть комнаты № 70</t>
  </si>
  <si>
    <t>ЮЛ770100150600019</t>
  </si>
  <si>
    <t>119192 город Москва проспект Ломоносовский дом 29 корпус 3  помещение XXXIX, комнаты 2,4</t>
  </si>
  <si>
    <t>ООО "ЮВЕЛИРНЫЙ АЛЬЯНС"</t>
  </si>
  <si>
    <t>7709350706</t>
  </si>
  <si>
    <t>ЮЛ7701012599</t>
  </si>
  <si>
    <t>ЮЛ770101259900000</t>
  </si>
  <si>
    <t>129343 город Москва проезд Серебрякова дом 14 строение 15 этаж 3 помещение 16 Офис В</t>
  </si>
  <si>
    <t>ООО "СИЛЬВЕР СКАЙ"</t>
  </si>
  <si>
    <t>7709462512</t>
  </si>
  <si>
    <t>ЮЛ7701010577</t>
  </si>
  <si>
    <t>ЮЛ770101057700000</t>
  </si>
  <si>
    <t>101000 город Москва улица Покровка дом 14/2 Строение 1  этаж 1, помещение VI, комната 2(РМ1В)</t>
  </si>
  <si>
    <t>ООО "ЮВЕЛИРНАЯ ТОРГОВЛЯ"</t>
  </si>
  <si>
    <t>7709474846</t>
  </si>
  <si>
    <t>ЮЛ7701011454</t>
  </si>
  <si>
    <t>ЮЛ770101145400000</t>
  </si>
  <si>
    <t>123060 город Москва улица Расплетина дом 21   этаж 1, помещение V</t>
  </si>
  <si>
    <t>ООО "ЛА НОРДИКА"</t>
  </si>
  <si>
    <t>7709488849</t>
  </si>
  <si>
    <t>ЮЛ7701005246</t>
  </si>
  <si>
    <t>ЮЛ770100524600000</t>
  </si>
  <si>
    <t>111024 город Москва улица Авиамоторная дом 12   помещение XXIII комната 5</t>
  </si>
  <si>
    <t>ЮЛ770100301000000</t>
  </si>
  <si>
    <t>119027 город Москва улица 2-я Рейсовая   дом 2 корпус 3  Помещение XV</t>
  </si>
  <si>
    <t>ООО "РЕГСТАЭР - М"</t>
  </si>
  <si>
    <t>7709565395</t>
  </si>
  <si>
    <t>ЮЛ7701007541</t>
  </si>
  <si>
    <t>ЮЛ770100754100000</t>
  </si>
  <si>
    <t>119027 город Москва аэропорт "Внуково" дом 1 строение 19  Помещение 1</t>
  </si>
  <si>
    <t>ЮЛ770100754100002</t>
  </si>
  <si>
    <t>111033 город Москва улица Золоторожский Вал дом 32 строение 2  этаж 1, помещение 7, офис В</t>
  </si>
  <si>
    <t>ООО "ЭКСЕЛЬСИОР"</t>
  </si>
  <si>
    <t>7709668746</t>
  </si>
  <si>
    <t>ЮЛ5001017518</t>
  </si>
  <si>
    <t>ЮЛ500101751800000</t>
  </si>
  <si>
    <t>105082 город Москва переулок Переведеновский 13 4  помещение 2/А</t>
  </si>
  <si>
    <t>ООО "ЭЛПИАЙ РУС"</t>
  </si>
  <si>
    <t>7709692749</t>
  </si>
  <si>
    <t>ЮЛ7701012462</t>
  </si>
  <si>
    <t>ЮЛ770101246200000</t>
  </si>
  <si>
    <t>1093900 город Москва улица Люблинская дом 18А   комната 3.10</t>
  </si>
  <si>
    <t>ООО "САПФИРЫ ЦЕЙЛОНА"</t>
  </si>
  <si>
    <t>7709728508</t>
  </si>
  <si>
    <t>ЮЛ7701004844</t>
  </si>
  <si>
    <t>ЮЛ770100484400000</t>
  </si>
  <si>
    <t>109147 город Москва улица Марксистская дом 34 корпус 11  этаж 2, помещение 1, комнаты 1,2, 8</t>
  </si>
  <si>
    <t>ООО "ГОЛДЕН БЛЮЗ"</t>
  </si>
  <si>
    <t>7709743834</t>
  </si>
  <si>
    <t>ЮЛ7701005572</t>
  </si>
  <si>
    <t>ЮЛ770100557200000</t>
  </si>
  <si>
    <t>105120 Москва город  Сыромятническая Верхняя улица Дом 2 - - этаж1, помещение IIг, часть комнаты 11</t>
  </si>
  <si>
    <t>ООО "УРАЛЬСКОЕ ЗОЛОТО"</t>
  </si>
  <si>
    <t>7709778428</t>
  </si>
  <si>
    <t>ЮЛ7701005618</t>
  </si>
  <si>
    <t>ЮЛ770100561800000</t>
  </si>
  <si>
    <t>123112 город Москва набережная Пресненская дом 8   этаж 1, помещение 1, комната N22</t>
  </si>
  <si>
    <t>ЮЛ770100561800001</t>
  </si>
  <si>
    <t>121108 город Москва проспект Кутузовский дом 48   1 этаж,помещение 1, комната 81</t>
  </si>
  <si>
    <t>ЮЛ770100561800002</t>
  </si>
  <si>
    <t>109240 город Москва улица Николоямская дом 13 строение 17  часть комнаты №4</t>
  </si>
  <si>
    <t>ООО "Золото Державы"</t>
  </si>
  <si>
    <t>7709946961</t>
  </si>
  <si>
    <t>ЮЛ7701016530</t>
  </si>
  <si>
    <t>ЮЛ770101653000000</t>
  </si>
  <si>
    <t>107023 город Москва улица Суворовская дом 6 строение 2 - 1-й этаж, часть помещения</t>
  </si>
  <si>
    <t>ООО "ЮМСМ"</t>
  </si>
  <si>
    <t>7709972915</t>
  </si>
  <si>
    <t>ЮЛ5001014577</t>
  </si>
  <si>
    <t>ЮЛ500101457700000</t>
  </si>
  <si>
    <t>121309 город Москва улица Барклая дом 10   помещение № А-44, этаж 1</t>
  </si>
  <si>
    <t>ИП Галенкин Никита Олегович</t>
  </si>
  <si>
    <t>771004482738</t>
  </si>
  <si>
    <t>ИП7701033967</t>
  </si>
  <si>
    <t>ИП770103396700000</t>
  </si>
  <si>
    <t>125375 город Москва улица Тверская дом 8 корпус 1  помещение 3/1</t>
  </si>
  <si>
    <t>ООО ТДК "МОСКВА"</t>
  </si>
  <si>
    <t>7710085971</t>
  </si>
  <si>
    <t>ЮЛ7701039173</t>
  </si>
  <si>
    <t>ЮЛ770103917300000</t>
  </si>
  <si>
    <t>105120 город Москва улица Верхняя Сыромятническая дом 2   этаж 1, помещение II, часть комнаты 5</t>
  </si>
  <si>
    <t>ООО "ЗОЛОТОЙ ПРИИСК"</t>
  </si>
  <si>
    <t>7710336287</t>
  </si>
  <si>
    <t>ЮЛ7701013998</t>
  </si>
  <si>
    <t>ЮЛ770101399800000</t>
  </si>
  <si>
    <t>111395 город Москва улица Вешняковская дом 22А   этаж 2, помещение XXI, комната 5,6</t>
  </si>
  <si>
    <t>ООО "ЗАМИАН"</t>
  </si>
  <si>
    <t>7710359397</t>
  </si>
  <si>
    <t>ЮЛ7701012800</t>
  </si>
  <si>
    <t>ЮЛ770101280000000</t>
  </si>
  <si>
    <t>125047 город Москва улица 1-я Тверская-Ямская дом 6 строение 1  помещение III, комнаты 1,2,2а,2б,2в,3,4</t>
  </si>
  <si>
    <t>ООО "ПЕРФЕКТ"</t>
  </si>
  <si>
    <t>7710474488</t>
  </si>
  <si>
    <t>ЮЛ7701014495</t>
  </si>
  <si>
    <t>ЮЛ770101449500000</t>
  </si>
  <si>
    <t>107045 город Москва переулок Колокольников дом 24 строение 3  Помещение II Комната I</t>
  </si>
  <si>
    <t>ЮЛ770101500300000</t>
  </si>
  <si>
    <t>123112 город Москва набережная Пресненская дом 2   пом с35</t>
  </si>
  <si>
    <t>ЮЛ770101500300003</t>
  </si>
  <si>
    <t>121059 город Москва площадь Киевского Вокзала дом 2   эт 1 пом 1 ком 99</t>
  </si>
  <si>
    <t>ЮЛ770101500300004</t>
  </si>
  <si>
    <t>125171 город Москва шоссе Ленинградское дом 16А Строение 4  пом 1-035</t>
  </si>
  <si>
    <t>ЮЛ770101500300005</t>
  </si>
  <si>
    <t>109012 город Москва площадь Красная дом 3   пом XL-1 ком № 1</t>
  </si>
  <si>
    <t>ЮЛ770101500300006</t>
  </si>
  <si>
    <t>105064 город Москва улица Земляной Вал дом 33   пом XI ком 105</t>
  </si>
  <si>
    <t>ЮЛ770101500300007</t>
  </si>
  <si>
    <t>108811 город Москва поселение Московский деревня Лапшинка  Владение 8   уч 30/1Д НАО к16,17,18,19</t>
  </si>
  <si>
    <t>ЮЛ770101500300009</t>
  </si>
  <si>
    <t>109012 Москва площадь Красная 3   этаж 2 помещ. LXVIA комната 1</t>
  </si>
  <si>
    <t>ЮЛ770100794500000</t>
  </si>
  <si>
    <t>107031 город Москва улица Петровка дом 10</t>
  </si>
  <si>
    <t>ЮЛ770100794500001</t>
  </si>
  <si>
    <t>119019 город Москва улица Новый Арбат дом 19</t>
  </si>
  <si>
    <t>ЮЛ770100794500002</t>
  </si>
  <si>
    <t>123056 город Москва переулок Большой Кондратьевский дом 14 строение 1  подвал пом. II ком. 15-18</t>
  </si>
  <si>
    <t>ООО "СТИЛЬ-ЗОЛОТО"</t>
  </si>
  <si>
    <t>7710761450</t>
  </si>
  <si>
    <t>ЮЛ7701002321</t>
  </si>
  <si>
    <t>ЮЛ770100232100000</t>
  </si>
  <si>
    <t>105064 город Москва улица Земляной Вал дом 9   помещение 49</t>
  </si>
  <si>
    <t>ООО "БУЛГАРИ РАША"</t>
  </si>
  <si>
    <t>7710969160</t>
  </si>
  <si>
    <t>ЮЛ7701009562</t>
  </si>
  <si>
    <t>ЮЛ770100956200000</t>
  </si>
  <si>
    <t>115184 город Москва улица Новокузнецкая дом 1 строение 3  этаж 1 помещение 25</t>
  </si>
  <si>
    <t>ООО "ЛОМБАРД ЗОЛОТАЯ ТОЧКА"</t>
  </si>
  <si>
    <t>7710974177</t>
  </si>
  <si>
    <t>ЮЛ7701013911</t>
  </si>
  <si>
    <t>ЮЛ770101391100000</t>
  </si>
  <si>
    <t>111401 город Москва проспект Зелёный дом 23/43   помещение 1 комната № 2а, 2б</t>
  </si>
  <si>
    <t>ЮЛ770101391100001</t>
  </si>
  <si>
    <t>127006 город Москва улица Долгоруковская дом 40   этаж 2 помещение IV комната № 4,5,6</t>
  </si>
  <si>
    <t>ЮЛ770101391100002</t>
  </si>
  <si>
    <t>115419 Город Москва Улица Орджоникидзе Дом 11 Строение 11  Помещение 301</t>
  </si>
  <si>
    <t>ИП Бирюков Андрей Юрьевич</t>
  </si>
  <si>
    <t>771106701717</t>
  </si>
  <si>
    <t>ИП7701008210</t>
  </si>
  <si>
    <t>ИП770100821000000</t>
  </si>
  <si>
    <t>121099 город Москва площадь Смоленская дом 3   помещение II комнаты 140 (часть) и 141 (часть)</t>
  </si>
  <si>
    <t>ИП770100821000010</t>
  </si>
  <si>
    <t>127051 город Москва площадь Малая Сухаревская дом 12</t>
  </si>
  <si>
    <t>ИП770100821000012</t>
  </si>
  <si>
    <t>121471 город Москва шоссе Можайское дом 31 Корпус 1  1 этаж, помещение I, часть комнаты 1</t>
  </si>
  <si>
    <t>ИП770100821000014</t>
  </si>
  <si>
    <t>119333 город Москва проспект Ленинский дом 54   этаж 1, помещение I, часть комнаты 1</t>
  </si>
  <si>
    <t>ИП770100821000015</t>
  </si>
  <si>
    <t>121609 город Москва шоссе Рублёвское дом 62   1 этаж, часть помещения 279 (между комнатами 273 и 143)</t>
  </si>
  <si>
    <t>ИП770100821000023</t>
  </si>
  <si>
    <t>124365 город Москва, город Зеленоград  корпус 2309А   1 этаж, помещение II, часть комнаты 56/5</t>
  </si>
  <si>
    <t>ИП770100821000024</t>
  </si>
  <si>
    <t>115191 город Москва улица Большая Тульская дом 13</t>
  </si>
  <si>
    <t>ИП770100821000026</t>
  </si>
  <si>
    <t>127562 город Москва улица Декабристов дом 12   1 этаж, часть комнаты 200 нежилого помещения 1</t>
  </si>
  <si>
    <t>ИП770100821000028</t>
  </si>
  <si>
    <t>109263 город Москва улица Профсоюзная 61А   1 этаж, I помещение, комната № 96 (часть)</t>
  </si>
  <si>
    <t>ИП770100821000032</t>
  </si>
  <si>
    <t>121059 город Москва улица Киевская дом 2   комната № 80 помещение IV</t>
  </si>
  <si>
    <t>ИП770100821000033</t>
  </si>
  <si>
    <t>109147 город Москва улица Марксистская дом 1 корпус 1  помещение 2/1</t>
  </si>
  <si>
    <t>ИП770100821000034</t>
  </si>
  <si>
    <t>119602 город Москва улица Мичуринский проспект.Олимпийская деревня дом 3 корпус 1  помещение IV, часть комнаты № 316</t>
  </si>
  <si>
    <t>ИП770100821000036</t>
  </si>
  <si>
    <t>121352 город Москва бульвар Славянский дом 3</t>
  </si>
  <si>
    <t>ИП770100821000037</t>
  </si>
  <si>
    <t>109341 город Москва улица Перерва дом 43 корпус 1  часть комнаты № 80 помещение IV</t>
  </si>
  <si>
    <t>ИП770100821000038</t>
  </si>
  <si>
    <t>121059 город Москва улица Киевская дом 2   часть комнаты № 79 помещение IV</t>
  </si>
  <si>
    <t>ИП770100821000039</t>
  </si>
  <si>
    <t>119454 город Москва проспект Вернадского 14А</t>
  </si>
  <si>
    <t>ИП770100821000041</t>
  </si>
  <si>
    <t>125167 Москва Улица Авиационный переулок дом 8   подвал, комнаты с6 по 9</t>
  </si>
  <si>
    <t>ИП Смагин Сергей Федорович</t>
  </si>
  <si>
    <t>771200043007</t>
  </si>
  <si>
    <t>ИП7701009590</t>
  </si>
  <si>
    <t>ИП770100959000000</t>
  </si>
  <si>
    <t>119002 город Москва улица Арбат дом 51 строение 1  помещение 4/1</t>
  </si>
  <si>
    <t>ИП Сайфетдинов Рэстем Касимович</t>
  </si>
  <si>
    <t>771200315444</t>
  </si>
  <si>
    <t>ИП7701038327</t>
  </si>
  <si>
    <t>ИП770103832700000</t>
  </si>
  <si>
    <t>125502 город Москва улица Лавочкина дом 19 строение 1</t>
  </si>
  <si>
    <t>АО "МЭЮЗ "ЮВЕЛИРПРОМ"</t>
  </si>
  <si>
    <t>7712004664</t>
  </si>
  <si>
    <t>ЮЛ7701002042</t>
  </si>
  <si>
    <t>ЮЛ770100204200000</t>
  </si>
  <si>
    <t>119049 город Москва проспект Ленинский дом 11 строение 1  этаж 1,помещение IV, комнаты 1-5, антресоль 1, помещение IV, комнаты 1, 2</t>
  </si>
  <si>
    <t>ЮЛ770100204200001</t>
  </si>
  <si>
    <t>125502 город Москва улица Лавочкина дом 19 строение 2</t>
  </si>
  <si>
    <t>ЮЛ770100204200002</t>
  </si>
  <si>
    <t>127030 город Москва улица Сущёвская дом 27 строение 2  помещение 3/3/3</t>
  </si>
  <si>
    <t>ИП Гутьеррес Василина Викторовна</t>
  </si>
  <si>
    <t>771200593882</t>
  </si>
  <si>
    <t>ИП7701036236</t>
  </si>
  <si>
    <t>ИП770103623600000</t>
  </si>
  <si>
    <t>125195 город Москва Теплоход пассажирский "ЛЕОНИД КРАСИН"  М-02-439</t>
  </si>
  <si>
    <t>ПАО МРП</t>
  </si>
  <si>
    <t>7712019406</t>
  </si>
  <si>
    <t>ЮЛ7701001911</t>
  </si>
  <si>
    <t>ЮЛ770100191100000</t>
  </si>
  <si>
    <t>125195 город Москва Теплоход Пассажирский "КНЯЖНА ВИКТОРИЯ" М-02-442</t>
  </si>
  <si>
    <t>ЮЛ770100191100001</t>
  </si>
  <si>
    <t>125195 город Москва Теплоход пассажирский "ИЛЬЯ РЕПИН" М-02-440</t>
  </si>
  <si>
    <t>ЮЛ770100191100002</t>
  </si>
  <si>
    <t>125195 город Москва Теплоход пассажирский "ВАСИЛИЙ СУРИКОВ" М-02-441</t>
  </si>
  <si>
    <t>ЮЛ770100191100003</t>
  </si>
  <si>
    <t>125195 город Москва Теплоход пассажирский "И.А.КРЫЛОВ" М-06-1566</t>
  </si>
  <si>
    <t>ЮЛ770100191100004</t>
  </si>
  <si>
    <t>125195 город Москва Теплоход пассажирский "СЕРГЕЙ ОБРАЗЦОВ" М-02-375</t>
  </si>
  <si>
    <t>ЮЛ770100191100005</t>
  </si>
  <si>
    <t>125195 город Москва Теплоход пассажирский "АНДРЕЙ РУБЛЕВ" М-11-2593</t>
  </si>
  <si>
    <t>ЮЛ770100191100006</t>
  </si>
  <si>
    <t>125195 город Москва Теплоход Пассажирский "СЕРГЕЙ ЕСЕНИН" М-02-445</t>
  </si>
  <si>
    <t>ЮЛ770100191100007</t>
  </si>
  <si>
    <t>125195 город Москва  Теплоход пассажирский "НИКОЛАЙ КАРАМЗИН" М-02-444</t>
  </si>
  <si>
    <t>ЮЛ770100191100008</t>
  </si>
  <si>
    <t>125195 город Москва Теплоход пассажирский "КНЯЖНА АНАСТАСИЯ" М-02-443</t>
  </si>
  <si>
    <t>ЮЛ770100191100009</t>
  </si>
  <si>
    <t>125195 город Москва Теплоход пассажирский "А.С.ПУШКИН" М-22-7691</t>
  </si>
  <si>
    <t>ЮЛ770100191100010</t>
  </si>
  <si>
    <t>125195 город Москва Теплоход пассажирский "М.БУЛГАКОВ" М-11-2592</t>
  </si>
  <si>
    <t>ЮЛ770100191100012</t>
  </si>
  <si>
    <t>125195 город Москва Теплоход пассажирский "АЛЕКСАНДР ГРИН" 01313961</t>
  </si>
  <si>
    <t>ЮЛ770100191100013</t>
  </si>
  <si>
    <t>125493 город Москва улица Смольная дом 12   офис 91 этаж 1</t>
  </si>
  <si>
    <t>АО "АЛМАЗНЫЙ МИР"</t>
  </si>
  <si>
    <t>7712106070</t>
  </si>
  <si>
    <t>ЮЛ7701001599</t>
  </si>
  <si>
    <t>ЮЛ770100159900000</t>
  </si>
  <si>
    <t>123056 город Москва улица Грузинский Вал дом 26 строение 1</t>
  </si>
  <si>
    <t>ИП Нефедова Дина Александровна</t>
  </si>
  <si>
    <t>771301218461</t>
  </si>
  <si>
    <t>ИП7701009626</t>
  </si>
  <si>
    <t>ИП770100962600000</t>
  </si>
  <si>
    <t>129515 город Москва улица Академика Королева дом 13 строение 1  этаж 4, помещение I, комната 57 ( кабинет № 412) этаж 5, помещение I, комната 60 (кабинет № 502)</t>
  </si>
  <si>
    <t>ИП Матевосян Сеник Генрикович</t>
  </si>
  <si>
    <t>771312383322</t>
  </si>
  <si>
    <t>ИП7701036907</t>
  </si>
  <si>
    <t>ИП770103690700000</t>
  </si>
  <si>
    <t>127434 город Москва ШОССЕ ДМИТРОВСКОЕ ДОМ 9 СТРОЕНИЕ 2  ПОМЕЩЕНИЕ 1/3</t>
  </si>
  <si>
    <t>ООО "ЛАЗУРИТ-Д"</t>
  </si>
  <si>
    <t>7713286972</t>
  </si>
  <si>
    <t>ЮЛ7701004922</t>
  </si>
  <si>
    <t>ЮЛ770100492200000</t>
  </si>
  <si>
    <t>127434 город Москва улица Прянишникова дом 19А строение 10</t>
  </si>
  <si>
    <t>ООО "ТД АРТ ФАЦЕТ"</t>
  </si>
  <si>
    <t>7713390853</t>
  </si>
  <si>
    <t>ЮЛ7701004104</t>
  </si>
  <si>
    <t>ЮЛ770100410400000</t>
  </si>
  <si>
    <t>115419 город Москва улица Орджоникидзе дом 11 строение 11  этаж 1, офис 104 (помещение II, комната 4)</t>
  </si>
  <si>
    <t>7713393533</t>
  </si>
  <si>
    <t>ЮЛ7701015379</t>
  </si>
  <si>
    <t>ЮЛ770101537900000</t>
  </si>
  <si>
    <t>117639 город Москва улица Чертановская дом 1Г   часть пом. №IVа, ком. №№1,2</t>
  </si>
  <si>
    <t>7713470001</t>
  </si>
  <si>
    <t>ЮЛ7701004043</t>
  </si>
  <si>
    <t>ЮЛ770100404300000</t>
  </si>
  <si>
    <t>127287 город Москва Хуторская 2-я улица дом 38А строение 1  этаж 4 офис 404/1</t>
  </si>
  <si>
    <t>ООО "СИЛВЕРК 21"</t>
  </si>
  <si>
    <t>7713474052</t>
  </si>
  <si>
    <t>ЮЛ7701002194</t>
  </si>
  <si>
    <t>ЮЛ770100219400000</t>
  </si>
  <si>
    <t>127247 город Москва шоссе Дмитровское дом 107 корпус 3  помещение 817, 10 этаж</t>
  </si>
  <si>
    <t>ООО "ФАМИЛЬНОЕ СЕРЕБРО"</t>
  </si>
  <si>
    <t>7713493344</t>
  </si>
  <si>
    <t>ЮЛ7701031856</t>
  </si>
  <si>
    <t>ЮЛ770103185600000</t>
  </si>
  <si>
    <t>127287 Москва Башиловская 21   офис II</t>
  </si>
  <si>
    <t>ООО "ЛОМБАРД МАЛКИ"</t>
  </si>
  <si>
    <t>7713562950</t>
  </si>
  <si>
    <t>ЮЛ7701007235</t>
  </si>
  <si>
    <t>ЮЛ770100723500000</t>
  </si>
  <si>
    <t>125009 город Москва улица Тверская дом 3   1 этаж, помещение 104</t>
  </si>
  <si>
    <t>ООО "МИЦАР"</t>
  </si>
  <si>
    <t>7713657680</t>
  </si>
  <si>
    <t>ЮЛ7701011464</t>
  </si>
  <si>
    <t>ЮЛ770101146400000</t>
  </si>
  <si>
    <t>109052 город Москва улица Подъёмная дом 14 строение 37  этаж 2, помещение 202</t>
  </si>
  <si>
    <t>ИП Лапинская Янина Вадимовна</t>
  </si>
  <si>
    <t>771370704215</t>
  </si>
  <si>
    <t>ИП7701016200</t>
  </si>
  <si>
    <t>ИП770101620000000</t>
  </si>
  <si>
    <t>107564 город Москва улица Краснобогатырская дом 2 строение 2  подьезд 29, этаж 2, помещение 2/4</t>
  </si>
  <si>
    <t>ИП Трушникова Мария Кирилловна</t>
  </si>
  <si>
    <t>771382077819</t>
  </si>
  <si>
    <t>ИП7701011771</t>
  </si>
  <si>
    <t>ИП770101177100000</t>
  </si>
  <si>
    <t>101000 город Москва улица Покровка дом 14/2 строение 1  офис 7</t>
  </si>
  <si>
    <t>ИП Аргентов Ярослав Георгиевич</t>
  </si>
  <si>
    <t>771400565473</t>
  </si>
  <si>
    <t>ИП7701005982</t>
  </si>
  <si>
    <t>ИП770100598200000</t>
  </si>
  <si>
    <t>121354 город Москва шоссе Можайское дом 39   1 этаж, помещение I, Комнаты 40, 40а, 40б</t>
  </si>
  <si>
    <t>ИП Беднов Андрей Игоревич</t>
  </si>
  <si>
    <t>771401434547</t>
  </si>
  <si>
    <t>ИП7701015977</t>
  </si>
  <si>
    <t>ИП770101597700000</t>
  </si>
  <si>
    <t>125171 город Москва Ленинградское шоссе дом 15   помещение 17</t>
  </si>
  <si>
    <t>ИП Скачедуб Екатерина Александровна</t>
  </si>
  <si>
    <t>771410313517</t>
  </si>
  <si>
    <t>ИП7701017127</t>
  </si>
  <si>
    <t>ИП770101712700000</t>
  </si>
  <si>
    <t>127282 город Москва улица Полярная дом 33 строение 1  этаж1,помещение 04</t>
  </si>
  <si>
    <t>ИП Муранова Наталия Валентиновна</t>
  </si>
  <si>
    <t>771410378049</t>
  </si>
  <si>
    <t>ИП7701013207</t>
  </si>
  <si>
    <t>ИП770101320700000</t>
  </si>
  <si>
    <t>125167 город Москва проспект Ленинградский 62 этаж 1 пом XIX ком 3-4</t>
  </si>
  <si>
    <t>ООО "ЛОМБАРД - АЭРОПОРТ"</t>
  </si>
  <si>
    <t>7714394427</t>
  </si>
  <si>
    <t>ЮЛ7701012804</t>
  </si>
  <si>
    <t>ЮЛ770101280400000</t>
  </si>
  <si>
    <t>115280 город Москва улица Ленинская Слобода дом 19   Помещение 33/3</t>
  </si>
  <si>
    <t>ООО "ФОРА-ЛОМБАРД"</t>
  </si>
  <si>
    <t>7714406182</t>
  </si>
  <si>
    <t>ЮЛ7701002025</t>
  </si>
  <si>
    <t>ЮЛ770100202500000</t>
  </si>
  <si>
    <t>127081 город Москва проезд Дежнёва дом 21</t>
  </si>
  <si>
    <t>ЮЛ770100202500003</t>
  </si>
  <si>
    <t>125212 город Москва бульвар Кронштадтский дом 3А</t>
  </si>
  <si>
    <t>ЮЛ770100202500004</t>
  </si>
  <si>
    <t>117647 город Москва улица Профсоюзная дом 109 корпус 2</t>
  </si>
  <si>
    <t>ЮЛ770100202500006</t>
  </si>
  <si>
    <t>117574 город Москва проспект Новоясеневский дом 1Б корпус 1</t>
  </si>
  <si>
    <t>ЮЛ770100202500007</t>
  </si>
  <si>
    <t>129594 город Москва улица Шереметьевская дом 6 корпус 1  помещение 10</t>
  </si>
  <si>
    <t>ЮЛ770100202500008</t>
  </si>
  <si>
    <t>119571 город Москва проспект Вернадского дом 86А   1 Этаж, помещение № I, комната 26, секция №1-32</t>
  </si>
  <si>
    <t>ЮЛ770100202500009</t>
  </si>
  <si>
    <t>125222 город Москва улица Митинская дом 27А   Помещение 1,комната 1</t>
  </si>
  <si>
    <t>ЮЛ770100202500011</t>
  </si>
  <si>
    <t>129345 город Москва улица Малыгина дом 7   помещение Iб,комната1</t>
  </si>
  <si>
    <t>ЮЛ770100202500014</t>
  </si>
  <si>
    <t>111531 город Москва улица Саянская дом 11А</t>
  </si>
  <si>
    <t>ЮЛ770100202500015</t>
  </si>
  <si>
    <t>123592 город Москва бульвар Строгинский дом 28   помещение 1/1</t>
  </si>
  <si>
    <t>ЮЛ770100202500016</t>
  </si>
  <si>
    <t>ЮЛ770100202500017</t>
  </si>
  <si>
    <t>127015 город Москва проезд Бумажный дом 14 строение 1  этаж 4  помещение 1 комната 2</t>
  </si>
  <si>
    <t>ООО "ВЕРОНА"</t>
  </si>
  <si>
    <t>7714407108</t>
  </si>
  <si>
    <t>ЮЛ7701004178</t>
  </si>
  <si>
    <t>ЮЛ770100417800000</t>
  </si>
  <si>
    <t>125480 город Москва улица Планерная дом 7</t>
  </si>
  <si>
    <t>ООО "ЛОМБАРД ЗОЛОТОЕ ЗВЕНО"</t>
  </si>
  <si>
    <t>7714424720</t>
  </si>
  <si>
    <t>ЮЛ7701034685</t>
  </si>
  <si>
    <t>ЮЛ770103468500000</t>
  </si>
  <si>
    <t>127349 город Москва шоссе Алтуфьевское дом 86 корпус 1  помещение 207а</t>
  </si>
  <si>
    <t>ЮЛ770103468500003</t>
  </si>
  <si>
    <t>127254 город Москва проезд Огородный дом 16/1 строение 4  офис 902</t>
  </si>
  <si>
    <t>ООО "А.С. ДИАМ ДИЗАЙН"</t>
  </si>
  <si>
    <t>7714429422</t>
  </si>
  <si>
    <t>ЮЛ7701004551</t>
  </si>
  <si>
    <t>ЮЛ770100455100000</t>
  </si>
  <si>
    <t>125124 город Москва улица 3-я Ямского Поля Дом 9 Корпус 3  Помещение 10/1 Этаж 1</t>
  </si>
  <si>
    <t>ООО "ПАРЮР-МСК"</t>
  </si>
  <si>
    <t>7714431573</t>
  </si>
  <si>
    <t>ЮЛ7701005513</t>
  </si>
  <si>
    <t>ЮЛ770100551300000</t>
  </si>
  <si>
    <t>107031 город Москва улица Петровка дом 5</t>
  </si>
  <si>
    <t>ЮЛ770100551300001</t>
  </si>
  <si>
    <t>121552 город Москва улица Ярцевская дом 25А   помещение К12, С105</t>
  </si>
  <si>
    <t>ООО "ЮВЕЛИРНЫЙ ЛОМБАРД ЭКСПЕРТ"</t>
  </si>
  <si>
    <t>7714463920</t>
  </si>
  <si>
    <t>ЮЛ7701007264</t>
  </si>
  <si>
    <t>ЮЛ770100726400001</t>
  </si>
  <si>
    <t>125167 город Москва проспект Ленинградский дом 36 строение 36  помещение 34, этаж 6</t>
  </si>
  <si>
    <t>ООО "КРИВЭЛЛИ ДЖЮЭЛРИ"</t>
  </si>
  <si>
    <t>7714465893</t>
  </si>
  <si>
    <t>ЮЛ7701005149</t>
  </si>
  <si>
    <t>ЮЛ770100514900000</t>
  </si>
  <si>
    <t>107140 город Москва Улица КРАСНОПРУДНАЯ дом 12/1 строение 1  помещение 1/6</t>
  </si>
  <si>
    <t>ООО "ТД МАРКАЗИТ"</t>
  </si>
  <si>
    <t>7714477994</t>
  </si>
  <si>
    <t>ЮЛ7701019216</t>
  </si>
  <si>
    <t>ЮЛ770101921600000</t>
  </si>
  <si>
    <t>125252 город Москва бульвар Ходынский дом 4   помещение № 05К-T1 05К-Т2 этаж 5</t>
  </si>
  <si>
    <t>ООО "ТРЕНД АЙЛЕНД"</t>
  </si>
  <si>
    <t>7714478758</t>
  </si>
  <si>
    <t>ЮЛ7701001148</t>
  </si>
  <si>
    <t>ЮЛ770100114800000</t>
  </si>
  <si>
    <t>125315 город Москва проспект Ленинградский дом 66   помещение 1Н, комната 18, офис 121</t>
  </si>
  <si>
    <t>ООО "ДЭАЛЕКСО"</t>
  </si>
  <si>
    <t>7714487495</t>
  </si>
  <si>
    <t>ЮЛ5001030691</t>
  </si>
  <si>
    <t>ЮЛ500103069100000</t>
  </si>
  <si>
    <t>127015 город Москва улица Вятская дом 27 строение 11  комната 3 этаж 1</t>
  </si>
  <si>
    <t>ООО "СПЕКТРГРУПП"</t>
  </si>
  <si>
    <t>7714639684</t>
  </si>
  <si>
    <t>ЮЛ7701014058</t>
  </si>
  <si>
    <t>ЮЛ770101405800000</t>
  </si>
  <si>
    <t>109028 город Москва улица Яузская дом 1/15 строение 3  этаж 1, помещение №I комната 21</t>
  </si>
  <si>
    <t>ООО "ОПЕН-ГРУП"</t>
  </si>
  <si>
    <t>7714661714</t>
  </si>
  <si>
    <t>ЮЛ7701018777</t>
  </si>
  <si>
    <t>ЮЛ770101877700000</t>
  </si>
  <si>
    <t>123104 город Москва Малый Палашевский пер. дом 2/8   помещение V, комнаты 1-5</t>
  </si>
  <si>
    <t>ИП Швыркова Софья Андреевна</t>
  </si>
  <si>
    <t>771471371146</t>
  </si>
  <si>
    <t>ИП7701004915</t>
  </si>
  <si>
    <t>ИП770100491500000</t>
  </si>
  <si>
    <t>107564 город Москва улица Краснобогатырская дом 6 корпус 1  этаж 2, помещение 210</t>
  </si>
  <si>
    <t>ИП Ахмедова Карина Багавдиновна</t>
  </si>
  <si>
    <t>771471440551</t>
  </si>
  <si>
    <t>ИП7701017495</t>
  </si>
  <si>
    <t>ИП770101749500000</t>
  </si>
  <si>
    <t>129301 город Москва улица Космонавтов дом 7 корпус 2</t>
  </si>
  <si>
    <t>ИП770100417900000</t>
  </si>
  <si>
    <t>127299 город Москва улица Большая Академическая дом 4 строение 1  помещение 9/1</t>
  </si>
  <si>
    <t>ИП770100417900048</t>
  </si>
  <si>
    <t>125424 город Москва проезд Стратонавтов дом 9</t>
  </si>
  <si>
    <t>ИП770100417900050</t>
  </si>
  <si>
    <t>129090 город Москва Цветной бульвар дом 30 строение 5  1 этаж, комнаты 1,2,2а,2б,3,4,5,5а</t>
  </si>
  <si>
    <t>ИП Тимошенко Иван Андреевич</t>
  </si>
  <si>
    <t>771478405034</t>
  </si>
  <si>
    <t>ИП7701018241</t>
  </si>
  <si>
    <t>ИП770101824100000</t>
  </si>
  <si>
    <t>107140 город Москва УЛИЦА КРАСНОПРУДНАЯ ДОМ 12/1 СТРОЕНИЕ 1  ПОМЕЩЕНИЕ 1/6</t>
  </si>
  <si>
    <t>ООО "МАРКАЗИТ"</t>
  </si>
  <si>
    <t>7714798902</t>
  </si>
  <si>
    <t>ЮЛ7701005830</t>
  </si>
  <si>
    <t>ЮЛ770100583000000</t>
  </si>
  <si>
    <t>119002 город Москва переулок Староконюшенный дом 19   помещение 1/П</t>
  </si>
  <si>
    <t>ИП Статенко Юлия Вячеславовна</t>
  </si>
  <si>
    <t>771479943980</t>
  </si>
  <si>
    <t>ИП7701037675</t>
  </si>
  <si>
    <t>ИП770103767500000</t>
  </si>
  <si>
    <t>105005 город Москва улица Бауманская владение 9   этаж 1; комната 4</t>
  </si>
  <si>
    <t>ИП Даринцева Юлия Дмитриевна</t>
  </si>
  <si>
    <t>771480306390</t>
  </si>
  <si>
    <t>ИП7701032438</t>
  </si>
  <si>
    <t>ИП770103243800000</t>
  </si>
  <si>
    <t>105064 город Москва улица Старая Басманная дом 14/2 строение 4  помещение 1/1</t>
  </si>
  <si>
    <t>ООО "ЦВЕТНАЯ РАДУГА ЛТД"</t>
  </si>
  <si>
    <t>7714883890</t>
  </si>
  <si>
    <t>ЮЛ7701006403</t>
  </si>
  <si>
    <t>ЮЛ770100640300000</t>
  </si>
  <si>
    <t>125284 город Москва шоссе Хорошёвское дом 16 строение 3  этаж 4 комнаты №1-4</t>
  </si>
  <si>
    <t>ООО "МИГ.РУ"</t>
  </si>
  <si>
    <t>7714933453</t>
  </si>
  <si>
    <t>ЮЛ7701002516</t>
  </si>
  <si>
    <t>ЮЛ770100251600000</t>
  </si>
  <si>
    <t>119333 город Москва Ленинский проспект дом 54   этаж 1, помещение 1, часть комнаты 2</t>
  </si>
  <si>
    <t>ИП Исаева Ольга Сергеевна</t>
  </si>
  <si>
    <t>771500966831</t>
  </si>
  <si>
    <t>ИП7701005262</t>
  </si>
  <si>
    <t>ИП770100526200002</t>
  </si>
  <si>
    <t>108814 город Москва километр 21-й владение 3А строение 1 1 этаж № 500KSK-06</t>
  </si>
  <si>
    <t>ИП Ханукаев Олег Сергеевич</t>
  </si>
  <si>
    <t>771505351302</t>
  </si>
  <si>
    <t>ИП7701012680</t>
  </si>
  <si>
    <t>ИП770101268000001</t>
  </si>
  <si>
    <t>123104 город Москва переулок Малый Палашёвский дом 2/8   Этаж 1, Помещение V, часть комнат 1-5</t>
  </si>
  <si>
    <t>ИП Швырков Владислав Александрович</t>
  </si>
  <si>
    <t>771506816060</t>
  </si>
  <si>
    <t>ИП7701036577</t>
  </si>
  <si>
    <t>ИП770103657700000</t>
  </si>
  <si>
    <t>117519 город Москва Кировоградская 15   помещение Т.0.2/18</t>
  </si>
  <si>
    <t>ИП Васильев Антон Владимирович</t>
  </si>
  <si>
    <t>771509283950</t>
  </si>
  <si>
    <t>ИП7701040438</t>
  </si>
  <si>
    <t>ИП770104043800000</t>
  </si>
  <si>
    <t>107076 город Москва улица Стромынка дом 18 корпус 5  помещение 108</t>
  </si>
  <si>
    <t>ИП Дмитриевский Александр Владимирович</t>
  </si>
  <si>
    <t>771514614340</t>
  </si>
  <si>
    <t>ИП7701009231</t>
  </si>
  <si>
    <t>ИП770100923100000</t>
  </si>
  <si>
    <t>115172 город Москва улица Большие Каменщики дом 1   этаж 4, помещение 1, комната 42</t>
  </si>
  <si>
    <t>ИП Бродовой Кирилл Владиславович</t>
  </si>
  <si>
    <t>771524033545</t>
  </si>
  <si>
    <t>ИП7701038860</t>
  </si>
  <si>
    <t>ИП770103886000000</t>
  </si>
  <si>
    <t>127521 город Москва улица Веткина дом 4   этаж 2 помещение Х комната 60</t>
  </si>
  <si>
    <t>ООО ЮД "ЭСТЕТ"</t>
  </si>
  <si>
    <t>7715293407</t>
  </si>
  <si>
    <t>ЮЛ7701002531</t>
  </si>
  <si>
    <t>ЮЛ770100253100000</t>
  </si>
  <si>
    <t>105120 город Москва улица Верхняя Сыромятническая дом 2   подвал, помещение II, комната 53, часть комнаты 63</t>
  </si>
  <si>
    <t>ИП Михайлюкова Инесса Александровна</t>
  </si>
  <si>
    <t>771529681927</t>
  </si>
  <si>
    <t>ИП7701006643</t>
  </si>
  <si>
    <t>ИП770100664300000</t>
  </si>
  <si>
    <t>129281 город Москва Менжинского 32   торговое помещение на 1 этаже</t>
  </si>
  <si>
    <t>ИП Шевченко Сергей Владимирович</t>
  </si>
  <si>
    <t>771533621254</t>
  </si>
  <si>
    <t>ИП7701004824</t>
  </si>
  <si>
    <t>ИП770100482400000</t>
  </si>
  <si>
    <t>121059 город Москва набережная Бережковская дом 20 строение 88  Этаж 3, Помещение I, комнаты  №1, 2, 3, 4</t>
  </si>
  <si>
    <t>ИП Клюева Екатерина Сергеевна</t>
  </si>
  <si>
    <t>771538594533</t>
  </si>
  <si>
    <t>ИП5001020110</t>
  </si>
  <si>
    <t>ИП500102011000000</t>
  </si>
  <si>
    <t>121059 город Москва площадь Евразии дом 2   помещение II, комната № 96; № 97</t>
  </si>
  <si>
    <t>ИП500102011000001</t>
  </si>
  <si>
    <t>119333 Москва Ленинский  54   Пом. №2</t>
  </si>
  <si>
    <t>ИП Исаева Оксана Юрьевна</t>
  </si>
  <si>
    <t>771540415975</t>
  </si>
  <si>
    <t>ИП7701041141</t>
  </si>
  <si>
    <t>ИП770104114100000</t>
  </si>
  <si>
    <t>129337 город Москва шоссе Ярославское дом 54   помещение №1,  часть комн. 21</t>
  </si>
  <si>
    <t>ИП Кутик Евгений Михайлович</t>
  </si>
  <si>
    <t>771542340130</t>
  </si>
  <si>
    <t>ИП7701007057</t>
  </si>
  <si>
    <t>ИП770100705700000</t>
  </si>
  <si>
    <t>127282 город Москва проезд Заревый дом 10</t>
  </si>
  <si>
    <t>ИП Ковалев Владимир Владимирович</t>
  </si>
  <si>
    <t>771542755631</t>
  </si>
  <si>
    <t>ИП7701016404</t>
  </si>
  <si>
    <t>ИП770101640400000</t>
  </si>
  <si>
    <t>115093 город Москва переулок Партийный дом 1 корпус 46  этаж 3, часть нежилого помещения офис 42б</t>
  </si>
  <si>
    <t>ИП Чепик Илья Ильич</t>
  </si>
  <si>
    <t>771543451308</t>
  </si>
  <si>
    <t>ИП7701030087</t>
  </si>
  <si>
    <t>ИП770103008700000</t>
  </si>
  <si>
    <t>105215 город Москва улица 9-я Парковая владение 61А строение 1  Этаж 1, Комната 1</t>
  </si>
  <si>
    <t>ИП Волкова Ольга Николаевна</t>
  </si>
  <si>
    <t>771550308877</t>
  </si>
  <si>
    <t>ИП7701012851</t>
  </si>
  <si>
    <t>ИП770101285100000</t>
  </si>
  <si>
    <t>105215 город Москва улица 9-я Парковая Дом 62   1 Этаж помещения IV, Помещение 1-комнаты 1, 1 ж, Помещение 2-комнаты 1з</t>
  </si>
  <si>
    <t>ИП770101285100001</t>
  </si>
  <si>
    <t>127543 город Москва километр МКАД 87-й Дом 8   Этаж 2 - Помещение 79</t>
  </si>
  <si>
    <t>ИП770101285100002</t>
  </si>
  <si>
    <t>129343 город Москва проезд Серебрякова дом 14 строение 5  Офис 9, 09А, 8</t>
  </si>
  <si>
    <t>ИП Харламова Анна Александровна</t>
  </si>
  <si>
    <t>771555801290</t>
  </si>
  <si>
    <t>ИП7701008906</t>
  </si>
  <si>
    <t>ИП770100890600000</t>
  </si>
  <si>
    <t>107076 город Москва улица Стромынка дом 18 корпус 5  этаж 1/помещение III /комната 47, комната 48, комната 49, комната 40, комната 41, комната 46.</t>
  </si>
  <si>
    <t>ООО "ДЕМЕТРА-ДАЙМОНД"</t>
  </si>
  <si>
    <t>7715593224</t>
  </si>
  <si>
    <t>ЮЛ7701017046</t>
  </si>
  <si>
    <t>ЮЛ770101704600000</t>
  </si>
  <si>
    <t>127434 город Москва шоссе Дмитровское дом 9А строение 1  этаж 2 помещение III комнаты №№ 3, 3A, 4</t>
  </si>
  <si>
    <t>ИП Чамова Татьяна Михайловна</t>
  </si>
  <si>
    <t>771565080833</t>
  </si>
  <si>
    <t>ИП7701004581</t>
  </si>
  <si>
    <t>ИП770100458100000</t>
  </si>
  <si>
    <t>127220 город Москва улица 1-я Квесисская дом 18   торговое место №40 помещение №156 зал В этаж 1</t>
  </si>
  <si>
    <t>ИП770100458100001</t>
  </si>
  <si>
    <t>127247 город Москва шоссе Дмитровское дом 98   литера А этаж 1</t>
  </si>
  <si>
    <t>ИП770100458100002</t>
  </si>
  <si>
    <t>127349 город Москва шоссе Алтуфьевское дом 72</t>
  </si>
  <si>
    <t>ИП770100458100006</t>
  </si>
  <si>
    <t>125130 город Москва улица Зои и Александра Космодемьянских дом 23</t>
  </si>
  <si>
    <t>ИП770100458100007</t>
  </si>
  <si>
    <t>125430 город Москва улица Митинская дом 40   этаж 1</t>
  </si>
  <si>
    <t>ИП770100458100008</t>
  </si>
  <si>
    <t>127566 Город Москва улица Декабристов дом 15Б   этаж 1, помещение 205</t>
  </si>
  <si>
    <t>ИП Колбасов Олег Вадимович</t>
  </si>
  <si>
    <t>771565091360</t>
  </si>
  <si>
    <t>ИП7701013402</t>
  </si>
  <si>
    <t>ИП770101340200000</t>
  </si>
  <si>
    <t>115093 город Москва улица Павловская дом 18</t>
  </si>
  <si>
    <t>ИП Зайцева Наталья Игоревна</t>
  </si>
  <si>
    <t>771565100906</t>
  </si>
  <si>
    <t>ИП7701018860</t>
  </si>
  <si>
    <t>ИП770101886000000</t>
  </si>
  <si>
    <t>125375 город Москва бульвар Страстной дом 4/3 строение 3  этаж 1</t>
  </si>
  <si>
    <t>ИП Фролов Алексей Вячеславович</t>
  </si>
  <si>
    <t>771573364476</t>
  </si>
  <si>
    <t>ИП7701039512</t>
  </si>
  <si>
    <t>ИП770103951200000</t>
  </si>
  <si>
    <t>127051 город Москва улица Садовая-Сухаревская дом 2/34 строение 1  этаж 4, помещение I, комната 2</t>
  </si>
  <si>
    <t>ИП Леонов Николай Сергеевич</t>
  </si>
  <si>
    <t>771575059527</t>
  </si>
  <si>
    <t>ИП7701013245</t>
  </si>
  <si>
    <t>ИП770101324500000</t>
  </si>
  <si>
    <t>107023 город Москва улица Семеновская М. дом 3 а строение 1   8 этаж,помещение ХХI, комната 21</t>
  </si>
  <si>
    <t>ИП Мельников Сергей Валерьевич</t>
  </si>
  <si>
    <t>771576944108</t>
  </si>
  <si>
    <t>ИП7701008982</t>
  </si>
  <si>
    <t>ИП770100898200000</t>
  </si>
  <si>
    <t>109028 Город Москва Переулок Хитровский Дом 3/1 Строение 3  этаж/помещение 2/1, комната 1</t>
  </si>
  <si>
    <t>ООО "АРТ СТОУН"</t>
  </si>
  <si>
    <t>7715770890</t>
  </si>
  <si>
    <t>ЮЛ7701004651</t>
  </si>
  <si>
    <t>ЮЛ770100465100000</t>
  </si>
  <si>
    <t>127018 город Москва улица Полковая дом 3 строение 2  помещение 1В/6</t>
  </si>
  <si>
    <t>ИП Лунькова Ольга Николаевна</t>
  </si>
  <si>
    <t>771579619233</t>
  </si>
  <si>
    <t>ИП7701013893</t>
  </si>
  <si>
    <t>ИП770101389300000</t>
  </si>
  <si>
    <t>127051 город Москва улица Петровские Линии дом 2   помещение IVа (первый этаж) - комнаты 1-11; помещение VI (подвал) - комнаты 1-4; помещение Vа (антресоль) - комнаты 1-4</t>
  </si>
  <si>
    <t>ИП Воронченко Наталья Валерьевна</t>
  </si>
  <si>
    <t>771580454339</t>
  </si>
  <si>
    <t>ИП7701002769</t>
  </si>
  <si>
    <t>ИП770100276900000</t>
  </si>
  <si>
    <t>107076 город Москва переулок Колодезный дом 2А строения 2  офис XIV комнаты 25а,26а ,27,35, 28</t>
  </si>
  <si>
    <t>ИП Колмыкова Оксана Викторовна</t>
  </si>
  <si>
    <t>771581072170</t>
  </si>
  <si>
    <t>ИП7701034042</t>
  </si>
  <si>
    <t>ИП770103404200000</t>
  </si>
  <si>
    <t>129327 город Москва проезд Янтарный дом 11   этаж 1</t>
  </si>
  <si>
    <t>ИП Супричев Олег Владимирович</t>
  </si>
  <si>
    <t>771584250400</t>
  </si>
  <si>
    <t>ИП7701007349</t>
  </si>
  <si>
    <t>ИП770100734900000</t>
  </si>
  <si>
    <t>115054 город Москва улица Дубининская дом 57 строение 2  помещение III, офис 204.56</t>
  </si>
  <si>
    <t>ИП Петрушечкина Татьяна Анатольевна</t>
  </si>
  <si>
    <t>771587606982</t>
  </si>
  <si>
    <t>ИП7701036037</t>
  </si>
  <si>
    <t>ИП770103603700000</t>
  </si>
  <si>
    <t>127543 Москва улица Лескова дом 19а</t>
  </si>
  <si>
    <t>ООО "ЛОМБАРД АЛЬЯНС"</t>
  </si>
  <si>
    <t>7715886358</t>
  </si>
  <si>
    <t>ЮЛ7701013301</t>
  </si>
  <si>
    <t>ЮЛ770101330100000</t>
  </si>
  <si>
    <t>129515 москва улица Академика Королева  13 1  631</t>
  </si>
  <si>
    <t>ИП Алексеева Анастасия Андреевна</t>
  </si>
  <si>
    <t>771599507721</t>
  </si>
  <si>
    <t>ИП7701012150</t>
  </si>
  <si>
    <t>ИП770101215000000</t>
  </si>
  <si>
    <t>127490 город Москва Декабристов владение 51 строение 7  цокольный этаж, помещение 010 (часть), 013</t>
  </si>
  <si>
    <t>ИП Егоренков Валентин Олегович</t>
  </si>
  <si>
    <t>771601284793</t>
  </si>
  <si>
    <t>ИП7701004028</t>
  </si>
  <si>
    <t>ИП770100402800000</t>
  </si>
  <si>
    <t>119415 город Москва проспект Вернадского дом 41 строение 1  7 этаж, Помещение 263, комната 64 (по плану БТИ 727)</t>
  </si>
  <si>
    <t>ИП Кувшинова Юлия Владимировна</t>
  </si>
  <si>
    <t>771606571760</t>
  </si>
  <si>
    <t>ИП7701036172</t>
  </si>
  <si>
    <t>ИП770103617200000</t>
  </si>
  <si>
    <t>ИП Гришаева Марина Сергеевна</t>
  </si>
  <si>
    <t>771617529223</t>
  </si>
  <si>
    <t>ИП7701017304</t>
  </si>
  <si>
    <t>ИП770101730400000</t>
  </si>
  <si>
    <t>123112 город Москва набережная Пресненская дом 10 строение 2  помещ №144</t>
  </si>
  <si>
    <t>ООО "ЮВЕРОС"</t>
  </si>
  <si>
    <t>7716203639</t>
  </si>
  <si>
    <t>ЮЛ7701001957</t>
  </si>
  <si>
    <t>ЮЛ770100195700000</t>
  </si>
  <si>
    <t>119002 город Москва улица Арбат дом 27/47</t>
  </si>
  <si>
    <t>ООО "ЮВЕЛИРНЫЙ ТОРГОВЫЙ ДОМ ФОРА"</t>
  </si>
  <si>
    <t>7716212305</t>
  </si>
  <si>
    <t>ЮЛ7701013164</t>
  </si>
  <si>
    <t>ЮЛ770101316400000</t>
  </si>
  <si>
    <t>101000 город Москва улица Маросейка дом 2/15 строение 1   этаж 3, ком. № 7, 8, 8а, 20 и часть комнаты № 9</t>
  </si>
  <si>
    <t>ООО "ФЕНИКС ГОЛД"</t>
  </si>
  <si>
    <t>7716604800</t>
  </si>
  <si>
    <t>ЮЛ7701015592</t>
  </si>
  <si>
    <t>ЮЛ770101559200000</t>
  </si>
  <si>
    <t>105064 город Москва улица Земляной Вал дом 33   помещение XI, комната 83в</t>
  </si>
  <si>
    <t>ООО "ГРУША"</t>
  </si>
  <si>
    <t>7716701352</t>
  </si>
  <si>
    <t>ЮЛ7701007468</t>
  </si>
  <si>
    <t>ЮЛ770100746800000</t>
  </si>
  <si>
    <t>107140 город Москва площадь Комсомольская дом 6   524А</t>
  </si>
  <si>
    <t>ООО "ЦАЙТВЕРК"</t>
  </si>
  <si>
    <t>7716714143</t>
  </si>
  <si>
    <t>ЮЛ7701013762</t>
  </si>
  <si>
    <t>ЮЛ770101376200005</t>
  </si>
  <si>
    <t>129164 город Москвав улица Ярославская дом 8 корпус 4  этаж 4  офис 210а</t>
  </si>
  <si>
    <t>ООО "РИНГ ЦЕНТР"</t>
  </si>
  <si>
    <t>7716733114</t>
  </si>
  <si>
    <t>ЮЛ7701006154</t>
  </si>
  <si>
    <t>ЮЛ770100615400000</t>
  </si>
  <si>
    <t>105037 Москва улица Первомайская дом 1   помещение VIII ком.1</t>
  </si>
  <si>
    <t>ИП Ковалев Павел Павлович</t>
  </si>
  <si>
    <t>771675989639</t>
  </si>
  <si>
    <t>ИП7701002668</t>
  </si>
  <si>
    <t>ИП770100266800000</t>
  </si>
  <si>
    <t>129226 город Москва улица Сельскохозяйственная дом 4 строение 16</t>
  </si>
  <si>
    <t>7716851774</t>
  </si>
  <si>
    <t>ЮЛ7701005906</t>
  </si>
  <si>
    <t>ЮЛ770100590600000</t>
  </si>
  <si>
    <t>123112 город Москва набережная Пресненская 10 2  144</t>
  </si>
  <si>
    <t>ИП Алиев Айдемир Камильевич</t>
  </si>
  <si>
    <t>771685410219</t>
  </si>
  <si>
    <t>ИП7701002428</t>
  </si>
  <si>
    <t>ИП770100242800000</t>
  </si>
  <si>
    <t>129343 город Москва проезд Серебрякова 4 строение 1  офис 31А</t>
  </si>
  <si>
    <t>ЮЛ770101216600000</t>
  </si>
  <si>
    <t>115191 город Москва улица Большая Тульская дом 13   помещение II, комната (зал торговый) 63, этаж 1</t>
  </si>
  <si>
    <t>ЮЛ770101216600001</t>
  </si>
  <si>
    <t>125212 город Москва шоссе Головинское дом 5 корпус 1  часть нежилого помещения 1030, этаж 1</t>
  </si>
  <si>
    <t>ЮЛ770101216600006</t>
  </si>
  <si>
    <t>119334 город Москва улица Вавилова дом 3   комната 58, помещение Х, этаж 1</t>
  </si>
  <si>
    <t>ЮЛ770101216600008</t>
  </si>
  <si>
    <t>109443 город Москва улица Зеленодольская дом 40   этаж 1</t>
  </si>
  <si>
    <t>ЮЛ770101216600010</t>
  </si>
  <si>
    <t>109156 город Москва улица Генерала Кузнецова дом 22   часть помещения 111, этаж 1</t>
  </si>
  <si>
    <t>ЮЛ770101216600011</t>
  </si>
  <si>
    <t>125319 город Москва проспект Ленинградский дом 62А   часть комнаты 75 и часть комнаты 75а в помещение II, этаж 1</t>
  </si>
  <si>
    <t>ЮЛ770101216600014</t>
  </si>
  <si>
    <t>121059 город Москва площадь Киевского Вокзала дом 2   помещение I часть комнаты I, этаж 1</t>
  </si>
  <si>
    <t>ЮЛ770101216600016</t>
  </si>
  <si>
    <t>127495 город Москва шоссе Дмитровское дом 163А корпус 1  нежилое помещение А12а, этаж 1</t>
  </si>
  <si>
    <t>ЮЛ770101216600017</t>
  </si>
  <si>
    <t>121087 город Москва проезд Багратионовский дом 5  подъезд I комнаты 36, 37, этаж 1</t>
  </si>
  <si>
    <t>ЮЛ770101216600018</t>
  </si>
  <si>
    <t>105064 город Москва улица Земляной Вал дом 33   часть помещения XI, комната 63б, этаж 1</t>
  </si>
  <si>
    <t>ЮЛ770101216600020</t>
  </si>
  <si>
    <t>119571 город Москва проспект Вернадского дом 86А   нежилое помещение I, части комнаты  112, этаж 1</t>
  </si>
  <si>
    <t>ЮЛ770101216600021</t>
  </si>
  <si>
    <t>115193 город Москва улица 7-я Кожуховская дом 9   нежилое помещение 220а, 220б, этаж 2</t>
  </si>
  <si>
    <t>ЮЛ770101216600025</t>
  </si>
  <si>
    <t>117574 город Москва проспект Новоясеневский дом 1   помещение III, комната 136, этаж 1</t>
  </si>
  <si>
    <t>ЮЛ770101216600026</t>
  </si>
  <si>
    <t>121609 город Москва шоссе Рублёвское дом 62   комната 274, этаж 1</t>
  </si>
  <si>
    <t>ЮЛ770101216600029</t>
  </si>
  <si>
    <t>111024 город Москва шоссе Энтузиастов дом 12 корпус 2  помещение III, комната 76, этаж 1</t>
  </si>
  <si>
    <t>ЮЛ770101216600030</t>
  </si>
  <si>
    <t>142770 город Москва шоссе Калужское 21-й км    помещение Iж, комнаты 2, 2а, этаж 1</t>
  </si>
  <si>
    <t>ЮЛ770101216600031</t>
  </si>
  <si>
    <t>125565 город Москва улица Фестивальная дом 2Б   помещение I, комната 37, этаж 1</t>
  </si>
  <si>
    <t>ЮЛ770101216600032</t>
  </si>
  <si>
    <t>108811 город Москва километр Киевское шоссе 23-й (п Московский) дом 1   помещение 1-292, этаж 3</t>
  </si>
  <si>
    <t>ЮЛ770101216600035</t>
  </si>
  <si>
    <t>121614 город Москва бульвар Осенний дом 12   комнаты 39, 39а, этаж 1</t>
  </si>
  <si>
    <t>ЮЛ770101216600040</t>
  </si>
  <si>
    <t>107023 город Москва улица Большая Семёновская дом 16   часть комнаты 2 в помещении III, этаж 1</t>
  </si>
  <si>
    <t>ЮЛ770101216600041</t>
  </si>
  <si>
    <t>124460 город Зеленоград проспект Панфиловский дом 6А   помещение II, комнаты 118, 118а, 118б, этаж 1</t>
  </si>
  <si>
    <t>ЮЛ770101216600042</t>
  </si>
  <si>
    <t>123112 город Москва набережная Пресненская дом 2   комната 251а, 252, 252а помещения I, этаж 3</t>
  </si>
  <si>
    <t>ЮЛ770101216600047</t>
  </si>
  <si>
    <t>127562 город Москва улица Декабристов дом 12   часть комнаты 198, 200, 199 нежилого помещения I, этаж 1</t>
  </si>
  <si>
    <t>ЮЛ770101216600048</t>
  </si>
  <si>
    <t>ЮЛ770101216600051</t>
  </si>
  <si>
    <t>125363 город Москва улица Сходненская дом 56   помещение I, комната 41, этаж 1</t>
  </si>
  <si>
    <t>ЮЛ770101216600054</t>
  </si>
  <si>
    <t>111558 город Москва проспект Зелёный дом 83   помещения 26, 27, 28, этаж 1</t>
  </si>
  <si>
    <t>ЮЛ770101216600056</t>
  </si>
  <si>
    <t>107113 город Москва улица Русаковская дом 31   часть помещения 1А, помещение 1М, 1Л, 1К, этаж 1</t>
  </si>
  <si>
    <t>ЮЛ770101216600058</t>
  </si>
  <si>
    <t>119618 город Москва километр МКАД 47 владение 31 строение 1 Литер А комнаты 260, 261, этаж 1</t>
  </si>
  <si>
    <t>ЮЛ770101216600059</t>
  </si>
  <si>
    <t>115573 город Москва бульвар Ореховый дом 22А   помещение IX, часть комнаты 1, комната 1а, этаж 1</t>
  </si>
  <si>
    <t>ЮЛ770101216600066</t>
  </si>
  <si>
    <t>117447 город Москва улица Большая Черёмушкинская дом 1   помещение XV, комната 150, этаж 1</t>
  </si>
  <si>
    <t>ЮЛ770101216600067</t>
  </si>
  <si>
    <t>123007 город Москва шоссе Хорошёвское дом 27   комната 107 помещения III, этаж 1</t>
  </si>
  <si>
    <t>ЮЛ770101216600068</t>
  </si>
  <si>
    <t>125009 город Москва площадь Манежная дом 1 строение 2  помещение 1009А, помещение I, комната 37, 38, этаж пэ3</t>
  </si>
  <si>
    <t>ЮЛ770101216600072</t>
  </si>
  <si>
    <t>117216 город Москва улица Старокачаловская дом 5А   помещение  1А17, этаж 1</t>
  </si>
  <si>
    <t>ЮЛ770101216600074</t>
  </si>
  <si>
    <t>125362 город Москва улица Тушинская дом 17   Помещение I, часть комнаты 47, этаж 1</t>
  </si>
  <si>
    <t>ЮЛ770101216600075</t>
  </si>
  <si>
    <t>127238 город Москва шоссе Дмитровское дом 89   помещение IX комната 43, этаж 1</t>
  </si>
  <si>
    <t>ЮЛ770101216600086</t>
  </si>
  <si>
    <t>117461 город Москва улица Каховка дом 29А   помещение В5, этаж 1</t>
  </si>
  <si>
    <t>ЮЛ770101216600091</t>
  </si>
  <si>
    <t>123182 город Москва улица Щукинская дом 42   Помещение 1, комнаты 104, 104А, этаж 1</t>
  </si>
  <si>
    <t>ЮЛ770101216600097</t>
  </si>
  <si>
    <t>125368 город Москва улица Дубравная дом 34/29   помещение II, комнаты 22, 134, этаж 1</t>
  </si>
  <si>
    <t>ЮЛ770101216600100</t>
  </si>
  <si>
    <t>109052 город Москва проспект Рязанский дом 2 корпус 2  комната 156 в нежилом помещении XIV, этаж 2</t>
  </si>
  <si>
    <t>ЮЛ770101216600101</t>
  </si>
  <si>
    <t>123592 город Москва бульвар Строгинский дом 1   Помещение  I, комнаты  21-25, этаж 1</t>
  </si>
  <si>
    <t>ЮЛ770101216600102</t>
  </si>
  <si>
    <t>115522 город Москва шоссе Каширское дом 26   часть комнаты 50, этаж 1</t>
  </si>
  <si>
    <t>ЮЛ770101216600112</t>
  </si>
  <si>
    <t>117216 город Москва улица Поляны дом 8   помещение 96, этаж 1</t>
  </si>
  <si>
    <t>ЮЛ770101216600113</t>
  </si>
  <si>
    <t>117519 город Москва улица Кировоградская дом 13А   помещение XLVIII, комната 129, помещение LV, комната  10, этаж 1, антресольный этаж 1 этажа</t>
  </si>
  <si>
    <t>ЮЛ770101216600114</t>
  </si>
  <si>
    <t>127549 город Москва улица Лескова дом 14   помещение А11, этаж 1</t>
  </si>
  <si>
    <t>ЮЛ770101216600115</t>
  </si>
  <si>
    <t>117420 город Москва улица Профсоюзная дом 61А   помещение I, комната 70, этаж 1</t>
  </si>
  <si>
    <t>ЮЛ770101216600116</t>
  </si>
  <si>
    <t>125480 город Москва улица Планерная дом 7   помещение Б29, помещение XV, комната 31, этаж 1</t>
  </si>
  <si>
    <t>ЮЛ770101216600118</t>
  </si>
  <si>
    <t>125252 город Москва бульвар Ходынский дом 4   помещение 03К-1125.1-1125.3, этаж 3</t>
  </si>
  <si>
    <t>ЮЛ770101216600121</t>
  </si>
  <si>
    <t>117042 город Москва проезд Чечёрский дом 51   часть нежилого помещения  16, комната  137, этаж 1</t>
  </si>
  <si>
    <t>ЮЛ770101216600122</t>
  </si>
  <si>
    <t>119602 город Москва улица Мичуринский проспект.Олимпийская деревня дом 3 корпус 1  помещение IV, комната 6-8, этаж 1</t>
  </si>
  <si>
    <t>ЮЛ770101216600123</t>
  </si>
  <si>
    <t>129226 город Москва проспект Мира дом 211 корпус 2  Помещение I, комната 310, этаж 3</t>
  </si>
  <si>
    <t>ЮЛ770101216600126</t>
  </si>
  <si>
    <t>108813 поселок  Московский улица Хабарова дом 2   помещение 202, 203, этаж 2</t>
  </si>
  <si>
    <t>ЮЛ770101216600128</t>
  </si>
  <si>
    <t>117588 город Москва проспект Новоясеневский дом 7   нежилое помещение 48, этаж 1</t>
  </si>
  <si>
    <t>ЮЛ770101216600166</t>
  </si>
  <si>
    <t>119421 город Москва проспект Ленинский дом 109   Помещение III, комната 89</t>
  </si>
  <si>
    <t>ЮЛ770101216600173</t>
  </si>
  <si>
    <t>123060 город Москва улица Маршала Бирюзова дом 32   нежилое помещение III, часть 82,83, этаж 1</t>
  </si>
  <si>
    <t>ЮЛ770101216600187</t>
  </si>
  <si>
    <t>129594 город Москва улица Шереметьевская дом 6 корпус 1  Помещение XVI, комната 103</t>
  </si>
  <si>
    <t>ЮЛ770101216600188</t>
  </si>
  <si>
    <t>105215 город Москва бульвар Сиреневый дом 31</t>
  </si>
  <si>
    <t>ЮЛ770101216600195</t>
  </si>
  <si>
    <t>115563 город Москва шоссе Каширское дом 61Г   этаж 1</t>
  </si>
  <si>
    <t>ЮЛ770101216600199</t>
  </si>
  <si>
    <t>121352 город Москва проспект Кутузовский дом 57   этаж 1</t>
  </si>
  <si>
    <t>ЮЛ770101216600203</t>
  </si>
  <si>
    <t>127081 город Москва проезд Дежнёва дом 21   помещение IV, комната 18, этаж 2</t>
  </si>
  <si>
    <t>ЮЛ770101216600233</t>
  </si>
  <si>
    <t>117587 город Москва улица Кировоградская дом 14   помещение 1, комната 29, 30, этаж 1</t>
  </si>
  <si>
    <t>ЮЛ770101216600234</t>
  </si>
  <si>
    <t>105187 город Москва шоссе Измайловское дом 71А   помещение IV, часть помещения  55-холл, этаж 1</t>
  </si>
  <si>
    <t>ЮЛ770101216600235</t>
  </si>
  <si>
    <t>109469 город Москва улица Поречная дом 10    помещение 4, комната 98, этаж 1</t>
  </si>
  <si>
    <t>ЮЛ770101216600236</t>
  </si>
  <si>
    <t>109443 город Москва проспект Волгоградский дом 125   помещение II, комната 31, этаж 1</t>
  </si>
  <si>
    <t>ЮЛ770101216600237</t>
  </si>
  <si>
    <t>127273 город Москва проезд Сигнальный дом 17   комната 184, этаж 1</t>
  </si>
  <si>
    <t>ЮЛ770101216600238</t>
  </si>
  <si>
    <t>121099 город Москва площадь Смоленская дом 5   комната 41, этаж 1</t>
  </si>
  <si>
    <t>ЮЛ770101216600239</t>
  </si>
  <si>
    <t>127560 город Москва улица Пришвина дом 22   помещения 44-47, 62, 62а, 62б, этаж 1</t>
  </si>
  <si>
    <t>ЮЛ770101216600243</t>
  </si>
  <si>
    <t>125171 город Москва шоссе Ленинградское дом 16А строение 4  помещение 1-016+1-017, этаж 1</t>
  </si>
  <si>
    <t>ЮЛ770101216600292</t>
  </si>
  <si>
    <t>119619 город Москва улица Авиаторов владение 5</t>
  </si>
  <si>
    <t>ЮЛ770101216600301</t>
  </si>
  <si>
    <t>115054 город Москва площадь Павелецкая   Литера А помещения А7, А8, этаж -1</t>
  </si>
  <si>
    <t>ЮЛ770101216600307</t>
  </si>
  <si>
    <t>111622 город Москва шоссе Новоухтомское владение  2А   помещение 01-229, этаж 2</t>
  </si>
  <si>
    <t>ЮЛ770101216600317</t>
  </si>
  <si>
    <t>115583 город Москва бульвар Ореховый дом 14 корпус 3  помещение I, комната 46, этаж 2</t>
  </si>
  <si>
    <t>ЮЛ770101216600319</t>
  </si>
  <si>
    <t>117556 город Москва шоссе Варшавское дом 87Б   помещение V, комнаты 26, 27, 29, этаж 1</t>
  </si>
  <si>
    <t>ЮЛ770101216600321</t>
  </si>
  <si>
    <t>129337 город Москва шоссе Ярославское дом 54   помещение I, часть комнаты 21, этаж 1</t>
  </si>
  <si>
    <t>ЮЛ770101216600325</t>
  </si>
  <si>
    <t>109341 город Москва улица Люблинская дом 153   2 этаж, помещение XIV,  часть комнаты 23</t>
  </si>
  <si>
    <t>ЮЛ770101216600331</t>
  </si>
  <si>
    <t>125167 город Москва проспект Ленинградский дом 36   торговое место К-11</t>
  </si>
  <si>
    <t>ЮЛ770101216600347</t>
  </si>
  <si>
    <t>115280 город Москва улица Автозаводская дом 18   этаж 1,  помещение  А-033</t>
  </si>
  <si>
    <t>ЮЛ770101216600356</t>
  </si>
  <si>
    <t>111558 город Москва проспект Зелёный дом 81   этаж 1,  секция Ка 22-Ка 23</t>
  </si>
  <si>
    <t>ЮЛ770101216600363</t>
  </si>
  <si>
    <t>108849 город Москва улица Корнея Чуковского дом 2   этаж 1, часть помещения № XXVII , № 84</t>
  </si>
  <si>
    <t>ЮЛ770101216600366</t>
  </si>
  <si>
    <t>115612 город Москва улица Борисовские Пруды владение 26 корпус 2  этаж 1</t>
  </si>
  <si>
    <t>ЮЛ770101216600376</t>
  </si>
  <si>
    <t>108802 город Москва улица Николо-Хованская дом 7 строение 1  этаж 1</t>
  </si>
  <si>
    <t>ЮЛ770101216600386</t>
  </si>
  <si>
    <t>109044 город Москва переулок 3-й Крутицкий дом 18   этаж 2</t>
  </si>
  <si>
    <t>ЮЛ770101216600391</t>
  </si>
  <si>
    <t>125212 город Москва бульвар Кронштадтский дом 3А строение 1  этаж 1, помещение № 1-8</t>
  </si>
  <si>
    <t>ЮЛ770101216600392</t>
  </si>
  <si>
    <t>115432 город Москва проспект Андропова дом 8   этаж 1, нежилое помещение II, часть комнаты №156</t>
  </si>
  <si>
    <t>ЮЛ770101216600404</t>
  </si>
  <si>
    <t>127253 город Москва шоссе Дмитровское дом 116Д   этаж 1,помещение 5/1, часть комнаты № 74</t>
  </si>
  <si>
    <t>ЮЛ770101216600408</t>
  </si>
  <si>
    <t>109443 город Москва улица Зеленодольская владение 42    этаж 1, помещения А55 и А56</t>
  </si>
  <si>
    <t>ЮЛ770101216600409</t>
  </si>
  <si>
    <t>121087 город Москва проезд Береговой дом 5А корпус 1  этаж 1</t>
  </si>
  <si>
    <t>ЮЛ770101216600412</t>
  </si>
  <si>
    <t>117321 город Москва улица Профсоюзная дом 126 корпус 2  этаж 1,часть помещения № III</t>
  </si>
  <si>
    <t>ЮЛ770101216600416</t>
  </si>
  <si>
    <t>119261 город Москва улица Вавилова дом 66   этаж 1, помещение № 43</t>
  </si>
  <si>
    <t>ЮЛ770101216600423</t>
  </si>
  <si>
    <t>117628 город Москва бульвар Дмитрия Донского дом 1   этаж 1, часть комнаты № 40</t>
  </si>
  <si>
    <t>ЮЛ770101216600433</t>
  </si>
  <si>
    <t>108836 город Москва проспект Нововатутинский дом 6   этаж 1, нежилое помещение № 6</t>
  </si>
  <si>
    <t>ЮЛ770101216600435</t>
  </si>
  <si>
    <t>124617 город Зеленоград  корпус 1446   этаж 1, помещение I, комната №13,14</t>
  </si>
  <si>
    <t>ЮЛ770101216600438</t>
  </si>
  <si>
    <t>117648 город Москва микрорайон  Чертаново Северное дом 1А   помещение 1Н, этаж 1 , нежилое помещение №КА15</t>
  </si>
  <si>
    <t>ЮЛ770101216600441</t>
  </si>
  <si>
    <t>115533 город Москва проспект Андропова дом 22   этаж 1, помещение XVIII, ком. №150 ( часть)</t>
  </si>
  <si>
    <t>ЮЛ770101216600446</t>
  </si>
  <si>
    <t>115487 город Москва проспект Андропова дом 27   этаж 1 ,  торговое место КА10</t>
  </si>
  <si>
    <t>ЮЛ770101216600450</t>
  </si>
  <si>
    <t>107370 город Москва шоссе Открытое дом 4 строение 1  этаж 1,  торговое место КА4</t>
  </si>
  <si>
    <t>ЮЛ770101216600456</t>
  </si>
  <si>
    <t>115304 город Москва бульвар Кавказский дом 17   этаж 1, торговое место КА1-7</t>
  </si>
  <si>
    <t>ЮЛ770101216600458</t>
  </si>
  <si>
    <t>127562 город Москва шоссе Алтуфьевское дом 8   этаж 1, часть помещения 105</t>
  </si>
  <si>
    <t>ЮЛ770101216600460</t>
  </si>
  <si>
    <t>125475 город Москва улица Дыбенко дом 7/1 строение 1  этаж 1, помещения А13+А14</t>
  </si>
  <si>
    <t>ЮЛ770101216600537</t>
  </si>
  <si>
    <t>111675 город Москва улица Святоозерская дом 1А   этаж 2, часть нежилого помещения №63а</t>
  </si>
  <si>
    <t>ЮЛ770101216600541</t>
  </si>
  <si>
    <t>109652 город Москва улица Люблинская дом 169 корпус 2  этаж 1, нежилое помещение №34</t>
  </si>
  <si>
    <t>ЮЛ770101216600544</t>
  </si>
  <si>
    <t>117513 город Москва проспект Ленинский дом 123В   этаж 1, часть помещения №88</t>
  </si>
  <si>
    <t>ЮЛ770101216600549</t>
  </si>
  <si>
    <t>127549 город Москва шоссе Алтуфьевское дом 70 корпус 1  этаж 1, нежилое помещение №III, часть комнаты №145, торговая площадь №1.056ТП</t>
  </si>
  <si>
    <t>ЮЛ770101216600550</t>
  </si>
  <si>
    <t>117447 город Москва проспект Севастопольский дом 11Е   этаж 1</t>
  </si>
  <si>
    <t>ЮЛ770101216600552</t>
  </si>
  <si>
    <t>129594 город Москва улица Шереметьевская дом 20   этаж 1</t>
  </si>
  <si>
    <t>ЮЛ770101216600553</t>
  </si>
  <si>
    <t>119618 город Москва шоссе Боровское дом 6   этаж 1,часть комнаты № 157 помещения III</t>
  </si>
  <si>
    <t>ЮЛ770101216600559</t>
  </si>
  <si>
    <t>129281 город Москва улица Лётчика Бабушкина дом 26   этаж 1, нежилые помещения № A34+A22a</t>
  </si>
  <si>
    <t>ЮЛ770101216600571</t>
  </si>
  <si>
    <t>127030 город Москва улица Новослободская дом 4   этаж 1, часть комнаты №39</t>
  </si>
  <si>
    <t>ЮЛ770101216600580</t>
  </si>
  <si>
    <t>125195 город Москва улица Беломорская дом 16А   этаж 1, нежилое помещение № K1-8</t>
  </si>
  <si>
    <t>ЮЛ770101216600587</t>
  </si>
  <si>
    <t>117556 город Москва бульвар Чонгарский дом 7   этаж 1, нежилое помещение КА5</t>
  </si>
  <si>
    <t>ЮЛ770101216600590</t>
  </si>
  <si>
    <t>124575 город Зеленоград площадь Крюковская 1   этаж 1, помещение Ⅰ</t>
  </si>
  <si>
    <t>ЮЛ770101216600592</t>
  </si>
  <si>
    <t>105077 город Москва улица Первомайская дом 93   этаж 1, нежилое помещение КА10</t>
  </si>
  <si>
    <t>ЮЛ770101216600595</t>
  </si>
  <si>
    <t>129594 город Москва улица Шереметьевская дом 6 корпус 1  помещение 2/1, этаж 1, помещение № 1-18 (помещение № XVI, комната 11)</t>
  </si>
  <si>
    <t>ЮЛ770101216600614</t>
  </si>
  <si>
    <t>127220 город Москва улица Нижняя Масловка дом 10   этаж 1, нежилое помещение А3</t>
  </si>
  <si>
    <t>ЮЛ770101216600616</t>
  </si>
  <si>
    <t>111675 город Москва улица Лухмановская дом 24А   этаж  1, часть нежилого помещения № 17</t>
  </si>
  <si>
    <t>ЮЛ770101216600630</t>
  </si>
  <si>
    <t>117452 город Москва улица Азовская дом 24 корпус 3  этаж цокольный, помещение III, часть комнаты № 29</t>
  </si>
  <si>
    <t>ЮЛ770101216600645</t>
  </si>
  <si>
    <t>119620 город Москва улица Богданова дом 19   этаж 1, помещение КА2а</t>
  </si>
  <si>
    <t>ЮЛ770101216600651</t>
  </si>
  <si>
    <t>115054 город Москва площадь Павелецкая дом 3   -1 (минус первый) этаж, помещение А70</t>
  </si>
  <si>
    <t>ЮЛ770101216600662</t>
  </si>
  <si>
    <t>115516 город Москва проспект Пролетарский дом 30   этаж 1, комната №72</t>
  </si>
  <si>
    <t>ЮЛ770101216600667</t>
  </si>
  <si>
    <t>117279 город Москва улица Миклухо-Маклая дом 32А   этаж 1, помещение BL/7</t>
  </si>
  <si>
    <t>ЮЛ770101216600689</t>
  </si>
  <si>
    <t>108801 город Москва улица Александры Монаховой дом 61 строение 1  этаж 1, помещение № MI 10а</t>
  </si>
  <si>
    <t>ЮЛ770101216600700</t>
  </si>
  <si>
    <t>125315 город Москва улица Усиевича дом 12   этаж 1, помещения А14+А15</t>
  </si>
  <si>
    <t>ЮЛ770101216600704</t>
  </si>
  <si>
    <t>124365 город Зеленоград  корпус 2309А   1 этаж, пом II, ком 69</t>
  </si>
  <si>
    <t>ЮЛ770101216600718</t>
  </si>
  <si>
    <t>119501 город Москва улица Нежинская дом 11   этаж 1, часть помещения № КА2</t>
  </si>
  <si>
    <t>ЮЛ770101216600736</t>
  </si>
  <si>
    <t>109651 город Москва бульвар Новочеркасский дом 21А   этаж 1</t>
  </si>
  <si>
    <t>ЮЛ770101216600762</t>
  </si>
  <si>
    <t>119517 город Москва шоссе Аминьевское дом 6   1 этаж, нежилое помещение № 1-03</t>
  </si>
  <si>
    <t>ЮЛ770101216600789</t>
  </si>
  <si>
    <t>117335 город Москва, муниципальный округ Черемушки улица Гарибальди дом 23   1 этаж, комнаты 9, 10, 11</t>
  </si>
  <si>
    <t>ЮЛ770101216600795</t>
  </si>
  <si>
    <t>115280 город Москва улица Ленинская Слобода дом 26 строение 2  1 этаж, помещение А103, комната 101</t>
  </si>
  <si>
    <t>ЮЛ770101216600815</t>
  </si>
  <si>
    <t>125009 город Москва площадь Манежная дом 1 строение 2  2 этаж, помещение №73 (частично), 75 (частично)</t>
  </si>
  <si>
    <t>ЮЛ770101216600831</t>
  </si>
  <si>
    <t>115419 город Москва улица Орджоникидзе дом 11 строение 1А  1 этаж, нежилое помещение №III, комната 253 часть</t>
  </si>
  <si>
    <t>ЮЛ770101216600832</t>
  </si>
  <si>
    <t>117485 город Москва, муниципальный округ Коньково улица Миклухо-Маклая дом 27А   1 этаж, помещение А9</t>
  </si>
  <si>
    <t>ЮЛ770101216600834</t>
  </si>
  <si>
    <t>123290 город Москва, Северо-Западный административный округ, Хорошёво-Мнёвники  проезд Причальный дом 10 корпус 2  2 этаж, часть нежилого помещения №21Т</t>
  </si>
  <si>
    <t>ЮЛ770101216600835</t>
  </si>
  <si>
    <t>115432 город Москва, муниципальный округ Даниловский бульвар Братьев Весниных дом 2   1 этаж, часть нежилого помещения № 1Н, комната 1.26, 1.27</t>
  </si>
  <si>
    <t>ЮЛ770101216600836</t>
  </si>
  <si>
    <t>123423 город Москва улица Народного Ополчения дом 28 корпус 1  1 этаж, помещение 2/1</t>
  </si>
  <si>
    <t>ЮЛ770101216600848</t>
  </si>
  <si>
    <t>108820 город Москва, поселение Сосенское километр 21-й владение 3А строение 1  помещение № 2043</t>
  </si>
  <si>
    <t>ЮЛ770101216600857</t>
  </si>
  <si>
    <t>109125 город Москва, муниципальный округ Текстильщики проспект Волгоградский дом 73 строение 1  1 этаж, нежилые помещения</t>
  </si>
  <si>
    <t>ЮЛ770101216600863</t>
  </si>
  <si>
    <t>115184 город Москва переулок Большой Овчинниковский дом 16   1 этаж, нежилое помещение</t>
  </si>
  <si>
    <t>ЮЛ770101216600870</t>
  </si>
  <si>
    <t>129226 город Москва улица Вильгельма Пика владение 13   1 этаж, нежилое помещение №А17</t>
  </si>
  <si>
    <t>ЮЛ770101216600873</t>
  </si>
  <si>
    <t>117519 город Москва улица Красного Маяка дом 2Б   1 этаж, нежилое помещение № 141, комнаты № 24, 24а, 24б, 24в</t>
  </si>
  <si>
    <t>ЮЛ770101216600877</t>
  </si>
  <si>
    <t>117588 город Москва проспект Новоясеневский дом 11   2 этаж, часть нежилого помещения №41</t>
  </si>
  <si>
    <t>ЮЛ770101216600900</t>
  </si>
  <si>
    <t>127495 город Москва улица Академика Алиханова дом 4   1 этаж, часть помещения</t>
  </si>
  <si>
    <t>ЮЛ770101216600904</t>
  </si>
  <si>
    <t>117519 город Москва улица Кировоградская дом 13А   1 этаж, нежилое помещение №31</t>
  </si>
  <si>
    <t>ЮЛ770101216600905</t>
  </si>
  <si>
    <t>123423 город Москва, Хорошево-Мневники улица Саляма Адиля дом 4   1 этаж, нежилое помещение №А15</t>
  </si>
  <si>
    <t>ЮЛ770101216600915</t>
  </si>
  <si>
    <t>125581 город Москва улица Флотская дом 7 строение 1  этаж 1, часть нежилого помещения VI</t>
  </si>
  <si>
    <t>ЮЛ770101216600932</t>
  </si>
  <si>
    <t>117042 город Москва улица Венёвская дом 6   этаж 1, Помещение I, часть комнаты № 2</t>
  </si>
  <si>
    <t>ЮЛ770101216600950</t>
  </si>
  <si>
    <t>108850 город Москва улица Лётчика Ульянина дом 5   этаж 1, комната 5</t>
  </si>
  <si>
    <t>ЮЛ770101216600967</t>
  </si>
  <si>
    <t>129323 город Москва улица Снежная дом 26   этаж 1, нежилое помещение № V, часть комнаты № 2</t>
  </si>
  <si>
    <t>ЮЛ770101216600975</t>
  </si>
  <si>
    <t>125315 город Москва проспект Ленинградский дом 76А   этаж 1, нежилое помещение II,  часть комнаты 55</t>
  </si>
  <si>
    <t>ЮЛ770101216600981</t>
  </si>
  <si>
    <t>125222 город Москва улица Дубравная дом 51 строение 2  этаж 1</t>
  </si>
  <si>
    <t>ЮЛ770101216600983</t>
  </si>
  <si>
    <t>121309 город Москва улица Барклая дом 10   этаж 1, нежилое Помещение № Т-13</t>
  </si>
  <si>
    <t>ЮЛ770101216600984</t>
  </si>
  <si>
    <t>121096 город Москва улица Минская дом 14а   этаж 1 помещение II часть комнаты 27</t>
  </si>
  <si>
    <t>ЮЛ770101216600985</t>
  </si>
  <si>
    <t>109382 город Москва улица Краснодарская дом 51 помещение 1Н  этаж 1</t>
  </si>
  <si>
    <t>ЮЛ770101216600990</t>
  </si>
  <si>
    <t>108851 город Щербинка улица Железнодорожная дом 44   этаж 1, нежилое помещение, комнаты № 79, 80</t>
  </si>
  <si>
    <t>ЮЛ770101216600993</t>
  </si>
  <si>
    <t>119607 город Москва улица Удальцова дом 42   этаж 1</t>
  </si>
  <si>
    <t>ЮЛ770101216600995</t>
  </si>
  <si>
    <t>119602 город Москва улица Покрышкина дом 5   этаж 1</t>
  </si>
  <si>
    <t>ЮЛ770101216600996</t>
  </si>
  <si>
    <t>111538 город Москва улица Вешняковская дом 18   цокольный этаж, часть помещения  № 69</t>
  </si>
  <si>
    <t>ЮЛ770101216601003</t>
  </si>
  <si>
    <t>117574 город Москва улица Профсоюзная дом 129А   этаж 1, нежилое помещение № 1-61</t>
  </si>
  <si>
    <t>ЮЛ770101216601007</t>
  </si>
  <si>
    <t>125222 город Москва улица Дубравная дом 51 строение 2  этаж 1, остров №б/н напротив помещений №MI05, MI06, MI07</t>
  </si>
  <si>
    <t>ЮЛ770101216601010</t>
  </si>
  <si>
    <t>129343 город Москва проезд Серебрякова дом 4 строение 1  офис 204</t>
  </si>
  <si>
    <t>ЮЛ770100167700000</t>
  </si>
  <si>
    <t>129343 город Москва проезд Серебрякова дом 4 строение 1  помещение 424</t>
  </si>
  <si>
    <t>ЮЛ770100167700004</t>
  </si>
  <si>
    <t>127566 город Москва улица Декабристов дом 15Б   под №105 (помещение № II, комната № 12 по БТИ)</t>
  </si>
  <si>
    <t>7716966285</t>
  </si>
  <si>
    <t>ЮЛ7701031454</t>
  </si>
  <si>
    <t>ЮЛ770103145400001</t>
  </si>
  <si>
    <t>129090 город Москва проспект Мира дом 40</t>
  </si>
  <si>
    <t>ЮЛ770103145400002</t>
  </si>
  <si>
    <t>127273 город Москва проезд Сигнальный дом 6А</t>
  </si>
  <si>
    <t>ЮЛ770103145400006</t>
  </si>
  <si>
    <t>109462 город Москва улица Маршала Чуйкова дом 4   помещение № 2</t>
  </si>
  <si>
    <t>ЮЛ770103145400008</t>
  </si>
  <si>
    <t>127282 город Москва улица Грекова владение 3Г</t>
  </si>
  <si>
    <t>ЮЛ770103145400010</t>
  </si>
  <si>
    <t>127427 город Москва улица Академика Королева дом 13 строение 1  этаж4,помещениеI,комнаты  11,11а,11 б (комната 417)</t>
  </si>
  <si>
    <t>ООО "ТВОРЧЕСКАЯ МАСТЕРСКАЯ "СВЯТ-ОЗЕРО"</t>
  </si>
  <si>
    <t>7717106758</t>
  </si>
  <si>
    <t>ЮЛ7701001126</t>
  </si>
  <si>
    <t>ЮЛ770100112600000</t>
  </si>
  <si>
    <t>129226 город Москва  улица Сельскохозяйственная  дом 12  корпус 14</t>
  </si>
  <si>
    <t>АО "СКТБЭ"</t>
  </si>
  <si>
    <t>7717633296</t>
  </si>
  <si>
    <t>ЮЛ7701033904</t>
  </si>
  <si>
    <t>ЮЛ770103390400000</t>
  </si>
  <si>
    <t>129085 город Москва проспект Мира дом 101 строение 1  этаж 8, помещение I, комнаты 12,12А,12Б</t>
  </si>
  <si>
    <t>ООО "ОБРАЗ-М"</t>
  </si>
  <si>
    <t>7717661582</t>
  </si>
  <si>
    <t>ЮЛ7701011810</t>
  </si>
  <si>
    <t>ЮЛ770101181000000</t>
  </si>
  <si>
    <t>129226 город Москва проспект Мира дом 211 корпус 2  этаж 3, помещение №I, часть комнаты 361 (КС 15)</t>
  </si>
  <si>
    <t>ЮЛ770101181000001</t>
  </si>
  <si>
    <t>123112 город Москва набережная Пресненская дом 12   77 этаж, офис 7701</t>
  </si>
  <si>
    <t>ООО "ЗОЛОТОЙ ЗАПАС"</t>
  </si>
  <si>
    <t>7717663741</t>
  </si>
  <si>
    <t>ЮЛ7701002018</t>
  </si>
  <si>
    <t>ЮЛ770100201800000</t>
  </si>
  <si>
    <t>103265 город Москва улица Охотный Ряд дом 2   помещение № I, комната 15, этаж 1</t>
  </si>
  <si>
    <t>ИП Соловьева Мария Владимировна</t>
  </si>
  <si>
    <t>771770913083</t>
  </si>
  <si>
    <t>ИП7701005441</t>
  </si>
  <si>
    <t>ИП770100544100000</t>
  </si>
  <si>
    <t>121609 город Москва шоссе Рублёвское дом 62</t>
  </si>
  <si>
    <t>ИП770100544100002</t>
  </si>
  <si>
    <t>117246 город Москва проезд Научный дом 14А строение 1  помещение 11/1Ц</t>
  </si>
  <si>
    <t>ИП Земченкова Ирина Сергеевна</t>
  </si>
  <si>
    <t>771772409121</t>
  </si>
  <si>
    <t>ИП7701037407</t>
  </si>
  <si>
    <t>ИП770103740700000</t>
  </si>
  <si>
    <t>127410 город Москва шоссе Алтуфьевское дом 79А Строение 1  этаж 4, помещение  I , комната 12а</t>
  </si>
  <si>
    <t>ИП Геворгян Лиана Самвеловна</t>
  </si>
  <si>
    <t>771774741244</t>
  </si>
  <si>
    <t>ИП7701006427</t>
  </si>
  <si>
    <t>ИП770100642700000</t>
  </si>
  <si>
    <t>115191 город Москва улица Серпуховский Вал дом 21 корпус 1</t>
  </si>
  <si>
    <t>ООО "СМТТЕХ"</t>
  </si>
  <si>
    <t>7717754558</t>
  </si>
  <si>
    <t>ЮЛ7701038037</t>
  </si>
  <si>
    <t>ЮЛ770103803700000</t>
  </si>
  <si>
    <t>105066 город Москва улица Нижняя Красносельская дом 40/12 корпус 20  Помещения 802-804</t>
  </si>
  <si>
    <t>ИП Фузайлов Маркиэль Боруххаевич</t>
  </si>
  <si>
    <t>771778674461</t>
  </si>
  <si>
    <t>ИП7701014314</t>
  </si>
  <si>
    <t>ИП770101431400000</t>
  </si>
  <si>
    <t>123610 город Москва набережная Краснопресненская дом 12   №М1218а (комнаты 1,2 помещения XVга)</t>
  </si>
  <si>
    <t>ИП770101431400002</t>
  </si>
  <si>
    <t>111558 город Москва проспект Свободный дом 33 этаж 2 помещение VII  Комната № 36</t>
  </si>
  <si>
    <t>ИП Алныкина Анна Ильинична</t>
  </si>
  <si>
    <t>771801722902</t>
  </si>
  <si>
    <t>ИП0001008892</t>
  </si>
  <si>
    <t>ИП000100889200000</t>
  </si>
  <si>
    <t>107061 город Москва улица Большая Черкизовская дом 3 корпус 1</t>
  </si>
  <si>
    <t>ИП Гриднева Елена Викторовна</t>
  </si>
  <si>
    <t>771803376006</t>
  </si>
  <si>
    <t>ИП7701003549</t>
  </si>
  <si>
    <t>ИП770100354900000</t>
  </si>
  <si>
    <t>107143 город Москва шоссе Открытое дом 24 корпус 11</t>
  </si>
  <si>
    <t>ИП770100354900002</t>
  </si>
  <si>
    <t>ИП Кононова Ирина Викторовна</t>
  </si>
  <si>
    <t>771805350003</t>
  </si>
  <si>
    <t>ИП7701034493</t>
  </si>
  <si>
    <t>ИП770103449300000</t>
  </si>
  <si>
    <t>115142 город Москва улица Коломенская дом 17   помещение III часть комнаты №31</t>
  </si>
  <si>
    <t>ИП770103449300002</t>
  </si>
  <si>
    <t>105094 город Москва улица Большая Семёновская Дом 42   4 этаж , помещение VI , комната 13</t>
  </si>
  <si>
    <t>ИП Харченко Алла Константиновна</t>
  </si>
  <si>
    <t>771808517420</t>
  </si>
  <si>
    <t>ИП7701038336</t>
  </si>
  <si>
    <t>ИП770103833600000</t>
  </si>
  <si>
    <t>117732 город Москва улица Профсоюзная дом 129А   этаж 1</t>
  </si>
  <si>
    <t>ООО "СИЛЬВЕРУС АГ"</t>
  </si>
  <si>
    <t>7718112578</t>
  </si>
  <si>
    <t>ЮЛ7701005116</t>
  </si>
  <si>
    <t>ЮЛ770100511600001</t>
  </si>
  <si>
    <t>127490 город Москва улица Декабристов дом 21   1 этаж, помещение VII</t>
  </si>
  <si>
    <t>ООО ЛОМБАРД "ЯБЛОКО"</t>
  </si>
  <si>
    <t>7718180909</t>
  </si>
  <si>
    <t>ЮЛ7701003240</t>
  </si>
  <si>
    <t>ЮЛ770100324000000</t>
  </si>
  <si>
    <t>111024 город Москва улица 2-я Энтузиастов дом 5 корпус 1</t>
  </si>
  <si>
    <t>ООО "КОМПАНИЯ ЛК-ГРУПП"</t>
  </si>
  <si>
    <t>7718281826</t>
  </si>
  <si>
    <t>ЮЛ7701013330</t>
  </si>
  <si>
    <t>ЮЛ770101333000000</t>
  </si>
  <si>
    <t>107023 город Москва площадь Журавлёва дом 10 3  321</t>
  </si>
  <si>
    <t>ИП Метелева Виктория Михайловна</t>
  </si>
  <si>
    <t>771871009075</t>
  </si>
  <si>
    <t>ИП7701040013</t>
  </si>
  <si>
    <t>ИП770104001300000</t>
  </si>
  <si>
    <t>107370 город Москва шоссе Открытое дом 12 строение 2  этаж 3 помещение XIII комната 7</t>
  </si>
  <si>
    <t>ООО "АУДЖА"</t>
  </si>
  <si>
    <t>7718717647</t>
  </si>
  <si>
    <t>ЮЛ7701004434</t>
  </si>
  <si>
    <t>ЮЛ770100443400000</t>
  </si>
  <si>
    <t>123458 город Москва улица Таллинская Дом 26</t>
  </si>
  <si>
    <t>ИП Давидов Руслан Ренатович</t>
  </si>
  <si>
    <t>771873957854</t>
  </si>
  <si>
    <t>ИП7701003229</t>
  </si>
  <si>
    <t>ИП770100322900000</t>
  </si>
  <si>
    <t>105318 город Москва улица Вельяминовская Дом 6  Подвал</t>
  </si>
  <si>
    <t>ИП770100322900001</t>
  </si>
  <si>
    <t>107564 город Москва улица Краснобогатырская дом 6 корпус 1  этаж 2 помещение 210</t>
  </si>
  <si>
    <t>ИП Лукьянова Анна Юрьевна</t>
  </si>
  <si>
    <t>771877579963</t>
  </si>
  <si>
    <t>ИП7701034744</t>
  </si>
  <si>
    <t>ИП770103474400000</t>
  </si>
  <si>
    <t>129110 город Москва улица Гиляровского дом 65 строение 1  3 этаж, помещение XV, комната 6, 6а</t>
  </si>
  <si>
    <t>ИП Дехова Наталья Юрьевна</t>
  </si>
  <si>
    <t>771877746170</t>
  </si>
  <si>
    <t>ИП7701012703</t>
  </si>
  <si>
    <t>ИП770101270300000</t>
  </si>
  <si>
    <t>101000 город Москва переулок Большой Харитоньевский дом 10   помещение № 15</t>
  </si>
  <si>
    <t>ИП770101270300001</t>
  </si>
  <si>
    <t>125445 город Москва улица Смольная дом 44 корпус 2  помещение 49</t>
  </si>
  <si>
    <t>ООО "ГОЛДЭКС"</t>
  </si>
  <si>
    <t>7718797392</t>
  </si>
  <si>
    <t>ЮЛ7701034585</t>
  </si>
  <si>
    <t>ЮЛ770103458500000</t>
  </si>
  <si>
    <t>101000 город Москва проезд Лубянский дом 27/1 строение 1  этаж 3 помещение 16, этаж 4 помещение 32а, 32б</t>
  </si>
  <si>
    <t>ООО "ЗОЛОТОЙ ДРАКОН"</t>
  </si>
  <si>
    <t>7718809810</t>
  </si>
  <si>
    <t>ЮЛ7701005871</t>
  </si>
  <si>
    <t>ЮЛ770100587100000</t>
  </si>
  <si>
    <t>123242 город Москва бульвар Новинский дом 31   1 этаж, помещение 2/I, включая в себя комнату № 76</t>
  </si>
  <si>
    <t>ООО "ТОП-АРТ"</t>
  </si>
  <si>
    <t>7718812820</t>
  </si>
  <si>
    <t>ЮЛ7701015318</t>
  </si>
  <si>
    <t>ЮЛ770101531800000</t>
  </si>
  <si>
    <t>121099 город Москва площадь Смоленская Дом 3   1-ый этаж, Помещение I: комната № 14а, 14ж</t>
  </si>
  <si>
    <t>ЮЛ770101531800001</t>
  </si>
  <si>
    <t>129343 город Москва проезд Серебрякова дом 14 строение 23  этаж 2, помещение №18 (часть), офис В</t>
  </si>
  <si>
    <t>ИП Абрамова Анна Павловна</t>
  </si>
  <si>
    <t>771882964985</t>
  </si>
  <si>
    <t>ИП7701005873</t>
  </si>
  <si>
    <t>ИП770100587300000</t>
  </si>
  <si>
    <t>107241 город Москва проезд Черницынский Дом 3 Строение 3</t>
  </si>
  <si>
    <t>ООО "ЮВЕЛИРНАЯ ФАБРИКА "АЛЬДЗЕНА"</t>
  </si>
  <si>
    <t>7718849756</t>
  </si>
  <si>
    <t>ЮЛ7701006028</t>
  </si>
  <si>
    <t>ЮЛ770100602800000</t>
  </si>
  <si>
    <t>123112 город Москва набережная Пресненская дом 12   77 этаж, офис 7701, часть помещений №№ 1,2,3,4,5</t>
  </si>
  <si>
    <t>ООО "ВРЕМЯ ЗОЛОТА"</t>
  </si>
  <si>
    <t>7718873460</t>
  </si>
  <si>
    <t>ЮЛ0001004385</t>
  </si>
  <si>
    <t>ЮЛ000100438500000</t>
  </si>
  <si>
    <t>115114 город Москва проезд 2-й Павелецкий дом 5 строение 1  этаж 1</t>
  </si>
  <si>
    <t>ИП Садовникова Полина Андреевна</t>
  </si>
  <si>
    <t>771887875520</t>
  </si>
  <si>
    <t>ИП7701040082</t>
  </si>
  <si>
    <t>ИП770104008200000</t>
  </si>
  <si>
    <t>119607 город Москва улица Удальцова дом 42   1 этаж</t>
  </si>
  <si>
    <t>ООО "ИРИАДА"</t>
  </si>
  <si>
    <t>7718896604</t>
  </si>
  <si>
    <t>ЮЛ7701013065</t>
  </si>
  <si>
    <t>ЮЛ770101306500000</t>
  </si>
  <si>
    <t>105120 город Москва улица Верхняя Сыромятническая дом 2   антресоль 1 этажа,помещение II, часть комнаты 1, комната 2 и 2а</t>
  </si>
  <si>
    <t>ООО "СТОС"</t>
  </si>
  <si>
    <t>7718967781</t>
  </si>
  <si>
    <t>ЮЛ7701006999</t>
  </si>
  <si>
    <t>ЮЛ770100699900000</t>
  </si>
  <si>
    <t>109462 город Москва улица Юных Ленинцев дом 43/33 строение 2</t>
  </si>
  <si>
    <t>7718994249</t>
  </si>
  <si>
    <t>ЮЛ7701013233</t>
  </si>
  <si>
    <t>ЮЛ770101323300000</t>
  </si>
  <si>
    <t>125373 город Москва бульвар Яна Райниса дом 18 корпус 1</t>
  </si>
  <si>
    <t>ЮЛ770101323300002</t>
  </si>
  <si>
    <t>117405 город Москва улица Дорожная дом 60 корпус 2</t>
  </si>
  <si>
    <t>ИП Агафонов Леонид Сергеевич</t>
  </si>
  <si>
    <t>771900153069</t>
  </si>
  <si>
    <t>ИП7701017815</t>
  </si>
  <si>
    <t>ИП770101781500000</t>
  </si>
  <si>
    <t>127474 город Москва шоссе Дмитровское дом 60   этаж 5, помещение VII, кабинет № 521</t>
  </si>
  <si>
    <t>ИП Крылова Ольга Викторовна</t>
  </si>
  <si>
    <t>771900277106</t>
  </si>
  <si>
    <t>ИП7701006200</t>
  </si>
  <si>
    <t>ИП770100620000000</t>
  </si>
  <si>
    <t>115172 город Москва проезд Гончарный дом 8/40   1-ый этаж, помещение 1, комнаты 1-8</t>
  </si>
  <si>
    <t>ИП Багарада Роман Григорьевич</t>
  </si>
  <si>
    <t>771900334001</t>
  </si>
  <si>
    <t>ИП7701003825</t>
  </si>
  <si>
    <t>ИП770100382500000</t>
  </si>
  <si>
    <t>107014 город Москва 2й Лучевой просек дом 5Г строение 1 этаж 2 комната 29</t>
  </si>
  <si>
    <t>ИП Сарычева Татьяна Анатольевна</t>
  </si>
  <si>
    <t>771910479038</t>
  </si>
  <si>
    <t>ИП7701036579</t>
  </si>
  <si>
    <t>ИП770103657900000</t>
  </si>
  <si>
    <t>107076 город Москва улица Стромынка дом 18 корпус 5  108</t>
  </si>
  <si>
    <t>ИП БЕХТЕРЕВА А.Д.</t>
  </si>
  <si>
    <t>771916698484</t>
  </si>
  <si>
    <t>ИП7701039690</t>
  </si>
  <si>
    <t>ИП770103969000000</t>
  </si>
  <si>
    <t>111141 город Москва улица Кусковская дом 20А Этаж 5  Блок Г Помещение</t>
  </si>
  <si>
    <t>ИП Федоров Алексей Владимирович</t>
  </si>
  <si>
    <t>771919283167</t>
  </si>
  <si>
    <t>ИП7701006015</t>
  </si>
  <si>
    <t>ИП770100601500000</t>
  </si>
  <si>
    <t>127560 город Москва улица Плещеева дом 12а   место 27 этаж 2</t>
  </si>
  <si>
    <t>ООО "АНКАНЕКС"</t>
  </si>
  <si>
    <t>7719230165</t>
  </si>
  <si>
    <t>ЮЛ7701015267</t>
  </si>
  <si>
    <t>ЮЛ770101526700000</t>
  </si>
  <si>
    <t>107023 город Москва переулок Семёновский дом 15   этаж 7 помещение I комната № 16</t>
  </si>
  <si>
    <t>ООО "СМАРТЮВЕЛИР"</t>
  </si>
  <si>
    <t>7719426369</t>
  </si>
  <si>
    <t>ЮЛ7701012714</t>
  </si>
  <si>
    <t>ЮЛ770101271400000</t>
  </si>
  <si>
    <t>123242 город Москва улица Бульвар Новинский дом 31 - - этаж/помещение/комната 8/II/23; 1/I/11</t>
  </si>
  <si>
    <t>ООО "ЭКСПОНЕНТА"</t>
  </si>
  <si>
    <t>7719497225</t>
  </si>
  <si>
    <t>ЮЛ7701006500</t>
  </si>
  <si>
    <t>ЮЛ770100650000000</t>
  </si>
  <si>
    <t>105275 Москва Уткина улица дом 48 строение 1 этаж 3 помещение 20 комната 1-308</t>
  </si>
  <si>
    <t>ООО "НИКА"</t>
  </si>
  <si>
    <t>7719579943</t>
  </si>
  <si>
    <t>ЮЛ7701017325</t>
  </si>
  <si>
    <t>ЮЛ770101732500000</t>
  </si>
  <si>
    <t>107078 город Москва переулок Басманный Дом 7   ПОМЕЩЕНИЕ 2/Н</t>
  </si>
  <si>
    <t>7719677041</t>
  </si>
  <si>
    <t>ЮЛ7701013070</t>
  </si>
  <si>
    <t>ЮЛ770101307000000</t>
  </si>
  <si>
    <t>108801 город Москва улица Потаповская Роща дом 4 корпус 1  Помещение 32 Офис 2</t>
  </si>
  <si>
    <t>ООО "АРТИС"</t>
  </si>
  <si>
    <t>7719735906</t>
  </si>
  <si>
    <t>ЮЛ7701014886</t>
  </si>
  <si>
    <t>ЮЛ770101488600000</t>
  </si>
  <si>
    <t>107023 город Москва улица Малая Семёновская дом 30 строение 10  2 этаж, комната 10-23</t>
  </si>
  <si>
    <t>ИП Кочетков Вячеслав Павлович</t>
  </si>
  <si>
    <t>771976584805</t>
  </si>
  <si>
    <t>ИП7701037222</t>
  </si>
  <si>
    <t>ИП770103722200000</t>
  </si>
  <si>
    <t>107023 город Москва улица Большая Семёновская дом 11 строение 1  2 этаж. комнаты 10-15,17</t>
  </si>
  <si>
    <t>ООО "ПРЕОБРАЖЕНИЕ"</t>
  </si>
  <si>
    <t>7719812251</t>
  </si>
  <si>
    <t>ЮЛ7701014573</t>
  </si>
  <si>
    <t>ЮЛ770101457300000</t>
  </si>
  <si>
    <t>119121 город Москва улица Смоленская дом 5 - - помещение 1 часть комнаты № 28</t>
  </si>
  <si>
    <t>ИП Ермошенко Иван Андреевич</t>
  </si>
  <si>
    <t>771986597296</t>
  </si>
  <si>
    <t>ИП7701005256</t>
  </si>
  <si>
    <t>ИП770100525600000</t>
  </si>
  <si>
    <t>125493 город Москва улица Смольная дом 12   3 этаж  пом. 138в, 138г</t>
  </si>
  <si>
    <t>ИП770100525600002</t>
  </si>
  <si>
    <t>127018 город Москва проезд 2-й Стрелецкий дом 10   ломбард</t>
  </si>
  <si>
    <t>ООО "ЛОМБАРД "ШАНС +"</t>
  </si>
  <si>
    <t>7719891976</t>
  </si>
  <si>
    <t>ЮЛ7701011787</t>
  </si>
  <si>
    <t>ЮЛ770101178700000</t>
  </si>
  <si>
    <t>115088 город Москва улица 2-я Машиностроения дом 17 строение 1  Помещение I, комната №6</t>
  </si>
  <si>
    <t>ИП Дзюбьяк Виктор Тарасович</t>
  </si>
  <si>
    <t>772000078685</t>
  </si>
  <si>
    <t>ИП7701009015</t>
  </si>
  <si>
    <t>ИП770100901500000</t>
  </si>
  <si>
    <t>123056 город Москва переулок Малый Тишинский дом 11/12</t>
  </si>
  <si>
    <t>ИП Стребков Никита Александрович</t>
  </si>
  <si>
    <t>772011574893</t>
  </si>
  <si>
    <t>ИП7701031086</t>
  </si>
  <si>
    <t>ИП770103108600000</t>
  </si>
  <si>
    <t>125130 город Москва проезд Старопетровский дом 1 строение 2  2 этаж, комната 73</t>
  </si>
  <si>
    <t>ИП Меликов Григорий Игоревич</t>
  </si>
  <si>
    <t>772015610101</t>
  </si>
  <si>
    <t>ИП7701007005</t>
  </si>
  <si>
    <t>ИП770100700500000</t>
  </si>
  <si>
    <t>119034 город Москва переулок Пожарский дом 10   квартира 1</t>
  </si>
  <si>
    <t>ИП Маркин Владимир Владимирович</t>
  </si>
  <si>
    <t>772022475446</t>
  </si>
  <si>
    <t>ИП7701011468</t>
  </si>
  <si>
    <t>ИП770101146800000</t>
  </si>
  <si>
    <t>111396 город Москва проспект Зелёный дом 62А</t>
  </si>
  <si>
    <t>ИП Корешкова Марианна Валерьевна</t>
  </si>
  <si>
    <t>772029418408</t>
  </si>
  <si>
    <t>ИП7701006992</t>
  </si>
  <si>
    <t>ИП770100699200000</t>
  </si>
  <si>
    <t>127521 город Москва 17 проезд  Марьиной рощи дом 9   офис 312</t>
  </si>
  <si>
    <t>ИП Москаленко Георгий Владимирович</t>
  </si>
  <si>
    <t>772031932674</t>
  </si>
  <si>
    <t>ИП7701009588</t>
  </si>
  <si>
    <t>ИП770100958800000</t>
  </si>
  <si>
    <t>105484 город Москва улица 16-я Парковая дом 30   этаж 3, помещение I, комната 3</t>
  </si>
  <si>
    <t>ООО "АНЗУ ДЖЕВЕЛРИ"</t>
  </si>
  <si>
    <t>7720323640</t>
  </si>
  <si>
    <t>ЮЛ7701015615</t>
  </si>
  <si>
    <t>ЮЛ770101561500000</t>
  </si>
  <si>
    <t>105120 Город Москва улица Верхняя Сыромятническая дом 2 помещение 2/1  1 этаж, помещение IIб, часть комнаты 1</t>
  </si>
  <si>
    <t>ИП Скобелев Павел Владимирович</t>
  </si>
  <si>
    <t>772065049611</t>
  </si>
  <si>
    <t>ИП7701005214</t>
  </si>
  <si>
    <t>ИП770100521400000</t>
  </si>
  <si>
    <t>119072 город Москва набережная Болотная дом 5 строение 1  этаж 4, помещение 10м2</t>
  </si>
  <si>
    <t>ИП Устинова Оксана Евгеньевна</t>
  </si>
  <si>
    <t>772074419611</t>
  </si>
  <si>
    <t>ИП7701031052</t>
  </si>
  <si>
    <t>ИП770103105200000</t>
  </si>
  <si>
    <t>119002 город Москва улица Арбат дом 38/1 строение 2  помещение 5/1</t>
  </si>
  <si>
    <t>7720901724</t>
  </si>
  <si>
    <t>ЮЛ7701035592</t>
  </si>
  <si>
    <t>ЮЛ770103559200001</t>
  </si>
  <si>
    <t>123557 город Москва переулок Электрический дом 1 строение 20А  помещение 1, комната 7 (часть)</t>
  </si>
  <si>
    <t>ООО "ОПТ ТОРГ"</t>
  </si>
  <si>
    <t>7720902012</t>
  </si>
  <si>
    <t>ЮЛ7701034680</t>
  </si>
  <si>
    <t>ЮЛ770103468000000</t>
  </si>
  <si>
    <t>111394 город Москва улица Мартеновская дом 38 строение 2  комната 20</t>
  </si>
  <si>
    <t>ИП Исаев Алексей Владимирович</t>
  </si>
  <si>
    <t>772090547748</t>
  </si>
  <si>
    <t>ИП7701013236</t>
  </si>
  <si>
    <t>ИП770101323600000</t>
  </si>
  <si>
    <t>105082 город Москва улица Большая Почтовая 36 10  109А</t>
  </si>
  <si>
    <t>ИП Стрелкова Наталья Михайловна</t>
  </si>
  <si>
    <t>772091490639</t>
  </si>
  <si>
    <t>ИП7701019322</t>
  </si>
  <si>
    <t>ИП770101932200000</t>
  </si>
  <si>
    <t>111524 город Москва улица Электродная дом 2 строение 12  Помещение 4</t>
  </si>
  <si>
    <t>ИП Хачатрян Лала Владимировна</t>
  </si>
  <si>
    <t>772091813495</t>
  </si>
  <si>
    <t>ИП7701039057</t>
  </si>
  <si>
    <t>ИП770103905700000</t>
  </si>
  <si>
    <t>111524 город Москва улица Плеханова дом 17   этаж 6, офис 613Д</t>
  </si>
  <si>
    <t>ООО "ЯРКО"</t>
  </si>
  <si>
    <t>7720929416</t>
  </si>
  <si>
    <t>ЮЛ7701037367</t>
  </si>
  <si>
    <t>ЮЛ770103736700000</t>
  </si>
  <si>
    <t>109444 город Москва Сормовская улица дом 6 подвал  комната 10</t>
  </si>
  <si>
    <t>ООО "ЛОМБАРД МОСКОВСКИЙ СИТИ"</t>
  </si>
  <si>
    <t>7721357507</t>
  </si>
  <si>
    <t>ЮЛ7701014637</t>
  </si>
  <si>
    <t>ЮЛ770101463700000</t>
  </si>
  <si>
    <t>109428 ГОРОД МОСКВА ПРОСПЕКТ РЯЗАНСКИЙ ДОМ 8А СТРОЕНИЕ 14  ПОМЕЩЕНИЕ 1/17</t>
  </si>
  <si>
    <t>ООО "ЮЗ "ЗОЛОТОЙ СТАНДАРТ"</t>
  </si>
  <si>
    <t>7721365603</t>
  </si>
  <si>
    <t>ЮЛ7701000655</t>
  </si>
  <si>
    <t>ЮЛ770100065500000</t>
  </si>
  <si>
    <t>109428 город Москва улица 2-я Институтская дом 6 строение 64  2 этаж, часть комнаты №6 в помещении № 11</t>
  </si>
  <si>
    <t>ИП Дрозд Алла Владимировна</t>
  </si>
  <si>
    <t>772136764402</t>
  </si>
  <si>
    <t>ИП7701018841</t>
  </si>
  <si>
    <t>ИП770101884100000</t>
  </si>
  <si>
    <t>105120 город Москва улица Верхняя Сыромятническая дом 2   1 этаж, помещение IIа, часть комнаты 1</t>
  </si>
  <si>
    <t>ИП Молодцова Людмила Александровна</t>
  </si>
  <si>
    <t>772140836040</t>
  </si>
  <si>
    <t>ИП7701037076</t>
  </si>
  <si>
    <t>ИП770103707600000</t>
  </si>
  <si>
    <t>109431 город Москва улица Авиаконструктора Миля дом 4 корпус 1  помещение 2, комнаты 1-8</t>
  </si>
  <si>
    <t>ИП Костров Алексей Игоревич</t>
  </si>
  <si>
    <t>772143242894</t>
  </si>
  <si>
    <t>ИП7701007665</t>
  </si>
  <si>
    <t>ИП770100766500000</t>
  </si>
  <si>
    <t>125284 город Москва проезд 1-й Хорошёвский дом 4 корпус 2  Помещение 1Н, комната 6б</t>
  </si>
  <si>
    <t>ИП Радина Наталья Валерьевна</t>
  </si>
  <si>
    <t>772148378761</t>
  </si>
  <si>
    <t>ИП7701030487</t>
  </si>
  <si>
    <t>ИП770103048700000</t>
  </si>
  <si>
    <t>109431 город Москва бульвар Жулебинский дом 33 корпус 1</t>
  </si>
  <si>
    <t>ИП Лаукайтис Ромас</t>
  </si>
  <si>
    <t>772150507460</t>
  </si>
  <si>
    <t>ИП7701005330</t>
  </si>
  <si>
    <t>ИП770100533000000</t>
  </si>
  <si>
    <t>109444 город Москва улица Ферганская дом 6 строение 1</t>
  </si>
  <si>
    <t>ИП Ордынцев Павел Анатольевич</t>
  </si>
  <si>
    <t>772151902216</t>
  </si>
  <si>
    <t>ИП7701032940</t>
  </si>
  <si>
    <t>ИП770103294000000</t>
  </si>
  <si>
    <t>109652 город Москва улица Люблинская дом 169 корпус 2  этаж 1, помещение №7</t>
  </si>
  <si>
    <t>ИП Плохов Алексей Владимирович</t>
  </si>
  <si>
    <t>772151955722</t>
  </si>
  <si>
    <t>ИП7701006398</t>
  </si>
  <si>
    <t>ИП770100639800000</t>
  </si>
  <si>
    <t>ИП Костальгина Оксана Геннадьевна</t>
  </si>
  <si>
    <t>772153274126</t>
  </si>
  <si>
    <t>ИП7701034152</t>
  </si>
  <si>
    <t>ИП770103415200000</t>
  </si>
  <si>
    <t>107014 город Москва просек 2-й Лучевой дом 5Г строение 1  3 этаж комната 14</t>
  </si>
  <si>
    <t>ИП Хаймович Лия Борисовна</t>
  </si>
  <si>
    <t>772153514610</t>
  </si>
  <si>
    <t>ИП7701018088</t>
  </si>
  <si>
    <t>ИП770101808800000</t>
  </si>
  <si>
    <t>107014 город Москва просек 2-й Лучевой дом 5Г строение 1  комната 318</t>
  </si>
  <si>
    <t>ИП Вахрамеев Дмитрий Сергеевич</t>
  </si>
  <si>
    <t>772153613717</t>
  </si>
  <si>
    <t>ИП7701038861</t>
  </si>
  <si>
    <t>ИП770103886100000</t>
  </si>
  <si>
    <t>105120 город Москва улица Верхняя Сыромятническая дом 2    антресоль 1 этажа, помещение II, чать комнаты 1, салон 210</t>
  </si>
  <si>
    <t>ИП Соболева Кристина Александровна</t>
  </si>
  <si>
    <t>772157420561</t>
  </si>
  <si>
    <t>ИП7701018765</t>
  </si>
  <si>
    <t>ИП770101876500000</t>
  </si>
  <si>
    <t>109052 город Москва проспект Рязанский дом 2 корпус 2  помещение 2/1 часть нежилой комнаты №144 в нежилом помещении №XIV на 2(втором) этаже здания Торгового центра</t>
  </si>
  <si>
    <t>ИП Темникова Ирина Григорьевна</t>
  </si>
  <si>
    <t>772158670099</t>
  </si>
  <si>
    <t>ИП7701005284</t>
  </si>
  <si>
    <t>ИП770100528400000</t>
  </si>
  <si>
    <t>111622 МОСКВА шоссе Новоухтомское  владение 2А   помещение 01-234 и 1-272</t>
  </si>
  <si>
    <t>ИП770100528400001</t>
  </si>
  <si>
    <t>127051 город Москва улица Садовая-Сухаревская дом 2/34 строение 1  3 этаж, офис № 1</t>
  </si>
  <si>
    <t>ИП Величенко Дарья Дмитриевна</t>
  </si>
  <si>
    <t>772161835093</t>
  </si>
  <si>
    <t>ИП7701012701</t>
  </si>
  <si>
    <t>ИП770101270100000</t>
  </si>
  <si>
    <t>105064 город Москва улица Земляной Вал дом 33   1 этаж, часть помещения № XI, комната 92</t>
  </si>
  <si>
    <t>ООО "САВАННА"</t>
  </si>
  <si>
    <t>7721627320</t>
  </si>
  <si>
    <t>ЮЛ7701008667</t>
  </si>
  <si>
    <t>ЮЛ770100866700000</t>
  </si>
  <si>
    <t>105120 город Москва улица Верхняя Сыромятническая дом 2   этаж 1, помещение 2/1, помещение IIб, часть комнаты 1</t>
  </si>
  <si>
    <t>ООО "КАПРИЧЕ"</t>
  </si>
  <si>
    <t>7721638057</t>
  </si>
  <si>
    <t>ЮЛ7701033030</t>
  </si>
  <si>
    <t>ЮЛ770103303000000</t>
  </si>
  <si>
    <t>108808 город Москва улица Центральная дом 24   помещение 19П</t>
  </si>
  <si>
    <t>ООО "СИЛЬВЕРЭКСПО"</t>
  </si>
  <si>
    <t>7721658617</t>
  </si>
  <si>
    <t>ЮЛ7701006442</t>
  </si>
  <si>
    <t>ЮЛ770100644200000</t>
  </si>
  <si>
    <t>109377 город Москва улица Академика Скрябина дом 4</t>
  </si>
  <si>
    <t>ООО "ЛОМБАРД-СР"</t>
  </si>
  <si>
    <t>7721669288</t>
  </si>
  <si>
    <t>ЮЛ7701000650</t>
  </si>
  <si>
    <t>ЮЛ770100065000000</t>
  </si>
  <si>
    <t>109147 Москва Марксистская 3 1  эт 2 пом I ком 12</t>
  </si>
  <si>
    <t>ООО "СИЛЬВЕРДЬЮ"</t>
  </si>
  <si>
    <t>7721700241</t>
  </si>
  <si>
    <t>ЮЛ7701011140</t>
  </si>
  <si>
    <t>ЮЛ770101114000000</t>
  </si>
  <si>
    <t>ООО "КОРПОРАЦИЯ Л-СИЛВЕР"</t>
  </si>
  <si>
    <t>7721804995</t>
  </si>
  <si>
    <t>ЮЛ7701005165</t>
  </si>
  <si>
    <t>ЮЛ770100516500000</t>
  </si>
  <si>
    <t>107140 город Москва Мясницкая улица 24/7 1  1/8А</t>
  </si>
  <si>
    <t>ООО "ГОЛДАКС ТОЧКА РУ"</t>
  </si>
  <si>
    <t>7721816292</t>
  </si>
  <si>
    <t>ЮЛ7701035222</t>
  </si>
  <si>
    <t>ЮЛ770103522200000</t>
  </si>
  <si>
    <t>121353 город Москва шоссе Сколковское дом 25 строение 1 цокольный этаж   помещение 14</t>
  </si>
  <si>
    <t>ООО "ЮВЕТОРГ"</t>
  </si>
  <si>
    <t>7721854788</t>
  </si>
  <si>
    <t>ЮЛ7701000996</t>
  </si>
  <si>
    <t>ЮЛ770100099600000</t>
  </si>
  <si>
    <t>ИП Никитина Татьяна Васильевна</t>
  </si>
  <si>
    <t>772195013976</t>
  </si>
  <si>
    <t>ИП7701005082</t>
  </si>
  <si>
    <t>ИП770100508200000</t>
  </si>
  <si>
    <t>105043 город Москва улица Первомайская дом 42   цоколь, помещение XL</t>
  </si>
  <si>
    <t>ИП Гликин Сергей Яковлевич</t>
  </si>
  <si>
    <t>772195069270</t>
  </si>
  <si>
    <t>ИП7701003995</t>
  </si>
  <si>
    <t>ИП770100399500000</t>
  </si>
  <si>
    <t>105215 город Москва улица 9-я Парковая дом 62   этаж 1, помещение №IV, часть комнаты №1</t>
  </si>
  <si>
    <t>ИП770100399500001</t>
  </si>
  <si>
    <t>125009 город Москва переулок Вознесенский дом 7   1 этаж, помещение №16,17</t>
  </si>
  <si>
    <t>ИП Злобин Максим Александрович</t>
  </si>
  <si>
    <t>772202594869</t>
  </si>
  <si>
    <t>ИП7701010786</t>
  </si>
  <si>
    <t>ИП770101078600000</t>
  </si>
  <si>
    <t>105120 город Москва  улица Верхняя Сыромятническая дом 2   помещение 2/1, 1 этаж, помещение II а, часть комнаты 1 (Салон 112 )</t>
  </si>
  <si>
    <t>ИП Малышева Ольга Викторовна</t>
  </si>
  <si>
    <t>772203006245</t>
  </si>
  <si>
    <t>ИП7701005099</t>
  </si>
  <si>
    <t>ИП770100509900002</t>
  </si>
  <si>
    <t>109147 город Москва улица Воронцовская дом 35Б корпус 3  помещение III (часть) комната 1 цокольный этаж</t>
  </si>
  <si>
    <t>ООО "ГОЛД ТАЙМ"</t>
  </si>
  <si>
    <t>7722285936</t>
  </si>
  <si>
    <t>ЮЛ7701031983</t>
  </si>
  <si>
    <t>ЮЛ770103198300000</t>
  </si>
  <si>
    <t>ООО "МЕГА ГОЛД ГРУПП"</t>
  </si>
  <si>
    <t>7722323187</t>
  </si>
  <si>
    <t>ЮЛ7701009582</t>
  </si>
  <si>
    <t>ЮЛ770100958200000</t>
  </si>
  <si>
    <t>111024 город Москва улица Авиамоторная дом 12   этаж 9, помещение ХХ, комнаты 3д, 3ж, 3к</t>
  </si>
  <si>
    <t>ЮЛ770101053400000</t>
  </si>
  <si>
    <t>115184 город Москва переулок Большой Овчинниковский дом 16</t>
  </si>
  <si>
    <t>ЮЛ770101053400007</t>
  </si>
  <si>
    <t>111024 город Москва улица 2-я Кабельная дом 2 строение 2  помещение Xlll, комната 4</t>
  </si>
  <si>
    <t>ООО "ГУД ДАЙМОНД"</t>
  </si>
  <si>
    <t>7722407126</t>
  </si>
  <si>
    <t>ЮЛ7701010332</t>
  </si>
  <si>
    <t>ЮЛ770101033200000</t>
  </si>
  <si>
    <t>111024 город Москва улица 2-я Кабельная дом 2 строение 6  помещение 43 (кабинет 2306)</t>
  </si>
  <si>
    <t>ООО "ИМПЕРАТОРСКИЙ БУТИК"</t>
  </si>
  <si>
    <t>7722472990</t>
  </si>
  <si>
    <t>ЮЛ7701016229</t>
  </si>
  <si>
    <t>ЮЛ770101622900000</t>
  </si>
  <si>
    <t>111033 город Москва улица Золоторожский вал дом 11 строение 21  помещ. 1/1</t>
  </si>
  <si>
    <t>ООО "КОР ДИЗАЙН"</t>
  </si>
  <si>
    <t>7722525899</t>
  </si>
  <si>
    <t>ЮЛ7701005283</t>
  </si>
  <si>
    <t>ЮЛ770100528300000</t>
  </si>
  <si>
    <t>127030 город Москва улица Сущёвская дом 27 Строение 2  ПОМЕЩЕНИЕ 3/3/3</t>
  </si>
  <si>
    <t>ООО "ЭС ПИ ЭС ТРЕЙДИНГ"</t>
  </si>
  <si>
    <t>7722656517</t>
  </si>
  <si>
    <t>ЮЛ7701015085</t>
  </si>
  <si>
    <t>ЮЛ770101508500000</t>
  </si>
  <si>
    <t>107023 город Москва улица Большая Семёновская дом 11 строение 11  1 этаж, комнаты 13а, 14</t>
  </si>
  <si>
    <t>ООО ТД "ФАВОР"</t>
  </si>
  <si>
    <t>7722718989</t>
  </si>
  <si>
    <t>ЮЛ7701006303</t>
  </si>
  <si>
    <t>ЮЛ770100630300000</t>
  </si>
  <si>
    <t>119019 город Москва переулок Большой Знаменский дом 2 строение 4  Цокольный этаж, комната № 16ц</t>
  </si>
  <si>
    <t>ООО "БРИЛЛИОН - ЯКУТСКИЕ БРИЛЛИАНТЫ"</t>
  </si>
  <si>
    <t>7722761504</t>
  </si>
  <si>
    <t>ЮЛ7701018946</t>
  </si>
  <si>
    <t>ЮЛ770101894600000</t>
  </si>
  <si>
    <t>111024 город Москва улица 2-я Кабельная дом 2 строение 19</t>
  </si>
  <si>
    <t>ООО "ИМД"</t>
  </si>
  <si>
    <t>7722777825</t>
  </si>
  <si>
    <t>ЮЛ7701004655</t>
  </si>
  <si>
    <t>ЮЛ770100465500000</t>
  </si>
  <si>
    <t>111116 город Москва улица Энергетическая дом 7   113</t>
  </si>
  <si>
    <t>ООО ИНСТАЛЛЯЦИОННАЯ КОМПАНИЯ "ПРИОРИТИ"</t>
  </si>
  <si>
    <t>7722781444</t>
  </si>
  <si>
    <t>ЮЛ7701032239</t>
  </si>
  <si>
    <t>ЮЛ770103223900000</t>
  </si>
  <si>
    <t>111024 город Москва улица 2-я Кабельная дом 2 строение 6  этаж 4, помещение 2</t>
  </si>
  <si>
    <t>ООО "ХОМ ШОППИНГ РАША"</t>
  </si>
  <si>
    <t>7722807332</t>
  </si>
  <si>
    <t>ЮЛ7701011802</t>
  </si>
  <si>
    <t>ЮЛ770101180200000</t>
  </si>
  <si>
    <t>105120 город Москва переулок Хлебников дом 2   2 этаж, комната 3</t>
  </si>
  <si>
    <t>ИП Козлова Светлана Мечиславовна</t>
  </si>
  <si>
    <t>772301314079</t>
  </si>
  <si>
    <t>ИП7701008979</t>
  </si>
  <si>
    <t>ИП770100897900000</t>
  </si>
  <si>
    <t>109386 город Москва улица Совхозная дом 39   помещение 19</t>
  </si>
  <si>
    <t>ИП Руди Владлен Владимирович</t>
  </si>
  <si>
    <t>772319697136</t>
  </si>
  <si>
    <t>ИП7701008916</t>
  </si>
  <si>
    <t>ИП770100891600000</t>
  </si>
  <si>
    <t>115432 город Москва улица Трофимова дом 33</t>
  </si>
  <si>
    <t>ИП Кузнецова Юлия Николаевна</t>
  </si>
  <si>
    <t>772326866201</t>
  </si>
  <si>
    <t>ИП7701030830</t>
  </si>
  <si>
    <t>ИП770103083000000</t>
  </si>
  <si>
    <t>107076 город Москва улица Стромынка дом 18 корпус 7  этаж 1, пом. VI</t>
  </si>
  <si>
    <t>ИП Жуков Михаил Андреевич</t>
  </si>
  <si>
    <t>772338465941</t>
  </si>
  <si>
    <t>ИП7701006159</t>
  </si>
  <si>
    <t>ИП770100615900000</t>
  </si>
  <si>
    <t>109388 город Москва улица Шоссейная дом 31 корпус 2</t>
  </si>
  <si>
    <t>ООО "ОДА ЛОМБАРД"</t>
  </si>
  <si>
    <t>7723525740</t>
  </si>
  <si>
    <t>ЮЛ7701038062</t>
  </si>
  <si>
    <t>ЮЛ770103806200000</t>
  </si>
  <si>
    <t>129075 город Москва бульвар Звёздный дом 34 корпус 1</t>
  </si>
  <si>
    <t>ИП Торосян Ноемзар Лазировна</t>
  </si>
  <si>
    <t>772355475756</t>
  </si>
  <si>
    <t>ИП7701039370</t>
  </si>
  <si>
    <t>ИП770103937000000</t>
  </si>
  <si>
    <t>123098 город Москва улица Маршала Новикова дом 2 корпус 2  помещение: условный номер 4</t>
  </si>
  <si>
    <t>ООО "ЮВЕЛИРНЫЙ ДОМ МИЛЛЕНИУМ"</t>
  </si>
  <si>
    <t>7723562660</t>
  </si>
  <si>
    <t>ЮЛ7701017218</t>
  </si>
  <si>
    <t>ЮЛ770101721800000</t>
  </si>
  <si>
    <t>109386 Город Москва Улица Совхозная Дом 39 подвал помещение I  комната №19</t>
  </si>
  <si>
    <t>7723705943</t>
  </si>
  <si>
    <t>ЮЛ7701003554</t>
  </si>
  <si>
    <t>ЮЛ770100355400000</t>
  </si>
  <si>
    <t>109559 город Москва улица Совхозная дом 41   этаж 1</t>
  </si>
  <si>
    <t>ЮЛ770100355400001</t>
  </si>
  <si>
    <t>124365 город Зеленоград улица Новокрюковская дом 7 - - Часть помещения 110</t>
  </si>
  <si>
    <t>ИП Литвиненко Дмитрий Игоревич</t>
  </si>
  <si>
    <t>772372307039</t>
  </si>
  <si>
    <t>ИП7701006629</t>
  </si>
  <si>
    <t>ИП770100662900003</t>
  </si>
  <si>
    <t>109651 город Москва бульвар Новочеркасский дом 10 корпус 1  комнаты 45, 45а, 45б</t>
  </si>
  <si>
    <t>ИП Руди Станислав Владимирович</t>
  </si>
  <si>
    <t>772374414614</t>
  </si>
  <si>
    <t>ИП7701008933</t>
  </si>
  <si>
    <t>ИП770100893300001</t>
  </si>
  <si>
    <t>119034 город Москва улица Пречистенка дом 30/2   №9, этаж 1</t>
  </si>
  <si>
    <t>ИП Саргсян Грачья Давитович</t>
  </si>
  <si>
    <t>772378866548</t>
  </si>
  <si>
    <t>ИП7701001098</t>
  </si>
  <si>
    <t>ИП770100109800000</t>
  </si>
  <si>
    <t>117574 город Москва проспект Новоясеневский владение 2Б строение 2</t>
  </si>
  <si>
    <t>ЮЛ770101324600066</t>
  </si>
  <si>
    <t>115551 город Москва шоссе Каширское дом 106   помещ. 98</t>
  </si>
  <si>
    <t>ЮЛ770101324600067</t>
  </si>
  <si>
    <t>127081 город Москва проезд Дежнёва дом 29 корпус 1</t>
  </si>
  <si>
    <t>ЮЛ770101324600070</t>
  </si>
  <si>
    <t>127322 город Москва улица Яблочкова дом 21 строение 3</t>
  </si>
  <si>
    <t>ЮЛ770101324600071</t>
  </si>
  <si>
    <t>109548 город Москва улица Шоссейная дом 4 корпус 1</t>
  </si>
  <si>
    <t>ЮЛ770101324600074</t>
  </si>
  <si>
    <t>117628 город Москва бульвар Дмитрия Донского дом 1</t>
  </si>
  <si>
    <t>ЮЛ770101324600079</t>
  </si>
  <si>
    <t>107370 город Москва шоссе Открытое дом 5 корпус 6  помещ. V</t>
  </si>
  <si>
    <t>ЮЛ770101324600081</t>
  </si>
  <si>
    <t>119634 город Москва улица Шолохова дом 15А</t>
  </si>
  <si>
    <t>ЮЛ770101324600083</t>
  </si>
  <si>
    <t>115116 город Москва улица Весёлая дом 2   офис 1</t>
  </si>
  <si>
    <t>ИП Добротворский Александр Аркадьевич</t>
  </si>
  <si>
    <t>772392111429</t>
  </si>
  <si>
    <t>ИП2304037837</t>
  </si>
  <si>
    <t>ИП230403783700000</t>
  </si>
  <si>
    <t>115088 город Москва улица Южнопортовая дом 13 строение 1  этаж 3, помещение V, ком. 7А</t>
  </si>
  <si>
    <t>ООО "МИККОНТ"</t>
  </si>
  <si>
    <t>7723927103</t>
  </si>
  <si>
    <t>ЮЛ7701004462</t>
  </si>
  <si>
    <t>ЮЛ770100446200000</t>
  </si>
  <si>
    <t>105118 город Москва улица Буракова дом 27 Корпус 2  Пом. VII Комн. 67</t>
  </si>
  <si>
    <t>ИП Юндалов Алексей Владимирович</t>
  </si>
  <si>
    <t>772395066365</t>
  </si>
  <si>
    <t>ИП7701040041</t>
  </si>
  <si>
    <t>ИП770104004100000</t>
  </si>
  <si>
    <t>115563 город Москва Борисовский проезд дом 14 корпус 1</t>
  </si>
  <si>
    <t>ИП Логашева Юлия Рудольфовна</t>
  </si>
  <si>
    <t>772401818707</t>
  </si>
  <si>
    <t>ИП7701002230</t>
  </si>
  <si>
    <t>ИП770100223000000</t>
  </si>
  <si>
    <t>115583 город Москва бульвар Ореховый дом 14 корпус 3  помещение 59</t>
  </si>
  <si>
    <t>ИП Докучаева Яна Георгиевна</t>
  </si>
  <si>
    <t>772401940753</t>
  </si>
  <si>
    <t>ИП7701007295</t>
  </si>
  <si>
    <t>ИП770100729500000</t>
  </si>
  <si>
    <t>115404 город Москва улица 1-я Стекольная дом 7 корпус 7  Помещение 1/1 Сектор № XX,комната 8</t>
  </si>
  <si>
    <t>ИП Халенков Иван Петрович</t>
  </si>
  <si>
    <t>772413967580</t>
  </si>
  <si>
    <t>ИП7701004586</t>
  </si>
  <si>
    <t>ИП770100458600000</t>
  </si>
  <si>
    <t>121059 город Москва улица Большая Дорогомиловская дом 1</t>
  </si>
  <si>
    <t>ИП Саркисян Давид Арманович</t>
  </si>
  <si>
    <t>772415026532</t>
  </si>
  <si>
    <t>ИП7701038329</t>
  </si>
  <si>
    <t>ИП770103832900000</t>
  </si>
  <si>
    <t>115533 город Москва улица Нагатинская дом 5</t>
  </si>
  <si>
    <t>ЮЛ770100419400000</t>
  </si>
  <si>
    <t>109341 город Москва улица Перерва дом 43 корпус 1</t>
  </si>
  <si>
    <t>ЮЛ770100419400001</t>
  </si>
  <si>
    <t>117447 город Москва улица Большая Черёмушкинская дом 1</t>
  </si>
  <si>
    <t>ЮЛ770100419400002</t>
  </si>
  <si>
    <t>111024 город Москва шоссе Энтузиастов дом 12 корпус 2</t>
  </si>
  <si>
    <t>ЮЛ770100419400005</t>
  </si>
  <si>
    <t>129226 город Москва проспект Мира дом 211 корпус 2</t>
  </si>
  <si>
    <t>ЮЛ770100419400006</t>
  </si>
  <si>
    <t>ЮЛ770100419400008</t>
  </si>
  <si>
    <t>123112 город Москва набережная Пресненская дом 2   помещение Anchor 13</t>
  </si>
  <si>
    <t>ЮЛ770100419400009</t>
  </si>
  <si>
    <t>115035 город Москва улица Пятницкая дом 20 строение 1</t>
  </si>
  <si>
    <t>ЮЛ770100419400013</t>
  </si>
  <si>
    <t>119602 город Москва улица Мичуринский проспект.Олимпийская деревня дом 3 корпус 1</t>
  </si>
  <si>
    <t>ЮЛ770100419400016</t>
  </si>
  <si>
    <t>119002 город Москва улица Арбат дом 12 строение 1</t>
  </si>
  <si>
    <t>ЮЛ770100419400017</t>
  </si>
  <si>
    <t>ЮЛ770100419400020</t>
  </si>
  <si>
    <t>ЮЛ770100419400022</t>
  </si>
  <si>
    <t>105005 город Москва улица Бауманская дом 32 строение 2</t>
  </si>
  <si>
    <t>ЮЛ770100419400023</t>
  </si>
  <si>
    <t>105187 город Москва шоссе Измайловское дом 71 корпус а</t>
  </si>
  <si>
    <t>ЮЛ770100419400026</t>
  </si>
  <si>
    <t>ЮЛ770100419400036</t>
  </si>
  <si>
    <t>ЮЛ770100419400037</t>
  </si>
  <si>
    <t>125363 город Москва улица Сходненская дом 56</t>
  </si>
  <si>
    <t>ЮЛ770100419400039</t>
  </si>
  <si>
    <t>127495 город Москва шоссе Дмитровское дом 163А корпус 1</t>
  </si>
  <si>
    <t>ЮЛ770100419400040</t>
  </si>
  <si>
    <t>142770 город Москва шоссе Калужское 21-й км</t>
  </si>
  <si>
    <t>ЮЛ770100419400041</t>
  </si>
  <si>
    <t>119607 город Москва проспект Мичуринский дом 27</t>
  </si>
  <si>
    <t>ЮЛ770100419400042</t>
  </si>
  <si>
    <t>117588 город Москва проспект Новоясеневский дом 7</t>
  </si>
  <si>
    <t>ЮЛ770100419400043</t>
  </si>
  <si>
    <t>115522 город Москва шоссе Каширское дом 26</t>
  </si>
  <si>
    <t>ЮЛ770100419400044</t>
  </si>
  <si>
    <t>124575 город Зеленоград площадь Крюковская дом 1</t>
  </si>
  <si>
    <t>ЮЛ770100419400046</t>
  </si>
  <si>
    <t>ЮЛ770100419400047</t>
  </si>
  <si>
    <t>ЮЛ770100419400048</t>
  </si>
  <si>
    <t>125009 город Москва улица Тверская дом 17</t>
  </si>
  <si>
    <t>ЮЛ770100419400049</t>
  </si>
  <si>
    <t>125368 город Москва улица Дубравная дом 34/29</t>
  </si>
  <si>
    <t>ЮЛ770100419400051</t>
  </si>
  <si>
    <t>ЮЛ770100419400052</t>
  </si>
  <si>
    <t>109012 город Москва улица Охотный Ряд дом 2</t>
  </si>
  <si>
    <t>ЮЛ770100419400054</t>
  </si>
  <si>
    <t>108811 город Московский 23-й км Киевского шоссе дом 1</t>
  </si>
  <si>
    <t>ЮЛ770100419400055</t>
  </si>
  <si>
    <t>117216 город Москва улица Старокачаловская дом 5А</t>
  </si>
  <si>
    <t>ЮЛ770100419400134</t>
  </si>
  <si>
    <t>119421 город Москва проспект Ленинский дом 109</t>
  </si>
  <si>
    <t>ЮЛ770100419400136</t>
  </si>
  <si>
    <t>125009 город Москва улица Тверская дом 4</t>
  </si>
  <si>
    <t>ЮЛ770100419400137</t>
  </si>
  <si>
    <t>129110 город Москва проспект Мира дом 45 строение 1</t>
  </si>
  <si>
    <t>ЮЛ770100419400141</t>
  </si>
  <si>
    <t>ЮЛ770100419400144</t>
  </si>
  <si>
    <t>115193 город Москва улица 7-я Кожуховская дом 9</t>
  </si>
  <si>
    <t>ЮЛ770100419400145</t>
  </si>
  <si>
    <t>ЮЛ770100419400146</t>
  </si>
  <si>
    <t>ЮЛ770100419400147</t>
  </si>
  <si>
    <t>117519 город Москва улица Красного Маяка дом 2Б   помещение 11</t>
  </si>
  <si>
    <t>ЮЛ770100419400148</t>
  </si>
  <si>
    <t>129594 город Москва улица Шереметьевская дом 6 корпус 1</t>
  </si>
  <si>
    <t>ЮЛ770100419400153</t>
  </si>
  <si>
    <t>123007 город Москва шоссе Хорошёвское дом 27</t>
  </si>
  <si>
    <t>ЮЛ770100419400154</t>
  </si>
  <si>
    <t>121352 город Москва проспект Кутузовский дом 57</t>
  </si>
  <si>
    <t>ЮЛ770100419400156</t>
  </si>
  <si>
    <t>117420 город Москва улица Профсоюзная дом 61А</t>
  </si>
  <si>
    <t>ЮЛ770100419400157</t>
  </si>
  <si>
    <t>ЮЛ770100419400158</t>
  </si>
  <si>
    <t>127562 город Москва улица Декабристов дом 12</t>
  </si>
  <si>
    <t>ЮЛ770100419400159</t>
  </si>
  <si>
    <t>ЮЛ770100419400162</t>
  </si>
  <si>
    <t>117519 город Москва улица Кировоградская дом 13А корпус 1</t>
  </si>
  <si>
    <t>ЮЛ770100419400163</t>
  </si>
  <si>
    <t>ЮЛ770100419400164</t>
  </si>
  <si>
    <t>127030 город Москва улица Новослободская дом 4</t>
  </si>
  <si>
    <t>ЮЛ770100419400165</t>
  </si>
  <si>
    <t>115054 город Москва площадь Павелецкая дом 3   комната 177</t>
  </si>
  <si>
    <t>ЮЛ770100419400235</t>
  </si>
  <si>
    <t>109012 город Москва площадь Красная дом 3   помещение 1/1</t>
  </si>
  <si>
    <t>ЮЛ770100419400236</t>
  </si>
  <si>
    <t>109443 город Москва улица Зеленодольская дом 42   помещение А11</t>
  </si>
  <si>
    <t>ЮЛ770100419400237</t>
  </si>
  <si>
    <t>108811 поселение Московский, деревня Лапшинка  владение 8 корпус 11  нежилое помещение №11ж</t>
  </si>
  <si>
    <t>ЮЛ770100419400243</t>
  </si>
  <si>
    <t>125047 город Москва площадь Тверская Застава дом 4   помещение №А7</t>
  </si>
  <si>
    <t>ЮЛ770100419400247</t>
  </si>
  <si>
    <t>125504 город Москва шоссе Коровинское дом 2</t>
  </si>
  <si>
    <t>ЮЛ770100419400249</t>
  </si>
  <si>
    <t>119180 город Москва улица Большая Якиманка дом 24   1 этаж, помещение №1, комнаты №№138а, 138б</t>
  </si>
  <si>
    <t>ИП Петросян Лерник Аркадьевич</t>
  </si>
  <si>
    <t>772425680222</t>
  </si>
  <si>
    <t>ИП7701039030</t>
  </si>
  <si>
    <t>ИП770103903000000</t>
  </si>
  <si>
    <t>115280 город Москва улица Ленинская Слобода дом 19   1 этаж, комната 41Т1А8</t>
  </si>
  <si>
    <t>ООО "ЯНА"</t>
  </si>
  <si>
    <t>7724365320</t>
  </si>
  <si>
    <t>ЮЛ7701013943</t>
  </si>
  <si>
    <t>ЮЛ770101394300000</t>
  </si>
  <si>
    <t>121108 город Москва проспект Кутузовский дом 48   1 этаж, помещение  №1, комнаты №№ 43, 43а, 43б, 43в, 43г</t>
  </si>
  <si>
    <t>ЮЛ770101394300001</t>
  </si>
  <si>
    <t>115230 город Москва шоссе Каширское дом 12   этаж 2, помещение ||, часть комнаты №2</t>
  </si>
  <si>
    <t>ООО "АВМ"</t>
  </si>
  <si>
    <t>7724375007</t>
  </si>
  <si>
    <t>ЮЛ7701030845</t>
  </si>
  <si>
    <t>ЮЛ770103084500000</t>
  </si>
  <si>
    <t>125493 город Москва улица Смольная дом 12   2 этаж, Помещения № 24в, 24г, 24е, 24ж, 24з, 24к, 24л, 24м</t>
  </si>
  <si>
    <t>АО "МЕЛВИС"</t>
  </si>
  <si>
    <t>7724409898</t>
  </si>
  <si>
    <t>ЮЛ7701011224</t>
  </si>
  <si>
    <t>ЮЛ770101122400000</t>
  </si>
  <si>
    <t>121059 город Москва набережная Бережковская дом 16А строение 5  помещение 8</t>
  </si>
  <si>
    <t>ООО "ПАНАЦЕЯ"</t>
  </si>
  <si>
    <t>7724423821</t>
  </si>
  <si>
    <t>ЮЛ7701002191</t>
  </si>
  <si>
    <t>ЮЛ770100219100000</t>
  </si>
  <si>
    <t>115533 город Москва улица Нагатинская дом 5   помещения №304, 311, 314, 315, 320, 322, 324</t>
  </si>
  <si>
    <t>ЮЛ770100219100001</t>
  </si>
  <si>
    <t>117519 город Москва улица Кировоградская дом 13А   помещение 125А</t>
  </si>
  <si>
    <t>ЮЛ770100219100006</t>
  </si>
  <si>
    <t>105064 город Москва улица Земляной Вал дом 33   помещение 26Н</t>
  </si>
  <si>
    <t>ЮЛ770100219100007</t>
  </si>
  <si>
    <t>125252 город Москва бульвар Ходынский дом 4   помещение №03К-1011</t>
  </si>
  <si>
    <t>ЮЛ770100219100008</t>
  </si>
  <si>
    <t>ЮЛ770100219100011</t>
  </si>
  <si>
    <t>123112 город Москва Пресненская набережная 2   помещение 1Н/6</t>
  </si>
  <si>
    <t>ЮЛ770100219100015</t>
  </si>
  <si>
    <t>115580 город Москва улица Шипиловская дом 58 корпус 1  этаж 1, комната 112</t>
  </si>
  <si>
    <t>ИП Митюнина Галина Валерьевна</t>
  </si>
  <si>
    <t>772443668718</t>
  </si>
  <si>
    <t>ИП7701004617</t>
  </si>
  <si>
    <t>ИП770100461700000</t>
  </si>
  <si>
    <t>117545 город Москва Варшавское шоссе дом 129 корпус 2, строение 2  офис помещение I</t>
  </si>
  <si>
    <t>ООО "СЕРЕБРЯНЫЕ КРЫЛЬЯ"</t>
  </si>
  <si>
    <t>7724449227</t>
  </si>
  <si>
    <t>ЮЛ7701002536</t>
  </si>
  <si>
    <t>ЮЛ770100253600000</t>
  </si>
  <si>
    <t>115404 город Москва улица Бирюлёвская дом 24 корпус 1  помещение 3, комната 2, офис 125</t>
  </si>
  <si>
    <t>ИП Сломова Виктория Витальевна</t>
  </si>
  <si>
    <t>772445024684</t>
  </si>
  <si>
    <t>ИП7701010450</t>
  </si>
  <si>
    <t>ИП770101045000000</t>
  </si>
  <si>
    <t>119146 город Москва проспект Комсомольский  дом 7 строение 2  4 Этаж, Комната № 8</t>
  </si>
  <si>
    <t>ИП Калашникова Ирина Александровна</t>
  </si>
  <si>
    <t>772457526618</t>
  </si>
  <si>
    <t>ИП7701014585</t>
  </si>
  <si>
    <t>ИП770101458500000</t>
  </si>
  <si>
    <t>115583 город Москва улица Ясеневая дом 26   этаж 3 помещение 1 комната № 3</t>
  </si>
  <si>
    <t>ООО "ОНИКСЪ-К"</t>
  </si>
  <si>
    <t>7724578783</t>
  </si>
  <si>
    <t>ЮЛ7701003829</t>
  </si>
  <si>
    <t>ЮЛ770100382900000</t>
  </si>
  <si>
    <t>117556 город Москва шоссе Варшавское дом 77 корпус 2  помещение II</t>
  </si>
  <si>
    <t>ООО "АЛЬФА ИНВЕСТ"</t>
  </si>
  <si>
    <t>7724594908</t>
  </si>
  <si>
    <t>ЮЛ7701006550</t>
  </si>
  <si>
    <t>ЮЛ770100655000000</t>
  </si>
  <si>
    <t>108814 город Москва проспект Куприна дом 24 корпус 1  кладовое помещение №38К</t>
  </si>
  <si>
    <t>ИП Шестернева Кристина Сергеевна</t>
  </si>
  <si>
    <t>772461291782</t>
  </si>
  <si>
    <t>ИП7701031769</t>
  </si>
  <si>
    <t>ИП770103176900000</t>
  </si>
  <si>
    <t>109341 город Москва улица Братиславская дом 6   311</t>
  </si>
  <si>
    <t>ИП Фриман Александр Сергеевич</t>
  </si>
  <si>
    <t>772465016219</t>
  </si>
  <si>
    <t>ИП7701008579</t>
  </si>
  <si>
    <t>ИП770100857900000</t>
  </si>
  <si>
    <t>129345 город Москва улица Малыгина дом 7   комната 2, (часть) Павильон 4</t>
  </si>
  <si>
    <t>ИП770100857900001</t>
  </si>
  <si>
    <t>117463 город Москва улица Паустовского дом 1   этаж 2, комната 1</t>
  </si>
  <si>
    <t>ИП770100857900002</t>
  </si>
  <si>
    <t>111531 город Москва улица Саянская дом 7А</t>
  </si>
  <si>
    <t>ИП770100857900004</t>
  </si>
  <si>
    <t>119421 город Москва проспект Ленинский дом 101   помещение 1, этаж 1,часть комнаты № 2 (условный № 9 ряд А)</t>
  </si>
  <si>
    <t>ИП770100857900008</t>
  </si>
  <si>
    <t>101000 город Москва улица Снайперская Дом 9 "Б"</t>
  </si>
  <si>
    <t>ИП770100857900009</t>
  </si>
  <si>
    <t>107150 город Москва улица Ивантеевская дом 25А   13</t>
  </si>
  <si>
    <t>ИП770100857900012</t>
  </si>
  <si>
    <t>127322 город Москва улица Яблочкова дом 21А</t>
  </si>
  <si>
    <t>ИП770100857900013</t>
  </si>
  <si>
    <t>ИП Седова Юлия Вадимовна</t>
  </si>
  <si>
    <t>772471911227</t>
  </si>
  <si>
    <t>ИП7701032365</t>
  </si>
  <si>
    <t>ИП770103236500000</t>
  </si>
  <si>
    <t>109125 город Москва улица Саратовская дом 18/10   этаж 1, помещение III, комната 13-20</t>
  </si>
  <si>
    <t>ООО "ГЛОРИЯ"</t>
  </si>
  <si>
    <t>7724722518</t>
  </si>
  <si>
    <t>ЮЛ7701001544</t>
  </si>
  <si>
    <t>ЮЛ770100154400000</t>
  </si>
  <si>
    <t>115093 город Москва Партийный переулок дом 1 корпус 58, строение 2   этаж 4, офис 37</t>
  </si>
  <si>
    <t>ИП Нюхалова Эльмира Андреевна</t>
  </si>
  <si>
    <t>772472911660</t>
  </si>
  <si>
    <t>ИП7701013639</t>
  </si>
  <si>
    <t>ИП770101363900000</t>
  </si>
  <si>
    <t>111395 город Москва аллея Маёвки Первой дом 15 строение 2  ПОМЕЩЕНИЕ 108А</t>
  </si>
  <si>
    <t>ИП Тимохов Михаил Сергеевич</t>
  </si>
  <si>
    <t>772472913812</t>
  </si>
  <si>
    <t>ИП7701036883</t>
  </si>
  <si>
    <t>ИП770103688300000</t>
  </si>
  <si>
    <t>105120 город Москва улица Верхняя Сыромятническая дом 2   подвал, помещение II,  часть комнаты 23</t>
  </si>
  <si>
    <t>ИП Михалев Дмитрий Сергеевич</t>
  </si>
  <si>
    <t>772473215401</t>
  </si>
  <si>
    <t>ИП7701002059</t>
  </si>
  <si>
    <t>ИП770100205900000</t>
  </si>
  <si>
    <t>107045 город Москва улица Печатников переулок дом 12   этаж 1, помещение XII, комната № 2</t>
  </si>
  <si>
    <t>ООО "ЧАСОВОЙ ЛОМБАРД НА СРЕТЕНКЕ"</t>
  </si>
  <si>
    <t>7724805732</t>
  </si>
  <si>
    <t>ЮЛ7701007614</t>
  </si>
  <si>
    <t>ЮЛ770100761400000</t>
  </si>
  <si>
    <t>117465 город Москва улица Генерала Тюленева дом 29А   этаж 2, помещение II, комнаты (часть) 14-20</t>
  </si>
  <si>
    <t>ИП Никитина Ю.А.</t>
  </si>
  <si>
    <t>772484527152</t>
  </si>
  <si>
    <t>ИП7701038901</t>
  </si>
  <si>
    <t>ИП770103890100000</t>
  </si>
  <si>
    <t>115114 город Москва улица Кожевническая дом 7 строение 1  1-й этаж, помещение II, часть комнаты №4</t>
  </si>
  <si>
    <t>ИП Кирейчик Инна Петровна</t>
  </si>
  <si>
    <t>772484753747</t>
  </si>
  <si>
    <t>ИП7701034422</t>
  </si>
  <si>
    <t>ИП770103442200000</t>
  </si>
  <si>
    <t>127204 город Москва шоссе Дмитровское дом 163А   Место киоска КА 18</t>
  </si>
  <si>
    <t>ИП Курбатова Светлана Анатольевна</t>
  </si>
  <si>
    <t>772487840444</t>
  </si>
  <si>
    <t>ИП5001011763</t>
  </si>
  <si>
    <t>ИП500101176300000</t>
  </si>
  <si>
    <t>109147 город Москва улица Марксистская дом 34 корпус 4  Этаж 4, помещение I, комната 8</t>
  </si>
  <si>
    <t>ООО "САНДЕЙДЖЕМ"</t>
  </si>
  <si>
    <t>7724883988</t>
  </si>
  <si>
    <t>ЮЛ7701007076</t>
  </si>
  <si>
    <t>ЮЛ770100707600000</t>
  </si>
  <si>
    <t>ЮЛ770100707600001</t>
  </si>
  <si>
    <t>119002 город Москва улица Арбат дом 43   помещение I комнаты 1-6; этаж 1 помещение I комнаты 1- 6,е,ж</t>
  </si>
  <si>
    <t>ИП Беляев Сергей Николаевич</t>
  </si>
  <si>
    <t>772491516867</t>
  </si>
  <si>
    <t>ИП7701010519</t>
  </si>
  <si>
    <t>ИП770101051900000</t>
  </si>
  <si>
    <t>115533 город Москва проспект Андропова дом 22         7 этаж  Помещение №1, комната № 29а, 29б,29в</t>
  </si>
  <si>
    <t>ИП Кориков Сергей Александрович</t>
  </si>
  <si>
    <t>772497625333</t>
  </si>
  <si>
    <t>ИП5001014029</t>
  </si>
  <si>
    <t>ИП500101402900000</t>
  </si>
  <si>
    <t>115088 город Москва улица 2-я Машиностроения дом 17 строение 1  помещение II, 1 комната б/н</t>
  </si>
  <si>
    <t>ИП Горленко Ольга Александровна</t>
  </si>
  <si>
    <t>772500056802</t>
  </si>
  <si>
    <t>ИП7701003876</t>
  </si>
  <si>
    <t>ИП770100387600000</t>
  </si>
  <si>
    <t>119334 город Москва Ленинский проспект 37а   234а</t>
  </si>
  <si>
    <t>ИП Узунов Валерий Александрович</t>
  </si>
  <si>
    <t>772500147400</t>
  </si>
  <si>
    <t>ИП7701017238</t>
  </si>
  <si>
    <t>ИП770101723800000</t>
  </si>
  <si>
    <t>109559 город Москва улиа Краснодарская дом 51 корпус 2  комната 109</t>
  </si>
  <si>
    <t>ИП Переверзева Елена Ивановна</t>
  </si>
  <si>
    <t>772501341633</t>
  </si>
  <si>
    <t>ИП7701012840</t>
  </si>
  <si>
    <t>ИП770101284000000</t>
  </si>
  <si>
    <t>109341 город Москва улица Перерва дом 43 корпус 1  комната 30</t>
  </si>
  <si>
    <t>ИП770101284000001</t>
  </si>
  <si>
    <t>117574 город Москва проспект Новоясеневский влд. 2А строение 1</t>
  </si>
  <si>
    <t>ООО "ЛОМБАРД НА ПРАЖСКОЙ"</t>
  </si>
  <si>
    <t>7725105444</t>
  </si>
  <si>
    <t>ЮЛ7701000194</t>
  </si>
  <si>
    <t>ЮЛ770100019400010</t>
  </si>
  <si>
    <t>105120 город Москва улица Верхняя Сыромятническая дом 2   этаж 1, помещение  IIa, часть комнаты 1</t>
  </si>
  <si>
    <t>ООО "РОЗОВЫЙ РАССВЕТ"</t>
  </si>
  <si>
    <t>7725118570</t>
  </si>
  <si>
    <t>ЮЛ7701014053</t>
  </si>
  <si>
    <t>ЮЛ770101405300000</t>
  </si>
  <si>
    <t>127051 город Москва улица Садовая-Сухаревская дом 2/34 строение 1  помещение I, комната 4, внутренний номер 504</t>
  </si>
  <si>
    <t>ИП Кургузов Владислав Романович</t>
  </si>
  <si>
    <t>772512214683</t>
  </si>
  <si>
    <t>ИП7701001440</t>
  </si>
  <si>
    <t>ИП770100144000000</t>
  </si>
  <si>
    <t>127051 город Москва улица Трубная дом 21</t>
  </si>
  <si>
    <t>ИП770100144000001</t>
  </si>
  <si>
    <t>101000 город Москва  улица Чистопрудный бульвар дом 12 корпус 2  офис 20</t>
  </si>
  <si>
    <t>ИП Войнич Мария Сергеевна</t>
  </si>
  <si>
    <t>772515008706</t>
  </si>
  <si>
    <t>ИП7701039223</t>
  </si>
  <si>
    <t>ИП770103922300000</t>
  </si>
  <si>
    <t>109028 город Москва переулок Петропавловский дом 4-6 стр.5, стр.8</t>
  </si>
  <si>
    <t>7725264525</t>
  </si>
  <si>
    <t>ЮЛ7701015373</t>
  </si>
  <si>
    <t>ЮЛ770101537300000</t>
  </si>
  <si>
    <t>109559 город Москва улица Краснодарская дом 57 корпус 3</t>
  </si>
  <si>
    <t>ЮЛ770101248500010</t>
  </si>
  <si>
    <t>109548 город Москва улица Шоссейная дом 4 корпус 1  помещение XI</t>
  </si>
  <si>
    <t>ЮЛ770101248500011</t>
  </si>
  <si>
    <t>115551 город Москва шоссе Каширское дом 106   помещение 98</t>
  </si>
  <si>
    <t>ЮЛ770101248500020</t>
  </si>
  <si>
    <t>ЮЛ770101248500022</t>
  </si>
  <si>
    <t>129327 город Москва улица Енисейская дом 17 корпус 1</t>
  </si>
  <si>
    <t>ЮЛ770101248500023</t>
  </si>
  <si>
    <t>127349 город Москва шоссе Алтуфьевское дом 86</t>
  </si>
  <si>
    <t>ЮЛ770101248500034</t>
  </si>
  <si>
    <t>ЮЛ770101248500038</t>
  </si>
  <si>
    <t>125480 город Москва бульвар Яна Райниса дом 2 корпус 1</t>
  </si>
  <si>
    <t>ЮЛ770101248500039</t>
  </si>
  <si>
    <t>117574 город Москва проспект Новоясеневский дом 2 строение 2</t>
  </si>
  <si>
    <t>ЮЛ770101248500040</t>
  </si>
  <si>
    <t>101000 город Москва улица Большая Лубянка дом 16 корпус 2</t>
  </si>
  <si>
    <t>ООО "БАРОККО"</t>
  </si>
  <si>
    <t>7725312641</t>
  </si>
  <si>
    <t>ЮЛ7701032758</t>
  </si>
  <si>
    <t>ЮЛ770103275800000</t>
  </si>
  <si>
    <t>115088 город Москва улица 2-я Машиностроения дом 17 строение 1  помещение II, комната 3.3</t>
  </si>
  <si>
    <t>ООО "ГРАНИ"</t>
  </si>
  <si>
    <t>7725619425</t>
  </si>
  <si>
    <t>ЮЛ7701003912</t>
  </si>
  <si>
    <t>ЮЛ770100391200000</t>
  </si>
  <si>
    <t>108811 город Москва километр 22-й дом 6А строение 1  помещение №1, часть помещения 301</t>
  </si>
  <si>
    <t>ООО "ЛОГОС"</t>
  </si>
  <si>
    <t>7725630789</t>
  </si>
  <si>
    <t>ЮЛ7701015871</t>
  </si>
  <si>
    <t>ЮЛ770101587100000</t>
  </si>
  <si>
    <t>123112 город Москва набережная Пресненская дом 2   3 этаж, комната № 166, часть комнаты № 253, помещение I</t>
  </si>
  <si>
    <t>ООО "САРБОННА"</t>
  </si>
  <si>
    <t>7725641967</t>
  </si>
  <si>
    <t>ЮЛ7701011745</t>
  </si>
  <si>
    <t>ЮЛ770101174500000</t>
  </si>
  <si>
    <t>117519 город Москва улица Кировоградская дом 13А   1 этаж, помещение № XLVIII, комната №120а, комната №120б</t>
  </si>
  <si>
    <t>ЮЛ770101174500001</t>
  </si>
  <si>
    <t>115114 Москва Кожевническая 7 1  1 этаж,помещение II, комната №2,часть комнаты №4</t>
  </si>
  <si>
    <t>ООО "ЭЛИОН СТАЙЛ"</t>
  </si>
  <si>
    <t>7725641999</t>
  </si>
  <si>
    <t>ЮЛ7701007690</t>
  </si>
  <si>
    <t>ЮЛ770100769000000</t>
  </si>
  <si>
    <t>125375 город Москва улица Тверская 22   -1 этаж ,помещение №1,часть помещения №1ж</t>
  </si>
  <si>
    <t>ЮЛ770100769000002</t>
  </si>
  <si>
    <t>127299 город Москва улица Большая Академическая ДОМ 5   КОМНАТА 121-124А</t>
  </si>
  <si>
    <t>ООО "ТБН ТАЙМ"</t>
  </si>
  <si>
    <t>7725700644</t>
  </si>
  <si>
    <t>ЮЛ7701007282</t>
  </si>
  <si>
    <t>ЮЛ770100728200000</t>
  </si>
  <si>
    <t>127055 город Москва улица Лесная дом 30   этаж 2, помещение №1, комнаты №13,14б, часть комнат №1-6,13а</t>
  </si>
  <si>
    <t>ООО "МАРК ДАЙМОНДС"</t>
  </si>
  <si>
    <t>7725760869</t>
  </si>
  <si>
    <t>ЮЛ7701007686</t>
  </si>
  <si>
    <t>ЮЛ770100768600000</t>
  </si>
  <si>
    <t>119002 город Москва бульвар Смоленский дом 24 строение 2  помещение 11</t>
  </si>
  <si>
    <t>ООО "ГОЛДЕН ТЕХ"</t>
  </si>
  <si>
    <t>7725788590</t>
  </si>
  <si>
    <t>ЮЛ5001005111</t>
  </si>
  <si>
    <t>ЮЛ500100511100000</t>
  </si>
  <si>
    <t>109429 город Москва километр МКАД 14-й дом 2 строение 1, корпус Б  №Б/ТЦ2Д-16а</t>
  </si>
  <si>
    <t>ИП Ильягуев Шарон Хагаевич</t>
  </si>
  <si>
    <t>772584782861</t>
  </si>
  <si>
    <t>ИП7701030077</t>
  </si>
  <si>
    <t>ИП770103007700000</t>
  </si>
  <si>
    <t>119261 город Москва улица Вавилова дом 66   этаж 3, помещение № 357</t>
  </si>
  <si>
    <t>ИП Максимова Светлана Иннокентьевна</t>
  </si>
  <si>
    <t>772601872772</t>
  </si>
  <si>
    <t>ИП7701009651</t>
  </si>
  <si>
    <t>ИП770100965100000</t>
  </si>
  <si>
    <t>119393 город Москва улица Академика Пилюгина дом 10   2 этаж, помещение 85</t>
  </si>
  <si>
    <t>ИП Васильева О.А.</t>
  </si>
  <si>
    <t>772604873446</t>
  </si>
  <si>
    <t>ИП7701038997</t>
  </si>
  <si>
    <t>ИП770103899700000</t>
  </si>
  <si>
    <t>109147 город Москва улица Таганская дом 2   э.1,пом.IV, ч.ком.21</t>
  </si>
  <si>
    <t>ИП Мокриева Ирина Сергеевна</t>
  </si>
  <si>
    <t>772606905083</t>
  </si>
  <si>
    <t>ИП7701007641</t>
  </si>
  <si>
    <t>ИП770100764100000</t>
  </si>
  <si>
    <t>127030 город Москва улица Новослободская дом 4   помещение А-29</t>
  </si>
  <si>
    <t>ИП770100764100002</t>
  </si>
  <si>
    <t>125565 город Москва улица Фестивальная дом 2Б   К1-09</t>
  </si>
  <si>
    <t>ИП770100764100003</t>
  </si>
  <si>
    <t>117639 город Москва проспект Балаклавский дом 5А   143/1</t>
  </si>
  <si>
    <t>ИП770100764100004</t>
  </si>
  <si>
    <t>105005 город Москва улица Фридриха Энгельса дом 46 строение 6</t>
  </si>
  <si>
    <t>ИП Абрамова Дарья Андреевна</t>
  </si>
  <si>
    <t>772618984509</t>
  </si>
  <si>
    <t>ИП7701013511</t>
  </si>
  <si>
    <t>ИП770101351100000</t>
  </si>
  <si>
    <t>107023 город Москва улица Суворовская дом 19 строение 1  этаж 1, помещение № III</t>
  </si>
  <si>
    <t>ИП Лухта Татьяна Александровна</t>
  </si>
  <si>
    <t>772619640780</t>
  </si>
  <si>
    <t>ИП7701004842</t>
  </si>
  <si>
    <t>ИП770100484200000</t>
  </si>
  <si>
    <t>125375 город Москва улица Тверская дом 25/9</t>
  </si>
  <si>
    <t>ИП770100484200001</t>
  </si>
  <si>
    <t>109652 город Москва улица Люблинская дом 169 корпус 2  помещение 52</t>
  </si>
  <si>
    <t>ИП Корешков Иван Семенович</t>
  </si>
  <si>
    <t>772622796392</t>
  </si>
  <si>
    <t>ИП7701040947</t>
  </si>
  <si>
    <t>ИП770104094700000</t>
  </si>
  <si>
    <t>117534 город Москва улица Академика Янгеля дом 6 корпус А</t>
  </si>
  <si>
    <t>ООО "ЛОМБАРД "ЦИЛЕСТА"</t>
  </si>
  <si>
    <t>7726306457</t>
  </si>
  <si>
    <t>ЮЛ7701001193</t>
  </si>
  <si>
    <t>ЮЛ770100119300000</t>
  </si>
  <si>
    <t>117465 город Москва улица Генерала Тюленева дом 41А этаж 1  офис 32</t>
  </si>
  <si>
    <t>ИП Гришина Рамиля Алиазгаровна</t>
  </si>
  <si>
    <t>772635164270</t>
  </si>
  <si>
    <t>ИП7701001843</t>
  </si>
  <si>
    <t>ИП770100184300000</t>
  </si>
  <si>
    <t>109029 город Москва Скотопрогонная дом 27/26 строение 1  этаж 4 офис 405</t>
  </si>
  <si>
    <t>ООО "МЕЛЕ"</t>
  </si>
  <si>
    <t>7726407631</t>
  </si>
  <si>
    <t>ЮЛ7701007742</t>
  </si>
  <si>
    <t>ЮЛ770100774200000</t>
  </si>
  <si>
    <t>115191 город Москва переулок Духовской дом 17   этаж 2, помещение II,комната 4</t>
  </si>
  <si>
    <t>ООО "СФЕРА"</t>
  </si>
  <si>
    <t>7726420872</t>
  </si>
  <si>
    <t>ЮЛ7701002507</t>
  </si>
  <si>
    <t>ЮЛ770100250700000</t>
  </si>
  <si>
    <t>109651 город Москва улица Перерва дом 11 строение 4  помещение 18Н</t>
  </si>
  <si>
    <t>ИП Кайрин Ксения Петровна</t>
  </si>
  <si>
    <t>772645891469</t>
  </si>
  <si>
    <t>ИП7701037747</t>
  </si>
  <si>
    <t>ИП770103774700000</t>
  </si>
  <si>
    <t>117525 город Москва улица Днепропетровская дом 4Б   помещение VII, антресоли 3-го этажа, комната 4</t>
  </si>
  <si>
    <t>ООО "ТК "МЕГАГОЛД"</t>
  </si>
  <si>
    <t>7726467782</t>
  </si>
  <si>
    <t>ЮЛ7701007554</t>
  </si>
  <si>
    <t>ЮЛ770100755400000</t>
  </si>
  <si>
    <t>107023 город Москва улица Большая Семёновская дом 11 строение 1  комната 13</t>
  </si>
  <si>
    <t>ИП Сурков Павел Юрьевич</t>
  </si>
  <si>
    <t>772703791931</t>
  </si>
  <si>
    <t>ИП7701004056</t>
  </si>
  <si>
    <t>ИП770100405600000</t>
  </si>
  <si>
    <t>119002 город Москва улица Арбат дом 43   подвал, помещение 1-комнаты с 1 по 6;этаж 1, помещение 1 комнаты с 1 по 6, е, ж</t>
  </si>
  <si>
    <t>ИП Желуницина Ирина Вячеславовна</t>
  </si>
  <si>
    <t>772705094848</t>
  </si>
  <si>
    <t>ИП7701005620</t>
  </si>
  <si>
    <t>ИП770100562000000</t>
  </si>
  <si>
    <t>127474 город Москва шоссе Дмитровское дом 60   5 этаж Кабинет № 521</t>
  </si>
  <si>
    <t>ООО "ЮВЭЛДИ"</t>
  </si>
  <si>
    <t>7727184709</t>
  </si>
  <si>
    <t>ЮЛ7701006231</t>
  </si>
  <si>
    <t>ЮЛ770100623100000</t>
  </si>
  <si>
    <t>119333 город Москва проспект Ленинский 60/2   этаж 1, часть комнаты №3, комната 3б</t>
  </si>
  <si>
    <t>ООО "ХРОНОС"</t>
  </si>
  <si>
    <t>7727199092</t>
  </si>
  <si>
    <t>ЮЛ7701010778</t>
  </si>
  <si>
    <t>ЮЛ770101077800000</t>
  </si>
  <si>
    <t>117209 город Москва проспект Севастопольский дом 28 корпус 2</t>
  </si>
  <si>
    <t>ИП Черёмина Светлана Павловна</t>
  </si>
  <si>
    <t>772738484219</t>
  </si>
  <si>
    <t>ИП7701006684</t>
  </si>
  <si>
    <t>ИП770100668400000</t>
  </si>
  <si>
    <t>117042 город Москва улица Адмирала Лазарева дом 2   этаж 1</t>
  </si>
  <si>
    <t>ИП770100668400003</t>
  </si>
  <si>
    <t>119602 город Москва улица Покрышкина дом 5</t>
  </si>
  <si>
    <t>ИП770100668400006</t>
  </si>
  <si>
    <t>115563 город Москва шоссе Каширское дом 61Г   1 этаж , часть помещения 1-7</t>
  </si>
  <si>
    <t>ИП770100668400007</t>
  </si>
  <si>
    <t>117292 город Москва улица Шверника дом 4 строение 2  этаж 7,помещение I, комната 709</t>
  </si>
  <si>
    <t>ООО "ЗОЛОТОЕ РЕШЕНИЕ"</t>
  </si>
  <si>
    <t>7727424446</t>
  </si>
  <si>
    <t>ЮЛ7701006118</t>
  </si>
  <si>
    <t>ЮЛ770100611800000</t>
  </si>
  <si>
    <t>115487 город Москва улица Садовники дом 3А</t>
  </si>
  <si>
    <t>ООО "ЧАСОВОЙ ЗАВОД "НИКА"</t>
  </si>
  <si>
    <t>7727428610</t>
  </si>
  <si>
    <t>ЮЛ7701007046</t>
  </si>
  <si>
    <t>ЮЛ770100704600000</t>
  </si>
  <si>
    <t>101000 город Москва бульвар Сретенский Дом 2 Строение 1  этаж 3, помещение №1, комната №27, 27б, 27в)</t>
  </si>
  <si>
    <t>7727621204</t>
  </si>
  <si>
    <t>ЮЛ7701016706</t>
  </si>
  <si>
    <t>ЮЛ770101670600000</t>
  </si>
  <si>
    <t>125252 город Москва бульвар Ходынский дом 20А   2 этаж, помещение 8Е</t>
  </si>
  <si>
    <t>ИП Павлов Александр Юрьевич</t>
  </si>
  <si>
    <t>772765020760</t>
  </si>
  <si>
    <t>ИП7701001249</t>
  </si>
  <si>
    <t>ИП770100124900000</t>
  </si>
  <si>
    <t>125315 город Москва проспект Ленинградский дом 76А   этаж 1 помещение II часть комнаты 55</t>
  </si>
  <si>
    <t>ИП Задирака Олег Леонидович</t>
  </si>
  <si>
    <t>772765623711</t>
  </si>
  <si>
    <t>ИП7701037228</t>
  </si>
  <si>
    <t>ИП770103722800000</t>
  </si>
  <si>
    <t>117452 город Москва бульвар Черноморский дом 17 корпус 1  1/1/4</t>
  </si>
  <si>
    <t>ООО "СТАЙЛ-РУ"</t>
  </si>
  <si>
    <t>7727818747</t>
  </si>
  <si>
    <t>ЮЛ7701006634</t>
  </si>
  <si>
    <t>ЮЛ770100663400000</t>
  </si>
  <si>
    <t>117041 город Москва улица Намёткина 16 2 - -</t>
  </si>
  <si>
    <t>ИП Киркоро Оксана Юрьевна</t>
  </si>
  <si>
    <t>772783579952</t>
  </si>
  <si>
    <t>ИП7701040561</t>
  </si>
  <si>
    <t>ИП770104056100000</t>
  </si>
  <si>
    <t>105120 город Москва улица Верхняя Сыромятническая дом 2   этаж 1, помещение IIб, часть комнаты 1</t>
  </si>
  <si>
    <t>ИП Славина Ульяна Николаевна</t>
  </si>
  <si>
    <t>772784449762</t>
  </si>
  <si>
    <t>ИП7701002262</t>
  </si>
  <si>
    <t>ИП770100226200000</t>
  </si>
  <si>
    <t>121059 город Москва площадь Киевского Вокзала дом 2   этаж первый,помещение I,комната 96,"Европейский"</t>
  </si>
  <si>
    <t>ИП770100226200001</t>
  </si>
  <si>
    <t>123112 город Москва набережная Пресненская дом 8 строение 1  1 этаж, Помещение 1, комната 37 "Салон Д"</t>
  </si>
  <si>
    <t>ИП770100226200002</t>
  </si>
  <si>
    <t>123182 город Москва улица Щукинская Дом 42   помещение 1/1, "Щука"</t>
  </si>
  <si>
    <t>ИП770100226200003</t>
  </si>
  <si>
    <t>105120 город Москва улица Верхняя Сыромятническая дом 2   помещение 2/1, 1 этаж, помещение IIб,часть комнаты 1.,"Салон А"</t>
  </si>
  <si>
    <t>ИП770100226200004</t>
  </si>
  <si>
    <t>105120 город Москва улица Верхняя Сыромятническая дом 2   помещение 2/1,1 этаж, помещение II,часть комнаты 5.,"Салон Х"</t>
  </si>
  <si>
    <t>ИП770100226200005</t>
  </si>
  <si>
    <t>ИП Гольцова Анна Викторовна</t>
  </si>
  <si>
    <t>772798883257</t>
  </si>
  <si>
    <t>ИП7701038456</t>
  </si>
  <si>
    <t>ИП770103845600000</t>
  </si>
  <si>
    <t>103265 город Москва улица Охотный Ряд дом 2   комната 15</t>
  </si>
  <si>
    <t>ИП770103845600001</t>
  </si>
  <si>
    <t>117335 город Москва Проспект Нахимовский  дом 63</t>
  </si>
  <si>
    <t>ООО ТК "ИНТЕРОПТИКА"</t>
  </si>
  <si>
    <t>7728008030</t>
  </si>
  <si>
    <t>ЮЛ7701015083</t>
  </si>
  <si>
    <t>ЮЛ770101508300000</t>
  </si>
  <si>
    <t>119331 город Москва улица Кравченко дом 8   помещение 4</t>
  </si>
  <si>
    <t>ООО "ГЛЕДЕН"</t>
  </si>
  <si>
    <t>7728037496</t>
  </si>
  <si>
    <t>ЮЛ7701030756</t>
  </si>
  <si>
    <t>ЮЛ770103075600000</t>
  </si>
  <si>
    <t>115419 город Москва улица Орджоникидзе дом 11  строение 1А эт.2,пом.№Х комната №6,6а</t>
  </si>
  <si>
    <t>ИП Фесенко Сергей Георгиевич</t>
  </si>
  <si>
    <t>772813331694</t>
  </si>
  <si>
    <t>ИП7701003791</t>
  </si>
  <si>
    <t>ИП770100379100000</t>
  </si>
  <si>
    <t>123308 Москва проспект Маршала Жукова 4</t>
  </si>
  <si>
    <t>АО "ФРЕЙТ ЛИНК"</t>
  </si>
  <si>
    <t>7728142525</t>
  </si>
  <si>
    <t>ЮЛ7701014015</t>
  </si>
  <si>
    <t>ЮЛ770101401500000</t>
  </si>
  <si>
    <t>117041 город Москва улица Адмирала Лазарева дом 62   этаж 1 помещение 2/1</t>
  </si>
  <si>
    <t>ООО ЛОМБАРД "МАГНИТ"</t>
  </si>
  <si>
    <t>7728263329</t>
  </si>
  <si>
    <t>ЮЛ7701009417</t>
  </si>
  <si>
    <t>ЮЛ770100941700000</t>
  </si>
  <si>
    <t>119119 город Москва проспект Ленинский дом 42 Корпус 1-2-3  Комната № 13-22 (Этаж 3, Помещение 1, комната 48)</t>
  </si>
  <si>
    <t>ИП Трофимов Павел Сергеевич</t>
  </si>
  <si>
    <t>772828689926</t>
  </si>
  <si>
    <t>ИП7701006388</t>
  </si>
  <si>
    <t>ИП770100638800000</t>
  </si>
  <si>
    <t>115280 город Москва улица Ленинская Слобода дом 19 строение 2</t>
  </si>
  <si>
    <t>ИП Чичинов Михаил Владимирович</t>
  </si>
  <si>
    <t>772829200400</t>
  </si>
  <si>
    <t>ИП7701002243</t>
  </si>
  <si>
    <t>ИП770100224300000</t>
  </si>
  <si>
    <t>125040 город Москва проспект Ленинградский 10, антресоль 1 помещение VII  комната 1</t>
  </si>
  <si>
    <t>ООО "ВЕРНЫЙ ХОД"</t>
  </si>
  <si>
    <t>7728307551</t>
  </si>
  <si>
    <t>ЮЛ7701031964</t>
  </si>
  <si>
    <t>ЮЛ770103196400000</t>
  </si>
  <si>
    <t>117246 город Москва Научный проезд дом 14А строение 1  помещение 39</t>
  </si>
  <si>
    <t>ООО "ДАРЪ"</t>
  </si>
  <si>
    <t>7728325504</t>
  </si>
  <si>
    <t>ЮЛ7701009661</t>
  </si>
  <si>
    <t>ЮЛ770100966100000</t>
  </si>
  <si>
    <t>123022 город Москва улица 1905 года дом 9 строение 1  помещение 6</t>
  </si>
  <si>
    <t>ООО "СКА ЗЛАТО"</t>
  </si>
  <si>
    <t>7728371243</t>
  </si>
  <si>
    <t>ЮЛ7701012920</t>
  </si>
  <si>
    <t>ЮЛ770101292000000</t>
  </si>
  <si>
    <t>119571 город Москва проспект Вернадского дом 86Б строение 1  этаж 2, помещение В//203</t>
  </si>
  <si>
    <t>ИП Баг Лиа Георгиевна</t>
  </si>
  <si>
    <t>772837214319</t>
  </si>
  <si>
    <t>ИП7701006542</t>
  </si>
  <si>
    <t>ИП770100654200000</t>
  </si>
  <si>
    <t>117246 город Москва улица Обручева дом 31 строение 5, строение 9</t>
  </si>
  <si>
    <t>ЮЛ770100039000000</t>
  </si>
  <si>
    <t>117574 город Москва проспект Новоясеневский  дом 1   этаж 1 ,помещение III, комната №137</t>
  </si>
  <si>
    <t>ЮЛ770100039000003</t>
  </si>
  <si>
    <t>125167 город Москва проспект Ленинградский дом 47 строение 4</t>
  </si>
  <si>
    <t>ООО "ЮД АЭ"</t>
  </si>
  <si>
    <t>7728439011</t>
  </si>
  <si>
    <t>ЮЛ7701009200</t>
  </si>
  <si>
    <t>ЮЛ770100920000000</t>
  </si>
  <si>
    <t>117574 город Москва проезд Одоевского дом 2А   4 этаж, офис 4006</t>
  </si>
  <si>
    <t>ИП Никитин Дмитрий Алексеевич</t>
  </si>
  <si>
    <t>772850028738</t>
  </si>
  <si>
    <t>ИП7701037109</t>
  </si>
  <si>
    <t>ИП770103710900000</t>
  </si>
  <si>
    <t>121248 город Москва проспект Кутузовский дом 1/7   1 этаж, Помещение VII, комната 1,2,3</t>
  </si>
  <si>
    <t>ИП Донник Евгений Иванович</t>
  </si>
  <si>
    <t>772850286009</t>
  </si>
  <si>
    <t>ИП7701033168</t>
  </si>
  <si>
    <t>ИП770103316800000</t>
  </si>
  <si>
    <t>117574 город Москва проезд Одоевского дом 2А   офис 4006</t>
  </si>
  <si>
    <t>ИП Лыков Александр Валерьевич</t>
  </si>
  <si>
    <t>772850487266</t>
  </si>
  <si>
    <t>ИП7701012855</t>
  </si>
  <si>
    <t>ИП770101285500000</t>
  </si>
  <si>
    <t>109147 город Москва улица Таганская дом 32/1 строение 1  Помещение 10,11,16,17</t>
  </si>
  <si>
    <t>ИП Аракелов Самсон Игоревич</t>
  </si>
  <si>
    <t>772851743755</t>
  </si>
  <si>
    <t>ИП7701039549</t>
  </si>
  <si>
    <t>ИП770103954900000</t>
  </si>
  <si>
    <t>115035 город Москва улица Большая Ордынка дом 13/9 строение 1</t>
  </si>
  <si>
    <t>ИП Добрынин Филипп Анатольевич</t>
  </si>
  <si>
    <t>772852693169</t>
  </si>
  <si>
    <t>ИП7701020314</t>
  </si>
  <si>
    <t>ИП770102031400000</t>
  </si>
  <si>
    <t>107045 город Москва переулок Печатников дом 12   этаж 1, помещение XII, комната 5</t>
  </si>
  <si>
    <t>ИП Пасмуров Георгий Станиславович</t>
  </si>
  <si>
    <t>772857294506</t>
  </si>
  <si>
    <t>ИП7701007669</t>
  </si>
  <si>
    <t>ИП770100766900000</t>
  </si>
  <si>
    <t>119571 город Москва проспект Ленинский дом 154   помещение "А", комната 32</t>
  </si>
  <si>
    <t>ООО "ЕВРОМОДА"</t>
  </si>
  <si>
    <t>7728608774</t>
  </si>
  <si>
    <t>ЮЛ7701008100</t>
  </si>
  <si>
    <t>ЮЛ770100810000000</t>
  </si>
  <si>
    <t>123022 город Москва улица 2-я Звенигородская дом 13 строение 19  этаж 3, помещение 1, комната 123</t>
  </si>
  <si>
    <t>ООО "ЛЮКСУРИЯ"</t>
  </si>
  <si>
    <t>7728611801</t>
  </si>
  <si>
    <t>ЮЛ7701014217</t>
  </si>
  <si>
    <t>ЮЛ770101421700000</t>
  </si>
  <si>
    <t>129085 город Москва проспект Мира дом 105 строение 1  помещение 320</t>
  </si>
  <si>
    <t>ИП Васильева Анастасия Олеговна</t>
  </si>
  <si>
    <t>772865161669</t>
  </si>
  <si>
    <t>ИП7701037797</t>
  </si>
  <si>
    <t>ИП770103779700000</t>
  </si>
  <si>
    <t>115191 город Москва переулок Гамсоновский дом 2 строение 5</t>
  </si>
  <si>
    <t>ООО "МЭЙСАКУ"</t>
  </si>
  <si>
    <t>7728659916</t>
  </si>
  <si>
    <t>ЮЛ7701003551</t>
  </si>
  <si>
    <t>ЮЛ770100355100000</t>
  </si>
  <si>
    <t>115191 город Москва переулок Духовской дом 17 строение 11</t>
  </si>
  <si>
    <t>ИП Сердюкова Юлия Александровна</t>
  </si>
  <si>
    <t>772873253401</t>
  </si>
  <si>
    <t>ИП7701033402</t>
  </si>
  <si>
    <t>ИП770103340200000</t>
  </si>
  <si>
    <t>125493 город Москва улица Смольная дом 12   помещения №№106з, 118</t>
  </si>
  <si>
    <t>ООО "ЮК "ПЕРВЫЙ КВАДРАТ"</t>
  </si>
  <si>
    <t>7728778840</t>
  </si>
  <si>
    <t>ЮЛ7701004904</t>
  </si>
  <si>
    <t>ЮЛ770100490400000</t>
  </si>
  <si>
    <t>115191 город Москва переулок Духовской дом 17 строение 13  помещение 2</t>
  </si>
  <si>
    <t>ИП Сердюков Александр Александрович</t>
  </si>
  <si>
    <t>772878260018</t>
  </si>
  <si>
    <t>ИП7701004779</t>
  </si>
  <si>
    <t>ИП770100477900000</t>
  </si>
  <si>
    <t>117292 город Москва проспект 60-летия Октября дом 16 корпус 1</t>
  </si>
  <si>
    <t>ИП Зурина Ирина Анатольевна</t>
  </si>
  <si>
    <t>772905420175</t>
  </si>
  <si>
    <t>ИП7701032960</t>
  </si>
  <si>
    <t>ИП770103296000000</t>
  </si>
  <si>
    <t>101000 Москва Новодмитровская 5А 3  6 этаж, помещение №1,комната 9</t>
  </si>
  <si>
    <t>ИП ДЖАПАРИДЗЕ С. Г.</t>
  </si>
  <si>
    <t>772919423602</t>
  </si>
  <si>
    <t>ИП7701040011</t>
  </si>
  <si>
    <t>ИП770104001100000</t>
  </si>
  <si>
    <t>125424 город Москва тупик Сходненский дом 16   Помещение 4/1</t>
  </si>
  <si>
    <t>ООО "АБСОЛВЕНТ"</t>
  </si>
  <si>
    <t>7729666987</t>
  </si>
  <si>
    <t>ЮЛ7701002348</t>
  </si>
  <si>
    <t>ЮЛ770100234800000</t>
  </si>
  <si>
    <t>125362 город Москва улица Свободы дом 35 строение 18  Этаж 5, помещение VII, комнаты 11-14</t>
  </si>
  <si>
    <t>ИП Козлов Олег Игоревич</t>
  </si>
  <si>
    <t>772970872862</t>
  </si>
  <si>
    <t>ИП7701001604</t>
  </si>
  <si>
    <t>ИП770100160400000</t>
  </si>
  <si>
    <t>107031 город Москва бульвар Страстной дом 12 строение 1  помещение 43, комната 3, этаж 1</t>
  </si>
  <si>
    <t>ООО "ТОРГОВЫЙ ДОМ "ВЕРСАЛЬ"</t>
  </si>
  <si>
    <t>7729718716</t>
  </si>
  <si>
    <t>ЮЛ7701016302</t>
  </si>
  <si>
    <t>ЮЛ770101630200000</t>
  </si>
  <si>
    <t>111401 город Москва проспект Зелёный дом 17   помещение 1/1, этаж 1, помещение № I, часть комнат: 1-5</t>
  </si>
  <si>
    <t>ООО "ЛАКИ ДАЙМОНД"</t>
  </si>
  <si>
    <t>7729733707</t>
  </si>
  <si>
    <t>ЮЛ7701003978</t>
  </si>
  <si>
    <t>ЮЛ770100397800004</t>
  </si>
  <si>
    <t>123056 город Москва улица Грузинский Вал дом 28/45   помещение 7/1: подвал, помещение I, часть комнаты 1,  этаж 1, помещение IV, часть комнаты 48м; помещение 1/П: подвал, помещение I, часть комнаты 47, этаж 1, помещение IV, часть комнаты 48л</t>
  </si>
  <si>
    <t>ЮЛ770100397800005</t>
  </si>
  <si>
    <t>105215 город Москва улица 9-я Парковая дом 61 корпус 1  помещение 1/1: 1 этаж, помещение 1, комнаты 1-3; помещение 2/1, помещение 2, комнаты 1-5</t>
  </si>
  <si>
    <t>ЮЛ770100397800010</t>
  </si>
  <si>
    <t>127015 город Москва улица Правды дом 23 этаж 4  комнаты №№15-18, 21, часть комнаты №19</t>
  </si>
  <si>
    <t>ООО "АЛЬБА"</t>
  </si>
  <si>
    <t>7729755411</t>
  </si>
  <si>
    <t>ЮЛ7701008242</t>
  </si>
  <si>
    <t>ЮЛ770100824200000</t>
  </si>
  <si>
    <t>129223 город Москва Проспект Мира дом 119 корпус 68  помещение 10</t>
  </si>
  <si>
    <t>ИП Казарян Анна Арцруновна</t>
  </si>
  <si>
    <t>772975720359</t>
  </si>
  <si>
    <t>ИП7701040956</t>
  </si>
  <si>
    <t>ИП770104095600000</t>
  </si>
  <si>
    <t>129223 город Москва проспект Мира дом 119 строение 68</t>
  </si>
  <si>
    <t>ИП Казарян Сусанна Суреновна</t>
  </si>
  <si>
    <t>772975720503</t>
  </si>
  <si>
    <t>ИП7701016657</t>
  </si>
  <si>
    <t>ИП770101665700000</t>
  </si>
  <si>
    <t>119633 город Москва шоссе Боровское дом 27   1 этаж, зал</t>
  </si>
  <si>
    <t>ИП Семикин Виталий Евгеньевич</t>
  </si>
  <si>
    <t>772981424206</t>
  </si>
  <si>
    <t>ИП7701033757</t>
  </si>
  <si>
    <t>ИП770103375700000</t>
  </si>
  <si>
    <t>107076 город Москва улица Стромынка дом 18 корпус 5  1 этаж, помещение №108</t>
  </si>
  <si>
    <t>ИП Ковырзенкова Татьяна Владимировна</t>
  </si>
  <si>
    <t>772983114200</t>
  </si>
  <si>
    <t>ИП7701009277</t>
  </si>
  <si>
    <t>ИП770100927700000</t>
  </si>
  <si>
    <t>119571 город Москва проспект Вернадского дом 94 корпус 1  этаж 1, помещение XII</t>
  </si>
  <si>
    <t>Индивидуальный предприниматель Романова Виктория Николаевна</t>
  </si>
  <si>
    <t>772984432332</t>
  </si>
  <si>
    <t>ИП7701016820</t>
  </si>
  <si>
    <t>ИП770101682000000</t>
  </si>
  <si>
    <t>123001 город Москва Улица Большая Садовая  Дом 5   2 Этаж, Помещение № 220а</t>
  </si>
  <si>
    <t>ИП Воробьева Дарья Сергеевна</t>
  </si>
  <si>
    <t>772986405609</t>
  </si>
  <si>
    <t>ИП7701007245</t>
  </si>
  <si>
    <t>ИП770100724500000</t>
  </si>
  <si>
    <t>119192 город Москва улица Мосфильмовская дом 88 корпус 2  этаж 4,комната 55</t>
  </si>
  <si>
    <t>ИП Бадалян Ашот</t>
  </si>
  <si>
    <t>772993628518</t>
  </si>
  <si>
    <t>ИП7701008582</t>
  </si>
  <si>
    <t>ИП770100858200000</t>
  </si>
  <si>
    <t>105120 город Москва улица Верхняя Сыромятническая дом 2   пом.2/1, антресоль 1 этажа, помещение 6, часть комнаты 1</t>
  </si>
  <si>
    <t>ИП Шершнев Илья Евгеньевич</t>
  </si>
  <si>
    <t>773000663134</t>
  </si>
  <si>
    <t>ИП7701012929</t>
  </si>
  <si>
    <t>ИП770101292900000</t>
  </si>
  <si>
    <t>121151 город Москва проспект Кутузовский дом 19</t>
  </si>
  <si>
    <t>ООО "ШАНТИ"</t>
  </si>
  <si>
    <t>7730041122</t>
  </si>
  <si>
    <t>ЮЛ7701000979</t>
  </si>
  <si>
    <t>ЮЛ770100097900000</t>
  </si>
  <si>
    <t>119002 город Москва улица Арбат дом 31 Строение 1  часть помещения</t>
  </si>
  <si>
    <t>ИП Кириченко Владислав Николаевич</t>
  </si>
  <si>
    <t>773006658211</t>
  </si>
  <si>
    <t>ИП7701005888</t>
  </si>
  <si>
    <t>ИП770100588800000</t>
  </si>
  <si>
    <t>119991 город Москва Ленинский проспект дом 51 строение 1  помещение 1</t>
  </si>
  <si>
    <t>ИП Михайлова Анна Игоревна</t>
  </si>
  <si>
    <t>773010412309</t>
  </si>
  <si>
    <t>ИП7701040613</t>
  </si>
  <si>
    <t>ИП770104061300000</t>
  </si>
  <si>
    <t>117452 город Москва бульвар Чонгарский дом 22 корпус 1</t>
  </si>
  <si>
    <t>ООО "ЛОМБАРД ГРАФФИТИ"</t>
  </si>
  <si>
    <t>7730105954</t>
  </si>
  <si>
    <t>ЮЛ7701007079</t>
  </si>
  <si>
    <t>ЮЛ770100707900000</t>
  </si>
  <si>
    <t>119530 город Москва Улица Бутлерова Дом 17Б   Помещение 60А/11/2</t>
  </si>
  <si>
    <t>ИП Процко Стефания Николаевна</t>
  </si>
  <si>
    <t>773015741804</t>
  </si>
  <si>
    <t>ИП7701040976</t>
  </si>
  <si>
    <t>ИП770104097600000</t>
  </si>
  <si>
    <t>121096 город Москва улица Василисы Кожиной дом 13   этаж 13, помещение 1207</t>
  </si>
  <si>
    <t>ИП Бахтиярова Аделя Шамильевна</t>
  </si>
  <si>
    <t>773017315304</t>
  </si>
  <si>
    <t>ИП7701030030</t>
  </si>
  <si>
    <t>ИП770103003000000</t>
  </si>
  <si>
    <t>119021 город Москва улица Зубовская дом 7</t>
  </si>
  <si>
    <t>ИП770103003000001</t>
  </si>
  <si>
    <t>119002 город Москва улица Арбат дом 36/2 строение 1  этаж 1, помещение I, часть комнаты 1</t>
  </si>
  <si>
    <t>ООО "ЛОМБАРД И Я"</t>
  </si>
  <si>
    <t>7730214417</t>
  </si>
  <si>
    <t>ЮЛ7701011847</t>
  </si>
  <si>
    <t>ЮЛ770101184700000</t>
  </si>
  <si>
    <t>121165 город Москва проспект Кутузовский Дом 26 Корпус 1  подвал 0, помещение 7 - комнаты с 2 по 8; антресоль 1, помещение IX - комнаты 1, 1а, 1б, 1в, 2; помещение VIII - комната 1, помещение X - комната 1; этаж 1, помещение III - комнаты 3,5 помещение 3 - комнаты 1,2,4,5А,6,7</t>
  </si>
  <si>
    <t>ООО "ХРОНОЛЭНД"</t>
  </si>
  <si>
    <t>7730237446</t>
  </si>
  <si>
    <t>ЮЛ7701006560</t>
  </si>
  <si>
    <t>ЮЛ770100656000000</t>
  </si>
  <si>
    <t>121165 город Москва проспект Кутузовский дом 30   помещение 1/5П, комната 1,3 (частично)</t>
  </si>
  <si>
    <t>ООО "ЛОМБАРД ПРИВИЛЕГИЯ"</t>
  </si>
  <si>
    <t>7730239309</t>
  </si>
  <si>
    <t>ЮЛ7701013705</t>
  </si>
  <si>
    <t>ЮЛ770101370500000</t>
  </si>
  <si>
    <t>119517 город Москва улица Матвеевская дом 20 корпус 3</t>
  </si>
  <si>
    <t>ООО "ЛОМБАРД КАПИТАЛ"</t>
  </si>
  <si>
    <t>7730243626</t>
  </si>
  <si>
    <t>ЮЛ7701003043</t>
  </si>
  <si>
    <t>ЮЛ770100304300000</t>
  </si>
  <si>
    <t>121087 город Москва проезд Береговой дом 4/6 строение 2  этаж 1, помещение I, комната 35</t>
  </si>
  <si>
    <t>ООО "КОЛВИКА"</t>
  </si>
  <si>
    <t>7730257442</t>
  </si>
  <si>
    <t>ЮЛ7701012766</t>
  </si>
  <si>
    <t>ЮЛ770101276600000</t>
  </si>
  <si>
    <t>121151 город Москва улица Можайский Вал дом 8   Помещение 28Н</t>
  </si>
  <si>
    <t>ООО "МЕЖДУНАРОДНЫЙ НУМИЗМАТИЧЕСКИЙ ГРЕЙДИНГ"</t>
  </si>
  <si>
    <t>7730261079</t>
  </si>
  <si>
    <t>ЮЛ7701015845</t>
  </si>
  <si>
    <t>ЮЛ770101584500000</t>
  </si>
  <si>
    <t>121165 Г.МОСКВА ПР-КТ КУТУЗОВСКИЙ Д.27   ПОМЕЩ. 1/Т</t>
  </si>
  <si>
    <t>ООО "ЛОМБАРД ВИПФИНАНС"</t>
  </si>
  <si>
    <t>7730265644</t>
  </si>
  <si>
    <t>ЮЛ7701002097</t>
  </si>
  <si>
    <t>ЮЛ770100209700000</t>
  </si>
  <si>
    <t>121165 город Москва улица Студенческая Дом 31   Помещение 2/П, комната 1</t>
  </si>
  <si>
    <t>ООО "СЕКТОР ГОЛД"</t>
  </si>
  <si>
    <t>7730267666</t>
  </si>
  <si>
    <t>ЮЛ7701014888</t>
  </si>
  <si>
    <t>ЮЛ770101488800000</t>
  </si>
  <si>
    <t>121170 город Москва улица 1812 года дом 2   помещение IV комнаты 1-3</t>
  </si>
  <si>
    <t>ООО "НОВАЯ МОДА"</t>
  </si>
  <si>
    <t>7730295381</t>
  </si>
  <si>
    <t>ЮЛ7701032295</t>
  </si>
  <si>
    <t>ЮЛ770103229500000</t>
  </si>
  <si>
    <t>109012 город Москва улица Охотный Ряд дом 2   этаж 1, помещение I, комната 27</t>
  </si>
  <si>
    <t>ООО "БОНУМ"</t>
  </si>
  <si>
    <t>7730341535</t>
  </si>
  <si>
    <t>ЮЛ7701040621</t>
  </si>
  <si>
    <t>ЮЛ770104062100000</t>
  </si>
  <si>
    <t>121099 город Москва Смоленская площадь дом 3   1 Этаж, Помещение 1,  комнаты  № 37, 38, 39, 39а</t>
  </si>
  <si>
    <t>ООО "ДА ВИНЧИ-АКРОПОЛЬ"</t>
  </si>
  <si>
    <t>7730501436</t>
  </si>
  <si>
    <t>ЮЛ7701006929</t>
  </si>
  <si>
    <t>ЮЛ770100692900000</t>
  </si>
  <si>
    <t>119334 город Москва проспект Ленинский дом 43</t>
  </si>
  <si>
    <t>ООО "ТД ЛФЗ"</t>
  </si>
  <si>
    <t>7730518581</t>
  </si>
  <si>
    <t>ЮЛ7701015504</t>
  </si>
  <si>
    <t>ЮЛ770101550400008</t>
  </si>
  <si>
    <t>119991 город Москва проспект Ленинский дом 51 строение 1  Помещение №II,офис 1,2,4,6,</t>
  </si>
  <si>
    <t>ООО "ИОЛИТ ГРУПП"</t>
  </si>
  <si>
    <t>7730555181</t>
  </si>
  <si>
    <t>ЮЛ7701010294</t>
  </si>
  <si>
    <t>ЮЛ770101029400000</t>
  </si>
  <si>
    <t>115419 город Москва улица Орджоникидзе дом 11 строение 3  эт./помещ. 2/XI, ком. 1-4</t>
  </si>
  <si>
    <t>ООО "ПРИМОРСКИЙ"</t>
  </si>
  <si>
    <t>7730606541</t>
  </si>
  <si>
    <t>ЮЛ7701016381</t>
  </si>
  <si>
    <t>ЮЛ770101638100000</t>
  </si>
  <si>
    <t>121170 город Москва проспект Кутузовский дом 43, подвал   помещение VI</t>
  </si>
  <si>
    <t>ООО "ЛОМБАРД-СК"</t>
  </si>
  <si>
    <t>7730610805</t>
  </si>
  <si>
    <t>ЮЛ7701006517</t>
  </si>
  <si>
    <t>ЮЛ770100651700000</t>
  </si>
  <si>
    <t>119002 город Москва улица Арбат дом 30/3 строение 2  1-ый этаж помещение 1/1 комн.№17</t>
  </si>
  <si>
    <t>ООО "РУССГОЛД"</t>
  </si>
  <si>
    <t>7730618459</t>
  </si>
  <si>
    <t>ЮЛ7701033852</t>
  </si>
  <si>
    <t>ЮЛ770103385200000</t>
  </si>
  <si>
    <t>115280 Город Москва Улица Ленинская Слобода Дом 19 Строение 2</t>
  </si>
  <si>
    <t>ИП Солодовников Сергей Николаевич</t>
  </si>
  <si>
    <t>773065015942</t>
  </si>
  <si>
    <t>ИП7701006901</t>
  </si>
  <si>
    <t>ИП770100690100000</t>
  </si>
  <si>
    <t>125367 город Москва шоссе Волоколамское дом 60 корпус 2</t>
  </si>
  <si>
    <t>ИП Литвин Антон Павлович</t>
  </si>
  <si>
    <t>773065086950</t>
  </si>
  <si>
    <t>ИП7701002556</t>
  </si>
  <si>
    <t>ИП770100255600000</t>
  </si>
  <si>
    <t>ООО "ЛОМБАРД МАРИЯ"</t>
  </si>
  <si>
    <t>7730660429</t>
  </si>
  <si>
    <t>ЮЛ7701006117</t>
  </si>
  <si>
    <t>ЮЛ770100611700000</t>
  </si>
  <si>
    <t>119019 город Москва улица Арбат дом 30/3 строение 2  1 этаж, помещение 1/1, комнаты 2,3,4,6,7,8</t>
  </si>
  <si>
    <t>ООО "ДЕНЕЖНЫЙ ЛОМБАРД"</t>
  </si>
  <si>
    <t>7730686850</t>
  </si>
  <si>
    <t>ЮЛ7701004100</t>
  </si>
  <si>
    <t>ЮЛ770100410000000</t>
  </si>
  <si>
    <t>119002 город Москва улица Арбат дом 36/2 строение 1  комната 1</t>
  </si>
  <si>
    <t>ЮЛ770100410000001</t>
  </si>
  <si>
    <t>123610 город Москва набережная Краснопресненская дом 12    помещение1/18</t>
  </si>
  <si>
    <t>ООО "ДЖЕОМА"</t>
  </si>
  <si>
    <t>7730702478</t>
  </si>
  <si>
    <t>ЮЛ7701008955</t>
  </si>
  <si>
    <t>ЮЛ770100895500000</t>
  </si>
  <si>
    <t>121059 город Москва площадь Киевского Вокзала дом 2   помещение I комната 84</t>
  </si>
  <si>
    <t>ООО "АЛЬКОР"</t>
  </si>
  <si>
    <t>7730714177</t>
  </si>
  <si>
    <t>ЮЛ7701008610</t>
  </si>
  <si>
    <t>ЮЛ770100861000000</t>
  </si>
  <si>
    <t>125362 город Москва улица Свободы дом 35 строение 18  этаж 5 помещение VII ком. 1-10</t>
  </si>
  <si>
    <t>ИП Соболев Алексей Владимирович</t>
  </si>
  <si>
    <t>773101040859</t>
  </si>
  <si>
    <t>ИП7701006003</t>
  </si>
  <si>
    <t>ИП770100600300000</t>
  </si>
  <si>
    <t>121059 город Москва улица Киевская дом 2   этаж 3, комната № 59а помещения № LIV</t>
  </si>
  <si>
    <t>ИП Малышев Игорь Викторович</t>
  </si>
  <si>
    <t>773101441120</t>
  </si>
  <si>
    <t>ИП7701003908</t>
  </si>
  <si>
    <t>ИП770100390800000</t>
  </si>
  <si>
    <t>121099 город Москва переулок Проточный дом 14/1 строение 1  комната 14</t>
  </si>
  <si>
    <t>ИП Федулов Александр Александрович</t>
  </si>
  <si>
    <t>773108127308</t>
  </si>
  <si>
    <t>ИП7701006035</t>
  </si>
  <si>
    <t>ИП770100603500000</t>
  </si>
  <si>
    <t>105120 город Москва улица Верхняя Сыромятническая дом 2   этаж 1, помещение IIа, часть комнаты 1</t>
  </si>
  <si>
    <t>ИП Славин Александр Викторович</t>
  </si>
  <si>
    <t>773114606323</t>
  </si>
  <si>
    <t>ИП7701006453</t>
  </si>
  <si>
    <t>ИП770100645300000</t>
  </si>
  <si>
    <t>105120 город Москва улица Верхняя Сыромятническая дом 2   этаж 1,помещение llа, часть комнаты 1. Салон "G+"</t>
  </si>
  <si>
    <t>ИП770100645300004</t>
  </si>
  <si>
    <t>109147 город Москва улица Таганская дом 3   Салон " Аграф"</t>
  </si>
  <si>
    <t>ИП770100645300005</t>
  </si>
  <si>
    <t>127106 город Москва улица Гостиничная дом 7А корпус 2  цокольный этаж,0-11</t>
  </si>
  <si>
    <t>ИП Соколинская Ирина Юрьевна</t>
  </si>
  <si>
    <t>773116303162</t>
  </si>
  <si>
    <t>ИП7701002661</t>
  </si>
  <si>
    <t>ИП770100266100000</t>
  </si>
  <si>
    <t>129226 город Москва проспект Мира дом 211 корпус 2  3 этаж, помещение I. часть комнаты 361</t>
  </si>
  <si>
    <t>ИП Пакулина Людмила Геннадьевна</t>
  </si>
  <si>
    <t>773126374412</t>
  </si>
  <si>
    <t>ИП7701035653</t>
  </si>
  <si>
    <t>ИП770103565300000</t>
  </si>
  <si>
    <t>121609 город Москва шоссе Рублёвское дом 62   1 этаж,  часть комнаты 278</t>
  </si>
  <si>
    <t>ИП770103565300001</t>
  </si>
  <si>
    <t>108811 город Москва  Киевское шоссе, километр 23-й дом 1   3 этаж, помещение 1К21</t>
  </si>
  <si>
    <t>ИП770103565300002</t>
  </si>
  <si>
    <t>119501 город Москва улица Матвеевская дом 2 помещение № ll   часть комнаты № 14</t>
  </si>
  <si>
    <t>ИП Сикорская Евгения Геродотовна</t>
  </si>
  <si>
    <t>773128158953</t>
  </si>
  <si>
    <t>ИП7701016419</t>
  </si>
  <si>
    <t>ИП770101641900000</t>
  </si>
  <si>
    <t>121108 город Москва улица Герасима Курина дом 10 корпус 1  помещение I, кабинет 308</t>
  </si>
  <si>
    <t>ЮЛ770100193500000</t>
  </si>
  <si>
    <t>108814 город Москва шоссе Калужское 21-й км    1 этаж, помещение 7098</t>
  </si>
  <si>
    <t>ЮЛ770100193500070</t>
  </si>
  <si>
    <t>125368 город Москва улица Дубравная дом 34/29   помещение II, часть комнаты 109, часть комнаты 110</t>
  </si>
  <si>
    <t>ЮЛ770100193500071</t>
  </si>
  <si>
    <t>119334 город Москва улица Вавилова дом 3   помещение 10, комната 147</t>
  </si>
  <si>
    <t>ЮЛ770100193500072</t>
  </si>
  <si>
    <t>107065 город Москва улица Хабаровская дом 15   1 этаж, помещение II, комната 85,91</t>
  </si>
  <si>
    <t>ЮЛ770100193500073</t>
  </si>
  <si>
    <t>115612 город Москва шоссе Бесединское дом 15   помещение XXII, комната 164,164а,164б</t>
  </si>
  <si>
    <t>ЮЛ770100193500074</t>
  </si>
  <si>
    <t>109156 город Москва улица Генерала Кузнецова дом 22   1 (первый) этаж, помещение № 2, комната 107</t>
  </si>
  <si>
    <t>ЮЛ770100193500075</t>
  </si>
  <si>
    <t>109443 город Москва Волгоградский проспект дом 125   комната 18,19, часть комнаты 20,20а,39</t>
  </si>
  <si>
    <t>ЮЛ770100193500076</t>
  </si>
  <si>
    <t>111558 город Москва Зелёный проспект дом 83   1 (первый) этаж, помещение 23, помещение 24</t>
  </si>
  <si>
    <t>ЮЛ770100193500077</t>
  </si>
  <si>
    <t>117216 город Москва улица Поляны дом 8   помещение 4</t>
  </si>
  <si>
    <t>ЮЛ770100193500080</t>
  </si>
  <si>
    <t>129323 город Москва улица Снежная дом 27   2 (второй) этаж, помещение XXV, часть комнаты 4</t>
  </si>
  <si>
    <t>ЮЛ770100193500081</t>
  </si>
  <si>
    <t>124575 город Москва, город Зеленоград Крюковская площадь дом 1   часть комнаты 45, помещение I</t>
  </si>
  <si>
    <t>ЮЛ770100193500083</t>
  </si>
  <si>
    <t>107014 город Москва Сокольническая площадь дом 9 корпус А  первый этаж, помещение 121</t>
  </si>
  <si>
    <t>ЮЛ770100193500084</t>
  </si>
  <si>
    <t>129226 город Москва проспект Мира дом 211 корпус 2  помещение I, комната №101, №109, часть комнаты №102, №108, №105, №434, этаж 3 (третий)</t>
  </si>
  <si>
    <t>ЮЛ770100193500085</t>
  </si>
  <si>
    <t>125565 город Москва улица Фестивальная дом 2Б   1 этаж, помещение 1, комната 29</t>
  </si>
  <si>
    <t>ЮЛ770100193500086</t>
  </si>
  <si>
    <t>119571 город Москва проспект Вернадского дом 86 корпус А  часть помещения 1, часть комнаты 33</t>
  </si>
  <si>
    <t>ЮЛ770100193500087</t>
  </si>
  <si>
    <t>121059 город Москва площадь Киевского Вокзала дом 2   этаж первый, помещение I, комната 160</t>
  </si>
  <si>
    <t>ЮЛ770100193500088</t>
  </si>
  <si>
    <t>108811 поселение Московский километр МКАД 47-й владение 31 строение 1  литер А часть комнаты 357, комната 358-365</t>
  </si>
  <si>
    <t>ЮЛ770100193500089</t>
  </si>
  <si>
    <t>115522 город Москва шоссе Каширское дом 26   комната 76, 1 (первый) этаж</t>
  </si>
  <si>
    <t>ЮЛ770100193500090</t>
  </si>
  <si>
    <t>117574 город Москва проспект Новоясеневский дом 1   первый этаж, помещение I, комната 141, 147, часть комнаты 140</t>
  </si>
  <si>
    <t>ЮЛ770100193500091</t>
  </si>
  <si>
    <t>111024 город Москва шоссе Энтузиастов дом 12 корпус 2  1 (первый) этаж, помещение III, комната 133, 133а, 133б</t>
  </si>
  <si>
    <t>ЮЛ770100193500092</t>
  </si>
  <si>
    <t>115230 город Москва шоссе Каширское дом 14   часть помещения 249</t>
  </si>
  <si>
    <t>ЮЛ770100193500116</t>
  </si>
  <si>
    <t>107023 город Москва улица Большая Семёновская дом 20 строение 1  часть помещения 1н, комната 14, 1 (первый) этаж</t>
  </si>
  <si>
    <t>ЮЛ770100193500118</t>
  </si>
  <si>
    <t>105215 город Москва улица 9-я Парковая дом 62   этаж 1, помещение IV, часть комнаты 1</t>
  </si>
  <si>
    <t>ЮЛ770100193500119</t>
  </si>
  <si>
    <t>109377 город Москва проспект Рязанский дом 46 корпус 3  часть помещения IV, комната № 6</t>
  </si>
  <si>
    <t>ЮЛ770100193500120</t>
  </si>
  <si>
    <t>107207 город Москва шоссе Щёлковское дом 75   помещение V, комнаты 52,53, 1 (первый) этаж</t>
  </si>
  <si>
    <t>ЮЛ770100193500121</t>
  </si>
  <si>
    <t>119311 город Москва проспект Вернадского дом 6   1 этаж</t>
  </si>
  <si>
    <t>ЮЛ770100193500122</t>
  </si>
  <si>
    <t>127562 город Москва улица Декабристов дом 12   помещение I, часть комнаты 200</t>
  </si>
  <si>
    <t>ЮЛ770100193500123</t>
  </si>
  <si>
    <t>117452 город Москва улица Азовская дом 24 корпус 3  помещение № III, комната № 36</t>
  </si>
  <si>
    <t>ЮЛ770100193500267</t>
  </si>
  <si>
    <t>109147 город Москва улица Таганская дом 2   помещение IV, комната № 36</t>
  </si>
  <si>
    <t>ЮЛ770100193500316</t>
  </si>
  <si>
    <t>109341 город Москва улица Перерва дом 43 корпус 1  помещение IV, комната № 19г</t>
  </si>
  <si>
    <t>ЮЛ770100193500317</t>
  </si>
  <si>
    <t>124460 город Москва, город Зеленоград Панфиловский проспект дом 6А   помещение II, комната № 110, 1 (первый) этаж</t>
  </si>
  <si>
    <t>ЮЛ770100193500321</t>
  </si>
  <si>
    <t>115193 город Москва улица 7-я Кожуховская дом 9   помещение № 4</t>
  </si>
  <si>
    <t>ЮЛ770100193500326</t>
  </si>
  <si>
    <t>115583 город Москва бульвар Ореховый дом 14 корпус 3  помещение № I, комната № 43</t>
  </si>
  <si>
    <t>ЮЛ770100193500334</t>
  </si>
  <si>
    <t>127486 город Москва шоссе Дмитровское дом 89   помещение № IX, комната № 29, первый этаж</t>
  </si>
  <si>
    <t>ЮЛ770100193500335</t>
  </si>
  <si>
    <t>117279 город Москва улица Миклухо-Маклая дом 32   часть помещения № 143, 143а, 143б, 143в, 144</t>
  </si>
  <si>
    <t>ЮЛ770100193500336</t>
  </si>
  <si>
    <t>117420 город Москва улица Профсоюзная дом 61 А   помещение I</t>
  </si>
  <si>
    <t>ЮЛ770100193500337</t>
  </si>
  <si>
    <t>121087 город Москва проезд Багратионовский дом 5   помещение № 33а, 34</t>
  </si>
  <si>
    <t>ЮЛ770100193500338</t>
  </si>
  <si>
    <t>127495 город Москва шоссе Дмитровское дом 163 А корпус 1  помещение № А17а</t>
  </si>
  <si>
    <t>ЮЛ770100193500339</t>
  </si>
  <si>
    <t>117447 город Москва улица Большая Черёмушкинская дом 1   этаж 1, помещение № XV, комната № 33</t>
  </si>
  <si>
    <t>ЮЛ770100193500340</t>
  </si>
  <si>
    <t>129594 город Москва улица Шереметьевская дом 6 корпус 1  этаж 1 (первый), секция 1-26, помещения 98, 99, 100</t>
  </si>
  <si>
    <t>ЮЛ770100193500341</t>
  </si>
  <si>
    <t>123182 город Москва улица Щукинская дом 42   комната № 75, 75а</t>
  </si>
  <si>
    <t>ЮЛ770100193500342</t>
  </si>
  <si>
    <t>ЮЛ770100193500343</t>
  </si>
  <si>
    <t>117519 город Москва улица Кировоградская дом 13 корпус А  комната № 115, помещение № LV, комната № 7</t>
  </si>
  <si>
    <t>ЮЛ770100193500345</t>
  </si>
  <si>
    <t>127549 город Москва шоссе Алтуфьевское дом 70 корпус 1  первый этаж, помещение № III, комната № 125, комнаты 124, 124а</t>
  </si>
  <si>
    <t>ЮЛ770100193500346</t>
  </si>
  <si>
    <t>108811 город Москва, поселение Московский шоссе Киевское, километр 23-й дом 1   торговое место 1К4/2, торговое место 1К14/2, 3 (третий) этаж</t>
  </si>
  <si>
    <t>ЮЛ770100193500362</t>
  </si>
  <si>
    <t>125171 город Москва шоссе Ленинградское дом 16 А строение 4</t>
  </si>
  <si>
    <t>ЮЛ770100193500366</t>
  </si>
  <si>
    <t>105318 город Москва площадь Семёновская дом 1   помещение № I, комната № 10</t>
  </si>
  <si>
    <t>ЮЛ770100193500368</t>
  </si>
  <si>
    <t>117042 город Москва проезд Чечёрский дом 51   помещение № 16, комната № 22</t>
  </si>
  <si>
    <t>ЮЛ770100193500371</t>
  </si>
  <si>
    <t>119517 город Москва шоссе Аминьевское дом 6   помещение 2Н, помещение 2-08, комната 2.37, 2 (второй) этаж</t>
  </si>
  <si>
    <t>ЮЛ770100193500372</t>
  </si>
  <si>
    <t>108851 город Москва, город Щербинка улица Железнодорожная дом 44   помещения 88,89,90, 1 (первый) этаж</t>
  </si>
  <si>
    <t>ЮЛ770100193500375</t>
  </si>
  <si>
    <t>115516 город Москва проспект Пролетарский дом 30   комната № 71</t>
  </si>
  <si>
    <t>ЮЛ770100193500376</t>
  </si>
  <si>
    <t>129337 город Москва шоссе Ярославское дом 54   1 (первый) этаж, помещение № I, комната № 41</t>
  </si>
  <si>
    <t>ЮЛ770100193500482</t>
  </si>
  <si>
    <t>117588 город Москва проспект Новоясеневский дом 11    этаж 1, часть помещения № 61, 62, 89</t>
  </si>
  <si>
    <t>ЮЛ770100193500485</t>
  </si>
  <si>
    <t>117574 город Москва улица Профсоюзная дом 129А   помещение IV, комнаты 164,165,166, 1 (первый) этаж</t>
  </si>
  <si>
    <t>ЮЛ770100193500495</t>
  </si>
  <si>
    <t>111622 город Москва шоссе Новоухтомское дом 2А   этаж 2, помещение 23Н, комната 310</t>
  </si>
  <si>
    <t>ЮЛ770100193500496</t>
  </si>
  <si>
    <t>115419 город Москва улица Орджоникидзе дом 11 строение 1А  нежилое помещение № III,  комната № 4, 4а, 4б, 4в, 4г, этаж 1 (первый)</t>
  </si>
  <si>
    <t>ЮЛ770100193500519</t>
  </si>
  <si>
    <t>121552 город Москва улица Ярцевская дом 25А   часть нежилого помещения комната № 53, этаж 1 (первый)</t>
  </si>
  <si>
    <t>ЮЛ770100193500529</t>
  </si>
  <si>
    <t>119002 город Москва улица Арбат дом 35   нежилое помещение комнаты № 1, 2, 15, 16, 17, 18, 19, 20 ,21, этаж 1 (первый)</t>
  </si>
  <si>
    <t>ЮЛ770100193500530</t>
  </si>
  <si>
    <t>115612 город Москва улица Борисовские Пруды дом 26   помещение V, комнаты 166,167, 1 (первый) этаж</t>
  </si>
  <si>
    <t>ЮЛ770100193500535</t>
  </si>
  <si>
    <t>108813 город Московский улица Хабарова дом 2   нежилое помещение № 48а, этаж 2 (второй), блок 3</t>
  </si>
  <si>
    <t>ЮЛ770100193500554</t>
  </si>
  <si>
    <t>119619 город Москва улица Авиаторов дом 3А   комната 107, 1 (первый) этаж</t>
  </si>
  <si>
    <t>ЮЛ770100193500562</t>
  </si>
  <si>
    <t>105064 город Москва улица Земляной Вал дом 33   помещение 26Н, часть помещения № XI, комната № 52, этаж 1 (первый)</t>
  </si>
  <si>
    <t>ЮЛ770100193500566</t>
  </si>
  <si>
    <t>125475 город Москва улица Дыбенко дом 7/1 строение 1  часть нежилого помещения 4Н, комната № 41, этаж 1 (первый)</t>
  </si>
  <si>
    <t>ЮЛ770100193500569</t>
  </si>
  <si>
    <t>125319 город Москва проспект Ленинградский дом 62А   помещение №  II.  комната № 94, этаж 1 (первый)</t>
  </si>
  <si>
    <t>ЮЛ770100193500585</t>
  </si>
  <si>
    <t>105066 город Москва улица Спартаковская дом 24   помещение II, комната 17, 1 (первый) этаж</t>
  </si>
  <si>
    <t>ЮЛ770100193500599</t>
  </si>
  <si>
    <t>109052 город Москва проспект Рязанский дом 2 корпус 2  помещение XIV, часть комнаты 138, этаж 2</t>
  </si>
  <si>
    <t>ЮЛ770100193500604</t>
  </si>
  <si>
    <t>124575 город Зеленоград площадь Крюковская дом 1   часть комнаты 45 помещения I, помещение I, комнаты 72, 72а, этаж 1 (первый)</t>
  </si>
  <si>
    <t>ЮЛ770100193500611</t>
  </si>
  <si>
    <t>115372 город Москва улица Бирюлёвская дом 51 корпус 1  1 этаж</t>
  </si>
  <si>
    <t>ЮЛ770100193500630</t>
  </si>
  <si>
    <t>111538 город Москва улица Вешняковская дом 18   помещение вестибюль, комната №2, цокольный этаж</t>
  </si>
  <si>
    <t>ЮЛ770100193500632</t>
  </si>
  <si>
    <t>109444 город Москва улица Сормовская дом 6   нежилое помещение Торговый зал,  комнаты № 55 ,56, 57, 4, этаж 1 (первый)</t>
  </si>
  <si>
    <t>ЮЛ770100193500633</t>
  </si>
  <si>
    <t>109341 город Москва улица Перерва дом 43 корпус 1  помещение состоит из комнаты №74, № 76 помещения IV, этаж 1 (первый)</t>
  </si>
  <si>
    <t>ЮЛ770100193500645</t>
  </si>
  <si>
    <t>115533 город Москва проспект Андропова дом 22   помещение XVIII, комната 101, 1 (первый) этаж</t>
  </si>
  <si>
    <t>ЮЛ770100193500648</t>
  </si>
  <si>
    <t>129226 город Москва проспект Мира дом 211 корпус 2  часть комнаты № 361, этаж 3 (третий)</t>
  </si>
  <si>
    <t>ЮЛ770100193500667</t>
  </si>
  <si>
    <t>125480 город Москва улица Планерная дом 7   часть комнаты № 38, помещение № XV,, этаж 1 (первый)</t>
  </si>
  <si>
    <t>ЮЛ770100193500675</t>
  </si>
  <si>
    <t>125212 город Москва шоссе Головинское дом 5 корпус 1  помещение 1, помещение № 1190, этаж 1 (первый)</t>
  </si>
  <si>
    <t>ЮЛ770100193500676</t>
  </si>
  <si>
    <t>108849 город Москва улица Корнея Чуковского дом 2   часть нежилого помещения № XXVII помещение № 81, этаж 1 (первый)</t>
  </si>
  <si>
    <t>ЮЛ770100193500677</t>
  </si>
  <si>
    <t>117639 город Москва проспект Балаклавский дом 5А   помещение i, часть комнаты 1р.(торговая площадь № 138), комната 9а, комната 10 , этаж 1 (первый)</t>
  </si>
  <si>
    <t>ЮЛ770100193500678</t>
  </si>
  <si>
    <t>127322 город Москва улица Яблочкова дом 19Г   этаж 1 (первый)</t>
  </si>
  <si>
    <t>ЮЛ770100193500720</t>
  </si>
  <si>
    <t>107031 город Москва улица Кузнецкий Мост дом 7   этаж 1 (первый)</t>
  </si>
  <si>
    <t>ЮЛ770100193500722</t>
  </si>
  <si>
    <t>111558 город Москва проспект Зелёный дом 81   этаж 1 (первый)</t>
  </si>
  <si>
    <t>ЮЛ770100193500726</t>
  </si>
  <si>
    <t>123007 город Москва шоссе Хорошёвское дом 27   нежилое помещение № 31, этаж 1 (первый)</t>
  </si>
  <si>
    <t>ЮЛ770100193500756</t>
  </si>
  <si>
    <t>129626 город Москва проспект Мира дом 114Б строение 2  часть нежилого помещения, комнаты 30,35-38, цокольный этаж</t>
  </si>
  <si>
    <t>ЮЛ770100193500770</t>
  </si>
  <si>
    <t>127349 город Москва шоссе Алтуфьевское дом 86 корпус 1  помещение № 102а, этаж 1 (первый)</t>
  </si>
  <si>
    <t>ЮЛ770100193500771</t>
  </si>
  <si>
    <t>127560 город Москва улица Пришвина дом 22   1 этаж, помещение I, комнаты 68, 68а, часть комнаты 78, часть комнаты 108</t>
  </si>
  <si>
    <t>ЮЛ770100193500772</t>
  </si>
  <si>
    <t>117485 город Москва улица Профсоюзная дом 102 строение 1  часть помещения I, часть комнаты 17</t>
  </si>
  <si>
    <t>ЮЛ770100193500774</t>
  </si>
  <si>
    <t>105043 город Москва улица Первомайская дом 42   цокольный этаж, помещение XL, 142А</t>
  </si>
  <si>
    <t>ЮЛ770100193500781</t>
  </si>
  <si>
    <t>125363 город Москва улица Сходненская дом 56   1 этаж, помещение I, комната 112</t>
  </si>
  <si>
    <t>ЮЛ770100193500782</t>
  </si>
  <si>
    <t>111024 город Москва шоссе Энтузиастов дом 12 корпус 2  помещение 6/1, 1 (первый) этаж, помещение III, комната 74</t>
  </si>
  <si>
    <t>ЮЛ770100193500790</t>
  </si>
  <si>
    <t>119620 город Москва проспект Солнцевский дом 21   1 (первый) этаж, комната 115, комната 116</t>
  </si>
  <si>
    <t>ЮЛ770100193500798</t>
  </si>
  <si>
    <t>123001 город Москва улица Большая Садовая дом 10   помещение 3/1, помещение III, комната 1-5, этаж 1 (первый)</t>
  </si>
  <si>
    <t>ЮЛ770100193500799</t>
  </si>
  <si>
    <t>108811 город Москва, поселение Московский Киевское шоссе 23-й километр  дом 1   3 этаж, помещение 1-114</t>
  </si>
  <si>
    <t>ЮЛ770100193500809</t>
  </si>
  <si>
    <t>107207 город Москва шоссе Щёлковское дом 75   помещение V, комната 3, 1 (первый) этаж</t>
  </si>
  <si>
    <t>ЮЛ770100193500815</t>
  </si>
  <si>
    <t>117216 город Москва улица Старокачаловская дом 5А   помещение 2/1, часть нежилого помещения VIII, комнаты № 26, 27, этаж 1 (первый)</t>
  </si>
  <si>
    <t>ЮЛ770100193500816</t>
  </si>
  <si>
    <t>111675 город Москва улица Святоозерская дом 1А   помещение 3/1, помещение XVII, комната 182, 2 (второй) этаж</t>
  </si>
  <si>
    <t>ЮЛ770100193500823</t>
  </si>
  <si>
    <t>123112 город Москва набережная Пресненская дом 2   помещение 1Н/6, помещение I, комната 33, комната 33а, 3 (третий) этаж</t>
  </si>
  <si>
    <t>ЮЛ770100193500836</t>
  </si>
  <si>
    <t>121352 город Москва проспект Кутузовский дом 57   комната 108 помещения XL, 1 (первый) этаж</t>
  </si>
  <si>
    <t>ЮЛ770100193500847</t>
  </si>
  <si>
    <t>108802 город Москва, поселение Сосенское улица Николо-Хованская дом 7 строение 1  помещение 25, этаж 1</t>
  </si>
  <si>
    <t>ЮЛ770100193500848</t>
  </si>
  <si>
    <t>115280 город Москва улица Автозаводская дом 18   этаж 1, помещение I, комната 127</t>
  </si>
  <si>
    <t>ЮЛ770100193500849</t>
  </si>
  <si>
    <t>125368 город Москва улица Дубравная дом 34/29   1 этаж, помещение II, комната 44, часть комнаты 43, часть комнаты 148</t>
  </si>
  <si>
    <t>ЮЛ770100193500869</t>
  </si>
  <si>
    <t>125009 город Москва улица Тверская дом 4   помещение 8/1, подвал, пом.VIII, комнаты 1, 1а, 1б, с 2 по 6, комнаты с 1 по 3, этаж 1 (первый),антресоль 1-го этажа, пом. VIII, комната 1</t>
  </si>
  <si>
    <t>ЮЛ770100193500872</t>
  </si>
  <si>
    <t>115432 город Москва бульвар Братьев Весниных дом 2   часть нежилого помещение 1Н, комната 1.51, этаж 1 (первый)</t>
  </si>
  <si>
    <t>ЮЛ770100193500876</t>
  </si>
  <si>
    <t>129226 город Москва улица Вильгельма Пика дом 11   часть нежилого помещения № 1Н, этаж 1 (первый)</t>
  </si>
  <si>
    <t>ЮЛ770100193500884</t>
  </si>
  <si>
    <t>129281 город Москва проезд Староватутинский дом 14   1 этаж, помещение III, комнаты 48,49</t>
  </si>
  <si>
    <t>ЮЛ770100193500885</t>
  </si>
  <si>
    <t>119421 город Москва проспект Ленинский дом 109   нежилое помещение № I, часть комнаты № 91, этаж 1 (первый)</t>
  </si>
  <si>
    <t>ЮЛ770100193500925</t>
  </si>
  <si>
    <t>119334 город Москва улица Вавилова дом 3   помещение № Х, комната № 51 чать, этаж 1 (первый)</t>
  </si>
  <si>
    <t>ЮЛ770100193501011</t>
  </si>
  <si>
    <t>123056 город Москва улица Грузинский Вал дом 28/45   помещения IVв, IVг, IVд, первый этаж</t>
  </si>
  <si>
    <t>ЮЛ770100193501015</t>
  </si>
  <si>
    <t>108811 город Московский улица Никитина дом 2   номер комнаты 111, этаж 2 (второй)</t>
  </si>
  <si>
    <t>ЮЛ770100193501018</t>
  </si>
  <si>
    <t>127081 город Москва проезд Дежнёва дом 21   помещение № IV, комната №№ 36-37, этаж 2 (второй)</t>
  </si>
  <si>
    <t>ЮЛ770100193501020</t>
  </si>
  <si>
    <t>109443 город Москва улица Зеленодольская дом 42   помещение А53+А54, этаж 1 (первый)</t>
  </si>
  <si>
    <t>ЮЛ770100193501022</t>
  </si>
  <si>
    <t>125252 город Москва бульвар Ходынский дом 4   3 (третий) этаж, помещение 03К-1008</t>
  </si>
  <si>
    <t>ЮЛ770100193501027</t>
  </si>
  <si>
    <t>123458 город Москва улица Маршала Прошлякова дом 30   офис 102, 1 (первый) этаж</t>
  </si>
  <si>
    <t>ЮЛ770100193501078</t>
  </si>
  <si>
    <t>107207 город Москва шоссе Щёлковское дом 75   помещение V, комната 64, 1 (первый) этаж</t>
  </si>
  <si>
    <t>ЮЛ770100193501119</t>
  </si>
  <si>
    <t>121059 город Москва площадь Киевского Вокзала дом 2   помещение I часть комнаты 62, комната 63, первый этаж</t>
  </si>
  <si>
    <t>ЮЛ770100193501121</t>
  </si>
  <si>
    <t>119334 город Москва улица Вавилова дом 3   помещение Х, комната 55, 1 этаж</t>
  </si>
  <si>
    <t>ЮЛ770100193501124</t>
  </si>
  <si>
    <t>115054 город Москва площадь Павелецкая дом 3   помещение А12, -1 (минус первый) этаж</t>
  </si>
  <si>
    <t>ЮЛ770100193501127</t>
  </si>
  <si>
    <t>ЮЛ770100193501130</t>
  </si>
  <si>
    <t>107031 город Москва улица Кузнецкий Мост дом 7   1 этаж</t>
  </si>
  <si>
    <t>ЮЛ770100193501133</t>
  </si>
  <si>
    <t>107207 город Москва шоссе Щёлковское дом 75   часть помещения V, комната 3, 1 этаж</t>
  </si>
  <si>
    <t>ЮЛ770100193501136</t>
  </si>
  <si>
    <t>125504 город Москва шоссе Коровинское дом 2   помещение 1-48, 1 (первый) этаж</t>
  </si>
  <si>
    <t>ЮЛ770100193501142</t>
  </si>
  <si>
    <t>121351 город Москва улица Ивана Франко дом 38 корпус 1  помещение 9 комн 6</t>
  </si>
  <si>
    <t>ООО "ЭКСПО АЛЬФА"</t>
  </si>
  <si>
    <t>7731323585</t>
  </si>
  <si>
    <t>ЮЛ7701017961</t>
  </si>
  <si>
    <t>ЮЛ770101796100000</t>
  </si>
  <si>
    <t>109428 город Москва улица Зарайская дом 21   208</t>
  </si>
  <si>
    <t>ИП Максимов Валентин Александрович</t>
  </si>
  <si>
    <t>773134848793</t>
  </si>
  <si>
    <t>ИП7701034489</t>
  </si>
  <si>
    <t>ИП770103448900000</t>
  </si>
  <si>
    <t>117105 город Москва улица Нагатинская дом 3.А строение 5  комната 85</t>
  </si>
  <si>
    <t>ИП Латышева Елена Станиславовна</t>
  </si>
  <si>
    <t>773136130101</t>
  </si>
  <si>
    <t>ИП7701011171</t>
  </si>
  <si>
    <t>ИП770101117100000</t>
  </si>
  <si>
    <t>119002 город Москва улица Спиридоновка дом 12   помещение 1/Н</t>
  </si>
  <si>
    <t>ИП Джанелли Диана Ароновна</t>
  </si>
  <si>
    <t>773137020510</t>
  </si>
  <si>
    <t>ИП7701014043</t>
  </si>
  <si>
    <t>ИП770101404300000</t>
  </si>
  <si>
    <t>121609 город Москва шоссе Рублёвское дом 40 корпус 1, этаж 1 помещение I комната 34</t>
  </si>
  <si>
    <t>ООО "БЕСТ"</t>
  </si>
  <si>
    <t>7731384891</t>
  </si>
  <si>
    <t>ЮЛ7701030129</t>
  </si>
  <si>
    <t>ЮЛ770103012900000</t>
  </si>
  <si>
    <t>121352 город Москва улица Кременчугская дом 9   помещение 2П</t>
  </si>
  <si>
    <t>ООО "ГОЛДЕН ФОРУМ"</t>
  </si>
  <si>
    <t>7731386240</t>
  </si>
  <si>
    <t>ЮЛ7701003839</t>
  </si>
  <si>
    <t>ЮЛ770100383900000</t>
  </si>
  <si>
    <t>ЮЛ770100383900001</t>
  </si>
  <si>
    <t>111020 город Москва улица 2-я Синичкина дом 9А строение 4  этаж 4, помещение 1</t>
  </si>
  <si>
    <t>ЮЛ770100273400000</t>
  </si>
  <si>
    <t>109443 город Москва проспект Волгоградский дом 84 корпус 1  НП 4А</t>
  </si>
  <si>
    <t>ЮЛ770100273400002</t>
  </si>
  <si>
    <t>117624 город Москва бульвар Адмирала Ушакова дом 11   этаж 1</t>
  </si>
  <si>
    <t>ЮЛ770100273400003</t>
  </si>
  <si>
    <t>109117 город Москва проспект Волгоградский дом 117 корпус 3  этаж 1, помещение II, часть комнаты 3</t>
  </si>
  <si>
    <t>ЮЛ770100273400006</t>
  </si>
  <si>
    <t>109456 город Москва проспект Рязанский дом 75 строение 1  помещение 3Н</t>
  </si>
  <si>
    <t>ЮЛ770100273400010</t>
  </si>
  <si>
    <t>123060 город Москва улица Народного Ополчения дом 47 корпус 1 стр 1  этаж 1</t>
  </si>
  <si>
    <t>ЮЛ770100273400012</t>
  </si>
  <si>
    <t>129327 город Москва проезд Анадырский дом 8   этаж 1</t>
  </si>
  <si>
    <t>ЮЛ770100273400014</t>
  </si>
  <si>
    <t>117587 город Москва улица Кировоградская дом 12 корпус 2</t>
  </si>
  <si>
    <t>ЮЛ770100273400017</t>
  </si>
  <si>
    <t>125212 город Москва шоссе Ленинградское дом 58 строение 26  этаж 1, часть помещения 1 - часть комнаты № 48</t>
  </si>
  <si>
    <t>ЮЛ770100273400018</t>
  </si>
  <si>
    <t>127540 город Москва улица Дубнинская дом 12 корпус 2</t>
  </si>
  <si>
    <t>ЮЛ770100273400021</t>
  </si>
  <si>
    <t>109125 город Москва улица Люблинская дом 4 строение 1</t>
  </si>
  <si>
    <t>ЮЛ770100273400025</t>
  </si>
  <si>
    <t>105043 город Москва проспект Измайловский дом 54</t>
  </si>
  <si>
    <t>ЮЛ770100273400026</t>
  </si>
  <si>
    <t>129323 город Москва улица Снежная дом 16 корпус 1  этаж 1, помещение II, часть комнаты 3</t>
  </si>
  <si>
    <t>ЮЛ770100273400028</t>
  </si>
  <si>
    <t>107370 город Москва шоссе Открытое дом 5А   этаж 1</t>
  </si>
  <si>
    <t>ЮЛ770100273400029</t>
  </si>
  <si>
    <t>108851 город Щербинка улица Пушкинская дом 2   торговый павильон</t>
  </si>
  <si>
    <t>ЮЛ770100273400030</t>
  </si>
  <si>
    <t>107061 город Москва улица Черкизовская Б. дом 3 корпус 1  этаж 1</t>
  </si>
  <si>
    <t>ЮЛ770100273400031</t>
  </si>
  <si>
    <t>115551 город Москва проезд Шипиловский дом 39 корпус 2</t>
  </si>
  <si>
    <t>ЮЛ770100273400038</t>
  </si>
  <si>
    <t>125212 город Москва шоссе Головинское дом 2 строение 1</t>
  </si>
  <si>
    <t>ЮЛ770100273400041</t>
  </si>
  <si>
    <t>115573 город Москва бульвар Ореховый дом 45 корпус 1</t>
  </si>
  <si>
    <t>ЮЛ770100273400043</t>
  </si>
  <si>
    <t>111401 город Москва проспект Зелёный дом 23/43   этаж под помещением I комната 18</t>
  </si>
  <si>
    <t>ЮЛ770100273400046</t>
  </si>
  <si>
    <t>ЮЛ770100273400047</t>
  </si>
  <si>
    <t>121351 город Москва улица Кунцевская дом 4 корпус 1  помещение IV, комната 1</t>
  </si>
  <si>
    <t>ЮЛ770100273400048</t>
  </si>
  <si>
    <t>117218 город Москва улица Профсоюзная дом 19   этаж 1, помещение III, комната № 13 и № 13а</t>
  </si>
  <si>
    <t>ЮЛ770100273400049</t>
  </si>
  <si>
    <t>127591 город Москва улица Дубнинская дом 52 строение 2  торговое место 603</t>
  </si>
  <si>
    <t>ЮЛ770100273400050</t>
  </si>
  <si>
    <t>127106 г  Москва ул Гостиничная д  9Б   помещ 1А/1</t>
  </si>
  <si>
    <t>ООО "ЗОЛОТАЯ ФАНТАЗИЯ"</t>
  </si>
  <si>
    <t>7731479014</t>
  </si>
  <si>
    <t>ЮЛ7701009794</t>
  </si>
  <si>
    <t>ЮЛ770100979400000</t>
  </si>
  <si>
    <t>105094 город Москва улица Большая Семёновская дом 42 строение 1 помещение 1 комн.23,24,70,71</t>
  </si>
  <si>
    <t>ИП Гасенко Александр Владимирович</t>
  </si>
  <si>
    <t>773165951367</t>
  </si>
  <si>
    <t>ИП7602005933</t>
  </si>
  <si>
    <t>ИП760200593300000</t>
  </si>
  <si>
    <t>119415 город Москва проспект Вернадского дом 39   этаж 6, помещение I, комната № 20, 21</t>
  </si>
  <si>
    <t>ИП Редуто Любовь Викторовна</t>
  </si>
  <si>
    <t>773200805883</t>
  </si>
  <si>
    <t>ИП7701006139</t>
  </si>
  <si>
    <t>ИП770100613900000</t>
  </si>
  <si>
    <t>119002 город Москва улица Арбат дом 31 строение 1  Помещение 3, комнаты 1-3; 5-7</t>
  </si>
  <si>
    <t>ИП Алексеев Константин Николаевич</t>
  </si>
  <si>
    <t>773206939308</t>
  </si>
  <si>
    <t>ИП7701000182</t>
  </si>
  <si>
    <t>ИП770100018200000</t>
  </si>
  <si>
    <t>129344 город Москва улица Искры дом 31 корпус 1  чердак ,  помещение II, комната 15</t>
  </si>
  <si>
    <t>ИП Зернова Василиса Валерьевна</t>
  </si>
  <si>
    <t>773273748370</t>
  </si>
  <si>
    <t>ИП7701038152</t>
  </si>
  <si>
    <t>ИП770103815200000</t>
  </si>
  <si>
    <t>117105 город Москва шоссе Варшавское дом 1А   этаж 3, комната 50</t>
  </si>
  <si>
    <t>ИП Калашникова Екатерина Николаевна</t>
  </si>
  <si>
    <t>773300178428</t>
  </si>
  <si>
    <t>ИП7701010191</t>
  </si>
  <si>
    <t>ИП770101019100000</t>
  </si>
  <si>
    <t>125284 Москва 1-й Хорошёвский 16 1 1</t>
  </si>
  <si>
    <t>ИП СЫРИЦО Ю. В.</t>
  </si>
  <si>
    <t>773310844187</t>
  </si>
  <si>
    <t>ИП7701037051</t>
  </si>
  <si>
    <t>ИП770103705100000</t>
  </si>
  <si>
    <t>117208 город Москва улица Чертановская Дом 7А   Офис 26П</t>
  </si>
  <si>
    <t>ИП Алифанова Алина Сергеевна</t>
  </si>
  <si>
    <t>773318080046</t>
  </si>
  <si>
    <t>ИП7701040605</t>
  </si>
  <si>
    <t>ИП770104060500000</t>
  </si>
  <si>
    <t>125362 город Москва улица Свободы дом 35 строение 5  этаж 2, помещение № I, комната № 6 (часть)</t>
  </si>
  <si>
    <t>ООО "ШАУЛА"</t>
  </si>
  <si>
    <t>7733338121</t>
  </si>
  <si>
    <t>ЮЛ7701005175</t>
  </si>
  <si>
    <t>ЮЛ770100517500000</t>
  </si>
  <si>
    <t>127299 город Москва улица Космонавта Волкова дом 6А   офис 112</t>
  </si>
  <si>
    <t>ООО "СЕРЕБРЯНАЯ ЛИСИЦА"</t>
  </si>
  <si>
    <t>7733395715</t>
  </si>
  <si>
    <t>ЮЛ7701032810</t>
  </si>
  <si>
    <t>ЮЛ770103281000000</t>
  </si>
  <si>
    <t>101000 город Москва улица Маросейка дом 6-8 строение 1  офис 35</t>
  </si>
  <si>
    <t>ИП Мазоха Ярослав Сергеевич</t>
  </si>
  <si>
    <t>773365123924</t>
  </si>
  <si>
    <t>ИП7701004553</t>
  </si>
  <si>
    <t>ИП770100455300000</t>
  </si>
  <si>
    <t>121108 город Москва проспект Кутузовский дом 48   комната 69</t>
  </si>
  <si>
    <t>ООО "СВИС ИМПОРТ"</t>
  </si>
  <si>
    <t>7733702500</t>
  </si>
  <si>
    <t>ЮЛ7701012337</t>
  </si>
  <si>
    <t>ЮЛ770101233700000</t>
  </si>
  <si>
    <t>119285 город Москва улица Минская дом 1 Г корпус 1  цокольный этаж, помещение XVI, комнаты 1-38</t>
  </si>
  <si>
    <t>ООО "ЗАЛОГ УСПЕХА "ЛОМБАРД"</t>
  </si>
  <si>
    <t>7733706230</t>
  </si>
  <si>
    <t>ЮЛ7701003983</t>
  </si>
  <si>
    <t>ЮЛ770100398300000</t>
  </si>
  <si>
    <t>111401 город Москва проспект Зелёный дом 17   помещение 1/1, 1 этаж, помещение №I, комнаты 1-5</t>
  </si>
  <si>
    <t>ЮЛ770100398300007</t>
  </si>
  <si>
    <t>117042 город Москва улица Венёвская дом 4   этаж 1, помещение II,часть комнаты 96,условный номер 104</t>
  </si>
  <si>
    <t>ЮЛ770100398300009</t>
  </si>
  <si>
    <t>123056 город Москва улица Грузинский Вал дом 28/45   неж.пом. 7/1, подвал, пом. I – ком.1,44;этаж 1,пом.IV–ком. 48м;неж.пом.1/П,подвал,пом. I - ком. 47;эт.1,пом IV - ком.48л,подвал,пом.1a – ком.1, 2;подвал № 1,ком.: 1, 2, 2а, 2б, 2в, 3. этаж № 1: пом.IVж – ком. 1,пом.IVк - ком.1; пом.IVм.</t>
  </si>
  <si>
    <t>ЮЛ770100398300021</t>
  </si>
  <si>
    <t>109377 город Москва проспект Рязанский дом 46   помещение 2/1, 1 этаж, помещение №  I, часть комнат: 27,28</t>
  </si>
  <si>
    <t>ЮЛ770100398300022</t>
  </si>
  <si>
    <t>102515 город Москва улица 9-я Парковая дом 61 корпус 1  пом.1/1:1 эт., пом. 1, ком.: 1-3;пом. 2/1, 1 эт., пом. 2, ком.: 1-5.</t>
  </si>
  <si>
    <t>ЮЛ770100398300035</t>
  </si>
  <si>
    <t>117570 город Москва улица Красного Маяка ДОМ 16</t>
  </si>
  <si>
    <t>АО "ИНТАЛИЗ"</t>
  </si>
  <si>
    <t>7733707450</t>
  </si>
  <si>
    <t>ЮЛ7701012815</t>
  </si>
  <si>
    <t>ЮЛ770101281500000</t>
  </si>
  <si>
    <t>103265 город Москва улица Охотный Ряд ДОМ 2   этаж 1, помещение I, комната 38</t>
  </si>
  <si>
    <t>ЮЛ770101281500001</t>
  </si>
  <si>
    <t>121099 город Москва площадь Смоленская ДОМ 3   1-ый этаж, Помещение I, комната № 12е</t>
  </si>
  <si>
    <t>ЮЛ770101281500002</t>
  </si>
  <si>
    <t>125362 Москва улица Свободы дом 15/10   1 этаж</t>
  </si>
  <si>
    <t>ИП Казакова Александра Павловна</t>
  </si>
  <si>
    <t>773370888358</t>
  </si>
  <si>
    <t>ИП7701039787</t>
  </si>
  <si>
    <t>ИП770103978700000</t>
  </si>
  <si>
    <t>ИП Тихонович Наталья Петровна</t>
  </si>
  <si>
    <t>773373318324</t>
  </si>
  <si>
    <t>ИП7701031914</t>
  </si>
  <si>
    <t>ИП770103191400000</t>
  </si>
  <si>
    <t>125424 город Москва проезд Стратонавтов дом 9   1ый этаж: помещение IX-X; комната №18, 2-ой этаж: помещение 1; комнаты №3,10,11,14,15,16,17,18,19,20</t>
  </si>
  <si>
    <t>ИП Горский Антон Андреевич</t>
  </si>
  <si>
    <t>773377023402</t>
  </si>
  <si>
    <t>ИП7701002812</t>
  </si>
  <si>
    <t>ИП770100281200000</t>
  </si>
  <si>
    <t>115230 город Москва улица Нагатинская дом 2   Помещение 22/3</t>
  </si>
  <si>
    <t>ИП Стройнова Ирина Игоревна</t>
  </si>
  <si>
    <t>773378526102</t>
  </si>
  <si>
    <t>ИП7701008834</t>
  </si>
  <si>
    <t>ИП770100883400000</t>
  </si>
  <si>
    <t>125167 город Москва проспект Ленинградский дом 36</t>
  </si>
  <si>
    <t>ИП Агаева Сабират Муртазаевна</t>
  </si>
  <si>
    <t>773401207900</t>
  </si>
  <si>
    <t>ИП7701003708</t>
  </si>
  <si>
    <t>ИП770100370800000</t>
  </si>
  <si>
    <t>125466 город Москва улица Соколово-Мещерская дом 14 корпус 1  цокольный этаж №0,  помещение 7</t>
  </si>
  <si>
    <t>ИП Волкова Елена Витальевна</t>
  </si>
  <si>
    <t>773406192750</t>
  </si>
  <si>
    <t>ИП7701016474</t>
  </si>
  <si>
    <t>ИП770101647400000</t>
  </si>
  <si>
    <t>109428 город Москва проспект Рязанский дом 10 Строение 18  этаж2, комната 3, часть Офиса 2</t>
  </si>
  <si>
    <t>ИП Куликова Светлана Александровна</t>
  </si>
  <si>
    <t>773411654016</t>
  </si>
  <si>
    <t>ИП7701006621</t>
  </si>
  <si>
    <t>ИП770100662100000</t>
  </si>
  <si>
    <t>109012 город Москва Рождественский бульвар дом 20 строение 1</t>
  </si>
  <si>
    <t>ИП Артемьева Елена Викторовна</t>
  </si>
  <si>
    <t>773417437191</t>
  </si>
  <si>
    <t>ИП7701002227</t>
  </si>
  <si>
    <t>ИП770100222700000</t>
  </si>
  <si>
    <t>ИП Михайлова Екатерина Николаевна</t>
  </si>
  <si>
    <t>773419579829</t>
  </si>
  <si>
    <t>ИП7701032889</t>
  </si>
  <si>
    <t>ИП770103288900000</t>
  </si>
  <si>
    <t>123112 город Москва набережная Пресненская дом 10 строение 2  этаж 6, помещение 22</t>
  </si>
  <si>
    <t>ИП Дмитриев Андрей Александрович</t>
  </si>
  <si>
    <t>773422684887</t>
  </si>
  <si>
    <t>ИП7701007238</t>
  </si>
  <si>
    <t>ИП770100723800001</t>
  </si>
  <si>
    <t>119002 город Москва переулок Сивцев Вражек дом 43   этаж 1, кабинет 107</t>
  </si>
  <si>
    <t>ООО "ОКЕАН ВНУТРИ"</t>
  </si>
  <si>
    <t>7734385999</t>
  </si>
  <si>
    <t>ЮЛ7701012179</t>
  </si>
  <si>
    <t>ЮЛ770101217900000</t>
  </si>
  <si>
    <t>125009 город Москва переулок Газетный дом 3-5 строение 1  помещение 1/1</t>
  </si>
  <si>
    <t>ООО "СУТЬ"</t>
  </si>
  <si>
    <t>7734453670</t>
  </si>
  <si>
    <t>ЮЛ7701030357</t>
  </si>
  <si>
    <t>ЮЛ770103035700000</t>
  </si>
  <si>
    <t>129090 город Москва улица Садовая-Сухаревская дом 15 строение 1  мансардный этаж, помещ. №1,4 а</t>
  </si>
  <si>
    <t>ООО ДФШ</t>
  </si>
  <si>
    <t>7734475882</t>
  </si>
  <si>
    <t>ЮЛ7701039582</t>
  </si>
  <si>
    <t>ЮЛ770103958200000</t>
  </si>
  <si>
    <t>123060 город Москва улица Расплетина дом 24   3 Этаж,  Помещение 1, Комната № 1 ( Офис 313)</t>
  </si>
  <si>
    <t>ООО "СОЮЗ"</t>
  </si>
  <si>
    <t>7734477150</t>
  </si>
  <si>
    <t>ЮЛ7701034082</t>
  </si>
  <si>
    <t>ЮЛ770103408200000</t>
  </si>
  <si>
    <t>123104 город Москва переулок Козихинский Б. дом 1/9 строение 1  Этаж 1, Помещение I, Комнаты 1, 2, 3, 4, 5</t>
  </si>
  <si>
    <t>ООО "МИГДАЛЬ"</t>
  </si>
  <si>
    <t>7734495381</t>
  </si>
  <si>
    <t>ЮЛ7701037040</t>
  </si>
  <si>
    <t>ЮЛ770103704000000</t>
  </si>
  <si>
    <t>123154 город Москва улица Маршала Тухачевского дом 32 корпус 2  Этаж 1,помещение VIII, комнаты 16,17,18,19,20,21,22</t>
  </si>
  <si>
    <t>ООО "ТД ФАБРИКА ЮВЕЛИРНЫХ УКРАШЕНИЙ"</t>
  </si>
  <si>
    <t>7734552431</t>
  </si>
  <si>
    <t>ЮЛ7701006445</t>
  </si>
  <si>
    <t>ЮЛ770100644500000</t>
  </si>
  <si>
    <t>111033 город Москва улица Золоторожский Вал дом 32 строение 2  помещение № 11</t>
  </si>
  <si>
    <t>ООО "ЛОМБАРД ПЛАТИНУМ"</t>
  </si>
  <si>
    <t>7734589671</t>
  </si>
  <si>
    <t>ЮЛ7701030654</t>
  </si>
  <si>
    <t>ЮЛ770103065400000</t>
  </si>
  <si>
    <t>117218 город Москва улица Дмитрия Ульянова дом 44   этаж 1, помещение 5</t>
  </si>
  <si>
    <t>ИП Кузнецов Илья Борисович</t>
  </si>
  <si>
    <t>773461498838</t>
  </si>
  <si>
    <t>ИП7701013048</t>
  </si>
  <si>
    <t>ИП770101304800000</t>
  </si>
  <si>
    <t>119311 город Москва улица Строителей дом 3   этаж 1, комнаты №№ 18б, 18в</t>
  </si>
  <si>
    <t>ИП Денисова Маргарита Владимировна</t>
  </si>
  <si>
    <t>773462135393</t>
  </si>
  <si>
    <t>ИП7701011836</t>
  </si>
  <si>
    <t>ИП770101183600002</t>
  </si>
  <si>
    <t>129110 город Москва пр-кт Мира Дом 79   Этаж 1, помещение 3/1</t>
  </si>
  <si>
    <t>ИП770101183600004</t>
  </si>
  <si>
    <t>ИП Рокка Кристина Константиновна</t>
  </si>
  <si>
    <t>773462295397</t>
  </si>
  <si>
    <t>ИП7701015882</t>
  </si>
  <si>
    <t>ИП770101588200000</t>
  </si>
  <si>
    <t>115522 город Москва улица Кантемировская дом 16/1   помещение 4, комнаты 1-8</t>
  </si>
  <si>
    <t>ИП Тимохова Юлия Георгиевна</t>
  </si>
  <si>
    <t>773463399800</t>
  </si>
  <si>
    <t>ИП7701012387</t>
  </si>
  <si>
    <t>ИП770101238700000</t>
  </si>
  <si>
    <t>127299 город Москва улица Клары Цеткин дом 18 корпус 8  этаж 2 помещение XV комнаты 1 и 2</t>
  </si>
  <si>
    <t>ООО "ЭМЕРАЛЬД-ГОЛД"</t>
  </si>
  <si>
    <t>7734634324</t>
  </si>
  <si>
    <t>ЮЛ7701003915</t>
  </si>
  <si>
    <t>ЮЛ770100391500000</t>
  </si>
  <si>
    <t>125009 город Москва улица Тверская 3   пом.64, 65</t>
  </si>
  <si>
    <t>ООО "ТРЕЙД ХАУС"</t>
  </si>
  <si>
    <t>7734668965</t>
  </si>
  <si>
    <t>ЮЛ7701001407</t>
  </si>
  <si>
    <t>ЮЛ770100140700000</t>
  </si>
  <si>
    <t>129301 город Москва улица Касаткина дом 3 строение 2  Этаж 4 помещение 9</t>
  </si>
  <si>
    <t>ИП Соловьев Егор Евгеньевич</t>
  </si>
  <si>
    <t>773466909337</t>
  </si>
  <si>
    <t>ИП5001008194</t>
  </si>
  <si>
    <t>ИП500100819400000</t>
  </si>
  <si>
    <t>123007 город Москва Хорошевское шоссе владение 16 строение 3  этаж 4, комнаты №2, 2.1</t>
  </si>
  <si>
    <t>ООО "ЗОЛОТО И СТИЛЬ"</t>
  </si>
  <si>
    <t>7734681444</t>
  </si>
  <si>
    <t>ЮЛ7701002510</t>
  </si>
  <si>
    <t>ЮЛ770100251000000</t>
  </si>
  <si>
    <t>121059 город Москва площадь Киевского Вокзала дом 2  вход №4 1 этаж, Помещение I комната 64</t>
  </si>
  <si>
    <t>ИП Саникидзе Майя Тенгизовна</t>
  </si>
  <si>
    <t>773472730722</t>
  </si>
  <si>
    <t>ИП7701014008</t>
  </si>
  <si>
    <t>ИП770101400800000</t>
  </si>
  <si>
    <t>109341 город Москва улица Перерва дом 43 корпус 1  павильон 11 Б</t>
  </si>
  <si>
    <t>ИП770101400800003</t>
  </si>
  <si>
    <t>125009 город Москва площадь Манежная дом 1 строение 2  павильон 2041</t>
  </si>
  <si>
    <t>ИП770101400800004</t>
  </si>
  <si>
    <t>125171 город Москва шоссе Ленинградское дом 16А строение 4  павильон 1-063</t>
  </si>
  <si>
    <t>ИП770101400800006</t>
  </si>
  <si>
    <t>ИП770101400800007</t>
  </si>
  <si>
    <t>123112 город Москва набережная Пресненская дом 2   павильон 254 Б, 254 В</t>
  </si>
  <si>
    <t>ИП770101400800008</t>
  </si>
  <si>
    <t>ИП770101400800009</t>
  </si>
  <si>
    <t>107207 город Москва шоссе Щёлковское дом 75   ТРЦ Щёлковский, 1 этаж</t>
  </si>
  <si>
    <t>ИП770101400800010</t>
  </si>
  <si>
    <t>108811 поселение Московский  Киевское шоссе, километр 23-й дом 1   3 этаж, № 1-262</t>
  </si>
  <si>
    <t>ИП770101400800011</t>
  </si>
  <si>
    <t>115470 город Москва проспект Андропова дом 13/32</t>
  </si>
  <si>
    <t>ИП770101400800012</t>
  </si>
  <si>
    <t>123182 город Москва улица Щукинская дом 42   этаж 2, нежилое помещение I комнаты 58, 58а</t>
  </si>
  <si>
    <t>ИП770101400800013</t>
  </si>
  <si>
    <t>123056 город Москва улица Большая Грузинская дом 60 строение 1  этаж 1</t>
  </si>
  <si>
    <t>ИП Кольев Алексей Юрьевич</t>
  </si>
  <si>
    <t>773472772850</t>
  </si>
  <si>
    <t>ИП7701010416</t>
  </si>
  <si>
    <t>ИП770101041600000</t>
  </si>
  <si>
    <t>109386 город Москва улица Совхозная дом 49   этаж 1</t>
  </si>
  <si>
    <t>ИП770101041600003</t>
  </si>
  <si>
    <t>107023 город Москва улица  Садовая-Триумфальная дом 16 строение 3  помещение 2А/1</t>
  </si>
  <si>
    <t>ИП Хлопкина Дарья Михайловна</t>
  </si>
  <si>
    <t>773473114807</t>
  </si>
  <si>
    <t>ИП7701006571</t>
  </si>
  <si>
    <t>ИП770100657100000</t>
  </si>
  <si>
    <t>107031 город Москва улица Петровка дом 23/10 строение 5, 4 этаж, правое крыло  комната №6</t>
  </si>
  <si>
    <t>ИП Селивохин Михаил Юрьевич</t>
  </si>
  <si>
    <t>773473926809</t>
  </si>
  <si>
    <t>ИП7701036783</t>
  </si>
  <si>
    <t>ИП770103678300000</t>
  </si>
  <si>
    <t>124482 город Зеленоград проспект Центральный корпус 438   2этаж павильон №47а</t>
  </si>
  <si>
    <t>ИП Чуйков Евгений Валентинович</t>
  </si>
  <si>
    <t>773504000270</t>
  </si>
  <si>
    <t>ИП7701006081</t>
  </si>
  <si>
    <t>ИП770100608100000</t>
  </si>
  <si>
    <t>124482 город Москва, город ЗЕЛЕНОГРАД  корпус 322А   помещение 1Н/2, комната 14,15 (по плану), (фактическое нахождение офиса № 202)</t>
  </si>
  <si>
    <t>ООО "ОНЛАЙН ЮВЕЛИР"</t>
  </si>
  <si>
    <t>7735158854</t>
  </si>
  <si>
    <t>ЮЛ7701006107</t>
  </si>
  <si>
    <t>ЮЛ770100610700000</t>
  </si>
  <si>
    <t>129110 город Москва улица Гиляровского 40   помещение I, комнаты 2, 4, 3, 4а, 4б</t>
  </si>
  <si>
    <t>ООО "СИНОНИМ"</t>
  </si>
  <si>
    <t>7735173098</t>
  </si>
  <si>
    <t>ЮЛ7701040638</t>
  </si>
  <si>
    <t>ЮЛ770104063800000</t>
  </si>
  <si>
    <t>125493 город Москва улица Смольная дом 12   помещение № 78а (часть) этаж 2</t>
  </si>
  <si>
    <t>ООО "АНТЕЙ-ЮВЕЛИР"</t>
  </si>
  <si>
    <t>7735501253</t>
  </si>
  <si>
    <t>ЮЛ7701006008</t>
  </si>
  <si>
    <t>ЮЛ770100600800000</t>
  </si>
  <si>
    <t>124527 город Зеленоград  корпус 834А</t>
  </si>
  <si>
    <t>ООО "ЛОМБАРД "ФОРТУНА +"</t>
  </si>
  <si>
    <t>7735595460</t>
  </si>
  <si>
    <t>ЮЛ7701000257</t>
  </si>
  <si>
    <t>ЮЛ770100025700000</t>
  </si>
  <si>
    <t>125284 город Москва проспект Ленинградский дом 33 корпус 4  этаж 1</t>
  </si>
  <si>
    <t>ЮЛ770100025700001</t>
  </si>
  <si>
    <t>127254 город Москва улица Руставели дом 15   пом. IV, ком. 1-3 5-7</t>
  </si>
  <si>
    <t>ООО "ЛОМБАРД АЛАНДРАГ"</t>
  </si>
  <si>
    <t>7736021732</t>
  </si>
  <si>
    <t>ЮЛ7701007097</t>
  </si>
  <si>
    <t>ЮЛ770100709700000</t>
  </si>
  <si>
    <t>123104 город Москва улица Большая Бронная дом 23 строение 1  2 этаж, помещение 1, комната 7, комната 8</t>
  </si>
  <si>
    <t>ИП Бритвина Ольга Викторовна</t>
  </si>
  <si>
    <t>773605461060</t>
  </si>
  <si>
    <t>ИП7701002472</t>
  </si>
  <si>
    <t>ИП770100247200000</t>
  </si>
  <si>
    <t>125124 город Москва улица 1-я Ямского Поля дом 1 корпус 1  помещение 156</t>
  </si>
  <si>
    <t>ИП Сапаева Тамара Османовна</t>
  </si>
  <si>
    <t>773610361085</t>
  </si>
  <si>
    <t>ИП7701014879</t>
  </si>
  <si>
    <t>ИП770101487900000</t>
  </si>
  <si>
    <t>117393 город Москва улица Профсоюзная дом 78 стр. 4  пом.I, комн.75, 76</t>
  </si>
  <si>
    <t>ИП Маркова Дарья Константиновна</t>
  </si>
  <si>
    <t>773611197568</t>
  </si>
  <si>
    <t>ИП7701038922</t>
  </si>
  <si>
    <t>ИП770103892200000</t>
  </si>
  <si>
    <t>ИП770103892200001</t>
  </si>
  <si>
    <t>127473 город Москва улица Краснопролетарская дом 36 бизнес-центр "Амбер-Плаза"</t>
  </si>
  <si>
    <t>ИП Рябышева Надежда Александровна</t>
  </si>
  <si>
    <t>773616746081</t>
  </si>
  <si>
    <t>ИП7701030943</t>
  </si>
  <si>
    <t>ИП770103094300000</t>
  </si>
  <si>
    <t>109316 город Москва улица Талалихина дом 41 строение 9  комнаты 15,15а, 15б, 15в</t>
  </si>
  <si>
    <t>ООО "КАМЕНЬ В ИНТЕРЬЕРЕ"</t>
  </si>
  <si>
    <t>7736218993</t>
  </si>
  <si>
    <t>ЮЛ7701015561</t>
  </si>
  <si>
    <t>ЮЛ770101556100000</t>
  </si>
  <si>
    <t>121059 город Москва улица Брянская дом 5   этаж 7 помещение 1 комната 5</t>
  </si>
  <si>
    <t>ООО "ПЬЕР РАША"</t>
  </si>
  <si>
    <t>7736269589</t>
  </si>
  <si>
    <t>ЮЛ7701015025</t>
  </si>
  <si>
    <t>ЮЛ770101502500000</t>
  </si>
  <si>
    <t>119296 город Москва Ленинский проспект дом 67   Подвал, Помещение XI, комната 11</t>
  </si>
  <si>
    <t>ООО "ЛАК КАПИТАЛ"</t>
  </si>
  <si>
    <t>7736315179</t>
  </si>
  <si>
    <t>ЮЛ7701036885</t>
  </si>
  <si>
    <t>ЮЛ770103688500000</t>
  </si>
  <si>
    <t>115583 город Москва улица Елецкая дом 15   этаж 2</t>
  </si>
  <si>
    <t>ООО "ЛОМБАРД ЗАРНИЦА ПЛЮС"</t>
  </si>
  <si>
    <t>7736317923</t>
  </si>
  <si>
    <t>ЮЛ7701000237</t>
  </si>
  <si>
    <t>ЮЛ770100023700000</t>
  </si>
  <si>
    <t>119119 город Москва проспект Ленинский дом 42 корпус 1-2-3  комната 11-89</t>
  </si>
  <si>
    <t>ООО "ДМО"</t>
  </si>
  <si>
    <t>7736335993</t>
  </si>
  <si>
    <t>ЮЛ7701016219</t>
  </si>
  <si>
    <t>ЮЛ770101621900000</t>
  </si>
  <si>
    <t>119021 город Москва проезд Зубовский дом 1   часть нежилого помещения №1/Ц,  этаж 0</t>
  </si>
  <si>
    <t>ООО "ЧАСОВОЙ ДОМ СКРИНГО"</t>
  </si>
  <si>
    <t>7736353311</t>
  </si>
  <si>
    <t>ЮЛ7701035247</t>
  </si>
  <si>
    <t>ЮЛ770103524700000</t>
  </si>
  <si>
    <t>119021 город Москва проезд Зубовский дом 1   часть нежилого помещения №1/Ц</t>
  </si>
  <si>
    <t>ООО "ЧАСОВОЙ ЛОМБАРД СКРИНГО"</t>
  </si>
  <si>
    <t>7736353329</t>
  </si>
  <si>
    <t>ЮЛ7701035670</t>
  </si>
  <si>
    <t>ЮЛ770103567000000</t>
  </si>
  <si>
    <t>121099 город Москва улица Новый Арбат дом 32</t>
  </si>
  <si>
    <t>ЮЛ160600373100003</t>
  </si>
  <si>
    <t>119027 город Москва улица 2-я Рейсовая дом 2 корпус 5  помещение 1 комната 309</t>
  </si>
  <si>
    <t>ЮЛ160600373100004</t>
  </si>
  <si>
    <t>123112 город Москва набережная Пресненская дом 2 1Н/6 этаж 4, помещение №1 79, 79а, 79б</t>
  </si>
  <si>
    <t>ЮЛ160600373100009</t>
  </si>
  <si>
    <t>119192 город Москва проспект Ломоносовский ДОМ 29 корпус 3  этаж 1</t>
  </si>
  <si>
    <t>ООО "ЛОМБАРД РОЯЛ ТАЙМ"</t>
  </si>
  <si>
    <t>7736677355</t>
  </si>
  <si>
    <t>ЮЛ7701005416</t>
  </si>
  <si>
    <t>ЮЛ770100541600000</t>
  </si>
  <si>
    <t>121151 город Москва проспект Кутузовский дом 23 корпус 1  этаж 1 помещение I комната 6; антресоль - помещение VI комнаты 1,5-7; подвал - помещение I комнаты 1 - 10</t>
  </si>
  <si>
    <t>ИП Губанов Сергей Викторович</t>
  </si>
  <si>
    <t>773670052194</t>
  </si>
  <si>
    <t>ИП7701005278</t>
  </si>
  <si>
    <t>ИП770100527800000</t>
  </si>
  <si>
    <t>117292 город Москва улица Шверника дом 4 строение 2  ЭТАЖ 9, ПОМЕЩЕНИЕ I, КОМНАТА 901, 905</t>
  </si>
  <si>
    <t>ИП Череватенко Анастасия Александровна</t>
  </si>
  <si>
    <t>773670441761</t>
  </si>
  <si>
    <t>ИП7701012865</t>
  </si>
  <si>
    <t>ИП770101286500000</t>
  </si>
  <si>
    <t>121352 город Москва проспект Кутузовский дом 57   1 этаж, Помещение с номером 1.088.2.4.03)</t>
  </si>
  <si>
    <t>ИП770101286500006</t>
  </si>
  <si>
    <t>129085 город Москва проспект Мира дом 105 строение 1  7 этаж, помещения №706-7, 706-8, 706-9, 706-10, 706-11, 706-12</t>
  </si>
  <si>
    <t>ИП Бабаев Вазген Арменович</t>
  </si>
  <si>
    <t>773711625746</t>
  </si>
  <si>
    <t>ИП5001036262</t>
  </si>
  <si>
    <t>ИП500103626200000</t>
  </si>
  <si>
    <t>105120 город Москва улица Верхняя Сыромятническая дом 2   антресоль эт.1,пом.VI,ч.ком.1 и эт.1,пом.IIг,ч.к.9</t>
  </si>
  <si>
    <t>ИП Колосова Ольга Михайловна</t>
  </si>
  <si>
    <t>773713741201</t>
  </si>
  <si>
    <t>ИП7701003846</t>
  </si>
  <si>
    <t>ИП770100384600000</t>
  </si>
  <si>
    <t>115054 город Москва улица Дубининская дом 68 строение 3  этаж 02</t>
  </si>
  <si>
    <t>ИП Фролова Динара Романовна</t>
  </si>
  <si>
    <t>773717604615</t>
  </si>
  <si>
    <t>ИП7701035996</t>
  </si>
  <si>
    <t>ИП770103599600000</t>
  </si>
  <si>
    <t>123610 город Москва набережная Краснопресненская Дом 12    помещ. 3/1-комнаты 1, 1а,1б,1в,2,3 -помещения 1а</t>
  </si>
  <si>
    <t>ИП Саакян Асмик Паргевовна</t>
  </si>
  <si>
    <t>773721646872</t>
  </si>
  <si>
    <t>ИП7701019044</t>
  </si>
  <si>
    <t>ИП770101904400000</t>
  </si>
  <si>
    <t>119192 город Москва проспект Ломоносовский дом 29 корпус 3  этаж 1 антресоль 1</t>
  </si>
  <si>
    <t>ООО "ЧАСОВОЕ ВРЕМЯ"</t>
  </si>
  <si>
    <t>7743052989</t>
  </si>
  <si>
    <t>ЮЛ7701010421</t>
  </si>
  <si>
    <t>ЮЛ770101042100000</t>
  </si>
  <si>
    <t>109559 город Москва улица Краснодарская дом 66 корпус 2</t>
  </si>
  <si>
    <t>ИП Панова Лаура Юрьевна</t>
  </si>
  <si>
    <t>774308299828</t>
  </si>
  <si>
    <t>ИП7701040732</t>
  </si>
  <si>
    <t>ИП770104073200000</t>
  </si>
  <si>
    <t>1117198 город Москва проспект Ленинский 113/1   209Е</t>
  </si>
  <si>
    <t>ООО "САПФИРИНИ"</t>
  </si>
  <si>
    <t>7743095816</t>
  </si>
  <si>
    <t>ЮЛ7701011227</t>
  </si>
  <si>
    <t>ЮЛ770101122700000</t>
  </si>
  <si>
    <t>109012 город Москва улица Неглинная дом 4   нежилые помещения №1, 103А</t>
  </si>
  <si>
    <t>ИП Поспелова Юлия Андреевна</t>
  </si>
  <si>
    <t>774311538346</t>
  </si>
  <si>
    <t>ИП5001035022</t>
  </si>
  <si>
    <t>ИП500103502200000</t>
  </si>
  <si>
    <t>125502 город Москва улица Петрозаводская дом 11 корпус 3  1 этаж, помещение 1, комнаты № 7, 8, 9</t>
  </si>
  <si>
    <t>ИП Аверкин Евгений Александрович</t>
  </si>
  <si>
    <t>774311551724</t>
  </si>
  <si>
    <t>ИП7701017892</t>
  </si>
  <si>
    <t>ИП770101789200000</t>
  </si>
  <si>
    <t>101000 город Москва улица Петрозаводская дом 24Б   помещение на 2 этаже</t>
  </si>
  <si>
    <t>ИП770101789200002</t>
  </si>
  <si>
    <t>127030 город Москва улица Сущевская дом 19 строение 4  этаж 2, помещение 2, офис 219</t>
  </si>
  <si>
    <t>ИП Кравцова Анастасия Дмитриевна</t>
  </si>
  <si>
    <t>774314290319</t>
  </si>
  <si>
    <t>ИП7701014068</t>
  </si>
  <si>
    <t>ИП770101406800000</t>
  </si>
  <si>
    <t>125565 город Москва улица Фестивальная дом 13 корпус 1</t>
  </si>
  <si>
    <t>ИП Аверкин Сергей Александрович</t>
  </si>
  <si>
    <t>774315479980</t>
  </si>
  <si>
    <t>ИП7701017850</t>
  </si>
  <si>
    <t>ИП770101785000000</t>
  </si>
  <si>
    <t>125493 город Москва Кронштадтский б-р 3А   Цокольный этаж, помещение № 011</t>
  </si>
  <si>
    <t>ИП770101785000001</t>
  </si>
  <si>
    <t>125195 город Москва улица Беломорская дом 26   1 этаж, помещение IX, комната 1</t>
  </si>
  <si>
    <t>ИП770101785000002</t>
  </si>
  <si>
    <t>127018 город Москва улица Сущёвский Вал дом 43   1 этаж, помещение XVIII - комнаты:1а,1,2,3,4,5,6,7,8,9,9а,10,11</t>
  </si>
  <si>
    <t>ИП Лозовая Ольга Сергеевна</t>
  </si>
  <si>
    <t>774316653286</t>
  </si>
  <si>
    <t>ИП7701001945</t>
  </si>
  <si>
    <t>ИП770100194500000</t>
  </si>
  <si>
    <t>127018 город Москва Сущевский вал дом 49   помещение 702 на 7 этаже</t>
  </si>
  <si>
    <t>ИП770100194500001</t>
  </si>
  <si>
    <t>127018 город Москва 2-ой стрелецкий проезд дом 10</t>
  </si>
  <si>
    <t>ИП Астапцев Степан Владимирович</t>
  </si>
  <si>
    <t>774316853246</t>
  </si>
  <si>
    <t>ИП7701003214</t>
  </si>
  <si>
    <t>ИП770100321400000</t>
  </si>
  <si>
    <t>109316 город Москва проспект Волгоградский дом 32 корпус 8   этаж 2, помещение 15, комната 30</t>
  </si>
  <si>
    <t>ООО "ОШЕР"</t>
  </si>
  <si>
    <t>7743170421</t>
  </si>
  <si>
    <t>ЮЛ7701032981</t>
  </si>
  <si>
    <t>ЮЛ770103298100000</t>
  </si>
  <si>
    <t>125212 город Москва бульвар Кронштадтский дом 6 корпус 5  помещение 195</t>
  </si>
  <si>
    <t>ООО "СТАРТ"</t>
  </si>
  <si>
    <t>7743179576</t>
  </si>
  <si>
    <t>ЮЛ7701001452</t>
  </si>
  <si>
    <t>ЮЛ770100145200000</t>
  </si>
  <si>
    <t>125475 город Москва улица Петрозаводская дом 28 корпус 4  1 этаж помещение IX комната 4</t>
  </si>
  <si>
    <t>ООО "КЛЮНКЕР"</t>
  </si>
  <si>
    <t>7743191407</t>
  </si>
  <si>
    <t>ЮЛ7701031828</t>
  </si>
  <si>
    <t>ЮЛ770103182800000</t>
  </si>
  <si>
    <t>119017 город Москва улица Малая Ордынка дом 19   помещение 4А</t>
  </si>
  <si>
    <t>ООО "ХОЧКИС"</t>
  </si>
  <si>
    <t>7743216066</t>
  </si>
  <si>
    <t>ЮЛ7701005176</t>
  </si>
  <si>
    <t>ЮЛ770100517600000</t>
  </si>
  <si>
    <t>115419 город Москва улица Орджоникидзе дом 11 строение 43  этаж 1, помещение 1, комната 6,7</t>
  </si>
  <si>
    <t>ООО "ЗОЛОТОЕ ВРЕМЯ"</t>
  </si>
  <si>
    <t>7743218176</t>
  </si>
  <si>
    <t>ЮЛ7701002791</t>
  </si>
  <si>
    <t>ЮЛ770100279100000</t>
  </si>
  <si>
    <t>129343 город Москва проезд Серебрякова дом 14 строение 1  этаж 1-помещение 03, 04, 04а, 04б, 04в, 04г, 04д, 04е, 04ж, 05, 06, 06а, 07, 08, 09, 10, 11; этаж 2-помещение 17, 18, 18а</t>
  </si>
  <si>
    <t>ИП Данилина Наталья Михайловна</t>
  </si>
  <si>
    <t>774321849164</t>
  </si>
  <si>
    <t>ИП0804039457</t>
  </si>
  <si>
    <t>ИП080403945700000</t>
  </si>
  <si>
    <t>125368 город Москва улица Дубравная дом 34/29   этаж 1, помещение II, комната №171 (часть)</t>
  </si>
  <si>
    <t>ИП080403945700001</t>
  </si>
  <si>
    <t>117420 город Москва улица Профсоюзная дом 61А   этаж 1, помещение I, комната №96 (часть)</t>
  </si>
  <si>
    <t>ИП080403945700002</t>
  </si>
  <si>
    <t>109341 город Москва улица Перерва дом 43 корпус 1  часть комнаты 80 помещения IV 1 этаж</t>
  </si>
  <si>
    <t>ИП080403945700003</t>
  </si>
  <si>
    <t>107207 город Москва шоссе Щёлковское дом 75   1 этаж, помещение №140 (в границах осей с Г-Д-17-18)</t>
  </si>
  <si>
    <t>ИП080403945700004</t>
  </si>
  <si>
    <t>117519 город Москва улица Кировоградская дом 13А   часть площади с номером 1.093.0.4.01 на 1 этаже</t>
  </si>
  <si>
    <t>ИП080403945700005</t>
  </si>
  <si>
    <t>127030 город Москва улица Новослободская дом 4   комната 27 (часть)</t>
  </si>
  <si>
    <t>ИП080403945700006</t>
  </si>
  <si>
    <t>125565 город Москва улица Фестивальная дом 2Б   этаж 1, помещение I (часть комнаты 40)</t>
  </si>
  <si>
    <t>ИП080403945700007</t>
  </si>
  <si>
    <t>121059 город Москва площадь Киевского Вокзала дом 2   этаж 1, помещение I, часть комнаты 121, комната 121б</t>
  </si>
  <si>
    <t>ИП080403945700008</t>
  </si>
  <si>
    <t>117556 город Москва шоссе Варшавское дом 87Б   этаж 1, часть помещения V, часть комнаты 108</t>
  </si>
  <si>
    <t>ИП080403945700009</t>
  </si>
  <si>
    <t>125319 город Москва проспект Ленинградский дом 62А   часть комнаты №95 в помещении II, этаж 1</t>
  </si>
  <si>
    <t>ИП080403945700010</t>
  </si>
  <si>
    <t>125363 город Москва улица Сходненская дом 56   этаж 1, помещение I, комната 176 (часть)</t>
  </si>
  <si>
    <t>ИП080403945700012</t>
  </si>
  <si>
    <t>125212 город Москва бульвар Кронштадтский дом 6 корпус 3  помещение V</t>
  </si>
  <si>
    <t>ООО "СТАРТАП"</t>
  </si>
  <si>
    <t>7743218874</t>
  </si>
  <si>
    <t>ЮЛ7701002947</t>
  </si>
  <si>
    <t>ЮЛ770100294700000</t>
  </si>
  <si>
    <t>1254933 Город Москва Улица Смольная Дом 12   Помещение 74</t>
  </si>
  <si>
    <t>ООО "АРТ-МОДЕРН"</t>
  </si>
  <si>
    <t>7743246889</t>
  </si>
  <si>
    <t>ЮЛ7701000890</t>
  </si>
  <si>
    <t>ЮЛ770100089000000</t>
  </si>
  <si>
    <t>125368 город Москва улица Митинская дом 16   этаж 10, помещение 1007Б, комната 10</t>
  </si>
  <si>
    <t>ООО "АЛЬФАРИДЖЕМ"</t>
  </si>
  <si>
    <t>7743248886</t>
  </si>
  <si>
    <t>ЮЛ7701001665</t>
  </si>
  <si>
    <t>ЮЛ770100166500000</t>
  </si>
  <si>
    <t>125212 город Москва бульвар Кронштадтский дом 7   1 этаж,часть комнаты №29</t>
  </si>
  <si>
    <t>ООО "СВОЙ ЮВЕЛИРНЫЙ ЛОМБАРД"</t>
  </si>
  <si>
    <t>7743259415</t>
  </si>
  <si>
    <t>ЮЛ7701000552</t>
  </si>
  <si>
    <t>ЮЛ770100055200001</t>
  </si>
  <si>
    <t>109044 город Москва переулок 3-й Крутицкий дом 13   помещение № 71</t>
  </si>
  <si>
    <t>ЮЛ770100055200003</t>
  </si>
  <si>
    <t>124365 город Москва город Зеленоград площадь Привокзальная дом 1   место №45/3А</t>
  </si>
  <si>
    <t>ЮЛ770100055200005</t>
  </si>
  <si>
    <t>125212 город Москва Кронштадтский бульвар  дом 3А строение 1  помещение №1-10,1 этаж</t>
  </si>
  <si>
    <t>ЮЛ770100055200006</t>
  </si>
  <si>
    <t>125493 город Москва улица Смольная дом 12   помещения  №109з и №22</t>
  </si>
  <si>
    <t>ООО "РУССКИЕ БРИЛЛИАНТЫ"</t>
  </si>
  <si>
    <t>7743283489</t>
  </si>
  <si>
    <t>ЮЛ7701006600</t>
  </si>
  <si>
    <t>ЮЛ770100660000000</t>
  </si>
  <si>
    <t>129323 город Москва улица Снежная дом 27   этаж 2</t>
  </si>
  <si>
    <t>ООО "ЗОЛОТО И СЕРЕБРО"</t>
  </si>
  <si>
    <t>7743286881</t>
  </si>
  <si>
    <t>ЮЛ7701007359</t>
  </si>
  <si>
    <t>ЮЛ770100735900000</t>
  </si>
  <si>
    <t>125363 город Москва улица Сходненская дом 56   6 Этаж, Помещение I, Комнаты 4-8</t>
  </si>
  <si>
    <t>ИП Меркулов Станислав Олегович</t>
  </si>
  <si>
    <t>774331527487</t>
  </si>
  <si>
    <t>ИП7701006967</t>
  </si>
  <si>
    <t>ИП770100696700000</t>
  </si>
  <si>
    <t>7743321790</t>
  </si>
  <si>
    <t>ЮЛ7701001287</t>
  </si>
  <si>
    <t>ЮЛ770100128700000</t>
  </si>
  <si>
    <t>125212 город Москва улица Кронштадтский бульвар дом 7 Строение 4  1 этаж, Помещение IV, комната № 26</t>
  </si>
  <si>
    <t>ООО "СОЛАРИМ"</t>
  </si>
  <si>
    <t>7743328193</t>
  </si>
  <si>
    <t>ЮЛ7701013228</t>
  </si>
  <si>
    <t>ЮЛ770101322800000</t>
  </si>
  <si>
    <t>125171 город Москва шоссе Ленинградское дом 8 корпус 3  помещение VIII</t>
  </si>
  <si>
    <t>ООО "ЛОМБАРД 750"</t>
  </si>
  <si>
    <t>7743329687</t>
  </si>
  <si>
    <t>ЮЛ7701003323</t>
  </si>
  <si>
    <t>ЮЛ770100332300000</t>
  </si>
  <si>
    <t>123060 город Москва улица Народного Ополчения дом 45</t>
  </si>
  <si>
    <t>ЮЛ770100332300001</t>
  </si>
  <si>
    <t>115114 город Москва переулок 1-й Кожевнический дом 6 строение 6  этаж 1, помещение 3</t>
  </si>
  <si>
    <t>ИП Рюрикова Анастасия Дмитриевна</t>
  </si>
  <si>
    <t>774334262831</t>
  </si>
  <si>
    <t>ИП7701031081</t>
  </si>
  <si>
    <t>ИП770103108100000</t>
  </si>
  <si>
    <t>125493 город Москва улица Смольная дом 12   помещение 40Б/3эт</t>
  </si>
  <si>
    <t>ООО "ОРО МАДЖОРЕ"</t>
  </si>
  <si>
    <t>7743343554</t>
  </si>
  <si>
    <t>ЮЛ7701006006</t>
  </si>
  <si>
    <t>ЮЛ770100600600000</t>
  </si>
  <si>
    <t>125581 ГОРОД МОСКВА УЛИЦА ФЛОТСКАЯ ДОМ 7   ПОМЕЩЕНИЕ 849Н</t>
  </si>
  <si>
    <t>ИП Дяченко Ярослав Валентинович</t>
  </si>
  <si>
    <t>774334646348</t>
  </si>
  <si>
    <t>ИП7701037299</t>
  </si>
  <si>
    <t>ИП770103729900000</t>
  </si>
  <si>
    <t>125212 город Москва улица Флотская дом 5 корпус А  3 этаж , помещение XXIV, комната 14</t>
  </si>
  <si>
    <t>ООО "ВЕЛДЖИ"</t>
  </si>
  <si>
    <t>7743355768</t>
  </si>
  <si>
    <t>ЮЛ7701017680</t>
  </si>
  <si>
    <t>ЮЛ770101768000000</t>
  </si>
  <si>
    <t>125502 город Москва улица Лавочкина дом 19 строение 1  комната 52 Е</t>
  </si>
  <si>
    <t>ООО "ИМПЕРИАЛ ДАЙМОНД"</t>
  </si>
  <si>
    <t>7743358085</t>
  </si>
  <si>
    <t>ЮЛ7701008805</t>
  </si>
  <si>
    <t>ЮЛ770100880500000</t>
  </si>
  <si>
    <t>125445 город Москва шоссе Ленинградское дом 69 корпус 2  помещение 2Н</t>
  </si>
  <si>
    <t>ООО "ЗОЛОТО ГОЛД"</t>
  </si>
  <si>
    <t>7743363448</t>
  </si>
  <si>
    <t>ЮЛ7701007589</t>
  </si>
  <si>
    <t>ЮЛ770100758900000</t>
  </si>
  <si>
    <t>125445 город Москва шоссе Ленинградское дом 69 корпус 2  помещение 3Н</t>
  </si>
  <si>
    <t>ООО "ВИКИ"</t>
  </si>
  <si>
    <t>7743363600</t>
  </si>
  <si>
    <t>ЮЛ7701007495</t>
  </si>
  <si>
    <t>ЮЛ770100749500000</t>
  </si>
  <si>
    <t>125424 город Москва шоссе Волоколамское дом 71/22 корпус 1  помещение 50</t>
  </si>
  <si>
    <t>ООО "ГОЛДСТАРТ"</t>
  </si>
  <si>
    <t>7743368380</t>
  </si>
  <si>
    <t>ЮЛ7701019849</t>
  </si>
  <si>
    <t>ЮЛ770101984900000</t>
  </si>
  <si>
    <t>125424 город Москва шоссе Волоколамское дом 71/22 корпус 1  помещение 68</t>
  </si>
  <si>
    <t>ООО "АРТ ЮВЕЛИР"</t>
  </si>
  <si>
    <t>7743369785</t>
  </si>
  <si>
    <t>ЮЛ7701020109</t>
  </si>
  <si>
    <t>ЮЛ770102010900000</t>
  </si>
  <si>
    <t>125057 город Москва проспект Ленинградский дом 69 строение 2  этаж 1 (первый), помещение I, комнаты 1, 1а, 3-8</t>
  </si>
  <si>
    <t>ООО "СЕРЕБРЯНЫЙ МИР"</t>
  </si>
  <si>
    <t>7743373767</t>
  </si>
  <si>
    <t>ЮЛ7701030341</t>
  </si>
  <si>
    <t>ЮЛ770103034100000</t>
  </si>
  <si>
    <t>125171 город Москва шоссе Ленинградское Дом 17/1   этаж первый, помещение III, комнаты 1-12, антресоль 1, помещение V, комната 1, антресоль 1, помещение IV, комнаты 1-4</t>
  </si>
  <si>
    <t>ЮЛ770103034100001</t>
  </si>
  <si>
    <t>125009 город Москва площадь Манежная дом 1 строение 2  подземный этаж 2, помещение 1, часть комнаты 119</t>
  </si>
  <si>
    <t>ООО "ЛЮКСУЗ"</t>
  </si>
  <si>
    <t>7743376623</t>
  </si>
  <si>
    <t>ЮЛ7701030514</t>
  </si>
  <si>
    <t>ЮЛ770103051400000</t>
  </si>
  <si>
    <t>115432 город Москва проспект Андропова дом 8   этаж 1, помещение II, комната 14</t>
  </si>
  <si>
    <t>ЮЛ770103051400001</t>
  </si>
  <si>
    <t>119285 город Москва шоссе Воробьёвское дом 6   этаж 1, нежилое помещение  2</t>
  </si>
  <si>
    <t>ООО "САФО"</t>
  </si>
  <si>
    <t>7743396450</t>
  </si>
  <si>
    <t>ЮЛ7701032938</t>
  </si>
  <si>
    <t>ЮЛ770103293800000</t>
  </si>
  <si>
    <t>125212 город Москва бульвар Кронштадтский дом 7</t>
  </si>
  <si>
    <t>ЮЛ770103181900003</t>
  </si>
  <si>
    <t>109451 город Москва улица Братиславская дом 16 корпус 1</t>
  </si>
  <si>
    <t>ЮЛ770103181900008</t>
  </si>
  <si>
    <t>107140 город Москва площадь Комсомольская дом 6   офис 665</t>
  </si>
  <si>
    <t>7743417196</t>
  </si>
  <si>
    <t>ЮЛ7701034263</t>
  </si>
  <si>
    <t>ЮЛ770103426300000</t>
  </si>
  <si>
    <t>125493 город Москва улица Смольная дом 12   этаж 2,   Помещение № 13б, 18</t>
  </si>
  <si>
    <t>ООО "СЕВЕР БРИЛЛИАНТ"</t>
  </si>
  <si>
    <t>7743420914</t>
  </si>
  <si>
    <t>ЮЛ7701034462</t>
  </si>
  <si>
    <t>ЮЛ770103446200000</t>
  </si>
  <si>
    <t>127299 город Москва улица Клары Цеткин дом 18 корпус 3  помещение 108</t>
  </si>
  <si>
    <t>ООО "РЕМЕСЛО ВОЛШЕБНИКА"</t>
  </si>
  <si>
    <t>7743428617</t>
  </si>
  <si>
    <t>ЮЛ7701035364</t>
  </si>
  <si>
    <t>ЮЛ770103536400000</t>
  </si>
  <si>
    <t>ООО ЛОМБАРД "ЮВЕЛИРТОРГ"</t>
  </si>
  <si>
    <t>7743433494</t>
  </si>
  <si>
    <t>ЮЛ7701035770</t>
  </si>
  <si>
    <t>ЮЛ770103577000000</t>
  </si>
  <si>
    <t>125493 город Москва Кронштадтский б-р 3А   Цокольный этаж, помещение №011</t>
  </si>
  <si>
    <t>ЮЛ770103577000001</t>
  </si>
  <si>
    <t>125195 город Москва улица Беломорская дом 26   помещение IX, комната 1</t>
  </si>
  <si>
    <t>ЮЛ770103577000003</t>
  </si>
  <si>
    <t>125171 город Москва шоссе Ленинградское дом 17/1   этаж 1, помещение III, комната 7</t>
  </si>
  <si>
    <t>ООО "СМ 2024"</t>
  </si>
  <si>
    <t>7743448170</t>
  </si>
  <si>
    <t>ЮЛ7701037169</t>
  </si>
  <si>
    <t>ЮЛ770103716900000</t>
  </si>
  <si>
    <t>125057 город Москва проспект Ленинградский дом 69 строение 2  помещение I, комната 2</t>
  </si>
  <si>
    <t>ЮЛ770103716900001</t>
  </si>
  <si>
    <t>125212 город Москва шоссе Ленинградское дом 29   помещение 1/1, вход IV, комнаты 2,3,4</t>
  </si>
  <si>
    <t>ООО "СКИН ЭНД НИДЛ"</t>
  </si>
  <si>
    <t>7743458869</t>
  </si>
  <si>
    <t>ЮЛ7701037996</t>
  </si>
  <si>
    <t>ЮЛ770103799600000</t>
  </si>
  <si>
    <t>123100 город Москва улица 1905 года дом 1</t>
  </si>
  <si>
    <t>ООО "ЭЛИТ ЛОМБАРД"</t>
  </si>
  <si>
    <t>7743514143</t>
  </si>
  <si>
    <t>ЮЛ7701007285</t>
  </si>
  <si>
    <t>ЮЛ770100728500000</t>
  </si>
  <si>
    <t>127576 город Москва улица Илимская дом 10   этаж 1, помещение 1Н</t>
  </si>
  <si>
    <t>ООО "ЛОМБАРД "ДЕНЬГИ ЕСТЬ!"</t>
  </si>
  <si>
    <t>7743667559</t>
  </si>
  <si>
    <t>ЮЛ7701003062</t>
  </si>
  <si>
    <t>ЮЛ770100306200000</t>
  </si>
  <si>
    <t>121552 город Москва улица Островная дом 2   этаж 5, комната 21,офис 532</t>
  </si>
  <si>
    <t>ООО "ЛИЗА БОРЗАЯ"</t>
  </si>
  <si>
    <t>7743700693</t>
  </si>
  <si>
    <t>ЮЛ7701002796</t>
  </si>
  <si>
    <t>ЮЛ770100279600000</t>
  </si>
  <si>
    <t>107031 город Москва улица Петровка дом 5   этаж 1,помещ.Vб,комнаты 1,2,3</t>
  </si>
  <si>
    <t>ЮЛ770100279600001</t>
  </si>
  <si>
    <t>125493 город Москва улица Смольная Дом 12   Этаж 2, Помещение 75</t>
  </si>
  <si>
    <t>ООО "АРИС"</t>
  </si>
  <si>
    <t>7743715026</t>
  </si>
  <si>
    <t>ЮЛ7701008614</t>
  </si>
  <si>
    <t>ЮЛ770100861400000</t>
  </si>
  <si>
    <t>117105 город Москва шоссе Варшавское дом 9 строение 1Б  этаж 5, пом. XLI, комнаты № 2-15, 27-31, 75, 76, 81-84</t>
  </si>
  <si>
    <t>АО "ПАНКЛУБ"</t>
  </si>
  <si>
    <t>7743765161</t>
  </si>
  <si>
    <t>ЮЛ7701010217</t>
  </si>
  <si>
    <t>ЮЛ770101021700000</t>
  </si>
  <si>
    <t>125252 город Москва бульвар Ходынский дом 4   этаж 3, пом. № 03К-1123</t>
  </si>
  <si>
    <t>ЮЛ770101021700088</t>
  </si>
  <si>
    <t>125493 город Москва улица Смольная дом 12   3 этаж.помещ.189,190</t>
  </si>
  <si>
    <t>ООО "ЮВЕЛИРНАЯ ФИРМА "ТИМКО"</t>
  </si>
  <si>
    <t>7743776117</t>
  </si>
  <si>
    <t>ЮЛ7701002337</t>
  </si>
  <si>
    <t>ЮЛ770100233700000</t>
  </si>
  <si>
    <t>127434 город Москва улица Прянишникова дом 5А   ЭТ/КОМ 3/ 309</t>
  </si>
  <si>
    <t>ООО "ДАЙМОНД ЭКСПЕРТ"</t>
  </si>
  <si>
    <t>7743790792</t>
  </si>
  <si>
    <t>ЮЛ7701018528</t>
  </si>
  <si>
    <t>ЮЛ770101852800000</t>
  </si>
  <si>
    <t>117186 город Москва бульвар Нагорный дом 6   этаж1, помещение 1, комнаты №1-4</t>
  </si>
  <si>
    <t>7743839529</t>
  </si>
  <si>
    <t>ЮЛ7701004172</t>
  </si>
  <si>
    <t>ЮЛ770100417200001</t>
  </si>
  <si>
    <t>125171 город Москва шоссе Ленинградское дом 8 корпус 2  1 этаж,помещение 9/1, комн.1,3,4,5,6,7,8</t>
  </si>
  <si>
    <t>ЮЛ770100417200010</t>
  </si>
  <si>
    <t>125493 город Москва улица Смольная дом 12   Помещения № 106з, 106и(часть) 106к, 3-й этаж</t>
  </si>
  <si>
    <t>ООО "АЛЕКС ДИАМОНД"</t>
  </si>
  <si>
    <t>7743845096</t>
  </si>
  <si>
    <t>ЮЛ7701003901</t>
  </si>
  <si>
    <t>ЮЛ770100390100000</t>
  </si>
  <si>
    <t>125424 Москва Волоколамское шоссе дом 92   цоколь, помещение 1</t>
  </si>
  <si>
    <t>ООО "АСТЕРС"</t>
  </si>
  <si>
    <t>7743924781</t>
  </si>
  <si>
    <t>ЮЛ7701011716</t>
  </si>
  <si>
    <t>ЮЛ770101171600000</t>
  </si>
  <si>
    <t>127006 город Москва улица Долгоруковская Дом 31 Строение 3  этаж 2, комната 6</t>
  </si>
  <si>
    <t>ООО "КРИСТАЛЛ СТАР"</t>
  </si>
  <si>
    <t>7743948246</t>
  </si>
  <si>
    <t>ЮЛ7701005821</t>
  </si>
  <si>
    <t>ЮЛ770100582100000</t>
  </si>
  <si>
    <t>125009 Москва улица Тверская дом 6 строение 5 помещение 2/1  комната 4</t>
  </si>
  <si>
    <t>ИП Воронов Леонид Сергеевич</t>
  </si>
  <si>
    <t>774398069657</t>
  </si>
  <si>
    <t>ИП7701037559</t>
  </si>
  <si>
    <t>ИП770103755900000</t>
  </si>
  <si>
    <t>115280 город Москва улица Мастеркова дом 4   Помещение 1/13</t>
  </si>
  <si>
    <t>ООО "ЛБОС"</t>
  </si>
  <si>
    <t>7751235288</t>
  </si>
  <si>
    <t>ЮЛ7701032898</t>
  </si>
  <si>
    <t>ЮЛ770103289800000</t>
  </si>
  <si>
    <t>117105 город Москва Улица Варшавское шоссе Дом 26 Строение 10  Этаж 1, комнаты 3,84,4б</t>
  </si>
  <si>
    <t>ООО "ЗЛАТОЛАВКА"</t>
  </si>
  <si>
    <t>7751241852</t>
  </si>
  <si>
    <t>ЮЛ7701032756</t>
  </si>
  <si>
    <t>ЮЛ770103275600000</t>
  </si>
  <si>
    <t>127254 город Москва проезд Огородный дом 16/1 строение 3  помещ. 102</t>
  </si>
  <si>
    <t>ИП780300136300005</t>
  </si>
  <si>
    <t>115191 город Москва переулок Холодильный Дом 4   Пом.4 , эатж № 1</t>
  </si>
  <si>
    <t>ИП780300136300006</t>
  </si>
  <si>
    <t>125009 город Москва площадь Манежная дом 1 строение 2  подземный этаж 2, пом.1, часть комнаты 241</t>
  </si>
  <si>
    <t>ООО "СЛАДКИЕ ПОДАРКИ"</t>
  </si>
  <si>
    <t>7801279117</t>
  </si>
  <si>
    <t>ЮЛ7803001128</t>
  </si>
  <si>
    <t>ЮЛ780300112800009</t>
  </si>
  <si>
    <t>101000 город Москва улица Мясницкая дом 13 строение 3  пом. 3Н</t>
  </si>
  <si>
    <t>ЮЛ780300112800010</t>
  </si>
  <si>
    <t>121059 город Москва площадь Киевского Вокзала дом 2   этаж 1, пом. 1, комната 125</t>
  </si>
  <si>
    <t>ЮЛ780300112800011</t>
  </si>
  <si>
    <t>125252 город Москва бульвар Ходынский дом 4   пом. 1К-35  3 этаж</t>
  </si>
  <si>
    <t>ЮЛ780300112800012</t>
  </si>
  <si>
    <t>ЮЛ780300112800013</t>
  </si>
  <si>
    <t>115191 город Москва улица Большая Тульская дом 13   часть центр. торг. галереи</t>
  </si>
  <si>
    <t>7801467569</t>
  </si>
  <si>
    <t>ЮЛ7803006036</t>
  </si>
  <si>
    <t>ЮЛ780300603600001</t>
  </si>
  <si>
    <t>103031 город Москва улица Дмитровка Б. дом 16 строение 1  часть пом. 24545</t>
  </si>
  <si>
    <t>ЮЛ780300603600002</t>
  </si>
  <si>
    <t>121248 город Москва проспект Кутузовский дом 2/1 строение 1  помещение 1,комната 99</t>
  </si>
  <si>
    <t>ЮЛ780300603600003</t>
  </si>
  <si>
    <t>119270 город Москва Смоленская 7   подвал №0, этаж №1, антресоль №1</t>
  </si>
  <si>
    <t>ЮЛ780300603600005</t>
  </si>
  <si>
    <t>121099 Москва Новинский б-р 8   помещение 5, 5а</t>
  </si>
  <si>
    <t>ЮЛ780300603600006</t>
  </si>
  <si>
    <t>121059 город Москва улица Большая Дорогомиловская 1   этаж 1  антресоль 1</t>
  </si>
  <si>
    <t>ИП Бажутин Павел Юрьевич</t>
  </si>
  <si>
    <t>780157244608</t>
  </si>
  <si>
    <t>ИП7803011746</t>
  </si>
  <si>
    <t>ИП780301174600000</t>
  </si>
  <si>
    <t>123112 город Москва набережная Пресненская дом 2   помещение KB4b</t>
  </si>
  <si>
    <t>ИП Алания Илья Александрович</t>
  </si>
  <si>
    <t>780242992202</t>
  </si>
  <si>
    <t>ИП7803037037</t>
  </si>
  <si>
    <t>ИП780303703700000</t>
  </si>
  <si>
    <t>127006 Москва г Большой Путинковский переулок дом 5   комната №1- №13</t>
  </si>
  <si>
    <t>ИП780303215800001</t>
  </si>
  <si>
    <t>119002 город Москва улица Арбат дом 4 строение 1</t>
  </si>
  <si>
    <t>ЮЛ780300131300170</t>
  </si>
  <si>
    <t>125363 город Москва улица Сходненская дом 37   часть помещения VIIIа</t>
  </si>
  <si>
    <t>ЮЛ780300131300565</t>
  </si>
  <si>
    <t>119002 город Москва улица Арбат дом 25/36   часть нежилого помещения (часть комнаты № 1) в помещении II</t>
  </si>
  <si>
    <t>ЮЛ780300328000124</t>
  </si>
  <si>
    <t>127015 город Москва улица Новодмитровская дом 1  строение 1</t>
  </si>
  <si>
    <t>ИП Сидоров Дмитрий Алексеевич</t>
  </si>
  <si>
    <t>780630524807</t>
  </si>
  <si>
    <t>ИП7803015027</t>
  </si>
  <si>
    <t>ИП780301502700003</t>
  </si>
  <si>
    <t>125047 город Москва улица 4-я Тверская-Ямская дом 27   помещение 1/1</t>
  </si>
  <si>
    <t>ИП780301502700009</t>
  </si>
  <si>
    <t>115280 город Москва улица Автозаводская дом 23 корпус 7  Этаж № 3, антресоль № 3, Помещение XXIV, комната 2В</t>
  </si>
  <si>
    <t>ИП Чалкова Мария Александровна</t>
  </si>
  <si>
    <t>780631105661</t>
  </si>
  <si>
    <t>ИП5001019883</t>
  </si>
  <si>
    <t>ИП500101988300000</t>
  </si>
  <si>
    <t>108811 город Москва километр Киевское шоссе 23-й (п Московский) дом 1</t>
  </si>
  <si>
    <t>ООО ИЮД "РУССКИЕ САМОЦВЕТЫ 1912"</t>
  </si>
  <si>
    <t>7806395607</t>
  </si>
  <si>
    <t>ЮЛ7803008680</t>
  </si>
  <si>
    <t>ЮЛ780300868000015</t>
  </si>
  <si>
    <t>115191 город Москва улица Большая Тульская дом 13   помещение 28, 29</t>
  </si>
  <si>
    <t>ЮЛ780300868000016</t>
  </si>
  <si>
    <t>ЮЛ780300868000017</t>
  </si>
  <si>
    <t>125171 город Москва шоссе Ленинградское дом 16А строение 4</t>
  </si>
  <si>
    <t>ЮЛ780300868000019</t>
  </si>
  <si>
    <t>108820 город Москва километр 21-й владение 3А строение 1  помещение 2070m</t>
  </si>
  <si>
    <t>ЮЛ780300868000020</t>
  </si>
  <si>
    <t>117519 город Москва улица Кировоградская дом 13А   ком. 136а, 136б</t>
  </si>
  <si>
    <t>ЮЛ780300868000021</t>
  </si>
  <si>
    <t>121059 город Москва площадь Киевского Вокзала дом 2   помещение 1 комната 67</t>
  </si>
  <si>
    <t>ЮЛ780300868000022</t>
  </si>
  <si>
    <t>129226 город Москва проспект Мира дом 211 корпус 2  пом. 1 ком. №276</t>
  </si>
  <si>
    <t>ЮЛ780300868000023</t>
  </si>
  <si>
    <t>127006 город Москва переулок Большой Путинковский дом 5   пом. 2 комн. 12</t>
  </si>
  <si>
    <t>ООО "СЧАСТЬЕ НА КРЫШЕ"</t>
  </si>
  <si>
    <t>7806509195</t>
  </si>
  <si>
    <t>ЮЛ7803030692</t>
  </si>
  <si>
    <t>ЮЛ780303069200002</t>
  </si>
  <si>
    <t>125363 город Москва улица Сходненская дом 37   часть нежилого помещения VIIIа</t>
  </si>
  <si>
    <t>ЮЛ780300331800039</t>
  </si>
  <si>
    <t>101000 город Москва улица Покровка дом 7/9-11 корпус 1</t>
  </si>
  <si>
    <t>ИП Толстая Екатерина Михайловна</t>
  </si>
  <si>
    <t>781139848768</t>
  </si>
  <si>
    <t>ИП7803003228</t>
  </si>
  <si>
    <t>ИП780300322800005</t>
  </si>
  <si>
    <t>127051 город Москва бульвар Цветной дом 16/1 1/1</t>
  </si>
  <si>
    <t>ИП780300322800006</t>
  </si>
  <si>
    <t>127273 город Москва аллея Берёзовая Дом 12 Корпус А  Помещение № 3</t>
  </si>
  <si>
    <t>ИП Нефедов Максим Сергеевич</t>
  </si>
  <si>
    <t>781147273030</t>
  </si>
  <si>
    <t>ИП7701036525</t>
  </si>
  <si>
    <t>ИП770103652500000</t>
  </si>
  <si>
    <t>127238 город Москва проезд Локомотивный дом 4</t>
  </si>
  <si>
    <t>ЮЛ780300323500003</t>
  </si>
  <si>
    <t>107061 город Москва улица Черкизовская Большая дом 3 корпус 1  помещения 28, 29, 30, 31</t>
  </si>
  <si>
    <t>ЮЛ780300323500094</t>
  </si>
  <si>
    <t>109117 город Москва проспект Волгоградский дом 119/22</t>
  </si>
  <si>
    <t>ЮЛ780300323500095</t>
  </si>
  <si>
    <t>111558 город Москва проспект Зелёный дом 83   12</t>
  </si>
  <si>
    <t>ЮЛ780300323500096</t>
  </si>
  <si>
    <t>117463 город Москва проспект Новоясеневский владение  2Б строение 1  21</t>
  </si>
  <si>
    <t>ЮЛ780300323500097</t>
  </si>
  <si>
    <t>115583 город Москва бульвар Ореховый дом 14 корпус 3  помещение I, комната 58</t>
  </si>
  <si>
    <t>ЮЛ780300323500098</t>
  </si>
  <si>
    <t>111396 город Москва проспект Свободный дом 20   помещение Х</t>
  </si>
  <si>
    <t>ЮЛ780300323500208</t>
  </si>
  <si>
    <t>129281 город Москва улица Менжинского дом 38 корпус 1 стр 2  помещение II</t>
  </si>
  <si>
    <t>ИП Деев Даниил Сергеевич</t>
  </si>
  <si>
    <t>781302353702</t>
  </si>
  <si>
    <t>ИП7803032086</t>
  </si>
  <si>
    <t>ИП780303208600000</t>
  </si>
  <si>
    <t>115093 Москва Даниловский Вал 1</t>
  </si>
  <si>
    <t>АО "ГОЗНАК"</t>
  </si>
  <si>
    <t>7813252159</t>
  </si>
  <si>
    <t>ЮЛ7803007678</t>
  </si>
  <si>
    <t>ЮЛ780300767800001</t>
  </si>
  <si>
    <t>125009 город Москва переулок Малый Кисловский дом 3 строение 1</t>
  </si>
  <si>
    <t>ООО "МЕЦЕНАТ"</t>
  </si>
  <si>
    <t>7813562930</t>
  </si>
  <si>
    <t>ЮЛ7803014924</t>
  </si>
  <si>
    <t>ЮЛ780301492400002</t>
  </si>
  <si>
    <t>127006 город Москва Большой Путинковский переулок дом 5   комната № 3, №5</t>
  </si>
  <si>
    <t>ООО "ЛОМБАРД "НОВОЕ ВРЕМЯ"</t>
  </si>
  <si>
    <t>7813657980</t>
  </si>
  <si>
    <t>ЮЛ7803019057</t>
  </si>
  <si>
    <t>ЮЛ780301905700003</t>
  </si>
  <si>
    <t>115201 город Москва проезд Каширский 17 12  комната № 1, комната № 2, помещение IV</t>
  </si>
  <si>
    <t>ИП Полянская Жанна Викторовна</t>
  </si>
  <si>
    <t>781409410600</t>
  </si>
  <si>
    <t>ИП7803030763</t>
  </si>
  <si>
    <t>ИП780303076300000</t>
  </si>
  <si>
    <t>107031 город Москва улица Дмитровка Б. дом 22 строение 1</t>
  </si>
  <si>
    <t>ООО "МУССОН"</t>
  </si>
  <si>
    <t>7814289514</t>
  </si>
  <si>
    <t>ЮЛ7803010214</t>
  </si>
  <si>
    <t>ЮЛ780301021400000</t>
  </si>
  <si>
    <t>125363 город Москва улица Сходненская дом 37   часть нежилого пом. 8а</t>
  </si>
  <si>
    <t>ЮЛ780300308200002</t>
  </si>
  <si>
    <t>115612 город Москва улица Борисовские Пруды дом 26 корпус 1а  помещение № V, комнаты № 54, 55, 56</t>
  </si>
  <si>
    <t>ЮЛ780300308200003</t>
  </si>
  <si>
    <t>119019 город Москва улица Арбат дом 4 строение 1  пом. №1,2,3,4,5 -1 этаж и часть пом. №1, пом. № 3,4 - подвал, часть пом.№2 - подвал</t>
  </si>
  <si>
    <t>ЮЛ780300308200032</t>
  </si>
  <si>
    <t>121099 город Москва улица Новый Арбат дом 25/36   комнаты 2,3,5,6, часть комнаты 1</t>
  </si>
  <si>
    <t>ЮЛ780300308200049</t>
  </si>
  <si>
    <t>117574 город Москва улица Профсоюзная дом 129А   часть нежилого помещения №4, комнаты 40, 41</t>
  </si>
  <si>
    <t>ЮЛ780300308200142</t>
  </si>
  <si>
    <t>115193 город Москва улица 7-я Кожуховская дом 9   помещение 179</t>
  </si>
  <si>
    <t>ЮЛ780300308200274</t>
  </si>
  <si>
    <t>108851 город Щербинка улица Железнодорожная дом 44   часть нежилого  помещения № 82</t>
  </si>
  <si>
    <t>ЮЛ780300308200286</t>
  </si>
  <si>
    <t>ЮЛ780300308200325</t>
  </si>
  <si>
    <t>125212 город Москва шоссе Головинское дом 5 корпус 1</t>
  </si>
  <si>
    <t>ЮЛ780300308200326</t>
  </si>
  <si>
    <t>117042 город Москва проезд Чечёрский дом 51   часть помещения под номером 1К8-1</t>
  </si>
  <si>
    <t>ЮЛ780300308200327</t>
  </si>
  <si>
    <t>127495 город Москва шоссе Дмитровское дом 163А корпус 1  часть помещения №1,часть помещения №269в, часть помещения №105,помещение№106, помещение№107а (внутренняя нумерация №А74)</t>
  </si>
  <si>
    <t>ЮЛ780300308200370</t>
  </si>
  <si>
    <t>ЮЛ780300308200371</t>
  </si>
  <si>
    <t>117519 город Москва улица Кировоградская дом 13А   помещения 1-18</t>
  </si>
  <si>
    <t>ЮЛ780300308200372</t>
  </si>
  <si>
    <t>129594 город Москва улица Шереметьевская дом 6 корпус 1  секция Б 17</t>
  </si>
  <si>
    <t>ЮЛ780300308200391</t>
  </si>
  <si>
    <t>117519 город Москва улица Красного Маяка дом 2Б   нежилые помещения 301А, 301Б, 302А, 302Б</t>
  </si>
  <si>
    <t>ЮЛ780300308200587</t>
  </si>
  <si>
    <t>125009 город Москва, Тверской район площадь Манежная дом 1 строение 2  подземный этаж 2, помещение №1, часть комнаты №67</t>
  </si>
  <si>
    <t>ЮЛ780300308200599</t>
  </si>
  <si>
    <t>127282 город Москва улица Широкая 2а   нежилое помещение №187</t>
  </si>
  <si>
    <t>ЮЛ780300308200635</t>
  </si>
  <si>
    <t>125319 город Москва проспект Ленинградский дом 62А   часть комнаты № 95 напротив комнат №58 и №69</t>
  </si>
  <si>
    <t>ЮЛ780300308200644</t>
  </si>
  <si>
    <t>109341 город Москва улица Перерва дом 43 корпус 1  часть комнаты № 80 помещения IV</t>
  </si>
  <si>
    <t>ЮЛ780300308200647</t>
  </si>
  <si>
    <t>143420 город Москва, вн. тер. г. муниципальный округ Кунцево шоссе Новорижское, 22-й км владение 1 строение 1  помещение №12 часть комнаты №1</t>
  </si>
  <si>
    <t>ЮЛ780300308200648</t>
  </si>
  <si>
    <t>119571 город Москва проспект Вернадского дом 86А   условное место № КА1</t>
  </si>
  <si>
    <t>ЮЛ780300308200664</t>
  </si>
  <si>
    <t>125363 город Москва улица Сходненская дом 56   Помещение I, часть комнаты № 176</t>
  </si>
  <si>
    <t>ЮЛ780300308200723</t>
  </si>
  <si>
    <t>111024 г. Москва шоссе Энтузиастов дом 12 корпус 2  № Помещение  III, ком. 122, 122а, номер Помещения по плану торговой Галереи А07</t>
  </si>
  <si>
    <t>ЮЛ780300308200724</t>
  </si>
  <si>
    <t>111558 город Москва проспект Зелёный дом 81</t>
  </si>
  <si>
    <t>ЮЛ780300308200746</t>
  </si>
  <si>
    <t>109052 город Москва вн. тер. Муниципальный округ Нижегородский проспект Рязанский дом 2 корпус 2  помещение 2\1, часть нежилой комнаты № 140 расположенной в помещении № ХIV</t>
  </si>
  <si>
    <t>ЮЛ780300308201006</t>
  </si>
  <si>
    <t>107207 город Москва шоссе Щёлковское дом 75   часть комнаты 1 являющейся частью помещения V</t>
  </si>
  <si>
    <t>ЮЛ780300308201049</t>
  </si>
  <si>
    <t>121552 город Москва улица Ярцевская дом 25А   часть комнаты 19 (условное обозначение – секция №108), комната 20 (условное обозначение – секция №108с)</t>
  </si>
  <si>
    <t>ЮЛ780300308201069</t>
  </si>
  <si>
    <t>117519 город Москва улица Красного Маяка дом 2Б   3 этаж, пом.№ XVII, комнаты № 126-144, 143а,143б,143в,143г,143д,143е,143ж</t>
  </si>
  <si>
    <t>ЮЛ780300308201080</t>
  </si>
  <si>
    <t>105318 город Москва площадь Семёновская дом 1   помещение I часть комнаты № 4</t>
  </si>
  <si>
    <t>ЮЛ780300308201082</t>
  </si>
  <si>
    <t>117420 город Москва улица Профсоюзная дом 61А   номер комнаты 25</t>
  </si>
  <si>
    <t>ЮЛ780300308201087</t>
  </si>
  <si>
    <t>109156 город Москва улица Генерала Кузнецова дом 22   часть нежилого помещения К3</t>
  </si>
  <si>
    <t>ЮЛ780300308201094</t>
  </si>
  <si>
    <t>117447 город Москва улица Большая Черёмушкинская дом 1   пом. 5Н/7</t>
  </si>
  <si>
    <t>ЮЛ780300308201106</t>
  </si>
  <si>
    <t>119618 город Москва километр 47-й владение 31 строение 1  часть комнаты 129</t>
  </si>
  <si>
    <t>ЮЛ780300308201107</t>
  </si>
  <si>
    <t>121059 город Москва площадь Киевского Вокзала дом 2   помещение 1 часть комнаты 58, комната 60</t>
  </si>
  <si>
    <t>ЮЛ780300308201111</t>
  </si>
  <si>
    <t>107207 город Москва шоссе Щёлковское дом 75   помещение №V, комната № 54</t>
  </si>
  <si>
    <t>ЮЛ780300308201114</t>
  </si>
  <si>
    <t>115583 город Москва бульвар Ореховый дом 14 корпус 3  часть комнаты № 55 помещения 1</t>
  </si>
  <si>
    <t>ЮЛ780300308201125</t>
  </si>
  <si>
    <t>109443 город Москва улица Зеленодольская дом 42   нежилое  помещение А07</t>
  </si>
  <si>
    <t>ЮЛ780300308201126</t>
  </si>
  <si>
    <t>125504 город Москва шоссе Коровинское дом 2   помещение № 1-3</t>
  </si>
  <si>
    <t>ЮЛ780300308201144</t>
  </si>
  <si>
    <t>117588 город Москва проспект Новоясеневский дом 7   нежилое помещение № 79 и № 79а</t>
  </si>
  <si>
    <t>ЮЛ780300308201157</t>
  </si>
  <si>
    <t>111675 город Москва улица Святоозерская дом 1А   помещение 3/1 нежилая комната № 151 в нежилом помещении XVII</t>
  </si>
  <si>
    <t>ЮЛ780300308201158</t>
  </si>
  <si>
    <t>115516 город Москва проспект Пролетарский дом 30   помещение 11Н номер помещения 106</t>
  </si>
  <si>
    <t>ЮЛ780300308201160</t>
  </si>
  <si>
    <t>124575 город Зеленоград площадь Крюковская дом 1   помещение 1, часть комнаты 45</t>
  </si>
  <si>
    <t>ЮЛ780300308201163</t>
  </si>
  <si>
    <t>108849 город Москва улица Корнея Чуковского дом 2 строение 1  № помещения XXVII № комнаты 86</t>
  </si>
  <si>
    <t>ЮЛ780300308201190</t>
  </si>
  <si>
    <t>108820 город Москва шоссе Калужское, километр 21-й владение 3А строение 1  номер помещения 2075</t>
  </si>
  <si>
    <t>ЮЛ780300308201193</t>
  </si>
  <si>
    <t>125252 город Москва Ходынский бульвар дом 4   помещение №03К-1136</t>
  </si>
  <si>
    <t>ЮЛ780300308201203</t>
  </si>
  <si>
    <t>108813 г.Москва, г. Московский улица Хабарова дом 2   остров О-6 (нежилое помещение №2-38, расположенное в 3 блоке)</t>
  </si>
  <si>
    <t>ЮЛ780300308201227</t>
  </si>
  <si>
    <t>124460 город Зеленоград Панфиловский проспект дом 6А   комната №112, находящиеся в Помещении II</t>
  </si>
  <si>
    <t>ЮЛ780300308201240</t>
  </si>
  <si>
    <t>ЮЛ780300379600021</t>
  </si>
  <si>
    <t>111558 город Москва проспект Зелёный дом 83   помещение 12</t>
  </si>
  <si>
    <t>ЮЛ780300379600022</t>
  </si>
  <si>
    <t>111396 город Москва проспект Свободный дом 20   помещения Х</t>
  </si>
  <si>
    <t>ЮЛ780300379600023</t>
  </si>
  <si>
    <t>115583 город Москва бульвар Ореховый дом 14 корпус 3  помещение 1, комната 58</t>
  </si>
  <si>
    <t>ЮЛ780300379600024</t>
  </si>
  <si>
    <t>117574 город Москва проспект Новоясеневский дом 2 строение 1  помещение 21</t>
  </si>
  <si>
    <t>ЮЛ780300379600025</t>
  </si>
  <si>
    <t>107061 город Москва улица Черкизовская Большая. дом 3 корпус 1  помещение 29, 30, 31, 28</t>
  </si>
  <si>
    <t>ЮЛ780300379600026</t>
  </si>
  <si>
    <t>109316 город Москва проспект Волгоградский дом 19/22   помещение V</t>
  </si>
  <si>
    <t>ЮЛ780300379600061</t>
  </si>
  <si>
    <t>117574 город Москва проспект Новоясеневский владение 2Б строение 1  помещение 21</t>
  </si>
  <si>
    <t>ЮЛ780300363500344</t>
  </si>
  <si>
    <t>127238 город Москва проезд Локомотивный дом 4   помещение №VII</t>
  </si>
  <si>
    <t>ЮЛ780300363500349</t>
  </si>
  <si>
    <t>109117 город Москва проспект Волгоградский дом 119/22   помещение V</t>
  </si>
  <si>
    <t>ЮЛ780300363500355</t>
  </si>
  <si>
    <t>109012 город Москва улица Никольская дом 10   ч.к. № 95</t>
  </si>
  <si>
    <t>ИП780300084400006</t>
  </si>
  <si>
    <t>121609 город Москва шоссе Рублёвское дом 62   часть помещения 278</t>
  </si>
  <si>
    <t>ИП Сергеева Зинаида Николаевна</t>
  </si>
  <si>
    <t>781621921687</t>
  </si>
  <si>
    <t>ИП7803003154</t>
  </si>
  <si>
    <t>ИП780300315400000</t>
  </si>
  <si>
    <t>124498 город Зеленоград корпус 417 корпус 417   1 этаж, помещение 11, комнаты 5-9</t>
  </si>
  <si>
    <t>ИП Аюб Ясмин Самировна</t>
  </si>
  <si>
    <t>781629000504</t>
  </si>
  <si>
    <t>ИП7803039275</t>
  </si>
  <si>
    <t>ИП780303927500000</t>
  </si>
  <si>
    <t>117574 город Москва улица Профсоюзная дом 129А   1 этаж</t>
  </si>
  <si>
    <t>ЮЛ780301261200046</t>
  </si>
  <si>
    <t>109341 город Москва улица Перерва дом 43 корпус 1  часть комнаты №80, помещение IV, 1 этаж</t>
  </si>
  <si>
    <t>ЮЛ780301261200052</t>
  </si>
  <si>
    <t>105064 город Москва улица Земляной Вал дом 33   пом. 26Н, 1 этаж, часть помещения №XI, комната 93</t>
  </si>
  <si>
    <t>ЮЛ780301261200057</t>
  </si>
  <si>
    <t>125252 город Москва бульвар Ходынский дом 4   помещение 03К-1058</t>
  </si>
  <si>
    <t>ЮЛ780301261200060</t>
  </si>
  <si>
    <t>107207 город Москва шоссе Щёлковское дом 75   помещение V, 1 этаж</t>
  </si>
  <si>
    <t>ЮЛ780301261200061</t>
  </si>
  <si>
    <t>127495 город Москва шоссе Дмитровское дом 163А корпус 1  помещение 269В</t>
  </si>
  <si>
    <t>ЮЛ780301261200062</t>
  </si>
  <si>
    <t>125363 город Москва улица Сходненская дом 56   1 этаж помещение I, часть комнаты 176</t>
  </si>
  <si>
    <t>ЮЛ780301261200063</t>
  </si>
  <si>
    <t>125171 город Москва шоссе Ленинградское дом 16А строение 8  комната 32</t>
  </si>
  <si>
    <t>ЮЛ780301261200064</t>
  </si>
  <si>
    <t>109156 город Москва улица Генерала Кузнецова дом 22   помещение II, комната № 8</t>
  </si>
  <si>
    <t>ЮЛ780301261200065</t>
  </si>
  <si>
    <t>117105 Москва Варшавское шоссе 35   1</t>
  </si>
  <si>
    <t>ИП Юрашкевич М.В.</t>
  </si>
  <si>
    <t>781652635615</t>
  </si>
  <si>
    <t>ИП7803014910</t>
  </si>
  <si>
    <t>ИП780301491000000</t>
  </si>
  <si>
    <t>115419 город Москва улица Орджоникидзе дом 11 строение 42</t>
  </si>
  <si>
    <t>ИП Начинкина Дарья Алексеевна</t>
  </si>
  <si>
    <t>781713122243</t>
  </si>
  <si>
    <t>ИП7803017214</t>
  </si>
  <si>
    <t>ИП780301721400000</t>
  </si>
  <si>
    <t>101000 город Москва Киевское шоссе 23 км Дом1   Часть помещения Торгового Центра под номером 1К26</t>
  </si>
  <si>
    <t>ИП780303664800001</t>
  </si>
  <si>
    <t>101000 город Москва улица Старокачаловская дом 5А   часть нежилого помещения №2D10 (А/2/4) расположенное на 2 этаже</t>
  </si>
  <si>
    <t>ИП780303664800003</t>
  </si>
  <si>
    <t>101000 город Москва Дмитровское шоссе Дом163 А корпус 1  1 этаж Комплекса включает часть помещения №269в место КА22а</t>
  </si>
  <si>
    <t>ИП780303664800005</t>
  </si>
  <si>
    <t>107150 город Москва улица Ивантеевская дом 32 корпус 2  помещение 1</t>
  </si>
  <si>
    <t>ООО "ЛОМБАРД "ДЛЯ ТЕБЯ"</t>
  </si>
  <si>
    <t>7840401924</t>
  </si>
  <si>
    <t>ЮЛ7803008804</t>
  </si>
  <si>
    <t>ЮЛ780300880400021</t>
  </si>
  <si>
    <t>ЮЛ780300880400022</t>
  </si>
  <si>
    <t>ЮЛ780300880400023</t>
  </si>
  <si>
    <t>105043 город Москва улица Первомайская дом 73   помещение IV</t>
  </si>
  <si>
    <t>ЮЛ780300880400024</t>
  </si>
  <si>
    <t>125047 город Москва 2-я Брестская 6   офис №913</t>
  </si>
  <si>
    <t>ИП Каракуркчи Ольга Николаевна</t>
  </si>
  <si>
    <t>784290076694</t>
  </si>
  <si>
    <t>ИП7803010680</t>
  </si>
  <si>
    <t>ИП780301068000001</t>
  </si>
  <si>
    <t>121099 город Москва площадь Смоленская дом 3   помещение I, к. 12 в, 12 г</t>
  </si>
  <si>
    <t>ИП Сасонко Яков Михайлович</t>
  </si>
  <si>
    <t>784802440998</t>
  </si>
  <si>
    <t>ИП7803003152</t>
  </si>
  <si>
    <t>ИП780300315200000</t>
  </si>
  <si>
    <t>119607 город Москва улица Раменки дом 3</t>
  </si>
  <si>
    <t>ИП Рыбакова Наталия Дмитриевна</t>
  </si>
  <si>
    <t>860101222899</t>
  </si>
  <si>
    <t>ИП7701009480</t>
  </si>
  <si>
    <t>ИП770100948000000</t>
  </si>
  <si>
    <t>119602 город Москва улица Мичуринский проспект.Олимпийская деревня дом 3 корпус 1  1 этаж , помещение IV, часть комнаты 316</t>
  </si>
  <si>
    <t>ИП770100948000001</t>
  </si>
  <si>
    <t>ООО "ЛБ ВЫСОКОЕ ИСКУССТВО"</t>
  </si>
  <si>
    <t>8603197714</t>
  </si>
  <si>
    <t>ЮЛ7701040323</t>
  </si>
  <si>
    <t>ЮЛ770104032300001</t>
  </si>
  <si>
    <t>117218 город Москва улица Большая Черёмушкинская дом 34   комната 233</t>
  </si>
  <si>
    <t>ИП Киселёва Анна Александровна</t>
  </si>
  <si>
    <t>890305085294</t>
  </si>
  <si>
    <t>ИП7701000924</t>
  </si>
  <si>
    <t>ИП770100092400000</t>
  </si>
  <si>
    <t>107045 город Москва переулок Ащеулов дом 9   10</t>
  </si>
  <si>
    <t>ИП Лифиц Юлия Николаевна</t>
  </si>
  <si>
    <t>890306646947</t>
  </si>
  <si>
    <t>ИП5001017679</t>
  </si>
  <si>
    <t>ИП500101767900000</t>
  </si>
  <si>
    <t>119634 город Москва улица Лукинская дом 8 корпус 1  комната 11 помещение №VI</t>
  </si>
  <si>
    <t>ИП Саурин Артем Михайлович</t>
  </si>
  <si>
    <t>890306748473</t>
  </si>
  <si>
    <t>ИП7701001324</t>
  </si>
  <si>
    <t>ИП770100132400000</t>
  </si>
  <si>
    <t>119121 город Москва бульвар Смоленский дом 13 строение 8  комната 21</t>
  </si>
  <si>
    <t>ИП Зябликов Тимофей Олегович</t>
  </si>
  <si>
    <t>890307059116</t>
  </si>
  <si>
    <t>ИП3404019621</t>
  </si>
  <si>
    <t>ИП340401962100000</t>
  </si>
  <si>
    <t>ИП Тонкаль Наталия Валерьевна</t>
  </si>
  <si>
    <t>890413366310</t>
  </si>
  <si>
    <t>ИП8907039245</t>
  </si>
  <si>
    <t>ИП890703924500000</t>
  </si>
  <si>
    <t>111024 город Москва улица Авиамоторная дом 12   помещение 13/18</t>
  </si>
  <si>
    <t>ЮЛ900403653600000</t>
  </si>
  <si>
    <t>119180 город Москва улица Большая Якиманка дом 24   помещение №1 часть комнаты № 156</t>
  </si>
  <si>
    <t>ООО "Мисс Алгора-469"</t>
  </si>
  <si>
    <t>9103003962</t>
  </si>
  <si>
    <t>ЮЛ8204009929</t>
  </si>
  <si>
    <t>ЮЛ820400992900004</t>
  </si>
  <si>
    <t>117105 город Москва Улица Новоданиловская набережная дом 6 корпус 2</t>
  </si>
  <si>
    <t>ЮЛ820400992900005</t>
  </si>
  <si>
    <t>115191 город Москва переулок Духовской дом 17</t>
  </si>
  <si>
    <t>ИП Гревцева Виктория Анатольевна</t>
  </si>
  <si>
    <t>910317295869</t>
  </si>
  <si>
    <t>ИП7701036243</t>
  </si>
  <si>
    <t>ИП770103624300001</t>
  </si>
  <si>
    <t>109004 город Москва переулок Шелапутинский дом 6 строение 3  4 этаж, комната 412</t>
  </si>
  <si>
    <t>ИП Грекова Ирина Николаевна</t>
  </si>
  <si>
    <t>910521227467</t>
  </si>
  <si>
    <t>ИП5001037193</t>
  </si>
  <si>
    <t>ИП500103719300000</t>
  </si>
  <si>
    <t>115172 город Москва улица Народная дом 8   пом. 1,1а,1б,6,6а,7</t>
  </si>
  <si>
    <t>ИП820400991100000</t>
  </si>
  <si>
    <t>125252 город Москва бульвар Ходынский дом 4   1К-40</t>
  </si>
  <si>
    <t>ИП820400991100013</t>
  </si>
  <si>
    <t>111024 город Москва проезд Энтузиастов дом 5 стр.1  комнаты 21,22</t>
  </si>
  <si>
    <t>ИП Алейникова Надежда Сергеевна</t>
  </si>
  <si>
    <t>920453293000</t>
  </si>
  <si>
    <t>ИП5001040733</t>
  </si>
  <si>
    <t>ИП500104073300000</t>
  </si>
  <si>
    <t>109125 город Москва проспект Волгоградский дом 57   этаж 1, помещение 24(I), комнаты 1-3</t>
  </si>
  <si>
    <t>ООО ЛОМБАРД "ЗОЛОТАЯ ЖИЛА"</t>
  </si>
  <si>
    <t>9701013540</t>
  </si>
  <si>
    <t>ЮЛ7701000588</t>
  </si>
  <si>
    <t>ЮЛ770100058800000</t>
  </si>
  <si>
    <t>107023 город Москва улица Большая Семёновская дом 17А   этаж 1, помещение № XI, комната №1</t>
  </si>
  <si>
    <t>ЮЛ770100058800002</t>
  </si>
  <si>
    <t>109377 город Москва улица 1-я Новокузьминская дом 21 корпус 2</t>
  </si>
  <si>
    <t>ЮЛ770100058800003</t>
  </si>
  <si>
    <t>125481 город Москва улица Планерная дом 12 корпус 1</t>
  </si>
  <si>
    <t>ЮЛ770100058800004</t>
  </si>
  <si>
    <t>123060 город Москва улица Маршала Бирюзова дом 17 корпус 1 стр 2</t>
  </si>
  <si>
    <t>ЮЛ770100058800005</t>
  </si>
  <si>
    <t>117574 город Москва проспект Новоясеневский дом 1   этаж 1, помещение III, комната №151</t>
  </si>
  <si>
    <t>ЮЛ770100058800006</t>
  </si>
  <si>
    <t>123022 город Москва улица 2-я Звенигородская дом 13 строение 42  этаж 3 помещение I комнаты 21-30</t>
  </si>
  <si>
    <t>ООО "ГЛОБАЛГОЛД"</t>
  </si>
  <si>
    <t>9701059584</t>
  </si>
  <si>
    <t>ЮЛ7701011201</t>
  </si>
  <si>
    <t>ЮЛ770101120100000</t>
  </si>
  <si>
    <t>109382 город Москва улица Судакова дом 11 строение 2</t>
  </si>
  <si>
    <t>ООО "АНВА ГОЛД"</t>
  </si>
  <si>
    <t>9701139303</t>
  </si>
  <si>
    <t>ЮЛ0001012906</t>
  </si>
  <si>
    <t>ЮЛ000101290600001</t>
  </si>
  <si>
    <t>109429 город Москва квартал 3й Капотня дом 13   помещение 28</t>
  </si>
  <si>
    <t>ЮЛ000101290600002</t>
  </si>
  <si>
    <t>115563 город Москва проезд Борисовский дом 26 корпус 1</t>
  </si>
  <si>
    <t>ЮЛ000101290600003</t>
  </si>
  <si>
    <t>109369 город Москва улица Люблинская дом 102А   помещение на первом этаже</t>
  </si>
  <si>
    <t>ЮЛ000101290600005</t>
  </si>
  <si>
    <t>111396 город Москва проспект Зелёный дом 60/35   помещение 73Б</t>
  </si>
  <si>
    <t>ЮЛ000101290600006</t>
  </si>
  <si>
    <t>109382 город Москва улица Судакова дом 11 строение 2  комната 11</t>
  </si>
  <si>
    <t>9701166716</t>
  </si>
  <si>
    <t>ЮЛ7701014604</t>
  </si>
  <si>
    <t>ЮЛ770101460400001</t>
  </si>
  <si>
    <t>ЮЛ770101460400004</t>
  </si>
  <si>
    <t>105064 город Москва улица Садовая-Черногрязская дом 13/3 строение 1  Помещение 1 Этаж</t>
  </si>
  <si>
    <t>ООО "АЙЛЭНД СОУЛ РИТЕЙЛ"</t>
  </si>
  <si>
    <t>9701244555</t>
  </si>
  <si>
    <t>ЮЛ7701033734</t>
  </si>
  <si>
    <t>ЮЛ770103373400000</t>
  </si>
  <si>
    <t>105318 город Москва улица Ибрагимова дом 31   Офис 103</t>
  </si>
  <si>
    <t>ООО "ПЕР СЕМПРЕ"</t>
  </si>
  <si>
    <t>9701250460</t>
  </si>
  <si>
    <t>ЮЛ7701034869</t>
  </si>
  <si>
    <t>ЮЛ770103486900000</t>
  </si>
  <si>
    <t>115035 город Москва улица Балчуг 1   1 этаж, помещение I, комната 99-100</t>
  </si>
  <si>
    <t>ЮЛ770103486900001</t>
  </si>
  <si>
    <t>109544 город Москва бульвар Энтузиастов дом 2   этаж 13, комната 50</t>
  </si>
  <si>
    <t>ООО "БАШИ ЮНИВЁРС"</t>
  </si>
  <si>
    <t>9701265322</t>
  </si>
  <si>
    <t>ЮЛ7701035753</t>
  </si>
  <si>
    <t>ЮЛ770103575300000</t>
  </si>
  <si>
    <t>101000 город Москва переулок Большой Харитоньевский дом 10   комната 1, 14, 15, 16, 17, 18, 19, 20, ЛК А, ЛК В</t>
  </si>
  <si>
    <t>ООО "МУНКА"</t>
  </si>
  <si>
    <t>9701270361</t>
  </si>
  <si>
    <t>ЮЛ7701036389</t>
  </si>
  <si>
    <t>ЮЛ770103638900000</t>
  </si>
  <si>
    <t>105082 город Москва улица Малая Почтовая дом 8 строение 1  3 этаж, офис 23</t>
  </si>
  <si>
    <t>ООО "ВЕАСТАТ"</t>
  </si>
  <si>
    <t>9701300048</t>
  </si>
  <si>
    <t>ЮЛ7701038289</t>
  </si>
  <si>
    <t>ЮЛ770103828900000</t>
  </si>
  <si>
    <t>105064 город Москва улица Садовая-Черногрязская дом 13/3 строение 1  ЦОКОЛЬ</t>
  </si>
  <si>
    <t>ООО "АЙЛЕНД СОУЛ РУС"</t>
  </si>
  <si>
    <t>9701317651</t>
  </si>
  <si>
    <t>ЮЛ7701040271</t>
  </si>
  <si>
    <t>ЮЛ770104027100000</t>
  </si>
  <si>
    <t>121069 город Москва улица Поварская дом 8/1 корпус 1</t>
  </si>
  <si>
    <t>ООО "ТОРГОВЫЙ ДОМ "ВЛВ"</t>
  </si>
  <si>
    <t>9702011987</t>
  </si>
  <si>
    <t>ЮЛ7701015274</t>
  </si>
  <si>
    <t>ЮЛ770101527400000</t>
  </si>
  <si>
    <t>123001 город Москва улица Бронная М. дом 24 строение 1</t>
  </si>
  <si>
    <t>ЮЛ770101527400001</t>
  </si>
  <si>
    <t>ЮЛ770101527400004</t>
  </si>
  <si>
    <t>ЮЛ770101527400005</t>
  </si>
  <si>
    <t>ЮЛ770101527400006</t>
  </si>
  <si>
    <t>127051 город Москва бульвар Цветной дом 15 строение 1</t>
  </si>
  <si>
    <t>ЮЛ770101527400009</t>
  </si>
  <si>
    <t>123376 город Москва улица Рочдельская дом 12 строение 1  помещение II ком.2-3</t>
  </si>
  <si>
    <t>ООО "ЛОМБАРД РОДИНА"</t>
  </si>
  <si>
    <t>9702034102</t>
  </si>
  <si>
    <t>ЮЛ7701004908</t>
  </si>
  <si>
    <t>ЮЛ770100490800000</t>
  </si>
  <si>
    <t>127051 город Москва бульвар Петровский дом 5 строение 1 этаж 3 помещение 22 (комната № 5)</t>
  </si>
  <si>
    <t>ООО "КУЛЬТ ДЖЮЛЕРИ"</t>
  </si>
  <si>
    <t>9702045930</t>
  </si>
  <si>
    <t>ЮЛ7701037468</t>
  </si>
  <si>
    <t>ЮЛ770103746800000</t>
  </si>
  <si>
    <t>127006 город Москва бульвар Петровский дом 1 строение 1</t>
  </si>
  <si>
    <t>ЮЛ770103746800001</t>
  </si>
  <si>
    <t>107113 город Москва улица Русаковская дом 31   помещение 3/П</t>
  </si>
  <si>
    <t>ООО "ГЛИПТЕРРА"</t>
  </si>
  <si>
    <t>9702069360</t>
  </si>
  <si>
    <t>ЮЛ7701037869</t>
  </si>
  <si>
    <t>ЮЛ770103786900000</t>
  </si>
  <si>
    <t>127051 город Москва бульвар Цветной дом 11 строение 6  офис 509</t>
  </si>
  <si>
    <t>ЮЛ770103786900001</t>
  </si>
  <si>
    <t>107031 город Москва бульвар Рождественский дом 10/7 строение 1  помещение 1/2</t>
  </si>
  <si>
    <t>ООО "ЛЕРА ТРЕЙГЕР"</t>
  </si>
  <si>
    <t>9702072524</t>
  </si>
  <si>
    <t>ЮЛ7701039472</t>
  </si>
  <si>
    <t>ЮЛ770103947200000</t>
  </si>
  <si>
    <t>123022 город Москва переулок Столярный дом 3 корпус 3  1 этаж, комната 17, вход со стороны М. Грузинская</t>
  </si>
  <si>
    <t>ООО "Джема"</t>
  </si>
  <si>
    <t>9703006725</t>
  </si>
  <si>
    <t>ЮЛ7701005178</t>
  </si>
  <si>
    <t>ЮЛ770100517800000</t>
  </si>
  <si>
    <t>115533 город Москва проспект Андропова дом 22   этаж 20, помещение 1, комната 31</t>
  </si>
  <si>
    <t>ООО "ТОРРЕ РИККА"</t>
  </si>
  <si>
    <t>9703011482</t>
  </si>
  <si>
    <t>ЮЛ7701009239</t>
  </si>
  <si>
    <t>ЮЛ770100923900000</t>
  </si>
  <si>
    <t>109012 город Москва улица Охотный Ряд дом 2   этаж 1, помещение I, комната 39</t>
  </si>
  <si>
    <t>ООО "САНА МОДА"</t>
  </si>
  <si>
    <t>9703016201</t>
  </si>
  <si>
    <t>ЮЛ7701012918</t>
  </si>
  <si>
    <t>ЮЛ770101291800000</t>
  </si>
  <si>
    <t>125438 город Москва переулок 2-й Лихачёвский Дом 1 Строение 11  Помещение 9/3</t>
  </si>
  <si>
    <t>ООО "ШУГАР"</t>
  </si>
  <si>
    <t>9703021547</t>
  </si>
  <si>
    <t>ЮЛ7701005920</t>
  </si>
  <si>
    <t>ЮЛ770100592000000</t>
  </si>
  <si>
    <t>119121 город Москва улица Погодинская дом 2   этаж 1, помещение 11.01.02.007Н</t>
  </si>
  <si>
    <t>ООО "ЭЙРИН КОМПАНИ"</t>
  </si>
  <si>
    <t>9703032161</t>
  </si>
  <si>
    <t>ЮЛ7701030117</t>
  </si>
  <si>
    <t>ЮЛ770103011700000</t>
  </si>
  <si>
    <t>119435 город Москва набережная Саввинская дом 13   помещение 294</t>
  </si>
  <si>
    <t>ЮЛ770103011700003</t>
  </si>
  <si>
    <t>119072 город Москва набережная Берсеневская Дом 6 Строение 3   2 этаж, помещение 1 , комнаты 1.3; 11; 11а; 12.</t>
  </si>
  <si>
    <t>ООО "ДЖОСЕР"</t>
  </si>
  <si>
    <t>9703033542</t>
  </si>
  <si>
    <t>ЮЛ7701019862</t>
  </si>
  <si>
    <t>ЮЛ770101986200000</t>
  </si>
  <si>
    <t>123022 город Москва улица Большая Декабрьская дом 3 строение 2</t>
  </si>
  <si>
    <t>ООО "АЙДЖЕМС"</t>
  </si>
  <si>
    <t>9703068584</t>
  </si>
  <si>
    <t>ЮЛ7701000682</t>
  </si>
  <si>
    <t>ЮЛ770100068200000</t>
  </si>
  <si>
    <t>121248 город Москва проспект Кутузовский дом 2/1   помещение I комната 65</t>
  </si>
  <si>
    <t>ЮЛ770100068200002</t>
  </si>
  <si>
    <t>АО "ЭЛИАС"</t>
  </si>
  <si>
    <t>9703103782</t>
  </si>
  <si>
    <t>ЮЛ7701031093</t>
  </si>
  <si>
    <t>ЮЛ770103109300000</t>
  </si>
  <si>
    <t>ЮЛ770103109300001</t>
  </si>
  <si>
    <t>115172 город Москва улица Гвоздева дом 7/4 строение 1  этаж 1, помещение 2Н</t>
  </si>
  <si>
    <t>ООО "РДМ"</t>
  </si>
  <si>
    <t>9703145888</t>
  </si>
  <si>
    <t>ЮЛ7701034249</t>
  </si>
  <si>
    <t>ЮЛ770103424900000</t>
  </si>
  <si>
    <t>123001 город Москва улица Спиридоновка дом 22/2   помещение 1/Н</t>
  </si>
  <si>
    <t>ООО "БУКВЫ И КАМНИ"</t>
  </si>
  <si>
    <t>9703160043</t>
  </si>
  <si>
    <t>ЮЛ7701035961</t>
  </si>
  <si>
    <t>ЮЛ770103596100000</t>
  </si>
  <si>
    <t>ООО "ТЕЗОРИ ДИ ТЕА"</t>
  </si>
  <si>
    <t>9703184083</t>
  </si>
  <si>
    <t>ЮЛ7701037756</t>
  </si>
  <si>
    <t>ЮЛ770103775600001</t>
  </si>
  <si>
    <t>115304 город Москва улица Медиков дом 4   Помещение 80Н</t>
  </si>
  <si>
    <t>ООО "САКРО СТОУН"</t>
  </si>
  <si>
    <t>9703190739</t>
  </si>
  <si>
    <t>ЮЛ7701037868</t>
  </si>
  <si>
    <t>ЮЛ770103786800000</t>
  </si>
  <si>
    <t>111020 город Москва улица Боровая дом 7 строение 10  помещение 1/Ч</t>
  </si>
  <si>
    <t>9703209147</t>
  </si>
  <si>
    <t>ЮЛ7701039475</t>
  </si>
  <si>
    <t>ЮЛ770103947500000</t>
  </si>
  <si>
    <t>119019 город Москва переулок Филипповский дом 8 строение 1  этаж 1, комнаты № 1,3,5,25</t>
  </si>
  <si>
    <t>ООО "ДЖЕЗА СТУДИОС"</t>
  </si>
  <si>
    <t>9704009856</t>
  </si>
  <si>
    <t>ЮЛ7701031554</t>
  </si>
  <si>
    <t>ЮЛ770103155400000</t>
  </si>
  <si>
    <t>121099 город Москва бульвар Новинский дом 11   ПОМЕЩЕНИЕ 3/I, КОМНАТА 1</t>
  </si>
  <si>
    <t>ООО "ДАНИЭЛ БАРРЕН"</t>
  </si>
  <si>
    <t>9704065272</t>
  </si>
  <si>
    <t>ЮЛ7701002221</t>
  </si>
  <si>
    <t>ЮЛ770100222100000</t>
  </si>
  <si>
    <t>121069 город Москва Улица Малая Никитская дом 14 строение 1  помещение III</t>
  </si>
  <si>
    <t>ООО "КОРПОРАЦИЯ ВЕЙЛАНД-ЮТАНИ"</t>
  </si>
  <si>
    <t>9704096030</t>
  </si>
  <si>
    <t>ЮЛ7701018761</t>
  </si>
  <si>
    <t>ЮЛ770101876100000</t>
  </si>
  <si>
    <t>119034 город Москва переулок Коробейников дом 1   подвал 2 помещение III комнаты 1,2, этаж 1, помещение IV комнаты 1,2</t>
  </si>
  <si>
    <t>ООО "ПЕРСПЕКТИВА ЧАСЫ"</t>
  </si>
  <si>
    <t>9704173239</t>
  </si>
  <si>
    <t>ЮЛ7701031674</t>
  </si>
  <si>
    <t>ЮЛ770103167400000</t>
  </si>
  <si>
    <t>121108 город Москва проспект Кутузовский дом 48    помещение I этаж 1 комната 63, помещение I этаж 2, комнаты 56, 57а</t>
  </si>
  <si>
    <t>ЮЛ770103167400002</t>
  </si>
  <si>
    <t>ООО "ЛОМБАРД ПРЕМИУМ ГОЛД"</t>
  </si>
  <si>
    <t>9704223899</t>
  </si>
  <si>
    <t>ЮЛ7701035363</t>
  </si>
  <si>
    <t>ЮЛ770103536300000</t>
  </si>
  <si>
    <t>121099 город Москва проезд Шломина дом 6   помещение 1Н</t>
  </si>
  <si>
    <t>ООО "ЗОЛОТО СТРАНЫ"</t>
  </si>
  <si>
    <t>9704231804</t>
  </si>
  <si>
    <t>ЮЛ7701035884</t>
  </si>
  <si>
    <t>ЮЛ770103588400000</t>
  </si>
  <si>
    <t>107031 город Москва улица Кузнецкий Мост дом 21/5   этаж 5, помещение II, комнаты 10, 11, 8, 8а, 9</t>
  </si>
  <si>
    <t>ООО "МОНЕТА ГОЛД"</t>
  </si>
  <si>
    <t>9704241707</t>
  </si>
  <si>
    <t>ЮЛ7701036906</t>
  </si>
  <si>
    <t>ЮЛ770103690600001</t>
  </si>
  <si>
    <t>115093 город Москва переулок 1-й Щипковский дом 20   Помещения на 6 этаже</t>
  </si>
  <si>
    <t>ООО "СТОЛИЦА ДАЙМОНД"</t>
  </si>
  <si>
    <t>9705071310</t>
  </si>
  <si>
    <t>ЮЛ7701003827</t>
  </si>
  <si>
    <t>ЮЛ770100382700000</t>
  </si>
  <si>
    <t>ЮЛ770100382700004</t>
  </si>
  <si>
    <t>111024 город Москва шоссе Энтузиастов дом 12 корпус 2  Комната 108 в нежилом помещении III на 1 этаже</t>
  </si>
  <si>
    <t>ЮЛ770100382700005</t>
  </si>
  <si>
    <t>ЮЛ770100382700007</t>
  </si>
  <si>
    <t>ЮЛ770100382700008</t>
  </si>
  <si>
    <t>119602 город Москва улица Мичуринский проспект, Олимпийская деревня дом 3 корпус 1</t>
  </si>
  <si>
    <t>ЮЛ770100382700010</t>
  </si>
  <si>
    <t>ЮЛ770100382700011</t>
  </si>
  <si>
    <t>ЮЛ770100382700012</t>
  </si>
  <si>
    <t>ЮЛ770100382700013</t>
  </si>
  <si>
    <t>ЮЛ770100382700014</t>
  </si>
  <si>
    <t>ЮЛ770100382700015</t>
  </si>
  <si>
    <t>ЮЛ770100382700016</t>
  </si>
  <si>
    <t>125252 город Москва бульвар Ходынский дом 4 корпус 1</t>
  </si>
  <si>
    <t>ЮЛ770100382700017</t>
  </si>
  <si>
    <t>115054 город Москва площадь Павелецкая дом 3   Этаж -1, помещение А9</t>
  </si>
  <si>
    <t>ЮЛ770100382700018</t>
  </si>
  <si>
    <t>115280 город Москва улица Автозаводская дом 18   Помещение А-082</t>
  </si>
  <si>
    <t>ЮЛ770100382700027</t>
  </si>
  <si>
    <t>ЮЛ770100382700028</t>
  </si>
  <si>
    <t>121352 город Москва проспект Кутузовский дом 57   помещение 1.027.4.1.02 на 1 этаже</t>
  </si>
  <si>
    <t>ЮЛ770100382700029</t>
  </si>
  <si>
    <t>101000 город Москва УЛИЦА БОЛЬШАЯ СЕРПУХОВСКАЯ ДОМ 14/13 СТРОЕНИЕ 1  Этаж 3 ПОМ I КОМ 14</t>
  </si>
  <si>
    <t>ООО "СИНЕРЖИ"</t>
  </si>
  <si>
    <t>9705122773</t>
  </si>
  <si>
    <t>ЮЛ7701015029</t>
  </si>
  <si>
    <t>ЮЛ770101502900000</t>
  </si>
  <si>
    <t>115191 город Москва улица Большая Тульская дом 13   Пом. № II, 1 этаж, зал торговый №65</t>
  </si>
  <si>
    <t>9705130051</t>
  </si>
  <si>
    <t>ЮЛ7701010578</t>
  </si>
  <si>
    <t>ЮЛ770101057800000</t>
  </si>
  <si>
    <t>108813 Московский Хабарова 2</t>
  </si>
  <si>
    <t>ООО «Орсо Майно»</t>
  </si>
  <si>
    <t>9705146118</t>
  </si>
  <si>
    <t>ЮЛ7701012091</t>
  </si>
  <si>
    <t>ЮЛ770101209100000</t>
  </si>
  <si>
    <t>115172 город Москва набережная Котельническая дом 25 строение 1  подъезд А 2 этаж офис № 17 помещение № II</t>
  </si>
  <si>
    <t>ООО "ЕВА ЭВЕР"</t>
  </si>
  <si>
    <t>9705150989</t>
  </si>
  <si>
    <t>ЮЛ7701009855</t>
  </si>
  <si>
    <t>ЮЛ770100985500000</t>
  </si>
  <si>
    <t>105203 город Москва улица 16-я Парковая дом 5   помещение/комната 9/4</t>
  </si>
  <si>
    <t>ООО "ЛОМБАРД ПРАЙМ"</t>
  </si>
  <si>
    <t>9705160095</t>
  </si>
  <si>
    <t>ЮЛ7701001404</t>
  </si>
  <si>
    <t>ЮЛ770100140400000</t>
  </si>
  <si>
    <t>115470 город Москва улица Новинки дом 1   помещение 12/1, комната 5</t>
  </si>
  <si>
    <t>ЮЛ770100140400003</t>
  </si>
  <si>
    <t>127224 город Москва улица Грекова дом 10   помещение III</t>
  </si>
  <si>
    <t>ЮЛ770100140400004</t>
  </si>
  <si>
    <t>109369 город Москва бульвар Новочеркасский дом 55   помещение 30/1</t>
  </si>
  <si>
    <t>ЮЛ770100140400005</t>
  </si>
  <si>
    <t>117574 город Москва проспект Новоясеневский владение 2Б строение 2  помещение 5б</t>
  </si>
  <si>
    <t>ЮЛ770100140400007</t>
  </si>
  <si>
    <t>125480 город Москва улица Героев Панфиловцев дом 1 корпус 1  помещение V</t>
  </si>
  <si>
    <t>ЮЛ770100140400008</t>
  </si>
  <si>
    <t>111395 город Москва улица Вешняковская дом 24 корпус 1  этаж 1, помещение V, комната 1</t>
  </si>
  <si>
    <t>ЮЛ770100140400009</t>
  </si>
  <si>
    <t>117292 город Москва проспект 60-летия Октября дом 25 корпус 1  этаж 1, помещение III-А, комната 3</t>
  </si>
  <si>
    <t>ЮЛ770100140400010</t>
  </si>
  <si>
    <t>129281 город Москва улица Менжинского дом 32 корпус 3</t>
  </si>
  <si>
    <t>ЮЛ770100140400012</t>
  </si>
  <si>
    <t>115280 город Москва улица Мастеркова дом 3   помещение 9/1</t>
  </si>
  <si>
    <t>ЮЛ770100140400013</t>
  </si>
  <si>
    <t>111672 город Москва улица Новокосинская дом 35   помещение 8/1</t>
  </si>
  <si>
    <t>ЮЛ770100140400014</t>
  </si>
  <si>
    <t>125464 город Москва проезд Новотушинский дом 6 корпус 1  помещение 5/1, комната 4</t>
  </si>
  <si>
    <t>ЮЛ770100140400015</t>
  </si>
  <si>
    <t>123060 город Москва улица Маршала Бирюзова дом 17   помещение 4/1</t>
  </si>
  <si>
    <t>ЮЛ770100140400016</t>
  </si>
  <si>
    <t>115114 город Москва набережная Шлюзовая дом 8 строение 1  помещ 4А, этаж 4</t>
  </si>
  <si>
    <t>ООО "СА ПРЕМИУМ"</t>
  </si>
  <si>
    <t>9705183303</t>
  </si>
  <si>
    <t>ЮЛ7701031985</t>
  </si>
  <si>
    <t>ЮЛ770103198500000</t>
  </si>
  <si>
    <t>121059 город Москва площадь Евразии дом 2   помещение || (комн. №№302-309)</t>
  </si>
  <si>
    <t>ЮЛ770103198500001</t>
  </si>
  <si>
    <t>109012 город Москва улица Рождественка дом 3/6 строение 1  комната 1, помещение Ш</t>
  </si>
  <si>
    <t>ЮЛ770103198500002</t>
  </si>
  <si>
    <t>115184 город Москва набережная Озерковская дом 22/24 строение 2  помещение №5, комнаты №4, №5, №6, №7, №8, №9</t>
  </si>
  <si>
    <t>ООО "ВЕЛЕВА"</t>
  </si>
  <si>
    <t>9705221213</t>
  </si>
  <si>
    <t>ЮЛ7701036661</t>
  </si>
  <si>
    <t>ЮЛ770103666100000</t>
  </si>
  <si>
    <t>125009 город Москва улица Тверская дом 6 строение 1  помещение 6\1 ,1 этаж,помещение VII Ж,комната 1</t>
  </si>
  <si>
    <t>ООО "СКУПКА"</t>
  </si>
  <si>
    <t>9705225144</t>
  </si>
  <si>
    <t>ЮЛ7701038001</t>
  </si>
  <si>
    <t>ЮЛ770103800100007</t>
  </si>
  <si>
    <t>111558 город Москва проспект Свободный дом 33А</t>
  </si>
  <si>
    <t>ЮЛ770103800100008</t>
  </si>
  <si>
    <t>115191 город Москва улица Большая Тульская дом 2   1 этаж,помещение VI,комната 1</t>
  </si>
  <si>
    <t>ЮЛ770103800100009</t>
  </si>
  <si>
    <t>115035 город Москва набережная Овчинниковская дом 6 строение 1  помещение 1/1</t>
  </si>
  <si>
    <t>ООО "БЕРЛИАНИ"</t>
  </si>
  <si>
    <t>9705251560</t>
  </si>
  <si>
    <t>ЮЛ7701040967</t>
  </si>
  <si>
    <t>ЮЛ770104096700000</t>
  </si>
  <si>
    <t>119017 город Москва улица Большая Ордынка дом 34 строение 5  помещения №18-21</t>
  </si>
  <si>
    <t>АНО ЦКН "МАРФА И МАРИЯ"</t>
  </si>
  <si>
    <t>9706015090</t>
  </si>
  <si>
    <t>ЮЛ7701040036</t>
  </si>
  <si>
    <t>ЮЛ770104003600000</t>
  </si>
  <si>
    <t>ООО "СЕНЛО"</t>
  </si>
  <si>
    <t>9706055625</t>
  </si>
  <si>
    <t>ЮЛ7701039614</t>
  </si>
  <si>
    <t>ЮЛ770103961400000</t>
  </si>
  <si>
    <t>121087 город Москва Береговой проезд дом 5А корпус 1  помещение 104</t>
  </si>
  <si>
    <t>ООО "ТОРГОВЫЙ ДОМ МОМЕНТ"</t>
  </si>
  <si>
    <t>9707001679</t>
  </si>
  <si>
    <t>ЮЛ7701034498</t>
  </si>
  <si>
    <t>ЮЛ770103449800000</t>
  </si>
  <si>
    <t>ООО "АМОР"</t>
  </si>
  <si>
    <t>9707044834</t>
  </si>
  <si>
    <t>ЮЛ7701039625</t>
  </si>
  <si>
    <t>ЮЛ770103962500000</t>
  </si>
  <si>
    <t>105120 город Москва улица Нижняя Сыромятническая дом 11 корпус 2  4 этаж, помещение 6</t>
  </si>
  <si>
    <t>ООО "О-ЭШ"</t>
  </si>
  <si>
    <t>9709011418</t>
  </si>
  <si>
    <t>ЮЛ7701013107</t>
  </si>
  <si>
    <t>ЮЛ770101310700000</t>
  </si>
  <si>
    <t>109147 город Москва улица Марксистская дом 34 корпус 4  помещение 1, комната 22</t>
  </si>
  <si>
    <t>ООО "БЕСТГОЛД"</t>
  </si>
  <si>
    <t>9709037173</t>
  </si>
  <si>
    <t>ЮЛ7701007602</t>
  </si>
  <si>
    <t>ЮЛ770100760200000</t>
  </si>
  <si>
    <t>101000 город Москва Мельницкий переулок дом 1   этаж 3, помещение IV, комната 6</t>
  </si>
  <si>
    <t>ООО "ОНИКС"</t>
  </si>
  <si>
    <t>9709037960</t>
  </si>
  <si>
    <t>ЮЛ7701006394</t>
  </si>
  <si>
    <t>ЮЛ770100639400000</t>
  </si>
  <si>
    <t>121352 город Москва проспект Кутузовский дом 57   этаж 1, часть торгового центра с номером 1.063</t>
  </si>
  <si>
    <t>ЮЛ770100639400001</t>
  </si>
  <si>
    <t>121059 город Москва площадь Киевского Вокзала дом 2   1 этаж, помещение I,часть комнаты 1</t>
  </si>
  <si>
    <t>ЮЛ770100639400002</t>
  </si>
  <si>
    <t>105120 город Москва улица Верхняя Сыромятническая дом 2   помещение 2/1, этаж 1,помещение IIв,часть комнаты 1</t>
  </si>
  <si>
    <t>ЮЛ770100639400004</t>
  </si>
  <si>
    <t>115088 город Москва улица Новоостаповская дом 20   помещение 164</t>
  </si>
  <si>
    <t>ООО "ДЖЕВЕЛ"</t>
  </si>
  <si>
    <t>9709073076</t>
  </si>
  <si>
    <t>ЮЛ7701003345</t>
  </si>
  <si>
    <t>ЮЛ770100334500000</t>
  </si>
  <si>
    <t>105120 город Москва улица Верхняя Сыромятническая дом 2  Этаж 1  помещение IIг, часть комнаты 11</t>
  </si>
  <si>
    <t>ООО "ДАЙМОНД ДИСТРИКТ"</t>
  </si>
  <si>
    <t>9709084021</t>
  </si>
  <si>
    <t>ЮЛ7701030776</t>
  </si>
  <si>
    <t>ЮЛ770103077600000</t>
  </si>
  <si>
    <t>125171 город Москва шоссе Ленинградское дом 16А строение 4  М</t>
  </si>
  <si>
    <t>ЮЛ770103077600001</t>
  </si>
  <si>
    <t>121059 город Москва площадь Киевского Вокзала дом 2   этаж первый помещение I комната 2</t>
  </si>
  <si>
    <t>ЮЛ770103077600002</t>
  </si>
  <si>
    <t>105120 город Москва улица Верхняя Сыромятническая дом 2   помещение 2/1,этаж 1,помещение IIг,часть комнаты 11 "С"</t>
  </si>
  <si>
    <t>ЮЛ770103077600004</t>
  </si>
  <si>
    <t>105120 город Москва улица Верхняя Сыромятническая дом 2   помещение 2/1,этаж 1,помещение II,часть комнаты 5 "Гим"</t>
  </si>
  <si>
    <t>ЮЛ770103077600005</t>
  </si>
  <si>
    <t>105120 город Москва улица Верхняя Сыромятническая дом 2   помещение 2/1,этаж 1,помещение IIг,часть комнаты 11 "ЭПЛ"</t>
  </si>
  <si>
    <t>ЮЛ770103077600006</t>
  </si>
  <si>
    <t>105120 город Москва улица Верхняя Сыромятническая дом 2   помещение 2/1,этаж1,помещение IIг,часть комнаты 11 "Р"</t>
  </si>
  <si>
    <t>ЮЛ770103077600007</t>
  </si>
  <si>
    <t>125171 город Москва шоссе Ленинградское дом 16А строение 4  М-Pt</t>
  </si>
  <si>
    <t>ЮЛ770103077600008</t>
  </si>
  <si>
    <t>129515 город Москва проспект Мира дом 119 строение 309</t>
  </si>
  <si>
    <t>ООО "МАКАУРУС АВТО"</t>
  </si>
  <si>
    <t>9709098465</t>
  </si>
  <si>
    <t>ЮЛ7701038656</t>
  </si>
  <si>
    <t>ЮЛ770103865600000</t>
  </si>
  <si>
    <t>123104 город Москва улица Большая Бронная дом 23 строение 1  этаж 4, помещение I, комната №11</t>
  </si>
  <si>
    <t>ООО "РАШЭЛ ГРУПП"</t>
  </si>
  <si>
    <t>9710017982</t>
  </si>
  <si>
    <t>ЮЛ7701006688</t>
  </si>
  <si>
    <t>ЮЛ770100668800000</t>
  </si>
  <si>
    <t>105064 город Москва улица Земляной Вал Дом 33   1 этаж, помещ. 26Н, часть Помещения № XI, часть комнат № 45, 47, 54, 105 (обозначено как Помещение № 1)</t>
  </si>
  <si>
    <t>ЮЛ770100668800012</t>
  </si>
  <si>
    <t>109012 город Москва улица Никольская дом 10   1этаж,комната 15</t>
  </si>
  <si>
    <t>ЮЛ770100668800013</t>
  </si>
  <si>
    <t>129594 город Москва улица Шереметьевская дом 6 корпус 1  1 этаж, помещение XVI, комната № 81</t>
  </si>
  <si>
    <t>ЮЛ770100668800014</t>
  </si>
  <si>
    <t>121059 город Москва площадь Киевского вокзала дом 2   1 этаж, помещение I, комната 24</t>
  </si>
  <si>
    <t>ЮЛ770100668800015</t>
  </si>
  <si>
    <t>119180 город Москва  улица Калужское шоссе., 21-й км владение 3А строение 1  1-й этаж, помещение 2084m</t>
  </si>
  <si>
    <t>ЮЛ770100668800016</t>
  </si>
  <si>
    <t>121352 город Москва проспект Кутузовский дом 57   комната 121 1-й этаж</t>
  </si>
  <si>
    <t>ЮЛ770100668800022</t>
  </si>
  <si>
    <t>108811 город Москва километр Киевское шоссе 23-й (п Московский) дом 1   помещение 3.4.46, 3 этаж</t>
  </si>
  <si>
    <t>ЮЛ770100668800023</t>
  </si>
  <si>
    <t>115280 город Москва улица Автозаводская дом 18   помещение А-058, 1-й этаж</t>
  </si>
  <si>
    <t>ЮЛ770100668800025</t>
  </si>
  <si>
    <t>119311 город Москва проспект Вернадского дом 6   комната 61-62, 1-й этаж</t>
  </si>
  <si>
    <t>ЮЛ770100668800026</t>
  </si>
  <si>
    <t>123112 город Москва набережная Пресненская дом 2   помещение B65b</t>
  </si>
  <si>
    <t>ЮЛ770100668800029</t>
  </si>
  <si>
    <t>115191 город Москва улица Большая Тульская дом 13   1 этаж, помещение II, комната 20</t>
  </si>
  <si>
    <t>ЮЛ770100668800030</t>
  </si>
  <si>
    <t>117519 город Москва улица Кировоградская дом 13А   помещение XLVIII, часть комнаты 125, 1-й этаж</t>
  </si>
  <si>
    <t>ЮЛ770100668800033</t>
  </si>
  <si>
    <t>125171 город Москва шоссе Ленинградское дом 16А строение 4  помещениеII, комната 9-9а, 1-й этаж</t>
  </si>
  <si>
    <t>ЮЛ770100668800036</t>
  </si>
  <si>
    <t>125252 город Москва бульвар Ходынский дом 4   помещение 03К-1020 3-й этаж</t>
  </si>
  <si>
    <t>ЮЛ770100668800037</t>
  </si>
  <si>
    <t>115054 город Москва площадь Павелецкая дом 3   А14,  минус первый этаж</t>
  </si>
  <si>
    <t>ЮЛ770100668800038</t>
  </si>
  <si>
    <t>123104 город Москва переулок Козихинский Б. дом 12/2   нежилое помещение с кадастровым номером 77:01:0001071:3912</t>
  </si>
  <si>
    <t>ЮЛ770100668800041</t>
  </si>
  <si>
    <t>105064 город Москва улица Земляной Вал дом 33   1 этаж, помещ. 26Н, часть Помещения № XI, часть комнат № 45, 47, 54, 105 (обозначено как Помещение № 2)</t>
  </si>
  <si>
    <t>ЮЛ770100668800042</t>
  </si>
  <si>
    <t>129626 город Москва переулок Графский дом 12А строение 2  Здание с кадастровым номером 77:02:0023016:1112</t>
  </si>
  <si>
    <t>ЮЛ770100668800044</t>
  </si>
  <si>
    <t>107031 город Москва переулок Столешников дом 14   часть помещения 1/1, площадью 112,2 кв.м</t>
  </si>
  <si>
    <t>ЮЛ770100668800047</t>
  </si>
  <si>
    <t>123001 город Москва переулок Гранатный дом 4 строение 4  1 этаж, помещение III, комнаты №№ 1-13, № 13а</t>
  </si>
  <si>
    <t>ООО "МОДНЫЙ ДОМ "УЛЬЯНА СЕРГЕЕНКО"</t>
  </si>
  <si>
    <t>9710024891</t>
  </si>
  <si>
    <t>ЮЛ7701013125</t>
  </si>
  <si>
    <t>ЮЛ770101312500000</t>
  </si>
  <si>
    <t>121108 город Москва проспект Кутузовский дом 48    1 этаж, помещение 1, комнаты №№ 44,44а,44б,44в,44г,44д,44е,44ж</t>
  </si>
  <si>
    <t>ЮЛ770101312500001</t>
  </si>
  <si>
    <t>125009 город Москва бульвар Тверской дом 26   помещение 24,26</t>
  </si>
  <si>
    <t>9710028350</t>
  </si>
  <si>
    <t>ЮЛ7701007391</t>
  </si>
  <si>
    <t>ЮЛ770100739100000</t>
  </si>
  <si>
    <t>123112 город Москва Пресненская набережная дом 12   Этаж 40 офис 8</t>
  </si>
  <si>
    <t>ООО "МТП РИНГО"</t>
  </si>
  <si>
    <t>9710028529</t>
  </si>
  <si>
    <t>ЮЛ7701004499</t>
  </si>
  <si>
    <t>ЮЛ770100449900000</t>
  </si>
  <si>
    <t>123022 город Москва улица 2-я Звенигородская Дом 13 Строение 42  Этаж 3, Помещение 1, кабинет № 25</t>
  </si>
  <si>
    <t>ООО "СТОУНС"</t>
  </si>
  <si>
    <t>9710042636</t>
  </si>
  <si>
    <t>ЮЛ7701011380</t>
  </si>
  <si>
    <t>ЮЛ770101138000000</t>
  </si>
  <si>
    <t>125009 город Москва улица Тверская дом 4   ПОМЕЩЕНИЕ VII, КОМНАТА. 1, 1А, 1Б, 1В</t>
  </si>
  <si>
    <t>ООО "МЕРАДО"</t>
  </si>
  <si>
    <t>9710069437</t>
  </si>
  <si>
    <t>ЮЛ7701015795</t>
  </si>
  <si>
    <t>ЮЛ770101579500000</t>
  </si>
  <si>
    <t>109012 город Москва улица Никольская дом 10/2 строение 2Б  помещение 6Н</t>
  </si>
  <si>
    <t>ООО "БЛЕСК"</t>
  </si>
  <si>
    <t>9710092228</t>
  </si>
  <si>
    <t>ЮЛ7701019193</t>
  </si>
  <si>
    <t>ЮЛ770101919300000</t>
  </si>
  <si>
    <t>123001 город Москва переулок Козихинский М. дом 8/18   помещение IV, этаж 1, комнаты 1,2</t>
  </si>
  <si>
    <t>ООО "АВГУСТ МОСКВА"</t>
  </si>
  <si>
    <t>9710095331</t>
  </si>
  <si>
    <t>ЮЛ7701002437</t>
  </si>
  <si>
    <t>ЮЛ770100243700000</t>
  </si>
  <si>
    <t>101000 город Москва бульвар Чистопрудный дом 12 корпус 4  комнаты 1,1а, 1б, 3, 7</t>
  </si>
  <si>
    <t>ЮЛ770100243700001</t>
  </si>
  <si>
    <t>119019 город Москва улица Волхонка дом 15 корпус 15, строение 1  помещение 1</t>
  </si>
  <si>
    <t>ООО "МОСКОВСКОЕ СТОЛОВОЕ СЕРЕБРО"</t>
  </si>
  <si>
    <t>9710119840</t>
  </si>
  <si>
    <t>ЮЛ7701036862</t>
  </si>
  <si>
    <t>ЮЛ770103686200000</t>
  </si>
  <si>
    <t>127206 город Москва улица Вучетича дом 1А строение 3  помещение 1, комнаты 1,1а,2, 2б,2в,2г,3</t>
  </si>
  <si>
    <t>ООО "ДФ ЮВЕЛИР"</t>
  </si>
  <si>
    <t>9713016345</t>
  </si>
  <si>
    <t>ЮЛ7701037046</t>
  </si>
  <si>
    <t>ЮЛ770103704600000</t>
  </si>
  <si>
    <t>127411 город Москва улица Софьи Ковалевской дом 22 строение 2</t>
  </si>
  <si>
    <t>ООО "КРИСТАЛЛАЙТ"</t>
  </si>
  <si>
    <t>9713028012</t>
  </si>
  <si>
    <t>ЮЛ7701039820</t>
  </si>
  <si>
    <t>ЮЛ770103982000000</t>
  </si>
  <si>
    <t>109129 город Москва улица 8-я Текстильщиков дом 13 корпус 2  помещения 17/8П</t>
  </si>
  <si>
    <t>ООО "СТОУН"</t>
  </si>
  <si>
    <t>9714050211</t>
  </si>
  <si>
    <t>ЮЛ7701037131</t>
  </si>
  <si>
    <t>ЮЛ770103713100000</t>
  </si>
  <si>
    <t>125284 город Москва шоссе Хорошёвское дом 38   помещение 406</t>
  </si>
  <si>
    <t>ООО "МНРЛ"</t>
  </si>
  <si>
    <t>9714052868</t>
  </si>
  <si>
    <t>ЮЛ7701037409</t>
  </si>
  <si>
    <t>ЮЛ770103740900000</t>
  </si>
  <si>
    <t>101000 город Москва переулок Большой Харитоньевский дом 10</t>
  </si>
  <si>
    <t>ЮЛ770103740900001</t>
  </si>
  <si>
    <t>125167 город Москва улица Викторенко дом 5 строение 1  помещение 6/5</t>
  </si>
  <si>
    <t>ООО "ВУА СТУДИО"</t>
  </si>
  <si>
    <t>9714053340</t>
  </si>
  <si>
    <t>ЮЛ7701037290</t>
  </si>
  <si>
    <t>ЮЛ770103729000000</t>
  </si>
  <si>
    <t>105120 город Москва улица Верхняя Сыромятническая дом 2   помещение 2/1,1 этаж,помещение IIг, часть комнаты 5</t>
  </si>
  <si>
    <t>ИП Джаббаров Азамат Журабаевич</t>
  </si>
  <si>
    <t>971501731933</t>
  </si>
  <si>
    <t>ИП5001007745</t>
  </si>
  <si>
    <t>ИП500100774500001</t>
  </si>
  <si>
    <t>127106 город Москва проезд Гостиничный дом 4Б   помещение 1Н/5</t>
  </si>
  <si>
    <t>ИП Романов Дмитрий Сергеевич</t>
  </si>
  <si>
    <t>971509597800</t>
  </si>
  <si>
    <t>ИП7701038972</t>
  </si>
  <si>
    <t>ИП770103897200000</t>
  </si>
  <si>
    <t>127490 город Москва улица Декабристов дом 21   помещение VII</t>
  </si>
  <si>
    <t>ООО ЛОМБАРД "ЯБЛОКО 2"</t>
  </si>
  <si>
    <t>9715215226</t>
  </si>
  <si>
    <t>ЮЛ7701003270</t>
  </si>
  <si>
    <t>ЮЛ770100327000000</t>
  </si>
  <si>
    <t>119311 город Москва проспект Вернадского дом 11/19   этаж 1, помещение IIв - комнаты 10, 10а, 10б</t>
  </si>
  <si>
    <t>ЮЛ770100327000002</t>
  </si>
  <si>
    <t>125171 город Москва шоссе Ленинградское дом 8 корпус 3</t>
  </si>
  <si>
    <t>ЮЛ770100327000004</t>
  </si>
  <si>
    <t>127247 город Москва Дмитровское шоссе дом 100 строение 2  этаж 01 помещение 31126</t>
  </si>
  <si>
    <t>9715222632</t>
  </si>
  <si>
    <t>ЮЛ7701002023</t>
  </si>
  <si>
    <t>ЮЛ770100202300000</t>
  </si>
  <si>
    <t>115172 город Москва улица Большие Каменщики дом 9 строение С   помещение № 17</t>
  </si>
  <si>
    <t>ЮЛ770100439200000</t>
  </si>
  <si>
    <t>101000 город Москва улица Маросейка дом 7/8 строение 1   помещение 1 этаж, комнаты 9,10,11,12,13,14</t>
  </si>
  <si>
    <t>ЮЛ770100439200056</t>
  </si>
  <si>
    <t>105066 город Москва улица Спартаковская дом 18 строение 1  1 этаж, комнаты №№4-7</t>
  </si>
  <si>
    <t>ЮЛ770100439200057</t>
  </si>
  <si>
    <t>123376 город Москва улица Красная Пресня дом 30 строение 1   1 этаж, нежилые помещения №1, 1а, 1б, 2, 3, 4, 5</t>
  </si>
  <si>
    <t>ЮЛ770100439200059</t>
  </si>
  <si>
    <t>125009 город Москва площадь Манежная дом 1 строение 2  помещение №2027А-пэ 2, помещение I, комната 68</t>
  </si>
  <si>
    <t>ЮЛ770100439200060</t>
  </si>
  <si>
    <t>125252 город Москва бульвар Ходынский дом 4   пом. 03К-1129 на 3 этаже здания</t>
  </si>
  <si>
    <t>ЮЛ770100439200063</t>
  </si>
  <si>
    <t>127349 город Москва улица Лескова дом 3Г   нежилые помещения (IV), комнаты №№1-7 на первом этаже</t>
  </si>
  <si>
    <t>ЮЛ770100439200064</t>
  </si>
  <si>
    <t>127015 город Москва улица Бутырская дом 86А   1 этаж нежилого помещения</t>
  </si>
  <si>
    <t>ЮЛ770100439200065</t>
  </si>
  <si>
    <t>129226 город Москва проспект Мира дом 211 корпус 2  часть комнаты №107, часть комнаты №108 помещения I, 3 этаж</t>
  </si>
  <si>
    <t>ЮЛ770100439200066</t>
  </si>
  <si>
    <t>129281 город Москва проезд Староватутинский дом 14   этаж 1, помещение III, комната №30</t>
  </si>
  <si>
    <t>ЮЛ770100439200067</t>
  </si>
  <si>
    <t>129594 город Москва улица Шереметьевская дом 20   помещение №1, комната №144, №145, №146 на 1 этаже здания</t>
  </si>
  <si>
    <t>ЮЛ770100439200068</t>
  </si>
  <si>
    <t>129323 город Москва улица Сельскохозяйственная дом 43 строение 1  нежилые помещения №II, №№1-19  на первом этаже 3-х этажного здания</t>
  </si>
  <si>
    <t>ЮЛ770100439200069</t>
  </si>
  <si>
    <t>107207 город Москва шоссе Щёлковское владение 75   этаж 1, помещение V, комната 8</t>
  </si>
  <si>
    <t>ЮЛ770100439200071</t>
  </si>
  <si>
    <t>105215 город Москва улица 9-я Парковая дом 66 корпус 3  1 этаж Здания, пом. №1-8</t>
  </si>
  <si>
    <t>ЮЛ770100439200072</t>
  </si>
  <si>
    <t>105318 город Москва улица Щербаковская дом 3   первый этаж, комнаты №35, №36, №37, №38, №39</t>
  </si>
  <si>
    <t>ЮЛ770100439200074</t>
  </si>
  <si>
    <t>111396 город Москва проспект Зелёный дом 60/35   нежилое помещение №361,1 этаж</t>
  </si>
  <si>
    <t>ЮЛ770100439200076</t>
  </si>
  <si>
    <t>109431 город Москва улица Генерала Кузнецова дом 26 корпус 1  1 этаж нежилого помещения</t>
  </si>
  <si>
    <t>ЮЛ770100439200077</t>
  </si>
  <si>
    <t>109052 город Москва проспект Рязанский дом 2 корпус 2  помещ. № 284</t>
  </si>
  <si>
    <t>ЮЛ770100439200078</t>
  </si>
  <si>
    <t>109156 город Москва улица Генерала Кузнецова дом 22   помещ.II, комн. №№ 113,114,115,128</t>
  </si>
  <si>
    <t>ЮЛ770100439200079</t>
  </si>
  <si>
    <t>109559 город Москва улица Краснодарская дом 51 корпус 2</t>
  </si>
  <si>
    <t>ЮЛ770100439200141</t>
  </si>
  <si>
    <t>109341 город Москва улица Перерва дом 43 корпус 1  часть комнаты №70 помещения IV первого этажа объекта (ТК)</t>
  </si>
  <si>
    <t>ЮЛ770100439200142</t>
  </si>
  <si>
    <t>115477 город Москва проспект Пролетарский дом 29   помещение № I, комнаты №№1,2а,17,24, часть комнаты 18 на 1-ом этаже</t>
  </si>
  <si>
    <t>ЮЛ770100439200143</t>
  </si>
  <si>
    <t>115522 город Москва шоссе Каширское дом 26   1 этаж ТРК "Москворечье", комната №61</t>
  </si>
  <si>
    <t>ЮЛ770100439200144</t>
  </si>
  <si>
    <t>117218 город Москва улица Профсоюзная дом 15   1 этаж здания, помещение № IV</t>
  </si>
  <si>
    <t>ЮЛ770100439200148</t>
  </si>
  <si>
    <t>119571 город Москва проспект Вернадского дом 86А   помещение №1, комн. №93 на 1 этаже Центра</t>
  </si>
  <si>
    <t>ЮЛ770100439200151</t>
  </si>
  <si>
    <t>121087 город Москва проезд Багратионовский дом 5   этаж 01, Помещение А-27</t>
  </si>
  <si>
    <t>ЮЛ770100439200153</t>
  </si>
  <si>
    <t>121059 город Москва площадь Киевского Вокзала дом 2   этаж первый, помещение I,  комната 87</t>
  </si>
  <si>
    <t>ЮЛ770100439200154</t>
  </si>
  <si>
    <t>125480 город Москва улица Планерная дом 7   нежилое помещение №Б2 на 1 этаже Здания</t>
  </si>
  <si>
    <t>ЮЛ770100439200157</t>
  </si>
  <si>
    <t>125363 город Москва улица Сходненская дом 56   1-ый этаж  ТРЦ "Калейдоскоп", помещение №I, комната №47</t>
  </si>
  <si>
    <t>ЮЛ770100439200158</t>
  </si>
  <si>
    <t>123592 город Москва бульвар Строгинский дом 1   нежилое помещение №I, комната №21 зал торговый, 21а пом. подсобное, 21б сейф, 1 этаж</t>
  </si>
  <si>
    <t>ЮЛ770100439200160</t>
  </si>
  <si>
    <t>123182 город Москва улица Щукинская дом 42   1 этаж здания, помещение №1, часть комнаты №105</t>
  </si>
  <si>
    <t>ЮЛ770100439200161</t>
  </si>
  <si>
    <t>125171 город Москва шоссе Ленинградское дом 16А строение 4  1 этаж Здания, пом.II, комнаты №141, 142 и 143</t>
  </si>
  <si>
    <t>ЮЛ770100439200162</t>
  </si>
  <si>
    <t>125212 город Москва шоссе Головинское дом 5 корпус 1  этаж 1 нежилого помещения, пом. 1207</t>
  </si>
  <si>
    <t>ЮЛ770100439200163</t>
  </si>
  <si>
    <t>117461 город Москва улица Каховка дом 29А   ТРЦ PRIME PLAZA, 1 этаж</t>
  </si>
  <si>
    <t>ЮЛ770100439200171</t>
  </si>
  <si>
    <t>111672 город Москва улица Новокосинская дом 22   1 этаж, помещение №1-10</t>
  </si>
  <si>
    <t>ЮЛ770100439200173</t>
  </si>
  <si>
    <t>127495 город Москва шоссе Дмитровское дом 163А корпус 1  этаж 2 помещение А18</t>
  </si>
  <si>
    <t>ЮЛ770100439200176</t>
  </si>
  <si>
    <t>115573 город Москва бульвар Ореховый дом 22А   этаж 1, комната 26,  помещение IX</t>
  </si>
  <si>
    <t>ЮЛ770100439200178</t>
  </si>
  <si>
    <t>127238 город Москва проезд Локомотивный дом 4   1 этаж</t>
  </si>
  <si>
    <t>ЮЛ770100439200179</t>
  </si>
  <si>
    <t>117587 город Москва улица Кировоградская дом 14   этаж 1, помещение 1, комната 35</t>
  </si>
  <si>
    <t>ЮЛ770100439200180</t>
  </si>
  <si>
    <t>127562 город Москва улица Декабристов дом 12   этаж 1, помещение № 90 (часть помещения II)</t>
  </si>
  <si>
    <t>ЮЛ770100439200188</t>
  </si>
  <si>
    <t>115419 город Москва улица Вавилова дом 3   1 этаж, комната 43 помещение X</t>
  </si>
  <si>
    <t>ЮЛ770100439200194</t>
  </si>
  <si>
    <t>121609 город Москва шоссе Рублёвское дом 62   комната 2</t>
  </si>
  <si>
    <t>ЮЛ770100439200195</t>
  </si>
  <si>
    <t>121552 город Москва улица Ярцевская дом 19   1 этаж</t>
  </si>
  <si>
    <t>ЮЛ770100439200200</t>
  </si>
  <si>
    <t>129090 город Москва проспект Мира дом 40   1 этаж, помещение I, часть комнаты №10</t>
  </si>
  <si>
    <t>ЮЛ770100439200206</t>
  </si>
  <si>
    <t>123007 город Москва шоссе Хорошёвское дом 27   помещение 142</t>
  </si>
  <si>
    <t>ЮЛ770100439200207</t>
  </si>
  <si>
    <t>111396 город Москва проспект Зелёный дом 81   1 этаж</t>
  </si>
  <si>
    <t>ЮЛ770100439200212</t>
  </si>
  <si>
    <t>117519 город Москва улица Кировоградская дом 13А   1 этаж, помещение В-063</t>
  </si>
  <si>
    <t>ЮЛ770100439200214</t>
  </si>
  <si>
    <t>125222 город Москва улица Дубравная дом 51 строение 1  этаж 1, помещение №77</t>
  </si>
  <si>
    <t>ЮЛ770100439200220</t>
  </si>
  <si>
    <t>121352 город Москва проспект Кутузовский дом 57   1 этаж, помещение №1.073</t>
  </si>
  <si>
    <t>ЮЛ770100439200222</t>
  </si>
  <si>
    <t>115054 город Москва площадь Павелецкая дом 3   этаж минус 1, помещение А73+74</t>
  </si>
  <si>
    <t>ЮЛ770100439200224</t>
  </si>
  <si>
    <t>105215 город Москва бульвар Сиреневый дом 31   помещение А-6, А-7</t>
  </si>
  <si>
    <t>ЮЛ770100439200225</t>
  </si>
  <si>
    <t>117574 город Москва улица Профсоюзная дом 129А   помещение №107/1/24</t>
  </si>
  <si>
    <t>ЮЛ770100439200226</t>
  </si>
  <si>
    <t>108849 город Москва улица Корнея Чуковского дом 2   часть помещения №XXVII 1 (первого) этажа №103</t>
  </si>
  <si>
    <t>ЮЛ770100439200228</t>
  </si>
  <si>
    <t>115193 город Москва улица 7-я Кожуховская дом 9   помещения №180, 181</t>
  </si>
  <si>
    <t>ЮЛ770100439200235</t>
  </si>
  <si>
    <t>111622 город Москва шоссе Новоухтомское дом 2А   этаж 2, помещение 23Н, комната 286</t>
  </si>
  <si>
    <t>ЮЛ770100439200236</t>
  </si>
  <si>
    <t>115191 город Москва улица Большая Тульская дом 13   1 этаж, помещение № II, комната №47</t>
  </si>
  <si>
    <t>ЮЛ770100439200239</t>
  </si>
  <si>
    <t>119602 город Москва улица Мичуринский проспект.Олимпийская деревня дом 3 корпус 1  помещение IV, комнаты №2-4</t>
  </si>
  <si>
    <t>ЮЛ770100439200244</t>
  </si>
  <si>
    <t>115516 город Москва проспект Пролетарский дом 30   помещение В108</t>
  </si>
  <si>
    <t>ЮЛ770100439200251</t>
  </si>
  <si>
    <t>115563 город Москва шоссе Каширское дом 61Г   часть здания: комнаты 1043.1, 1043.2</t>
  </si>
  <si>
    <t>ЮЛ770100439200255</t>
  </si>
  <si>
    <t>108811 город Московский улица Никитина дом 2   комната 123 на 2-м этаже</t>
  </si>
  <si>
    <t>ЮЛ770100439200260</t>
  </si>
  <si>
    <t>129281 город Москва улица Лётчика Бабушкина дом 26   помещение А33</t>
  </si>
  <si>
    <t>ЮЛ770100439200264</t>
  </si>
  <si>
    <t>108811 город Москва, поселение Московский Киевское шоссе, 23-й километр дом 1   пом. 1-124</t>
  </si>
  <si>
    <t>ЮЛ770100439200266</t>
  </si>
  <si>
    <t>108820 город Москва Калужское шоссе, километр 21-й владение 3А строение 1  помещение 2036s</t>
  </si>
  <si>
    <t>ЮЛ770100439200271</t>
  </si>
  <si>
    <t>125565 город Москва улица Фестивальная дом 2Б   помещ. I (комн. 33)</t>
  </si>
  <si>
    <t>ЮЛ770100439200272</t>
  </si>
  <si>
    <t>129226 город Москва улица Вильгельма Пика дом 11   комн. 32</t>
  </si>
  <si>
    <t>ЮЛ770100439200276</t>
  </si>
  <si>
    <t>109462 город Москва улица Зеленодольская владение 42   пом. А17</t>
  </si>
  <si>
    <t>ЮЛ770100439200277</t>
  </si>
  <si>
    <t>127566 Г. Москва ПРОЕЗД ВЫСОКОВОЛЬТНЫЙ  Д.1 СТР. 26  2 этаж,помещение, 2/1</t>
  </si>
  <si>
    <t>ООО "ЮВИК"</t>
  </si>
  <si>
    <t>9715337792</t>
  </si>
  <si>
    <t>ЮЛ7701012893</t>
  </si>
  <si>
    <t>ЮЛ770101289300000</t>
  </si>
  <si>
    <t>127018 город Москва проезд Марьиной Рощи 3-й дом 40 строение 1  помещение 1, ком.1Н/6</t>
  </si>
  <si>
    <t>ООО "АРГУМЕНТ"</t>
  </si>
  <si>
    <t>9715360248</t>
  </si>
  <si>
    <t>ЮЛ7701010393</t>
  </si>
  <si>
    <t>ЮЛ770101039300000</t>
  </si>
  <si>
    <t>127224 город Москва улица Грекова дом 8   этаж 1 помещение IA офис №2</t>
  </si>
  <si>
    <t>ООО "ЛОМБАРД НА ГРЕКОВА"</t>
  </si>
  <si>
    <t>9715387384</t>
  </si>
  <si>
    <t>ЮЛ7701004576</t>
  </si>
  <si>
    <t>ЮЛ770100457600000</t>
  </si>
  <si>
    <t>129515 город Москва улица Академика Королева дом 13 строение 1  4 этаж ПОМЕЩЕНИЕ 1 комната 67,68,69 (каб 400)</t>
  </si>
  <si>
    <t>ООО "ПРОКУДА"</t>
  </si>
  <si>
    <t>9715444875</t>
  </si>
  <si>
    <t>ЮЛ7701035921</t>
  </si>
  <si>
    <t>ЮЛ770103592100000</t>
  </si>
  <si>
    <t>127204 город Москва шоссе Дмитровское дом 163А корпус 1  киоск, условное место №КА 16а</t>
  </si>
  <si>
    <t>ООО "ЭЛИАНТ"</t>
  </si>
  <si>
    <t>9715466519</t>
  </si>
  <si>
    <t>ЮЛ7701035687</t>
  </si>
  <si>
    <t>ЮЛ770103568700001</t>
  </si>
  <si>
    <t>125171 город Москва шоссе Ленинградское дом 16А строение 4  киоск, условное место 1.218.4.4.01</t>
  </si>
  <si>
    <t>ЮЛ770103568700002</t>
  </si>
  <si>
    <t>127521 город Москва улица Веткина дом 4   этаж 4, помещение XIII, комната 45</t>
  </si>
  <si>
    <t>ООО "ТЕЛЕРИТЕЙЛ"</t>
  </si>
  <si>
    <t>9717026658</t>
  </si>
  <si>
    <t>ЮЛ7701002429</t>
  </si>
  <si>
    <t>ЮЛ770100242900000</t>
  </si>
  <si>
    <t>129085 город Москва улица Большая Марьинская дом 9 строение 1  этаж 3/помещение 1/Комната 33</t>
  </si>
  <si>
    <t>ЮЛ770100029500000</t>
  </si>
  <si>
    <t>129626 город Москва проспект Мира дом 104 строение 2</t>
  </si>
  <si>
    <t>ЮЛ770100029500015</t>
  </si>
  <si>
    <t>9717057462</t>
  </si>
  <si>
    <t>ЮЛ7701009287</t>
  </si>
  <si>
    <t>ЮЛ770100928700000</t>
  </si>
  <si>
    <t>129075 город Москва улица Шереметьевская дом 85 строение 3  этаж 2/помI/ком1(к.201)/часть комн.12(к.221)/комн.18(к.223)</t>
  </si>
  <si>
    <t>9717102588</t>
  </si>
  <si>
    <t>ЮЛ7701016507</t>
  </si>
  <si>
    <t>ЮЛ770101650700000</t>
  </si>
  <si>
    <t>129626 город Москва проспект Мира дом 102 строение 12  этаж 1, комната 19</t>
  </si>
  <si>
    <t>ООО "МИРАКЛ ДЖЕМС"</t>
  </si>
  <si>
    <t>9717124260</t>
  </si>
  <si>
    <t>ЮЛ7701031858</t>
  </si>
  <si>
    <t>ЮЛ770103185800000</t>
  </si>
  <si>
    <t>127521 город Москва улица Веткина дом 4   этаж 3, помещение XI, комнаты  22, 24, 25, 26</t>
  </si>
  <si>
    <t>ООО "ПРОТАЙМ СЕРВИС"</t>
  </si>
  <si>
    <t>9717151899</t>
  </si>
  <si>
    <t>ЮЛ7701036072</t>
  </si>
  <si>
    <t>ЮЛ770103607200000</t>
  </si>
  <si>
    <t>121096 город Москва улица Кастанаевская дом 6   помещение 3/1, помещение VIII, комнаты 1,2,3,13</t>
  </si>
  <si>
    <t>ООО "ЛОМБАРД 888"</t>
  </si>
  <si>
    <t>9718010636</t>
  </si>
  <si>
    <t>ЮЛ7701009387</t>
  </si>
  <si>
    <t>ЮЛ770100938700001</t>
  </si>
  <si>
    <t>125424 город Москва проезд Стратонавтов дом 9   этаж 1, помещение XV, комната 6</t>
  </si>
  <si>
    <t>ЮЛ770100938700003</t>
  </si>
  <si>
    <t>117519 город Москва шоссе Варшавское дом 132/1   Павильон П-8</t>
  </si>
  <si>
    <t>ЮЛ770100938700004</t>
  </si>
  <si>
    <t>115432 город Москва улица Трофимова дом 32 корпус 1  помещение 1А/1, комната 5</t>
  </si>
  <si>
    <t>ЮЛ770100938700006</t>
  </si>
  <si>
    <t>109125 город Москва проспект Волгоградский дом 57   этаж 1, помещение 24 (III), комнаты 1,2,3</t>
  </si>
  <si>
    <t>ЮЛ770100938700007</t>
  </si>
  <si>
    <t>117292 город Москва улица Профсоюзная дом 5/9</t>
  </si>
  <si>
    <t>ЮЛ770100938700008</t>
  </si>
  <si>
    <t>125057 город Москва проспект Ленинградский дом 71 корпус В</t>
  </si>
  <si>
    <t>ЮЛ770100938700009</t>
  </si>
  <si>
    <t>109369 город Москва бульвар Новочеркасский дом 47</t>
  </si>
  <si>
    <t>ЮЛ770100938700010</t>
  </si>
  <si>
    <t>117556 город Москва бульвар Чонгарский дом 8 корпус 1  нежилое помещение Iд - комнаты 1,2</t>
  </si>
  <si>
    <t>ЮЛ770100938700011</t>
  </si>
  <si>
    <t>107014 город Москва площадь Сокольническая дом 9   помещение III, часть комнаты 1</t>
  </si>
  <si>
    <t>ЮЛ770100938700019</t>
  </si>
  <si>
    <t>115470 город Москва улица Судостроительная дом 17   этаж 1, помещение XXII</t>
  </si>
  <si>
    <t>ЮЛ770100938700021</t>
  </si>
  <si>
    <t>ЮЛ770100938700024</t>
  </si>
  <si>
    <t>107065 город Москва улица Уссурийская дом 1 корпус 1  помещение VII, комната 23</t>
  </si>
  <si>
    <t>ЮЛ770100938700029</t>
  </si>
  <si>
    <t>109386 город Москва улица Новороссийская дом 16 корпус 2  этаж 1, часть комнаты 1, часть комнаты 3</t>
  </si>
  <si>
    <t>ЮЛ770100938700033</t>
  </si>
  <si>
    <t>115088 город Москва улица Шарикоподшипниковская дом 32   ЭТАЖ 1, ПОМЕЩЕНИЕ 2, КОМНАТА 6</t>
  </si>
  <si>
    <t>ЮЛ770100938700034</t>
  </si>
  <si>
    <t>119019 город Москва улица Арбат 6/2   этаж 1, комната 2</t>
  </si>
  <si>
    <t>ЮЛ770100938700037</t>
  </si>
  <si>
    <t>125009 город Москва переулок Брюсов 7   2/1</t>
  </si>
  <si>
    <t>ИП Исайчикова Алина Игоревна</t>
  </si>
  <si>
    <t>971802099549</t>
  </si>
  <si>
    <t>ИП7701018854</t>
  </si>
  <si>
    <t>ИП770101885400000</t>
  </si>
  <si>
    <t>107061 город Москва улица Черкизовская Б. дом 5А   подвал, комната 5, 6</t>
  </si>
  <si>
    <t>ООО "ЛОМБАРД НАДЕЖНЫЙ"</t>
  </si>
  <si>
    <t>9718031900</t>
  </si>
  <si>
    <t>ЮЛ7701002956</t>
  </si>
  <si>
    <t>ЮЛ770100295600000</t>
  </si>
  <si>
    <t>123308 город Москва улица 3-я Хорошёвская дом 2 строение 1  помещение 10Н/6</t>
  </si>
  <si>
    <t>ООО "МНОГАЯ ЛЕТА"</t>
  </si>
  <si>
    <t>9718045526</t>
  </si>
  <si>
    <t>ЮЛ5001014220</t>
  </si>
  <si>
    <t>ЮЛ500101422000000</t>
  </si>
  <si>
    <t>129090 город Москва  улица Каланчевская  дом 16 строение 1  этаж 4, комната 1А1 часть</t>
  </si>
  <si>
    <t>ООО "ЛАВИВИОН"</t>
  </si>
  <si>
    <t>9718048460</t>
  </si>
  <si>
    <t>ЮЛ7701000320</t>
  </si>
  <si>
    <t>ЮЛ770100032000000</t>
  </si>
  <si>
    <t>107564 город Москва улица Краснобогатырская дом 2 строение 2  этаж 2, помещение 2/3</t>
  </si>
  <si>
    <t>ООО "АРТДЕКО"</t>
  </si>
  <si>
    <t>9718146098</t>
  </si>
  <si>
    <t>ЮЛ7701002163</t>
  </si>
  <si>
    <t>ЮЛ770100216300000</t>
  </si>
  <si>
    <t>107076 город Москва переулок Колодезный дом 2А строение 2  помещение XX,XXIII, этаж 1,2, комната №12, №9</t>
  </si>
  <si>
    <t>ООО "ГИЛЬДИЯ МАСТЕРОВ"</t>
  </si>
  <si>
    <t>9718161829</t>
  </si>
  <si>
    <t>ЮЛ7701003743</t>
  </si>
  <si>
    <t>ЮЛ770100374300000</t>
  </si>
  <si>
    <t>123100 город Москва Шмитовский проезд дом 16 строение 2  помещение 6/3/1</t>
  </si>
  <si>
    <t>ООО "ВЕРТИКАЛЬ"</t>
  </si>
  <si>
    <t>9718163978</t>
  </si>
  <si>
    <t>ЮЛ7701035361</t>
  </si>
  <si>
    <t>ЮЛ770103536100000</t>
  </si>
  <si>
    <t>115035 город Москва набережная Софийская дом 34   ПОМЕЩ. 23Н</t>
  </si>
  <si>
    <t>ООО "ФЛЭЙМИНГ"</t>
  </si>
  <si>
    <t>9718178325</t>
  </si>
  <si>
    <t>ЮЛ7701034334</t>
  </si>
  <si>
    <t>ЮЛ770103433400000</t>
  </si>
  <si>
    <t>107014 город Москва просек 2-й Лучевой дом 5 Г строение 1  3 этаж, комната 15</t>
  </si>
  <si>
    <t>ООО "ЭМ ДЖЕЙ СТУДИЯ"</t>
  </si>
  <si>
    <t>9718204864</t>
  </si>
  <si>
    <t>ЮЛ7701031539</t>
  </si>
  <si>
    <t>ЮЛ770103153900000</t>
  </si>
  <si>
    <t>ООО "КВАРТА-М"</t>
  </si>
  <si>
    <t>9718209975</t>
  </si>
  <si>
    <t>ЮЛ7701032366</t>
  </si>
  <si>
    <t>ЮЛ770103236600000</t>
  </si>
  <si>
    <t>121170 город Москва проспект Кутузовский дом 43   помещение/комната 8/1/5</t>
  </si>
  <si>
    <t>ООО "ЛОМБАРД ПРЕМЬЕР"</t>
  </si>
  <si>
    <t>9718235340</t>
  </si>
  <si>
    <t>ЮЛ7701035945</t>
  </si>
  <si>
    <t>ЮЛ770103594500001</t>
  </si>
  <si>
    <t>105043 город Москва улица 9-я Парковая дом 25   этаж 1, помещение 3/1</t>
  </si>
  <si>
    <t>ООО "ЛОМБАРД ФАМИКО"</t>
  </si>
  <si>
    <t>9719055421</t>
  </si>
  <si>
    <t>ЮЛ7701035514</t>
  </si>
  <si>
    <t>ЮЛ770103551400000</t>
  </si>
  <si>
    <t>105203 город Москва улица 14-я Парковая дом 8   помещение 8/5</t>
  </si>
  <si>
    <t>ООО "АПОД ЛАБ"</t>
  </si>
  <si>
    <t>9719066568</t>
  </si>
  <si>
    <t>ЮЛ7701040968</t>
  </si>
  <si>
    <t>ЮЛ770104096800000</t>
  </si>
  <si>
    <t>125480 город Москва ул. Планерная д.7   помещение XV, часть комнаты номер 54</t>
  </si>
  <si>
    <t>ООО "РЕГИОН"</t>
  </si>
  <si>
    <t>9719071053</t>
  </si>
  <si>
    <t>ЮЛ7701037558</t>
  </si>
  <si>
    <t>ЮЛ770103755800000</t>
  </si>
  <si>
    <t>ЮЛ770103755800001</t>
  </si>
  <si>
    <t>117624 город Москва бульвар Адмирала Ушакова дом 11</t>
  </si>
  <si>
    <t>ООО "СИЛФУР"</t>
  </si>
  <si>
    <t>9719079038</t>
  </si>
  <si>
    <t>ЮЛ7701039702</t>
  </si>
  <si>
    <t>ЮЛ770103970200000</t>
  </si>
  <si>
    <t>109428 ГОРОД МОСКВА РЯЗАНСКИЙ ПРОСПЕКТ 8А 1  ПОМЕЩЕНИЕ VII КОМНАТА 30 ОФИС 535/2</t>
  </si>
  <si>
    <t>ООО "ПАРОВОЗИК"</t>
  </si>
  <si>
    <t>9721159837</t>
  </si>
  <si>
    <t>ЮЛ7701037853</t>
  </si>
  <si>
    <t>ЮЛ770103785300000</t>
  </si>
  <si>
    <t>109316 город Москва улица Талалихина дом 41 строение 9  4 этаж, офис № В14</t>
  </si>
  <si>
    <t>ООО "ЗОЛОТОЕ СЕЧЕНИЕ"</t>
  </si>
  <si>
    <t>9722041757</t>
  </si>
  <si>
    <t>ЮЛ7701033459</t>
  </si>
  <si>
    <t>ЮЛ770103345900000</t>
  </si>
  <si>
    <t>109544 город Москва бульвар Энтузиастов дом 2   помещение 5/4</t>
  </si>
  <si>
    <t>ООО "ЛОМБАРД СОЮЗ"</t>
  </si>
  <si>
    <t>9722046314</t>
  </si>
  <si>
    <t>ЮЛ7701036158</t>
  </si>
  <si>
    <t>ЮЛ770103615800000</t>
  </si>
  <si>
    <t>111024 город Москва шоссе Энтузиастов 12 2  помещение 6/1</t>
  </si>
  <si>
    <t>ООО "РАДОВЕСТЬ"</t>
  </si>
  <si>
    <t>9722072096</t>
  </si>
  <si>
    <t>ЮЛ7701037082</t>
  </si>
  <si>
    <t>ЮЛ770103708200000</t>
  </si>
  <si>
    <t>111024 город Москва улица Авиамоторная дом 50 строение 2  помещение 29/2</t>
  </si>
  <si>
    <t>ООО "ЗАРЯ"</t>
  </si>
  <si>
    <t>9722072498</t>
  </si>
  <si>
    <t>ЮЛ7701037601</t>
  </si>
  <si>
    <t>ЮЛ770103760100000</t>
  </si>
  <si>
    <t>121609 город Москва шоссе Рублёвское дом 62   помещение 140</t>
  </si>
  <si>
    <t>ООО "ЮД "АРТПРЕМЬЕР"</t>
  </si>
  <si>
    <t>9723018422</t>
  </si>
  <si>
    <t>ЮЛ7701006106</t>
  </si>
  <si>
    <t>ЮЛ770100610600003</t>
  </si>
  <si>
    <t>117246 город Москва улица Профсоюзная дом 61А   помещение I комната 25</t>
  </si>
  <si>
    <t>ЮЛ770100610600004</t>
  </si>
  <si>
    <t>109147 город Москва улица Воронцовская дом 35Б корпус 1  чердак помещение I, комнаты №27а, 28</t>
  </si>
  <si>
    <t>ООО "ДРАГОЦЕННЫЙ МИР"</t>
  </si>
  <si>
    <t>9723037351</t>
  </si>
  <si>
    <t>ЮЛ7701004812</t>
  </si>
  <si>
    <t>ЮЛ770100481200000</t>
  </si>
  <si>
    <t>124575 город Москва, город Зеленоград  корпус 900   помещение I, комната  №1а, подвальный этаж</t>
  </si>
  <si>
    <t>ООО "НЕО ЛОМБАРД"</t>
  </si>
  <si>
    <t>9723091461</t>
  </si>
  <si>
    <t>ЮЛ7701011678</t>
  </si>
  <si>
    <t>ЮЛ770101167800001</t>
  </si>
  <si>
    <t>115432 город Москва улица Трофимова дом 35/20   этаж 1,помещение IV, комната 18</t>
  </si>
  <si>
    <t>ЮЛ770101167800002</t>
  </si>
  <si>
    <t>117405 город Москва шоссе Варшавское дом 152А   помещение IV, комната 29</t>
  </si>
  <si>
    <t>ЮЛ770101167800003</t>
  </si>
  <si>
    <t>117574 город Москва проспект Новоясеневский владение 2Б строение 2  часть нежилого помещения 8а</t>
  </si>
  <si>
    <t>ЮЛ770101167800005</t>
  </si>
  <si>
    <t>119620 город Москва проспект Солнцевский дом 2</t>
  </si>
  <si>
    <t>ЮЛ770101167800006</t>
  </si>
  <si>
    <t>115582 город Москва шоссе Каширское дом 108 корпус 1</t>
  </si>
  <si>
    <t>ЮЛ770101167800015</t>
  </si>
  <si>
    <t>123308 город Москва шоссе Хорошёвское дом 88   помещение IV</t>
  </si>
  <si>
    <t>ЮЛ770101167800017</t>
  </si>
  <si>
    <t>117588 город Москва проспект Новоясеневский дом 7   ТЦ КАЛИТА</t>
  </si>
  <si>
    <t>ЮЛ770101167800018</t>
  </si>
  <si>
    <t>121552 город Москва улица Ярцевская дом 25А   1этаж, часть комнаты 6, секция 102,  ТЦ "ТРАМПЛИН"</t>
  </si>
  <si>
    <t>ЮЛ770101167800021</t>
  </si>
  <si>
    <t>108802 город Москва километр Калужское шоссе 22-й (п Сосенское) дом 10   этаж 2, помещения 2-7-020, 2-7-022</t>
  </si>
  <si>
    <t>ЮЛ770101167800023</t>
  </si>
  <si>
    <t>111558 город Москва проспект Свободный дом 33А   помещение XI, комната 2</t>
  </si>
  <si>
    <t>ЮЛ770101167800024</t>
  </si>
  <si>
    <t>115184 город Москва Климентовский переулок дом 2 этаж 1   офис ХХ комната 1,3-5,15-21</t>
  </si>
  <si>
    <t>ООО "ЗААВ ДЖИ"</t>
  </si>
  <si>
    <t>9723106703</t>
  </si>
  <si>
    <t>ЮЛ7701012708</t>
  </si>
  <si>
    <t>ЮЛ770101270800000</t>
  </si>
  <si>
    <t>109559 город Москва улица Краснодарская дом 57 корпус 2  помещение VI</t>
  </si>
  <si>
    <t>ООО "ГОЛД ЦЕНТР"</t>
  </si>
  <si>
    <t>9723197468</t>
  </si>
  <si>
    <t>ЮЛ7701034104</t>
  </si>
  <si>
    <t>ЮЛ770103410400000</t>
  </si>
  <si>
    <t>ЮЛ770103410400001</t>
  </si>
  <si>
    <t>109429 город Москва километр МКАД 14-й дом 2 строение 1  № Б/ТЦ2Г -06, Б/ТЦ2Д-01</t>
  </si>
  <si>
    <t>ЮЛ770103410400002</t>
  </si>
  <si>
    <t>108814 город Москва улица Калужское шоссе 22-й км дом 10   2-10-061/1, 2-10-095, 2-10-097, 2-10-099, 2-10-101</t>
  </si>
  <si>
    <t>ЮЛ770103410400003</t>
  </si>
  <si>
    <t>107207 город Москва шоссе Щёлковское дом 54</t>
  </si>
  <si>
    <t>ЮЛ770103410400004</t>
  </si>
  <si>
    <t>109651 город Москва улица Перерва 16   16П</t>
  </si>
  <si>
    <t>ООО "МЭРИДЖОЙ"</t>
  </si>
  <si>
    <t>9723252140</t>
  </si>
  <si>
    <t>ЮЛ7701039487</t>
  </si>
  <si>
    <t>ЮЛ770103948700000</t>
  </si>
  <si>
    <t>121352 город Москва бульвар Славянский дом 5 корпус 1 стр 3</t>
  </si>
  <si>
    <t>ООО ЛОМБАРД "МЕГАПОЛИС"</t>
  </si>
  <si>
    <t>9724022527</t>
  </si>
  <si>
    <t>ЮЛ7701006570</t>
  </si>
  <si>
    <t>ЮЛ770100657000001</t>
  </si>
  <si>
    <t>115563 город Москва бульвар Ореховый владение 15А</t>
  </si>
  <si>
    <t>ЮЛ770100657000002</t>
  </si>
  <si>
    <t>119019 город Москва улица Арбат дом 6/2   1 этаж, комната 9, подвал, комнаты 10,11</t>
  </si>
  <si>
    <t>ООО "АНАЛЕММА"</t>
  </si>
  <si>
    <t>9724060360</t>
  </si>
  <si>
    <t>ЮЛ7701019329</t>
  </si>
  <si>
    <t>ЮЛ770101932900000</t>
  </si>
  <si>
    <t>129327 город Москва улица Енисейская дом 17 корпус 1  помещение 13/1</t>
  </si>
  <si>
    <t>ООО ЛОМБАРД "ЛИГА КРЕДИТ"</t>
  </si>
  <si>
    <t>9724080141</t>
  </si>
  <si>
    <t>ЮЛ7701030544</t>
  </si>
  <si>
    <t>ЮЛ770103054400003</t>
  </si>
  <si>
    <t>121609 город Москва шоссе Рублёвское дом 42 корпус 1  помещение №11</t>
  </si>
  <si>
    <t>ООО "ЗОЛОТОЙ ГЛАЗ"</t>
  </si>
  <si>
    <t>9724084516</t>
  </si>
  <si>
    <t>ЮЛ7701030865</t>
  </si>
  <si>
    <t>ЮЛ770103086500000</t>
  </si>
  <si>
    <t>119192 город Москва проспект Мичуринский дом 26   помещение 1/30, 1/31</t>
  </si>
  <si>
    <t>ООО "ЗОЛОТАЯ АНТИЛОПА"</t>
  </si>
  <si>
    <t>9724149770</t>
  </si>
  <si>
    <t>ЮЛ7701035495</t>
  </si>
  <si>
    <t>ЮЛ770103549500003</t>
  </si>
  <si>
    <t>121609 город Москва бульвар Осенний дом 7 корпус 1  помещение № 46,  1 этаж</t>
  </si>
  <si>
    <t>ЮЛ770103549500005</t>
  </si>
  <si>
    <t>107241 город Москва улица Уральская дом 1   помещение 5В/Н</t>
  </si>
  <si>
    <t>ЮЛ770103549500006</t>
  </si>
  <si>
    <t>115088 город Москва улица Новоостаповская дом 5 строение 1  5 этаж, цокольный этаж</t>
  </si>
  <si>
    <t>ООО "ЧАСЫ УДАЧИ"</t>
  </si>
  <si>
    <t>9724184292</t>
  </si>
  <si>
    <t>ЮЛ7701037651</t>
  </si>
  <si>
    <t>ЮЛ770103765100000</t>
  </si>
  <si>
    <t>115583 город Москва улица Генерала Белова дом 26   офис 908</t>
  </si>
  <si>
    <t>ООО "ВЕ4НОЕ"</t>
  </si>
  <si>
    <t>9724218858</t>
  </si>
  <si>
    <t>ЮЛ7701039463</t>
  </si>
  <si>
    <t>ЮЛ770103946300000</t>
  </si>
  <si>
    <t>115533 город Москва набережная Нагатинская дом 22 корпус 2  помещение IV</t>
  </si>
  <si>
    <t>ООО "ЛОМБАРД АНТАЛ"</t>
  </si>
  <si>
    <t>9725002354</t>
  </si>
  <si>
    <t>ЮЛ7701008206</t>
  </si>
  <si>
    <t>ЮЛ770100820600000</t>
  </si>
  <si>
    <t>107241 город Москва улица Уральская дом 1А   помещение VII, комната 3, этаж 1</t>
  </si>
  <si>
    <t>ЮЛ770100820600001</t>
  </si>
  <si>
    <t>117303 город Москва улица Малая Юшуньская дом 1 корпус 1  этаж 1, помещение IV, (часть) комната 2</t>
  </si>
  <si>
    <t>ЮЛ770100820600002</t>
  </si>
  <si>
    <t>123007 город Москва шоссе Хорошёвское дом 84 корпус 1  помещение I, комната 1а, комната 9, подвал Помещение I, комнаты 1-18</t>
  </si>
  <si>
    <t>ЮЛ770100820600003</t>
  </si>
  <si>
    <t>115419 город Москва улица Орджоникидзе дом 11 строение 44  этаж 1, помещение № 1, комната № 31,32</t>
  </si>
  <si>
    <t>ООО "ИМПЕРИАЛЪ"</t>
  </si>
  <si>
    <t>9725042269</t>
  </si>
  <si>
    <t>ЮЛ7701003260</t>
  </si>
  <si>
    <t>ЮЛ770100326000000</t>
  </si>
  <si>
    <t>115093 город Москва переулок Партийный дом 1 корпус 46  офис 527</t>
  </si>
  <si>
    <t>ООО "ДАНИЛОВ ЮВЕЛИРЪ"</t>
  </si>
  <si>
    <t>9725064110</t>
  </si>
  <si>
    <t>ЮЛ7701019722</t>
  </si>
  <si>
    <t>ЮЛ770101972200000</t>
  </si>
  <si>
    <t>115114 город Москва набережная Дербеневская дом 7 строение 22  помещение XI, этаж 2, часть комнаты №1</t>
  </si>
  <si>
    <t>ООО "ЛОТ-ЗОЛОТО НДС"</t>
  </si>
  <si>
    <t>9725103553</t>
  </si>
  <si>
    <t>ЮЛ7701032291</t>
  </si>
  <si>
    <t>ЮЛ770103229100000</t>
  </si>
  <si>
    <t>115191 город Москва улица Серпуховский Вал дом 21 корп. 1  этаж 1, часть нежилого помещения № 6</t>
  </si>
  <si>
    <t>ООО "РЕЛИКВИЯ"</t>
  </si>
  <si>
    <t>9725106314</t>
  </si>
  <si>
    <t>ЮЛ7701032064</t>
  </si>
  <si>
    <t>ЮЛ770103206400000</t>
  </si>
  <si>
    <t>115432 город Москва проспект Андропова дом 8   помещение 35/6, часть комнаты 617</t>
  </si>
  <si>
    <t>ООО "ГОЛД"</t>
  </si>
  <si>
    <t>9725110656</t>
  </si>
  <si>
    <t>ЮЛ7701032629</t>
  </si>
  <si>
    <t>ЮЛ770103262900000</t>
  </si>
  <si>
    <t>ООО "ХИБА"</t>
  </si>
  <si>
    <t>9725122926</t>
  </si>
  <si>
    <t>ЮЛ7701035680</t>
  </si>
  <si>
    <t>ЮЛ770103568000000</t>
  </si>
  <si>
    <t>115280 город Москва улица Ленинская Слобода дом 26   этаж -3, помещение IV, комнаты: 186, 185</t>
  </si>
  <si>
    <t>ООО "БРАЙТ СПАРК"</t>
  </si>
  <si>
    <t>9725135026</t>
  </si>
  <si>
    <t>ЮЛ7701035504</t>
  </si>
  <si>
    <t>ЮЛ770103550400000</t>
  </si>
  <si>
    <t>125252 город Москва бульвар Ходынский дом 4   этаж 4, помещение 04К-2004.2 (часть помещения)</t>
  </si>
  <si>
    <t>ООО "АРМ П"</t>
  </si>
  <si>
    <t>9725154290</t>
  </si>
  <si>
    <t>ЮЛ7701037803</t>
  </si>
  <si>
    <t>ЮЛ770103780300000</t>
  </si>
  <si>
    <t>115432 город Москва проспект Андропова дом 1</t>
  </si>
  <si>
    <t>ООО "ДИДЖИТУС"</t>
  </si>
  <si>
    <t>9725170800</t>
  </si>
  <si>
    <t>ЮЛ7701038515</t>
  </si>
  <si>
    <t>ЮЛ770103851500000</t>
  </si>
  <si>
    <t>115432 город Москва проспект Андропова дом 8   этаж 6, часть комнаты 617, помещение 35/6</t>
  </si>
  <si>
    <t>ООО "ЮВ МАРКЕТ"</t>
  </si>
  <si>
    <t>9725192874</t>
  </si>
  <si>
    <t>ЮЛ7701040567</t>
  </si>
  <si>
    <t>ЮЛ770104056700000</t>
  </si>
  <si>
    <t>117587 город Москва шоссе Варшавское дом 125 строение 1  Секция № 6, Этаж 2, Помещения 78, 79</t>
  </si>
  <si>
    <t>ООО "ЮВЕЛИРНАЯ ШКАТУЛКА"</t>
  </si>
  <si>
    <t>9726032640</t>
  </si>
  <si>
    <t>ЮЛ7701032260</t>
  </si>
  <si>
    <t>ЮЛ770103226000000</t>
  </si>
  <si>
    <t>119021 город Москва проспект Комсомольский дом 24 строение 1  1 этаж, часть комнаты 46 помещения VII</t>
  </si>
  <si>
    <t>ЮЛ770103226000001</t>
  </si>
  <si>
    <t>129110 город Москва улица Гиляровского дом 65 строение 1  Этаж 2, Помещение II, Комната 4</t>
  </si>
  <si>
    <t>ООО "БУД ИН ЛАВ"</t>
  </si>
  <si>
    <t>9726041701</t>
  </si>
  <si>
    <t>ЮЛ7701033756</t>
  </si>
  <si>
    <t>ЮЛ770103375600000</t>
  </si>
  <si>
    <t>117587 город Москва шоссе Варшавское дом 125 строение 1  помещение 1/1Б/1</t>
  </si>
  <si>
    <t>ООО "ДЖЕВЕЛ ПАРК"</t>
  </si>
  <si>
    <t>9726060510</t>
  </si>
  <si>
    <t>ЮЛ7701035751</t>
  </si>
  <si>
    <t>ЮЛ770103575100000</t>
  </si>
  <si>
    <t>115612 город Москва километр МКАД 19-й владение 20 строение 1</t>
  </si>
  <si>
    <t>ООО "ВИКШАЙ"</t>
  </si>
  <si>
    <t>9726095168</t>
  </si>
  <si>
    <t>ЮЛ7701039563</t>
  </si>
  <si>
    <t>ЮЛ770103956300000</t>
  </si>
  <si>
    <t>115191 город Москва переулок Холодильный Дом 3 Корпус 1/Строение 2  Этаж 3, Часть нежилого помещения комн. № 3,4, нежилое помещение комн. №1</t>
  </si>
  <si>
    <t>ИП Очинский Яков Владимирович</t>
  </si>
  <si>
    <t>972700867850</t>
  </si>
  <si>
    <t>ИП7701003857</t>
  </si>
  <si>
    <t>ИП770100385700000</t>
  </si>
  <si>
    <t>119620 город Москва проспект Солнцевский дом 26   1 этаж, помещение 11 в, комнаты №2,3, часть комнаты №5</t>
  </si>
  <si>
    <t>ЮЛ770103502400010</t>
  </si>
  <si>
    <t>ЮЛ770103502400015</t>
  </si>
  <si>
    <t>117461 город Москва улица Каховка дом 31 корпус 2  комнаты № 14, 15, 16, 17, 18, 19, 20, 21, 22, 23 (частично)</t>
  </si>
  <si>
    <t>ООО "ДЖУЛЕРИ"</t>
  </si>
  <si>
    <t>9727050924</t>
  </si>
  <si>
    <t>ЮЛ7701035447</t>
  </si>
  <si>
    <t>ЮЛ770103544700000</t>
  </si>
  <si>
    <t>123557 город Москва переулок Электрический дом 1 строение 12  помещение V, этаж 1, часть комнаты 6</t>
  </si>
  <si>
    <t>ИП Конев Николай Сергеевич</t>
  </si>
  <si>
    <t>972708104867</t>
  </si>
  <si>
    <t>ИП7701007607</t>
  </si>
  <si>
    <t>ИП770100760700000</t>
  </si>
  <si>
    <t>117465 город Москва улица Генерала Тюленева дом 29А   этаж 2, помещение II, комнаты 13, (часть) 14-19-20</t>
  </si>
  <si>
    <t>ИП Онищенко Александр Александрович</t>
  </si>
  <si>
    <t>972718027450</t>
  </si>
  <si>
    <t>ИП7701041031</t>
  </si>
  <si>
    <t>ИП770104103100000</t>
  </si>
  <si>
    <t>125371 город Москва шоссе Волоколамское дом 81/2 строение 6  помещение 86</t>
  </si>
  <si>
    <t>ООО "ДЖОН ГОЛТ"</t>
  </si>
  <si>
    <t>9728010184</t>
  </si>
  <si>
    <t>ЮЛ7701012831</t>
  </si>
  <si>
    <t>ЮЛ770101283100000</t>
  </si>
  <si>
    <t>115035 город Москва набережная Кадашёвская дом 26   этаж 3, помещение 1, комната 38</t>
  </si>
  <si>
    <t>ООО "АЛЬМИРАНТА"</t>
  </si>
  <si>
    <t>9728017101</t>
  </si>
  <si>
    <t>ЮЛ7701012577</t>
  </si>
  <si>
    <t>ЮЛ770101257700000</t>
  </si>
  <si>
    <t>119571 город Москва проспект Ленинский дом 154   помещение Б комнаты 5,6,8-31,33,34</t>
  </si>
  <si>
    <t>ООО "ПОЭМ"</t>
  </si>
  <si>
    <t>9728029629</t>
  </si>
  <si>
    <t>ЮЛ7701008146</t>
  </si>
  <si>
    <t>ЮЛ770100814600000</t>
  </si>
  <si>
    <t>119002 город Москва улица Арбат дом 40   этаж 1, помещение II</t>
  </si>
  <si>
    <t>ООО "ПОЗИТИВ"</t>
  </si>
  <si>
    <t>9728039271</t>
  </si>
  <si>
    <t>ЮЛ7701032966</t>
  </si>
  <si>
    <t>ЮЛ770103296600000</t>
  </si>
  <si>
    <t>119002 город Москва улица Арбат дом 49 строение 1  помещение 1, комнаты 1,1а,3</t>
  </si>
  <si>
    <t>ЮЛ770103296600001</t>
  </si>
  <si>
    <t>109012 город Москва улица Никольская дом 5/1 строение 3  помещение № IV</t>
  </si>
  <si>
    <t>ЮЛ770103296600002</t>
  </si>
  <si>
    <t>117465 город Москва улица Генерала Тюленева дом 25А   помещение 1, подвал, комната 35</t>
  </si>
  <si>
    <t>ООО "ЛОМБАРД РУКА ПОМОЩИ"</t>
  </si>
  <si>
    <t>9728047554</t>
  </si>
  <si>
    <t>ЮЛ7701019717</t>
  </si>
  <si>
    <t>ЮЛ770101971700000</t>
  </si>
  <si>
    <t>117246 город Москва проезд Научный дом 8 строение 1  помещение X офис 124</t>
  </si>
  <si>
    <t>ООО "РОЗА"</t>
  </si>
  <si>
    <t>9728086994</t>
  </si>
  <si>
    <t>ЮЛ7701033553</t>
  </si>
  <si>
    <t>ЮЛ770103355300000</t>
  </si>
  <si>
    <t>105064 город Москва улица Земляной Вал дом 33   1 этаж, помещение XI, комната № 84, № 85 , магазин  "Roberto Bravo"</t>
  </si>
  <si>
    <t>ЮЛ770103355300004</t>
  </si>
  <si>
    <t>117342 город Москва улица Бутлерова дом 17   помещение 95/3</t>
  </si>
  <si>
    <t>9728105189</t>
  </si>
  <si>
    <t>ЮЛ7701035031</t>
  </si>
  <si>
    <t>ЮЛ770103503100000</t>
  </si>
  <si>
    <t>119192 город Москва проспект Мичуринский дом 26   помещение 1/30</t>
  </si>
  <si>
    <t>ЮЛ770103641400000</t>
  </si>
  <si>
    <t>125475 город Москва улица Дыбенко дом 7/1 строение 1  помещение № 4Н, комната №10</t>
  </si>
  <si>
    <t>ОБЩЕСТВО С ОГРАНИЧЕННОЙ ОТВЕТСТВЕННОСТЬЮ "НОВЫЙ АЗИМУТ"</t>
  </si>
  <si>
    <t>9728130788</t>
  </si>
  <si>
    <t>ЮЛ7701038231</t>
  </si>
  <si>
    <t>ЮЛ770103823100001</t>
  </si>
  <si>
    <t>117420 город Москва улица Намёткина дом 8 строение 1 - 4 этаж, офис 402Б</t>
  </si>
  <si>
    <t>ООО "ЮВЕЛИРНЫЙ ЗАВОД ФАНТАЗИЯ"</t>
  </si>
  <si>
    <t>9728152125</t>
  </si>
  <si>
    <t>ЮЛ7701039081</t>
  </si>
  <si>
    <t>ЮЛ770103908100000</t>
  </si>
  <si>
    <t>121096 город Москва улица Минская дом 14А Нет  этаж 1, помещение II, комната 32</t>
  </si>
  <si>
    <t>ИП Довгалева Ксения Михайловна</t>
  </si>
  <si>
    <t>972901126805</t>
  </si>
  <si>
    <t>ИП7701039399</t>
  </si>
  <si>
    <t>ИП770103939900000</t>
  </si>
  <si>
    <t>119501 город Москва улица Веерная дом 1 корпус 2  помещение VIII</t>
  </si>
  <si>
    <t>ООО "ЛОМБАРД ЛЮМЭР ПРО"</t>
  </si>
  <si>
    <t>9729042887</t>
  </si>
  <si>
    <t>ЮЛ7701007102</t>
  </si>
  <si>
    <t>ЮЛ770100710200000</t>
  </si>
  <si>
    <t>111673 город Москва улица Новокосинская дом 31   1 Этаж, Помещение 20</t>
  </si>
  <si>
    <t>ЮЛ770100710200001</t>
  </si>
  <si>
    <t>117042 город Москва улица Горчакова дом 11   этаж 1</t>
  </si>
  <si>
    <t>ЮЛ770100710200002</t>
  </si>
  <si>
    <t>111401 город Москва улица Металлургов дом 5   этаж 1, помещение 1, комнаты с 6 по 10, 10а, 20</t>
  </si>
  <si>
    <t>ООО "ЛОМБАРД АНКОР"</t>
  </si>
  <si>
    <t>9729047780</t>
  </si>
  <si>
    <t>ЮЛ7701007124</t>
  </si>
  <si>
    <t>ЮЛ770100712400001</t>
  </si>
  <si>
    <t>117574 город Москва проспект Новоясеневский дом 16 корпус 1  этаж 1, помещение IX, комнаты 1-8</t>
  </si>
  <si>
    <t>ЮЛ770100712400002</t>
  </si>
  <si>
    <t>121471 город Москва шоссе Можайское дом 28   помещение II,   комната 6</t>
  </si>
  <si>
    <t>ООО "ЛОМБАРД БРИЛЛИАНТ"</t>
  </si>
  <si>
    <t>9729067786</t>
  </si>
  <si>
    <t>ЮЛ7701017438</t>
  </si>
  <si>
    <t>ЮЛ770101743800000</t>
  </si>
  <si>
    <t>111033 город Москва улица Самокатная дом 4 строение 45</t>
  </si>
  <si>
    <t>ООО "АМБЕРИ"</t>
  </si>
  <si>
    <t>9729153675</t>
  </si>
  <si>
    <t>ЮЛ7701001142</t>
  </si>
  <si>
    <t>ЮЛ770100114200000</t>
  </si>
  <si>
    <t>125493 город Москва улица Смольная дом 12   помещение № 113, 3 этаж</t>
  </si>
  <si>
    <t>ООО "СПЕКТР"</t>
  </si>
  <si>
    <t>9729271559</t>
  </si>
  <si>
    <t>ЮЛ7701002533</t>
  </si>
  <si>
    <t>ЮЛ770100253300000</t>
  </si>
  <si>
    <t>121471 город Москва переулок 2-й Петра Алексеева Дом 2 Строние 1  комната №29, этаж 2</t>
  </si>
  <si>
    <t>ООО "НЕБОСВОД"</t>
  </si>
  <si>
    <t>9729353071</t>
  </si>
  <si>
    <t>ЮЛ7701035020</t>
  </si>
  <si>
    <t>ЮЛ770103502000000</t>
  </si>
  <si>
    <t>119192 город Москва улица Мосфильмовская дом 74Б   помещение 243</t>
  </si>
  <si>
    <t>ООО "ПОВ ДЖЕВЕЛРИ"</t>
  </si>
  <si>
    <t>9729357911</t>
  </si>
  <si>
    <t>ЮЛ7701035533</t>
  </si>
  <si>
    <t>ЮЛ770103553300000</t>
  </si>
  <si>
    <t>121615 город Москва шоссе Рублёвское дом 22 корпус 2  LXII</t>
  </si>
  <si>
    <t>ООО "ЭЛИГИЙ"</t>
  </si>
  <si>
    <t>9731010787</t>
  </si>
  <si>
    <t>ЮЛ7701012449</t>
  </si>
  <si>
    <t>ЮЛ770101244900000</t>
  </si>
  <si>
    <t>123112 город Москва набережная Пресненская дом 12   этаж 56, офис 8</t>
  </si>
  <si>
    <t>АО "СОЦИАЛЬНАЯ ПЛАТФОРМА"</t>
  </si>
  <si>
    <t>9731017937</t>
  </si>
  <si>
    <t>ЮЛ7701013214</t>
  </si>
  <si>
    <t>ЮЛ770101321400000</t>
  </si>
  <si>
    <t>121471 город Москва улица Гродненская дом 10   помещение 1/2</t>
  </si>
  <si>
    <t>ООО "ЛАЙН ТОРГ"</t>
  </si>
  <si>
    <t>9731054760</t>
  </si>
  <si>
    <t>ЮЛ7701018896</t>
  </si>
  <si>
    <t>ЮЛ770101889600000</t>
  </si>
  <si>
    <t>111020 город Москва улица 2-я Синичкина дом 9А строение 4  этаж 4, помещение 1 - комната 23</t>
  </si>
  <si>
    <t>ООО "ФИНАНСОВЫЙ ПОМОЩНИК"</t>
  </si>
  <si>
    <t>9731073723</t>
  </si>
  <si>
    <t>ЮЛ7701002426</t>
  </si>
  <si>
    <t>ЮЛ770100242600000</t>
  </si>
  <si>
    <t>125480 город Москва улица Планерная дом 5   этаж 1 часть помещения № 1</t>
  </si>
  <si>
    <t>ЮЛ770100242600006</t>
  </si>
  <si>
    <t>121108 город Москва улица Минская дом 9   этаж 1, нежилые помещения № 2, комната 1</t>
  </si>
  <si>
    <t>ЮЛ770100242600018</t>
  </si>
  <si>
    <t>129626 город Москва проспект Мира дом 114Б строение 2</t>
  </si>
  <si>
    <t>ЮЛ770100242600019</t>
  </si>
  <si>
    <t>109431 город Москва улица Генерала Кузнецова дом 26 корпус 1  этаж 1</t>
  </si>
  <si>
    <t>ЮЛ770100242600021</t>
  </si>
  <si>
    <t>119620 город Москва проспект Солнцевский дом 24</t>
  </si>
  <si>
    <t>ЮЛ770100242600022</t>
  </si>
  <si>
    <t>ЮЛ770100242600025</t>
  </si>
  <si>
    <t>ЮЛ770100242600026</t>
  </si>
  <si>
    <t>111401 город Москва проспект Зелёный дом 23/43   подвал, помещение I, комната 18</t>
  </si>
  <si>
    <t>ЮЛ770100242600027</t>
  </si>
  <si>
    <t>ЮЛ770100242600028</t>
  </si>
  <si>
    <t>123060 город Москва улица Народного Ополчения дом 47 корпус 1 строение 1  этаж 1</t>
  </si>
  <si>
    <t>ЮЛ770100242600029</t>
  </si>
  <si>
    <t>ЮЛ770100242600034</t>
  </si>
  <si>
    <t>125212 город Москва шоссе Ленинградское дом 58 строение 26  этаж 1, часть помещения I, часть комнаты № 48</t>
  </si>
  <si>
    <t>ЮЛ770100242600036</t>
  </si>
  <si>
    <t>ЮЛ770100242600038</t>
  </si>
  <si>
    <t>ЮЛ770100242600041</t>
  </si>
  <si>
    <t>108851 город Щербинка улица Пушкинская дом 2Б</t>
  </si>
  <si>
    <t>ЮЛ770100242600042</t>
  </si>
  <si>
    <t>ЮЛ770100242600043</t>
  </si>
  <si>
    <t>111024 город Москва улица Авиамоторная дом 47</t>
  </si>
  <si>
    <t>ЮЛ770100242600044</t>
  </si>
  <si>
    <t>111673 город Москва улица Новокосинская дом 19   помещение 1/1</t>
  </si>
  <si>
    <t>ЮЛ770100242600045</t>
  </si>
  <si>
    <t>109443 город Москва проспект Волгоградский дом 84 корпус 1  этаж 1, НП4А</t>
  </si>
  <si>
    <t>ЮЛ770100242600048</t>
  </si>
  <si>
    <t>ЮЛ770100242600049</t>
  </si>
  <si>
    <t>107061 город Москва улица Большая Черкизовская дом 3 корпус 1  этаж 1</t>
  </si>
  <si>
    <t>ЮЛ770100242600050</t>
  </si>
  <si>
    <t>ЮЛ770100242600051</t>
  </si>
  <si>
    <t>ЮЛ770100242600052</t>
  </si>
  <si>
    <t>ЮЛ770100242600054</t>
  </si>
  <si>
    <t>ЮЛ770100242600055</t>
  </si>
  <si>
    <t>127591 город Москва улица Дубнинская дом 52 строение 2  торговое место №603</t>
  </si>
  <si>
    <t>ЮЛ770100242600057</t>
  </si>
  <si>
    <t>ЮЛ770100242600059</t>
  </si>
  <si>
    <t>111395 город Москва улица Вешняковская дом 22А</t>
  </si>
  <si>
    <t>ЮЛ770100242600060</t>
  </si>
  <si>
    <t>121552 город Москва улица Ярцевская дом 32   часть подвала, ½ части №2, части №3, 9, 10, 11, 12 помещения № V.</t>
  </si>
  <si>
    <t>ООО "ЛОМБАРД А01"</t>
  </si>
  <si>
    <t>9731074460</t>
  </si>
  <si>
    <t>ЮЛ7701004038</t>
  </si>
  <si>
    <t>ЮЛ770100403800000</t>
  </si>
  <si>
    <t>121357 город Москва улица Верейская Дом 29 строение 33  часть комнаты 20</t>
  </si>
  <si>
    <t>ООО "РУССКИЙ АНТУРАЖ"</t>
  </si>
  <si>
    <t>9731090550</t>
  </si>
  <si>
    <t>ЮЛ7701031883</t>
  </si>
  <si>
    <t>ЮЛ770103188300000</t>
  </si>
  <si>
    <t>ООО "АФ"</t>
  </si>
  <si>
    <t>9731125146</t>
  </si>
  <si>
    <t>ЮЛ7701039564</t>
  </si>
  <si>
    <t>ЮЛ770103956400000</t>
  </si>
  <si>
    <t>121596 Москва Горбунова 2 3  246</t>
  </si>
  <si>
    <t>ООО "СОЗДАВАЯ СВЯЗЬ"</t>
  </si>
  <si>
    <t>9731159378</t>
  </si>
  <si>
    <t>ЮЛ7701041072</t>
  </si>
  <si>
    <t>ЮЛ770104107200000</t>
  </si>
  <si>
    <t>124460 город Зеленоград пр-кт Генерала Алексеева д. 42 стр. 1  помещ. 1/1</t>
  </si>
  <si>
    <t>ООО "ИМАДЖИНЕ"</t>
  </si>
  <si>
    <t>9734014356</t>
  </si>
  <si>
    <t>ЮЛ7701039808</t>
  </si>
  <si>
    <t>ЮЛ770103980800000</t>
  </si>
  <si>
    <t>123458 город Москва улица Маршала Прошлякова дом 30   помещение 1/3/1, 5 (Пятый) этаж</t>
  </si>
  <si>
    <t>ЮЛ770104000500000</t>
  </si>
  <si>
    <t>107031 город Москва улица Кузнецкий Мост дом 7   1 (первый) этаж</t>
  </si>
  <si>
    <t>ЮЛ770104000500001</t>
  </si>
  <si>
    <t>125368 город Москва улица Дубравная дом 34/29   помещение II, комната 44, часть комнаты 43, часть комнаты 148, 1 этаж</t>
  </si>
  <si>
    <t>ЮЛ770104000500002</t>
  </si>
  <si>
    <t>107207 город Москва шоссе Щёлковское дом 75   помещение №V, комната №3, 1 (первый) этаж</t>
  </si>
  <si>
    <t>ЮЛ770104000500011</t>
  </si>
  <si>
    <t>123098 город Москва улица Рогова дом 12   помещение 2П</t>
  </si>
  <si>
    <t>ООО "ЭЛЛИ-С"</t>
  </si>
  <si>
    <t>9734016850</t>
  </si>
  <si>
    <t>ЮЛ7701040338</t>
  </si>
  <si>
    <t>ЮЛ770104033800000</t>
  </si>
  <si>
    <t>Московская область</t>
  </si>
  <si>
    <t>143300 Московская область город Наро-Фоминск площадь Свободы дом 3</t>
  </si>
  <si>
    <t>ЮЛ020603117700063</t>
  </si>
  <si>
    <t>143404 Московская область город Красногорск улица Ленина дом 35А</t>
  </si>
  <si>
    <t>ЮЛ020603117700067</t>
  </si>
  <si>
    <t>141000 Московская область город Мытищи Альтуфьевское щоссе, 1-й км. владение 3 строение 1</t>
  </si>
  <si>
    <t>ЮЛ020603117700081</t>
  </si>
  <si>
    <t>143402 Московская область город Красногорск улица Большая Воскресенская дом 1</t>
  </si>
  <si>
    <t>ЮЛ020603117700091</t>
  </si>
  <si>
    <t>141014 Московская область город Мытищи улица Селезнева дом 33</t>
  </si>
  <si>
    <t>ЮЛ020603117700102</t>
  </si>
  <si>
    <t>142350 Московская область город Чехов улица Первомайская дом 33 этаж 2</t>
  </si>
  <si>
    <t>ИП Штанько Татьяна Сергеевна</t>
  </si>
  <si>
    <t>30402930848</t>
  </si>
  <si>
    <t>ИП5001017250</t>
  </si>
  <si>
    <t>ИП500101725000000</t>
  </si>
  <si>
    <t>142033 Московская область деревня Житнево, Территория Русь-2  Земельный участок 13   офис 2</t>
  </si>
  <si>
    <t>ИП Тарнавский Анатолий Андреевич</t>
  </si>
  <si>
    <t>143400365200</t>
  </si>
  <si>
    <t>ИП7701036799</t>
  </si>
  <si>
    <t>ИП770103679900000</t>
  </si>
  <si>
    <t>105064 Московская область Москва Земляной Вал 36 2</t>
  </si>
  <si>
    <t>ЮЛ140900343400007</t>
  </si>
  <si>
    <t>141401 Московская область город Химки улица Озерная дом 2   056</t>
  </si>
  <si>
    <t>ИП Соловьева Лилия Ринаровна</t>
  </si>
  <si>
    <t>161433333330</t>
  </si>
  <si>
    <t>ИП1606039681</t>
  </si>
  <si>
    <t>ИП160603968100000</t>
  </si>
  <si>
    <t>140055 Московская область Котельники Покровский проезд дом 5   506-1-KSK-10</t>
  </si>
  <si>
    <t>ИП Гайнутдинов Шамиль Альбертович</t>
  </si>
  <si>
    <t>166100383091</t>
  </si>
  <si>
    <t>ИП7701008679</t>
  </si>
  <si>
    <t>ИП770100867900000</t>
  </si>
  <si>
    <t>143082 Московская область деревня Жуковка шоссе Рублево-Успенское дом 186</t>
  </si>
  <si>
    <t>ИП160603156900013</t>
  </si>
  <si>
    <t>140400 Московская область город Коломна улица Зайцева дом 52   помещение 1,4</t>
  </si>
  <si>
    <t>ИП610400007100006</t>
  </si>
  <si>
    <t>140700 Московская область город Шатура бульвар Мира дом 1</t>
  </si>
  <si>
    <t>ИП610400007100017</t>
  </si>
  <si>
    <t>143402 Московская область город Красногорск проезд Железнодорожный дом 7   помещение 25, комната 1</t>
  </si>
  <si>
    <t>ИП610400007100022</t>
  </si>
  <si>
    <t>143302 Московская область город Наро-Фоминск шоссе Кубинское дом 8</t>
  </si>
  <si>
    <t>ИП610400007100023</t>
  </si>
  <si>
    <t>142400 Московская область город Ногинск улица Трудовая дом 8</t>
  </si>
  <si>
    <t>ИП610400007100026</t>
  </si>
  <si>
    <t>140301 Московская область город Егорьевск улица Советская дом 133</t>
  </si>
  <si>
    <t>ИП610400007100029</t>
  </si>
  <si>
    <t>141607 Московская область город Клин улица Карла Маркса дом 2А   помещение 4</t>
  </si>
  <si>
    <t>ИП610400007100039</t>
  </si>
  <si>
    <t>141070 Московская область город Королёв улица Карла Маркса дом 3Б   павильон № 1</t>
  </si>
  <si>
    <t>ЮЛ230403107400005</t>
  </si>
  <si>
    <t>143103 Московская область город Руза улица Федеративная дом 7А   помещение №10</t>
  </si>
  <si>
    <t>ИП Еремин Александр Владимирович</t>
  </si>
  <si>
    <t>231304558185</t>
  </si>
  <si>
    <t>ИП5001038765</t>
  </si>
  <si>
    <t>ИП500103876500000</t>
  </si>
  <si>
    <t>143904 Московская область город Балашиха улица Советская дом 12   помещение 41н</t>
  </si>
  <si>
    <t>ЮЛ230403149800009</t>
  </si>
  <si>
    <t>141070 Московская область город Королёв улица Калинина дом 2   помещение III</t>
  </si>
  <si>
    <t>ЮЛ230403149800021</t>
  </si>
  <si>
    <t>143401 Московская область город Красногорск бульвар Подмосковный дом 8   помещение 1</t>
  </si>
  <si>
    <t>ЮЛ240800402400002</t>
  </si>
  <si>
    <t>140005 Московская область город Люберцы улица Смирновская дом 5   помещение 1</t>
  </si>
  <si>
    <t>ЮЛ240800402400010</t>
  </si>
  <si>
    <t>143402 Московская область город Красногорск улица Железнодорожная дом 1 корпус 3  помещение 1</t>
  </si>
  <si>
    <t>ЮЛ240800402400017</t>
  </si>
  <si>
    <t>141980 Московская область город Дубна проспект Боголюбова дом 26  литера Г1 этаж 3 помещение 140 (209)</t>
  </si>
  <si>
    <t>ИП Филиппов Юрий Евгеньевич</t>
  </si>
  <si>
    <t>246401696475</t>
  </si>
  <si>
    <t>ИП7701006665</t>
  </si>
  <si>
    <t>ИП770100666500000</t>
  </si>
  <si>
    <t>142701 Московская область ГП Горки ленинские, деревня Сапроново квартал Северный дом 2</t>
  </si>
  <si>
    <t>ИП Телятников Роман Юрьевич</t>
  </si>
  <si>
    <t>246501201045</t>
  </si>
  <si>
    <t>ИП2408001866</t>
  </si>
  <si>
    <t>ИП240800186600003</t>
  </si>
  <si>
    <t>140404 Московская область город Коломна улица Гаврилова дом 4  литер/этаж Л/2 помещение/комната 1/126</t>
  </si>
  <si>
    <t>ИП Уласевич Наталья Эдуардовна</t>
  </si>
  <si>
    <t>253702517875</t>
  </si>
  <si>
    <t>ИП5001003022</t>
  </si>
  <si>
    <t>ИП500100302200000</t>
  </si>
  <si>
    <t>140501 Московская область город Луховицы улица Гагарина помещение 18   помещение К06</t>
  </si>
  <si>
    <t>ИП500100302200001</t>
  </si>
  <si>
    <t>140060 Московская область рабочий поселок Октябрьский улица Ленина дом 47   помещение 2-050 (часть) расположенное на 2 (втором) этаже</t>
  </si>
  <si>
    <t>ИП500100302200002</t>
  </si>
  <si>
    <t>140400 Московская область город Коломна улица Октябрьской революции дом 198А   помещение 6</t>
  </si>
  <si>
    <t>ИП500100302200004</t>
  </si>
  <si>
    <t>141100 Московская область город Химки тер Международный Аэропорт Шереметьево владение 37   помещение 03.04.078</t>
  </si>
  <si>
    <t>ЮЛ260501309700003</t>
  </si>
  <si>
    <t>144006 Московская область город Электросталь проспект Ленина дом 010, 1 этаж, часть нежилого помещения № 169</t>
  </si>
  <si>
    <t>ИП Кулеш Татьяна Владимировна</t>
  </si>
  <si>
    <t>323400915440</t>
  </si>
  <si>
    <t>ИП7701008067</t>
  </si>
  <si>
    <t>ИП770100806700000</t>
  </si>
  <si>
    <t>141002 Московская область город Мытищи проезд Шараповский дом 11</t>
  </si>
  <si>
    <t>ИП340400993200011</t>
  </si>
  <si>
    <t>141014 Московская область город Мытищи улица Веры Волошиной дом 14   офис 101</t>
  </si>
  <si>
    <t>ИП340400993200012</t>
  </si>
  <si>
    <t>141018 Московская область город Мытищи улица Лётная дом 21/2</t>
  </si>
  <si>
    <t>ИП340400993200013</t>
  </si>
  <si>
    <t>141021 Московская область город Мытищи улица Сукромка дом 20</t>
  </si>
  <si>
    <t>ИП340400993200014</t>
  </si>
  <si>
    <t>142000 Московская область город Домодедово улица Корнеева дом 6А</t>
  </si>
  <si>
    <t>ИП340400993200020</t>
  </si>
  <si>
    <t>142301 Московская область город Чехов улица Чехова владение 2</t>
  </si>
  <si>
    <t>ИП340400993200021</t>
  </si>
  <si>
    <t>142007 Московская область город Домодедово проспект академика Туполева дом 2</t>
  </si>
  <si>
    <t>ИП340400993200025</t>
  </si>
  <si>
    <t>141008 Московская область город Мытищи улица Матросова дом 8   офис 15</t>
  </si>
  <si>
    <t>ИП Когур Анна Сергеевна</t>
  </si>
  <si>
    <t>343510866068</t>
  </si>
  <si>
    <t>ИП5001040763</t>
  </si>
  <si>
    <t>ИП500104076300000</t>
  </si>
  <si>
    <t>144012 Московская область город Электросталь улица Победы дом 3 корпус 1  помещение 42</t>
  </si>
  <si>
    <t>ИП Шелепенко Таисия Юрьевна</t>
  </si>
  <si>
    <t>343900465801</t>
  </si>
  <si>
    <t>ИП5001005107</t>
  </si>
  <si>
    <t>ИП500100510700000</t>
  </si>
  <si>
    <t>121059 Московская область город Москва Площадь Киевского вокзала  дом 2 помещение 1  комната 92 В</t>
  </si>
  <si>
    <t>ИП Егозарьян Анжелика Артуровна</t>
  </si>
  <si>
    <t>344346904410</t>
  </si>
  <si>
    <t>ИП3404040674</t>
  </si>
  <si>
    <t>ИП340404067400000</t>
  </si>
  <si>
    <t>141006 Московская область город Мытищи проезд Шараповский дом 11</t>
  </si>
  <si>
    <t>ЮЛ340400964300005</t>
  </si>
  <si>
    <t>141014 Московская область город Мытищи улица Веры Волошиной дом 14   офис 1</t>
  </si>
  <si>
    <t>ЮЛ340400964300006</t>
  </si>
  <si>
    <t>141020 Московская область город Мытищи улица Лётная дом 21/2</t>
  </si>
  <si>
    <t>ЮЛ340400964300007</t>
  </si>
  <si>
    <t>ЮЛ340400964300012</t>
  </si>
  <si>
    <t>ЮЛ340400964300021</t>
  </si>
  <si>
    <t>ЮЛ340400964300022</t>
  </si>
  <si>
    <t>ЮЛ340400964300026</t>
  </si>
  <si>
    <t>143090 Московская область город Краснознаменск улица Молодежная  дом 2/1   1 этаж, часть помещения 34,201 входящее в состав помещения 007</t>
  </si>
  <si>
    <t>ИП370200427400008</t>
  </si>
  <si>
    <t>140200 Московская область город Воскресенск площадь Ленина дом 5   нежилые помещения №23,24,25,26</t>
  </si>
  <si>
    <t>ИП500100420800013</t>
  </si>
  <si>
    <t>140080 Московская область город Лыткарино улица Парковая  строение 2  нежилое помещение №1.20</t>
  </si>
  <si>
    <t>ИП500100420800014</t>
  </si>
  <si>
    <t>141075 Московская область Город Королёв Проспект Космонавтов дом 20 А   этаж 3 помещение № 310</t>
  </si>
  <si>
    <t>ИП Шаламов Николай Михайлович</t>
  </si>
  <si>
    <t>370306358357</t>
  </si>
  <si>
    <t>ИП5001006664</t>
  </si>
  <si>
    <t>ИП500100666400000</t>
  </si>
  <si>
    <t>141501 Московская область город Химки проспект Мельникова дом 2Б   помещение 001/1-5</t>
  </si>
  <si>
    <t>3814039644</t>
  </si>
  <si>
    <t>ЮЛ3808017163</t>
  </si>
  <si>
    <t>ЮЛ380801716300000</t>
  </si>
  <si>
    <t>141401 Московская область город Химки проезд Транспортный дом 3   помещение №5</t>
  </si>
  <si>
    <t>ЮЛ380801716300001</t>
  </si>
  <si>
    <t>125212 Московская область г.Москва Головинское шоссе д.5 корп.1  Этаж: 1 помещение 1201</t>
  </si>
  <si>
    <t>ИП390303698700002</t>
  </si>
  <si>
    <t>143003 Московская область город Одинцово улица Маршала Бирюзова дом 13   28К</t>
  </si>
  <si>
    <t>ИП Сычев Олег Эдуардович</t>
  </si>
  <si>
    <t>402571065800</t>
  </si>
  <si>
    <t>ИП5001039166</t>
  </si>
  <si>
    <t>ИП500103916600000</t>
  </si>
  <si>
    <t>141002 Московская область город Мытищи улица Колпакова дом 2 корпус 15 - помещение 2/1</t>
  </si>
  <si>
    <t>ЮЛ500100602500000</t>
  </si>
  <si>
    <t>143442 Московская область город Красногорск 7-й (автодорога Пятницкое шоссе территория) километр - владение 2 - нежилое помещение №47</t>
  </si>
  <si>
    <t>ЮЛ500100602500001</t>
  </si>
  <si>
    <t>141006 Московская область город Мытищи проезд Шараповский владение 2 - - помещение 1А18</t>
  </si>
  <si>
    <t>ЮЛ500100602500006</t>
  </si>
  <si>
    <t>142300 Московская область город Чехов улица Московская владение 96 - - помещение №2</t>
  </si>
  <si>
    <t>ЮЛ500100602500008</t>
  </si>
  <si>
    <t>142000 Московская область город Домодедово улица Каширское шоссе (Северный микрорайон) - строение 3а Литера 1 Б помещение №23,№24</t>
  </si>
  <si>
    <t>ЮЛ500100602500009</t>
  </si>
  <si>
    <t>140408 Московская область город Коломна улица Октябрьской революции дом 362   помещение № А10</t>
  </si>
  <si>
    <t>ЮЛ500100602500041</t>
  </si>
  <si>
    <t>140080 Московская область город Лыткарино улица Парковая строение 2   помещение 1.0.7., 1 этаж</t>
  </si>
  <si>
    <t>ЮЛ500100602500050</t>
  </si>
  <si>
    <t>143003 Московская область город Одинцово улица Северная дом 35   помещение №37(е) офис №52</t>
  </si>
  <si>
    <t>ИП Зима Олег Феликсович</t>
  </si>
  <si>
    <t>440129020137</t>
  </si>
  <si>
    <t>ИП7701036781</t>
  </si>
  <si>
    <t>ИП770103678100000</t>
  </si>
  <si>
    <t>141370 Московская область город Хотьково улица Комякинская домовладение 33</t>
  </si>
  <si>
    <t>ИП Комаров Игорь Олегович</t>
  </si>
  <si>
    <t>440704055891</t>
  </si>
  <si>
    <t>ИП4402040895</t>
  </si>
  <si>
    <t>ИП440204089500000</t>
  </si>
  <si>
    <t>142702 Московская область рабочий поселок Бутово территория Жилой комплекс "Бутово-Парк" дом 28   нежилое помещение 1</t>
  </si>
  <si>
    <t>ИП Карабут Лина Витальевна</t>
  </si>
  <si>
    <t>463404928078</t>
  </si>
  <si>
    <t>ИП5001002254</t>
  </si>
  <si>
    <t>ИП500100225400000</t>
  </si>
  <si>
    <t>140408 Московская область город Коломна улица Октябрьской революции дом 362   помещение №18, комн.А2</t>
  </si>
  <si>
    <t>ЮЛ480100215000006</t>
  </si>
  <si>
    <t>142450 Московская область город Старая Купавна улица Кирова дом 19   этаж 2</t>
  </si>
  <si>
    <t>ИП Любовшина Марина Евгеньевна</t>
  </si>
  <si>
    <t>500100037181</t>
  </si>
  <si>
    <t>ИП5001012872</t>
  </si>
  <si>
    <t>ИП500101287200000</t>
  </si>
  <si>
    <t>143980 Московская область город Балашиха Улица Советская Дом 5   ТЦ 1 помещение №3</t>
  </si>
  <si>
    <t>ИП Марков Александр Анатольевич</t>
  </si>
  <si>
    <t>500101437545</t>
  </si>
  <si>
    <t>ИП5001003605</t>
  </si>
  <si>
    <t>ИП500100360500001</t>
  </si>
  <si>
    <t>143900 Московская область город Балашиха Улица Фадеева Дом 9</t>
  </si>
  <si>
    <t>ИП500100360500002</t>
  </si>
  <si>
    <t>143900 Московская область город Балашиха Микрорайон Дзержинского Дом 39</t>
  </si>
  <si>
    <t>ИП500100360500003</t>
  </si>
  <si>
    <t>143964 Московская область город Реутов Улица Дзержинского Дом 11В  Литер В</t>
  </si>
  <si>
    <t>ИП500100360500004</t>
  </si>
  <si>
    <t>141730 Московская область город Лобня Улица Ленина Дом 3А</t>
  </si>
  <si>
    <t>ИП500100360500005</t>
  </si>
  <si>
    <t>143904 Московская область город Балашиха Улица Советская Дом 11А Корпус 2</t>
  </si>
  <si>
    <t>ИП500100360500006</t>
  </si>
  <si>
    <t>143912 Московская область город Балашиха Шоссе Энтузиастов Дом 32   Помещение №2/Г</t>
  </si>
  <si>
    <t>ИП500100360500007</t>
  </si>
  <si>
    <t>143909 Московская область город Балашиха Улица Звездная Дом 8А   Помещение №105/и</t>
  </si>
  <si>
    <t>ИП500100360500008</t>
  </si>
  <si>
    <t>143909 Московская область город Балашиха Улица Свердлова Дом 34   Торговый павильон М- (4)</t>
  </si>
  <si>
    <t>ИП500100360500009</t>
  </si>
  <si>
    <t>141402 Московская область город Химки улица Московская дом 13/1</t>
  </si>
  <si>
    <t>ООО ФИРМА "МОБЮ"</t>
  </si>
  <si>
    <t>5001024532</t>
  </si>
  <si>
    <t>ЮЛ5001015633</t>
  </si>
  <si>
    <t>ЮЛ500101563300000</t>
  </si>
  <si>
    <t>143904 Московская область город Балашиха улица Крупской дом 8А  Литера Б Помещение 1</t>
  </si>
  <si>
    <t>ООО КОМПАНИЯ "ВЗАИМНЫЙ КРЕДИТЪ"</t>
  </si>
  <si>
    <t>5001040492</t>
  </si>
  <si>
    <t>ЮЛ5001000298</t>
  </si>
  <si>
    <t>ЮЛ500100029800000</t>
  </si>
  <si>
    <t>143965 Московская область городской округ Реутов Юбилейный проспект 40   помещение № 042</t>
  </si>
  <si>
    <t>ЮЛ500100408700000</t>
  </si>
  <si>
    <t>143965 Московская область город Реутов проспект Юбилейный дом 40   помещение 042</t>
  </si>
  <si>
    <t>ООО "СЕРЕБРЯНЫЙ СЛОНЪ"</t>
  </si>
  <si>
    <t>5001069124</t>
  </si>
  <si>
    <t>ЮЛ5001004187</t>
  </si>
  <si>
    <t>ЮЛ500100418700000</t>
  </si>
  <si>
    <t>143987 Московская область город Балашиха улица Пионерская дом 5 корпус 2  помещение III помещение 3</t>
  </si>
  <si>
    <t>ИП500100400700000</t>
  </si>
  <si>
    <t>143910 Московская область город Балашиха улица Свердлова дом 14/6   помещение 2А</t>
  </si>
  <si>
    <t>ИП500100400700002</t>
  </si>
  <si>
    <t>141506 Московская область город Солнечногорск улица Банковская дом 4</t>
  </si>
  <si>
    <t>ИП500100400700003</t>
  </si>
  <si>
    <t>141508 Московская область город Солнечногорск улица им Тельнова домовладение 3/2   помещение 77</t>
  </si>
  <si>
    <t>ИП500100400700005</t>
  </si>
  <si>
    <t>143903 Московская область город Балашиха улица Октябрьская дом 2   помещение 2</t>
  </si>
  <si>
    <t>ООО "Я ЛОМБАРД"</t>
  </si>
  <si>
    <t>5001109930</t>
  </si>
  <si>
    <t>ЮЛ5001006043</t>
  </si>
  <si>
    <t>ЮЛ500100604300000</t>
  </si>
  <si>
    <t>143911 Московская область город Балашиха Микрорайон 1Мая  дом 4</t>
  </si>
  <si>
    <t>ЮЛ500100604300002</t>
  </si>
  <si>
    <t>143980 Московская область город Балашиха улица Советская дом 9</t>
  </si>
  <si>
    <t>ИП Кухарев Евгений Юрьевич</t>
  </si>
  <si>
    <t>500112622250</t>
  </si>
  <si>
    <t>ИП5001014338</t>
  </si>
  <si>
    <t>ИП500101433800000</t>
  </si>
  <si>
    <t>140074 Московская область город Люберцы Проспект Комсомольский Дом 18/1   Помещение 23</t>
  </si>
  <si>
    <t>ИП500100355200002</t>
  </si>
  <si>
    <t>142100 Московская область город Подольск Улица Советская Дом 23   Помещение 172</t>
  </si>
  <si>
    <t>ИП500100355200004</t>
  </si>
  <si>
    <t>142119 Московская область город Подольск Улица Юбилейная  Дом 32Б   Помещение 28</t>
  </si>
  <si>
    <t>ИП500100355200005</t>
  </si>
  <si>
    <t>141207 Московская область город Пушкино Московский проспект Дом 1   Квартира 28</t>
  </si>
  <si>
    <t>ИП500100355200006</t>
  </si>
  <si>
    <t>142000 Московская область город Домодедово микрорайон Центральный, улица Корнеева Дом 1</t>
  </si>
  <si>
    <t>ИП500100355200007</t>
  </si>
  <si>
    <t>141075 Московская область город Королёв Улица Исаева Дом 2/30   Помещение 4</t>
  </si>
  <si>
    <t>ИП500100355200008</t>
  </si>
  <si>
    <t>142400 Московская область город Ногинск Улица Рогожская Дом 67</t>
  </si>
  <si>
    <t>ИП500100355200013</t>
  </si>
  <si>
    <t>142300 Московская область город Чехов улица Московская владение 96    этаж 2, помещение 123</t>
  </si>
  <si>
    <t>ИП Мясникова Кристина Юрьевна</t>
  </si>
  <si>
    <t>500121096212</t>
  </si>
  <si>
    <t>ИП5001016718</t>
  </si>
  <si>
    <t>ИП500101671800000</t>
  </si>
  <si>
    <t>140170 Московская область город Бронницы переулок Комсомольский дом 53   помещение 2</t>
  </si>
  <si>
    <t>ЮЛ500100649400000</t>
  </si>
  <si>
    <t>142715 Московская область город Видное километр МКАД 24 здание 1   этаж 1, помещение 62/2, помещение № 1-281 (секция № 1/1/1/281).</t>
  </si>
  <si>
    <t>ЮЛ500100649400005</t>
  </si>
  <si>
    <t>143968 Московская область город Реутов улица МКАД 2 км дом 2  литера б этаж 1, помещение 1201, помещение 001.</t>
  </si>
  <si>
    <t>ЮЛ500100649400012</t>
  </si>
  <si>
    <t>140408 Московская область город Коломна улица Октябрьской революции дом 362   этаж 1, помещение № 111, 112, комната № 12.</t>
  </si>
  <si>
    <t>ЮЛ500100649400014</t>
  </si>
  <si>
    <t>143965 Московская область город Реутов улица Октября владение 10   этаж 1, секция А7б</t>
  </si>
  <si>
    <t>ЮЛ500100649400015</t>
  </si>
  <si>
    <t>140055 Московская область город Котельники  дом 8 строение 5  помещение 24</t>
  </si>
  <si>
    <t>ЮЛ500100649400016</t>
  </si>
  <si>
    <t>143025 Московская область город Одинцово проезд Хорошевский дом 14   этаж 2, помещение №2-075 - секция № 3/2/1/075.</t>
  </si>
  <si>
    <t>ЮЛ500100649400026</t>
  </si>
  <si>
    <t>143401 Московская область город Красногорск улица Международная дом 12   этаж 1, помещение № 1/262, 1/264 - секция № 2\1\1\262</t>
  </si>
  <si>
    <t>ЮЛ500100649400027</t>
  </si>
  <si>
    <t>143582 Московская область город Истра улица Центральная здание 33 Торговый павильон № 1  помещение инвентарный номер 00-000001.</t>
  </si>
  <si>
    <t>ЮЛ500100649400029</t>
  </si>
  <si>
    <t>141006 Московская область город Мытищи проезд Шараповский владение 2   этаж 1, торговая площадь №К1А1.</t>
  </si>
  <si>
    <t>ЮЛ500100649400035</t>
  </si>
  <si>
    <t>141580 Московская область город Химки/деревня Черная Грязь улица Торгово-Промышленная строение 6Б   этаж 1, помещение 69 (М14)</t>
  </si>
  <si>
    <t>ЮЛ500100649400045</t>
  </si>
  <si>
    <t>141501 Московская область город Химки микрорайон ИКЕА  корпус 2  помещение 8010</t>
  </si>
  <si>
    <t>ЮЛ500100649400049</t>
  </si>
  <si>
    <t>141008 Московская область город Мытищи улица Мира строение 51   этаж 1, помещение № 3К-39.</t>
  </si>
  <si>
    <t>ЮЛ500100649400058</t>
  </si>
  <si>
    <t>141011 Московская область город Мытищи улица Коммунистическая дом 1   этаж 1, комната № 51.</t>
  </si>
  <si>
    <t>ЮЛ500100649400072</t>
  </si>
  <si>
    <t>140170 Московская область город Бронницы улица Советская дом 69   помещение 66</t>
  </si>
  <si>
    <t>ИП Созданова Маргарита Викторовна</t>
  </si>
  <si>
    <t>500201262754</t>
  </si>
  <si>
    <t>ИП5001037860</t>
  </si>
  <si>
    <t>ИП500103786000000</t>
  </si>
  <si>
    <t>5002077431</t>
  </si>
  <si>
    <t>ЮЛ5001006503</t>
  </si>
  <si>
    <t>ЮЛ500100650300000</t>
  </si>
  <si>
    <t>140170 Московская область город Бронницы переулок Комсомольский дом 1</t>
  </si>
  <si>
    <t>ЮЛ500100650300001</t>
  </si>
  <si>
    <t>143600 Московская область город Волоколамск улица площадь Октябрьская дом 2</t>
  </si>
  <si>
    <t>ИП Сметанин Дмитрий Владимирович</t>
  </si>
  <si>
    <t>500400293757</t>
  </si>
  <si>
    <t>ИП5001012930</t>
  </si>
  <si>
    <t>ИП500101293000001</t>
  </si>
  <si>
    <t>142100 Московская область город Подольск площадь Советская дом 3   Помещение 1, комната №17</t>
  </si>
  <si>
    <t>ИП Григорян Артур Паруйрович</t>
  </si>
  <si>
    <t>500403192757</t>
  </si>
  <si>
    <t>ИП5001009434</t>
  </si>
  <si>
    <t>ИП500100943400000</t>
  </si>
  <si>
    <t>140600 Московская область город Зарайск улица К.Маркса дом 25</t>
  </si>
  <si>
    <t>ООО "АРДЭН"</t>
  </si>
  <si>
    <t>5005034429</t>
  </si>
  <si>
    <t>ЮЛ5001010846</t>
  </si>
  <si>
    <t>ЮЛ500101084600000</t>
  </si>
  <si>
    <t>140250 Московская область город Белоозёрский улица Российская здание 2а</t>
  </si>
  <si>
    <t>ИП Созданов Кирилл Борисович</t>
  </si>
  <si>
    <t>500508371496</t>
  </si>
  <si>
    <t>ИП5001004654</t>
  </si>
  <si>
    <t>ИП500100465400000</t>
  </si>
  <si>
    <t>143090 Московская область город Краснознаменск улица Связистов дом 7</t>
  </si>
  <si>
    <t>ИП Туликов Виктор Романович</t>
  </si>
  <si>
    <t>500600021567</t>
  </si>
  <si>
    <t>ИП5001004634</t>
  </si>
  <si>
    <t>ИП500100463400000</t>
  </si>
  <si>
    <t>141800 Московская область город Дмитров площадь Советская дом 2 этаж цокольный  часть комнат 8,10,11,16  комнаты 12,13,14,15</t>
  </si>
  <si>
    <t>ИП Кабир Мд Хумаюн</t>
  </si>
  <si>
    <t>500700659730</t>
  </si>
  <si>
    <t>ИП5001009484</t>
  </si>
  <si>
    <t>ИП500100948400000</t>
  </si>
  <si>
    <t>141800 Московская область город Дмитров Улица Профессиональная дом 5   22а, 22б.</t>
  </si>
  <si>
    <t>ИП Сергеев Николай Анатольевич</t>
  </si>
  <si>
    <t>500700753613</t>
  </si>
  <si>
    <t>ИП5001007061</t>
  </si>
  <si>
    <t>ИП500100706100000</t>
  </si>
  <si>
    <t>141800 Московская область город Дмитров улица Загорская дом 36   этаж 1</t>
  </si>
  <si>
    <t>ИП Монахова Юлия Николаевна</t>
  </si>
  <si>
    <t>500702891873</t>
  </si>
  <si>
    <t>ИП5001004733</t>
  </si>
  <si>
    <t>ИП500100473300000</t>
  </si>
  <si>
    <t>141800 Московская область город Дмитров улица Загорская дом 24</t>
  </si>
  <si>
    <t>ИП Кольцова Лилия Валентиновна</t>
  </si>
  <si>
    <t>500705458033</t>
  </si>
  <si>
    <t>ИП5001000833</t>
  </si>
  <si>
    <t>ИП500100083300000</t>
  </si>
  <si>
    <t>141800 Московская область Город Дмитров Улица Профессиональная Дом 7   Офис №А37</t>
  </si>
  <si>
    <t>ИП Буканова Анжела Николаевна</t>
  </si>
  <si>
    <t>500712640195</t>
  </si>
  <si>
    <t>ИП5001005522</t>
  </si>
  <si>
    <t>ИП500100552200000</t>
  </si>
  <si>
    <t>141800 Московская область город Дмитров улица Загорская Дом 22   Помещение №6</t>
  </si>
  <si>
    <t>ИП500100552200001</t>
  </si>
  <si>
    <t>141800 Московская область город Дмитров площадь Советская дом 2   этаж 1, часть комнаты №31</t>
  </si>
  <si>
    <t>ИП Романов Григорий Денисович</t>
  </si>
  <si>
    <t>500719017198</t>
  </si>
  <si>
    <t>ИП5001005264</t>
  </si>
  <si>
    <t>ИП500100526400000</t>
  </si>
  <si>
    <t>141980 Московская область город Дубна улица Сахарова А.Д. дом 4   Помещение 2 этаж 3</t>
  </si>
  <si>
    <t>ООО "МАГИЯ"</t>
  </si>
  <si>
    <t>5010042714</t>
  </si>
  <si>
    <t>ЮЛ5001002013</t>
  </si>
  <si>
    <t>ЮЛ500100201300000</t>
  </si>
  <si>
    <t>141800 Московская область город Дмитров улица Профессиональная дом 7  литера Б4 литера Б4 помещение 199 этаж1</t>
  </si>
  <si>
    <t>ЮЛ500100201300002</t>
  </si>
  <si>
    <t>141900 Московская область город Талдом улица Советская дом 10  литера Б литера Б помещение № 40 этаж 1</t>
  </si>
  <si>
    <t>ЮЛ500100201300004</t>
  </si>
  <si>
    <t>141980 Московская область город Дубна проспект Боголюбова дом 19   этаж 1</t>
  </si>
  <si>
    <t>ЮЛ500100201300006</t>
  </si>
  <si>
    <t>142715 Московская область посёлок Совхоза имени Ленина ​МКАД 24 Километр Здание 1   помещение 62/2</t>
  </si>
  <si>
    <t>ИП500100445500033</t>
  </si>
  <si>
    <t>141552 Московская область рабочий поселок Ржавки  дом 20</t>
  </si>
  <si>
    <t>ИП500100445500042</t>
  </si>
  <si>
    <t>141501 Московская область город Химки микрорайон ИКЕА корпус 2   501KSK-122</t>
  </si>
  <si>
    <t>ИП500100445500063</t>
  </si>
  <si>
    <t>141402 Московская область город Химки проезд Набережный дом 24 корпус 1  помещение 110</t>
  </si>
  <si>
    <t>ИП Пономарев Игорь Юрьевич</t>
  </si>
  <si>
    <t>501005421110</t>
  </si>
  <si>
    <t>ИП5001033209</t>
  </si>
  <si>
    <t>ИП500103320900000</t>
  </si>
  <si>
    <t>143980 Московская область город Балашиха улица Октябрьская дом 33   помещение XXII-6,7</t>
  </si>
  <si>
    <t>ИП Ревкова Ирина Петровна</t>
  </si>
  <si>
    <t>501200916364</t>
  </si>
  <si>
    <t>ИП5001002496</t>
  </si>
  <si>
    <t>ИП500100249600000</t>
  </si>
  <si>
    <t>142184 Московская область город Подольск улица Симферопольская дом 35</t>
  </si>
  <si>
    <t>ИП Миносьянц Елена Юрьевна</t>
  </si>
  <si>
    <t>501207548127</t>
  </si>
  <si>
    <t>ИП5001003570</t>
  </si>
  <si>
    <t>ИП500100357000000</t>
  </si>
  <si>
    <t>143500 Московская область город Истра улица Щеголева дом 1   помещение 3</t>
  </si>
  <si>
    <t>ИП500100862700002</t>
  </si>
  <si>
    <t>140181 Московская область Жуковский Фрунзе 22   6</t>
  </si>
  <si>
    <t>ООО "СФЕРА-М"</t>
  </si>
  <si>
    <t>5013030308</t>
  </si>
  <si>
    <t>ЮЛ5001006520</t>
  </si>
  <si>
    <t>ЮЛ500100652000000</t>
  </si>
  <si>
    <t>140181 Московская область город Жуковский улица Фрунзе дом 22</t>
  </si>
  <si>
    <t>ИП Илюшкин Сергей Владимирович</t>
  </si>
  <si>
    <t>501303750664</t>
  </si>
  <si>
    <t>ИП5001035666</t>
  </si>
  <si>
    <t>ИП500103566600000</t>
  </si>
  <si>
    <t>141002 Московская область Город Мытищи Улица Кирпичная  Дом 3  Корпус 2  Помещение № 39 ,40,41,42,43.</t>
  </si>
  <si>
    <t>ООО "ТД "ЗОЛОТОЙ"</t>
  </si>
  <si>
    <t>5013042335</t>
  </si>
  <si>
    <t>ЮЛ5001001914</t>
  </si>
  <si>
    <t>ЮЛ500100191400000</t>
  </si>
  <si>
    <t>143006 Московская область город Одинцово улица Маковского Дом 2А</t>
  </si>
  <si>
    <t>ИП Любимова Таисия Сергеевна</t>
  </si>
  <si>
    <t>501304701758</t>
  </si>
  <si>
    <t>ИП5001037445</t>
  </si>
  <si>
    <t>ИП500103744500000</t>
  </si>
  <si>
    <t>140187 Московская область город Жуковский улица Гудкова дом 2А</t>
  </si>
  <si>
    <t>ИП Якушин Дмитрий Викторович</t>
  </si>
  <si>
    <t>501305805090</t>
  </si>
  <si>
    <t>ИП5001015884</t>
  </si>
  <si>
    <t>ИП500101588400000</t>
  </si>
  <si>
    <t>141205 Московская область город Пушкино шоссе Ярославское дом 149   помещение 22нп</t>
  </si>
  <si>
    <t>ИП Поздняков Сергей Анатольевич</t>
  </si>
  <si>
    <t>501602632718</t>
  </si>
  <si>
    <t>ИП5001038705</t>
  </si>
  <si>
    <t>ИП500103870500000</t>
  </si>
  <si>
    <t>143500 Московская область город Истра улица Ленина дом 13</t>
  </si>
  <si>
    <t>ИП Аракелян Анна Григорьевна</t>
  </si>
  <si>
    <t>501708454871</t>
  </si>
  <si>
    <t>ИП5001017571</t>
  </si>
  <si>
    <t>ИП500101757100000</t>
  </si>
  <si>
    <t>143581 Московская область город Истра, село Павловская Слобода улица Ленина здание 76/3   помещение 1/2</t>
  </si>
  <si>
    <t>ИП Бильдякова Дарья Дмитриевна</t>
  </si>
  <si>
    <t>501712255100</t>
  </si>
  <si>
    <t>ИП5001033190</t>
  </si>
  <si>
    <t>ИП500103319000000</t>
  </si>
  <si>
    <t>143005 Московская область город Одинцово улица Говорова дом 163 первый этаж</t>
  </si>
  <si>
    <t>ИП Мишакина Наталья Вадимовна</t>
  </si>
  <si>
    <t>501718600793</t>
  </si>
  <si>
    <t>ИП7701010543</t>
  </si>
  <si>
    <t>ИП770101054300000</t>
  </si>
  <si>
    <t>144005 Московская область город Электросталь проспект Ленина дом 010 первый этаж  помещение 163</t>
  </si>
  <si>
    <t>ИП770101054300001</t>
  </si>
  <si>
    <t>141060 Московская область город Королёв Проспект Космонавтов Дом 20А   Помещение 1-23, этаж 1</t>
  </si>
  <si>
    <t>ИП Михалёв Анатолий Иванович</t>
  </si>
  <si>
    <t>501802041790</t>
  </si>
  <si>
    <t>ИП5001006657</t>
  </si>
  <si>
    <t>ИП500100665700000</t>
  </si>
  <si>
    <t>141070 Московская область город Королёв улица Карла Маркса дом 18   комнаты №8,9,11 Помещение I</t>
  </si>
  <si>
    <t>ООО "ИНКОТЭК ЛОМБАРД"</t>
  </si>
  <si>
    <t>5018031520</t>
  </si>
  <si>
    <t>ЮЛ5001016675</t>
  </si>
  <si>
    <t>ЮЛ500101667500000</t>
  </si>
  <si>
    <t>141070 Московская область город Королёв улица Карла Маркса дом 18   пом. III</t>
  </si>
  <si>
    <t>ООО "УДАР-1"</t>
  </si>
  <si>
    <t>5018070230</t>
  </si>
  <si>
    <t>ЮЛ5001002281</t>
  </si>
  <si>
    <t>ЮЛ500100228100000</t>
  </si>
  <si>
    <t>140090 Московская область город Дзержинский площадь Дмитрия Донского дом 1А   павильон 35а</t>
  </si>
  <si>
    <t>ИП500100468300001</t>
  </si>
  <si>
    <t>141109 Московская область город Щёлково улица Талсинская дом 2   этаж 1, помещения 1а, 3, 4, 5, часть 6б, 16а</t>
  </si>
  <si>
    <t>ИП500100468300002</t>
  </si>
  <si>
    <t>144000 Московская область город Электросталь проспект Ленина дом 32/16   пом. №03, поз. 2, 4, 3, 8, 9</t>
  </si>
  <si>
    <t>ИП500100468300003</t>
  </si>
  <si>
    <t>141730 Московская область город Лобня улица Ленина дом 9  Литера А1 этаж 2</t>
  </si>
  <si>
    <t>ИП500100468300005</t>
  </si>
  <si>
    <t>141204 Московская область город Пушкино улица Вокзальная дом 1а   нежилое помещение из части помещения №6</t>
  </si>
  <si>
    <t>ИП500100468300006</t>
  </si>
  <si>
    <t>141280 Московская область город Ивантеевка улица Первомайская у дома 30/2  Литера Б</t>
  </si>
  <si>
    <t>ИП500100468300008</t>
  </si>
  <si>
    <t>142000 Московская область город Домодедово улица Корнеева дом 1 Д</t>
  </si>
  <si>
    <t>ИП500100468300009</t>
  </si>
  <si>
    <t>141707 Московская область город Долгопрудный проспект Пацаева дом 12Г</t>
  </si>
  <si>
    <t>ИП500100468300010</t>
  </si>
  <si>
    <t>141070 Московская область город Королёв улица Космонавта Стрекалова дом 4   павильон 3</t>
  </si>
  <si>
    <t>ИП500100468300011</t>
  </si>
  <si>
    <t>143090 Московская область город Краснознаменск улица Молодежная дом 2/1   нежилое помещение 018, этаж 1 Торгового центра "Звёздный"</t>
  </si>
  <si>
    <t>ИП500100468300012</t>
  </si>
  <si>
    <t>140000 Московская область город Люберцы улица Волковская дом 9   помещение 6, комнаты №1-3, комната 7, этаж 1</t>
  </si>
  <si>
    <t>ИП500100468300013</t>
  </si>
  <si>
    <t>143964 Московская область город Реутов улица Ленина дом 1А   помещение 001, павильоны №12Б, 13Б, этаж 1 Торгового центра "Карат"</t>
  </si>
  <si>
    <t>ИП500100468300014</t>
  </si>
  <si>
    <t>141310 Московская область город Сергиев Посад проспект Красной Армии дом 171   нежилое помещение №581, комнаты 1, 2, 3, 4, 5, 6, этаж 1</t>
  </si>
  <si>
    <t>ИП500100468300016</t>
  </si>
  <si>
    <t>142116 Московская область город Подольск проспект Революционный дом 13   этаж 1, часть нежилого помещения 4</t>
  </si>
  <si>
    <t>ИП500100468300019</t>
  </si>
  <si>
    <t>141060 Московская область город Королёв улица Железнодорожная дом 1/23А</t>
  </si>
  <si>
    <t>ИП500100468300020</t>
  </si>
  <si>
    <t>140090 Московская область город Дзержинский улица Лесная дом 4   помещения 1-7</t>
  </si>
  <si>
    <t>ИП500100468300023</t>
  </si>
  <si>
    <t>142701 Московская область город Видное улица Березовая дом 3б/2   павильон №2 в части помещения торгового объекта</t>
  </si>
  <si>
    <t>ИП500100468300025</t>
  </si>
  <si>
    <t>141506 Московская область город Солнечногорск улица Почтовая дом 17/8   помещение 1/8, часть помещения № 16</t>
  </si>
  <si>
    <t>ИП Даурова Марина Владимировна</t>
  </si>
  <si>
    <t>501809768024</t>
  </si>
  <si>
    <t>ИП7701003148</t>
  </si>
  <si>
    <t>ИП770100314800006</t>
  </si>
  <si>
    <t>141070 Московская область город Королёв проспект Космонавтов дом 34Б   2 этаж, помещение LXXXX</t>
  </si>
  <si>
    <t>ИП Задорожная Ирина Анатольевна</t>
  </si>
  <si>
    <t>501885239248</t>
  </si>
  <si>
    <t>ИП5001032793</t>
  </si>
  <si>
    <t>ИП500103279300000</t>
  </si>
  <si>
    <t>141606 Московская область город Клин улица Гагарина дом 37/1</t>
  </si>
  <si>
    <t>ЗАО "АЛМАЗ"</t>
  </si>
  <si>
    <t>5020037512</t>
  </si>
  <si>
    <t>ЮЛ5001007960</t>
  </si>
  <si>
    <t>ЮЛ500100796000000</t>
  </si>
  <si>
    <t>141607 Московская область город Клин улица Миши Балакирева дом 6/24</t>
  </si>
  <si>
    <t>ИП Ободникова Олеся Николаевна</t>
  </si>
  <si>
    <t>502004261723</t>
  </si>
  <si>
    <t>ИП5001002709</t>
  </si>
  <si>
    <t>ИП500100270900000</t>
  </si>
  <si>
    <t>143401 Московская область город Красногорск улица Международная дом 4</t>
  </si>
  <si>
    <t>ООО "БИКЬЮ"</t>
  </si>
  <si>
    <t>5024110516</t>
  </si>
  <si>
    <t>ЮЛ5001002829</t>
  </si>
  <si>
    <t>ЮЛ500100282900000</t>
  </si>
  <si>
    <t>143401 Московская область город Красногорск бульвар Подмосковный  Дом 1   помещение Х</t>
  </si>
  <si>
    <t>ООО "ЛОМБАРД "ЭКО ДЭЛЬ"</t>
  </si>
  <si>
    <t>5024128513</t>
  </si>
  <si>
    <t>ЮЛ5001008503</t>
  </si>
  <si>
    <t>ЮЛ500100850300000</t>
  </si>
  <si>
    <t>143432 Московская область рабочий поселок Нахабино улица Институтская дом 25  литера 1 1 этаж помещение 1</t>
  </si>
  <si>
    <t>ЮЛ500100850300001</t>
  </si>
  <si>
    <t>143430 Московская область рабочий поселок Нахабино улица Институтская дом 17   1 этаж, помещение 1-10А</t>
  </si>
  <si>
    <t>ЮЛ500100850300002</t>
  </si>
  <si>
    <t>143401 Московская область город Красногорск бульвар Ильинский дом 8   Помещ. 15, комн 1,2</t>
  </si>
  <si>
    <t>ООО "ЛОМБАРД-СФ"</t>
  </si>
  <si>
    <t>5024130992</t>
  </si>
  <si>
    <t>ЮЛ5001002173</t>
  </si>
  <si>
    <t>ЮЛ500100217300000</t>
  </si>
  <si>
    <t>143406 Московская область город Красногорск улица 50 лет Октября дом 2 строение 2  этаж 2</t>
  </si>
  <si>
    <t>ООО "ЛОМБАРД ЧЕРНАЯ ПАНТЕРА"</t>
  </si>
  <si>
    <t>5024213825</t>
  </si>
  <si>
    <t>ЮЛ5001016093</t>
  </si>
  <si>
    <t>ЮЛ500101609300000</t>
  </si>
  <si>
    <t>143402 Московская область город Красногорск проезд Строительный дом 3</t>
  </si>
  <si>
    <t>ЮЛ500101609300001</t>
  </si>
  <si>
    <t>143401 Московская область город Красногорск бульвар Подмосковный дом 2   помещение № IV</t>
  </si>
  <si>
    <t>ЮЛ500101609300002</t>
  </si>
  <si>
    <t>143408 Московская область город Красногорск улица Карбышева дом 17А</t>
  </si>
  <si>
    <t>ЮЛ500101609300003</t>
  </si>
  <si>
    <t>143430 Московская область рабочий поселок Нахабино улица Институтская дом 26</t>
  </si>
  <si>
    <t>ООО "ЛОМБАРД УДАЧНЫЙ"</t>
  </si>
  <si>
    <t>5024217883</t>
  </si>
  <si>
    <t>ЮЛ5001020074</t>
  </si>
  <si>
    <t>ЮЛ500102007400000</t>
  </si>
  <si>
    <t>143440 Московская область поселок городского типа Путилково территория Гринвуд  строение 25 литера 2Б, 4 этаж помещение 136</t>
  </si>
  <si>
    <t>ООО "СЭВЭНТИН"</t>
  </si>
  <si>
    <t>5024232144</t>
  </si>
  <si>
    <t>ЮЛ5001034137</t>
  </si>
  <si>
    <t>ЮЛ500103413700000</t>
  </si>
  <si>
    <t>141701 Московская область город Долгопрудный шоссе Московское дом 33   квартира 3</t>
  </si>
  <si>
    <t>ООО "ЛОМБАРД ГАРАНТИЯ"</t>
  </si>
  <si>
    <t>5024235988</t>
  </si>
  <si>
    <t>ЮЛ5001035900</t>
  </si>
  <si>
    <t>ЮЛ500103590000000</t>
  </si>
  <si>
    <t>141707 Московская область город Долгопрудный проспект Пацаева дом 13   этаж 1</t>
  </si>
  <si>
    <t>ЮЛ500103590000001</t>
  </si>
  <si>
    <t>143500 Московская область город Истра площадь Воскресенская здание 2А</t>
  </si>
  <si>
    <t>5024247743</t>
  </si>
  <si>
    <t>ЮЛ5001038762</t>
  </si>
  <si>
    <t>ЮЛ500103876200000</t>
  </si>
  <si>
    <t>143500 Московская область город Истра улица 15 лет Комсомола дом 7</t>
  </si>
  <si>
    <t>ЮЛ500103876200001</t>
  </si>
  <si>
    <t>143532 Московская область город Дедовск улица Железнодорожная дом 14 строение 2  2этаж</t>
  </si>
  <si>
    <t>ЮЛ500103876000000</t>
  </si>
  <si>
    <t>141420 Московская область город Химки улица Октябрьская дом 1А   часть 1этажа</t>
  </si>
  <si>
    <t>ЮЛ500103876000001</t>
  </si>
  <si>
    <t>140000 Московская область Город Люберцы Смирновская улица Дом 17</t>
  </si>
  <si>
    <t>ИП Пожидаев Александр Сергеевич</t>
  </si>
  <si>
    <t>502701121160</t>
  </si>
  <si>
    <t>ИП5001001692</t>
  </si>
  <si>
    <t>ИП500100169200000</t>
  </si>
  <si>
    <t>143420 Московская область город Красногорск территория торгового комплекса "Аутлет Москоу" дом 1 корпус 4  этаж 1, помещение № 11, комната № 1</t>
  </si>
  <si>
    <t>ООО "АНТАРЕС"</t>
  </si>
  <si>
    <t>5027190492</t>
  </si>
  <si>
    <t>ЮЛ5001009495</t>
  </si>
  <si>
    <t>ЮЛ500100949500000</t>
  </si>
  <si>
    <t>109507 Московская область Город Москва улица Самаркандский бульвар квартал 137а  корпус 6</t>
  </si>
  <si>
    <t>ИП Куликовский Сергей Константинович</t>
  </si>
  <si>
    <t>502727936618</t>
  </si>
  <si>
    <t>ИП4801015823</t>
  </si>
  <si>
    <t>ИП480101582300000</t>
  </si>
  <si>
    <t>143200 Московская область Город Можайск улица Московская дом 30</t>
  </si>
  <si>
    <t>ИП Гурьева Анна Николаевна</t>
  </si>
  <si>
    <t>502800026598</t>
  </si>
  <si>
    <t>ИП5001000550</t>
  </si>
  <si>
    <t>ИП500100055000000</t>
  </si>
  <si>
    <t>141018 Московская область город Мытищи Новомытищинский проспект  Строение 49/1  2 этаж, Рабочее место № 19</t>
  </si>
  <si>
    <t>ИП Санфирова Татьяна Николаевна</t>
  </si>
  <si>
    <t>502900406145</t>
  </si>
  <si>
    <t>ИП5001017111</t>
  </si>
  <si>
    <t>ИП500101711100000</t>
  </si>
  <si>
    <t>141060 Московская область город Королёв площадь Станционная дом 20   помещение 4</t>
  </si>
  <si>
    <t>ИП Шиманова Татьяна Геннадьевна</t>
  </si>
  <si>
    <t>502908048068</t>
  </si>
  <si>
    <t>ИП5001012198</t>
  </si>
  <si>
    <t>ИП500101219800000</t>
  </si>
  <si>
    <t>141280 Московская область город Ивантеевка улица Дзержинского дом 11А</t>
  </si>
  <si>
    <t>ИП Искоркин Вадим Геннадьевич</t>
  </si>
  <si>
    <t>502911526885</t>
  </si>
  <si>
    <t>ИП5001004055</t>
  </si>
  <si>
    <t>ИП500100405500000</t>
  </si>
  <si>
    <t>141077 Московская область город Королёв проспект Королева дом 16/5 строение 1</t>
  </si>
  <si>
    <t>ИП500100405500001</t>
  </si>
  <si>
    <t>141190 Московская область город Фрязино улица Московская дом 2в   Помещение 112</t>
  </si>
  <si>
    <t>ИП500100405500002</t>
  </si>
  <si>
    <t>141109 Московская область город Щёлково улица Талсинская дом 2а</t>
  </si>
  <si>
    <t>ИП500100405500003</t>
  </si>
  <si>
    <t>141080 Московская область город Королёв проспект Космонавтов дом 34Б   Помещение 016</t>
  </si>
  <si>
    <t>ИП500100405500004</t>
  </si>
  <si>
    <t>143965 Московская область город Реутов улица Южная дом 2</t>
  </si>
  <si>
    <t>ИП500100405500005</t>
  </si>
  <si>
    <t>141402 Московская область город Химки улица Железнодорожная дом 1 строение 1  Помещение 1</t>
  </si>
  <si>
    <t>ИП500100405500006</t>
  </si>
  <si>
    <t>141370 Московская область город Хотьково, г. Сергиев Посад улица 1-я Больничная дом 10   Помещение 2</t>
  </si>
  <si>
    <t>ИП500100405500007</t>
  </si>
  <si>
    <t>141021 Московская область город Мытищи улица Лётная дом 40А   Помещение 28</t>
  </si>
  <si>
    <t>ИП500100405500008</t>
  </si>
  <si>
    <t>141204 Московская область город Пушкино улица Тургенева дом 1   Помещение 58</t>
  </si>
  <si>
    <t>ИП500100405500009</t>
  </si>
  <si>
    <t>141195 Московская область город Фрязино проспект Мира дом 18</t>
  </si>
  <si>
    <t>ИП500100405500010</t>
  </si>
  <si>
    <t>141080 Московская область город Королёв улица Горького дом 3А   Помещение 30</t>
  </si>
  <si>
    <t>ИП500100405500012</t>
  </si>
  <si>
    <t>141009 Московская область город Мытищи улица Колонцова дом 5 строение 4Б  этаж 3, помещение 310</t>
  </si>
  <si>
    <t>ИП САПРИН А. В.</t>
  </si>
  <si>
    <t>502917362425</t>
  </si>
  <si>
    <t>ИП5001037220</t>
  </si>
  <si>
    <t>ИП500103722000000</t>
  </si>
  <si>
    <t>141006 Московская область город Мытищи проезд Шараповский дом 1   помещение 72</t>
  </si>
  <si>
    <t>ЮЛ500100318800001</t>
  </si>
  <si>
    <t>141204 Московская область город Пушкино улица Тургенева дом 1   Помещение  58</t>
  </si>
  <si>
    <t>ЮЛ500100318800002</t>
  </si>
  <si>
    <t>ЮЛ500100318800003</t>
  </si>
  <si>
    <t>143965 Московская область город Реутов улица Южная дом 2   Помещение 31</t>
  </si>
  <si>
    <t>ЮЛ500100318800004</t>
  </si>
  <si>
    <t>ЮЛ500100318800005</t>
  </si>
  <si>
    <t>143980 Московская область город Балашиха улица Советская, микрорайон Железнодородный дом 2</t>
  </si>
  <si>
    <t>ЮЛ500100318800008</t>
  </si>
  <si>
    <t>143981 Московская область город Балашиха улица Центральная, микрорайон Кучино дом 37</t>
  </si>
  <si>
    <t>ЮЛ500100318800009</t>
  </si>
  <si>
    <t>ЮЛ500100318800010</t>
  </si>
  <si>
    <t>141506 Московская область город Солнечногорск проспект Сенежский строение 3</t>
  </si>
  <si>
    <t>ЮЛ500100318800011</t>
  </si>
  <si>
    <t>141006 Московская область город Мытищи проспект Олимпийский владение 29 строение 2  этаж 10, часть помещения 288</t>
  </si>
  <si>
    <t>ООО "Л.Д."</t>
  </si>
  <si>
    <t>5029217527</t>
  </si>
  <si>
    <t>ЮЛ5001015335</t>
  </si>
  <si>
    <t>ЮЛ500101533500000</t>
  </si>
  <si>
    <t>141008 Московская область город Мытищи Новомытищинский проспект дом 42/9   помещение 1</t>
  </si>
  <si>
    <t>ООО "ЭДЕМ"</t>
  </si>
  <si>
    <t>5029221724</t>
  </si>
  <si>
    <t>ЮЛ5001013963</t>
  </si>
  <si>
    <t>ЮЛ500101396300000</t>
  </si>
  <si>
    <t>141002 Московская область город Мытищи улица Кирпичная дом 3 корпус 2  помещение 37</t>
  </si>
  <si>
    <t>ООО "КРЕДИТ ЛОМБАРД" СЛ"</t>
  </si>
  <si>
    <t>5029221900</t>
  </si>
  <si>
    <t>ЮЛ5001000864</t>
  </si>
  <si>
    <t>ЮЛ500100086400000</t>
  </si>
  <si>
    <t>141008 Московская область город Мытищи улица Матросова дом 8   15</t>
  </si>
  <si>
    <t>ООО "ДЖЕМ"</t>
  </si>
  <si>
    <t>5029227518</t>
  </si>
  <si>
    <t>ЮЛ5001012147</t>
  </si>
  <si>
    <t>ЮЛ500101214700000</t>
  </si>
  <si>
    <t>141092 Московская область город Королёв улица М.К.Тихонравова, микрорайон Юбилейный дом 32А   Помещение 1</t>
  </si>
  <si>
    <t>ООО "ЛОМБАРД ПОДМОСКОВНЫЙ"</t>
  </si>
  <si>
    <t>5029259090</t>
  </si>
  <si>
    <t>ЮЛ5001002922</t>
  </si>
  <si>
    <t>ЮЛ500100292200001</t>
  </si>
  <si>
    <t>ЮЛ500100292200002</t>
  </si>
  <si>
    <t>141070 Московская область город Королёв улица Калинина дом 2   Помещение 3</t>
  </si>
  <si>
    <t>ЮЛ500100292200004</t>
  </si>
  <si>
    <t>ЮЛ500100292200006</t>
  </si>
  <si>
    <t>141018 Московская область город Мытищи проспект Новомытищинский дом 49 корпус 1  Помещение 40</t>
  </si>
  <si>
    <t>ЮЛ500100292200007</t>
  </si>
  <si>
    <t>142450 Московская область город Старая Купавна, город Ногинск улица Кирова дом 19   Помещение 1</t>
  </si>
  <si>
    <t>ЮЛ500100292200009</t>
  </si>
  <si>
    <t>142400 Московская область город Ногинск улица 3-го Интернационала дом 62   Помещение 19</t>
  </si>
  <si>
    <t>ЮЛ500100292200010</t>
  </si>
  <si>
    <t>141402 Московская область город Химки улица Железнодорожная дом 1 Строение 1  помещение 1</t>
  </si>
  <si>
    <t>ЮЛ500100292200011</t>
  </si>
  <si>
    <t>141103 Московская область город Щёлково улица Радиоцентра N5 дом 9А   Помещение 012</t>
  </si>
  <si>
    <t>ЮЛ500100292200012</t>
  </si>
  <si>
    <t>141107 Московская область город Щёлково проспект 60 лет Октября дом 2В</t>
  </si>
  <si>
    <t>ЮЛ500100292200013</t>
  </si>
  <si>
    <t>141150 Московская область город Лосино-Петровский улица Ленина дом 8 строение 1</t>
  </si>
  <si>
    <t>ЮЛ500100292200016</t>
  </si>
  <si>
    <t>141421 Московская область город Химки улица Кирова, микрорайон Сходня дом 1</t>
  </si>
  <si>
    <t>ЮЛ500100252900001</t>
  </si>
  <si>
    <t>141304 Московская область город Сергиев Посад площадь Вокзальная дом 1 строение 1</t>
  </si>
  <si>
    <t>ЮЛ500100252900002</t>
  </si>
  <si>
    <t>141370 Московская область город Хотьково, город Сергиев Посад улица 1-я Больничная дом 10   Помещение 2</t>
  </si>
  <si>
    <t>ЮЛ500100252900003</t>
  </si>
  <si>
    <t>141207 Московская область город Пушкино проспект Московский дом 20   Помещение А10</t>
  </si>
  <si>
    <t>ЮЛ500100252900005</t>
  </si>
  <si>
    <t>142400 Московская область город Ногинск улица Соборная дом 12   Комната 68</t>
  </si>
  <si>
    <t>ЮЛ500100252900007</t>
  </si>
  <si>
    <t>141171 Московская область город Щёлково улица Железнодорожная, рабочий поселок Монино дом 31/1   Помещение 7</t>
  </si>
  <si>
    <t>ЮЛ500100252900008</t>
  </si>
  <si>
    <t>143920 Московская область город Балашиха улица Адмирала Нахимова, микрорайон Купавна Владение 8А   Помещение 13</t>
  </si>
  <si>
    <t>ЮЛ500100252900009</t>
  </si>
  <si>
    <t>ЮЛ500100252900010</t>
  </si>
  <si>
    <t>ЮЛ500100252900012</t>
  </si>
  <si>
    <t>141190 Московская область город Фрязино улица Московская дом 2в   омещение 112</t>
  </si>
  <si>
    <t>ЮЛ500100252900013</t>
  </si>
  <si>
    <t>141013 Московская область город Мытищи улица Силикатная дом 37А   Помещение 1</t>
  </si>
  <si>
    <t>ЮЛ500100252900014</t>
  </si>
  <si>
    <t>141014 Московская область город Мытищи улица Семашко дом 24   помещение V</t>
  </si>
  <si>
    <t>ЮЛ500100252900015</t>
  </si>
  <si>
    <t>141071 Московская область город Королёв улица Грабина дом 10   Помещение 2</t>
  </si>
  <si>
    <t>ЮЛ500100252900016</t>
  </si>
  <si>
    <t>141077 Московская область город Королёв улица 50-летия ВЛКСМ дом 5/16 строение 1</t>
  </si>
  <si>
    <t>ЮЛ500100252900019</t>
  </si>
  <si>
    <t>ЮЛ500103584300001</t>
  </si>
  <si>
    <t>141080 Московская область город Королёв улица Горького дом 3А   павильон №30</t>
  </si>
  <si>
    <t>ЮЛ500103584300002</t>
  </si>
  <si>
    <t>143980 Московская область город Балашиха улица Советская дом 2</t>
  </si>
  <si>
    <t>ЮЛ500103584300003</t>
  </si>
  <si>
    <t>ЮЛ500103584300005</t>
  </si>
  <si>
    <t>143981 Московская область город Балашиха улица Центральная дом 37</t>
  </si>
  <si>
    <t>ЮЛ500103584300006</t>
  </si>
  <si>
    <t>141204 Московская область город Пушкино улица Тургенева дом 1   помещение 58</t>
  </si>
  <si>
    <t>ЮЛ500103584300008</t>
  </si>
  <si>
    <t>ЮЛ500103584300009</t>
  </si>
  <si>
    <t>141280 Московская область город Ивантеевка улица Дзержинского дом 11а</t>
  </si>
  <si>
    <t>ЮЛ500103584300010</t>
  </si>
  <si>
    <t>143300 Московская область город Наро-Фоминск улица Площадь Свободы дом 7   часть 1, 2 этаж</t>
  </si>
  <si>
    <t>ИП Сапронова Светлана Юрьевна</t>
  </si>
  <si>
    <t>503000007975</t>
  </si>
  <si>
    <t>ИП7701000456</t>
  </si>
  <si>
    <t>ИП770100045600000</t>
  </si>
  <si>
    <t>143300 Московская область город Наро-Фоминск площадь Свободы дом 2 корпус часть 1  нежилое помещение №127</t>
  </si>
  <si>
    <t>ИП Горшунова Ирина Владимировна</t>
  </si>
  <si>
    <t>503001555822</t>
  </si>
  <si>
    <t>ИП5001007228</t>
  </si>
  <si>
    <t>ИП500100722800000</t>
  </si>
  <si>
    <t>143300 Московская область город Наро-Фоминск площадь Свободы  дом 2 корпус часть 1 помещения 7  помещение №183, 1 этаж</t>
  </si>
  <si>
    <t>ИП500100722800001</t>
  </si>
  <si>
    <t>143300 Московская область город Наро-Фоминск площадь Свободы дом 2 корпус часть 1 помещения 7  помещения №141, 1 этаж</t>
  </si>
  <si>
    <t>ИП500100722800002</t>
  </si>
  <si>
    <t>143300 Московская область город Наро-Фоминск площадь Свободы дом 11   изолированное помещение П-3,4</t>
  </si>
  <si>
    <t>ИП500100722800004</t>
  </si>
  <si>
    <t>143007 Московская область город Одинцово улица Советская дом 2</t>
  </si>
  <si>
    <t>ИП Шошина Татьяна Эдуардовна</t>
  </si>
  <si>
    <t>503010594585</t>
  </si>
  <si>
    <t>ИП7701014616</t>
  </si>
  <si>
    <t>ИП770101461600000</t>
  </si>
  <si>
    <t>143300 Московская область город Наро-Фоминск площадь Свободы дом 9</t>
  </si>
  <si>
    <t>ИП770101461600006</t>
  </si>
  <si>
    <t>143345 Московская область городское поселение Селятино улица Спортивная дом 1   место 11.1 А</t>
  </si>
  <si>
    <t>ИП770101461600007</t>
  </si>
  <si>
    <t>143070 Московская область город Кубинка Наро-Фоминское шоссе  дом 23А</t>
  </si>
  <si>
    <t>ИП770101461600008</t>
  </si>
  <si>
    <t>143360 Московская область город Апрелевка улица Островского  строение 42/2</t>
  </si>
  <si>
    <t>ИП770101461600010</t>
  </si>
  <si>
    <t>143360 Московская область город Апрелевка улица Августовская  строение 14  помещение №64</t>
  </si>
  <si>
    <t>ИП770101461600011</t>
  </si>
  <si>
    <t>143354 Московская область Подольский район Вороновское с.о. СНТ "Рыжово", вблизи д. Рыжово, уч. 59  хозблок</t>
  </si>
  <si>
    <t>ИП Соловьёва Анна Владимировна</t>
  </si>
  <si>
    <t>503014874537</t>
  </si>
  <si>
    <t>ИП7701008061</t>
  </si>
  <si>
    <t>ИП770100806100000</t>
  </si>
  <si>
    <t>141170 Московская область рабочий поселок Монино улица Генерала Белякова дом 1А   помещение 4</t>
  </si>
  <si>
    <t>ИП Камышникова Анжела Викторовна</t>
  </si>
  <si>
    <t>503101011777</t>
  </si>
  <si>
    <t>ИП7701009229</t>
  </si>
  <si>
    <t>ИП770100922900000</t>
  </si>
  <si>
    <t>142400 Московская область город Ногинск улица 3-го Интернационала дом 50</t>
  </si>
  <si>
    <t>5031032516</t>
  </si>
  <si>
    <t>ЮЛ5001015038</t>
  </si>
  <si>
    <t>ЮЛ500101503800000</t>
  </si>
  <si>
    <t>142455 Московская область город Электроугли улица Школьная дом 21А   помещение 8</t>
  </si>
  <si>
    <t>ООО "ЗОЛОТАЯ МЕЧТА"</t>
  </si>
  <si>
    <t>5031092561</t>
  </si>
  <si>
    <t>ЮЛ5001010378</t>
  </si>
  <si>
    <t>ЮЛ500101037800000</t>
  </si>
  <si>
    <t>142400 Московская область город Ногинск улица Декабристов дом 14  литера А этаж 1, объект 1 часть № 15</t>
  </si>
  <si>
    <t>ИП Чернова Юлия Александровна</t>
  </si>
  <si>
    <t>503115799780</t>
  </si>
  <si>
    <t>ИП5001003525</t>
  </si>
  <si>
    <t>ИП500100352500000</t>
  </si>
  <si>
    <t>142400 Московская область город Ногинск улица Декабристов дом 9   цокольный этаж</t>
  </si>
  <si>
    <t>ИП500100352500002</t>
  </si>
  <si>
    <t>142412 Московская область город Ногинск улица Климова дом 25   помещение 3</t>
  </si>
  <si>
    <t>ИП500100352500003</t>
  </si>
  <si>
    <t>142407 Московская область город Ногинск улица Юбилейная дом 18   секция 2.4</t>
  </si>
  <si>
    <t>ИП500100352500004</t>
  </si>
  <si>
    <t>141292 Московская область город Красноармейск проспект Ленина дом 8А   помещение 3 (помещение 99)</t>
  </si>
  <si>
    <t>ИП500100352500006</t>
  </si>
  <si>
    <t>142403 Московская область город Ногинск улица Советской Конституции дом 2А</t>
  </si>
  <si>
    <t>ИП500100352500007</t>
  </si>
  <si>
    <t>141195 Московская область город Фрязино проспект Мира дом 8   помещение 1004, помещение 2003/2, первый этаж</t>
  </si>
  <si>
    <t>ИП500100352500009</t>
  </si>
  <si>
    <t>144006 Московская область город Электросталь проспект Ленина дом 010   помещение №22</t>
  </si>
  <si>
    <t>ИП500100352500010</t>
  </si>
  <si>
    <t>144006 Московская область город Электросталь проспект Ленина дом 010   помещения №167,167а</t>
  </si>
  <si>
    <t>ИП500100352500011</t>
  </si>
  <si>
    <t>141070 Московская область город Королёв улица Фрунзе дом 1А   пом. 25/28/29/30/31/32/33/34</t>
  </si>
  <si>
    <t>ИП Башкатова Юлия Михайловна</t>
  </si>
  <si>
    <t>503199451299</t>
  </si>
  <si>
    <t>ИП5001007179</t>
  </si>
  <si>
    <t>ИП500100717900000</t>
  </si>
  <si>
    <t>142000 Московская область город Домодедово, микрорайон Центральный  улица Корнеева дом 1</t>
  </si>
  <si>
    <t>ИП500100717900002</t>
  </si>
  <si>
    <t>141730 Московская область город Лобня улица Ленина дом 3А   этаж 1, помещение №9, №10, №11</t>
  </si>
  <si>
    <t>ИП500100717900003</t>
  </si>
  <si>
    <t>141075 Московская область город Королёв улица Исаева дом 2/30   Помещение 2</t>
  </si>
  <si>
    <t>ИП500100717900005</t>
  </si>
  <si>
    <t>143904 Московская область город Балашиха улица Советская дом 11а корпус 2</t>
  </si>
  <si>
    <t>ИП500100717900006</t>
  </si>
  <si>
    <t>143987 Московская область город Балашиха, микрорайон Железнодорожный улица Советская дом 5   нежилое помещение ТР-1-26</t>
  </si>
  <si>
    <t>ИП500100717900007</t>
  </si>
  <si>
    <t>143007 Московская область город Одинцово улица Вокзальная дом 2   2 этаж</t>
  </si>
  <si>
    <t>ИП Каштанов Владимир Викторович</t>
  </si>
  <si>
    <t>503200428900</t>
  </si>
  <si>
    <t>ИП5001004559</t>
  </si>
  <si>
    <t>ИП500100455900000</t>
  </si>
  <si>
    <t>143040 Московская область город Голицыно Привокзальная площядь дом 5   Павильон 4</t>
  </si>
  <si>
    <t>ИП Бокий Максим Дмитриевич</t>
  </si>
  <si>
    <t>503201890828</t>
  </si>
  <si>
    <t>ИП5001016696</t>
  </si>
  <si>
    <t>ИП500101669600000</t>
  </si>
  <si>
    <t>143007 Московская область город Одинцово улица Советская дом 1Б</t>
  </si>
  <si>
    <t>ООО "ТВОЙ ЛОМБАРД"</t>
  </si>
  <si>
    <t>5032214893</t>
  </si>
  <si>
    <t>ЮЛ5001009586</t>
  </si>
  <si>
    <t>ЮЛ500100958600001</t>
  </si>
  <si>
    <t>143082 Московская область деревня Барвиха  дом 114 строение 2  этаж 2, помещение 197</t>
  </si>
  <si>
    <t>ЮЛ500100279300000</t>
  </si>
  <si>
    <t>143401 Московская область город Красногорск улица Международная дом 8   этаж 1, помещение 1/76</t>
  </si>
  <si>
    <t>ЮЛ500100279300018</t>
  </si>
  <si>
    <t>143082 Московская область город Одинцово, деревня Барвиха  дом 114 строение 2  этаж 1, помещение 100</t>
  </si>
  <si>
    <t>ЮЛ500100990300000</t>
  </si>
  <si>
    <t>143040 Московская область город Голицыно площадь Привокзальная дом 1А   павильон №39</t>
  </si>
  <si>
    <t>5032279932</t>
  </si>
  <si>
    <t>ЮЛ5001016340</t>
  </si>
  <si>
    <t>ЮЛ500101634000000</t>
  </si>
  <si>
    <t>143005 Московская область город Одинцово шоссе Можайское дом 151А   этаж 1, помещение №8</t>
  </si>
  <si>
    <t>ООО "ЛОМБАРД ОДИНЦОВО"</t>
  </si>
  <si>
    <t>5032282798</t>
  </si>
  <si>
    <t>ЮЛ5001003754</t>
  </si>
  <si>
    <t>ЮЛ500100375400000</t>
  </si>
  <si>
    <t>143185 Московская область город Звенигород шоссе Нахабинское дом 15</t>
  </si>
  <si>
    <t>Киреева Мария Сергеевна</t>
  </si>
  <si>
    <t>503231743348</t>
  </si>
  <si>
    <t>ИП5001039788</t>
  </si>
  <si>
    <t>ИП500103978800000</t>
  </si>
  <si>
    <t>142600 Московская область город Орехово-Зуево бульвар Центральный дом 7   помещения №№ 35,36,37,37а,38</t>
  </si>
  <si>
    <t>ООО ЛОМБАРД "ЯНТАРЬ"</t>
  </si>
  <si>
    <t>5034008582</t>
  </si>
  <si>
    <t>ЮЛ5001000564</t>
  </si>
  <si>
    <t>ЮЛ500100056400000</t>
  </si>
  <si>
    <t>142600 Московская область город Орехово-Зуево улица Ленина дом 15</t>
  </si>
  <si>
    <t>ИП Саитов Евгений Анатольевич</t>
  </si>
  <si>
    <t>503401369490</t>
  </si>
  <si>
    <t>ИП5001016002</t>
  </si>
  <si>
    <t>ИП500101600200000</t>
  </si>
  <si>
    <t>142603 Московская область город Орехово-Зуево улица Крупской дом 17</t>
  </si>
  <si>
    <t>ИП500101600200001</t>
  </si>
  <si>
    <t>142608 Московская область город Орехово-Зуево улица Исаакиевское Озеро дом 1 корпус 1 - офис №10</t>
  </si>
  <si>
    <t>ИП Жукова Ольга Александровна</t>
  </si>
  <si>
    <t>503406562899</t>
  </si>
  <si>
    <t>ИП5001003778</t>
  </si>
  <si>
    <t>ИП500100377800000</t>
  </si>
  <si>
    <t>140407 Московская область город Коломна площадь Советская дом 8 - - помещение №228 этаж 2</t>
  </si>
  <si>
    <t>ИП500100377800002</t>
  </si>
  <si>
    <t>142802 Московская область город Ступино улица Горького владение 26 - - помещение №32 этаж 1</t>
  </si>
  <si>
    <t>ИП500100377800003</t>
  </si>
  <si>
    <t>142970 Московская область рабочий поселок Серебряные Пруды улица Советская дом 17 корпус 1 А часть 1 этажа</t>
  </si>
  <si>
    <t>ИП500100377800004</t>
  </si>
  <si>
    <t>140730 Московская область город Рошаль улица Советская - - - помещение №б/н</t>
  </si>
  <si>
    <t>ИП500100377800005</t>
  </si>
  <si>
    <t>142800 Московская область город Ступино проспект Победы дом 20/36 - - квартира 1</t>
  </si>
  <si>
    <t>ИП500100377800006</t>
  </si>
  <si>
    <t>140704 Московская область город Шатура проспект Ильича дом 40 - - павильон №15</t>
  </si>
  <si>
    <t>ИП500100377800007</t>
  </si>
  <si>
    <t>140600 Московская область город Зарайск улица Советская дом 12а - - -</t>
  </si>
  <si>
    <t>ИП500100377800008</t>
  </si>
  <si>
    <t>140700 Московская область город Шатура улица Спортивная дом 2 - - -</t>
  </si>
  <si>
    <t>ИП500100377800009</t>
  </si>
  <si>
    <t>142620 Московская область город Куровское улица Вокзальная дом 4</t>
  </si>
  <si>
    <t>ИП500100468400000</t>
  </si>
  <si>
    <t>142620 Московская область город Куровское улица Советская дом 125</t>
  </si>
  <si>
    <t>ИП500100468400001</t>
  </si>
  <si>
    <t>142600 Московская область город Орехово-Зуево улица Ленина дом 44а</t>
  </si>
  <si>
    <t>ИП500100468400006</t>
  </si>
  <si>
    <t>141304 Московская область город Сергиев Посад улица Вознесенская дом 32а</t>
  </si>
  <si>
    <t>ИП500100468400010</t>
  </si>
  <si>
    <t>140300 Московская область город Егорьевск улица Советская дом 157</t>
  </si>
  <si>
    <t>ИП500100468400011</t>
  </si>
  <si>
    <t>142600 Московская область город Орехово-Зуево улица Ленина дом 78</t>
  </si>
  <si>
    <t>ИП500100468400014</t>
  </si>
  <si>
    <t>142600 Московская область город Орехово-Зуево Ленина 44-А   нежилое помещение №2</t>
  </si>
  <si>
    <t>ИП Ташес Наталья Юрьевна</t>
  </si>
  <si>
    <t>503409071722</t>
  </si>
  <si>
    <t>ИП5001017750</t>
  </si>
  <si>
    <t>ИП500101775000000</t>
  </si>
  <si>
    <t>142505 Московская область город Павловский Посад улица Интернациональная дом 9/1   помещение 110</t>
  </si>
  <si>
    <t>ООО "ЭЛЕДЕН"</t>
  </si>
  <si>
    <t>5035028863</t>
  </si>
  <si>
    <t>ЮЛ5001002264</t>
  </si>
  <si>
    <t>ЮЛ500100226400000</t>
  </si>
  <si>
    <t>142116 Московская область город Подольск улица Рабочая дом 42  литера Б3 помещение 4/1</t>
  </si>
  <si>
    <t>ИП500100595700000</t>
  </si>
  <si>
    <t>142121 Московская область город Подольск улица Ленинградская дом 22А</t>
  </si>
  <si>
    <t>ИП500100595700001</t>
  </si>
  <si>
    <t>142121 Московская область город Подольск улица Ленинградская дом 21   помещение 11</t>
  </si>
  <si>
    <t>ИП500100595700002</t>
  </si>
  <si>
    <t>142116 Московская область город Подольск проспект Революционный дом 15   помещение 4 комнаты 1-6</t>
  </si>
  <si>
    <t>ООО "ВАШ ЛОМБАРД "ПОДМОСКОВЬЕ+"</t>
  </si>
  <si>
    <t>5036046583</t>
  </si>
  <si>
    <t>ЮЛ5001006544</t>
  </si>
  <si>
    <t>ЮЛ500100654400000</t>
  </si>
  <si>
    <t>141002 Московская область город Мытищи улица Комарова дом 6   этаж 2 помещение III комнаты 13, 14,15,17</t>
  </si>
  <si>
    <t>ЮЛ500100654400002</t>
  </si>
  <si>
    <t>141402 Московская область город Химки улица Московская дом 24   подвал, помещение 003</t>
  </si>
  <si>
    <t>ЮЛ500100654400004</t>
  </si>
  <si>
    <t>141700 Московская область город Долгопрудный улица Дирижабельная дом 13   этаж 1 часть комнаты 30а, комната 34, часть комнаты 35</t>
  </si>
  <si>
    <t>ЮЛ500100654400005</t>
  </si>
  <si>
    <t>143964 Московская область город Реутов улица Ленина дом 1А   подвал, помещение 001, комнаты 5030, 5081, 5082</t>
  </si>
  <si>
    <t>ЮЛ500100654400006</t>
  </si>
  <si>
    <t>141730 Московская область город Лобня улица Ленина дом 9   этаж 2 комнаты 77,78</t>
  </si>
  <si>
    <t>ЮЛ500100654400008</t>
  </si>
  <si>
    <t>142100 Московская область город Подольск улица Советская дом 22/49   помещение 4</t>
  </si>
  <si>
    <t>ИП Плугарева Ольга Николаевна</t>
  </si>
  <si>
    <t>503607382825</t>
  </si>
  <si>
    <t>ИП5001002912</t>
  </si>
  <si>
    <t>ИП500100291200000</t>
  </si>
  <si>
    <t>142130 Московская область город Подольск улица Юбилейная дом 30</t>
  </si>
  <si>
    <t>ИП500100291200001</t>
  </si>
  <si>
    <t>142100 Московская область город Подольск улица Свердлова дом 11   помещение II</t>
  </si>
  <si>
    <t>ИП Дмитриев Дмитрий Сергеевич</t>
  </si>
  <si>
    <t>503608069051</t>
  </si>
  <si>
    <t>ИП5001006642</t>
  </si>
  <si>
    <t>ИП500100664200000</t>
  </si>
  <si>
    <t>142110 Московская область город Подольск улица Кирова дом 3   помещение 1</t>
  </si>
  <si>
    <t>ИП500100664200001</t>
  </si>
  <si>
    <t>142108 Московская область город Подольск улица Давыдова дом 14</t>
  </si>
  <si>
    <t>ИП Мэтьюс Оксана Валерьевна</t>
  </si>
  <si>
    <t>503610148215</t>
  </si>
  <si>
    <t>ИП5001018989</t>
  </si>
  <si>
    <t>ИП500101898900000</t>
  </si>
  <si>
    <t>142119 Московская область город Подольск улица Ленинградская дом 6</t>
  </si>
  <si>
    <t>ЮЛ500100052700001</t>
  </si>
  <si>
    <t>142720 Московская область город Видное, рабочий поселок Бутово территория Жилой комплекс Бутово-Парк дом 9</t>
  </si>
  <si>
    <t>ЮЛ500100052700002</t>
  </si>
  <si>
    <t>140108 Московская область город Раменское улица Вокзальная дом 4б   Часть комнаты 86, этаж1</t>
  </si>
  <si>
    <t>ИП Фатуева Наталья Сергеевна</t>
  </si>
  <si>
    <t>503616491556</t>
  </si>
  <si>
    <t>ИП7701008244</t>
  </si>
  <si>
    <t>ИП770100824400000</t>
  </si>
  <si>
    <t>140013 Московская область город Люберцы улица Побратимов дом 7   1 этаж, условный номер помещения 1-56</t>
  </si>
  <si>
    <t>ИП770100824400006</t>
  </si>
  <si>
    <t>141800 Московская область Город Дмитров Улица Профессиональная Дом 5 В   1 этаж</t>
  </si>
  <si>
    <t>ИП770100824400007</t>
  </si>
  <si>
    <t>143006 Московская область город Одинцово улица Солнечная дом 9   помещение 5</t>
  </si>
  <si>
    <t>ИП Жариченко Елизавета Николаевна</t>
  </si>
  <si>
    <t>503624748780</t>
  </si>
  <si>
    <t>ИП5001036868</t>
  </si>
  <si>
    <t>ИП500103686800000</t>
  </si>
  <si>
    <t>142281 Московская область город Протвино проезд Архитектора Корина дом 11   помещение 148</t>
  </si>
  <si>
    <t>ИП Федоренко Алексей Витальевич</t>
  </si>
  <si>
    <t>503700158144</t>
  </si>
  <si>
    <t>ИП5001004841</t>
  </si>
  <si>
    <t>ИП500100484100000</t>
  </si>
  <si>
    <t>141204 Московская область город Пушкино улица Тургенева дом 2   пом.1кв.1</t>
  </si>
  <si>
    <t>ИП Дубинина Ольга Вячеславовна</t>
  </si>
  <si>
    <t>503800164938</t>
  </si>
  <si>
    <t>ИП5001002167</t>
  </si>
  <si>
    <t>ИП500100216700000</t>
  </si>
  <si>
    <t>141282 Московская область город Ивантеевка улица Толмачева дом 1/2   эт. 1, пом. 1</t>
  </si>
  <si>
    <t>ИП500100216700001</t>
  </si>
  <si>
    <t>141205 Московская область город Пушкино проспект Московский дом 59   помещение 7</t>
  </si>
  <si>
    <t>ИП500100734600002</t>
  </si>
  <si>
    <t>141270 Московская область рабочий поселок Софрино улица Патриарха Пимена  3</t>
  </si>
  <si>
    <t>ЮЛ500101580700000</t>
  </si>
  <si>
    <t>141205 Московская область город Пушкино шоссе Пушкинское дом 2   1 этаж</t>
  </si>
  <si>
    <t>5038116525</t>
  </si>
  <si>
    <t>ЮЛ5001010518</t>
  </si>
  <si>
    <t>ЮЛ500101051800000</t>
  </si>
  <si>
    <t>141280 Московская область город Ивантеевка улица Первомайская дом 29   помещение 27</t>
  </si>
  <si>
    <t>ООО "ОСТРОВ СОКРОВИЩ" "ЛОМБАРД"</t>
  </si>
  <si>
    <t>5038121660</t>
  </si>
  <si>
    <t>ЮЛ5001004898</t>
  </si>
  <si>
    <t>ЮЛ500100489800000</t>
  </si>
  <si>
    <t>141280 Московская область город Ивантеевка проспект Советский дом 2А</t>
  </si>
  <si>
    <t>ЮЛ500100489800001</t>
  </si>
  <si>
    <t>141204 Московская область город Пушкино проспект Московский дом 7   помещение 6</t>
  </si>
  <si>
    <t>5038130449</t>
  </si>
  <si>
    <t>ЮЛ5001006309</t>
  </si>
  <si>
    <t>ЮЛ500100630900000</t>
  </si>
  <si>
    <t>141070 Московская область город Королёв улица Фрунзе дом 17   офис № 102 1 этаж</t>
  </si>
  <si>
    <t>ООО "ЛОМБАРД МАРИНИНСКИЙ"</t>
  </si>
  <si>
    <t>5038172167</t>
  </si>
  <si>
    <t>ЮЛ5001033902</t>
  </si>
  <si>
    <t>ЮЛ500103390200000</t>
  </si>
  <si>
    <t>141205 Московская область город Пушкино проспект Московский дом 59   помещение 20</t>
  </si>
  <si>
    <t>ООО "ЗЛАТОИСКР"</t>
  </si>
  <si>
    <t>5038181394</t>
  </si>
  <si>
    <t>ЮЛ5001035083</t>
  </si>
  <si>
    <t>ЮЛ500103508300000</t>
  </si>
  <si>
    <t>142290 Московская область город Пущино микрорайон В, проспект Науки дом 5А   помещение 2</t>
  </si>
  <si>
    <t>ООО "ИНТЕРПРИБОР"</t>
  </si>
  <si>
    <t>5039002633</t>
  </si>
  <si>
    <t>ЮЛ5001000940</t>
  </si>
  <si>
    <t>ЮЛ500100094000000</t>
  </si>
  <si>
    <t>142290 Московская область город Пущино проспект Науки 2Б/1</t>
  </si>
  <si>
    <t>5039009734</t>
  </si>
  <si>
    <t>ЮЛ5001003619</t>
  </si>
  <si>
    <t>ЮЛ500100361900000</t>
  </si>
  <si>
    <t>140167 Московская область село Ульянино  дом 6а</t>
  </si>
  <si>
    <t>ИП Ермакова Галина Александровна</t>
  </si>
  <si>
    <t>504000045161</t>
  </si>
  <si>
    <t>ИП5001013975</t>
  </si>
  <si>
    <t>ИП500101397500000</t>
  </si>
  <si>
    <t>140108 Московская область город Раменское улица Ногина дом 3</t>
  </si>
  <si>
    <t>ИП Андреева Елена Викторовна</t>
  </si>
  <si>
    <t>504000374487</t>
  </si>
  <si>
    <t>ИП5001002489</t>
  </si>
  <si>
    <t>ИП500100248900000</t>
  </si>
  <si>
    <t>140301 Московская область город Егорьевск улица Советская дом 121</t>
  </si>
  <si>
    <t>ИП500100248900001</t>
  </si>
  <si>
    <t>142400 Московская область город Ногинск улица Комсомольская дом 26   помещение 6</t>
  </si>
  <si>
    <t>ИП500100248900002</t>
  </si>
  <si>
    <t>142530 Московская область город Электрогорск Советская площадь дом 10</t>
  </si>
  <si>
    <t>ИП500100248900003</t>
  </si>
  <si>
    <t>140304 Московская область город Егорьевск Касимовское шоссе дом 1А</t>
  </si>
  <si>
    <t>ИП500100248900006</t>
  </si>
  <si>
    <t>141503 Московская область город Солнечногорск улица Красная  строение 22А Литера Б Часть помещение №84</t>
  </si>
  <si>
    <t>ИП500100248900008</t>
  </si>
  <si>
    <t>140108 Московская область город Раменское улица Михалевича дом 5</t>
  </si>
  <si>
    <t>ИП500100248900010</t>
  </si>
  <si>
    <t>140181 Московская область город Жуковский улица Маяковского дом 19</t>
  </si>
  <si>
    <t>ИП Зайцев Сергей Владимирович</t>
  </si>
  <si>
    <t>504004866835</t>
  </si>
  <si>
    <t>ИП5001032626</t>
  </si>
  <si>
    <t>ИП500103262600000</t>
  </si>
  <si>
    <t>140100 Московская область город Раменское улица Карла Маркса дом 5/3 этаж 2   комнаты 1, 2, 23</t>
  </si>
  <si>
    <t>ООО "ЮВЕЛИР-ЭЛИТ"</t>
  </si>
  <si>
    <t>5040054410</t>
  </si>
  <si>
    <t>ЮЛ5001002275</t>
  </si>
  <si>
    <t>ЮЛ500100227500000</t>
  </si>
  <si>
    <t>140205 Московская область город Воскресенск улица Менделеева дом 20   помещение 40</t>
  </si>
  <si>
    <t>ЮЛ500100227500002</t>
  </si>
  <si>
    <t>140200 Московская область город Воскресенск площадь Ленина дом 5   помещение 6, нежилое помещение 55 этаж 1</t>
  </si>
  <si>
    <t>ЮЛ500100227500003</t>
  </si>
  <si>
    <t>140560 Московская область город Озёры улица Ленина дом 14</t>
  </si>
  <si>
    <t>ЮЛ500100227500004</t>
  </si>
  <si>
    <t>140500 Московская область город Луховицы улица Жуковского дом 21   помещение 1/4</t>
  </si>
  <si>
    <t>ЮЛ500100227500005</t>
  </si>
  <si>
    <t>140187 Московская область город Жуковский улица Королева дом 6 строение 3  помещение 8</t>
  </si>
  <si>
    <t>ЮЛ500100227500006</t>
  </si>
  <si>
    <t>140108 Московская область город Раменское улица Советская дом 1</t>
  </si>
  <si>
    <t>ИП Ежов Игорь Борисович</t>
  </si>
  <si>
    <t>504005498091</t>
  </si>
  <si>
    <t>ИП5001012902</t>
  </si>
  <si>
    <t>ИП500101290200000</t>
  </si>
  <si>
    <t>140108 Московская область город Раменское улица Вокзальная дом 4б   Часть помещения № 15 на 1 (первом) этаже</t>
  </si>
  <si>
    <t>ИП500101290200001</t>
  </si>
  <si>
    <t>ИП500101404200000</t>
  </si>
  <si>
    <t>140188 Московская область город Жуковский улица Баженова дом 2А   этаж 1 ,нежилое помещение XXII</t>
  </si>
  <si>
    <t>ИП Демкин Сергей Алексеевич</t>
  </si>
  <si>
    <t>504010037307</t>
  </si>
  <si>
    <t>ИП5001012197</t>
  </si>
  <si>
    <t>ИП500101219700000</t>
  </si>
  <si>
    <t>140301 Московская область город Егорьевск улица Советская дом 77А</t>
  </si>
  <si>
    <t>ООО "ПУТИЛОВЕЦ"</t>
  </si>
  <si>
    <t>5040121392</t>
  </si>
  <si>
    <t>ЮЛ5001002783</t>
  </si>
  <si>
    <t>ЮЛ500100278300002</t>
  </si>
  <si>
    <t>141607 Московская область город Клин площадь Привокзальная дом 1</t>
  </si>
  <si>
    <t>ЮЛ500100278300015</t>
  </si>
  <si>
    <t>143532 Московская область город Дедовск улица Железнодорожная дом 14</t>
  </si>
  <si>
    <t>ЮЛ500100278300023</t>
  </si>
  <si>
    <t>143041 Московская область город Голицыно проспект Коммунистический дом 1</t>
  </si>
  <si>
    <t>ЮЛ500100278300025</t>
  </si>
  <si>
    <t>140100 Московская область Раменское Вокзальная 1Б   помещение 9</t>
  </si>
  <si>
    <t>ООО "ЛОМБАРД Р"</t>
  </si>
  <si>
    <t>5040139939</t>
  </si>
  <si>
    <t>ЮЛ5001000469</t>
  </si>
  <si>
    <t>ЮЛ500100046900000</t>
  </si>
  <si>
    <t>143968 Московская область город Реутов улица Победы дом 30   помещение II</t>
  </si>
  <si>
    <t>ООО "ВЕНЕРА"</t>
  </si>
  <si>
    <t>5041011466</t>
  </si>
  <si>
    <t>ЮЛ5001017365</t>
  </si>
  <si>
    <t>ЮЛ500101736500000</t>
  </si>
  <si>
    <t>143965 Московская область город Реутов Юбилейный проспект дом 40   офис 42 помещение № 4</t>
  </si>
  <si>
    <t>ИП770100538300001</t>
  </si>
  <si>
    <t>140013 Московская область город Люберцы улица Побратимов дом 7</t>
  </si>
  <si>
    <t>ИП Кухарева Екатерина Геннадьевна</t>
  </si>
  <si>
    <t>504107285712</t>
  </si>
  <si>
    <t>ИП5001034864</t>
  </si>
  <si>
    <t>ИП500103486400000</t>
  </si>
  <si>
    <t>143912 Московская область город Балашиха шоссе Энтузиастов дом 1Б</t>
  </si>
  <si>
    <t>ИП500103486400001</t>
  </si>
  <si>
    <t>1413030 Московская область город Сергиев Посад проспект Красной Армии дом 209</t>
  </si>
  <si>
    <t>ИП500100218600000</t>
  </si>
  <si>
    <t>141300 Московская область город Сергиев Посад проспект Красной Армии дом 171 помещение 1 литера А  помещение №568</t>
  </si>
  <si>
    <t>ИП500100218600001</t>
  </si>
  <si>
    <t>141300 Московская область город Сергиев Посад улица 1-ая Рыбная дом 19/22 1 этаж  помещение №1</t>
  </si>
  <si>
    <t>ИП500100218600002</t>
  </si>
  <si>
    <t>141370 Московская область город Хотьково улица Михеенко дом 14   помещение 26</t>
  </si>
  <si>
    <t>ИП Латышев Алексей Владимирович</t>
  </si>
  <si>
    <t>504203546149</t>
  </si>
  <si>
    <t>ИП5001014481</t>
  </si>
  <si>
    <t>ИП500101448100000</t>
  </si>
  <si>
    <t>143500 Московская область город Истра улица 9-ой Гвардейской Дивизии дом 9 корпус 2  комната 4</t>
  </si>
  <si>
    <t>ИП Федина Аксана Николаевна</t>
  </si>
  <si>
    <t>504206370800</t>
  </si>
  <si>
    <t>ИП7701008934</t>
  </si>
  <si>
    <t>ИП770100893400000</t>
  </si>
  <si>
    <t>143800 Московская область рабочий поселок Лотошино улица Калинина дом 21   второй этаж</t>
  </si>
  <si>
    <t>ИП770100893400003</t>
  </si>
  <si>
    <t>143200 Московская область город Можайск улица Красных Партизан дом 1</t>
  </si>
  <si>
    <t>ИП770100893400004</t>
  </si>
  <si>
    <t>141301 Московская область город Сергиев Посад шоссе Новоугличское дом 67Б</t>
  </si>
  <si>
    <t>ООО "ЛОМБАРД "КАРАТ-СВС"</t>
  </si>
  <si>
    <t>5042094391</t>
  </si>
  <si>
    <t>ЮЛ5001004761</t>
  </si>
  <si>
    <t>ЮЛ500100476100000</t>
  </si>
  <si>
    <t>141304 Московская область город Сергиев Посад улица Кооперативная дом 4</t>
  </si>
  <si>
    <t>ЮЛ500100476100002</t>
  </si>
  <si>
    <t>141730 Московская область город Лобня улица Маяковского дом 5</t>
  </si>
  <si>
    <t>ЮЛ500100476100007</t>
  </si>
  <si>
    <t>141304 Московская область город Сергиев Посад площадь Вокзальная дом 1</t>
  </si>
  <si>
    <t>ООО "ЛОМБАРД МАКСИМУМ"</t>
  </si>
  <si>
    <t>5042118170</t>
  </si>
  <si>
    <t>ЮЛ5001001967</t>
  </si>
  <si>
    <t>ЮЛ500100196700001</t>
  </si>
  <si>
    <t>141800 Московская область город Дмитров улица Загорская дом 36А</t>
  </si>
  <si>
    <t>ЮЛ500100196700003</t>
  </si>
  <si>
    <t>141304 Московская область город Сергиев Посад Московское шоссе дом 42    4 этаж, часть комнаты № 195, 196 (офис 406).</t>
  </si>
  <si>
    <t>ИП Зиятдинова Верония Рустемовна</t>
  </si>
  <si>
    <t>504216455428</t>
  </si>
  <si>
    <t>ИП5001003518</t>
  </si>
  <si>
    <t>ИП500100351800000</t>
  </si>
  <si>
    <t>141370 Московская область город Хотьково улица Михеенко дом 14   второй этаж</t>
  </si>
  <si>
    <t>ИП Матвейчук Алёна Александровна</t>
  </si>
  <si>
    <t>504216474766</t>
  </si>
  <si>
    <t>ИП5001001256</t>
  </si>
  <si>
    <t>ИП500100125600000</t>
  </si>
  <si>
    <t>142200 Московская область Город Серпухов Улица Ворошилова Дом 128   Помещение 60</t>
  </si>
  <si>
    <t>ИП Наделяева Светлана Владиславовна</t>
  </si>
  <si>
    <t>504300152196</t>
  </si>
  <si>
    <t>ИП5001002419</t>
  </si>
  <si>
    <t>ИП500100241900000</t>
  </si>
  <si>
    <t>142200 Московская область город Серпухов Ворошилова улица дом 126А</t>
  </si>
  <si>
    <t>ООО "ЛОМБАРД ЛАД"</t>
  </si>
  <si>
    <t>5043057628</t>
  </si>
  <si>
    <t>ЮЛ5001001979</t>
  </si>
  <si>
    <t>ЮЛ500100197900000</t>
  </si>
  <si>
    <t>142672 Московская область город Ликино-Дулёво улица Октябрьская дом 16</t>
  </si>
  <si>
    <t>ЮЛ500100197900003</t>
  </si>
  <si>
    <t>142200 Московская область город Серпухов шоссе Борисовское дом 1  Литера Д L этаж, помещение 12</t>
  </si>
  <si>
    <t>ИП Назарова Анжелика Дмитриевна</t>
  </si>
  <si>
    <t>504318039508</t>
  </si>
  <si>
    <t>ИП5001001295</t>
  </si>
  <si>
    <t>ИП500100129500000</t>
  </si>
  <si>
    <t>142204 Московская область город Серпухов шоссе Московское дом 55</t>
  </si>
  <si>
    <t>ИП500100129500003</t>
  </si>
  <si>
    <t>141506 Московская область город Солнечногорск улица Красная дом 56   помещение 15</t>
  </si>
  <si>
    <t>ИП Есина Ольга Михайловна</t>
  </si>
  <si>
    <t>504405898866</t>
  </si>
  <si>
    <t>ИП5001012261</t>
  </si>
  <si>
    <t>ИП500101226100000</t>
  </si>
  <si>
    <t>141503 Московская область город Солнечногорск улица Обуховская дом 9А   офис 8</t>
  </si>
  <si>
    <t>ООО "БЕЙС ФО Ю"</t>
  </si>
  <si>
    <t>5044121347</t>
  </si>
  <si>
    <t>ЮЛ5001013522</t>
  </si>
  <si>
    <t>ЮЛ500101352200000</t>
  </si>
  <si>
    <t>143582 Московская область город Истра улица Центральная здание 33 корпус 3  1 этаж, помещение № 53,54</t>
  </si>
  <si>
    <t>ООО "КУЛЬТУРА ДОМА 2"</t>
  </si>
  <si>
    <t>5044137474</t>
  </si>
  <si>
    <t>ЮЛ5001038340</t>
  </si>
  <si>
    <t>ЮЛ500103834000001</t>
  </si>
  <si>
    <t>142800 Московская область город Ступино улица Андропова дом 39</t>
  </si>
  <si>
    <t>ИП Руднев Александр Владимирович</t>
  </si>
  <si>
    <t>504500330791</t>
  </si>
  <si>
    <t>ИП5001002403</t>
  </si>
  <si>
    <t>ИП500100240300000</t>
  </si>
  <si>
    <t>141407 Московская область город Химки улица Горшина дом 1</t>
  </si>
  <si>
    <t>ООО "ВИЗАНТИЯ"</t>
  </si>
  <si>
    <t>5047113753</t>
  </si>
  <si>
    <t>ЮЛ5001015775</t>
  </si>
  <si>
    <t>ЮЛ500101577500000</t>
  </si>
  <si>
    <t>143402 Московская область город Красногорск улица Международная дом 8   Пом № 95 (№ секции 146а)</t>
  </si>
  <si>
    <t>ООО "ГАЛЕРЕЯ МИХАЙЛОВ-ШЕРЕМЕТЬЕВО"</t>
  </si>
  <si>
    <t>5047114517</t>
  </si>
  <si>
    <t>ЮЛ5001004711</t>
  </si>
  <si>
    <t>ЮЛ500100471100001</t>
  </si>
  <si>
    <t>141400 Московская область город Химки Шереметьевское шоссе владение 39, Терминал С стр. 1, 3 этаж  пом. 3.47.008.1, пом. 3.47.008.2, пом. 3.47.008.3</t>
  </si>
  <si>
    <t>АО "ИМПЕРИАЛ ДЬЮТИ ФРИ"</t>
  </si>
  <si>
    <t>5047146741</t>
  </si>
  <si>
    <t>ЮЛ5001014633</t>
  </si>
  <si>
    <t>ЮЛ500101463300002</t>
  </si>
  <si>
    <t>141400 Московская область город Химки Шереметьевское шоссе владение 39, стр 1 Терминал С, 3 этаж  пом. 3.47.009.1, пом. 3.47.009.2, пом. 3.47.004</t>
  </si>
  <si>
    <t>ЮЛ500101463300003</t>
  </si>
  <si>
    <t>141400 Московская область Химки Шереметьевское шоссе владение 39 строение 1 этаж 3 пом. 3.47.007</t>
  </si>
  <si>
    <t>ЮЛ500101463300009</t>
  </si>
  <si>
    <t>141707 Московская область город Долгопрудный проспект Пацаева дом 7 корпус 10  помещение 7</t>
  </si>
  <si>
    <t>ООО "БРЕНД"</t>
  </si>
  <si>
    <t>5047181785</t>
  </si>
  <si>
    <t>ЮЛ5001017504</t>
  </si>
  <si>
    <t>ЮЛ500101750400000</t>
  </si>
  <si>
    <t>141401 Московская область город Химки проезд Транспортный владение 4 строение 4  этаж 1 офис 1</t>
  </si>
  <si>
    <t>ООО "МАРКЕТПЛЕЙС"</t>
  </si>
  <si>
    <t>5047228627</t>
  </si>
  <si>
    <t>ЮЛ5001018952</t>
  </si>
  <si>
    <t>ЮЛ500101895200000</t>
  </si>
  <si>
    <t>141425 Московская область город Химки тер . Международный аэропорт Шереметьево владение 37 ч. здания 78  помещение 152, 152а</t>
  </si>
  <si>
    <t>ООО "ТРЭВЕЛ РИТЕЙЛ ШЕРЕМЕТЬЕВО"</t>
  </si>
  <si>
    <t>5047270266</t>
  </si>
  <si>
    <t>ЮЛ5001033437</t>
  </si>
  <si>
    <t>ЮЛ500103343700001</t>
  </si>
  <si>
    <t>141406 Московская область город Химки улица Совхозная дом 6</t>
  </si>
  <si>
    <t>5047321915</t>
  </si>
  <si>
    <t>ЮЛ5001040817</t>
  </si>
  <si>
    <t>ЮЛ500104081700000</t>
  </si>
  <si>
    <t>142300 Московская область город Чехов улица Полиграфистов дом 1 корпус А этаж 5  помещение 30</t>
  </si>
  <si>
    <t>ООО "ИМПОРТЕКО СЕРВИС"</t>
  </si>
  <si>
    <t>5048011867</t>
  </si>
  <si>
    <t>ЮЛ5001016026</t>
  </si>
  <si>
    <t>ЮЛ500101602600000</t>
  </si>
  <si>
    <t>142301 Московская область город Чехов улица Чехова 2 строение 1</t>
  </si>
  <si>
    <t>ООО"ВЕК ЗОЛОТА"</t>
  </si>
  <si>
    <t>5048037921</t>
  </si>
  <si>
    <t>ЮЛ5001012199</t>
  </si>
  <si>
    <t>ЮЛ500101219900000</t>
  </si>
  <si>
    <t>142301 Московская область город Чехов улица Товарная дом 2   бутик №185</t>
  </si>
  <si>
    <t>ИП Минайчева Анастасия Владимировна</t>
  </si>
  <si>
    <t>504810546712</t>
  </si>
  <si>
    <t>ИП5001013186</t>
  </si>
  <si>
    <t>ИП500101318600000</t>
  </si>
  <si>
    <t>142301 Московская область город Чехов улица Товарная дом 2   бутик № 185</t>
  </si>
  <si>
    <t>ИП500101318600001</t>
  </si>
  <si>
    <t>ИП Миносьянц Даниил Витальевич</t>
  </si>
  <si>
    <t>504815625090</t>
  </si>
  <si>
    <t>ИП5001037641</t>
  </si>
  <si>
    <t>ИП500103764100000</t>
  </si>
  <si>
    <t>140704 Московская область город Шатура улица Жарова дом 39</t>
  </si>
  <si>
    <t>ИП Солодков Сергей Сергеевич</t>
  </si>
  <si>
    <t>504903541996</t>
  </si>
  <si>
    <t>ИП5001003755</t>
  </si>
  <si>
    <t>ИП500100375500000</t>
  </si>
  <si>
    <t>142100 Московская область город Подольск улица Большая Серпуховская владение 5   помещение 87, этаж 1</t>
  </si>
  <si>
    <t>ИП Муравьева Марина Сергеевна</t>
  </si>
  <si>
    <t>504905934086</t>
  </si>
  <si>
    <t>ИП7701005462</t>
  </si>
  <si>
    <t>ИП770100546200000</t>
  </si>
  <si>
    <t>142001 Московская область город Домодедово улица Каширское шоссе строение 3а  1Б часть помещения №115</t>
  </si>
  <si>
    <t>ИП470300104000002</t>
  </si>
  <si>
    <t>141100 Московская область город Щёлково улица Комарова дом 7</t>
  </si>
  <si>
    <t>ИП Петрунина Антонина Серафимовна</t>
  </si>
  <si>
    <t>505000315772</t>
  </si>
  <si>
    <t>ИП5001004660</t>
  </si>
  <si>
    <t>ИП500100466000000</t>
  </si>
  <si>
    <t>141109 Московская область город Щёлково проспект Пролетарский дом 18   этаж 1</t>
  </si>
  <si>
    <t>ИП500100466000002</t>
  </si>
  <si>
    <t>141103 Московская область город Щёлково улица Радиоцентра N5  владение 7А  помещение 156</t>
  </si>
  <si>
    <t>ИП500100466000003</t>
  </si>
  <si>
    <t>141100 Московская область город Щёлково проспект Пролетарский дом 4 корпус 3  литера Б, этаж 1, помещение VII, № по плану 14</t>
  </si>
  <si>
    <t>ИП500100466000004</t>
  </si>
  <si>
    <t>142600 Московская область город Орехово-Зуево улица Ленина дом 45</t>
  </si>
  <si>
    <t>ИП440200426400025</t>
  </si>
  <si>
    <t>142180 Московская область город Подольск улица Железнодорожная дом 1</t>
  </si>
  <si>
    <t>ИП440200426400031</t>
  </si>
  <si>
    <t>141100 Московская область город Щёлково у платформы "Воронок"</t>
  </si>
  <si>
    <t>ИП Рытова Ольга Викторовна</t>
  </si>
  <si>
    <t>505001840693</t>
  </si>
  <si>
    <t>ИП5001000952</t>
  </si>
  <si>
    <t>ИП500100095200002</t>
  </si>
  <si>
    <t>141150 Московская область город Лосино-Петровский улица Октябрьская дом 2 1 этаж  помещение 1-III-№27-58</t>
  </si>
  <si>
    <t>ИП500100095200003</t>
  </si>
  <si>
    <t>141171 Московская область рабочий поселок Монино улица Московская дом 2 строение 4</t>
  </si>
  <si>
    <t>ИП500100095200004</t>
  </si>
  <si>
    <t>141075 Московская область город Королёв улица Исаева дом 3б корпус 2  этаж 1, помещение 1</t>
  </si>
  <si>
    <t>ИП Дорошенко Светлана Викторовна</t>
  </si>
  <si>
    <t>505001927680</t>
  </si>
  <si>
    <t>ИП5001010408</t>
  </si>
  <si>
    <t>ИП500101040800000</t>
  </si>
  <si>
    <t>141060 Московская область город Королёв проспект Космонавтов дом 20А   помещение 109</t>
  </si>
  <si>
    <t>ИП500101040800001</t>
  </si>
  <si>
    <t>141103 Московская область город Щёлково улица Институтская дом 27Б</t>
  </si>
  <si>
    <t>ИП500101040800002</t>
  </si>
  <si>
    <t>141075 Московская область город Королёв проспект Королева дом 28А</t>
  </si>
  <si>
    <t>ИП500101040800003</t>
  </si>
  <si>
    <t>143912 Московская область город Балашиха проспект Ленина дом 8   помещение 42</t>
  </si>
  <si>
    <t>ИП500101040800004</t>
  </si>
  <si>
    <t>141060 Московская область город Королев проспект Космонавтов дом 20А   помещение 149</t>
  </si>
  <si>
    <t>ИП500101040800005</t>
  </si>
  <si>
    <t>141100 Московская область город Щёлково улица Советская дом 54   помещения 1-7</t>
  </si>
  <si>
    <t>5050041636</t>
  </si>
  <si>
    <t>ЮЛ5001002008</t>
  </si>
  <si>
    <t>ЮЛ500100200800000</t>
  </si>
  <si>
    <t>141100 Московская область город Щёлково проспект Пролетарский строение 10</t>
  </si>
  <si>
    <t>ООО "Т Д ЩЁЛКОВО"</t>
  </si>
  <si>
    <t>5050048840</t>
  </si>
  <si>
    <t>ЮЛ5001014502</t>
  </si>
  <si>
    <t>ЮЛ500101450200000</t>
  </si>
  <si>
    <t>141100 Московская область город Щёлково переулок 1-й Советский дом 3   этаж подвальный, помещение I</t>
  </si>
  <si>
    <t>ООО ЛОМБАРД "КАРАТ"</t>
  </si>
  <si>
    <t>5050068300</t>
  </si>
  <si>
    <t>ЮЛ5001002001</t>
  </si>
  <si>
    <t>ЮЛ500100200100000</t>
  </si>
  <si>
    <t>141109 Московская область город Щёлково улица Талсинская 23 помещение 10, павильон 4</t>
  </si>
  <si>
    <t>ООО "ЛОМБАРД "КМБ ГОЛД"</t>
  </si>
  <si>
    <t>5050146597</t>
  </si>
  <si>
    <t>ЮЛ5001006950</t>
  </si>
  <si>
    <t>ЮЛ500100695000000</t>
  </si>
  <si>
    <t>141102 Московская область город Щёлково проезд Домостроителей  строение 1, корпус 2</t>
  </si>
  <si>
    <t>ООО "МИРИАДА"</t>
  </si>
  <si>
    <t>5050157503</t>
  </si>
  <si>
    <t>ЮЛ5001032153</t>
  </si>
  <si>
    <t>ЮЛ500103215300000</t>
  </si>
  <si>
    <t>141100 Московская область город Щёлково улица Комарова дом 7   этаж 2</t>
  </si>
  <si>
    <t>ИП Антонова Евгения Александровна</t>
  </si>
  <si>
    <t>505016024955</t>
  </si>
  <si>
    <t>ИП5001032238</t>
  </si>
  <si>
    <t>ИП500103223800000</t>
  </si>
  <si>
    <t>140404 Московская область город Коломна улица Гаврилова дом 4   помещение 1, комната 25</t>
  </si>
  <si>
    <t>ИП Сулиманов Х.Д</t>
  </si>
  <si>
    <t>505200056885</t>
  </si>
  <si>
    <t>ИП5001000855</t>
  </si>
  <si>
    <t>ИП500100085500002</t>
  </si>
  <si>
    <t>140407 Московская область город Коломна площадь Советская дом 8   помещения №№ 97, 98</t>
  </si>
  <si>
    <t>ИП500100085500003</t>
  </si>
  <si>
    <t>140407 Московская область город Коломна площадь Советская дом 8   часть помещения №71</t>
  </si>
  <si>
    <t>ИП Сулиманова М.Г</t>
  </si>
  <si>
    <t>505200056959</t>
  </si>
  <si>
    <t>ИП5001002057</t>
  </si>
  <si>
    <t>ИП500100205700002</t>
  </si>
  <si>
    <t>1440055 Московская область город Электросталь улица проспект Ленина дом 16   помещение 33</t>
  </si>
  <si>
    <t>ИП Зайцев Игорь Иванович</t>
  </si>
  <si>
    <t>505300156393</t>
  </si>
  <si>
    <t>ИП5001003984</t>
  </si>
  <si>
    <t>ИП500100398400000</t>
  </si>
  <si>
    <t>144000 Московская область город Электросталь проспект Ленина дом 34   помещение 01</t>
  </si>
  <si>
    <t>ИП Титова Татьяна Анатольевна</t>
  </si>
  <si>
    <t>505300437637</t>
  </si>
  <si>
    <t>ИП5001004536</t>
  </si>
  <si>
    <t>ИП500100453600000</t>
  </si>
  <si>
    <t>144007 Московская область город Электросталь улица Мира дом 11   помещение 01</t>
  </si>
  <si>
    <t>ИП500100453600004</t>
  </si>
  <si>
    <t>144000 Московская область город Электросталь улица Советская дом 1/104   офис 2</t>
  </si>
  <si>
    <t>ООО "ЛОМБАРД-СЕРВИС"</t>
  </si>
  <si>
    <t>5053053750</t>
  </si>
  <si>
    <t>ЮЛ5001001993</t>
  </si>
  <si>
    <t>ЮЛ500100199300000</t>
  </si>
  <si>
    <t>141092 Московская область Город Королев Улица Лесная Дом 12</t>
  </si>
  <si>
    <t>ИП Рассказова Наталья Геннадьевна</t>
  </si>
  <si>
    <t>505400556701</t>
  </si>
  <si>
    <t>ИП5001014046</t>
  </si>
  <si>
    <t>ИП500101404600000</t>
  </si>
  <si>
    <t>143350 Московская область поселок Селятино улица Промышленная  строение 1 этаж 2 помещение №29</t>
  </si>
  <si>
    <t>ИП Кудрина Зинаида Николаевна</t>
  </si>
  <si>
    <t>505400734601</t>
  </si>
  <si>
    <t>ИП5001019365</t>
  </si>
  <si>
    <t>ИП500101936500000</t>
  </si>
  <si>
    <t>141077 Московская область город Королёв проспект Королева дом 20   часть нежилого помещения (часть комнаты №1)</t>
  </si>
  <si>
    <t>ИП Москалева Ирина Сергеевна</t>
  </si>
  <si>
    <t>505401489984</t>
  </si>
  <si>
    <t>ИП5001016842</t>
  </si>
  <si>
    <t>ИП500101684200000</t>
  </si>
  <si>
    <t>142400 Московская область город Ногинск улица Островского дом 43</t>
  </si>
  <si>
    <t>ИП Баранов Герман Иванович</t>
  </si>
  <si>
    <t>505500095525</t>
  </si>
  <si>
    <t>ИП5001030281</t>
  </si>
  <si>
    <t>ИП500103028100000</t>
  </si>
  <si>
    <t>141900 Московская область город Талдом улица Собцова дом 6/1А</t>
  </si>
  <si>
    <t>ИП Кондратьева Елена Сергеевна</t>
  </si>
  <si>
    <t>505602636212</t>
  </si>
  <si>
    <t>ИП7701007597</t>
  </si>
  <si>
    <t>ИП770100759700000</t>
  </si>
  <si>
    <t>140404 Московская область город Коломна улица Гаврилова дом 4 помещение 1  комната 88</t>
  </si>
  <si>
    <t>ИП Соломахин Роман Владимирович</t>
  </si>
  <si>
    <t>507001868357</t>
  </si>
  <si>
    <t>ИП6306037820</t>
  </si>
  <si>
    <t>ИП630603782000000</t>
  </si>
  <si>
    <t>140500 Московская область город Луховицы улица Жуковского дом 3/42</t>
  </si>
  <si>
    <t>ИП Орешникова Надежда Михайловна</t>
  </si>
  <si>
    <t>507200127956</t>
  </si>
  <si>
    <t>ИП5001016329</t>
  </si>
  <si>
    <t>ИП500101632900000</t>
  </si>
  <si>
    <t>140400 Московская область город Коломна улица Октябрьской революции дом 207   помещение 6</t>
  </si>
  <si>
    <t>ИП500101632900001</t>
  </si>
  <si>
    <t>142660 Московская область город Дрезна улица И.Н.Зимина дом 1 строение 44  помещение 1</t>
  </si>
  <si>
    <t>ИП Куршакова Анна Алексеевна</t>
  </si>
  <si>
    <t>507306056102</t>
  </si>
  <si>
    <t>ИП5001038257</t>
  </si>
  <si>
    <t>ИП500103825700000</t>
  </si>
  <si>
    <t>141310 Московская область город Сергиев Посад улица Карла Маркса дом 7</t>
  </si>
  <si>
    <t>ИП Ходаковский Святослав Валентинович</t>
  </si>
  <si>
    <t>507407314529</t>
  </si>
  <si>
    <t>ИП5001016660</t>
  </si>
  <si>
    <t>ИП500101666000000</t>
  </si>
  <si>
    <t>142180 Московская область город Подольск, микрорайон Климовск улица Индустриальная  дом 11   офис 325</t>
  </si>
  <si>
    <t>ООО "ФАМИЛЬНАЯ КОЛЛЕКЦИЯ"</t>
  </si>
  <si>
    <t>5074076500</t>
  </si>
  <si>
    <t>ЮЛ5001030560</t>
  </si>
  <si>
    <t>ЮЛ500103056000000</t>
  </si>
  <si>
    <t>142970 Московская область рабочий поселок Серебряные Пруды Площадь Советская дом 5</t>
  </si>
  <si>
    <t>ИП Акопян Армен Рубесперович</t>
  </si>
  <si>
    <t>507600034907</t>
  </si>
  <si>
    <t>ИП5001011424</t>
  </si>
  <si>
    <t>ИП500101142400000</t>
  </si>
  <si>
    <t>140090 Московская область город Дзержинский площадь Дмитрия Донского дом 2А   помещение 1</t>
  </si>
  <si>
    <t>ИП Кирейчев Алексей Юрьевич</t>
  </si>
  <si>
    <t>525405146483</t>
  </si>
  <si>
    <t>ИП5001034647</t>
  </si>
  <si>
    <t>ИП500103464700000</t>
  </si>
  <si>
    <t>141006 Московская область город Мытищи проезд Шараповский владение 2   помещение №К1А3 этаж 1</t>
  </si>
  <si>
    <t>ЮЛ520603376600045</t>
  </si>
  <si>
    <t>142100 Московская область город Подольск улица Комсомольская дом 24</t>
  </si>
  <si>
    <t>ЮЛ520603376600056</t>
  </si>
  <si>
    <t>141200 Московская область город Пушкино шоссе Красноармейское  строение 104</t>
  </si>
  <si>
    <t>ЮЛ520603376600076</t>
  </si>
  <si>
    <t>140400 Московская область город Коломна улица Октябрьской Революции дом 362</t>
  </si>
  <si>
    <t>ЮЛ520603376600105</t>
  </si>
  <si>
    <t>141552 Московская область Солнечногорский р-н, рп. Ржавки микрорайон 2-й  строение 20  часть помещения №К 05</t>
  </si>
  <si>
    <t>ЮЛ520603376600138</t>
  </si>
  <si>
    <t>140000 Московская область город Люберцы улица Смирновская дом 19А</t>
  </si>
  <si>
    <t>ЮЛ520601352600016</t>
  </si>
  <si>
    <t>143980 Московская область город Балашиха улица Пролетарская дом 1/2   помещение 4На</t>
  </si>
  <si>
    <t>ЮЛ520601352600018</t>
  </si>
  <si>
    <t>140015 Московская область город Люберцы улица Инициативная дом 14 строение 1</t>
  </si>
  <si>
    <t>ЮЛ520601352600020</t>
  </si>
  <si>
    <t>142100 Московская область город Подольск улица Комсомольская дом 5а   помещение 1</t>
  </si>
  <si>
    <t>ЮЛ520601352600028</t>
  </si>
  <si>
    <t>ЮЛ520601352600033</t>
  </si>
  <si>
    <t>141100 Московская область город Щёлково Площадь Ленина дом 5   помещение 60, этаж 7, комната №704/2</t>
  </si>
  <si>
    <t>ИП Печерская Анна Вячеславовна</t>
  </si>
  <si>
    <t>560710911987</t>
  </si>
  <si>
    <t>ИП5001010557</t>
  </si>
  <si>
    <t>ИП500101055700000</t>
  </si>
  <si>
    <t>141006 Московская область город Мытищи проезд Шараповский дом 1</t>
  </si>
  <si>
    <t>ИП Кинякин Михаил Михайлович</t>
  </si>
  <si>
    <t>581100924411</t>
  </si>
  <si>
    <t>ИП5001003727</t>
  </si>
  <si>
    <t>ИП500100372700000</t>
  </si>
  <si>
    <t>141421 Московская область город Химки улица Кирова ( микрорайон Сходня) дом 1</t>
  </si>
  <si>
    <t>ИП500100372700001</t>
  </si>
  <si>
    <t>141207 Московская область город Пушкино проспект Московский дом 20</t>
  </si>
  <si>
    <t>ИП500100372700005</t>
  </si>
  <si>
    <t>142400 Московская область город Ногинск улица Соборная дом 12   Помещение 6</t>
  </si>
  <si>
    <t>ИП500100372700007</t>
  </si>
  <si>
    <t>141108 Московская область город Щёлково улица Железнодорожная, рабочий поселок Монино дом 31</t>
  </si>
  <si>
    <t>ИП500100388700000</t>
  </si>
  <si>
    <t>141092 Московская область город Королёв улица М.К.Тихонравова дом 32 Корпус А  Помещение 1</t>
  </si>
  <si>
    <t>ИП500100388700004</t>
  </si>
  <si>
    <t>ИП500100388700005</t>
  </si>
  <si>
    <t>143980 Московская область город Балашиха улица Советская, микрорайон Железнодорожный дом 2</t>
  </si>
  <si>
    <t>ИП500100388700008</t>
  </si>
  <si>
    <t>ИП500100388700009</t>
  </si>
  <si>
    <t>ИП500100388700010</t>
  </si>
  <si>
    <t>142400 Московская область город Ногинск улица 3-го Интернационала дом 62   помещение 1</t>
  </si>
  <si>
    <t>ИП500100388700011</t>
  </si>
  <si>
    <t>ИП500100388700012</t>
  </si>
  <si>
    <t>141031 Московская область автодорога Алтуфьевское шоссе километр 1 владение 3 строение 1</t>
  </si>
  <si>
    <t>ИП610400426600002</t>
  </si>
  <si>
    <t>141202 Московская область город Пушкино тер 33-й км автодороги М8 Холмогоры строение 18</t>
  </si>
  <si>
    <t>ИП610400426600016</t>
  </si>
  <si>
    <t>142001 Московская область город Домодедово Каширское шоссе дом 3А  литера1б часть помещени 115 № RMU3</t>
  </si>
  <si>
    <t>ИП610400426600020</t>
  </si>
  <si>
    <t>143300 Московская область город Наро-Фоминск площадь Свободы дом 2   часть 1 помещения 7 комната № 188</t>
  </si>
  <si>
    <t>ИП610400426600028</t>
  </si>
  <si>
    <t>143980 Московская область город Балашиха улица Рождественская дом 3</t>
  </si>
  <si>
    <t>ИП610400426600030</t>
  </si>
  <si>
    <t>140080 Московская область город Лыткарино улица Первомайская дом 2   помещение Ш</t>
  </si>
  <si>
    <t>ИП Иванов Виталий Николаевич</t>
  </si>
  <si>
    <t>611403203537</t>
  </si>
  <si>
    <t>ИП5001006021</t>
  </si>
  <si>
    <t>ИП500100602100000</t>
  </si>
  <si>
    <t>140502 Московская область город Луховицы улица Пушкина дом 151</t>
  </si>
  <si>
    <t>ИП610401294100005</t>
  </si>
  <si>
    <t>140171 Московская область город Бронницы улица Советская дом 155</t>
  </si>
  <si>
    <t>ИП610401294100006</t>
  </si>
  <si>
    <t>143302 Московская область город Наро-Фоминск улица Полубоярова дом 22   пом 4</t>
  </si>
  <si>
    <t>ИП610401294100008</t>
  </si>
  <si>
    <t>143300 Московская область город Наро-Фоминск улица Маршала Жукова  дом 13В</t>
  </si>
  <si>
    <t>ИП610401294100015</t>
  </si>
  <si>
    <t>141103 Московская область город Щёлково улица Радиоцентра N5 владение 7А   помещение 54</t>
  </si>
  <si>
    <t>ИП610401294100016</t>
  </si>
  <si>
    <t>141170 Московская область районное поселение Монино улица Железнодорожная дом 1</t>
  </si>
  <si>
    <t>ИП610401294100018</t>
  </si>
  <si>
    <t>140150 Московская область село Быково улица Театральная дом 7Б</t>
  </si>
  <si>
    <t>ИП610401294100022</t>
  </si>
  <si>
    <t>142701 Московская область город Видное улица Советская дом 48А   помещение 2-6</t>
  </si>
  <si>
    <t>ИП610401294100028</t>
  </si>
  <si>
    <t>143072 Московская область город Одинцово улица Кленовая дом 1   помещение 8</t>
  </si>
  <si>
    <t>ИП610401294100031</t>
  </si>
  <si>
    <t>144010 Московская область город Электросталь улица Ялагина дом 11   помещение 25</t>
  </si>
  <si>
    <t>ИП610401294100032</t>
  </si>
  <si>
    <t>143300 Московская область р.п.Селятино улица Больничная дом 10а/10б   помещение 39</t>
  </si>
  <si>
    <t>ИП610401294100033</t>
  </si>
  <si>
    <t>141840 Московская область город Яхрома улица Ленина дом 2   помещение 103</t>
  </si>
  <si>
    <t>ИП610401294100034</t>
  </si>
  <si>
    <t>142432 Московская область город Черноголовка улица Первая дом 8</t>
  </si>
  <si>
    <t>ИП610401294100035</t>
  </si>
  <si>
    <t>140105 Московская область город Раменское улица Космонавтов дом 1В здание 1  магазин 4</t>
  </si>
  <si>
    <t>ИП610401294100036</t>
  </si>
  <si>
    <t>143360 Московская область город Апрелевка улица Горького здание 2а</t>
  </si>
  <si>
    <t>ИП610401294100040</t>
  </si>
  <si>
    <t>142451 Московская область село Бисерово мкр Новое Бисерово-2 дом 24   помещение 1</t>
  </si>
  <si>
    <t>ИП610401294100044</t>
  </si>
  <si>
    <t>140053 Московская область город Котельники микрорайон Южный дом 8   помещение 0148</t>
  </si>
  <si>
    <t>ИП620100530500002</t>
  </si>
  <si>
    <t>140055 Московская область город Котельники проезд 2-й Покровский дом 12   помещение 2</t>
  </si>
  <si>
    <t>ИП620100530500006</t>
  </si>
  <si>
    <t>140055 Московская область город Котельники улица Кузьминская дом 15   помещение 013</t>
  </si>
  <si>
    <t>ИП620100530500012</t>
  </si>
  <si>
    <t>141402 Московская область город Химки улица 8 Микрорайон корпус 2</t>
  </si>
  <si>
    <t>ИП630601425400047</t>
  </si>
  <si>
    <t>140000 Московская область город Люберцы улица Смирновская дом 18/20А   помещение 2</t>
  </si>
  <si>
    <t>ЮЛ630600190100008</t>
  </si>
  <si>
    <t>141402 Московская область город Химки улица Московская дом 3   помещение 44</t>
  </si>
  <si>
    <t>ЮЛ630600190100009</t>
  </si>
  <si>
    <t>140000 Московская область город Люберцы улица Смирновская дом 18/20   помещение 22</t>
  </si>
  <si>
    <t>ЮЛ630603037200074</t>
  </si>
  <si>
    <t>ЮЛ630603037200100</t>
  </si>
  <si>
    <t>142715 Московская область сельское поселение Совхоз имени Ленина километр МКАД 24 владение 1</t>
  </si>
  <si>
    <t>ИП640600464600000</t>
  </si>
  <si>
    <t>143401 Московская область город Красногорск улица Международная дом 12</t>
  </si>
  <si>
    <t>ИП640600464600009</t>
  </si>
  <si>
    <t>142116 Московская область город Подольск улица Дзержинского дом 4   помещение 6</t>
  </si>
  <si>
    <t>ИП Нехорошков Павел Леонидович</t>
  </si>
  <si>
    <t>660404995797</t>
  </si>
  <si>
    <t>ИП6607040870</t>
  </si>
  <si>
    <t>ИП660704087000000</t>
  </si>
  <si>
    <t>142324 Московская область сельское поселение Баранцевское, деревня Люторецкое улица Производственная владение 3</t>
  </si>
  <si>
    <t>ООО "ЕКАТЕРИНБУРГ ЯБЛОКО"</t>
  </si>
  <si>
    <t>6670381056</t>
  </si>
  <si>
    <t>ЮЛ6607015814</t>
  </si>
  <si>
    <t>ЮЛ660701581400000</t>
  </si>
  <si>
    <t>107076 Московская область город Москва улица Стромынка дом 18 корпус 5  помещение 108</t>
  </si>
  <si>
    <t>ИП Хан Ольга Анатольевна</t>
  </si>
  <si>
    <t>667356978456</t>
  </si>
  <si>
    <t>ИП6607018444</t>
  </si>
  <si>
    <t>ИП660701844400000</t>
  </si>
  <si>
    <t>141006 Московская область город Мытищи проезд Шараповский владение 2 строение 3  помещение 289</t>
  </si>
  <si>
    <t>ИП Коновалюк Виталий Владимирович</t>
  </si>
  <si>
    <t>672704323877</t>
  </si>
  <si>
    <t>ИП6701005852</t>
  </si>
  <si>
    <t>ИП670100585200002</t>
  </si>
  <si>
    <t>143300 Московская область город Наро-Фоминск улица Ленина дом 8   помещение №62</t>
  </si>
  <si>
    <t>ИП Лыков Алексей Николаевич</t>
  </si>
  <si>
    <t>673001537531</t>
  </si>
  <si>
    <t>ИП6701037001</t>
  </si>
  <si>
    <t>ИП670103700100000</t>
  </si>
  <si>
    <t>143070 Московская область город Кубинка Наро-Фоминское шоссе дом 23А строение 1  помещение 15-18</t>
  </si>
  <si>
    <t>ИП670103700100001</t>
  </si>
  <si>
    <t>143302 Московская область город Наро-Фоминск улица Полубоярова дом 24   комнаты 46,58</t>
  </si>
  <si>
    <t>ИП670103700100002</t>
  </si>
  <si>
    <t>143360 Московская область город Апрелевка улица Сентябрьская  дом 5</t>
  </si>
  <si>
    <t>ИП670103700100003</t>
  </si>
  <si>
    <t>143345 Московская область городское поселение Селятино улица Спортивная дом 1   помещение 1Б</t>
  </si>
  <si>
    <t>ИП670103700100004</t>
  </si>
  <si>
    <t>107045 Московская область Москва пер. Колокольников 2</t>
  </si>
  <si>
    <t>ИП700801161100006</t>
  </si>
  <si>
    <t>119019 Московская область Москва Сивцев Вражек 6/2</t>
  </si>
  <si>
    <t>ИП700801161100007</t>
  </si>
  <si>
    <t>142900 Московская область город Кашира переулок Пушкинский дом 1 - - -</t>
  </si>
  <si>
    <t>ИП Жуков Сергей Николаевич</t>
  </si>
  <si>
    <t>710500913131</t>
  </si>
  <si>
    <t>ИП5001000853</t>
  </si>
  <si>
    <t>ИП500100085300000</t>
  </si>
  <si>
    <t>142900 Московская область город Кашира улица Садовая дом 33 - - часть 1 этажа</t>
  </si>
  <si>
    <t>ИП500100085300004</t>
  </si>
  <si>
    <t>142803 Московская область город Ступино проспект Победы дом 63а - - помещение №  1.001 (часть), этаж 1</t>
  </si>
  <si>
    <t>ИП500100085300006</t>
  </si>
  <si>
    <t>142600 Московская область город Орехово-Зуево улица Ленина дом 44а - - помещение №37,этаж 1</t>
  </si>
  <si>
    <t>ИП500100085300008</t>
  </si>
  <si>
    <t>142900 Московская область город Кашира улица Советская дом 18а - - помещения № 2, 3, этаж 1 (часть)</t>
  </si>
  <si>
    <t>ИП500100085300009</t>
  </si>
  <si>
    <t>142840 Московская область рабочий поселок Михнево улица Советская дом 17а - - -</t>
  </si>
  <si>
    <t>ИП500100085300011</t>
  </si>
  <si>
    <t>140205 Московская область город Воскресенск улица Менделеева дом 26</t>
  </si>
  <si>
    <t>ИП Радин Алексей Александрович</t>
  </si>
  <si>
    <t>710605748492</t>
  </si>
  <si>
    <t>ИП7101004890</t>
  </si>
  <si>
    <t>ИП710100489000000</t>
  </si>
  <si>
    <t>144000 Московская область город Электросталь Улица Корешкова Дом 3   Помещение № 64/2</t>
  </si>
  <si>
    <t>ИП770101973600005</t>
  </si>
  <si>
    <t>144000 Московская область город Электросталь Улица проспект Ленина Дом 010   часть нежилого помещения № 181 и № 181а</t>
  </si>
  <si>
    <t>ИП770101973600006</t>
  </si>
  <si>
    <t>141007 Московская область город Королёв проспект Королева дом 6г   помещение 53, цокольный этаж</t>
  </si>
  <si>
    <t>ЮЛ770100201500440</t>
  </si>
  <si>
    <t>ЮЛ770100201500548</t>
  </si>
  <si>
    <t>140408 Московская область город Коломна площадь Восстания дом 6   помещение 2, 1 (первый) этаж</t>
  </si>
  <si>
    <t>ЮЛ770100201500555</t>
  </si>
  <si>
    <t>141002 Московская область город Мытищи улица Станционная строение 7</t>
  </si>
  <si>
    <t>ЮЛ770100201500560</t>
  </si>
  <si>
    <t>141204 Московская область город Пушкино улица Вокзальная дом 2Б</t>
  </si>
  <si>
    <t>ЮЛ770100201500568</t>
  </si>
  <si>
    <t>141204 Московская область город Пушкино улица Тургенева дом 1</t>
  </si>
  <si>
    <t>ЮЛ770100201500572</t>
  </si>
  <si>
    <t>142600 Московская область город Орехово-Зуево улица Вокзальная дом 6   часть помещения 1, 1 (первый) этаж</t>
  </si>
  <si>
    <t>ЮЛ770100201500577</t>
  </si>
  <si>
    <t>143965 Московская область город Реутов улица Южная дом 2   часть помещения 031 (комнаты 1-3), 1 (первый) этаж</t>
  </si>
  <si>
    <t>ЮЛ770100201500694</t>
  </si>
  <si>
    <t>129085 Московская область город Москва Улица Годовикова дом 9 строение 9  этаж 2, пом./ком. I/5</t>
  </si>
  <si>
    <t>АО "СМП"</t>
  </si>
  <si>
    <t>7702451857</t>
  </si>
  <si>
    <t>ЮЛ7701018695</t>
  </si>
  <si>
    <t>ЮЛ770101869500000</t>
  </si>
  <si>
    <t>144004 Московская область город Электросталь Поселок Случайный Массив 1 Строение 2</t>
  </si>
  <si>
    <t>ООО "ЗОЛОТАЯ ЛИРА"</t>
  </si>
  <si>
    <t>7702843491</t>
  </si>
  <si>
    <t>ЮЛ7701009778</t>
  </si>
  <si>
    <t>ЮЛ770100977800003</t>
  </si>
  <si>
    <t>144005 Московская область город Электросталь Проспект Ленина Дом 010   Часть нежилого помещения 172, часть нежилого помещения № 172, № 172а, №172б, №172в</t>
  </si>
  <si>
    <t>ЮЛ770100977800004</t>
  </si>
  <si>
    <t>143581 Московская область деревня Новинки  дом 115 строение 2</t>
  </si>
  <si>
    <t>ООО "ГАРДА"</t>
  </si>
  <si>
    <t>7703549069</t>
  </si>
  <si>
    <t>ЮЛ7701006490</t>
  </si>
  <si>
    <t>ЮЛ770100649000000</t>
  </si>
  <si>
    <t>143003 Московская область город Одинцово улица Маршала Неделина дом 6 этаж 1   помещение №1</t>
  </si>
  <si>
    <t>ИП Попова Диана Александровна</t>
  </si>
  <si>
    <t>770374586120</t>
  </si>
  <si>
    <t>ИП7701016948</t>
  </si>
  <si>
    <t>ИП770101694800000</t>
  </si>
  <si>
    <t>143007 Московская область город Одинцово улица Вокзальная дом 2 - - этаж 1</t>
  </si>
  <si>
    <t>ЮЛ770100736200003</t>
  </si>
  <si>
    <t>140009 Московская область город Люберцы улица Инициативная дом 7Б   этаж 2 помещение №240</t>
  </si>
  <si>
    <t>ЮЛ770100736200021</t>
  </si>
  <si>
    <t>141008 Московская область город Мытищи улица Щербакова дом 2 корпус 1  этаж 2</t>
  </si>
  <si>
    <t>ЮЛ770100736200022</t>
  </si>
  <si>
    <t>141402 Московская область город Химки улица Маяковского дом 20   часть помещения №001</t>
  </si>
  <si>
    <t>ЮЛ770100736200024</t>
  </si>
  <si>
    <t>141402 Московская область город Химки улица Олимпийская дом 28   2 этаж, помещение № 010</t>
  </si>
  <si>
    <t>ИП Калистратова Надежда Николаевна</t>
  </si>
  <si>
    <t>770600097502</t>
  </si>
  <si>
    <t>ИП7701004058</t>
  </si>
  <si>
    <t>ИП770100405800000</t>
  </si>
  <si>
    <t>140005 Московская область город Люберцы проспект Октябрьский дом 146   этаж 1</t>
  </si>
  <si>
    <t>ЮЛ770100717700018</t>
  </si>
  <si>
    <t>141006 Московская область город Мытищи проспект Олимпийский владение 13 строение 1  этаж 1</t>
  </si>
  <si>
    <t>ЮЛ770100717700019</t>
  </si>
  <si>
    <t>143968 Московская область Город Реутов 2-ой км МКАд Дом 2  Б 1 этаж, помещение № 1199</t>
  </si>
  <si>
    <t>ООО "КАПРАЙС"</t>
  </si>
  <si>
    <t>7706299025</t>
  </si>
  <si>
    <t>ЮЛ7701012789</t>
  </si>
  <si>
    <t>ЮЛ770101278900000</t>
  </si>
  <si>
    <t>141004 Московская область город Мытищи улица Силикатная дом 19   3 этаж</t>
  </si>
  <si>
    <t>ЮЛ770100264000000</t>
  </si>
  <si>
    <t>141407 Московская область город Химки шоссе Ленинградское владение 5   часть помещения № 96 этаж 1</t>
  </si>
  <si>
    <t>ЮЛ770100264000010</t>
  </si>
  <si>
    <t>143442 Московская область город Красногорск шоссе Пятницкое дом 1 строение 1</t>
  </si>
  <si>
    <t>ЮЛ770100264000011</t>
  </si>
  <si>
    <t>142000 Московская область город Домодедово улица Каширское шоссе строение 3а   Литера 1Б № 40</t>
  </si>
  <si>
    <t>ЮЛ770100264000020</t>
  </si>
  <si>
    <t>141006 Московская область город Мытищи проезд Шараповский владение 2   К2В8</t>
  </si>
  <si>
    <t>ЮЛ770100264000021</t>
  </si>
  <si>
    <t>143962 Московская область город Реутов шоссе Носовихинское дом 45   8012-140b</t>
  </si>
  <si>
    <t>ЮЛ770100264000022</t>
  </si>
  <si>
    <t>143968 Московская область город Реутов улица МКАД 2 км дом 2   Литер Б Помещение 001 1 этаж часть номера  на поэтажном плане № 1132</t>
  </si>
  <si>
    <t>ЮЛ770100264000028</t>
  </si>
  <si>
    <t>141202 Московская область город Пушкино улица Красноармейское шоссе строение 104   1 этаж, помещение № К-25</t>
  </si>
  <si>
    <t>ЮЛ770100264000029</t>
  </si>
  <si>
    <t>141552 Московская область город Солнечногорск, городское поселение Ржавки, рабочий посёлок Ржавки, микрорайон 2-й   строение 20  часть помещения К44а</t>
  </si>
  <si>
    <t>ЮЛ770100264000033</t>
  </si>
  <si>
    <t>141006 Московская область город Мытищи проезд Шараповский владение 2 строение 3  площадь К2А19</t>
  </si>
  <si>
    <t>ЮЛ770100325900001</t>
  </si>
  <si>
    <t>143404 Московская область город Красногорск улица Ленина дом 2   помещение А0.7</t>
  </si>
  <si>
    <t>ЮЛ770100325900002</t>
  </si>
  <si>
    <t>140170 Московская область город Бронницы переулок Комсомольский дом 53   этаж 1, комната 5</t>
  </si>
  <si>
    <t>ООО "ЛОМБАРД-ПРЕМЬЕР"</t>
  </si>
  <si>
    <t>7707367038</t>
  </si>
  <si>
    <t>ЮЛ7701006041</t>
  </si>
  <si>
    <t>ЮЛ770100604100000</t>
  </si>
  <si>
    <t>143090 Московская область город Краснознаменск улица Связистов дом 9/4/1</t>
  </si>
  <si>
    <t>ООО "РОЗАН ДАЙМОНД"</t>
  </si>
  <si>
    <t>7707514275</t>
  </si>
  <si>
    <t>ЮЛ5001007072</t>
  </si>
  <si>
    <t>ЮЛ500100707200000</t>
  </si>
  <si>
    <t>143401 Московская область город Красногорск улица Международная дом 12   помещение 1-239</t>
  </si>
  <si>
    <t>ЮЛ400100866000002</t>
  </si>
  <si>
    <t>143980 Московская область город Балашиха/микрорайон Железнодорожный улица Советская дом 2   помещение XIII</t>
  </si>
  <si>
    <t>ЮЛ770100150600027</t>
  </si>
  <si>
    <t>141009 Московская область город Мытищи проспект Олимпийский строение 10   этаж 1 часть помещения 104</t>
  </si>
  <si>
    <t>ЮЛ770100301000007</t>
  </si>
  <si>
    <t>143441 Московская область деревня Гаврилково территория ЭЖК Эдем, квартал 17 владение 13</t>
  </si>
  <si>
    <t>ЮЛ770100301000008</t>
  </si>
  <si>
    <t>142180 Московская область город Подольск улица Индустриальная дом 11</t>
  </si>
  <si>
    <t>ЗАО "ГК АККОРД"</t>
  </si>
  <si>
    <t>7709797580</t>
  </si>
  <si>
    <t>ЮЛ5001016104</t>
  </si>
  <si>
    <t>ЮЛ500101610400000</t>
  </si>
  <si>
    <t>143420 Московская область город Красногорск, деревня Воронки, территория Торговый комплекс "Аутлет Москоу"  дом 1 корпус 4</t>
  </si>
  <si>
    <t>ЮЛ770101500300011</t>
  </si>
  <si>
    <t>143081 Московская область город Одинцово деревня Лапино  дом 111</t>
  </si>
  <si>
    <t>ЮЛ770100794500003</t>
  </si>
  <si>
    <t>143420 Московская область город Красногорск Автодорога Балтия 23-й километр  Корпус 1</t>
  </si>
  <si>
    <t>ИП770100821000017</t>
  </si>
  <si>
    <t>140013 Московская область город Люберцы улица Побратимов дом 7   1 этаж, помещение 1-53, 1-54</t>
  </si>
  <si>
    <t>ИП770100821000019</t>
  </si>
  <si>
    <t>143404 Московская область город Красногорск улица Ленина дом 35А   1 этаж</t>
  </si>
  <si>
    <t>ИП770100821000021</t>
  </si>
  <si>
    <t>107076 Московская область Москва Благовещенский переулок дом 3 строение 1  помещение 3, комната 11, 4 этаж</t>
  </si>
  <si>
    <t>ИП Летучева Алина Геннадьевна</t>
  </si>
  <si>
    <t>771370796329</t>
  </si>
  <si>
    <t>ИП7701019560</t>
  </si>
  <si>
    <t>ИП770101956000000</t>
  </si>
  <si>
    <t>141923 Московская область деревня Ермолино</t>
  </si>
  <si>
    <t>ИП Чеснов Александр Алексеевич</t>
  </si>
  <si>
    <t>771378367949</t>
  </si>
  <si>
    <t>ИП7701008925</t>
  </si>
  <si>
    <t>ИП770100892500000</t>
  </si>
  <si>
    <t>142300 Московская область город Чехов улица Полиграфистов дом 1 корпус Б  помещение 216</t>
  </si>
  <si>
    <t>ИП Тумасян Эмма Левоновна</t>
  </si>
  <si>
    <t>771380236710</t>
  </si>
  <si>
    <t>ИП7701014580</t>
  </si>
  <si>
    <t>ИП770101458000000</t>
  </si>
  <si>
    <t>140205 Московская область город Воскресенск улица Менделеева дом 12 этаж 1</t>
  </si>
  <si>
    <t>ИП770100417900007</t>
  </si>
  <si>
    <t>141410 Московская область город Химки микрорайон ИКЕА  корпус 2 1 этаж помещение № М02_7062s</t>
  </si>
  <si>
    <t>ИП770101268000000</t>
  </si>
  <si>
    <t>142703 Московская область город Видное микрорайон Солнечный дом 10   помещение 215, этаж 2</t>
  </si>
  <si>
    <t>ИП Фетисова Елена Игоревна</t>
  </si>
  <si>
    <t>771505478010</t>
  </si>
  <si>
    <t>ИП7701006271</t>
  </si>
  <si>
    <t>ИП770100627100000</t>
  </si>
  <si>
    <t>143401 Московская область город Красногорск улица Международная дом 8   помещение 50</t>
  </si>
  <si>
    <t>ИП500102011000003</t>
  </si>
  <si>
    <t>143441 Московская область деревня Путилково Путилковское шоссе дом 112А   офис 39</t>
  </si>
  <si>
    <t>ИП Двуреченский Пётр Владимирович</t>
  </si>
  <si>
    <t>771572695820</t>
  </si>
  <si>
    <t>ИП7701012283</t>
  </si>
  <si>
    <t>ИП770101228300000</t>
  </si>
  <si>
    <t>143402 Московская область город Красногорск улица Международная дом 8   этаж 1, секции № 13, 14, 15</t>
  </si>
  <si>
    <t>ИП770100276900001</t>
  </si>
  <si>
    <t>143007 Московская область город Одинцово улица Свободы дом 1</t>
  </si>
  <si>
    <t>ЮЛ770101330100001</t>
  </si>
  <si>
    <t>107564 Московская область город Москва улица Краснобогатырская дом 2 стр 2 этаж 3 Офис  083</t>
  </si>
  <si>
    <t>ИП Саркисян Карен Алексанович</t>
  </si>
  <si>
    <t>771601764581</t>
  </si>
  <si>
    <t>ИП0001007697</t>
  </si>
  <si>
    <t>ИП000100769700000</t>
  </si>
  <si>
    <t>141006 Московская область город Мытищи проезд Шараповский владение 2 строение 3  этаж 1, помещение 289, помещение А12</t>
  </si>
  <si>
    <t>ЮЛ770101216600002</t>
  </si>
  <si>
    <t>140055 Московская область город Котельники проезд 1-й Покровский дом 5   часть помещения 124, этаж 2</t>
  </si>
  <si>
    <t>ЮЛ770101216600003</t>
  </si>
  <si>
    <t>142001 Московская область город Домодедово Микрорайон Северный, шоссе Каширское строение 3А  Литер 1Б помещение 215, 221, этаж 1</t>
  </si>
  <si>
    <t>ЮЛ770101216600005</t>
  </si>
  <si>
    <t>141734 Московская область город Лобня проезд Краснополянский дом 2   часть помещения В24, этаж 1</t>
  </si>
  <si>
    <t>ЮЛ770101216600015</t>
  </si>
  <si>
    <t>141552 Московская область рабочий поселок Ржавки микрорайон 2-й  Строение 20  помещение С14, этаж 1</t>
  </si>
  <si>
    <t>ЮЛ770101216600019</t>
  </si>
  <si>
    <t>143401 Московская область город Красногорск улица Международная дом 12   секция 1/246, этаж 1</t>
  </si>
  <si>
    <t>ЮЛ770101216600022</t>
  </si>
  <si>
    <t>143968 Московская область город Реутов улица МКАД 2 км дом 2  Литер Б часть номера 1166, этаж 1</t>
  </si>
  <si>
    <t>ЮЛ770101216600023</t>
  </si>
  <si>
    <t>140002 Московская область город Люберцы проспект Октябрьский дом 112   этаж 1</t>
  </si>
  <si>
    <t>ЮЛ770101216600024</t>
  </si>
  <si>
    <t>143402 Московская область город Красногорск улица Знаменская дом 5   помещение В-15, комната 82, этаж 1</t>
  </si>
  <si>
    <t>ЮЛ770101216600033</t>
  </si>
  <si>
    <t>141202 Московская область город Пушкино улица Красноармейское шоссе строение 104   этаж 1</t>
  </si>
  <si>
    <t>ЮЛ770101216600045</t>
  </si>
  <si>
    <t>142715 Московская область сельское поселение Совхоз имени Ленина километр МКАД 24 владение 1   секция 1-331, этаж 1</t>
  </si>
  <si>
    <t>ЮЛ770101216600050</t>
  </si>
  <si>
    <t>143025 Московская область город Одинцово проезд Хорошевский дом 14   секция 2/112, этаж 2</t>
  </si>
  <si>
    <t>ЮЛ770101216600053</t>
  </si>
  <si>
    <t>141407 Московская область город Химки шоссе Ленинградское владение 5   часть комнаты 96, этаж 1</t>
  </si>
  <si>
    <t>ЮЛ770101216600055</t>
  </si>
  <si>
    <t>141031 Московская область  Алтуфьевское шоссе километр 1 Владение 3 Строение 1  часть помещения ХХХХVI, этаж 1</t>
  </si>
  <si>
    <t>ЮЛ770101216600061</t>
  </si>
  <si>
    <t>143952 Московская область город Балашиха шоссе Энтузиастов дом 1Б   комната 1164, 1179, 1180, этаж 1</t>
  </si>
  <si>
    <t>ЮЛ770101216600062</t>
  </si>
  <si>
    <t>143007 Московская область город Одинцово улица Советская дом 5а   этаж 1</t>
  </si>
  <si>
    <t>ЮЛ770101216600063</t>
  </si>
  <si>
    <t>141981 Московская область город Дубна проспект Боголюбова дом 24А   помещение VIII, этаж 1</t>
  </si>
  <si>
    <t>ЮЛ770101216600064</t>
  </si>
  <si>
    <t>140013 Московская область город Люберцы улица Побратимов дом 7   помещение 1а, этаж 1</t>
  </si>
  <si>
    <t>ЮЛ770101216600065</t>
  </si>
  <si>
    <t>141700 Московская область город Долгопрудный проспект Лихачевский дом 64   помещение 103, этаж 1</t>
  </si>
  <si>
    <t>ЮЛ770101216600069</t>
  </si>
  <si>
    <t>142600 Московская область город Орехово-Зуево улица Ленина дом 78   помещение 1.3, этаж 1</t>
  </si>
  <si>
    <t>ЮЛ770101216600073</t>
  </si>
  <si>
    <t>143989 Московская область город Балашиха улица Рождественская дом 3   помещение I комната 7, этаж 1</t>
  </si>
  <si>
    <t>ЮЛ770101216600076</t>
  </si>
  <si>
    <t>142803 Московская область город Ступино проспект Победы дом 63А   помещение 1.149, этаж 1</t>
  </si>
  <si>
    <t>ЮЛ770101216600080</t>
  </si>
  <si>
    <t>142400 Московская область город Ногинск улица Комсомольская дом 26   помещение 1, островок  3,  этаж 1</t>
  </si>
  <si>
    <t>ЮЛ770101216600124</t>
  </si>
  <si>
    <t>142300 Московская область город Чехов улица Московская владение 96   помещение № 22, этаж 1</t>
  </si>
  <si>
    <t>ЮЛ770101216600130</t>
  </si>
  <si>
    <t>141207 Московская область город Пушкино улица Чехова дом 12   этаж 2</t>
  </si>
  <si>
    <t>ЮЛ770101216600206</t>
  </si>
  <si>
    <t>140501 Московская область город Луховицы улица Пушкина дом 125   часть  помещения  41, этаж 1</t>
  </si>
  <si>
    <t>ЮЛ770101216600229</t>
  </si>
  <si>
    <t>141021 Московская область город Мытищи улица Мира дом 51   комната 143, 144, этаж 1</t>
  </si>
  <si>
    <t>ЮЛ770101216600240</t>
  </si>
  <si>
    <t>143001 Московская область город Одинцово улица Западная дом 181   комната 173, 174, этаж 3</t>
  </si>
  <si>
    <t>ЮЛ770101216600242</t>
  </si>
  <si>
    <t>143005 Московская область город Одинцово улица Говорова дом 163   этаж 1</t>
  </si>
  <si>
    <t>ЮЛ770101216600246</t>
  </si>
  <si>
    <t>142104 Московская область город Подольск улица Большая Серпуховская дом 45   помещение 44, этаж 2</t>
  </si>
  <si>
    <t>ЮЛ770101216600249</t>
  </si>
  <si>
    <t>142100 Московская область город Подольск улица Комсомольская дом 24    Помещения А42, А41а, этаж 1</t>
  </si>
  <si>
    <t>ЮЛ770101216600250</t>
  </si>
  <si>
    <t>143900 Московская область город Балашиха шоссе Энтузиастов дом 54А   помещение IХ/7, этаж 1</t>
  </si>
  <si>
    <t>ЮЛ770101216600277</t>
  </si>
  <si>
    <t>140187 Московская область город Жуковский улица Гагарина дом 67   помещения 11, 12, 13, 14, этаж 2</t>
  </si>
  <si>
    <t>ЮЛ770101216600286</t>
  </si>
  <si>
    <t>143965 Московская область город Реутов улица Октября владение 10   секция КА6, этаж 1</t>
  </si>
  <si>
    <t>ЮЛ770101216600320</t>
  </si>
  <si>
    <t>143404 Московская область город Красногорск улица Ленина дом 2   помещение 1, помещение 124  (А1), этаж 1</t>
  </si>
  <si>
    <t>ЮЛ770101216600330</t>
  </si>
  <si>
    <t>142001 Московская область город Домодедово микрорайон Южный Каширское шоссе  строение 114  этаж 1</t>
  </si>
  <si>
    <t>ЮЛ770101216600334</t>
  </si>
  <si>
    <t>141800 Московская область город Дмитров улица Загорская дом 22   этаж 1, помещение 30</t>
  </si>
  <si>
    <t>ЮЛ770101216600339</t>
  </si>
  <si>
    <t>144005 Московская область город Электросталь проспект Ленина дом 010   этаж 1, нежилые помещения 178,178а,178б,178в</t>
  </si>
  <si>
    <t>ЮЛ770101216600346</t>
  </si>
  <si>
    <t>141109 Московская область город Щёлково улица Талсинская строение 6Б   комнаты 1,2</t>
  </si>
  <si>
    <t>ЮЛ770101216600351</t>
  </si>
  <si>
    <t>144003 Московская область город Электросталь улица Корешкова дом 3   этаж 1, часть помещение №61</t>
  </si>
  <si>
    <t>ЮЛ770101216600364</t>
  </si>
  <si>
    <t>140408 Московская область город Коломна улица Октябрьской революции дом 362   этаж 1, помещение №А13</t>
  </si>
  <si>
    <t>ЮЛ770101216600365</t>
  </si>
  <si>
    <t>142500 Московская область город Павловский Посад улица Большая Покровская дом 35   этаж 1</t>
  </si>
  <si>
    <t>ЮЛ770101216600383</t>
  </si>
  <si>
    <t>141069 Московская область город Королёв улица Лесная дом 12   этаж 1, часть нежилого помещения №ХС</t>
  </si>
  <si>
    <t>ЮЛ770101216600384</t>
  </si>
  <si>
    <t>140108 Московская область город Раменское улица Михалевича дом 72   этаж 1, часть помещения 1</t>
  </si>
  <si>
    <t>ЮЛ770101216600440</t>
  </si>
  <si>
    <t>143923 Московская область город Балашиха шоссе Энтузиастов владение 11 строение 4  этаж 1</t>
  </si>
  <si>
    <t>ЮЛ770101216600443</t>
  </si>
  <si>
    <t>142400 Московская область город Ногинск  дом 5   этаж 1,часть нежилого помещения № 147</t>
  </si>
  <si>
    <t>ЮЛ770101216600448</t>
  </si>
  <si>
    <t>142710 Московская область город Видное улица Сухановская дом 1 строение 1  этаж 1, часть нежилого помещения №2</t>
  </si>
  <si>
    <t>ЮЛ770101216600454</t>
  </si>
  <si>
    <t>143962 Московская область город Реутов шоссе Носовихинское дом 45   этаж 2, часть нежилого помещения № К14</t>
  </si>
  <si>
    <t>ЮЛ770101216600455</t>
  </si>
  <si>
    <t>141607 Московская область город Клин улица Карла Маркса дом 4   этаж 1, комн. 8,9,10</t>
  </si>
  <si>
    <t>ЮЛ770101216600457</t>
  </si>
  <si>
    <t>141080 Московская область город Королёв улица Коммунальная дом 1   этаж 1, помещение № MI 12b</t>
  </si>
  <si>
    <t>ЮЛ770101216600459</t>
  </si>
  <si>
    <t>140108 Московская область город Раменское улица Вокзальная дом 4б   этаж 1 , комнаты №81,82,83, часть комнат №84,85</t>
  </si>
  <si>
    <t>ЮЛ770101216600528</t>
  </si>
  <si>
    <t>143441 Московская область город Красногорск шоссе Путилковское владение 117   этаж 1, часть нежилого Помещения № 136/3</t>
  </si>
  <si>
    <t>ЮЛ770101216600547</t>
  </si>
  <si>
    <t>141501 Московская область город Химки микрорайон ИКЕА корпус 2   этаж 1, помещение 8024</t>
  </si>
  <si>
    <t>ЮЛ770101216600561</t>
  </si>
  <si>
    <t>141580 Московская область город Химки улица Торгово-Промышленная строение 6Б   этаж 1, часть помещения № 11 (K5)</t>
  </si>
  <si>
    <t>ЮЛ770101216600574</t>
  </si>
  <si>
    <t>142450 Московская область город Старая Купавна улица Кирова дом 19 строение 1  помещение 2, этаж 1</t>
  </si>
  <si>
    <t>ЮЛ770101216600582</t>
  </si>
  <si>
    <t>140125 Московская область город Люберцы, деревня Островцы  улица Подмосковная дом 37   1 этаж, нежилое помещение № 57, часть помещений № 56 и № 58</t>
  </si>
  <si>
    <t>ЮЛ770101216600584</t>
  </si>
  <si>
    <t>142100 Московская область город Подольск улица Большая Серпуховская дом 5   этаж 1</t>
  </si>
  <si>
    <t>ЮЛ770101216600588</t>
  </si>
  <si>
    <t>140108 Московская область город Раменское улица Вокзальная дом 4б   этаж 1, комнаты № 81, 82, 83, часть комнат № 84 и 85</t>
  </si>
  <si>
    <t>ЮЛ770101216600612</t>
  </si>
  <si>
    <t>143441 Московская область город Красногорск километр МКАД 71 строение 16А   этаж 1</t>
  </si>
  <si>
    <t>ЮЛ770101216600625</t>
  </si>
  <si>
    <t>142701 Московская область город Видное квартал Северный дом 2   этаж 1, часть помещения в нежилом помещении № 2</t>
  </si>
  <si>
    <t>ЮЛ770101216600649</t>
  </si>
  <si>
    <t>143026 Московская область город Одинцово шоссе Можайское дом 110   помещение 4, этаж 1, комнаты № 112, № 112а</t>
  </si>
  <si>
    <t>ЮЛ770101216600657</t>
  </si>
  <si>
    <t>141551 Московская область деревня Голубое проезд Тверецкий  строение 18А  этаж 1</t>
  </si>
  <si>
    <t>ЮЛ770101216600678</t>
  </si>
  <si>
    <t>140180 Московская область город Жуковский улица Гагарина дом 60А   этаж 2,  комната ( павильон) №220</t>
  </si>
  <si>
    <t>ЮЛ770101216600681</t>
  </si>
  <si>
    <t>141103 Московская область город Щёлково улица Радиоцентра №5 владение 7А   этаж 2, нежилое помещение №55</t>
  </si>
  <si>
    <t>ЮЛ770101216600684</t>
  </si>
  <si>
    <t>141311 Московская область город Сергиев Посад улица Птицеградская дом 2б   этаж цокольный</t>
  </si>
  <si>
    <t>ЮЛ770101216600686</t>
  </si>
  <si>
    <t>141301 Московская область город Сергиев Посад шоссе Новоугличское дом 85   этаж 1, помещение  SE/24</t>
  </si>
  <si>
    <t>ЮЛ770101216600687</t>
  </si>
  <si>
    <t>142600 Московская область город Орехово-Зуево улица Якова Флиера дом 4   этаж 1, помещение OZ/15</t>
  </si>
  <si>
    <t>ЮЛ770101216600690</t>
  </si>
  <si>
    <t>141700 Московская область город Долгопрудный проспект Лихачевский дом 68   этаж 1</t>
  </si>
  <si>
    <t>ЮЛ770101216600692</t>
  </si>
  <si>
    <t>143406 Московская область город Красногорск улица 50 лет Октября дом 12   этаж 1, часть помещения 1, место А18</t>
  </si>
  <si>
    <t>ЮЛ770101216600694</t>
  </si>
  <si>
    <t>142400 Московская область город Ногинск улица 3-го Интернационала дом 52   этаж 1, помещение № 106</t>
  </si>
  <si>
    <t>ЮЛ770101216600697</t>
  </si>
  <si>
    <t>141014 Московская область город Мытищи улица Селезнева дом 33   этаж 1, часть комнаты 111</t>
  </si>
  <si>
    <t>ЮЛ770101216600698</t>
  </si>
  <si>
    <t>141011 Московская область город Мытищи улица Коммунистическая дом 1   этаж 1, помещение № П 8, часть комнаты № 61</t>
  </si>
  <si>
    <t>ЮЛ770101216600701</t>
  </si>
  <si>
    <t>143081 Московская область село Юдино  дом 55Е строение 1  этаж 1, нежилое помещение № А52</t>
  </si>
  <si>
    <t>ЮЛ770101216600735</t>
  </si>
  <si>
    <t>143080 Московская область Одинцовский округ, дачный поселок Лесной городок  улица Школьная дом 1   1 этаж, торговое помещение 01/41</t>
  </si>
  <si>
    <t>ЮЛ770101216600776</t>
  </si>
  <si>
    <t>141051 Московская область городской округ Мытищи, поселок Птицефабрики шоссе Дмитровское строение 4   1 этаж, часть нежилого помещения №75</t>
  </si>
  <si>
    <t>ЮЛ770101216600804</t>
  </si>
  <si>
    <t>141008 Московская область город Мытищи улица Мира строение 32/2   1 этаж, торговое место №15</t>
  </si>
  <si>
    <t>ЮЛ770101216600817</t>
  </si>
  <si>
    <t>140055 Московская область город Котельники Новорязанское шоссе дом 24   1 этаж, часть нежилого помещения</t>
  </si>
  <si>
    <t>ЮЛ770101216600840</t>
  </si>
  <si>
    <t>143912 Московская область город Балашиха шоссе Энтузиастов дом 48   1 этаж, часть нежилого помещения: остров №MI15</t>
  </si>
  <si>
    <t>ЮЛ770101216600845</t>
  </si>
  <si>
    <t>143600 Московская область город Волоколамск улица Панфилова дом 22   1 этаж, часть помещения №4</t>
  </si>
  <si>
    <t>ЮЛ770101216600850</t>
  </si>
  <si>
    <t>142720 Московская область городской округ Ленинский, поселок городского типа Боброво  строение 239   1 этаж, часть нежилого помещения</t>
  </si>
  <si>
    <t>ЮЛ770101216600852</t>
  </si>
  <si>
    <t>143401 Московская область город Красногорск улица Международная дом 12   1 этаж, секция 2/1/1/165</t>
  </si>
  <si>
    <t>ЮЛ770101216600888</t>
  </si>
  <si>
    <t>141501 Московская область город Химки микрорайон ИКЕА корпус 2   нежилое помещение № M02_3045</t>
  </si>
  <si>
    <t>ЮЛ770101216600895</t>
  </si>
  <si>
    <t>143980 Московская область город Балашиха, микрорайон Железнодорожный улица Советская дом 9   1 этаж, часть нежилого помещения №32</t>
  </si>
  <si>
    <t>ЮЛ770101216600907</t>
  </si>
  <si>
    <t>141402 Московская область город Химки улица Московская строение 14А   этаж 1</t>
  </si>
  <si>
    <t>ЮЛ770101216600933</t>
  </si>
  <si>
    <t>141109 Московская область город Щёлково улица Талсинская дом 2А   подвальный и первый этаж, нежилое помещение №I</t>
  </si>
  <si>
    <t>ЮЛ770101216600948</t>
  </si>
  <si>
    <t>142300 Московская область город Чехов шоссе Симферопольское дом 1   этаж 1, помещение б/н</t>
  </si>
  <si>
    <t>ЮЛ770101216600955</t>
  </si>
  <si>
    <t>143441 Московская область город Красногорск бульвар Спасо-Тушинский строение 1Б   этаж 1, часть нежилого помещения B2</t>
  </si>
  <si>
    <t>ЮЛ770101216601004</t>
  </si>
  <si>
    <t>141326 Московская область город Сергиев Посад улица Вокзальная дом 2а</t>
  </si>
  <si>
    <t>ЮЛ770103145400003</t>
  </si>
  <si>
    <t>141402 Московская область город Химки улица Московская дом 3</t>
  </si>
  <si>
    <t>ЮЛ770103145400004</t>
  </si>
  <si>
    <t>141730 Московская область город Лобня улица Ленина дом 19 корпус 1  пом. 190</t>
  </si>
  <si>
    <t>ЮЛ770103145400005</t>
  </si>
  <si>
    <t>141701 Московская область город Долгопрудный улица Первомайская дом 56   нежилое помещенние 22</t>
  </si>
  <si>
    <t>ЮЛ770103145400007</t>
  </si>
  <si>
    <t>141207 Московская область город Пушкино улица Леромонтова 2В</t>
  </si>
  <si>
    <t>ЮЛ770103145400009</t>
  </si>
  <si>
    <t>141002 Московская область город Мытищи улица Селезнева</t>
  </si>
  <si>
    <t>ЮЛ770103145400011</t>
  </si>
  <si>
    <t>140013 Московская область город Люберцы улица Побратимов дом 7   этаж 2, условный номер 2-23</t>
  </si>
  <si>
    <t>ИП770103449300001</t>
  </si>
  <si>
    <t>141707 Московская область город Долгопрудный проспект Пацаева дом 7 корпус 8  помещение 2</t>
  </si>
  <si>
    <t>ИП Пахомова Вероника Александровна</t>
  </si>
  <si>
    <t>771808427871</t>
  </si>
  <si>
    <t>ИП7701007150</t>
  </si>
  <si>
    <t>ИП770100715000000</t>
  </si>
  <si>
    <t>140000 Московская область город Люберцы Октябрьский проспект дом 366   этаж 2</t>
  </si>
  <si>
    <t>ЮЛ770100511600002</t>
  </si>
  <si>
    <t>140180 Московская область город Жуковский улица Гагарина дом 67   этаж 2</t>
  </si>
  <si>
    <t>ЮЛ770100511600003</t>
  </si>
  <si>
    <t>141150 Московская область город Лосино-Петровский Почтовый переулок дом 1   офис 71</t>
  </si>
  <si>
    <t>ООО "ДУБЛИКАТ"</t>
  </si>
  <si>
    <t>7719614041</t>
  </si>
  <si>
    <t>ЮЛ7701011691</t>
  </si>
  <si>
    <t>ЮЛ770101169100000</t>
  </si>
  <si>
    <t>141703 Московская область город Долгопрудный ТЕР. ДНТ Щапово-2, проезд 3-ий Московский дом 4 строение 1</t>
  </si>
  <si>
    <t>ООО "ЮВЕЛИРНЫЙ ДОМ "ШАХОВСКОЙ"</t>
  </si>
  <si>
    <t>7719760684</t>
  </si>
  <si>
    <t>ЮЛ7701016990</t>
  </si>
  <si>
    <t>ЮЛ770101699000000</t>
  </si>
  <si>
    <t>143981 Московская область город Балашиха улица Центральная дом 41 строение 1  помещение IV, часть комнаты №2</t>
  </si>
  <si>
    <t>ИП Пронина Полина Владимировна</t>
  </si>
  <si>
    <t>772030404223</t>
  </si>
  <si>
    <t>ИП7701036152</t>
  </si>
  <si>
    <t>ИП770103615200000</t>
  </si>
  <si>
    <t>121352 Московская область Город Москва Кутузовский проспект дом 57   помещение 1.030</t>
  </si>
  <si>
    <t>ИП770100521400001</t>
  </si>
  <si>
    <t>141080 Московская область город Королёв проспект Космонавтов дом 20а   1 этаж</t>
  </si>
  <si>
    <t>ООО "ЗОЛОТАЯ ЛИЛИЯ"</t>
  </si>
  <si>
    <t>7720728131</t>
  </si>
  <si>
    <t>ЮЛ7701004583</t>
  </si>
  <si>
    <t>ЮЛ770100458300000</t>
  </si>
  <si>
    <t>141290 Московская область город Красноармейск улица Новая Жизнь дом 2</t>
  </si>
  <si>
    <t>ЮЛ770100458300001</t>
  </si>
  <si>
    <t>140070 Московская область город Люберцы, городской посёлок Томилино  Егорьевское шоссе - строение 2 - -</t>
  </si>
  <si>
    <t>ИП Фролкова Ирина Владимировна</t>
  </si>
  <si>
    <t>772136953304</t>
  </si>
  <si>
    <t>ИП7701033173</t>
  </si>
  <si>
    <t>ИП770103317300000</t>
  </si>
  <si>
    <t>140011 Московская область город Люберцы шоссе Новорязанское дом 3</t>
  </si>
  <si>
    <t>ИП Железнов Евгений Михайлович</t>
  </si>
  <si>
    <t>772140331063</t>
  </si>
  <si>
    <t>ИП7701013282</t>
  </si>
  <si>
    <t>ИП770101328200000</t>
  </si>
  <si>
    <t>140009 Московская область город Люберцы улица Инициативная дом 7Б - - -</t>
  </si>
  <si>
    <t>ИП Фролкова Ольга Владимировна</t>
  </si>
  <si>
    <t>772160667311</t>
  </si>
  <si>
    <t>ИП7701013327</t>
  </si>
  <si>
    <t>ИП770101332700000</t>
  </si>
  <si>
    <t>141407 Московская область город Химки улица Горшина дом 1   ПОМЕЩЕНИЕ XXVIII</t>
  </si>
  <si>
    <t>ООО "ЛОМБАРД-СЭ"</t>
  </si>
  <si>
    <t>7721668260</t>
  </si>
  <si>
    <t>ЮЛ5001002270</t>
  </si>
  <si>
    <t>ЮЛ500100227000000</t>
  </si>
  <si>
    <t>141981 Московская область город Дубна проспект Боголюбова дом 24А   помещ. Х</t>
  </si>
  <si>
    <t>ЮЛ770101053400003</t>
  </si>
  <si>
    <t>140002 Московская область город Люберцы проспект Октябрьский дом 112   помещение 61</t>
  </si>
  <si>
    <t>ЮЛ770101053400004</t>
  </si>
  <si>
    <t>143180 Московская область город Звенигород улица Московская дом 18А   помещение III</t>
  </si>
  <si>
    <t>ЮЛ770101053400005</t>
  </si>
  <si>
    <t>140032 Московская область поселок Малаховка улица Шоссейная Дом 3/1</t>
  </si>
  <si>
    <t>ИП Сорокина Марина Викторовна</t>
  </si>
  <si>
    <t>772316544639</t>
  </si>
  <si>
    <t>ИП7701018607</t>
  </si>
  <si>
    <t>ИП770101860700000</t>
  </si>
  <si>
    <t>142181 Московская область город Подольск, микрорайон Климовск улица Заводская дом 11/2</t>
  </si>
  <si>
    <t>ИП770100891600001</t>
  </si>
  <si>
    <t>142800 Московская область город Ступино проспект Победы дом 24/25</t>
  </si>
  <si>
    <t>ИП Руди Владимир Иванович</t>
  </si>
  <si>
    <t>772343931926</t>
  </si>
  <si>
    <t>ИП7701009592</t>
  </si>
  <si>
    <t>ИП770100959200000</t>
  </si>
  <si>
    <t>142600 Московская область город Орехово-Зуево улица Ленина дом 51</t>
  </si>
  <si>
    <t>ИП770100959200002</t>
  </si>
  <si>
    <t>142181 Московская область город Подольск улица Заводская дом 11/2</t>
  </si>
  <si>
    <t>ИП770100959200006</t>
  </si>
  <si>
    <t>142184 Московская область город Климовск улица Симферопольская дом 35</t>
  </si>
  <si>
    <t>ООО "ЛОМБАРД РУБИН"</t>
  </si>
  <si>
    <t>7723689177</t>
  </si>
  <si>
    <t>ЮЛ7701003733</t>
  </si>
  <si>
    <t>ЮЛ770100373300002</t>
  </si>
  <si>
    <t>142720 Московская область город Видное улица Крымская дом 15</t>
  </si>
  <si>
    <t>ЮЛ770100373300003</t>
  </si>
  <si>
    <t>140300 Московская область город Егорьевск улица Советская дом 160А второй этаж - -</t>
  </si>
  <si>
    <t>ИП770100662900001</t>
  </si>
  <si>
    <t>140704 Московская область город Шатура проспект Ильича дом 55 - - -</t>
  </si>
  <si>
    <t>ИП770100662900002</t>
  </si>
  <si>
    <t>141601 Московская область город Клин Улица Гагарина Дом 37/1 инвентарный номер 460 Литера А5 помещение № 17</t>
  </si>
  <si>
    <t>ИП770100662900004</t>
  </si>
  <si>
    <t>141980 Московская область город Дубна Проспект Боголюбова Дом 15 - Секция 7 Помещение (1-24)</t>
  </si>
  <si>
    <t>ИП770100662900005</t>
  </si>
  <si>
    <t>143080 Московская область Дачный поселок Лесной Городок Улица Молодежная Дом 8 - - Этаж 2, Помещение №2.15</t>
  </si>
  <si>
    <t>ИП770100662900006</t>
  </si>
  <si>
    <t>141551 Московская область город Солнечногорск улица Родниковая Дом 4 Б 1 этаж - -</t>
  </si>
  <si>
    <t>ИП770100662900007</t>
  </si>
  <si>
    <t>141551 Московская область город Солнечногорск проезд Тверецкий  строение 18А</t>
  </si>
  <si>
    <t>ИП770100662900008</t>
  </si>
  <si>
    <t>141544 Московская область город Химки улица Лунная дом 2А   часть помещения 27</t>
  </si>
  <si>
    <t>ИП770100662900009</t>
  </si>
  <si>
    <t>141410 Московская область город Химки микрорайон ИКЕА корпус 2</t>
  </si>
  <si>
    <t>ЮЛ770100419400024</t>
  </si>
  <si>
    <t>143032 Московская область поселок Горки-10  27/2</t>
  </si>
  <si>
    <t>ЮЛ770100419400027</t>
  </si>
  <si>
    <t>140408 Московская область город Коломна улица Октябрьской революции дом 362</t>
  </si>
  <si>
    <t>ЮЛ770100419400029</t>
  </si>
  <si>
    <t>140055 Московская область город Котельники проезд 1-й Покровский дом 1</t>
  </si>
  <si>
    <t>ЮЛ770100419400030</t>
  </si>
  <si>
    <t>ЮЛ770100419400032</t>
  </si>
  <si>
    <t>143968 Московская область город Реутов улица МКАД 2 км дом 2</t>
  </si>
  <si>
    <t>ЮЛ770100419400035</t>
  </si>
  <si>
    <t>143025 Московская область поселок Немчиновка проезд Хорошевский дом 14</t>
  </si>
  <si>
    <t>ЮЛ770100419400050</t>
  </si>
  <si>
    <t>141202 Московская область город Пушкино Красноармейское шоссе строение 104</t>
  </si>
  <si>
    <t>ЮЛ770100419400053</t>
  </si>
  <si>
    <t>141580 Московская область город Химки, деревня Черная Грязь улица Торгово-Промышленная строение 6Б   Помещение №18 (№17)</t>
  </si>
  <si>
    <t>ЮЛ770100419400135</t>
  </si>
  <si>
    <t>ЮЛ770100419400139</t>
  </si>
  <si>
    <t>ЮЛ770100419400140</t>
  </si>
  <si>
    <t>141006 Московская область город Мытищи проезд Шараповский владение 2 строение 3</t>
  </si>
  <si>
    <t>ЮЛ770100419400143</t>
  </si>
  <si>
    <t>143912 Московская область город Балашиха проспект Ленина дом 25</t>
  </si>
  <si>
    <t>ЮЛ770100419400150</t>
  </si>
  <si>
    <t>141552 Московская область городское поселение Ржавки микрорайон 2-й</t>
  </si>
  <si>
    <t>ЮЛ770100419400152</t>
  </si>
  <si>
    <t>142702 Московская область город Видное улица Олимпийская дом 6 корпус 1</t>
  </si>
  <si>
    <t>ЮЛ770100419400160</t>
  </si>
  <si>
    <t>140055 Московская область город Котельники Новорязанское шоссе дом 8 строение 2</t>
  </si>
  <si>
    <t>ЮЛ770100419400161</t>
  </si>
  <si>
    <t>140055 Московская область город Котельники проезд 1-й Покровский дом 5</t>
  </si>
  <si>
    <t>ЮЛ770100419400216</t>
  </si>
  <si>
    <t>142715 Московская область поселок совхоз им. Ленина километр МКАД 24 владение 1</t>
  </si>
  <si>
    <t>ЮЛ770100419400220</t>
  </si>
  <si>
    <t>141031 Московская область пос. Вёшки улица Заводская строение 16   помещение 16</t>
  </si>
  <si>
    <t>ЮЛ770100419400228</t>
  </si>
  <si>
    <t>143420 Московская область город Красногорск территория автодорога "Балтия", километр 23-й дом 2   помещение 126</t>
  </si>
  <si>
    <t>ЮЛ770100419400229</t>
  </si>
  <si>
    <t>143081 Московская область село Юдино  дом 55Е строение 1  помещение А04</t>
  </si>
  <si>
    <t>ЮЛ770100419400242</t>
  </si>
  <si>
    <t>143582 Московская область г.о. Истра, д. Покровское улица Центральная здание 33   павильон №5П</t>
  </si>
  <si>
    <t>ЮЛ770100419400245</t>
  </si>
  <si>
    <t>141204 Московская область город Пушкино улица Красноармейское шоссе дом 104   помещение 131</t>
  </si>
  <si>
    <t>ЮЛ770100219100002</t>
  </si>
  <si>
    <t>140055 Московская область город Котельники проезд 1-й Покровский дом 5   1038</t>
  </si>
  <si>
    <t>ЮЛ770100219100013</t>
  </si>
  <si>
    <t>141006 Московская область город Мытищи проезд Шараповский владение 2   1А19</t>
  </si>
  <si>
    <t>ЮЛ770100219100014</t>
  </si>
  <si>
    <t>144001 Московская область город Электросталь проезд Криулинский дом 5   помещение 4</t>
  </si>
  <si>
    <t>ИП Орлова Милена Данисовна</t>
  </si>
  <si>
    <t>772449190682</t>
  </si>
  <si>
    <t>ИП7701036982</t>
  </si>
  <si>
    <t>ИП770103698200000</t>
  </si>
  <si>
    <t>143401 Московская область город Красногорск улица Международная дом 8   этаж 1 секция 46</t>
  </si>
  <si>
    <t>ООО "Х.ШТЕРН"</t>
  </si>
  <si>
    <t>7724567090</t>
  </si>
  <si>
    <t>ЮЛ7701016519</t>
  </si>
  <si>
    <t>ЮЛ770101651900001</t>
  </si>
  <si>
    <t>140301 Московская область город Егорьевск улица Советская дом 121   этаж 1</t>
  </si>
  <si>
    <t>ИП Курёнышева Ольга Николаевна</t>
  </si>
  <si>
    <t>772470741220</t>
  </si>
  <si>
    <t>ИП7701014749</t>
  </si>
  <si>
    <t>ИП770101474900000</t>
  </si>
  <si>
    <t>142715 Московская область Ленинский городской округ,поселок совхоза имени Ленина 24 км МКАД владение 1</t>
  </si>
  <si>
    <t>ИП Макарова Татьяна Александровна</t>
  </si>
  <si>
    <t>772479496565</t>
  </si>
  <si>
    <t>ИП7701039378</t>
  </si>
  <si>
    <t>ИП770103937800000</t>
  </si>
  <si>
    <t>143085 Московская область городское поселение Новоивановское, рабочий поселок Заречье улица Тихая дом 27   помещение 52</t>
  </si>
  <si>
    <t>ИП Зазовская Мария Александровна</t>
  </si>
  <si>
    <t>772483544821</t>
  </si>
  <si>
    <t>ИП7701017493</t>
  </si>
  <si>
    <t>ИП770101749300000</t>
  </si>
  <si>
    <t>143912 Московская область город Балашиха улица Советская дом 3   помещение 32н</t>
  </si>
  <si>
    <t>ЮЛ770101248500009</t>
  </si>
  <si>
    <t>141421 Московская область город Химки улица Кирова дом 3 строение 3</t>
  </si>
  <si>
    <t>ЮЛ770101248500035</t>
  </si>
  <si>
    <t>143026 Московская область р.п.Новоивановское улица Западная дом 12</t>
  </si>
  <si>
    <t>ЮЛ770100769000001</t>
  </si>
  <si>
    <t>143980 Московская область Город Балашиха Микрорайон Железнодорожный Улица Советская Дом 5  Литера Б22 Помещение - торговое место ТР2-21; Помещение - торговое место ТР1-11</t>
  </si>
  <si>
    <t>ИП Дыбина Галина Михайловна</t>
  </si>
  <si>
    <t>772600578954</t>
  </si>
  <si>
    <t>ИП7701016693</t>
  </si>
  <si>
    <t>ИП770101669300000</t>
  </si>
  <si>
    <t>141109 Московская область город Щёлково улица Талсинская дом 23   помещение 10, павильон 4</t>
  </si>
  <si>
    <t>ИП Достовалова Ирина Геннадьевна</t>
  </si>
  <si>
    <t>772633723981</t>
  </si>
  <si>
    <t>ИП5001004875</t>
  </si>
  <si>
    <t>ИП500100487500000</t>
  </si>
  <si>
    <t>143306 Московская область город Наро-Фоминск Латышская дом 13А</t>
  </si>
  <si>
    <t>ИП Котов Дмитрий Владимирович</t>
  </si>
  <si>
    <t>772637252204</t>
  </si>
  <si>
    <t>ИП7701017318</t>
  </si>
  <si>
    <t>ИП770101731800000</t>
  </si>
  <si>
    <t>142717 Московская область сельское поселение Развилковское пос.Развилка 23 км МКАД внешняя сторона владение 16 строение 2,этаж 2  помещение 24</t>
  </si>
  <si>
    <t>ИП Волосков Александр Владимирович</t>
  </si>
  <si>
    <t>772639294249</t>
  </si>
  <si>
    <t>ИП7701007770</t>
  </si>
  <si>
    <t>ИП770100777000000</t>
  </si>
  <si>
    <t>143964 Московская область город Реутов улица Ленина дом 1А   2 этаж помещение № 215</t>
  </si>
  <si>
    <t>ИП Ёлкин Олег Владимирович</t>
  </si>
  <si>
    <t>772644681733</t>
  </si>
  <si>
    <t>ИП7701035228</t>
  </si>
  <si>
    <t>ИП770103522800000</t>
  </si>
  <si>
    <t>141280 Московская область город Ивантеевка Улица Первомайская дом 29 1 этаж  часть здания (магазин)</t>
  </si>
  <si>
    <t>ИП Достовалов Михаил Викторович</t>
  </si>
  <si>
    <t>772648656600</t>
  </si>
  <si>
    <t>ИП5001004510</t>
  </si>
  <si>
    <t>ИП500100451000000</t>
  </si>
  <si>
    <t>141280 Московская область город Ивантеевка проспект Советский дом 2А этаж 1 Литера Б помещение №15</t>
  </si>
  <si>
    <t>ИП500100451000001</t>
  </si>
  <si>
    <t>140055 Московская область город Котельники Новорязанское шоссе дом 8 строение 7</t>
  </si>
  <si>
    <t>ООО "КАПЕЛЛА"</t>
  </si>
  <si>
    <t>7726757957</t>
  </si>
  <si>
    <t>ЮЛ7701009639</t>
  </si>
  <si>
    <t>ЮЛ770100963900000</t>
  </si>
  <si>
    <t>ЮЛ770100963900001</t>
  </si>
  <si>
    <t>143026 Московская область  рабочий поселок Новоивановское улица Луговая дом 1   2 этаж</t>
  </si>
  <si>
    <t>ИП Брылева Елена Николаевна</t>
  </si>
  <si>
    <t>772801842038</t>
  </si>
  <si>
    <t>ИП7701019408</t>
  </si>
  <si>
    <t>ИП770101940800000</t>
  </si>
  <si>
    <t>141052 Московская область деревня Шолохово шоссе Дмитровское владение 2Б строение 1  1 этаж помещение П05</t>
  </si>
  <si>
    <t>ИП770101940800001</t>
  </si>
  <si>
    <t>142701 Московская область город Видное улица Завидная дом 6   помещение 16</t>
  </si>
  <si>
    <t>ЮЛ770100941700001</t>
  </si>
  <si>
    <t>143070 Московская область Одинцовский г.о. тер. Парк Патриот дом 1</t>
  </si>
  <si>
    <t>ФИЛИАЛ ФЕДЕРАЛЬНОГО ГОСУДАРСТВЕННОГО АВТОНОМНОГО УЧРЕЖДЕНИЯ "МУЗЕЙНО-ХРАМОВЫЙ КОМПЛЕКС ВООРУЖЕННЫХ СИЛ РОССИЙСКОЙ ФЕДЕРАЦИИ" МИНИСТЕРСТВА ОБОРОНЫ РОССИЙСКОЙ ФЕДЕРАЦИИ В Г. КРОНШТАДТЕ</t>
  </si>
  <si>
    <t>7728659070</t>
  </si>
  <si>
    <t>ЮЛ5001033747</t>
  </si>
  <si>
    <t>ЮЛ500103374700000</t>
  </si>
  <si>
    <t>141109 Московская область город Щёлково проспект Пролетарский дом 11   этаж 1</t>
  </si>
  <si>
    <t>ИП770100654700000</t>
  </si>
  <si>
    <t>144000 Московская область город Электросталь проспект Ленина дом 30/13</t>
  </si>
  <si>
    <t>ИП770100654700001</t>
  </si>
  <si>
    <t>142500 Московская область город Павловский Посад улица Герцена дом 18  литер А помещение 17</t>
  </si>
  <si>
    <t>ИП770100654700002</t>
  </si>
  <si>
    <t>140180 Московская область город Жуковский улица Гагарина дом 6   помещение 1-6</t>
  </si>
  <si>
    <t>ИП770100654700004</t>
  </si>
  <si>
    <t>141986 Московская область город Дубна проспект Боголюбова дом 15   помещение 458</t>
  </si>
  <si>
    <t>ИП770100654700005</t>
  </si>
  <si>
    <t>142116 Московская область город Подольск проспект Революционный дом 36/14</t>
  </si>
  <si>
    <t>ИП770100654700007</t>
  </si>
  <si>
    <t>141606 Московская область город Клин улица Гагарина дом 37/1   офис 36</t>
  </si>
  <si>
    <t>ИП770100654700008</t>
  </si>
  <si>
    <t>143980 Московская область город Балашиха Рождественская 3   этаж 1, комната 8 (помещение 1)</t>
  </si>
  <si>
    <t>ИП770100654700017</t>
  </si>
  <si>
    <t>143600 Московская область город Волоколамск улица Революционная Дом 7А</t>
  </si>
  <si>
    <t>ИП Комаров Игорь Семенович</t>
  </si>
  <si>
    <t>772902036179</t>
  </si>
  <si>
    <t>ИП5001016661</t>
  </si>
  <si>
    <t>ИП500101666100000</t>
  </si>
  <si>
    <t>141000 Московская область город Мытищи Силикатная дом 19 строение 13.1  эт. 3, комната 32</t>
  </si>
  <si>
    <t>ИП Манькова Ирина Александровна</t>
  </si>
  <si>
    <t>772902637902</t>
  </si>
  <si>
    <t>ИП7701014333</t>
  </si>
  <si>
    <t>ИП770101433300000</t>
  </si>
  <si>
    <t>143085 Московская область город Одинцово, рабочий поселок Заречье улица Луговая дом 6 корпус 1  5 секция,-1 этаж, у/н 528</t>
  </si>
  <si>
    <t>ИП Селезнева Ирина Григорьевна</t>
  </si>
  <si>
    <t>772971139947</t>
  </si>
  <si>
    <t>ИП5001039271</t>
  </si>
  <si>
    <t>ИП500103927100000</t>
  </si>
  <si>
    <t>140000 Московская область город Люберцы улица Смирновская дом 16/179   помещение III, этаж 1, часть комнаты 1</t>
  </si>
  <si>
    <t>ЮЛ770100397800008</t>
  </si>
  <si>
    <t>143400 Московская область город Красногорск Международная 8   этаж 1, помещение №85а</t>
  </si>
  <si>
    <t>ИП Асланова Арзу Агасаф Кызы</t>
  </si>
  <si>
    <t>772983933992</t>
  </si>
  <si>
    <t>ИП7701017444</t>
  </si>
  <si>
    <t>ИП770101744400000</t>
  </si>
  <si>
    <t>142455 Московская область город Электроугли улица Центральная дом 120</t>
  </si>
  <si>
    <t>ИП Маслова Анастасия Дмитриевна</t>
  </si>
  <si>
    <t>773015224242</t>
  </si>
  <si>
    <t>ИП7701034415</t>
  </si>
  <si>
    <t>ИП770103441500000</t>
  </si>
  <si>
    <t>143441 Московская область город Красногорск улица Новотушинская дом 3   помещение 10</t>
  </si>
  <si>
    <t>ООО "ЛОМБАРД-СТ"</t>
  </si>
  <si>
    <t>7730610795</t>
  </si>
  <si>
    <t>ЮЛ5001005279</t>
  </si>
  <si>
    <t>ЮЛ500100527900000</t>
  </si>
  <si>
    <t>143200 Московская область город Можайск улица Мира дом 7   помещение 15,16,17,18</t>
  </si>
  <si>
    <t>ИП Лукеев Игорь Викторович</t>
  </si>
  <si>
    <t>773109267121</t>
  </si>
  <si>
    <t>ИП7701000494</t>
  </si>
  <si>
    <t>ИП770100049400000</t>
  </si>
  <si>
    <t>140108 Московская область город Раменское улица Ногина дом 2   помещение 1, магазин 32 (помещения 21,22,28)</t>
  </si>
  <si>
    <t>ЮЛ770100193500001</t>
  </si>
  <si>
    <t>142803 Московская область город Ступино проспект Победы дом 63  корпус А  этаж 1</t>
  </si>
  <si>
    <t>ЮЛ770100193500002</t>
  </si>
  <si>
    <t>141410 Московская область город Химки микрорайон ИКЕА  корпус 2  помещение № 4032m</t>
  </si>
  <si>
    <t>ЮЛ770100193500003</t>
  </si>
  <si>
    <t>141733 Московская область город Лобня Краснополянский проезд дом 2   первый этаж, помещение B7</t>
  </si>
  <si>
    <t>ЮЛ770100193500004</t>
  </si>
  <si>
    <t>141700 Московская область город Долгопрудный Лихачевский проспект дом 64   первый этаж, помещения 117, 118</t>
  </si>
  <si>
    <t>ЮЛ770100193500005</t>
  </si>
  <si>
    <t>141407 Московская область город Химки шоссе Ленинградское владение 5   этаж 1, часть комнаты 96</t>
  </si>
  <si>
    <t>ЮЛ770100193500006</t>
  </si>
  <si>
    <t>142300 Московская область город Чехов улица Московская владение 96   помещение 5, этаж 1 (первый)</t>
  </si>
  <si>
    <t>ЮЛ770100193500007</t>
  </si>
  <si>
    <t>142300 Московская область город Чехов Симферопольское шоссе дом 1   1-ый этаж, часть помещения K-8</t>
  </si>
  <si>
    <t>ЮЛ770100193500008</t>
  </si>
  <si>
    <t>141109 Московская область город Щёлково улица Талсинская дом 2   этаж 1, часть комнаты 1, комнаты 2,3,4,5,6,7 от ч.п. 1, литер 1</t>
  </si>
  <si>
    <t>ЮЛ770100193500009</t>
  </si>
  <si>
    <t>141195 Московская область город Фрязино проспект Мира дом 8   1 этаж, помещение 2003/2</t>
  </si>
  <si>
    <t>ЮЛ770100193500010</t>
  </si>
  <si>
    <t>144003 Московская область город Электросталь улица Корешкова дом 3   помещение 53</t>
  </si>
  <si>
    <t>ЮЛ770100193500011</t>
  </si>
  <si>
    <t>142104 Московская область город Подольск улица Большая Серпуховская дом 45   2 этаж</t>
  </si>
  <si>
    <t>ЮЛ770100193500012</t>
  </si>
  <si>
    <t>143910 Московская область город Балашиха улица Свердлова дом 1А   1 этаж</t>
  </si>
  <si>
    <t>ЮЛ770100193500172</t>
  </si>
  <si>
    <t>143900 Московская область город Балашиха шоссе Энтузиастов дом 54а   помещение IX/4/22</t>
  </si>
  <si>
    <t>ЮЛ770100193500173</t>
  </si>
  <si>
    <t>142715 Московская область город Видное, поселок совхоза имени Ленина километр МКАД 24 владение 1   этаж 1, помещение А8</t>
  </si>
  <si>
    <t>ЮЛ770100193500176</t>
  </si>
  <si>
    <t>ЮЛ770100193500177</t>
  </si>
  <si>
    <t>143968 Московская область город Реутов улица МКАД 2 км дом 2   помещение 001, помещение 1155</t>
  </si>
  <si>
    <t>ЮЛ770100193500178</t>
  </si>
  <si>
    <t>143962 Московская область город Реутов шоссе Носовихинское дом 45   помещение 2162</t>
  </si>
  <si>
    <t>ЮЛ770100193500179</t>
  </si>
  <si>
    <t>141304 Московская область город Сергиев Посад улица Вознесенская дом 32  корпус А  часть помещения 1</t>
  </si>
  <si>
    <t>ЮЛ770100193500180</t>
  </si>
  <si>
    <t>141301 Московская область город Сергиев Посад шоссе Новоугличское дом 85</t>
  </si>
  <si>
    <t>ЮЛ770100193500181</t>
  </si>
  <si>
    <t>142200 Московская область город Серпухов шоссе Борисовское дом 1  литер Д помещения 53,54,55,56,57,58,59, этаж L</t>
  </si>
  <si>
    <t>ЮЛ770100193500182</t>
  </si>
  <si>
    <t>141503 Московская область город Солнечногорск улица Красная строение 22А   1 (первый) этаж, часть помещения 84 (литера Б)</t>
  </si>
  <si>
    <t>ЮЛ770100193500183</t>
  </si>
  <si>
    <t>141552 Московская область рабочий поселок Ржавки микрорайон 2  строение 20  помещение  Н28А</t>
  </si>
  <si>
    <t>ЮЛ770100193500184</t>
  </si>
  <si>
    <t>142400 Московская область город Ногинск улица Комсомольская дом 26   часть нежилого помещения № 7</t>
  </si>
  <si>
    <t>ЮЛ770100193500318</t>
  </si>
  <si>
    <t>140055 Московская область город Котельники проезд 1-й Покровский дом 5   помещение № 7010</t>
  </si>
  <si>
    <t>ЮЛ770100193500408</t>
  </si>
  <si>
    <t>143600 Московская область город Волоколамск улица Советская дом 1/1   помещения № 1-6</t>
  </si>
  <si>
    <t>ЮЛ770100193500417</t>
  </si>
  <si>
    <t>140200 Московская область город Воскресенск площадь Ленина дом 5   часть помещения 12,13,14,15,16, 1 (первый) этаж</t>
  </si>
  <si>
    <t>ЮЛ770100193500418</t>
  </si>
  <si>
    <t>142000 Московская область город Домодедово Каширское шоссе дом 3А  литера 1Б помещение № 121, № 122, № 123, № 124</t>
  </si>
  <si>
    <t>ЮЛ770100193500431</t>
  </si>
  <si>
    <t>141981 Московская область город Дубна проспект Боголюбова дом 24 А   часть помещения № XLIII</t>
  </si>
  <si>
    <t>ЮЛ770100193500432</t>
  </si>
  <si>
    <t>140301 Московская область город Егорьевск улица Советская дом 121   помещение № 5, часть помещения № 8</t>
  </si>
  <si>
    <t>ЮЛ770100193500433</t>
  </si>
  <si>
    <t>143980 Московская область  город Балашиха микрорайон Железнодорожный улица Советская дом 5   помещение № ТР 2-3</t>
  </si>
  <si>
    <t>ЮЛ770100193500434</t>
  </si>
  <si>
    <t>141080 Московская область город Королёв проспект Космонавтов дом 20а   помещение № 131, № 161</t>
  </si>
  <si>
    <t>ЮЛ770100193500437</t>
  </si>
  <si>
    <t>141607 Московская область город Клин улица Карла Маркса дом 4    часть помещения № 12, № 132, № 133, 1 (первый) этаж</t>
  </si>
  <si>
    <t>ЮЛ770100193500439</t>
  </si>
  <si>
    <t>140408 Московская область город Коломна улица Октябрьской революции дом 362   помещение № 162, 163, 164, 165, комната № А22</t>
  </si>
  <si>
    <t>ЮЛ770100193500440</t>
  </si>
  <si>
    <t>143402 Московская область город Красногорск улица Знаменская дом 5   комната № 2, № 3</t>
  </si>
  <si>
    <t>ЮЛ770100193500441</t>
  </si>
  <si>
    <t>143404 Московская область город Красногорск улица Ленина дом 2   помещение 1</t>
  </si>
  <si>
    <t>ЮЛ770100193500442</t>
  </si>
  <si>
    <t>143401 Московская область город Красногорск бульвар Строителей  строение 5  помещение 3</t>
  </si>
  <si>
    <t>ЮЛ770100193500443</t>
  </si>
  <si>
    <t>140000 Московская область город Люберцы улица Смирновская дом 19   помещение III</t>
  </si>
  <si>
    <t>ЮЛ770100193500444</t>
  </si>
  <si>
    <t>140006 Московская область город Люберцы проспект Октябрьский дом 366   помещение 1, часть комнаты 4, 1 этаж</t>
  </si>
  <si>
    <t>ЮЛ770100193500446</t>
  </si>
  <si>
    <t>140081 Московская область город Лыткарино улица Парковая  строение 2  помещение № 1.16</t>
  </si>
  <si>
    <t>ЮЛ770100193500447</t>
  </si>
  <si>
    <t>140002 Московская область город Люберцы проспект Октябрьский дом 112   этаж 1, помещение № 84</t>
  </si>
  <si>
    <t>ЮЛ770100193500448</t>
  </si>
  <si>
    <t>141031 Московская область   Алтуфьевское шоссе, 1-й км владение 3 строение 1   помещение XXXVIII</t>
  </si>
  <si>
    <t>ЮЛ770100193500450</t>
  </si>
  <si>
    <t>141008 Московская область город Мытищи улица Мира дом 51    этаж 1, комната № 110</t>
  </si>
  <si>
    <t>ЮЛ770100193500451</t>
  </si>
  <si>
    <t>141006 Московская область город Мытищи проезд Шараповский владение 2   помещение № 1А16</t>
  </si>
  <si>
    <t>ЮЛ770100193500453</t>
  </si>
  <si>
    <t>141031 Московская область город Мытищи шоссе Осташковское дом 1    помещения № 174, 175, 176</t>
  </si>
  <si>
    <t>ЮЛ770100193500455</t>
  </si>
  <si>
    <t>143300 Московская область город Наро-Фоминск площадь Свободы дом 2 корпус часть 1  помещение 7, помещение 43, 1 этаж</t>
  </si>
  <si>
    <t>ЮЛ770100193500458</t>
  </si>
  <si>
    <t>141207 Московская область город Пушкино улица Чехова дом 12</t>
  </si>
  <si>
    <t>ЮЛ770100193500460</t>
  </si>
  <si>
    <t>141202 Московская область город Пушкино Красноармейское шоссе  строение 104  помещение № 1-31, 1-32</t>
  </si>
  <si>
    <t>ЮЛ770100193500461</t>
  </si>
  <si>
    <t>141202 Московская область город Пушкино территория 33-й км автодороги М8 Холмогоры строение 18   этаж 1</t>
  </si>
  <si>
    <t>ЮЛ770100193500462</t>
  </si>
  <si>
    <t>140187 Московская область город Жуковский улица Гагарина дом 67    помещения № 26, № 27</t>
  </si>
  <si>
    <t>ЮЛ770100193500465</t>
  </si>
  <si>
    <t>142440 Московская область город Ногинск, рабочий поселок Обухово улица 3-го Интернационала дом 64   часть помещения № 10</t>
  </si>
  <si>
    <t>ЮЛ770100193500467</t>
  </si>
  <si>
    <t>143025 Московская область городское поселение Новоивановское, рабочий поселок Новоивановское улица Западная строение 4   1 этаж, помещение (бокс) № 031</t>
  </si>
  <si>
    <t>ЮЛ770100193500468</t>
  </si>
  <si>
    <t>143005 Московская область город Одинцово площадь Привокзальная дом 7   магазин 24, торговое место (павильон) № 24-1</t>
  </si>
  <si>
    <t>ЮЛ770100193500470</t>
  </si>
  <si>
    <t>143026 Московская область город Одинцово, деревня Марфино  владение 110   помещение № 183/183а-184</t>
  </si>
  <si>
    <t>ЮЛ770100193500473</t>
  </si>
  <si>
    <t>142600 Московская область город Орехово-Зуево улица Ленина дом 78   этаж 1, помещение № 1.1</t>
  </si>
  <si>
    <t>ЮЛ770100193500474</t>
  </si>
  <si>
    <t>142500 Московская область город Павловский Посад улица Привокзальная дом 22 корпус В  этаж 1, часть помещения № 7, помещения № 8, 9, 10, 12</t>
  </si>
  <si>
    <t>ЮЛ770100193500476</t>
  </si>
  <si>
    <t>142119 Московская область город Подольск Октябрьский проспект дом 9В   этаж 1, помещение № 12, 13, 14</t>
  </si>
  <si>
    <t>ЮЛ770100193500478</t>
  </si>
  <si>
    <t>142100 Московская область город Подольск улица Большая Серпуховская дом 5   1 этаж</t>
  </si>
  <si>
    <t>ЮЛ770100193500479</t>
  </si>
  <si>
    <t>142900 Московская область город Кашира улица Советская дом 1   строение 3</t>
  </si>
  <si>
    <t>ЮЛ770100193500500</t>
  </si>
  <si>
    <t>143500 Московская область город Истра улица Морозова здание 5   этаж 1 (первый)</t>
  </si>
  <si>
    <t>ЮЛ770100193500501</t>
  </si>
  <si>
    <t>143952 Московская область город Балашиха шоссе Энтузиастов дом 1Б   комнаты № 1104, 1105, этаж 1 (первый)</t>
  </si>
  <si>
    <t>ЮЛ770100193500504</t>
  </si>
  <si>
    <t>140013 Московская область город Люберцы улица Побратимов дом 7   комната № 7, № 8, этаж 1 (первый)</t>
  </si>
  <si>
    <t>ЮЛ770100193500511</t>
  </si>
  <si>
    <t>143185 Московская область город Звенигород шоссе Нахабинское дом 15   комната 1, 1 (первый) этаж</t>
  </si>
  <si>
    <t>ЮЛ770100193500526</t>
  </si>
  <si>
    <t>141280 Московская область город Ивантеевка проспект Советский дом 2а  литер Б нежилое помещение № 16, комната № 32, этаж 1 (первый)</t>
  </si>
  <si>
    <t>ЮЛ770100193500533</t>
  </si>
  <si>
    <t>141503 Московская область город Солнечногорск улица Крестьянская строение 5а   нежилое помещение № 1</t>
  </si>
  <si>
    <t>ЮЛ770100193500534</t>
  </si>
  <si>
    <t>141402 Московская область город Химки улица Московская дом 16   часть нежилого помещения 001, этаж 1 (первый)</t>
  </si>
  <si>
    <t>ЮЛ770100193500552</t>
  </si>
  <si>
    <t>ЮЛ770100193500564</t>
  </si>
  <si>
    <t>144006 Московская область город Электросталь проспект Ленина дом 010   нежилые помещения № 177, 177а, этаж 1 (первый)</t>
  </si>
  <si>
    <t>ЮЛ770100193500570</t>
  </si>
  <si>
    <t>142214 Московская область город Серпухов улица Советская дом 111   помещения 104, 105, 1 (первый) этаж</t>
  </si>
  <si>
    <t>ЮЛ770100193500576</t>
  </si>
  <si>
    <t>143204 Московская область город Можайск улица 1-я Железнодорожная дом 48А   первый этаж, помещение 9</t>
  </si>
  <si>
    <t>ЮЛ770100193500580</t>
  </si>
  <si>
    <t>141103 Московская область город Щёлково улица Радиоцентра №5 владение №7А   помещение 6-7-8, 2 (второй) этаж</t>
  </si>
  <si>
    <t>ЮЛ770100193500587</t>
  </si>
  <si>
    <t>143981 Московская область город Балашиха улица Центральная дом 40   часть нежилого помещения № 24, нежилые помещения № 20,21,22,23,24,25,26,27,28, этаж 2 (второй)</t>
  </si>
  <si>
    <t>ЮЛ770100193500603</t>
  </si>
  <si>
    <t>140501 Московская область город Луховицы улица Пушкина дом 125   часть помещения 15, 1 (первый) этаж</t>
  </si>
  <si>
    <t>ЮЛ770100193500606</t>
  </si>
  <si>
    <t>143532 Московская область город Дедовск улица Железнодорожная дом 15   помещение №:1 Лит Б 20, этаж 1 (первый)</t>
  </si>
  <si>
    <t>ЮЛ770100193500610</t>
  </si>
  <si>
    <t>140704 Московская область город Шатура проспект Ильича дом 57   нежилое помещение 10Г, этаж 1 (первый)</t>
  </si>
  <si>
    <t>ЮЛ770100193500623</t>
  </si>
  <si>
    <t>141800 Московская область город Дмитров улица Загорская дом 22   помещение № 2, этаж 1 (первый)</t>
  </si>
  <si>
    <t>ЮЛ770100193500627</t>
  </si>
  <si>
    <t>142671 Московская область город Ликино-Дулёво улица Советская дом 35   помещение № 4-5, этаж 1 (первый)</t>
  </si>
  <si>
    <t>ЮЛ770100193500656</t>
  </si>
  <si>
    <t>141551 Московская область рабочий поселок Андреевка улица Жилинская дом 1 строение 1  помещение 2, комната № 157, этаж 1 (первый)</t>
  </si>
  <si>
    <t>ЮЛ770100193500657</t>
  </si>
  <si>
    <t>141730 Московская область город Лобня улица Маяковского дом 1Б   часть нежилого помещения № 21,  этаж 1 (первый)</t>
  </si>
  <si>
    <t>ЮЛ770100193500670</t>
  </si>
  <si>
    <t>143442 Московская область городской округ Красногорск, поселок Отрадное шоссе Пятницкое дом 1 строение 1  помещение № 1-129а, этаж 1 (первый)</t>
  </si>
  <si>
    <t>ЮЛ770100193500672</t>
  </si>
  <si>
    <t>143026 Московская область Одинцовский городской округ улица Западная строение 181   помещение I, часть комнаты № 71, этаж 3 (третий)</t>
  </si>
  <si>
    <t>ЮЛ770100193500684</t>
  </si>
  <si>
    <t>142703 Московская область Ленинградский городской округ, город Видное микрорайон Солнечный участок 179ю   помещение</t>
  </si>
  <si>
    <t>ЮЛ770100193500690</t>
  </si>
  <si>
    <t>143904 Московская область город Балашиха, мкр. Железнодорожный улица Советская дом 9   помещение I, нежилое помещение № 29, этаж 1 (первый)</t>
  </si>
  <si>
    <t>ЮЛ770100193500717</t>
  </si>
  <si>
    <t>142715 Московская область  поселок Совхоза им.Ленина километр МКАД 24 здание 1 строение 1  помещение 62/2, этаж 1 (первый)</t>
  </si>
  <si>
    <t>ЮЛ770100193500725</t>
  </si>
  <si>
    <t>140108 Московская область Раменский городской округ, город Раменское улица Советская дом 16   нежилое помещение № 1,2,3,4,7, этаж 1 (первый)</t>
  </si>
  <si>
    <t>ЮЛ770100193500739</t>
  </si>
  <si>
    <t>143700 Московская область поселок Шаховская улица Привокзальная дом 3   этаж 1 (первый)</t>
  </si>
  <si>
    <t>ЮЛ770100193500746</t>
  </si>
  <si>
    <t>143006 Московская область город Одинцово улица Маковского дом 2А   этаж 1 (первый)</t>
  </si>
  <si>
    <t>ЮЛ770100193500765</t>
  </si>
  <si>
    <t>143404 Московская область город Красногорск улица Ленина дом 35А   помещение литера 1Б, помещение 7, этаж 1 (первый)</t>
  </si>
  <si>
    <t>ЮЛ770100193500767</t>
  </si>
  <si>
    <t>143005 Московская область город Одинцово шоссе Можайское участок 159</t>
  </si>
  <si>
    <t>ЮЛ770100193500786</t>
  </si>
  <si>
    <t>142500 Московская область город Павловский Посад улица Большая Покровская дом 35Г   часть нежилого помещения № 29, этаж 1 (первый)</t>
  </si>
  <si>
    <t>ЮЛ770100193500818</t>
  </si>
  <si>
    <t>143600 Московская область город Волоколамск улица Панфилова дом 22   помещение № 1, этаж 1 (первый)</t>
  </si>
  <si>
    <t>ЮЛ770100193500819</t>
  </si>
  <si>
    <t>143989 Московская область город Балашиха, микрорайон Железнодорожный улица Рождественская дом 3   первый этаж, помещение I, комната 51</t>
  </si>
  <si>
    <t>ЮЛ770100193500826</t>
  </si>
  <si>
    <t>142306 Московская область город Чехов площадь Привокзальная строение 7/6</t>
  </si>
  <si>
    <t>ЮЛ770100193500850</t>
  </si>
  <si>
    <t>143401 Московская область город Красногорск улица Международная дом 12   помещение 1/268, 1 (первый) этаж, секция 2/1/1/268</t>
  </si>
  <si>
    <t>ЮЛ770100193500858</t>
  </si>
  <si>
    <t>143005 Московская область город Одинцово улица Говорова дом 163  литер 1Б помещение № 5, этаж 1 (первый)</t>
  </si>
  <si>
    <t>ЮЛ770100193500865</t>
  </si>
  <si>
    <t>141006 Московская область город Мытищи проезд Шараповский владение 2   1 этаж, помещение 1А15</t>
  </si>
  <si>
    <t>ЮЛ770100193500867</t>
  </si>
  <si>
    <t>143081 Московская область город Одинцово, село Юдино  дом 55Е строение 1  помещение 92, 93, этаж 1 (первый)</t>
  </si>
  <si>
    <t>ЮЛ770100193500889</t>
  </si>
  <si>
    <t>142450 Московская область город Старая Купавна улица Кирова дом 19 строение 5  этаж 1 (первый)</t>
  </si>
  <si>
    <t>ЮЛ770100193500907</t>
  </si>
  <si>
    <t>140205 Московская область город Воскресенск улица Менделеева дом 12   помещение 1а, часть нежилого помещения № 13, этаж 1 (первый)</t>
  </si>
  <si>
    <t>ЮЛ770100193500914</t>
  </si>
  <si>
    <t>141077 Московская область  Королев проспект Королева дом 6Г   часть нежилого помещения №53, цокольный этаж</t>
  </si>
  <si>
    <t>ЮЛ770100193500943</t>
  </si>
  <si>
    <t>140408 Московская область город Коломна площадь Восстания дом 6   помещение 7, 1 (первый) этаж</t>
  </si>
  <si>
    <t>ЮЛ770100193500947</t>
  </si>
  <si>
    <t>142600 Московская область город Орехово-Зуево улица Вокзальная дом 6   1 (первый) этаж</t>
  </si>
  <si>
    <t>ЮЛ770100193500948</t>
  </si>
  <si>
    <t>141204 Московская область город Пушкино улица Вокзальная владение 2Б</t>
  </si>
  <si>
    <t>ЮЛ770100193500967</t>
  </si>
  <si>
    <t>ЮЛ770100193500972</t>
  </si>
  <si>
    <t>ЮЛ770100193500974</t>
  </si>
  <si>
    <t>ЮЛ770100193500985</t>
  </si>
  <si>
    <t>140056 Московская область город Котельники мкр Опытное поле дом 9</t>
  </si>
  <si>
    <t>ЮЛ770100193501004</t>
  </si>
  <si>
    <t>143103 Московская область город Руза улица Федеративная дом 7   второй этаж</t>
  </si>
  <si>
    <t>ЮЛ770100193501013</t>
  </si>
  <si>
    <t>140406 Московская область город Коломна улица Октябрьской революции дом 368   помещение 39</t>
  </si>
  <si>
    <t>ЮЛ770100193501066</t>
  </si>
  <si>
    <t>140301 Московская область город Егорьевск улица Советская дом 86а</t>
  </si>
  <si>
    <t>ЮЛ770100193501073</t>
  </si>
  <si>
    <t>140205 Московская область город Воскресенск улица Менделеева дом 15   помещение 2Б</t>
  </si>
  <si>
    <t>ЮЛ770100193501085</t>
  </si>
  <si>
    <t>141006 Московская область город Мытищи проезд Шараповский владение 2   часть помещения 1А15, 1 этаж</t>
  </si>
  <si>
    <t>ЮЛ770100193501129</t>
  </si>
  <si>
    <t>143420 Московская область город Красногорск территория автодорога "Балтия", километр 23-й дом 2   часть помещения 1-О-16, 1 этаж</t>
  </si>
  <si>
    <t>ЮЛ770100193501131</t>
  </si>
  <si>
    <t>141140 Московская область рабочий поселок Свердловский улица Заводская дом 1А   1 этаж</t>
  </si>
  <si>
    <t>ООО "ВАЛЕНСИЯ"</t>
  </si>
  <si>
    <t>7731323955</t>
  </si>
  <si>
    <t>ЮЛ7701007305</t>
  </si>
  <si>
    <t>ЮЛ770100730500000</t>
  </si>
  <si>
    <t>142116 Московская область город Подольск проспект Революционный дом 13   этаж 1</t>
  </si>
  <si>
    <t>ЮЛ770100273400001</t>
  </si>
  <si>
    <t>141800 Московская область город Дмитров улица Загорская дом 34а   этаж 1</t>
  </si>
  <si>
    <t>ЮЛ770100273400004</t>
  </si>
  <si>
    <t>141601 Московская область город Клин улица Гагарина дом 6</t>
  </si>
  <si>
    <t>ЮЛ770100273400005</t>
  </si>
  <si>
    <t>141006 Московская область город Мытищи проезд Шараповский дом 3А   помещение № 24</t>
  </si>
  <si>
    <t>ЮЛ770100273400009</t>
  </si>
  <si>
    <t>143500 Московская область город Истра улица Урицкого дом 1А   этаж 2, комната № 5</t>
  </si>
  <si>
    <t>ЮЛ770100273400011</t>
  </si>
  <si>
    <t>144012 Московская область город Электросталь улица Победы дом 1 корпус 1  помещение 2</t>
  </si>
  <si>
    <t>ЮЛ770100273400016</t>
  </si>
  <si>
    <t>142104 Московская область город Подольск улица Большая Серпуховская дом 34/2</t>
  </si>
  <si>
    <t>ЮЛ770100273400019</t>
  </si>
  <si>
    <t>143005 Московская область город Одинцово шоссе Можайское дом 121   помещение 4,5</t>
  </si>
  <si>
    <t>ЮЛ770100273400020</t>
  </si>
  <si>
    <t>144006 Московская область город Электросталь проспект Ленина дом 08Б   помещение 11,12</t>
  </si>
  <si>
    <t>ЮЛ770100273400022</t>
  </si>
  <si>
    <t>141607 Московская область город Клин улица Карла Маркса дом 6 строение 7,9  этаж 1</t>
  </si>
  <si>
    <t>ЮЛ770100273400024</t>
  </si>
  <si>
    <t>143912 Московская область город Балашиха улица Советская дом 3</t>
  </si>
  <si>
    <t>ЮЛ770100273400042</t>
  </si>
  <si>
    <t>143900 Московская область город Балашиха улица Фадеева дом 7А</t>
  </si>
  <si>
    <t>ЮЛ770100273400044</t>
  </si>
  <si>
    <t>141204 Московская область город Пушкино проспект Московский дом 1   часть помещения 13,14</t>
  </si>
  <si>
    <t>ЮЛ770100273400045</t>
  </si>
  <si>
    <t>143930 Московская область Город Балашиха, микрорайон Салтыковка Разинское шоссе Дом 69   этаж 4, помещение № 128 (офис №410)</t>
  </si>
  <si>
    <t>ИП Шинкаренко Александр Вячеславович</t>
  </si>
  <si>
    <t>773172843027</t>
  </si>
  <si>
    <t>ИП7701002064</t>
  </si>
  <si>
    <t>ИП770100206400000</t>
  </si>
  <si>
    <t>142400 Московская область город Ногинск улица Советская дом 58</t>
  </si>
  <si>
    <t>ИП Мягков Михаил Вадимович</t>
  </si>
  <si>
    <t>773202375428</t>
  </si>
  <si>
    <t>ИП5001007581</t>
  </si>
  <si>
    <t>ИП500100758100000</t>
  </si>
  <si>
    <t>142015 Московская область город Домодедово   строение 1  2 этаж, часть 572</t>
  </si>
  <si>
    <t>ООО "РЕГСТАЭР-В"</t>
  </si>
  <si>
    <t>7732516205</t>
  </si>
  <si>
    <t>ЮЛ7701034770</t>
  </si>
  <si>
    <t>ЮЛ770103477000000</t>
  </si>
  <si>
    <t>141895 Московская область село Озерецкое Бульвар Мечта дом 2    офис 3-01</t>
  </si>
  <si>
    <t>ООО "ВЕНЕЦ АФРОДИТЫ"</t>
  </si>
  <si>
    <t>7733691175</t>
  </si>
  <si>
    <t>ЮЛ7701014280</t>
  </si>
  <si>
    <t>ЮЛ770101428000000</t>
  </si>
  <si>
    <t>140000 Московская область город Люберцы улица Смирновская дом 16/179   этаж 1, помещение III,часть комнаты 1</t>
  </si>
  <si>
    <t>ЮЛ770100398300050</t>
  </si>
  <si>
    <t>143420 Московская область город Красногорск территория автодорога "Балтия", 23-й километр  дом 1   этаж 1, помещение № 1-В-4</t>
  </si>
  <si>
    <t>ИП770100723800000</t>
  </si>
  <si>
    <t>142060 Московская область город Домодедово площадь Привокзальная дом 4</t>
  </si>
  <si>
    <t>ООО "ЛОМБАРД ЮЖНЫЙ"</t>
  </si>
  <si>
    <t>7734499481</t>
  </si>
  <si>
    <t>ЮЛ7701036959</t>
  </si>
  <si>
    <t>ЮЛ770103695900000</t>
  </si>
  <si>
    <t>141730 Московская область город Лобня улица Краснополянский проезд Дом 2   этаж 1</t>
  </si>
  <si>
    <t>ЮЛ770180000700003</t>
  </si>
  <si>
    <t>140055 Московская область город Котельники  дом 8 строение 7</t>
  </si>
  <si>
    <t>ИП770101400800001</t>
  </si>
  <si>
    <t>141202 Московская область город Пушкино улица Институтская дом 15а   2 этаж</t>
  </si>
  <si>
    <t>ИП Лыкова Мария Андреевна</t>
  </si>
  <si>
    <t>773475648040</t>
  </si>
  <si>
    <t>ИП7701037138</t>
  </si>
  <si>
    <t>ИП770103713800000</t>
  </si>
  <si>
    <t>141607 Московская область город Клин  улица Карла Маркса дом 4</t>
  </si>
  <si>
    <t>ИП Лашков Алексей Анатольевич</t>
  </si>
  <si>
    <t>773500801128</t>
  </si>
  <si>
    <t>ИП7701015629</t>
  </si>
  <si>
    <t>ИП770101562900001</t>
  </si>
  <si>
    <t>141607 Московская область город Клин улица Литейная дом 35   секция 120А</t>
  </si>
  <si>
    <t>ИП770101562900002</t>
  </si>
  <si>
    <t>141607 Московская область город Клин улица Карла Маркса дом 9</t>
  </si>
  <si>
    <t>ИП770101562900003</t>
  </si>
  <si>
    <t>141446 Московская область город Химки квартал Кирилловка строение 32</t>
  </si>
  <si>
    <t>ООО "ОНЛАЙН ТРЕЙД"</t>
  </si>
  <si>
    <t>7735092378</t>
  </si>
  <si>
    <t>ЮЛ7701017863</t>
  </si>
  <si>
    <t>ЮЛ770101786300000</t>
  </si>
  <si>
    <t>141503 Московская область деревня Пешки  Здание Птичника №7  1 этаж</t>
  </si>
  <si>
    <t>ООО "ТЕХНОРЕЦИКЛИНГ"</t>
  </si>
  <si>
    <t>7735592395</t>
  </si>
  <si>
    <t>ЮЛ7701038748</t>
  </si>
  <si>
    <t>ЮЛ770103874800000</t>
  </si>
  <si>
    <t>142015 Московская область город Домодедово Аэропорт  строение 1, этаж 2 галерея С, терминал 1</t>
  </si>
  <si>
    <t>ЮЛ160600373100001</t>
  </si>
  <si>
    <t>141400 Московская область город Химки Аэропорт Шереметьево владение 37 Терминал B Этаж 3</t>
  </si>
  <si>
    <t>ЮЛ160600373100005</t>
  </si>
  <si>
    <t>142015 Московская область город Домодедово территория Аэропорт строение 1, этаж 2 галерея С, терминал 1</t>
  </si>
  <si>
    <t>ЮЛ160600373100016</t>
  </si>
  <si>
    <t>143300 Московская область город Наро-Фоминск Площадь Свободы дом 2А корпус часть 1  помещение 7</t>
  </si>
  <si>
    <t>ИП Девина Галина Алексеевна</t>
  </si>
  <si>
    <t>773765038208</t>
  </si>
  <si>
    <t>ИП7701002400</t>
  </si>
  <si>
    <t>ИП770100240000000</t>
  </si>
  <si>
    <t>142703 Московская область город Видное улица Олимпийская дом 6 корпус 1</t>
  </si>
  <si>
    <t>ИП770100240000001</t>
  </si>
  <si>
    <t>142715 Московская область город Видное, Северная промзона  участок 177Ю</t>
  </si>
  <si>
    <t>ИП Вдовиченко Мария Юрьевна</t>
  </si>
  <si>
    <t>774309008292</t>
  </si>
  <si>
    <t>ИП7701006556</t>
  </si>
  <si>
    <t>ИП770100655600000</t>
  </si>
  <si>
    <t>141406 Московская область город Химки улица Совхозная дом 10   помещение 12</t>
  </si>
  <si>
    <t>ИП770101785000003</t>
  </si>
  <si>
    <t>ЮЛ770103577000002</t>
  </si>
  <si>
    <t>143090 Московская область Город Краснознаменск улица  Связистов дом 7</t>
  </si>
  <si>
    <t>ИП Макарьева Марина Борисовна</t>
  </si>
  <si>
    <t>774344908916</t>
  </si>
  <si>
    <t>ИП7701036452</t>
  </si>
  <si>
    <t>ИП770103645200000</t>
  </si>
  <si>
    <t>140406 Московская область город Коломна улица Октябрьской революции дом 370   помещение 101/136</t>
  </si>
  <si>
    <t>ЮЛ770100417200006</t>
  </si>
  <si>
    <t>140408 Московская область город Коломна улица Октябрьской революции дом 349   этаж 1, помещения № 21 и № 22</t>
  </si>
  <si>
    <t>ЮЛ770100417200007</t>
  </si>
  <si>
    <t>143401 Московская область Москвоская область, город Красногорск улица Международная дом 12   секция 2/1/1/254</t>
  </si>
  <si>
    <t>7743875527</t>
  </si>
  <si>
    <t>ЮЛ7701017981</t>
  </si>
  <si>
    <t>ЮЛ770101798100000</t>
  </si>
  <si>
    <t>143432 Московская область рабочий поселок Нахабино улица Институтская дом 17   этаж 2, помещение 2-23</t>
  </si>
  <si>
    <t>ИП Кошевцов Олег Валерьевич</t>
  </si>
  <si>
    <t>774396791070</t>
  </si>
  <si>
    <t>ИП7701009574</t>
  </si>
  <si>
    <t>ИП770100957400000</t>
  </si>
  <si>
    <t>143422 Московская область город Красногорск улица Международная владение 12   площадка №А9</t>
  </si>
  <si>
    <t>ИП Кирьянов Дмитрий Александрович</t>
  </si>
  <si>
    <t>780101245720</t>
  </si>
  <si>
    <t>ИП7803003590</t>
  </si>
  <si>
    <t>ИП780300359000005</t>
  </si>
  <si>
    <t>141006 Московская область город Мытищи проезд Шараповский владение 2   часть нежилого помещения, обозначенного на плане АЗ</t>
  </si>
  <si>
    <t>ЮЛ780300131300579</t>
  </si>
  <si>
    <t>140408 Московская область город Коломна улица Октябрьской революции дом 362   помещение № А3а</t>
  </si>
  <si>
    <t>ЮЛ780300131300593</t>
  </si>
  <si>
    <t>141109 Московская область город Щёлково улица Талсинская дом 2   помещение VI</t>
  </si>
  <si>
    <t>ЮЛ780300328000022</t>
  </si>
  <si>
    <t>140000 Московская область город Люберцы улица Смирновская дом 16   пом. 38</t>
  </si>
  <si>
    <t>ЮЛ780300328000029</t>
  </si>
  <si>
    <t>142400 Московская область город Ногинск улица 3 Интернационала дом 65   помещение 1</t>
  </si>
  <si>
    <t>ЮЛ780300328000030</t>
  </si>
  <si>
    <t>142100 Московская область город Подольск улица Советская дом 2/1   часть нежилого помещения №1</t>
  </si>
  <si>
    <t>ЮЛ780300328000033</t>
  </si>
  <si>
    <t>141310 Московская область город Сергиев Посад проспект Красной Армии дом 186/2   подвал: пом.2, 1 этаж: пом. 5, пом. 2</t>
  </si>
  <si>
    <t>ЮЛ780300328000038</t>
  </si>
  <si>
    <t>142200 Московская область город Серпухов улица Ворошилова дом 74   пом. 1: комната № 8</t>
  </si>
  <si>
    <t>ЮЛ780300328000039</t>
  </si>
  <si>
    <t>141503 Московская область город Солнечногорск улица Советская дом 7/16   часть нежилого помещения пом. №1</t>
  </si>
  <si>
    <t>ЮЛ780300328000040</t>
  </si>
  <si>
    <t>142207 Московская область город Серпухов улица Ворошилова дом 136-а   часть комнаты №2</t>
  </si>
  <si>
    <t>ЮЛ780300328000256</t>
  </si>
  <si>
    <t>140053 Московская область город Котельники проезд 1-й Покровский дом 5   помещение 7086</t>
  </si>
  <si>
    <t>ЮЛ780300868000018</t>
  </si>
  <si>
    <t>141006 Московская область город Мытищи Шараповский проезд вл. 2   пом. А3</t>
  </si>
  <si>
    <t>ЮЛ780300331800043</t>
  </si>
  <si>
    <t>140205 Московская область город Воскресенск улица Менделеева дом 20   помещение 20</t>
  </si>
  <si>
    <t>ЮЛ780300323500056</t>
  </si>
  <si>
    <t>142701 Московская область город Видное проспект Ленинского Комсомола дом 46А</t>
  </si>
  <si>
    <t>ЮЛ780300323500067</t>
  </si>
  <si>
    <t>142600 Московская область город Орехово-Зуево улица Ленина дом 14  литера А</t>
  </si>
  <si>
    <t>ЮЛ780300323500072</t>
  </si>
  <si>
    <t>141195 Московская область город Фрязино проспект Мира дом 8   помещения 2003\2</t>
  </si>
  <si>
    <t>ЮЛ780300323500103</t>
  </si>
  <si>
    <t>141313 Московская область город Сергиев Посад улица Рыбная 1-я дом 19/22   помещение №5</t>
  </si>
  <si>
    <t>ЮЛ780300323500210</t>
  </si>
  <si>
    <t>140408 Московская область город Коломна улица Октябрьской революции д. 362</t>
  </si>
  <si>
    <t>ЮЛ780300308200006</t>
  </si>
  <si>
    <t>140188 Московская область город Жуковский улица Баженова дом 2а</t>
  </si>
  <si>
    <t>ЮЛ780300308200007</t>
  </si>
  <si>
    <t>141195 Московская область город Фрязино проспект Мира дом 8   помещение 1010, часть комнаты 128</t>
  </si>
  <si>
    <t>ЮЛ780300308200134</t>
  </si>
  <si>
    <t>140300 Московская область город Егорьевск улица Советская дом 155/17   часть комнаты 1</t>
  </si>
  <si>
    <t>ЮЛ780300308200138</t>
  </si>
  <si>
    <t>141310 Московская область город Сергиев Посад проспект Красной Армии дом 186/2   подвал: пом.2, 1 этаж: пом. 5, пом.2.,  часть нежилого помещения №5 (комнаты №№ 1-9)</t>
  </si>
  <si>
    <t>ЮЛ780300308200194</t>
  </si>
  <si>
    <t>143007 Московская область городское поселение Одинцово, город Одинцово улица Советская дом 9   часть комнат 20-26</t>
  </si>
  <si>
    <t>ЮЛ780300308200212</t>
  </si>
  <si>
    <t>142600 Московская область город Орехово-Зуево улица Ленина дом 78   помещения 1-119</t>
  </si>
  <si>
    <t>ЮЛ780300308200213</t>
  </si>
  <si>
    <t>142500 Московская область город Павловский Посад улица Привокзальная дом 19А</t>
  </si>
  <si>
    <t>ЮЛ780300308200214</t>
  </si>
  <si>
    <t>142100 Московская область город Подольск улица Большая Серпуховская дом 5а</t>
  </si>
  <si>
    <t>ЮЛ780300308200216</t>
  </si>
  <si>
    <t>142100 Московская область город Подольск улица Комсомольская дом 46   помещение 5</t>
  </si>
  <si>
    <t>ЮЛ780300308200217</t>
  </si>
  <si>
    <t>142116 Московская область город Подольск проспект Революционный дом 15   помещение 1</t>
  </si>
  <si>
    <t>ЮЛ780300308200218</t>
  </si>
  <si>
    <t>142000 Московская область город Домодедово микрорайон Северный,  Каширское шоссе строение 3а  литер 1Б часть помещения №115, Литера 1Б, под условным номером B02b</t>
  </si>
  <si>
    <t>ЮЛ780300308200227</t>
  </si>
  <si>
    <t>140055 Московская область город Котельники 1-й проезд Покровский дом 5   помещение 2004</t>
  </si>
  <si>
    <t>ЮЛ780300308200250</t>
  </si>
  <si>
    <t>143442 Московская область город Красногорск 7-й километр Пятницкого шоссе владение 2   торговая площадь К-1</t>
  </si>
  <si>
    <t>ЮЛ780300308200251</t>
  </si>
  <si>
    <t>140002 Московская область город Люберцы проспект Октябрьский дом 112</t>
  </si>
  <si>
    <t>ЮЛ780300308200254</t>
  </si>
  <si>
    <t>142300 Московская область город Чехов шоссе Симферопольское дом 1   часть нежилого  помещения №К7</t>
  </si>
  <si>
    <t>ЮЛ780300308200273</t>
  </si>
  <si>
    <t>141734 Московская область город Лобня проезд Краснополянский дом 2</t>
  </si>
  <si>
    <t>ЮЛ780300308200284</t>
  </si>
  <si>
    <t>141211 Московская область город Пушкино улица Красноармейское шоссе дом 104</t>
  </si>
  <si>
    <t>ЮЛ780300308200289</t>
  </si>
  <si>
    <t>143968 Московская область город Реутов 2-й км Московской автокольцевой автодороги дом 2   помещение 001 литер Б</t>
  </si>
  <si>
    <t>ЮЛ780300308200290</t>
  </si>
  <si>
    <t>141601 Московская область город Клин площадь Советская владение 5   часть помещения 113</t>
  </si>
  <si>
    <t>ЮЛ780300308200322</t>
  </si>
  <si>
    <t>141800 Московская область город Дмитров улица Загорская дом 22   помещение 1-6</t>
  </si>
  <si>
    <t>ЮЛ780300308200367</t>
  </si>
  <si>
    <t>151008 Московская область город Мытищи улица Мира дом 51</t>
  </si>
  <si>
    <t>ЮЛ780300308200393</t>
  </si>
  <si>
    <t>141217 Московская область г.п. Пушкино, город Пушкино тер. 33-й км автодороги М8 Холмогоры  строение 18  помещение В150</t>
  </si>
  <si>
    <t>ЮЛ780300308200397</t>
  </si>
  <si>
    <t>141304 Московская область город Сергиев Посад улица Вознесенская дом 32а   часть нежилого помещения 1 (комната 42)</t>
  </si>
  <si>
    <t>ЮЛ780300308200400</t>
  </si>
  <si>
    <t>142104 Московская область город Подольск улица Свердлова дом 26</t>
  </si>
  <si>
    <t>ЮЛ780300308200402</t>
  </si>
  <si>
    <t>142500 Московская область город Павловский Посад улица Большая Покровская дом 35</t>
  </si>
  <si>
    <t>ЮЛ780300308200449</t>
  </si>
  <si>
    <t>142121 Московская область город Подольск улица Ленинградская дом 21   часть нежилого помещения №9</t>
  </si>
  <si>
    <t>ЮЛ780300308200450</t>
  </si>
  <si>
    <t>143965 Московская область город Реутов улица Октября владение 10</t>
  </si>
  <si>
    <t>ЮЛ780300308200451</t>
  </si>
  <si>
    <t>143965 Московская область город Реутов улица Южная владение 10А   нежилое помещение №1009,  1008</t>
  </si>
  <si>
    <t>ЮЛ780300308200452</t>
  </si>
  <si>
    <t>142200 Московская область город Серпухов улица Ворошилова дом 74   помещение 1, а именно комнаты № 4,5,6,9,10,11</t>
  </si>
  <si>
    <t>ЮЛ780300308200575</t>
  </si>
  <si>
    <t>141006 Московская область город Мытищи проезд Шараповский владение 2   часть нежилого помещения А3</t>
  </si>
  <si>
    <t>ЮЛ780300308200592</t>
  </si>
  <si>
    <t>143300 Московская область Наро-Фоминский городской округ, город Наро-Фоминск площадь Свободы дом 2 корпус часть 1   нежилое помещение №207 являющееся частью нежилого помещения №2</t>
  </si>
  <si>
    <t>ЮЛ780300308200593</t>
  </si>
  <si>
    <t>142207 Московская область город Серпухов улица Ворошилова дом 136а   часть нежилого помещения №2 на первом этаже здания, литера Б, а именно комнату  №1, часть комнаты №2, комнату №3, комнату №4, комнату №5, комнату №6</t>
  </si>
  <si>
    <t>ЮЛ780300308200611</t>
  </si>
  <si>
    <t>142181 Московская область город Подольск, микрорайон Климовск улица Молодежная д. 11   помещения 209, 210</t>
  </si>
  <si>
    <t>ЮЛ780300308200615</t>
  </si>
  <si>
    <t>141501 Московская область город Химки проспект Мельникова дом 2-Б</t>
  </si>
  <si>
    <t>ЮЛ780300308200622</t>
  </si>
  <si>
    <t>143026 Московская область рабочий поселок Новоивановское Можайское шоссе дом 110   помещение 182</t>
  </si>
  <si>
    <t>ЮЛ780300308200725</t>
  </si>
  <si>
    <t>141014 Московская область г. Мытищи шоссе Осташковское дом 1   комната № 265 и № 266, номер Помещения по плану торговой Галереи-6</t>
  </si>
  <si>
    <t>ЮЛ780300308200726</t>
  </si>
  <si>
    <t>141734 Московская область город Лобня проезд Краснополянский дом 2б   комната №87</t>
  </si>
  <si>
    <t>ЮЛ780300308200729</t>
  </si>
  <si>
    <t>141202 Московская область город Пушкино улица Красноармейское шоссе владение 105   помещение №217</t>
  </si>
  <si>
    <t>ЮЛ780300308200732</t>
  </si>
  <si>
    <t>141109 Московская область город Щёлково улица Талсинская дом 2   , пом. VI, а именно: часть нежилого помещения №1, нежилые помещения №№ 2, 3, 4</t>
  </si>
  <si>
    <t>ЮЛ780300308200775</t>
  </si>
  <si>
    <t>140000 Московская область город Люберцы улица Смирновская дом 16 пом. 38   часть нежилых помещений</t>
  </si>
  <si>
    <t>ЮЛ780300308200779</t>
  </si>
  <si>
    <t>143980 Московская область город Балашиха мкр Железнодорожный, улица Советская дом 5   часть нежилого помещения ТР2-1, часть комнаты №30, комната №31</t>
  </si>
  <si>
    <t>ЮЛ780300308200781</t>
  </si>
  <si>
    <t>142400 Московская область город Ногинск улица 3-го Интернационала дом 65 пом. 1   часть нежилого помещения</t>
  </si>
  <si>
    <t>ЮЛ780300308200783</t>
  </si>
  <si>
    <t>141402 Московская область город Химки улица Московская дом 3   пом 42-43</t>
  </si>
  <si>
    <t>ЮЛ780300308200815</t>
  </si>
  <si>
    <t>141503 Московская область город Солнечногорск улица Советская дом 7/16   пом. 1</t>
  </si>
  <si>
    <t>ЮЛ780300308200998</t>
  </si>
  <si>
    <t>142400 Московская область город Ногинск улица Комсомольская дом 26/1   пом.1, часть нежилого помещения № 1</t>
  </si>
  <si>
    <t>ЮЛ780300308201014</t>
  </si>
  <si>
    <t>143962 Московская область город Реутов шоссе Носовихинское дом 45</t>
  </si>
  <si>
    <t>ЮЛ780300308201020</t>
  </si>
  <si>
    <t>143185 Московская область город Звенигород шоссе Нахабинское дом 15   номер помещения по плану Торговой галереи 13-14</t>
  </si>
  <si>
    <t>ЮЛ780300308201048</t>
  </si>
  <si>
    <t>141107 Московская область г.о. Щёлково, г. Щёлково мкр. Богородский владение №9   номер помещения по плату торговой галереи 2</t>
  </si>
  <si>
    <t>ЮЛ780300308201051</t>
  </si>
  <si>
    <t>144003 Московская область город Электросталь улица Корешкова дом 3   нежилое помещение № 32</t>
  </si>
  <si>
    <t>ЮЛ780300308201081</t>
  </si>
  <si>
    <t>141008 Московская область город Мытищи улица Мира строение 51   помещение 3к-105</t>
  </si>
  <si>
    <t>ЮЛ780300308201083</t>
  </si>
  <si>
    <t>142200 Московская область город Серпухов шоссе Борисовское дом 1   помещение № 2,3,4,5,6</t>
  </si>
  <si>
    <t>ЮЛ780300308201084</t>
  </si>
  <si>
    <t>141981 Московская область город Дубна проспект Боголюбова дом 24</t>
  </si>
  <si>
    <t>ЮЛ780300308201089</t>
  </si>
  <si>
    <t>140408 Московская область город Коломна улица Октябрьской революции дом 362   комната № А3а</t>
  </si>
  <si>
    <t>ЮЛ780300308201108</t>
  </si>
  <si>
    <t>140408 Московская область город Коломна площадь Восстания дом 6   помещение 1</t>
  </si>
  <si>
    <t>ЮЛ780300308201128</t>
  </si>
  <si>
    <t>141552 Московская область город Солнечногорск микрорайон 2-й строение 20   R04</t>
  </si>
  <si>
    <t>ЮЛ780300308201138</t>
  </si>
  <si>
    <t>141700 Московская область город Долгопрудный проспект Лихачевский дом 64   нежилое помещение №11</t>
  </si>
  <si>
    <t>ЮЛ780300308201140</t>
  </si>
  <si>
    <t>143081 Московская область город Одинцово  дом 55Е строение 1   помещение 89</t>
  </si>
  <si>
    <t>ЮЛ780300308201153</t>
  </si>
  <si>
    <t>143300 Московская область город Наро-Фоминск площадь Свободы дом 2 корпус часть 1 пом.7  часть нежилого помещения №179</t>
  </si>
  <si>
    <t>ЮЛ780300308201155</t>
  </si>
  <si>
    <t>141410 Московская область город Химки микрорайон ИКЕА корпус 3   №501КSК-10</t>
  </si>
  <si>
    <t>ЮЛ780300308201156</t>
  </si>
  <si>
    <t>142000 Московская область город Домодедово микрорайон Северный шоссе Каширское дом 3а литер 1Б   помещение №45, помещение №46 и часть помещения 115</t>
  </si>
  <si>
    <t>ЮЛ780300308201162</t>
  </si>
  <si>
    <t>143007 Московская область город Одинцово шоссе Можайское дом 71   кадастровый номер помещения 50:20:0000000:84611  и кадастровый номер помещения 50:20:0000000:84615</t>
  </si>
  <si>
    <t>ЮЛ780300308201170</t>
  </si>
  <si>
    <t>140108 Московская область город Раменское улица Ногина дом 2   помещение 1</t>
  </si>
  <si>
    <t>ЮЛ780300308201172</t>
  </si>
  <si>
    <t>143500 Московская область город Истра улица Щеголева здание 1</t>
  </si>
  <si>
    <t>ЮЛ780300308201174</t>
  </si>
  <si>
    <t>140180 Московская область город Жуковский улица Гагарина дом 67   помещения №9, №10</t>
  </si>
  <si>
    <t>ЮЛ780300308201188</t>
  </si>
  <si>
    <t>142900 Московская область город Кашира улица Советская дом 1/1 строение 1</t>
  </si>
  <si>
    <t>ЮЛ780300308201191</t>
  </si>
  <si>
    <t>141551 Московская область городское поселение Андреевка, рп Андреевка улица Жилинская строение 1   помещение состоит из комнаты № 5, комнаты № 6, комнаты № 7</t>
  </si>
  <si>
    <t>ЮЛ780300308201197</t>
  </si>
  <si>
    <t>143532 Московская область город Дедовск улица Железнодорожная дом 10   лит Б17</t>
  </si>
  <si>
    <t>ЮЛ780300308201200</t>
  </si>
  <si>
    <t>143103 Московская область город Руза улица Федеративная дом 7</t>
  </si>
  <si>
    <t>ЮЛ780300308201205</t>
  </si>
  <si>
    <t>142300 Московская область город Чехов Московская улица владение 96   помещение 12</t>
  </si>
  <si>
    <t>ЮЛ780300308201208</t>
  </si>
  <si>
    <t>141301 Московская область город Сергиев Посад Новоугличское шоссе дом 85</t>
  </si>
  <si>
    <t>ЮЛ780300308201212</t>
  </si>
  <si>
    <t>140209 Московская область село Федино улица Фединская здание 1</t>
  </si>
  <si>
    <t>ЮЛ780300308201214</t>
  </si>
  <si>
    <t>140080 Московская область город Лыткарино улица Парковая строение 2 инв.№122:038-1265 литера Б № нежилого помещения/торгового места 1.19</t>
  </si>
  <si>
    <t>ЮЛ780300308201221</t>
  </si>
  <si>
    <t>140301 Московская область город Егорьевск улица Советская дом 121   нежилое помещение (кадастровый паспорт инвентарный номер 032:013-4521)</t>
  </si>
  <si>
    <t>ЮЛ780300308201223</t>
  </si>
  <si>
    <t>142600 Московская область город Орехово-Зуево улица Ленина дом 14</t>
  </si>
  <si>
    <t>ЮЛ780300379600007</t>
  </si>
  <si>
    <t>ЮЛ780300379600008</t>
  </si>
  <si>
    <t>141800 Московская область город Дмитров улица Советская дом 3</t>
  </si>
  <si>
    <t>ЮЛ780300379600009</t>
  </si>
  <si>
    <t>141313 Московская область город Сергиев Посад улица Рыбная 1-я дом 19/22</t>
  </si>
  <si>
    <t>ЮЛ780300379600011</t>
  </si>
  <si>
    <t>141195 Московская область город Фрязино проспект Мира дом 8   помещение 2003\2</t>
  </si>
  <si>
    <t>ЮЛ780300379600031</t>
  </si>
  <si>
    <t>ЮЛ780300379600035</t>
  </si>
  <si>
    <t>140301 Московская область город Егорьевск улица Советская дом 130   помещение 1</t>
  </si>
  <si>
    <t>ЮЛ780300379600036</t>
  </si>
  <si>
    <t>141601 Московская область город Клин улица Гагарина дом 2/13   помещение 2</t>
  </si>
  <si>
    <t>ЮЛ780300379600037</t>
  </si>
  <si>
    <t>140000 Московская область город Люберцы улица Смирновская дом 16/179</t>
  </si>
  <si>
    <t>ИП Лыщик Станислав Тадеушевич</t>
  </si>
  <si>
    <t>781606346143</t>
  </si>
  <si>
    <t>ИП7803016085</t>
  </si>
  <si>
    <t>ИП780301608500000</t>
  </si>
  <si>
    <t>143430 Московская область город Красногорск, рабочий поселок Нахабино Улица Институтская Дом 17 этаж 1   помещение  1-10Б</t>
  </si>
  <si>
    <t>ИП Родикова Людмила Леонидовна</t>
  </si>
  <si>
    <t>860305491353</t>
  </si>
  <si>
    <t>ИП5001008066</t>
  </si>
  <si>
    <t>ИП500100806600000</t>
  </si>
  <si>
    <t>143432 Московская область город Красногорск,рабочий поселок Нахабино улица Институтская дом 25 этаж 1 литер 1  помещение № 1</t>
  </si>
  <si>
    <t>ИП500100806600001</t>
  </si>
  <si>
    <t>143405 Московская область город Красногорск  улица Подмосковный бульвар дом 1   помещение  X</t>
  </si>
  <si>
    <t>ИП500100806600002</t>
  </si>
  <si>
    <t>142703 Московская область город Видное улица Школьная дом 92   офис 183</t>
  </si>
  <si>
    <t>ЮЛ820400992900007</t>
  </si>
  <si>
    <t>141370 Московская область город Хотьково Художественный проезд 2е   помещение 3 , подвал ком. 1-14 , 1 этаж ком. 1-28, 2 этаж ком. 1-27, 3 этаж ком. 1-33. (см. приложение № 1 , пункт 1)</t>
  </si>
  <si>
    <t>ИП770103624300000</t>
  </si>
  <si>
    <t>142007 Московская область город Домодедово проспект академика Туполева дом 2   часть нежилого помещения под № 15 Б-1</t>
  </si>
  <si>
    <t>ЮЛ770100490800005</t>
  </si>
  <si>
    <t>143401 Московская область город Красногорск улица Международная дом 8   помещение №1/49</t>
  </si>
  <si>
    <t>ЮЛ770100068200003</t>
  </si>
  <si>
    <t>143420 Московская область город Красногорск территория автодорога "Балтия", 23-й километр дом 2   помещение 83</t>
  </si>
  <si>
    <t>ЮЛ770103167400001</t>
  </si>
  <si>
    <t>142715 Московская область город Видное, поселок Совхоза имени Ленина километр МКАД 24 владение 1 строение 4</t>
  </si>
  <si>
    <t>ЮЛ770100382700001</t>
  </si>
  <si>
    <t>ЮЛ770100382700002</t>
  </si>
  <si>
    <t>141730 Московская область город Лобня улица Ленина дом 19 корпус 1   помещение 259, этаж 1</t>
  </si>
  <si>
    <t>ЮЛ770100140400002</t>
  </si>
  <si>
    <t>ЮЛ770100140400017</t>
  </si>
  <si>
    <t>143904 Московская область город Балашиха улица Советская дом 8   помещение 1н</t>
  </si>
  <si>
    <t>ЮЛ770100140400022</t>
  </si>
  <si>
    <t>140056 Московская область город Котельники улица Сосновая дом 5 корпус 1  помещение 6</t>
  </si>
  <si>
    <t>ЮЛ770100140400025</t>
  </si>
  <si>
    <t>141402 Московская область город Химки улица Московская дом 1   помещение 2</t>
  </si>
  <si>
    <t>ЮЛ770103800100001</t>
  </si>
  <si>
    <t>ЮЛ770103800100005</t>
  </si>
  <si>
    <t>141006 Московская область город Мытищи проезд Шараповский строение 3А   помещения 56,57,58,59,60,61</t>
  </si>
  <si>
    <t>ЮЛ770103800100006</t>
  </si>
  <si>
    <t>143500 Московская область город Истра площадь Воскресенская дом 3   помещение 3</t>
  </si>
  <si>
    <t>ЮЛ770103800100010</t>
  </si>
  <si>
    <t>140200 Московская область город Воскресенск улица Октябрьская дом 10   помещение 2</t>
  </si>
  <si>
    <t>ЮЛ770103800100011</t>
  </si>
  <si>
    <t>140108 Московская область город Раменское улица Советская дом 16</t>
  </si>
  <si>
    <t>ЮЛ770103800100012</t>
  </si>
  <si>
    <t>140108 Московская область город Раменское улица Ногина дом 2</t>
  </si>
  <si>
    <t>ЮЛ770103800100016</t>
  </si>
  <si>
    <t>141730 Московская область город Лобня улица Ленина дом 19 корпус 1  помещение 008</t>
  </si>
  <si>
    <t>ЮЛ770103800100017</t>
  </si>
  <si>
    <t>141204 Московская область город Пушкино проспект Московский дом 3   помещение 31</t>
  </si>
  <si>
    <t>ЮЛ770103800100021</t>
  </si>
  <si>
    <t>140408 Московская область город Коломна улица Октябрьской революции дом 364   помещение 6</t>
  </si>
  <si>
    <t>ЮЛ770103800100026</t>
  </si>
  <si>
    <t>143401 Московская область город Красногорск улица Международная дом 12   помещение 1/216, 1-й этаж</t>
  </si>
  <si>
    <t>ЮЛ770100668800024</t>
  </si>
  <si>
    <t>140055 Московская область город Котельники  проезд 1-й Покровский дом 5   помещение 7062S 2-й этаж</t>
  </si>
  <si>
    <t>ЮЛ770100668800031</t>
  </si>
  <si>
    <t>142715 Московская область город Видное километр МКАД 24 владение 1   помещение 176-177, 1-й этаж</t>
  </si>
  <si>
    <t>ЮЛ770100668800032</t>
  </si>
  <si>
    <t>140055 Московская область город Котельники улица Новорязанское шоссе дом 8 строение 5  помещение 23 ,1-й этаж</t>
  </si>
  <si>
    <t>ЮЛ770100668800034</t>
  </si>
  <si>
    <t>141410 Московская область город Химки микрорайон ИКЕА корпус 2   1 этаж, помещение 8080</t>
  </si>
  <si>
    <t>ЮЛ770100668800039</t>
  </si>
  <si>
    <t>141301 Московская область город Сергиев Посад шоссе Новоугличское дом 85   Помещение на 01 этаже</t>
  </si>
  <si>
    <t>ООО "ДЖЕМС БАР"</t>
  </si>
  <si>
    <t>9713019427</t>
  </si>
  <si>
    <t>ЮЛ7701038196</t>
  </si>
  <si>
    <t>ЮЛ770103819600000</t>
  </si>
  <si>
    <t>142181 Московская область деревня Коледино, тер. Индустриальный парк Коледино  6 стр.1</t>
  </si>
  <si>
    <t>ООО "РВБ"</t>
  </si>
  <si>
    <t>9714053621</t>
  </si>
  <si>
    <t>ЮЛ7701037381</t>
  </si>
  <si>
    <t>ЮЛ770103738100000</t>
  </si>
  <si>
    <t>141501 Московская область город Химки проспект Мельникова строение 2Г   этаж 1, помещение № 12</t>
  </si>
  <si>
    <t>ЮЛ770100327000003</t>
  </si>
  <si>
    <t>143912 Московская область город Балашиха проспект Ленина дом 31   помещение 258 1 этаж</t>
  </si>
  <si>
    <t>ЮЛ770100439200031</t>
  </si>
  <si>
    <t>142000 Московская область город Домодедово улица Каширское шоссе строение 3А  Литер 1Б Помещения №116, №117 1 этаж</t>
  </si>
  <si>
    <t>ЮЛ770100439200032</t>
  </si>
  <si>
    <t>141607 Московская область город Клин улица Карла Маркса дом 4   помещение (ком.107) 1 этаж</t>
  </si>
  <si>
    <t>ЮЛ770100439200033</t>
  </si>
  <si>
    <t>143401 Московская область город Красногорск улица Международная дом 12   1 этаж, № секции 1/264</t>
  </si>
  <si>
    <t>ЮЛ770100439200034</t>
  </si>
  <si>
    <t>140013 Московская область город Люберцы улица Побратимов дом 7   2 этаж, комнаты №58, №59</t>
  </si>
  <si>
    <t>ЮЛ770100439200035</t>
  </si>
  <si>
    <t>140055 Московская область город Котельники Новорязанское шоссе дом 8 строение 16  1 этаж, пом. 189с</t>
  </si>
  <si>
    <t>ЮЛ770100439200036</t>
  </si>
  <si>
    <t>141031 Московская область г.о. Мытищи Алтуфьевское шоссе, 1-й километр, Владение 3 Строение 1  помещение 1-081 1 этаж</t>
  </si>
  <si>
    <t>ЮЛ770100439200038</t>
  </si>
  <si>
    <t>141006 Московская область город Мытищи проезд Шараповский владение 2   1 этаж , Помещение №А5</t>
  </si>
  <si>
    <t>ЮЛ770100439200039</t>
  </si>
  <si>
    <t>143005 Московская область город Одинцово шоссе Можайское дом 133А   1 этаж, Помещение №1, комнаты №52, №52а, №52б</t>
  </si>
  <si>
    <t>ЮЛ770100439200040</t>
  </si>
  <si>
    <t>143005 Московская область город Одинцово улица Говорова дом 163   1 этаж</t>
  </si>
  <si>
    <t>ЮЛ770100439200041</t>
  </si>
  <si>
    <t>141301 Московская область город Сергиев Посад шоссе Новоугличское дом 85   1 этаж</t>
  </si>
  <si>
    <t>ЮЛ770100439200043</t>
  </si>
  <si>
    <t>142803 Московская область город Ступино проспект Победы дом 63А   этаж 1, Помещения №1.142, №1.143</t>
  </si>
  <si>
    <t>ЮЛ770100439200045</t>
  </si>
  <si>
    <t>142300 Московская область город Чехов улица Московская владение 96   Помещение 4, 1 этаж</t>
  </si>
  <si>
    <t>ЮЛ770100439200047</t>
  </si>
  <si>
    <t>142300 Московская область город Чехов шоссе Симферопольское дом 1   этаж 1, помещение 15</t>
  </si>
  <si>
    <t>ЮЛ770100439200181</t>
  </si>
  <si>
    <t>142715 Московская область город Видное километр МКАД 24 здание 1   помещение 62/2</t>
  </si>
  <si>
    <t>ЮЛ770100439200231</t>
  </si>
  <si>
    <t>141552 Московская область рабочий поселок Ржавки микрорайон №2 строение 20   помещение  чп.60, чп. 61</t>
  </si>
  <si>
    <t>ЮЛ770100439200240</t>
  </si>
  <si>
    <t>142400 Московская область город Ногинск улица 3-го Интернационала дом 52   часть нежилого здания под внутренним номером 101</t>
  </si>
  <si>
    <t>ЮЛ770100439200243</t>
  </si>
  <si>
    <t>140108 Московская область город Раменское улица Ногина    у магазина "Россияне", 1 этаж</t>
  </si>
  <si>
    <t>ЮЛ770100439200245</t>
  </si>
  <si>
    <t>140053 Московская область город Котельники проезд 1-й Покровский дом 5   помещение №5044</t>
  </si>
  <si>
    <t>ЮЛ770100439200252</t>
  </si>
  <si>
    <t>141410 Московская область город Химки микрорайон ИКЕА корпус 2   помещение №8006s</t>
  </si>
  <si>
    <t>ЮЛ770100439200253</t>
  </si>
  <si>
    <t>142100 Московская область город Подольск улица Комсомольская дом 24   помещение R2,  1-й этаж</t>
  </si>
  <si>
    <t>ЮЛ770100439200265</t>
  </si>
  <si>
    <t>143081 Московская область город Одинцово, село Юдино  дом 55Е строение 1  помещ. А53</t>
  </si>
  <si>
    <t>ЮЛ770100439200268</t>
  </si>
  <si>
    <t>141701 Московская область город Долгопрудный площадь Рыночная дом 7</t>
  </si>
  <si>
    <t>ООО "КАМЕЯ"</t>
  </si>
  <si>
    <t>9715492999</t>
  </si>
  <si>
    <t>ЮЛ7701037769</t>
  </si>
  <si>
    <t>ЮЛ770103776900000</t>
  </si>
  <si>
    <t>141702 Московская область город Долгопрудный проспект Пацаева дом 12</t>
  </si>
  <si>
    <t>ООО "ЗОЛОТОЙ СТИЛЬ"</t>
  </si>
  <si>
    <t>9715511828</t>
  </si>
  <si>
    <t>ЮЛ7701039720</t>
  </si>
  <si>
    <t>ЮЛ770103972000000</t>
  </si>
  <si>
    <t>141207 Московская область город Пушкино проспект Московский дом 1-а</t>
  </si>
  <si>
    <t>ЮЛ770100938700002</t>
  </si>
  <si>
    <t>143200 Московская область город Можайск улица 1-я Железнодорожная дом 48А   помещение 3</t>
  </si>
  <si>
    <t>ЮЛ770100938700005</t>
  </si>
  <si>
    <t>142701 Московская область город Видное проспект Ленинского Комсомола дом 13А</t>
  </si>
  <si>
    <t>ЮЛ770100938700014</t>
  </si>
  <si>
    <t>141075 Московская область город Королёв проспект Космонавтов дом 23а   помещение №9</t>
  </si>
  <si>
    <t>ЮЛ770100938700016</t>
  </si>
  <si>
    <t>ЮЛ770100938700017</t>
  </si>
  <si>
    <t>141304 Московская область город Сергиев Посад улица Рыбная 1-я дом 18/2</t>
  </si>
  <si>
    <t>ЮЛ770100938700018</t>
  </si>
  <si>
    <t>143408 Московская область город Красногорск бульвар Космонавтов дом 1   офис 0100</t>
  </si>
  <si>
    <t>ЮЛ770100938700020</t>
  </si>
  <si>
    <t>141281 Московская область город Ивантеевка улица Хлебозаводская дом 30   помещение 350</t>
  </si>
  <si>
    <t>ЮЛ770100938700026</t>
  </si>
  <si>
    <t>141008 Московская область город Мытищи улица Мира дом 35   помещение 25</t>
  </si>
  <si>
    <t>ЮЛ770100938700027</t>
  </si>
  <si>
    <t>142000 Московская область город Домодедово площадь Привокзальная строение 7</t>
  </si>
  <si>
    <t>ЮЛ770100938700030</t>
  </si>
  <si>
    <t>140000 Московская область город Люберцы улица Смирновская дом 23   1 этаж, помещение 2, комната 5,6</t>
  </si>
  <si>
    <t>ЮЛ770100938700035</t>
  </si>
  <si>
    <t>141204 Московская область город Пушкино проспект Московский дом 4   помещение 1</t>
  </si>
  <si>
    <t>ЮЛ770100938700074</t>
  </si>
  <si>
    <t>142000 Московская область город Домодедово улица Корнеева дом 8</t>
  </si>
  <si>
    <t>ЮЛ770100295600001</t>
  </si>
  <si>
    <t>141410 Московская область город Химки микрорайон ИКЕА корпус 2   помещение 3044</t>
  </si>
  <si>
    <t>ЮЛ770100610600005</t>
  </si>
  <si>
    <t>143401 Московская область город Красногорск улица Международная дом 12   помещение 2-111</t>
  </si>
  <si>
    <t>ЮЛ770100610600007</t>
  </si>
  <si>
    <t>143980 Московская область город Балашиха микрорайон Железнодорожный, улица Советская дом 1Е   ТЦ АТЛАНТИК, этаж 1</t>
  </si>
  <si>
    <t>ЮЛ770101167800004</t>
  </si>
  <si>
    <t>140000 Московская область город Люберцы улица Смирновская дом 16   помещение 58</t>
  </si>
  <si>
    <t>ЮЛ770101167800007</t>
  </si>
  <si>
    <t>141402 Московская область город Химки улица Железнодорожная дом 21</t>
  </si>
  <si>
    <t>ЮЛ770101167800010</t>
  </si>
  <si>
    <t>141304 Московская область город Сергиев Посад площадь Вокзальная дом 1   первый этаж</t>
  </si>
  <si>
    <t>ЮЛ770101167800011</t>
  </si>
  <si>
    <t>142608 Московская область город Орехово-Зуево улица Бирюкова дом 41</t>
  </si>
  <si>
    <t>ЮЛ770101167800012</t>
  </si>
  <si>
    <t>143900 Московская область город Балашиха Шоссе Энтузиастов Дом 9   Этаж 1, Помещение 3</t>
  </si>
  <si>
    <t>ООО "ЗЛАТА"</t>
  </si>
  <si>
    <t>9723116589</t>
  </si>
  <si>
    <t>ЮЛ7701010561</t>
  </si>
  <si>
    <t>ЮЛ770101056100000</t>
  </si>
  <si>
    <t>140000 Московская область город Люберцы улица Смирновская дом 23   помещение 2, комната 5</t>
  </si>
  <si>
    <t>ЮЛ770101932900013</t>
  </si>
  <si>
    <t>141421 Московская область город Химки мкр. Сходня, улица Кирова дом 3 строен. 3</t>
  </si>
  <si>
    <t>ЮЛ770103054400010</t>
  </si>
  <si>
    <t>143912 Московская область город Балашиха улица Советская дом 3   пом. 32Н</t>
  </si>
  <si>
    <t>ЮЛ770103054400011</t>
  </si>
  <si>
    <t>142155 Московская область город Подольск микрорайон Львовский проезд Садовый дом 1</t>
  </si>
  <si>
    <t>ООО СЕРЕБРЯНЫЙ КОД</t>
  </si>
  <si>
    <t>9724194692</t>
  </si>
  <si>
    <t>ЮЛ7701037204</t>
  </si>
  <si>
    <t>ЮЛ770103720400000</t>
  </si>
  <si>
    <t>143900 Московская область город Балашиха улица Фадеева дом 7А   торговое место №17А</t>
  </si>
  <si>
    <t>ЮЛ770103502400009</t>
  </si>
  <si>
    <t>143007 Московская область город Одинцово улица Советская дом 1Б   1 этаж</t>
  </si>
  <si>
    <t>ЮЛ770103502400018</t>
  </si>
  <si>
    <t>141402 Московская область город Химки шоссе Международное дом 1   Помещение 14</t>
  </si>
  <si>
    <t>ЮЛ770103296600003</t>
  </si>
  <si>
    <t>143082 Московская область деревня Жуковка шоссе Рублево-Успенское дом 201   помещение 106</t>
  </si>
  <si>
    <t>ООО "ХРОНОЛЮКС ЮНИОН"</t>
  </si>
  <si>
    <t>9728045814</t>
  </si>
  <si>
    <t>ЮЛ5001036364</t>
  </si>
  <si>
    <t>ЮЛ500103636400000</t>
  </si>
  <si>
    <t>143980 Московская область город Балашиха, микрорайон Железнодорожный улица Октябрьская дом 17   помещение 33</t>
  </si>
  <si>
    <t>ЮЛ770101971700001</t>
  </si>
  <si>
    <t>140000 Московская область город Люберцы проспект Октябрьский дом 151/9   этаж 1</t>
  </si>
  <si>
    <t>ЮЛ770100242600002</t>
  </si>
  <si>
    <t>143964 Московская область город Реутов улица Ленина дом 1А</t>
  </si>
  <si>
    <t>ЮЛ770100242600003</t>
  </si>
  <si>
    <t>140015 Московская область город Люберцы улица Инициативная дом 10</t>
  </si>
  <si>
    <t>ЮЛ770100242600004</t>
  </si>
  <si>
    <t>142301 Московская область город Чехов улица Чехова дом 3   этаж 1 часть помещения № 2</t>
  </si>
  <si>
    <t>ЮЛ770100242600009</t>
  </si>
  <si>
    <t>ЮЛ770100242600014</t>
  </si>
  <si>
    <t>142000 Московская область город Домодедово площадь Привокзальная строение 7а</t>
  </si>
  <si>
    <t>ЮЛ770100242600016</t>
  </si>
  <si>
    <t>ЮЛ770100242600017</t>
  </si>
  <si>
    <t>143500 Московская область город Истра улица Урицкого дом 1А   этаж 2, комната № 2</t>
  </si>
  <si>
    <t>ЮЛ770100242600023</t>
  </si>
  <si>
    <t>142104 Московская область город Подольск улица Большая Серпуховская дом 34/2   этаж 1</t>
  </si>
  <si>
    <t>ЮЛ770100242600024</t>
  </si>
  <si>
    <t>144012 Московская область город Электросталь улица Победы дом 1 корпус 1  помещение 1</t>
  </si>
  <si>
    <t>ЮЛ770100242600030</t>
  </si>
  <si>
    <t>141204 Московская область город Пушкино проспект Московский дом 1   часть помещения №№13,14</t>
  </si>
  <si>
    <t>ЮЛ770100242600031</t>
  </si>
  <si>
    <t>ЮЛ770100242600032</t>
  </si>
  <si>
    <t>144006 Московская область город Электросталь проспект Ленина дом 08Б   помещение № 11,12</t>
  </si>
  <si>
    <t>ЮЛ770100242600033</t>
  </si>
  <si>
    <t>ЮЛ770100242600035</t>
  </si>
  <si>
    <t>ЮЛ770100242600039</t>
  </si>
  <si>
    <t>ЮЛ770100242600040</t>
  </si>
  <si>
    <t>142116 Московская область город Подольск проспект Революционный дом 13</t>
  </si>
  <si>
    <t>ЮЛ770100242600046</t>
  </si>
  <si>
    <t>141501 Московская область город Химки проспект Мельникова строение 2Д   помещение №3</t>
  </si>
  <si>
    <t>ЮЛ770100242600053</t>
  </si>
  <si>
    <t>141006 Московская область город Мытищи проезд Шараповский строение 3А   помещение № 24</t>
  </si>
  <si>
    <t>ЮЛ770100242600058</t>
  </si>
  <si>
    <t>142000 Московская область город Домодедово улица Каширское шоссе  строение 3а литера 1Б 1 этаж, помещения 38, 39</t>
  </si>
  <si>
    <t>ООО "КАСАНДРА РИТЕЙЛ"</t>
  </si>
  <si>
    <t>9731136437</t>
  </si>
  <si>
    <t>ЮЛ7701037647</t>
  </si>
  <si>
    <t>ЮЛ770103764700000</t>
  </si>
  <si>
    <t>142300 Московская область город Чехов улица Московская владение 96   помещение 20</t>
  </si>
  <si>
    <t>ЮЛ770103764700001</t>
  </si>
  <si>
    <t>141006 Московская область город Мытищи проезд Шараповский владение 2   помещение №1А15, 1 этаж</t>
  </si>
  <si>
    <t>ЮЛ770104000500004</t>
  </si>
  <si>
    <t>143420 Московская область город Красногорск километр 23-й дом 2   зона 1-О-16, 1 (первый) этаж</t>
  </si>
  <si>
    <t>ЮЛ770104000500007</t>
  </si>
  <si>
    <t>Мурманская область</t>
  </si>
  <si>
    <t>183038 Мурманская область город Мурманск проспект Ленина дом 61   номер на поэтажном плане 23,</t>
  </si>
  <si>
    <t>ИП500100445500015</t>
  </si>
  <si>
    <t>183038 Мурманская область город Мурманск проспект Ленина дом 32</t>
  </si>
  <si>
    <t>ИП500100445500059</t>
  </si>
  <si>
    <t>184250 Мурманская область город Кировск проспект Ленина дом 13   16</t>
  </si>
  <si>
    <t>ИП Клементьева Ольга Михайловна</t>
  </si>
  <si>
    <t>510300060353</t>
  </si>
  <si>
    <t>ИП5103002551</t>
  </si>
  <si>
    <t>ИП510300255100000</t>
  </si>
  <si>
    <t>184209 Мурманская область город Апатиты улица Ферсмана владение 32а</t>
  </si>
  <si>
    <t>ИП510300255100001</t>
  </si>
  <si>
    <t>184209 Мурманская область город Апатиты улица Бредова дом 26а</t>
  </si>
  <si>
    <t>ИП510300255100002</t>
  </si>
  <si>
    <t>184209 Мурманская область город Апатиты улица Ферсмана дом 15</t>
  </si>
  <si>
    <t>ИП510300255100003</t>
  </si>
  <si>
    <t>184042 Мурманская область город Кандалакша улица Пронина дом 24   24,25</t>
  </si>
  <si>
    <t>ИП510300255100004</t>
  </si>
  <si>
    <t>184042 Мурманская область город Кандалакша улица Данилова дом 42</t>
  </si>
  <si>
    <t>ИП510300255100006</t>
  </si>
  <si>
    <t>184250 Мурманская область город Кировск проспект Ленина дом 8</t>
  </si>
  <si>
    <t>ИП510300255100007</t>
  </si>
  <si>
    <t>184255 Мурманская область город Кировск улица Олимпийская дом 17</t>
  </si>
  <si>
    <t>ИП510300255100008</t>
  </si>
  <si>
    <t>184141 Мурманская область город Ковдор площадь Ленина дом 8</t>
  </si>
  <si>
    <t>ИП510300255100009</t>
  </si>
  <si>
    <t>184511 Мурманская область город Мончегорск проспект Металлургов дом 23</t>
  </si>
  <si>
    <t>ИП510300255100010</t>
  </si>
  <si>
    <t>184530 Мурманская область город Оленегорск улица Строительная дом 43 1</t>
  </si>
  <si>
    <t>ИП510300255100011</t>
  </si>
  <si>
    <t>184530 Мурманская область город Оленегорск проспект Ленинградский дом 5</t>
  </si>
  <si>
    <t>ИП510300255100012</t>
  </si>
  <si>
    <t>184230 Мурманская область город Полярные Зори улица Энергетиков дом 25 корпус 1</t>
  </si>
  <si>
    <t>ИП510300255100013</t>
  </si>
  <si>
    <t>184606 Мурманская область город Североморск улица Колышкина дом 1</t>
  </si>
  <si>
    <t>ИП510300255100014</t>
  </si>
  <si>
    <t>183038 Мурманская область город Мурманск проспект Ленина дом 47   1 этаж</t>
  </si>
  <si>
    <t>ИП510300255100015</t>
  </si>
  <si>
    <t>184209 Мурманская область город Апатиты улица Козлова владение 10</t>
  </si>
  <si>
    <t>ИП510300255100016</t>
  </si>
  <si>
    <t>184250 Мурманская область город Кировск проспект Ленина дом 13   8, 15</t>
  </si>
  <si>
    <t>ИП510300255100017</t>
  </si>
  <si>
    <t>184430 Мурманская область Заполярный Бабикова 14Б</t>
  </si>
  <si>
    <t>ИП Васильев Владимир Львович</t>
  </si>
  <si>
    <t>510900029411</t>
  </si>
  <si>
    <t>ИП5103019527</t>
  </si>
  <si>
    <t>ИП510301952700000</t>
  </si>
  <si>
    <t>184430 Мурманская область город Заполярный улица Крупской дом 9</t>
  </si>
  <si>
    <t>ИП Елисеев Сергей Николаевич</t>
  </si>
  <si>
    <t>510900036881</t>
  </si>
  <si>
    <t>ИП5103002294</t>
  </si>
  <si>
    <t>ИП510300229400000</t>
  </si>
  <si>
    <t>184433 Мурманская область город Заполярный улица Мира дом 7</t>
  </si>
  <si>
    <t>ИП Егорова Светлана Геннадьевна</t>
  </si>
  <si>
    <t>510900827393</t>
  </si>
  <si>
    <t>ИП5103008237</t>
  </si>
  <si>
    <t>ИП510300823700000</t>
  </si>
  <si>
    <t>183038 Мурманская область город Мурманск улица Самойловой дом 12</t>
  </si>
  <si>
    <t>ИП Шабалина Дарья Михайловна</t>
  </si>
  <si>
    <t>510999539105</t>
  </si>
  <si>
    <t>ИП5103019528</t>
  </si>
  <si>
    <t>ИП510301952800000</t>
  </si>
  <si>
    <t>183038 Мурманская область город Мурманск проспект Ленина дом 12   офис 103</t>
  </si>
  <si>
    <t>ИП Ефремов Владимир Геннадьевич</t>
  </si>
  <si>
    <t>511002931536</t>
  </si>
  <si>
    <t>ИП5103002699</t>
  </si>
  <si>
    <t>ИП510300269900000</t>
  </si>
  <si>
    <t>183038 Мурманская область город Мурманск проспект Ленина 67</t>
  </si>
  <si>
    <t>ИП Заверняева Виктория Владимировна</t>
  </si>
  <si>
    <t>511006036301</t>
  </si>
  <si>
    <t>ИП5103003324</t>
  </si>
  <si>
    <t>ИП510300332400000</t>
  </si>
  <si>
    <t>183052 Мурманская область город Мурманск Генерала Щербакова 14   38,39</t>
  </si>
  <si>
    <t>ИП510300332400005</t>
  </si>
  <si>
    <t>184310 Мурманская область город Заозерск улица Ленинского Комсомола дом 1</t>
  </si>
  <si>
    <t>ИП Корзун Анжелика Анатольевна</t>
  </si>
  <si>
    <t>511500444599</t>
  </si>
  <si>
    <t>ИП5103013139</t>
  </si>
  <si>
    <t>ИП510301313900000</t>
  </si>
  <si>
    <t>183038 Мурманская область город Мурманск проспект Ленина дом 63   1-А</t>
  </si>
  <si>
    <t>ИП Лельчук Наталья Олеговна</t>
  </si>
  <si>
    <t>519016552469</t>
  </si>
  <si>
    <t>ИП5103004868</t>
  </si>
  <si>
    <t>ИП510300486800000</t>
  </si>
  <si>
    <t>183038 Мурманская область город Мурманск улица Коминтерна дом 18   часть здания - нежилое помещение 51,2 м.кв.</t>
  </si>
  <si>
    <t>ИП Рябинин Константин Аркадьевич</t>
  </si>
  <si>
    <t>519017330469</t>
  </si>
  <si>
    <t>ИП5103041112</t>
  </si>
  <si>
    <t>ИП510304111200000</t>
  </si>
  <si>
    <t>183038 Мурманская область город Мурманск проспект Ленина дом 70   Джевелир</t>
  </si>
  <si>
    <t>ИП510304111200001</t>
  </si>
  <si>
    <t>183025 Мурманская область город Мурманск улица Полярные Зори дом 58   часть здания - магазин 44,2 м.кв.</t>
  </si>
  <si>
    <t>ИП510304111200003</t>
  </si>
  <si>
    <t>183038 Мурманская область город Мурманск проспект Ленина дом 63 - 1А</t>
  </si>
  <si>
    <t>ИП Талмацкая Ксения Александровна</t>
  </si>
  <si>
    <t>519055625079</t>
  </si>
  <si>
    <t>ИП5103004084</t>
  </si>
  <si>
    <t>ИП510300408400000</t>
  </si>
  <si>
    <t>183038 Мурманская область город Мурманск улица Академика Книповича дом 5</t>
  </si>
  <si>
    <t>ИП Кудрина Мария Анатольевна</t>
  </si>
  <si>
    <t>519090436081</t>
  </si>
  <si>
    <t>ИП5103019968</t>
  </si>
  <si>
    <t>ИП510301996800000</t>
  </si>
  <si>
    <t>183038 Мурманская область город Мурманск проспект Кольский дом 158 корпус 1  помещение 2 этаж 2</t>
  </si>
  <si>
    <t>ЮЛ520603376600032</t>
  </si>
  <si>
    <t>183039 Мурманская область город Мурманск улица Рогозерская дом 4   помещение 1</t>
  </si>
  <si>
    <t>ЮЛ520603376600039</t>
  </si>
  <si>
    <t>183000 Мурманская область город Мурманск проспект Ленина дом 32   часть помещения №2К10-3</t>
  </si>
  <si>
    <t>ЮЛ520603376600142</t>
  </si>
  <si>
    <t>184580 Мурманская область поселок городского типа Ревда улица Комсомольская дом 19</t>
  </si>
  <si>
    <t>ИП Зыков Сергей Алексеевич</t>
  </si>
  <si>
    <t>771529758104</t>
  </si>
  <si>
    <t>ИП7701012223</t>
  </si>
  <si>
    <t>ИП770101222300000</t>
  </si>
  <si>
    <t>183039 Мурманская область город Мурманск улица Рогозерская дом 4   помещение 6, этаж 1</t>
  </si>
  <si>
    <t>ЮЛ770101216600092</t>
  </si>
  <si>
    <t>183038 Мурманская область город Мурманск улица Ленинградская дом 20/3   нежилые помещения 3</t>
  </si>
  <si>
    <t>ЮЛ770101216600181</t>
  </si>
  <si>
    <t>184209 Мурманская область город Апатиты улица Козлова дом 10   помещение 2</t>
  </si>
  <si>
    <t>ЮЛ770101216600298</t>
  </si>
  <si>
    <t>183038 Мурманская область город Мурманск проспект Ленина дом 32   помещение 2.9, этаж 2</t>
  </si>
  <si>
    <t>ЮЛ770101216600316</t>
  </si>
  <si>
    <t>183052 Мурманская область город Мурманск проспект Кольский дом 158 II Б1 этаж 1, часть помещения № 2 (холла)</t>
  </si>
  <si>
    <t>ЮЛ770101216600565</t>
  </si>
  <si>
    <t>183038 Мурманская область город Мурманск проспект Кольский дом 134   этаж 3,  чать помещения  №Х/2</t>
  </si>
  <si>
    <t>ЮЛ770101216600680</t>
  </si>
  <si>
    <t>184511 Мурманская область город Мончегорск с подведомственной территорией проспект Металлургов дом 34   1 этаж, часть нежилого помещения</t>
  </si>
  <si>
    <t>ЮЛ770101216600812</t>
  </si>
  <si>
    <t>183050 Мурманская область город Мурманск проспект Кольский дом 158   помещение №5</t>
  </si>
  <si>
    <t>ЮЛ770100419400119</t>
  </si>
  <si>
    <t>ЮЛ770100419400213</t>
  </si>
  <si>
    <t>183038 Мурманская область город Мурманск проспект Ленина дом 32   помещения 2.57, 2.59</t>
  </si>
  <si>
    <t>ЮЛ770100193500013</t>
  </si>
  <si>
    <t>183038 Мурманская область город Мурманск улица Ленинградская дом 20/3</t>
  </si>
  <si>
    <t>ЮЛ770100193500014</t>
  </si>
  <si>
    <t>183052 Мурманская область город Мурманск проспект Кольский дом 158 корпус 1, литер Б  помещение № 47, этаж 1 (первый)</t>
  </si>
  <si>
    <t>ЮЛ770100193500571</t>
  </si>
  <si>
    <t>183038 Мурманская область город Мурманск проспект Ленина дом 32   помещение 2.54, 2 этаж</t>
  </si>
  <si>
    <t>ЮЛ770100193501141</t>
  </si>
  <si>
    <t>183038 Мурманская область город Мурманск улица Коминтерна дом 9/1</t>
  </si>
  <si>
    <t>ЮЛ780300131300242</t>
  </si>
  <si>
    <t>184511 Мурманская область город Мончегорск проспект Металлургов дом 34</t>
  </si>
  <si>
    <t>ЮЛ780300328000043</t>
  </si>
  <si>
    <t>183038 Мурманская область Мурманск проспект Ленина дом 72   помещение 25</t>
  </si>
  <si>
    <t>ООО "МУРМАНСК ЮК"</t>
  </si>
  <si>
    <t>7806514861</t>
  </si>
  <si>
    <t>ЮЛ5103004856</t>
  </si>
  <si>
    <t>ЮЛ510300485600000</t>
  </si>
  <si>
    <t>183038 Мурманская область город Мурманск проспект Ленина дом 70   магазин "Родонит"</t>
  </si>
  <si>
    <t>ЮЛ780300179700006</t>
  </si>
  <si>
    <t>183038 Мурманская область город Мурманск улица Воровского дом 4/22   магазин "Рубин"</t>
  </si>
  <si>
    <t>ЮЛ780300179700007</t>
  </si>
  <si>
    <t>184042 Мурманская область город Кандалакша улица Первомайская дом 59   помещение 1</t>
  </si>
  <si>
    <t>ЮЛ780300323500011</t>
  </si>
  <si>
    <t>184511 Мурманская область город Мончегорск проспект Металлургов дом 34а   помещения 3, 4, 5, 6, 7</t>
  </si>
  <si>
    <t>ЮЛ780300323500016</t>
  </si>
  <si>
    <t>183032 Мурманская область город Мурманск проспект Ленина дом 19А</t>
  </si>
  <si>
    <t>ЮЛ780300323500017</t>
  </si>
  <si>
    <t>184604 Мурманская область город Североморск улица Сафонова дом 17</t>
  </si>
  <si>
    <t>ЮЛ780300323500028</t>
  </si>
  <si>
    <t>184209 Мурманская область город Апатиты улица Ферсмана дом 23</t>
  </si>
  <si>
    <t>ЮЛ780300323500044</t>
  </si>
  <si>
    <t>183038 Мурманская область город Мурманск улица Коминтерна дом 11/2</t>
  </si>
  <si>
    <t>ЮЛ780300323500209</t>
  </si>
  <si>
    <t>184042 Мурманская область город Кандалакша улица Первомайская дом 55</t>
  </si>
  <si>
    <t>ЮЛ780300308200013</t>
  </si>
  <si>
    <t>ЮЛ780300308200018</t>
  </si>
  <si>
    <t>ЮЛ780300308200019</t>
  </si>
  <si>
    <t>183038 Мурманская область город Мурманск проспект Ленина дом 32   часть нежилого помещения 2К10-2</t>
  </si>
  <si>
    <t>ЮЛ780300308200233</t>
  </si>
  <si>
    <t>183039 Мурманская область город Мурманск улица Рогозерская дом 4   часть помещения № 2</t>
  </si>
  <si>
    <t>ЮЛ780300308200234</t>
  </si>
  <si>
    <t>183038 Мурманская область город Мурманск проспект Кольский дом 134</t>
  </si>
  <si>
    <t>ЮЛ780300308200374</t>
  </si>
  <si>
    <t>183052 Мурманская область город Мурманск улица Генерала Щербакова дом 16</t>
  </si>
  <si>
    <t>ЮЛ780300308200375</t>
  </si>
  <si>
    <t>183038 Мурманская область город Мурманск проспект Ленина дом 32   нежилое помещение 2.53</t>
  </si>
  <si>
    <t>ЮЛ780300308200392</t>
  </si>
  <si>
    <t>ЮЛ780300308200745</t>
  </si>
  <si>
    <t>183052 Мурманская область город Мурманск проспект Кольский дом 158 корпус 2  помещение № 48</t>
  </si>
  <si>
    <t>ЮЛ780300308200923</t>
  </si>
  <si>
    <t>184604 Мурманская область город Североморск улица Ломоносова дом 3</t>
  </si>
  <si>
    <t>ЮЛ780300308201134</t>
  </si>
  <si>
    <t>ЮЛ780300363500003</t>
  </si>
  <si>
    <t>184042 Мурманская область город Кандалакша улица Первомайская дом 59</t>
  </si>
  <si>
    <t>ЮЛ780300363500020</t>
  </si>
  <si>
    <t>184511 Мурманская область город Мончегорск проспект Металлургов дом 34а   помещение 20</t>
  </si>
  <si>
    <t>ЮЛ780300363500028</t>
  </si>
  <si>
    <t>ЮЛ780300363500039</t>
  </si>
  <si>
    <t>ЮЛ780300363500142</t>
  </si>
  <si>
    <t>ЮЛ780300363500143</t>
  </si>
  <si>
    <t>183038 Мурманская область город Мурманск проспект Ленина дом 32 - - Помещение 2.52</t>
  </si>
  <si>
    <t>ЮЛ780301261200008</t>
  </si>
  <si>
    <t>183038 Мурманская область город Мурманск проспект Ленина дом 32   помещение №2.4, 2 этаж</t>
  </si>
  <si>
    <t>ЮЛ770100439200048</t>
  </si>
  <si>
    <t>Ненецкий автономный округ</t>
  </si>
  <si>
    <t>166001 Ненецкий автономный округ город Нарьян-Мар улица Рабочая дом 4 корпус А  Золото</t>
  </si>
  <si>
    <t>ИП Шустрова Александра Николаевна</t>
  </si>
  <si>
    <t>298304671294</t>
  </si>
  <si>
    <t>ИП8003031683</t>
  </si>
  <si>
    <t>ИП800303168300000</t>
  </si>
  <si>
    <t>166000 Ненецкий автономный округ город Нарьян-Мар улица им В.И.Ленина дом 19</t>
  </si>
  <si>
    <t>ЮЛ780300308200020</t>
  </si>
  <si>
    <t>Нижегородская область</t>
  </si>
  <si>
    <t>603093 Нижегородская область город Нижний Новгород улица Родионова дом 187, 187в   помещение 2</t>
  </si>
  <si>
    <t>ИП Бурлакова Дарья Александровна</t>
  </si>
  <si>
    <t>110380150111</t>
  </si>
  <si>
    <t>ИП5206010141</t>
  </si>
  <si>
    <t>ИП520601014100000</t>
  </si>
  <si>
    <t>606650 Нижегородская область город Семенов улица 3-х Коммунистов дом 16   помещение П2</t>
  </si>
  <si>
    <t>ИП Егорова Елена Геннадьевна</t>
  </si>
  <si>
    <t>121500027512</t>
  </si>
  <si>
    <t>ИП1206010828</t>
  </si>
  <si>
    <t>ИП120601082800006</t>
  </si>
  <si>
    <t>606910 Нижегородская область город Шахунья улица Советская дом 13</t>
  </si>
  <si>
    <t>ИП120600362800005</t>
  </si>
  <si>
    <t>606100 Нижегородская область город Павлово улица Нижегородская дом 14</t>
  </si>
  <si>
    <t>ИП120600362800008</t>
  </si>
  <si>
    <t>607018 Нижегородская область город Кулебаки улица Воровского дом 62</t>
  </si>
  <si>
    <t>ИП120600362800012</t>
  </si>
  <si>
    <t>607061 Нижегородская область город Выкса улица Вавилина дом 13</t>
  </si>
  <si>
    <t>ИП120600362800016</t>
  </si>
  <si>
    <t>606800 Нижегородская область город Урень улица Ленина дом 83</t>
  </si>
  <si>
    <t>ИП120600362800018</t>
  </si>
  <si>
    <t>603022 Нижегородская область город Нижний Новгород улица Большая Покровская дом 82   П40 ПОДПОМЕЩЕНИЕ 24</t>
  </si>
  <si>
    <t>ООО "ДАЙМОНД"</t>
  </si>
  <si>
    <t>1435322319</t>
  </si>
  <si>
    <t>ЮЛ5206033518</t>
  </si>
  <si>
    <t>ЮЛ520603351800000</t>
  </si>
  <si>
    <t>603022 Нижегородская область город Нижний Новгород улица Большая Покровская дом 82   помещение 24</t>
  </si>
  <si>
    <t>ЮЛ140900343400017</t>
  </si>
  <si>
    <t>606502 Нижегородская область город Городец площадь Пролетарская дом 9   бутик 219А</t>
  </si>
  <si>
    <t>ИП Бурашев Александр Валентинович</t>
  </si>
  <si>
    <t>164600126444</t>
  </si>
  <si>
    <t>ИП5206001795</t>
  </si>
  <si>
    <t>ИП520600179500000</t>
  </si>
  <si>
    <t>603016 Нижегородская область город Нижний Новгород улица Веденяпина дом 1А часть нежилого помещения П1</t>
  </si>
  <si>
    <t>ИП520600153500003</t>
  </si>
  <si>
    <t>603000 Нижегородская область город Нижний Новгород улица Большая Покровская дом 11   помещение 5</t>
  </si>
  <si>
    <t>ИП520600153500013</t>
  </si>
  <si>
    <t>603106 Нижегородская область город Нижний Новгород площадь Советская дом 5   Ювелирный салон "KARATLINE" Помещение ОС1</t>
  </si>
  <si>
    <t>ИП Кригер Анна Валерьевна</t>
  </si>
  <si>
    <t>212403326145</t>
  </si>
  <si>
    <t>ИП1806002714</t>
  </si>
  <si>
    <t>ИП180600271400019</t>
  </si>
  <si>
    <t>603106 Нижегородская область город Нижний Новгород площадь Советская дом 5   Ювелирный салон "Эстет" Помещение В01</t>
  </si>
  <si>
    <t>ИП180600271400021</t>
  </si>
  <si>
    <t>603003 Нижегородская область город Нижний Новгород улица Коминтерна дом 115</t>
  </si>
  <si>
    <t>ЮЛ230403107400039</t>
  </si>
  <si>
    <t>607600 Нижегородская область город Богородск переулок Центральный дом 4</t>
  </si>
  <si>
    <t>ИП240801390900002</t>
  </si>
  <si>
    <t>603002 Нижегородская область город Нижний Новгород улица Фильченкова Дом 10</t>
  </si>
  <si>
    <t>ИП Чернышов Александр Юрьевич</t>
  </si>
  <si>
    <t>330500579778</t>
  </si>
  <si>
    <t>ИП5206008101</t>
  </si>
  <si>
    <t>ИП520600810100000</t>
  </si>
  <si>
    <t>603000 Нижегородская область город Нижний Новгород улица Проспект Ленина  дом 33 1 этаж Торгового центра "Муравей"</t>
  </si>
  <si>
    <t>ИП Галай Лариса Викторовна</t>
  </si>
  <si>
    <t>334000580885</t>
  </si>
  <si>
    <t>ИП5206036153</t>
  </si>
  <si>
    <t>ИП520603615300000</t>
  </si>
  <si>
    <t>603003 Нижегородская область город Нижний Новгород улица Коминтерна дом 117</t>
  </si>
  <si>
    <t>ИП520603615300001</t>
  </si>
  <si>
    <t>603157 Нижегородская область город Нижний Новгород улица Коминтерна дом 45А   Офис № 319А</t>
  </si>
  <si>
    <t>ИП Луконин Антон Николаевич</t>
  </si>
  <si>
    <t>370223575421</t>
  </si>
  <si>
    <t>ИП3702001877</t>
  </si>
  <si>
    <t>ИП370200187700000</t>
  </si>
  <si>
    <t>606029 Нижегородская область город Дзержинск улица Гайдара 61   торговое место 108</t>
  </si>
  <si>
    <t>ИП Козлов Михаил Александрович</t>
  </si>
  <si>
    <t>371901338801</t>
  </si>
  <si>
    <t>ИП3702004235</t>
  </si>
  <si>
    <t>ИП370200423500014</t>
  </si>
  <si>
    <t>606034 Нижегородская область город Дзержинск проспект Циолковского дом 78</t>
  </si>
  <si>
    <t>ИП440200985000000</t>
  </si>
  <si>
    <t>603094 Нижегородская область г. Нижний Новгород Коминтерна 105</t>
  </si>
  <si>
    <t>ИП440200985000005</t>
  </si>
  <si>
    <t>607624 Нижегородская область г. Дзержинск Петрищева 4</t>
  </si>
  <si>
    <t>ИП440200985000007</t>
  </si>
  <si>
    <t>603002 Нижегородская область г. Нижний Новгород Фильченкова 10</t>
  </si>
  <si>
    <t>ИП440200985000008</t>
  </si>
  <si>
    <t>603011 Нижегородская область г. Нижний Новгород пр. Ленина 33   137</t>
  </si>
  <si>
    <t>ИП440200985000009</t>
  </si>
  <si>
    <t>606440 Нижегородская область г. Бор Ленина 113Б</t>
  </si>
  <si>
    <t>ИП440200985000010</t>
  </si>
  <si>
    <t>603140 Нижегородская область г. Нижний Новгород проспект Ленина 33   138</t>
  </si>
  <si>
    <t>ИП440200985000011</t>
  </si>
  <si>
    <t>607233 Нижегородская область город Арзамас  проспект Ленина дом 129 А   помещение №11, этаж 1</t>
  </si>
  <si>
    <t>ЮЛ480100215000025</t>
  </si>
  <si>
    <t>603002 Нижегородская область город Нижний Новгород улица Чкалова дом 1В</t>
  </si>
  <si>
    <t>ЮЛ500100408700004</t>
  </si>
  <si>
    <t>603000 Нижегородская область город Нижний Новгород улица Большая Покровская дом 61   на (первом) этаже здания</t>
  </si>
  <si>
    <t>ИП500100445500007</t>
  </si>
  <si>
    <t>607680 Нижегородская область деревня Афонино улица Академическая дом 16   помещение П197</t>
  </si>
  <si>
    <t>ИП Митюшина Татьяна Михайловна</t>
  </si>
  <si>
    <t>502727191789</t>
  </si>
  <si>
    <t>ИП5001004143</t>
  </si>
  <si>
    <t>ИП500100414300000</t>
  </si>
  <si>
    <t>607320 Нижегородская область село Дивеево улица Заречная дом 180</t>
  </si>
  <si>
    <t>ИП Хлопков Артем Валерьевич</t>
  </si>
  <si>
    <t>520102065998</t>
  </si>
  <si>
    <t>ИП5206033420</t>
  </si>
  <si>
    <t>ИП520603342000000</t>
  </si>
  <si>
    <t>606860 Нижегородская область город Ветлуга улица Алешкова дом 72   помещение 1</t>
  </si>
  <si>
    <t>ИП Столяров Дмитрий Александрович</t>
  </si>
  <si>
    <t>520900230765</t>
  </si>
  <si>
    <t>ИП5206035933</t>
  </si>
  <si>
    <t>ИП520603593300000</t>
  </si>
  <si>
    <t>607340 Нижегородская область рабочий поселок Вознесенское микрорайон Заводской дом 2Б</t>
  </si>
  <si>
    <t>ИП Мотин Иван Владимирович</t>
  </si>
  <si>
    <t>521000813692</t>
  </si>
  <si>
    <t>ИП5206031452</t>
  </si>
  <si>
    <t>ИП520603145200000</t>
  </si>
  <si>
    <t>606730 Нижегородская область рабочий поселок Воскресенское улица Ленина дом 108</t>
  </si>
  <si>
    <t>ИП Белова Н.Н</t>
  </si>
  <si>
    <t>521202202110</t>
  </si>
  <si>
    <t>ИП5206033289</t>
  </si>
  <si>
    <t>ИП520603328900000</t>
  </si>
  <si>
    <t>603064 Нижегородская область город Нижний Новгород улица Монастырка дом 1В   офис 302Б</t>
  </si>
  <si>
    <t>ИП Глазова Олеся Алексеевна</t>
  </si>
  <si>
    <t>521301271161</t>
  </si>
  <si>
    <t>ИП5206039257</t>
  </si>
  <si>
    <t>ИП520603925700000</t>
  </si>
  <si>
    <t>606570 Нижегородская область рабочий поселок Ковернино улица 1 Луговая дом 1</t>
  </si>
  <si>
    <t>ЗАО "КОВЕРНИНСКОЕ РАЙПО"</t>
  </si>
  <si>
    <t>5218002125</t>
  </si>
  <si>
    <t>ЮЛ5206031797</t>
  </si>
  <si>
    <t>ЮЛ520603179700000</t>
  </si>
  <si>
    <t>607800 Нижегородская область город Лукоянов улица Октябрьская дом 82А</t>
  </si>
  <si>
    <t>ИП Савинов Сергей Владимирович</t>
  </si>
  <si>
    <t>522100136365</t>
  </si>
  <si>
    <t>ИП5206001302</t>
  </si>
  <si>
    <t>ИП520600130200000</t>
  </si>
  <si>
    <t>607800 Нижегородская область город Лукоянов улица Коммунистическая дом 12</t>
  </si>
  <si>
    <t>ИП520600130200001</t>
  </si>
  <si>
    <t>607870 Нижегородская область село Гагино улица Ленина дом 84   помещение №4</t>
  </si>
  <si>
    <t>ИП520600130200002</t>
  </si>
  <si>
    <t>606380 Нижегородская область село Вад улица 1 Мая дом 40   помещение №1</t>
  </si>
  <si>
    <t>ИП520600130200003</t>
  </si>
  <si>
    <t>607940 Нижегородская область село Большое Болдино улица Красная дом 15</t>
  </si>
  <si>
    <t>ИП520600130200004</t>
  </si>
  <si>
    <t>607700 Нижегородская область рабочий поселок Шатки улица Центральная дом 49</t>
  </si>
  <si>
    <t>ИП520600130200005</t>
  </si>
  <si>
    <t>606210 Нижегородская область город Лысково улица Мичурина дом 56А</t>
  </si>
  <si>
    <t>ИП Соколова Альбина Владимировна</t>
  </si>
  <si>
    <t>522201218889</t>
  </si>
  <si>
    <t>ИП5206011146</t>
  </si>
  <si>
    <t>ИП520601114600000</t>
  </si>
  <si>
    <t>606210 Нижегородская область город Лысково улица Космонавтов дом 2Д   помещение 6</t>
  </si>
  <si>
    <t>ИП Абрамов Сергей Александрович</t>
  </si>
  <si>
    <t>522201556479</t>
  </si>
  <si>
    <t>ИП5206014572</t>
  </si>
  <si>
    <t>ИП520601457200000</t>
  </si>
  <si>
    <t>606210 Нижегородская область город Лысково улица Казанская дом 1Г   помещение №2</t>
  </si>
  <si>
    <t>ИП Азарян Грета Владимировна</t>
  </si>
  <si>
    <t>522204394096</t>
  </si>
  <si>
    <t>ИП5206031365</t>
  </si>
  <si>
    <t>ИП520603136500000</t>
  </si>
  <si>
    <t>606210 Нижегородская область город Лысково улица Мичурина дом 44   помещение П-2</t>
  </si>
  <si>
    <t>ИП Никифоров Владимир Юрьевич</t>
  </si>
  <si>
    <t>522255713760</t>
  </si>
  <si>
    <t>ИП5206032254</t>
  </si>
  <si>
    <t>ИП520603225400000</t>
  </si>
  <si>
    <t>ИП Никифорова Анастасия Вадимовна</t>
  </si>
  <si>
    <t>522256305756</t>
  </si>
  <si>
    <t>ИП5206037373</t>
  </si>
  <si>
    <t>ИП520603737300000</t>
  </si>
  <si>
    <t>607760 Нижегородская область город Первомайск улица Октябрьская дом 7</t>
  </si>
  <si>
    <t>ИП Уютнова Людмила Федоровна</t>
  </si>
  <si>
    <t>522400037870</t>
  </si>
  <si>
    <t>ИП5206033770</t>
  </si>
  <si>
    <t>ИП520603377000000</t>
  </si>
  <si>
    <t>ИП Баляева Татьяна Васильевна</t>
  </si>
  <si>
    <t>522400378679</t>
  </si>
  <si>
    <t>ИП5206033446</t>
  </si>
  <si>
    <t>ИП520603344600000</t>
  </si>
  <si>
    <t>607760 Нижегородская область город Первомайск улица Октябрьская дом 7  литера Б</t>
  </si>
  <si>
    <t>ИП Зинин Иван Александрович</t>
  </si>
  <si>
    <t>522400982030</t>
  </si>
  <si>
    <t>ИП5206006033</t>
  </si>
  <si>
    <t>ИП520600603300000</t>
  </si>
  <si>
    <t>607490 Нижегородская область рабочий поселок Пильна улица Урицкого дом 10   этаж 1</t>
  </si>
  <si>
    <t>ИП Барнасян Армен Володяевич</t>
  </si>
  <si>
    <t>522602887171</t>
  </si>
  <si>
    <t>ИП5206015375</t>
  </si>
  <si>
    <t>ИП520601537500000</t>
  </si>
  <si>
    <t>607910 Нижегородская область село Починки площадь Ленина дом 77</t>
  </si>
  <si>
    <t>ПК "ПОЧИНКОВСКОЕ РАЙПО"</t>
  </si>
  <si>
    <t>5227000597</t>
  </si>
  <si>
    <t>ЮЛ5206031545</t>
  </si>
  <si>
    <t>ЮЛ520603154500000</t>
  </si>
  <si>
    <t>603002 Нижегородская область город Нижний Новгород улица Фильченкова дом 10</t>
  </si>
  <si>
    <t>ИП Айрапетян Мира Камоевна</t>
  </si>
  <si>
    <t>522802694096</t>
  </si>
  <si>
    <t>ИП5206040563</t>
  </si>
  <si>
    <t>ИП520604056300000</t>
  </si>
  <si>
    <t>ИП Айрапетян Ольга Ефимовна</t>
  </si>
  <si>
    <t>522805632563</t>
  </si>
  <si>
    <t>ИП5206033156</t>
  </si>
  <si>
    <t>ИП520603315600000</t>
  </si>
  <si>
    <t>603034 Нижегородская область город Нижний Новгород проспект Ленина дом 33</t>
  </si>
  <si>
    <t>ИП520603315600001</t>
  </si>
  <si>
    <t>607510 Нижегородская область город Сергач улица Советская дом 33   помещение 4</t>
  </si>
  <si>
    <t>СЕРГАЧСКОЕ РАЙПО</t>
  </si>
  <si>
    <t>5229001571</t>
  </si>
  <si>
    <t>ЮЛ5206038473</t>
  </si>
  <si>
    <t>ЮЛ520603847300000</t>
  </si>
  <si>
    <t>607511 Нижегородская область город Сергач улица Свердлова строение 2Б</t>
  </si>
  <si>
    <t>ИП Хамзин Фаил Летфуллович</t>
  </si>
  <si>
    <t>522903416793</t>
  </si>
  <si>
    <t>ИП5206012460</t>
  </si>
  <si>
    <t>ИП520601246000000</t>
  </si>
  <si>
    <t>607511 Нижегородская область город Сергач Улица Калинина дом 29</t>
  </si>
  <si>
    <t>ИП Корьева Ольга Анатольевна</t>
  </si>
  <si>
    <t>522903469347</t>
  </si>
  <si>
    <t>ИП5206016038</t>
  </si>
  <si>
    <t>ИП520601603800000</t>
  </si>
  <si>
    <t>607580 Нижегородская область село Сеченово площадь Советская дом 7А</t>
  </si>
  <si>
    <t>ИП Максимова Анастасия Дмитриевна</t>
  </si>
  <si>
    <t>523015418667</t>
  </si>
  <si>
    <t>ИП7701033033</t>
  </si>
  <si>
    <t>ИП770103303300000</t>
  </si>
  <si>
    <t>606170 Нижегородская область рабочий поселок Сосновское улица Ленина дом 17 помещение 4</t>
  </si>
  <si>
    <t>ИП Шутова Юлия Васильевна</t>
  </si>
  <si>
    <t>523100981366</t>
  </si>
  <si>
    <t>ИП5206033137</t>
  </si>
  <si>
    <t>ИП520603313700000</t>
  </si>
  <si>
    <t>606711 Нижегородская область рабочий поселок Красные Баки улица Мичурина дом 9 место №9</t>
  </si>
  <si>
    <t>ИП Лебедев Алексей Александрович</t>
  </si>
  <si>
    <t>523400496970</t>
  </si>
  <si>
    <t>ИП5206015093</t>
  </si>
  <si>
    <t>ИП520601509300000</t>
  </si>
  <si>
    <t>603006 Нижегородская область Город Нижний Новгород Улица Максима Горького 117   офис 706</t>
  </si>
  <si>
    <t>ИП520603457800000</t>
  </si>
  <si>
    <t>603034 Нижегородская область Город Нижний Новгород Проспект Ленина Дом 33</t>
  </si>
  <si>
    <t>ИП520603457800004</t>
  </si>
  <si>
    <t>606002 Нижегородская область Город Нижний Новгород Улица Бетанкура Дом 1   Секция 44</t>
  </si>
  <si>
    <t>ИП520603457800006</t>
  </si>
  <si>
    <t>603106 Нижегородская область город Нижний Новгород площадь Советская дом 5   Помещение П2</t>
  </si>
  <si>
    <t>ИП520603457800008</t>
  </si>
  <si>
    <t>603159 Нижегородская область город Нижний Новгород улица Бетанкура дом 1   Секция 44/1</t>
  </si>
  <si>
    <t>ИП520603457800010</t>
  </si>
  <si>
    <t>603057 Нижегородская область город Нижний Новгород проспект Гагарина дом 35 корпус 1  пом. усл.П1</t>
  </si>
  <si>
    <t>ИП520603457800013</t>
  </si>
  <si>
    <t>603004 Нижегородская область город Нижний Новгород проспект Молодежный дом 2А   П6</t>
  </si>
  <si>
    <t>ИП520603457800014</t>
  </si>
  <si>
    <t>603123 Нижегородская область Нижний Новгород Южное шоссе дом 2 г   помещение П16</t>
  </si>
  <si>
    <t>ИП520603457800018</t>
  </si>
  <si>
    <t>603093 Нижегородская область город Нижний Новгород улица Родионова дом 187,187В   помещение 2, секция 214</t>
  </si>
  <si>
    <t>ИП520603457800019</t>
  </si>
  <si>
    <t>603022 Нижегородская область город Нижний Новгород улица Большая Покровская дом 82   подпомещение 35</t>
  </si>
  <si>
    <t>ИП520603457800020</t>
  </si>
  <si>
    <t>603002 Нижегородская область город Нижний Новгород площадь Революции дом 9   секция №53Ж</t>
  </si>
  <si>
    <t>ИП520603457800021</t>
  </si>
  <si>
    <t>603028 Нижегородская область город Нижний Новгород шоссе Московское дом 12   секция №ОС1-05</t>
  </si>
  <si>
    <t>ИП520603457800023</t>
  </si>
  <si>
    <t>603006 Нижегородская область город Нижний Новгород улица Максима Горького 117   офис 707</t>
  </si>
  <si>
    <t>ИП520603457800024</t>
  </si>
  <si>
    <t>603057 Нижегородская область город Нижний Новгород проспект Гагарина дом 35   П1 в границах п. №100</t>
  </si>
  <si>
    <t>ИП520603457800025</t>
  </si>
  <si>
    <t>606554 Нижегородская область город Чкаловск улица Ленина дом 72   помещение П 38</t>
  </si>
  <si>
    <t>ИП Захаров Александр Александрович</t>
  </si>
  <si>
    <t>523600111160</t>
  </si>
  <si>
    <t>ИП5206000991</t>
  </si>
  <si>
    <t>ИП520600099100000</t>
  </si>
  <si>
    <t>603006 Нижегородская область город Нижний Новгород улица Варварская дом 32 В  пом.11 (часть пом. 55 (оф. № 206)</t>
  </si>
  <si>
    <t>ИП Смирнова Светлана Павловна</t>
  </si>
  <si>
    <t>523817257460</t>
  </si>
  <si>
    <t>ИП5206003988</t>
  </si>
  <si>
    <t>ИП520600398800000</t>
  </si>
  <si>
    <t>606910 Нижегородская область город Шахунья улица Гагарина дом 12   квартира нет</t>
  </si>
  <si>
    <t>ИП Казакова Людмила Михайловна</t>
  </si>
  <si>
    <t>523900155802</t>
  </si>
  <si>
    <t>ИП5206001389</t>
  </si>
  <si>
    <t>ИП520600138900000</t>
  </si>
  <si>
    <t>606910 Нижегородская область город Шахунья улица Гагарина дом 17</t>
  </si>
  <si>
    <t>ШАХУНСКОЕ ПО "КООПУНИВЕРМАГ"</t>
  </si>
  <si>
    <t>5239002623</t>
  </si>
  <si>
    <t>ЮЛ5206002217</t>
  </si>
  <si>
    <t>ЮЛ520600221700000</t>
  </si>
  <si>
    <t>606910 Нижегородская область город Шахунья улица Коминтерна дом 66   офис 2</t>
  </si>
  <si>
    <t>ИП Громов Андрей Леонидович</t>
  </si>
  <si>
    <t>523999923722</t>
  </si>
  <si>
    <t>ИП5206001634</t>
  </si>
  <si>
    <t>ИП520600163400000</t>
  </si>
  <si>
    <t>606800 Нижегородская область город Урень улица Брагина дом 18   офис 1</t>
  </si>
  <si>
    <t>ИП520600163400001</t>
  </si>
  <si>
    <t>603157 Нижегородская область город Нижний Новгород улица Коминтерна дом 45А   Офис № 319Б</t>
  </si>
  <si>
    <t>ИП Луконина Екатерина Витальевна</t>
  </si>
  <si>
    <t>524001311161</t>
  </si>
  <si>
    <t>ИП3702001878</t>
  </si>
  <si>
    <t>ИП370200187800000</t>
  </si>
  <si>
    <t>607228 Нижегородская область город Арзамас улица Парковая дом 1а корпус А  помещ. 16, зал 13</t>
  </si>
  <si>
    <t>ИП Гитинова Марина Евгеньевна</t>
  </si>
  <si>
    <t>524300366391</t>
  </si>
  <si>
    <t>ИП5206033188</t>
  </si>
  <si>
    <t>ИП520603318800002</t>
  </si>
  <si>
    <t>607220 Нижегородская область город Арзамас Улица Проспект Ленина дом 119</t>
  </si>
  <si>
    <t>ИП520603318800003</t>
  </si>
  <si>
    <t>607220 Нижегородская область город Арзамас проспект Ленина дом 119</t>
  </si>
  <si>
    <t>ИП Шитеев Дмитрий Васильевич</t>
  </si>
  <si>
    <t>524308652027</t>
  </si>
  <si>
    <t>ИП5206010799</t>
  </si>
  <si>
    <t>ИП520601079900000</t>
  </si>
  <si>
    <t>603070 Нижегородская область город Нижний Новгород бульвар Мещерский дом 3 Корпус 3  помещение П7</t>
  </si>
  <si>
    <t>ИП Ищук Евгения Сергеевна</t>
  </si>
  <si>
    <t>524405582400</t>
  </si>
  <si>
    <t>ИП5206009307</t>
  </si>
  <si>
    <t>ИП520600930700000</t>
  </si>
  <si>
    <t>606403 Нижегородская область город Балахна улица Свердлова дом 26 Б   офис 4</t>
  </si>
  <si>
    <t>ИП Озеров Алексей Сергеевич</t>
  </si>
  <si>
    <t>524407668282</t>
  </si>
  <si>
    <t>ИП5206033591</t>
  </si>
  <si>
    <t>ИП520603359100000</t>
  </si>
  <si>
    <t>607600 Нижегородская область город Богородск Улица Котельникова Дом 1-А   помещение 59</t>
  </si>
  <si>
    <t>ИП Полетаева Наталья Михайловна</t>
  </si>
  <si>
    <t>524501697717</t>
  </si>
  <si>
    <t>ИП5206010272</t>
  </si>
  <si>
    <t>ИП520601027200000</t>
  </si>
  <si>
    <t>606440 Нижегородская область Город Бор Улица Пушкина Дом 97 Здание Борского центрального рынка  Место 23</t>
  </si>
  <si>
    <t>ИП Мельник Ирина Юрьевна</t>
  </si>
  <si>
    <t>524600301370</t>
  </si>
  <si>
    <t>ИП5206032602</t>
  </si>
  <si>
    <t>ИП520603260200001</t>
  </si>
  <si>
    <t>606440 Нижегородская область город Бор улица Ленина дом 133</t>
  </si>
  <si>
    <t>ИП Бахутова Галина Яковлевна</t>
  </si>
  <si>
    <t>524601676781</t>
  </si>
  <si>
    <t>ИП5206004362</t>
  </si>
  <si>
    <t>ИП520600436200000</t>
  </si>
  <si>
    <t>606440 Нижегородская область город Бор улица Рослякова дом 19</t>
  </si>
  <si>
    <t>ООО "ЮВЕЛИРНЫЙ ДОМ ДЕФЛЁР"</t>
  </si>
  <si>
    <t>5246031311</t>
  </si>
  <si>
    <t>ЮЛ5206001471</t>
  </si>
  <si>
    <t>ЮЛ520600147100000</t>
  </si>
  <si>
    <t>606440 Нижегородская область город Бор улица Пушкина дом 97  строение 4  торговое место №36/1</t>
  </si>
  <si>
    <t>ИП Сергеева Елена Владимировна</t>
  </si>
  <si>
    <t>524611362880</t>
  </si>
  <si>
    <t>ИП5206012090</t>
  </si>
  <si>
    <t>ИП520601209000000</t>
  </si>
  <si>
    <t>606650 Нижегородская область город Семенов улица Ленина дом 4</t>
  </si>
  <si>
    <t>ИП Галанцева Юлия Закировна</t>
  </si>
  <si>
    <t>524615904607</t>
  </si>
  <si>
    <t>ИП5206038777</t>
  </si>
  <si>
    <t>ИП520603877700000</t>
  </si>
  <si>
    <t>607060 Нижегородская область город Выкса улица Красные зори Дом 5   Офис 50</t>
  </si>
  <si>
    <t>ИП Ешин Сергей Николаевич</t>
  </si>
  <si>
    <t>524700384564</t>
  </si>
  <si>
    <t>ИП5206002244</t>
  </si>
  <si>
    <t>ИП520600224400000</t>
  </si>
  <si>
    <t>607060 Нижегородская область Город Выкса Улица Ленина Дом 17</t>
  </si>
  <si>
    <t>ИП Момотова Анна Васильевна</t>
  </si>
  <si>
    <t>524702534078</t>
  </si>
  <si>
    <t>ИП5206010570</t>
  </si>
  <si>
    <t>ИП520601057000000</t>
  </si>
  <si>
    <t>607060 Нижегородская область город Выкса улица Островского Дом 33</t>
  </si>
  <si>
    <t>ИП520601057000001</t>
  </si>
  <si>
    <t>607060 Нижегородская область город Выкса улица Островского дом 71   помещение № 1</t>
  </si>
  <si>
    <t>ООО "ЛИДЕР-А"</t>
  </si>
  <si>
    <t>5247051367</t>
  </si>
  <si>
    <t>ЮЛ5206011650</t>
  </si>
  <si>
    <t>ЮЛ520601165000000</t>
  </si>
  <si>
    <t>607060 Нижегородская область город Выкса Улица Красные Зори Дом 30</t>
  </si>
  <si>
    <t>ип куплинова еа</t>
  </si>
  <si>
    <t>524709502212</t>
  </si>
  <si>
    <t>ИП5206032290</t>
  </si>
  <si>
    <t>ИП520603229000000</t>
  </si>
  <si>
    <t>606524 Нижегородская область город Заволжье улица Пономарёва дом 3 А</t>
  </si>
  <si>
    <t>ИП Митюшкина Татьяна Викторовна</t>
  </si>
  <si>
    <t>524801826280</t>
  </si>
  <si>
    <t>ИП5206007734</t>
  </si>
  <si>
    <t>ИП520600773400000</t>
  </si>
  <si>
    <t>606024 Нижегородская область Город Дзержинск Проспект Чкалова Дом 23   помещение №55</t>
  </si>
  <si>
    <t>ИП Ряхлов Андрей Владимирович</t>
  </si>
  <si>
    <t>524900339079</t>
  </si>
  <si>
    <t>ИП5206002164</t>
  </si>
  <si>
    <t>ИП520600216400001</t>
  </si>
  <si>
    <t>606023 Нижегородская область Город Дзержинск Проспект Ленина Дом 66   часть помещения №1</t>
  </si>
  <si>
    <t>ИП520600216400002</t>
  </si>
  <si>
    <t>607220 Нижегородская область Город Арзамас Проспект Ленина Дом 129А   помещение №19</t>
  </si>
  <si>
    <t>ИП520600216400003</t>
  </si>
  <si>
    <t>603137 Нижегородская область Город Нижний Новгород Проспект Гагарина Дом 105А   помещение №38</t>
  </si>
  <si>
    <t>ИП520600216400004</t>
  </si>
  <si>
    <t>603123 Нижегородская область Город Нижний Новгород шоссе Южное Дом 2Г   Помещение 16</t>
  </si>
  <si>
    <t>ИП520600216400005</t>
  </si>
  <si>
    <t>603065 Нижегородская область Город Нижний Новгород улица Дьяконова Дом 11А</t>
  </si>
  <si>
    <t>ИП520600216400006</t>
  </si>
  <si>
    <t>606024 Нижегородская область город Дзержинск проспект Чкалова дом 23 помещение 1  комната 43</t>
  </si>
  <si>
    <t>ИП Литовский Сергей Юрьевич</t>
  </si>
  <si>
    <t>524900408702</t>
  </si>
  <si>
    <t>ИП5206007985</t>
  </si>
  <si>
    <t>ИП520600798500000</t>
  </si>
  <si>
    <t>606034 Нижегородская область город Дзержинск проспект Циолковского дом 76   помещение №102</t>
  </si>
  <si>
    <t>ИП Чулкова Марина Саяровна</t>
  </si>
  <si>
    <t>524900731381</t>
  </si>
  <si>
    <t>ИП5206010222</t>
  </si>
  <si>
    <t>ИП520601022200000</t>
  </si>
  <si>
    <t>606025 Нижегородская область город Дзержинск проспект Циолковского дом 26</t>
  </si>
  <si>
    <t>ИП Сидельников Владимир Витальевич</t>
  </si>
  <si>
    <t>524908385493</t>
  </si>
  <si>
    <t>ИП5206010126</t>
  </si>
  <si>
    <t>ИП520601012600000</t>
  </si>
  <si>
    <t>606000 Нижегородская область город Дзержинск улица Гайдара дом 40   помещение 11</t>
  </si>
  <si>
    <t>ИП Проухин Алексей Викторович</t>
  </si>
  <si>
    <t>524916861379</t>
  </si>
  <si>
    <t>ИП5206031186</t>
  </si>
  <si>
    <t>ИП520603118600000</t>
  </si>
  <si>
    <t>606022 Нижегородская область  город Дзержинск  проспект Ленина  дом 30   помещение 2</t>
  </si>
  <si>
    <t>ИП520603118600002</t>
  </si>
  <si>
    <t>606032 Нижегородская область город Дзержинск проспект Ленина дом 37   пом. №4</t>
  </si>
  <si>
    <t>ИП Борисов Даниил Игоревич</t>
  </si>
  <si>
    <t>524917125702</t>
  </si>
  <si>
    <t>ИП5206036720</t>
  </si>
  <si>
    <t>ИП520603672000000</t>
  </si>
  <si>
    <t>603022 Нижегородская область город Нижний Новгород улица Тимирязева дом 35   помещение П24, склад 26</t>
  </si>
  <si>
    <t>ИП Шестов Николай Андреевич</t>
  </si>
  <si>
    <t>524924016020</t>
  </si>
  <si>
    <t>ИП5206032141</t>
  </si>
  <si>
    <t>ИП520603214100000</t>
  </si>
  <si>
    <t>607650 Нижегородская область город Кстово улица 40 лет Октября дом 9   этаж 1</t>
  </si>
  <si>
    <t>ИП Овчинников Валентин Юрьевич</t>
  </si>
  <si>
    <t>525000086130</t>
  </si>
  <si>
    <t>ИП5206008160</t>
  </si>
  <si>
    <t>ИП520600816000000</t>
  </si>
  <si>
    <t>607651 Нижегородская область город Кстово улица Магистральная дом 2   квартира 34</t>
  </si>
  <si>
    <t>ИП Агафонова Елена Леонидовна</t>
  </si>
  <si>
    <t>525001189900</t>
  </si>
  <si>
    <t>ИП5206035134</t>
  </si>
  <si>
    <t>ИП520603513400000</t>
  </si>
  <si>
    <t>607650 Нижегородская область город Кстово улица Чванова дом 26</t>
  </si>
  <si>
    <t>ИП Елинкин Андрей Алексеевич</t>
  </si>
  <si>
    <t>525013724214</t>
  </si>
  <si>
    <t>ИП5206004416</t>
  </si>
  <si>
    <t>ИП520600441600000</t>
  </si>
  <si>
    <t>607018 Нижегородская область город Кулебаки улица Воровского дом 66</t>
  </si>
  <si>
    <t>ИП Соклаков Вячеслав Михайлович</t>
  </si>
  <si>
    <t>525100008922</t>
  </si>
  <si>
    <t>ИП5206003528</t>
  </si>
  <si>
    <t>ИП520600352800000</t>
  </si>
  <si>
    <t>607011 Нижегородская область город Кулебаки улица Бутова дом 2А   0</t>
  </si>
  <si>
    <t>ИП Шерихова Виктория Вячеславовна</t>
  </si>
  <si>
    <t>525102155200</t>
  </si>
  <si>
    <t>ИП7701038174</t>
  </si>
  <si>
    <t>ИП770103817400000</t>
  </si>
  <si>
    <t>606440 Нижегородская область город Бор улица Ленина дом 130   П10/А</t>
  </si>
  <si>
    <t>ИП Кормилицына Елена Владимировна</t>
  </si>
  <si>
    <t>525102322838</t>
  </si>
  <si>
    <t>ИП5206004167</t>
  </si>
  <si>
    <t>ИП520600416700000</t>
  </si>
  <si>
    <t>606100 Нижегородская область город Павлово улица Маяковского дом 77 строение 3</t>
  </si>
  <si>
    <t>АО "ПАВЛОВСКИЙ ЗАВОД ИМ. КИРОВА"</t>
  </si>
  <si>
    <t>5252000382</t>
  </si>
  <si>
    <t>ЮЛ5206003843</t>
  </si>
  <si>
    <t>ЮЛ520600384300000</t>
  </si>
  <si>
    <t>606108 Нижегородская область город Павлово улица Суворова дом 14   помещение 3</t>
  </si>
  <si>
    <t>ИП Николаев Валерий Николаевич</t>
  </si>
  <si>
    <t>525200072488</t>
  </si>
  <si>
    <t>ИП5206001053</t>
  </si>
  <si>
    <t>ИП520600105300000</t>
  </si>
  <si>
    <t>606024 Нижегородская область город Дзержинск проспект Чкалова 23   1 этаж,комната 12</t>
  </si>
  <si>
    <t>ИП Мохонов Алексей Павлович</t>
  </si>
  <si>
    <t>525200190280</t>
  </si>
  <si>
    <t>ИП5206032805</t>
  </si>
  <si>
    <t>ИП520603280500000</t>
  </si>
  <si>
    <t>606100 Нижегородская область город Павлово улица Кирова дом 100   помещение 4</t>
  </si>
  <si>
    <t>ООО "ПАВЛОВСКИЙ ЗАВОД ХУДОЖЕСТВЕННЫХ МЕТАЛЛОИЗДЕЛИЙ ИМ.КИРОВА"</t>
  </si>
  <si>
    <t>5252024873</t>
  </si>
  <si>
    <t>ЮЛ5206030098</t>
  </si>
  <si>
    <t>ЮЛ520603009800000</t>
  </si>
  <si>
    <t>606100 Нижегородская область город Павлово улица Куйбышева дом 40   помещение 5</t>
  </si>
  <si>
    <t>ИП Мазавин Игорь Николаевич</t>
  </si>
  <si>
    <t>525204832228</t>
  </si>
  <si>
    <t>ИП5206013257</t>
  </si>
  <si>
    <t>ИП520601325700000</t>
  </si>
  <si>
    <t>606100 Нижегородская область город Павлово улица Красноармейская дом 33   помещение 201</t>
  </si>
  <si>
    <t>ИП520601325700001</t>
  </si>
  <si>
    <t>606100 Нижегородская область город Павлово улица Куйбышева дом 27   помещение 2</t>
  </si>
  <si>
    <t>ИП Корнеева Наталья Викторовна</t>
  </si>
  <si>
    <t>525211176915</t>
  </si>
  <si>
    <t>ИП5206000835</t>
  </si>
  <si>
    <t>ИП520600083500000</t>
  </si>
  <si>
    <t>607680 Нижегородская область деревня Афонино улица Магистральная здание 240</t>
  </si>
  <si>
    <t>ИП Мокеев Илья Николаевич</t>
  </si>
  <si>
    <t>525211298279</t>
  </si>
  <si>
    <t>ИП5206040318</t>
  </si>
  <si>
    <t>ИП520604031800000</t>
  </si>
  <si>
    <t>607185 Нижегородская область город Саров проспект Ленина дом 35 встроенное помещение нежилое П1</t>
  </si>
  <si>
    <t>ИП Землянухин Юрий Петрович</t>
  </si>
  <si>
    <t>525400013899</t>
  </si>
  <si>
    <t>ИП5206001526</t>
  </si>
  <si>
    <t>ИП520600152600000</t>
  </si>
  <si>
    <t>607183 Нижегородская область город Саров улица Московская дом 5 Строение 1 помещение П2 Торговое место № 12б</t>
  </si>
  <si>
    <t>ИП520600152600001</t>
  </si>
  <si>
    <t>607186 Нижегородская область город Саров проспект Ленина дом 30   Помещение 37,38,39</t>
  </si>
  <si>
    <t>ФГУП "РФЯЦ - ВНИИЭФ"</t>
  </si>
  <si>
    <t>5254001230</t>
  </si>
  <si>
    <t>ЮЛ5206017275</t>
  </si>
  <si>
    <t>ЮЛ520601727500004</t>
  </si>
  <si>
    <t>607186 Нижегородская область город Саров проспект Ленина дом 25   помещение П2</t>
  </si>
  <si>
    <t>ЗАО ТПП "БРИСАР"</t>
  </si>
  <si>
    <t>5254022198</t>
  </si>
  <si>
    <t>ЮЛ5206014335</t>
  </si>
  <si>
    <t>ЮЛ520601433500000</t>
  </si>
  <si>
    <t>607320 Нижегородская область село Дивеево улица Октябрьская дом 27</t>
  </si>
  <si>
    <t>ИП Ус Сергей Михайлович</t>
  </si>
  <si>
    <t>525403822619</t>
  </si>
  <si>
    <t>ИП5206004218</t>
  </si>
  <si>
    <t>ИП520600421800000</t>
  </si>
  <si>
    <t>607181 Нижегородская область город Саров улица Силкина дом 31  помещение 14</t>
  </si>
  <si>
    <t>ООО "САРПУ"</t>
  </si>
  <si>
    <t>5254488694</t>
  </si>
  <si>
    <t>ЮЛ5206008904</t>
  </si>
  <si>
    <t>ЮЛ520600890400000</t>
  </si>
  <si>
    <t>607188 Нижегородская область город Саров шоссе Южное дом 22   помещение 22</t>
  </si>
  <si>
    <t>ИП Стрижак Виктория Вячеславовна</t>
  </si>
  <si>
    <t>525463408850</t>
  </si>
  <si>
    <t>ИП5206031395</t>
  </si>
  <si>
    <t>ИП520603139500000</t>
  </si>
  <si>
    <t>603138 Нижегородская область город Нижний Новгород улица Советской Армии дом 15А   помещение 1</t>
  </si>
  <si>
    <t>ИП Лопаткина Ирина Протасьевна</t>
  </si>
  <si>
    <t>525600593164</t>
  </si>
  <si>
    <t>ИП5206014265</t>
  </si>
  <si>
    <t>ИП520601426500000</t>
  </si>
  <si>
    <t>603123 Нижегородская область город Нижний Новгород шоссе Южное дом 21   помещение 007</t>
  </si>
  <si>
    <t>ИП520601426500002</t>
  </si>
  <si>
    <t>603000 Нижегородская область город Нижний Новгород улица Коминтерна дом 117</t>
  </si>
  <si>
    <t>ИП Толчинский Роман Евгеньевич</t>
  </si>
  <si>
    <t>525600735041</t>
  </si>
  <si>
    <t>ИП5206012064</t>
  </si>
  <si>
    <t>ИП520601206400000</t>
  </si>
  <si>
    <t>603123 Нижегородская область город Нижний Новгород улица Южное шоссе дом 2г   помещение П16</t>
  </si>
  <si>
    <t>ИП Гуськова Екатерина Дмитриевна</t>
  </si>
  <si>
    <t>525603858884</t>
  </si>
  <si>
    <t>ИП5206001730</t>
  </si>
  <si>
    <t>ИП520600173000000</t>
  </si>
  <si>
    <t>603138 Нижегородская область город Нижний Новгород улица Краснодонцев Дом 23   Помещение П12</t>
  </si>
  <si>
    <t>ИП Чернов И.Ю.</t>
  </si>
  <si>
    <t>525604197203</t>
  </si>
  <si>
    <t>ИП5206002222</t>
  </si>
  <si>
    <t>ИП520600222200000</t>
  </si>
  <si>
    <t>603158 Нижегородская область г Нижний Новгород Проспект Кораблестроителей Дом 22 корпус 2  Помещение П2</t>
  </si>
  <si>
    <t>ИП520600222200001</t>
  </si>
  <si>
    <t>606860 Нижегородская область город Ветлуга Ленина улица дом 5</t>
  </si>
  <si>
    <t>ИП Абрашина Светлана Васильевна</t>
  </si>
  <si>
    <t>525613843975</t>
  </si>
  <si>
    <t>ИП5206032414</t>
  </si>
  <si>
    <t>ИП520603241400000</t>
  </si>
  <si>
    <t>606100 Нижегородская область город Павлово улица Ленина дом 10</t>
  </si>
  <si>
    <t>ИП520603241400001</t>
  </si>
  <si>
    <t>603000 Нижегородская область город Нижний Новгород улица Политбойцов дом 12   пом. П4</t>
  </si>
  <si>
    <t>ИП Кирнисенко Оксана Валентиновна</t>
  </si>
  <si>
    <t>525615875027</t>
  </si>
  <si>
    <t>ИП5206007974</t>
  </si>
  <si>
    <t>ИП520600797400000</t>
  </si>
  <si>
    <t>603101 Нижегородская область город Нижний Новгород улица Ватутина дом 11   помещение П3, помещение № 302</t>
  </si>
  <si>
    <t>ООО "НИЖЕГОРОДСКИЙ ДЖЕМ"</t>
  </si>
  <si>
    <t>5256171420</t>
  </si>
  <si>
    <t>ЮЛ5206004074</t>
  </si>
  <si>
    <t>ЮЛ520600407400000</t>
  </si>
  <si>
    <t>603016 Нижегородская область город Нижний Новгород улица Веденяпина дом 4   помещение № 14</t>
  </si>
  <si>
    <t>ИП Бусаров Дмитрий Олегович</t>
  </si>
  <si>
    <t>525617816838</t>
  </si>
  <si>
    <t>ИП5206008296</t>
  </si>
  <si>
    <t>ИП520600829600000</t>
  </si>
  <si>
    <t>603000 Нижегородская область город Нижний Новгород Улица Ефремова дом 1   помещение П.13</t>
  </si>
  <si>
    <t>ИП520600829600001</t>
  </si>
  <si>
    <t>603000 Нижегородская область город Нижний Новгород улица Лескова дом 26   помещение П.2</t>
  </si>
  <si>
    <t>ИП520600829600002</t>
  </si>
  <si>
    <t>603135 Нижегородская область город Нижний Новгород проспект Ленина дом 59 Пом.4</t>
  </si>
  <si>
    <t>ИП Данько Сергей Лаврентьевич</t>
  </si>
  <si>
    <t>525618920550</t>
  </si>
  <si>
    <t>ИП5206000153</t>
  </si>
  <si>
    <t>ИП520600015300000</t>
  </si>
  <si>
    <t>603000 Нижегородская область город Нижний Новгород улица Ульянова дом 7   помещение П7,П8</t>
  </si>
  <si>
    <t>5256210609</t>
  </si>
  <si>
    <t>ЮЛ5206036726</t>
  </si>
  <si>
    <t>ЮЛ520603672600002</t>
  </si>
  <si>
    <t>603158 Нижегородская область город Нижний Новгород проспект Кораблестроителей дом 22 корпус 1  помещение 3</t>
  </si>
  <si>
    <t>ИП Жукова Дария Александровна</t>
  </si>
  <si>
    <t>525624589015</t>
  </si>
  <si>
    <t>ИП5206003717</t>
  </si>
  <si>
    <t>ИП520600371700000</t>
  </si>
  <si>
    <t>607220 Нижегородская область город Арзамас улица Калинина дом 46   помещение 24</t>
  </si>
  <si>
    <t>ИП520600807800001</t>
  </si>
  <si>
    <t>603002 Нижегородская область город Нижний Новгород улица Долгополова дом 18/36   помещение П4</t>
  </si>
  <si>
    <t>ИП Миронов Дмитрий Владимирович</t>
  </si>
  <si>
    <t>525629844212</t>
  </si>
  <si>
    <t>ИП5206035987</t>
  </si>
  <si>
    <t>ИП520603598700000</t>
  </si>
  <si>
    <t>603093 Нижегородская область город Нижний Новгород улица Родионова дом 17   помещение 12</t>
  </si>
  <si>
    <t>ИП520603598700001</t>
  </si>
  <si>
    <t>603003 Нижегородская область город Нижний Новгород бульвар Юбилейный дом 6   помещение 13</t>
  </si>
  <si>
    <t>ИП520603598700002</t>
  </si>
  <si>
    <t>603081 Нижегородская область город Нижний Новгород проспект Гагарина дом 66   помещение П3</t>
  </si>
  <si>
    <t>ИП520603598700003</t>
  </si>
  <si>
    <t>ИП Миронов Игорь Владимирович</t>
  </si>
  <si>
    <t>525632873816</t>
  </si>
  <si>
    <t>ИП5206035986</t>
  </si>
  <si>
    <t>ИП520603598600000</t>
  </si>
  <si>
    <t>603003 Нижегородская область город Нижний Новгород бульвар Юбилейный дом 6   помещение П13</t>
  </si>
  <si>
    <t>ИП520603598600001</t>
  </si>
  <si>
    <t>603081 Нижегородская область город Нижний Новгород проспект Гагарина дом 66   помещение 3</t>
  </si>
  <si>
    <t>ИП520603598600002</t>
  </si>
  <si>
    <t>603002 Нижегородская область город Нижний Новгород улица Долгополова дом 18/36   помещение 4</t>
  </si>
  <si>
    <t>ИП520603598600004</t>
  </si>
  <si>
    <t>603053 Нижегородская область город Нижний Новгород улица Львовская дом 25   помещение 5</t>
  </si>
  <si>
    <t>ИП Евстюнин Юрий Евгеньевич</t>
  </si>
  <si>
    <t>525633072858</t>
  </si>
  <si>
    <t>ИП5206007714</t>
  </si>
  <si>
    <t>ИП520600771400000</t>
  </si>
  <si>
    <t>603083 Нижегородская область город Нижний Новгород шоссе Южное дом 35 этаж 1  помещение 23</t>
  </si>
  <si>
    <t>ИП Савадян Эдуард Ригоевич</t>
  </si>
  <si>
    <t>525634704115</t>
  </si>
  <si>
    <t>ИП5206018370</t>
  </si>
  <si>
    <t>ИП520601837000000</t>
  </si>
  <si>
    <t>603095 Нижегородская область город Нижний Новгород улица Львовская дом 3   помещение № 11</t>
  </si>
  <si>
    <t>ИП Титова Алла Валерьевна</t>
  </si>
  <si>
    <t>525689870665</t>
  </si>
  <si>
    <t>ИП5206033051</t>
  </si>
  <si>
    <t>ИП520603305100000</t>
  </si>
  <si>
    <t>603123 Нижегородская область город Нижний Новгород шоссе Южное дом 2Г   часть нежилого помещения П16</t>
  </si>
  <si>
    <t>ИП Шкаликов Алексей Вячеславович</t>
  </si>
  <si>
    <t>525700303550</t>
  </si>
  <si>
    <t>ИП5206004171</t>
  </si>
  <si>
    <t>ИП520600417100000</t>
  </si>
  <si>
    <t>607657 Нижегородская область город Кстово площадь Ленина дом 5А</t>
  </si>
  <si>
    <t>ИП520600417100003</t>
  </si>
  <si>
    <t>603065 Нижегородская область город Нижний Новгород улица Дьяконова дом 11А</t>
  </si>
  <si>
    <t>ИП520600417100004</t>
  </si>
  <si>
    <t>607651 Нижегородская область город Кстово улица 40 лет Октября дом 12   магазин "Новое время"</t>
  </si>
  <si>
    <t>ИП Мусихина Светлана Вячеславовна</t>
  </si>
  <si>
    <t>525700367730</t>
  </si>
  <si>
    <t>ИП5206011159</t>
  </si>
  <si>
    <t>ИП520601115900000</t>
  </si>
  <si>
    <t>603002 Нижегородская область город Нижний Новгород Улица Долгополова Дом 17 Корпус 38  офис 1</t>
  </si>
  <si>
    <t>ИП Послов Роман Геннадьевич</t>
  </si>
  <si>
    <t>525700567094</t>
  </si>
  <si>
    <t>ИП5206035135</t>
  </si>
  <si>
    <t>ИП520603513500000</t>
  </si>
  <si>
    <t>603003 Нижегородская область город Нижний Новгород улица Коминтерна дом 115   помещение 17</t>
  </si>
  <si>
    <t>ИП Гончарова Ирина Владимировна</t>
  </si>
  <si>
    <t>525700676907</t>
  </si>
  <si>
    <t>ИП5206000724</t>
  </si>
  <si>
    <t>ИП520600072400000</t>
  </si>
  <si>
    <t>603000 Нижегородская область город Нижний Новгород проспект Ленина дом 33   этаж 1</t>
  </si>
  <si>
    <t>ИП520600072400009</t>
  </si>
  <si>
    <t>603087 Нижегородская область город Нижний Новгород улица Богдановича дом 2/27 помещение П4</t>
  </si>
  <si>
    <t>ИП Попова Светлана Владимировна</t>
  </si>
  <si>
    <t>525703945072</t>
  </si>
  <si>
    <t>ИП5206002358</t>
  </si>
  <si>
    <t>ИП520600235800000</t>
  </si>
  <si>
    <t>606010 Нижегородская область город Дзержинск улица Клюквина дом 2   помещение 2</t>
  </si>
  <si>
    <t>ИП Томнатов Олег Владимирович</t>
  </si>
  <si>
    <t>525704169834</t>
  </si>
  <si>
    <t>ИП5206002649</t>
  </si>
  <si>
    <t>ИП520600264900000</t>
  </si>
  <si>
    <t>606039 Нижегородская область город Дзержинск бульвар Космонавтов дом 1/77</t>
  </si>
  <si>
    <t>ИП520600264900003</t>
  </si>
  <si>
    <t>606025 Нижегородская область город Дзержинск бульвар Мира дом 33   помещение 1</t>
  </si>
  <si>
    <t>ИП520600264900004</t>
  </si>
  <si>
    <t>603003 Нижегородская область город Нижний Новгород улица Коминтерна дом 180</t>
  </si>
  <si>
    <t>ИП520600264900006</t>
  </si>
  <si>
    <t>603076 Нижегородская область город Нижний Новгород проспект Ленина дом 40</t>
  </si>
  <si>
    <t>ИП Томнатова Елена Вахтанговна</t>
  </si>
  <si>
    <t>525709309348</t>
  </si>
  <si>
    <t>ИП5206002378</t>
  </si>
  <si>
    <t>ИП520600237800000</t>
  </si>
  <si>
    <t>603122 Нижегородская область город Нижний Новгород улица Богородского дом 2</t>
  </si>
  <si>
    <t>ИП520600237800003</t>
  </si>
  <si>
    <t>603006 Нижегородская область город Нижний Новгород улица Ошарская дом 15   помещение 10</t>
  </si>
  <si>
    <t>ИП520600237800004</t>
  </si>
  <si>
    <t>ИП520600237800005</t>
  </si>
  <si>
    <t>607600 Нижегородская область ГОРОД БОГОРОДСК УЛИЦА ЛЕНИНА ДОМ 171   ПЕРВЫЙ ЭТАЖ</t>
  </si>
  <si>
    <t>ИП Гончарова Марина Витальевна</t>
  </si>
  <si>
    <t>525711872460</t>
  </si>
  <si>
    <t>ИП5206031807</t>
  </si>
  <si>
    <t>ИП520603180700000</t>
  </si>
  <si>
    <t>603000 Нижегородская область город Нижний Новгород проспект Ленина дом 33</t>
  </si>
  <si>
    <t>ИП520603180700005</t>
  </si>
  <si>
    <t>603002 Нижегородская область город Нижний Новгород улица Чкалова дом 1В   помещение 8</t>
  </si>
  <si>
    <t>ООО "СЕРЕБРЯНЫЙ СЛОНЪ Н.Н."</t>
  </si>
  <si>
    <t>5257124776</t>
  </si>
  <si>
    <t>ЮЛ5206032707</t>
  </si>
  <si>
    <t>ЮЛ520603270700000</t>
  </si>
  <si>
    <t>603158 Нижегородская область город Нижний Новгород проспект Кораблестроителей дом 22 корпус Б, 2 этаж</t>
  </si>
  <si>
    <t>ИП Бабичева Мария Юрьевна</t>
  </si>
  <si>
    <t>525715779126</t>
  </si>
  <si>
    <t>ИП5206031420</t>
  </si>
  <si>
    <t>ИП520603142000000</t>
  </si>
  <si>
    <t>603000 Нижегородская область город Нижний Новгород Советская площадь дом 5</t>
  </si>
  <si>
    <t>ИП520603142000001</t>
  </si>
  <si>
    <t>ИП Катрич Кристина Олеговна</t>
  </si>
  <si>
    <t>525717594868</t>
  </si>
  <si>
    <t>ИП5206032242</t>
  </si>
  <si>
    <t>ИП520603224200000</t>
  </si>
  <si>
    <t>ИП520603224200001</t>
  </si>
  <si>
    <t>ИП520603224200002</t>
  </si>
  <si>
    <t>606039 Нижегородская область город Дзержинск бульвар Космонавтов дом 1/77   помещение 4</t>
  </si>
  <si>
    <t>ИП520603224200003</t>
  </si>
  <si>
    <t>ИП520603224200004</t>
  </si>
  <si>
    <t>603086 Нижегородская область город Нижний Новгород улица Мануфактурная дом 14   помещение 2 офис 210</t>
  </si>
  <si>
    <t>ООО "СИЯНИЕ"</t>
  </si>
  <si>
    <t>5257178323</t>
  </si>
  <si>
    <t>ЮЛ5206003051</t>
  </si>
  <si>
    <t>ЮЛ520600305100000</t>
  </si>
  <si>
    <t>603086 Нижегородская область город Нижний Новгород улица Мануфактурная дом 14   помещение 2, офис 401</t>
  </si>
  <si>
    <t>ООО "МИР ПОДАРКА"</t>
  </si>
  <si>
    <t>5257178411</t>
  </si>
  <si>
    <t>ЮЛ5206010149</t>
  </si>
  <si>
    <t>ЮЛ520601014900000</t>
  </si>
  <si>
    <t>603065 Нижегородская область город Нижний Новгород улица Дьяконова дом 13 А   помещение 3</t>
  </si>
  <si>
    <t>ИП Пискун Сергей Александрович</t>
  </si>
  <si>
    <t>525718877139</t>
  </si>
  <si>
    <t>ИП5206010583</t>
  </si>
  <si>
    <t>ИП520601058300000</t>
  </si>
  <si>
    <t>603000 Нижегородская область город Нижний Новгород улица Большая Покровская дом 82   секция КА8а</t>
  </si>
  <si>
    <t>ЮЛ520603376600111</t>
  </si>
  <si>
    <t>603128 Нижегородская область город Нижний Новгород проспект Кораблестроителей дом 4</t>
  </si>
  <si>
    <t>ЮЛ520601352600002</t>
  </si>
  <si>
    <t>603158 Нижегородская область город Нижний Новгород проспект Кораблестроителей дом 22 корпус 2  Помещение П7</t>
  </si>
  <si>
    <t>ЮЛ520601352600005</t>
  </si>
  <si>
    <t>603074 Нижегородская область город Нижний Новгород улица Народная Дом 41  Литер В Помещение П.6</t>
  </si>
  <si>
    <t>ИП Абашин Сергей Михайлович</t>
  </si>
  <si>
    <t>525800060237</t>
  </si>
  <si>
    <t>ИП5206000544</t>
  </si>
  <si>
    <t>ИП520600054400000</t>
  </si>
  <si>
    <t>603000 Нижегородская область город Нижний Новгород улица Большая покровская дом 57   Jolie</t>
  </si>
  <si>
    <t>ИП Володин Дмитрий Юрьевич</t>
  </si>
  <si>
    <t>525800555818</t>
  </si>
  <si>
    <t>ИП5206006970</t>
  </si>
  <si>
    <t>ИП520600697000000</t>
  </si>
  <si>
    <t>603016 Нижегородская область город Нижний Новгород улица Веденяпина дом 2б   пом. П3</t>
  </si>
  <si>
    <t>ИП520600697000002</t>
  </si>
  <si>
    <t>603093 Нижегородская область город Нижний Новгород улица Родионова дом 187   Jolie</t>
  </si>
  <si>
    <t>ИП520600697000009</t>
  </si>
  <si>
    <t>603000 Нижегородская область город Нижний Новгород улица Алексеевская дом 10/16   Византия</t>
  </si>
  <si>
    <t>ИП520600697000012</t>
  </si>
  <si>
    <t>603000 Нижегородская область город Нижний Новгород улица Большая Покровская дом 57   Византия</t>
  </si>
  <si>
    <t>ИП520600697000014</t>
  </si>
  <si>
    <t>603093 Нижегородская область город Нижний Новгород улица Родионова дом 187   Византия</t>
  </si>
  <si>
    <t>ИП520600697000016</t>
  </si>
  <si>
    <t>603000 Нижегородская область город Нижний Новгород площадь Театральная дом 1</t>
  </si>
  <si>
    <t>ИП520600697000018</t>
  </si>
  <si>
    <t>603002 Нижегородская область город Нижний Новгород площадь Революции дом 9   подпомещения 50, 54</t>
  </si>
  <si>
    <t>ИП520600697000019</t>
  </si>
  <si>
    <t>603000 Нижегородская область город Нижний Новгород улица Алексеевская дом 10/16   Jolie</t>
  </si>
  <si>
    <t>ИП520600697000020</t>
  </si>
  <si>
    <t>603022 Нижегородская область город Нижний Новгород улица Большая Покровская дом 82   помещение П40</t>
  </si>
  <si>
    <t>ИП520600697000022</t>
  </si>
  <si>
    <t>603005 Нижегородская область город Нижний Новгород улица Алексеевская Дом 15   Помещение 5</t>
  </si>
  <si>
    <t>ИП Михровская Яна Николаевна</t>
  </si>
  <si>
    <t>525802734844</t>
  </si>
  <si>
    <t>ИП5206031317</t>
  </si>
  <si>
    <t>ИП520603131700000</t>
  </si>
  <si>
    <t>ИП Голубев Дмитрий Валерьевич</t>
  </si>
  <si>
    <t>525803223000</t>
  </si>
  <si>
    <t>ИП5206011901</t>
  </si>
  <si>
    <t>ИП520601190100000</t>
  </si>
  <si>
    <t>ИП520601190100001</t>
  </si>
  <si>
    <t>603074 Нижегородская область город Нижний Новгород улица Маршала Воронова дом 3   помещение 10</t>
  </si>
  <si>
    <t>ИП Тарасова Анастасия Сергеевна</t>
  </si>
  <si>
    <t>525804014961</t>
  </si>
  <si>
    <t>ИП5206033385</t>
  </si>
  <si>
    <t>ИП520603338500000</t>
  </si>
  <si>
    <t>603073 Нижегородская область Нижний Новгород улица Таганская дом 8 корпус 3  помещение 2</t>
  </si>
  <si>
    <t>ИП Комаров Александр Николаевич</t>
  </si>
  <si>
    <t>525809515312</t>
  </si>
  <si>
    <t>ИП5206034058</t>
  </si>
  <si>
    <t>ИП520603405800000</t>
  </si>
  <si>
    <t>607130 Нижегородская область рабочий поселок Ардатов улица Школьная дом 17   помещение 5</t>
  </si>
  <si>
    <t>ИП520603405800005</t>
  </si>
  <si>
    <t>603035 Нижегородская область город Нижний Новгород улица Чаадаева дом 22 0 0 помещение П16</t>
  </si>
  <si>
    <t>ИП Шарова Светлана Игоревна</t>
  </si>
  <si>
    <t>525810186888</t>
  </si>
  <si>
    <t>ИП5206019091</t>
  </si>
  <si>
    <t>ИП520601909100007</t>
  </si>
  <si>
    <t>603000 Нижегородская область город Нижний Новгород улица Большая Покровская дом 59/2 0 0 помещение П1</t>
  </si>
  <si>
    <t>ИП520601909100008</t>
  </si>
  <si>
    <t>603043 Нижегородская область город Нижний Новгород улица Комсомольская дом 1 0 0 помещение П3</t>
  </si>
  <si>
    <t>ИП520601909100009</t>
  </si>
  <si>
    <t>603016 Нижегородская область город Нижний Новгород улица Веденяпина дом 8 0 0 помещение П5</t>
  </si>
  <si>
    <t>ИП520601909100010</t>
  </si>
  <si>
    <t>603000 Нижегородская область город Нижний Новгород улица Октябрьской революции дом 43   помещение П3 (№114)</t>
  </si>
  <si>
    <t>ИП520601909100011</t>
  </si>
  <si>
    <t>603159 Нижегородская область город Нижний Новгород улица Карла Маркса дом 8-А</t>
  </si>
  <si>
    <t>ИП520601909100012</t>
  </si>
  <si>
    <t>603000 Нижегородская область город Нижний Новгород улица Маслякова дом 12а   помещения № 7,8, часть помещения № 2</t>
  </si>
  <si>
    <t>ИП Титенков Александр Владимирович</t>
  </si>
  <si>
    <t>525813293944</t>
  </si>
  <si>
    <t>ИП5206000726</t>
  </si>
  <si>
    <t>ИП520600072600000</t>
  </si>
  <si>
    <t>603002 Нижегородская область город Нижний Новгород улица Фильченкова дом 10   Салон "Идеал "</t>
  </si>
  <si>
    <t>ИП Садовникова Ирина Николаевна</t>
  </si>
  <si>
    <t>525814526550</t>
  </si>
  <si>
    <t>ИП5206002388</t>
  </si>
  <si>
    <t>ИП520600238800000</t>
  </si>
  <si>
    <t>603002 Нижегородская область город Нижний Новгород улица Фильченкова дом 10   Салон "Идеал 1"</t>
  </si>
  <si>
    <t>ИП520600238800001</t>
  </si>
  <si>
    <t>603034 Нижегородская область город Нижний Новгород проспект Ленина дом 33   Салон "Идеал 2"</t>
  </si>
  <si>
    <t>ИП520600238800002</t>
  </si>
  <si>
    <t>603003 Нижегородская область город Нижний Новгород Коминтерна 117   Салон Идеал 3</t>
  </si>
  <si>
    <t>ИП520600238800004</t>
  </si>
  <si>
    <t>606440 Нижегородская область город Бор улица Пушкина дом 97   помещение 9/1</t>
  </si>
  <si>
    <t>ИП Толкачева Юлия Анатольевна</t>
  </si>
  <si>
    <t>525900030780</t>
  </si>
  <si>
    <t>ИП5206036051</t>
  </si>
  <si>
    <t>ИП520603605100000</t>
  </si>
  <si>
    <t>607228 Нижегородская область город Арзамас улица Мира дом 2   помещение 1</t>
  </si>
  <si>
    <t>ИП520603605100001</t>
  </si>
  <si>
    <t>603140 Нижегородская область город Нижний Новгород проспект Ленина дом 27 корпус 1  помещение П7</t>
  </si>
  <si>
    <t>ИП Симатов Александр Львович</t>
  </si>
  <si>
    <t>525900050909</t>
  </si>
  <si>
    <t>ИП5206001167</t>
  </si>
  <si>
    <t>ИП520600116700000</t>
  </si>
  <si>
    <t>603003 Нижегородская область город Нижний Новгород улица Коминтерна дом 168   помещение П 4</t>
  </si>
  <si>
    <t>ИП Байков Юрий Владимирович</t>
  </si>
  <si>
    <t>525901803270</t>
  </si>
  <si>
    <t>ИП5206011132</t>
  </si>
  <si>
    <t>ИП520601113200000</t>
  </si>
  <si>
    <t>603002 Нижегородская область город Нижний Новгород улица Литвинова дом 12/26   помещение №11</t>
  </si>
  <si>
    <t>ИП Симатова Ольга Петровна</t>
  </si>
  <si>
    <t>525902085336</t>
  </si>
  <si>
    <t>ИП5206001374</t>
  </si>
  <si>
    <t>ИП520600137400000</t>
  </si>
  <si>
    <t>ИП Соколов Дмитрий Витальевич</t>
  </si>
  <si>
    <t>525902921580</t>
  </si>
  <si>
    <t>ИП5206032241</t>
  </si>
  <si>
    <t>ИП520603224100000</t>
  </si>
  <si>
    <t>ИП520603224100001</t>
  </si>
  <si>
    <t>607228 Нижегородская область город Арзамас улица Мира дом 2</t>
  </si>
  <si>
    <t>ИП520603224100002</t>
  </si>
  <si>
    <t>606440 Нижегородская область город Бор улица Пушкина дом 97   помещение 9</t>
  </si>
  <si>
    <t>ИП520603224100003</t>
  </si>
  <si>
    <t>603079 Нижегородская область город Нижний Новгород улица Березовская дом 3А  Литера А2, А3 помещения NN1-4, N13, N16</t>
  </si>
  <si>
    <t>ООО "ГОРИЗОНТАЛЬ НН"</t>
  </si>
  <si>
    <t>5259113272</t>
  </si>
  <si>
    <t>ЮЛ5206030713</t>
  </si>
  <si>
    <t>ЮЛ520603071300000</t>
  </si>
  <si>
    <t>606524 Нижегородская область город Заволжье улица Пономарева дом 3 корпус А</t>
  </si>
  <si>
    <t>ИП Журавлева Ольга Викторовна</t>
  </si>
  <si>
    <t>525911541909</t>
  </si>
  <si>
    <t>ИП5206005577</t>
  </si>
  <si>
    <t>ИП520600557700001</t>
  </si>
  <si>
    <t>606502 Нижегородская область город Городец площадь Пролетарская  дом 9   бутик 224 а</t>
  </si>
  <si>
    <t>ИП520600557700003</t>
  </si>
  <si>
    <t>606408 Нижегородская область город Балахна улица Горького дом 34 Корпус А Литера ББ2 офис 7</t>
  </si>
  <si>
    <t>ИП520600557700007</t>
  </si>
  <si>
    <t>603142 Нижегородская область город Нижний Новгород улица Маковского дом 17   помещение П4, офис 1</t>
  </si>
  <si>
    <t>ООО "КОМЕТА"</t>
  </si>
  <si>
    <t>5259150764</t>
  </si>
  <si>
    <t>ЮЛ5206001170</t>
  </si>
  <si>
    <t>ЮЛ520600117000000</t>
  </si>
  <si>
    <t>607220 Нижегородская область город Арзамас проспект Ленина дом 188   помещение 74</t>
  </si>
  <si>
    <t>ЮЛ520600117000001</t>
  </si>
  <si>
    <t>ИП Симатова Анастасия Александровна</t>
  </si>
  <si>
    <t>525916786123</t>
  </si>
  <si>
    <t>ИП5206017907</t>
  </si>
  <si>
    <t>ИП520601790700000</t>
  </si>
  <si>
    <t>603000 Нижегородская область город Нижний Новгород улица Ульянова дом 5   помещение № 3</t>
  </si>
  <si>
    <t>ООО "ЛОМБАРД-МЕРИДИАН"</t>
  </si>
  <si>
    <t>5260084636</t>
  </si>
  <si>
    <t>ЮЛ5206001327</t>
  </si>
  <si>
    <t>ЮЛ520600132700000</t>
  </si>
  <si>
    <t>603116 Нижегородская область город Нижний Новгород улица Гордеевская дом 2А   Помещение №125-Н</t>
  </si>
  <si>
    <t>ООО "ВОЛГА-4"</t>
  </si>
  <si>
    <t>5260118204</t>
  </si>
  <si>
    <t>ЮЛ5206006058</t>
  </si>
  <si>
    <t>ЮЛ520600605800001</t>
  </si>
  <si>
    <t>603006 Нижегородская область город Нижний Новгород улица Провиантская дом 47   офис 211</t>
  </si>
  <si>
    <t>ООО "АЙЭМДЖИ"</t>
  </si>
  <si>
    <t>5260166832</t>
  </si>
  <si>
    <t>ЮЛ5206032692</t>
  </si>
  <si>
    <t>ЮЛ520603269200000</t>
  </si>
  <si>
    <t>603107 Нижегородская область город Нижний Новгород микрорайон Щербинки 1 дом 20</t>
  </si>
  <si>
    <t>ООО "ЛОМБАРД БЕРЕГ-НН"</t>
  </si>
  <si>
    <t>5260174576</t>
  </si>
  <si>
    <t>ЮЛ5206004173</t>
  </si>
  <si>
    <t>ЮЛ520600417300000</t>
  </si>
  <si>
    <t>603000 Нижегородская область город Нижний Новгород улица Алексеевская дом 10/16   помещение П8</t>
  </si>
  <si>
    <t>ООО "МИЛО/ГОЛД"</t>
  </si>
  <si>
    <t>5260182351</t>
  </si>
  <si>
    <t>ЮЛ5206004220</t>
  </si>
  <si>
    <t>ЮЛ520600422000001</t>
  </si>
  <si>
    <t>603000 Нижегородская область город Нижний Новгород улица Алексеевская дом 10/16   помещение П6</t>
  </si>
  <si>
    <t>ЮЛ520600422000002</t>
  </si>
  <si>
    <t>603024 Нижегородская область город Нижний Новгород улица Белинского дом 63   помещение № 9</t>
  </si>
  <si>
    <t>ЮЛ520600422000003</t>
  </si>
  <si>
    <t>606440 Нижегородская область город Бор улица Ленина дом 113Б   торговое место А11</t>
  </si>
  <si>
    <t>ИП Перова Анастасия Владимировна</t>
  </si>
  <si>
    <t>526022709302</t>
  </si>
  <si>
    <t>ИП5206031281</t>
  </si>
  <si>
    <t>ИП520603128100000</t>
  </si>
  <si>
    <t>606000 Нижегородская область город Дзержинск проспект Ленина дом 66   Помещение №1</t>
  </si>
  <si>
    <t>ИП520603128100001</t>
  </si>
  <si>
    <t>606029 Нижегородская область город Дзержинск улица Петрищева дом 4</t>
  </si>
  <si>
    <t>ИП520603128100002</t>
  </si>
  <si>
    <t>607220 Нижегородская область город Арзамас улица Калинина дом 46   Помещение №4</t>
  </si>
  <si>
    <t>ИП520603128100003</t>
  </si>
  <si>
    <t>ИП520603128100004</t>
  </si>
  <si>
    <t>5260246728</t>
  </si>
  <si>
    <t>ЮЛ5206003568</t>
  </si>
  <si>
    <t>ЮЛ520600356800000</t>
  </si>
  <si>
    <t>603163 Нижегородская область город Нижний Новгород улица Казанское шоссе дом 7   помещение 1</t>
  </si>
  <si>
    <t>ООО "ГОРОДСКОЙ СОЦИАЛЬНЫЙ ЛОМБАРД"</t>
  </si>
  <si>
    <t>5260351472</t>
  </si>
  <si>
    <t>ЮЛ5206003494</t>
  </si>
  <si>
    <t>ЮЛ520600349400000</t>
  </si>
  <si>
    <t>603000 Нижегородская область город Нижний Новгород улица Пискунова дом 21 корп 2  помещение 33 офис 303</t>
  </si>
  <si>
    <t>ООО "ТАЙНА СЕРЕБРА"</t>
  </si>
  <si>
    <t>5260426223</t>
  </si>
  <si>
    <t>ЮЛ5206011340</t>
  </si>
  <si>
    <t>ЮЛ520601134000000</t>
  </si>
  <si>
    <t>603000 Нижегородская область ГОРОД НИЖНИЙ НОВГОРОД УЛИЦА БОЛЬШАЯ ПОКРОВСКАЯ ДОМ 43</t>
  </si>
  <si>
    <t>ООО "ГАЛЕРЕЯ ХЭНДИКРАФТ"</t>
  </si>
  <si>
    <t>5260442553</t>
  </si>
  <si>
    <t>ЮЛ5206031962</t>
  </si>
  <si>
    <t>ЮЛ520603196200001</t>
  </si>
  <si>
    <t>603000 Нижегородская область город Нижний Новгород улица Ошарская дом 1/2   помещение П14</t>
  </si>
  <si>
    <t>ООО "ЮВЕЛИРНЫЙ ДОМ"</t>
  </si>
  <si>
    <t>5260479426</t>
  </si>
  <si>
    <t>ЮЛ5206011355</t>
  </si>
  <si>
    <t>ЮЛ520601135500000</t>
  </si>
  <si>
    <t>603155 Нижегородская область город Нижний Новгород улица Большая Печерская дом 39 Помещение П1</t>
  </si>
  <si>
    <t>ООО "ЛАНА ЭМ"</t>
  </si>
  <si>
    <t>5260501079</t>
  </si>
  <si>
    <t>ЮЛ5206040001</t>
  </si>
  <si>
    <t>ЮЛ520604000100000</t>
  </si>
  <si>
    <t>ООО "МЕРИДИАН-НН"</t>
  </si>
  <si>
    <t>5260935118</t>
  </si>
  <si>
    <t>ЮЛ5206001347</t>
  </si>
  <si>
    <t>ЮЛ520600134700000</t>
  </si>
  <si>
    <t>ИП Морозов Виктор Александрович</t>
  </si>
  <si>
    <t>526101406854</t>
  </si>
  <si>
    <t>ИП5206002838</t>
  </si>
  <si>
    <t>ИП520600283800000</t>
  </si>
  <si>
    <t>606260 Нижегородская область рабочий поселок Воротынец улица М.Горького дом 167</t>
  </si>
  <si>
    <t>ИП Никулин Сергей Александрович</t>
  </si>
  <si>
    <t>526102101319</t>
  </si>
  <si>
    <t>ИП5206012798</t>
  </si>
  <si>
    <t>ИП520601279800000</t>
  </si>
  <si>
    <t>ИП Ряшницев Павел Валерьевич</t>
  </si>
  <si>
    <t>526103562908</t>
  </si>
  <si>
    <t>ИП5206012905</t>
  </si>
  <si>
    <t>ИП520601290500000</t>
  </si>
  <si>
    <t>ИП520601290500002</t>
  </si>
  <si>
    <t>606502 Нижегородская область город Городец площадь Пролетарская дом 8</t>
  </si>
  <si>
    <t>ИП Харчев Михаил Владимирович</t>
  </si>
  <si>
    <t>526108818840</t>
  </si>
  <si>
    <t>ИП5206031204</t>
  </si>
  <si>
    <t>ИП520603120400000</t>
  </si>
  <si>
    <t>603087 Нижегородская область город Нижний Новгород шоссе Казанское дом 12 корпус 1 Литер А часть нежилого помещения №1</t>
  </si>
  <si>
    <t>ИП Самарчян Армен Юрьевич</t>
  </si>
  <si>
    <t>526109789990</t>
  </si>
  <si>
    <t>ИП5206009470</t>
  </si>
  <si>
    <t>ИП520600947000000</t>
  </si>
  <si>
    <t>603137 Нижегородская область город Нижний Новгород проспект Гагарина дом 228   салон Au.Room</t>
  </si>
  <si>
    <t>ИП Самарчян Арсен Юрьевич</t>
  </si>
  <si>
    <t>526111166859</t>
  </si>
  <si>
    <t>ИП5206015843</t>
  </si>
  <si>
    <t>ИП520601584300000</t>
  </si>
  <si>
    <t>603000 Нижегородская область город Нижний Новгород улица Пискунова дом 12   этаж цокольный</t>
  </si>
  <si>
    <t>ООО "ЮК "ЖЕМЧУЖИНА"</t>
  </si>
  <si>
    <t>5261112371</t>
  </si>
  <si>
    <t>ЮЛ5206017857</t>
  </si>
  <si>
    <t>ЮЛ520601785700000</t>
  </si>
  <si>
    <t>603152 Нижегородская область город Нижний Новгород улица Кащенко дом 6 помещение 9  офис 309</t>
  </si>
  <si>
    <t>ООО "ЦИТРИН"</t>
  </si>
  <si>
    <t>5261124560</t>
  </si>
  <si>
    <t>ЮЛ5206002643</t>
  </si>
  <si>
    <t>ЮЛ520600264300000</t>
  </si>
  <si>
    <t>603002 Нижегородская область город Нижний Новгород улица Фильченкова дом 12   помещение П2</t>
  </si>
  <si>
    <t>ИП520601790200000</t>
  </si>
  <si>
    <t>603002 Нижегородская область город Нижний Новгород улица Долгополова дом 19/37</t>
  </si>
  <si>
    <t>ИП520601790200001</t>
  </si>
  <si>
    <t>603002 Нижегородская область город Нижний Новгород площадь Революции дом 9   Алтын</t>
  </si>
  <si>
    <t>ИП520601790200006</t>
  </si>
  <si>
    <t>603093 Нижегородская область город Нижний Новгород улица Родионова дом 187   помещение 2</t>
  </si>
  <si>
    <t>ИП520601790200007</t>
  </si>
  <si>
    <t>ИП520601790200009</t>
  </si>
  <si>
    <t>ИП520601790200010</t>
  </si>
  <si>
    <t>603003 Нижегородская область город Нижний Новгород улица Коминтерна дом 117   магазин "Алтын"</t>
  </si>
  <si>
    <t>ИП520601790200012</t>
  </si>
  <si>
    <t>603003 Нижегородская область город Нижний Новгород улица Коминтерна дом 105   Помещения 35а, 36а</t>
  </si>
  <si>
    <t>ИП520601790200013</t>
  </si>
  <si>
    <t>ИП520601790200014</t>
  </si>
  <si>
    <t>607657 Нижегородская область город Кстово площадь Ленина дом 5   магазин "Алтын"</t>
  </si>
  <si>
    <t>ИП520601790200015</t>
  </si>
  <si>
    <t>607220 Нижегородская область город Арзамас проспект Ленина дом 119А</t>
  </si>
  <si>
    <t>ИП520601790200016</t>
  </si>
  <si>
    <t>607060 Нижегородская область город Выкса улица Ленина дом 17</t>
  </si>
  <si>
    <t>ИП520601790200018</t>
  </si>
  <si>
    <t>607181 Нижегородская область город Саров улица Московская дом 27   п/п № 109</t>
  </si>
  <si>
    <t>ИП520601790200020</t>
  </si>
  <si>
    <t>ИП520601790200022</t>
  </si>
  <si>
    <t>606106 Нижегородская область город Павлово переулок Правика дом 2а   Помещение № 5</t>
  </si>
  <si>
    <t>ИП520601790200024</t>
  </si>
  <si>
    <t>607183 Нижегородская область город Саров улица Московская дом 5 строение 1  помещение П2</t>
  </si>
  <si>
    <t>ИП520601790200027</t>
  </si>
  <si>
    <t>606440 Нижегородская область город Бор улица Ленина дом 113 Б</t>
  </si>
  <si>
    <t>ИП520601790200028</t>
  </si>
  <si>
    <t>ИП520601790200029</t>
  </si>
  <si>
    <t>603137 Нижегородская область город Нижний Новгород проспект Гагарина дом 105А   помещение П1</t>
  </si>
  <si>
    <t>ИП520601790200037</t>
  </si>
  <si>
    <t>603016 Нижегородская область город Нижний Новгород улица Веденяпина дом 2б   подпомещ. 43</t>
  </si>
  <si>
    <t>ИП520601790200038</t>
  </si>
  <si>
    <t>603016 Нижегородская область город Нижний Новгород улица Веденяпина дом 13   помещение П6</t>
  </si>
  <si>
    <t>ИП520601790200039</t>
  </si>
  <si>
    <t>606000 Нижегородская область город Дзержинск проспект Ленина дом 66</t>
  </si>
  <si>
    <t>ИП520601790200042</t>
  </si>
  <si>
    <t>607655 Нижегородская область город Кстово улица Ленина дом 5   магазин "SOKOLOV"</t>
  </si>
  <si>
    <t>ИП520601790200047</t>
  </si>
  <si>
    <t>603002 Нижегородская область город Нижний Новгород площадь Революции дом 9   Шах</t>
  </si>
  <si>
    <t>ИП520601790200052</t>
  </si>
  <si>
    <t>607650 Нижегородская область село Федяково улица Любимая строение 1</t>
  </si>
  <si>
    <t>ИП520601790200053</t>
  </si>
  <si>
    <t>603003 Нижегородская область город Нижний Новгород улица Коминтерна дом 117   магазин "Шах"</t>
  </si>
  <si>
    <t>ИП520601790200055</t>
  </si>
  <si>
    <t>607186 Нижегородская область город Саров улица Силкина дом 31</t>
  </si>
  <si>
    <t>ИП520601790200060</t>
  </si>
  <si>
    <t>606029 Нижегородская область город Дзержинск улица Гайдара дом 61   место 112в</t>
  </si>
  <si>
    <t>ИП Масланова Светлана Анатольевна</t>
  </si>
  <si>
    <t>526200403050</t>
  </si>
  <si>
    <t>ИП5206008901</t>
  </si>
  <si>
    <t>ИП520600890100000</t>
  </si>
  <si>
    <t>606120 Нижегородская область город Ворсма улица Ленина дом 129</t>
  </si>
  <si>
    <t>ИП520600890100004</t>
  </si>
  <si>
    <t>603002 Нижегородская область город Нижний Новгород улица Советская дом 12   часть нежилого втроено-пристроенного помещения №17</t>
  </si>
  <si>
    <t>ИП Власенко Елена Владимировна</t>
  </si>
  <si>
    <t>526201369606</t>
  </si>
  <si>
    <t>ИП5206001334</t>
  </si>
  <si>
    <t>ИП520600133400000</t>
  </si>
  <si>
    <t>603024 Нижегородская область город Нижний Новгород улица Белинского дом 124   1-27</t>
  </si>
  <si>
    <t>ИП520600133400004</t>
  </si>
  <si>
    <t>603024 Нижегородская область город Нижний Новгород Белинского 124   1-03/1</t>
  </si>
  <si>
    <t>ИП Копытова Татьяна Анатольевна</t>
  </si>
  <si>
    <t>526210426191</t>
  </si>
  <si>
    <t>ИП5206016271</t>
  </si>
  <si>
    <t>ИП520601627100005</t>
  </si>
  <si>
    <t>603141 Нижегородская область город Нижний Новгород улица Геологов дом 1   производственное помещение № 14</t>
  </si>
  <si>
    <t>ИП Меркулов Денис Евгеньевич</t>
  </si>
  <si>
    <t>526212060560</t>
  </si>
  <si>
    <t>ИП5206037059</t>
  </si>
  <si>
    <t>ИП520603705900000</t>
  </si>
  <si>
    <t>603004 Нижегородская область город Нижний Новгород проспект Октября дом 2А</t>
  </si>
  <si>
    <t>ИП Муратова Наталия Викторовна</t>
  </si>
  <si>
    <t>526222971699</t>
  </si>
  <si>
    <t>ИП5206004356</t>
  </si>
  <si>
    <t>ИП520600435600000</t>
  </si>
  <si>
    <t>603106 Нижегородская область город Нижний Новгород площадь Советская дом 3</t>
  </si>
  <si>
    <t>ООО "НАГОРНЫЙ"</t>
  </si>
  <si>
    <t>5262321201</t>
  </si>
  <si>
    <t>ЮЛ5206032019</t>
  </si>
  <si>
    <t>ЮЛ520603201900000</t>
  </si>
  <si>
    <t>606403 Нижегородская область город Балахна улица Лесопильная дом 1</t>
  </si>
  <si>
    <t>ИП Муравьев Сергей Борисович</t>
  </si>
  <si>
    <t>526300040957</t>
  </si>
  <si>
    <t>ИП5206031203</t>
  </si>
  <si>
    <t>ИП520603120300000</t>
  </si>
  <si>
    <t>607400 Нижегородская область город Перевоз проспект Советский дом 36</t>
  </si>
  <si>
    <t>ИП Герасимовский Алексей Викторович</t>
  </si>
  <si>
    <t>526300771280</t>
  </si>
  <si>
    <t>ИП5206003279</t>
  </si>
  <si>
    <t>ИП520600327900001</t>
  </si>
  <si>
    <t>607440 Нижегородская область рабочий поселок Бутурлино улица Ленина дом 99   2 этаж</t>
  </si>
  <si>
    <t>ИП520600327900003</t>
  </si>
  <si>
    <t>607700 Нижегородская область рабочий поселок Шатки улица Центральная дом 6</t>
  </si>
  <si>
    <t>ИП520600327900004</t>
  </si>
  <si>
    <t>607130 Нижегородская область рабочий поселок Ардатов улица Зуева дом 38а</t>
  </si>
  <si>
    <t>ИП520600327900005</t>
  </si>
  <si>
    <t>603158 Нижегородская область город Нижний Новгород Проспект Кораблестроителей дом 22 Б</t>
  </si>
  <si>
    <t>ИП Логинова Ирина Геннадьевна</t>
  </si>
  <si>
    <t>526308799009</t>
  </si>
  <si>
    <t>ИП5206019669</t>
  </si>
  <si>
    <t>ИП520601966900000</t>
  </si>
  <si>
    <t>603089 Нижегородская область город Нижний Новгород улица Полтавская дом 30   помещение П1</t>
  </si>
  <si>
    <t>ИП520601966900003</t>
  </si>
  <si>
    <t>603003 Нижегородская область город Нижний Новгород улица Коминтерна дом 168   Помещение П 4</t>
  </si>
  <si>
    <t>ООО "НИЖЕГОРОД ЛОМБАРД"</t>
  </si>
  <si>
    <t>5263089784</t>
  </si>
  <si>
    <t>ЮЛ5206010396</t>
  </si>
  <si>
    <t>ЮЛ520601039600000</t>
  </si>
  <si>
    <t>603128 Нижегородская область город Нижний Новгород проспект Кораблестроителей дом 4   Помещение П 9</t>
  </si>
  <si>
    <t>ЮЛ520601039600001</t>
  </si>
  <si>
    <t>603157 Нижегородская область город Нижний Новгород улица Страж Революции дом 3А   Помещение П 4</t>
  </si>
  <si>
    <t>ЮЛ520601039600002</t>
  </si>
  <si>
    <t>606408 Нижегородская область город Балахна улица Коммунистическая дом 2   Помещение П 16</t>
  </si>
  <si>
    <t>ЮЛ520601039600003</t>
  </si>
  <si>
    <t>606400 Нижегородская область город Балахна улица Дзержинского дом 1   Помещение П 5</t>
  </si>
  <si>
    <t>ЮЛ520601039600004</t>
  </si>
  <si>
    <t>606440 Нижегородская область город Бор улица Ленина дом 131  лит  П10(А)</t>
  </si>
  <si>
    <t>ЮЛ520601039600005</t>
  </si>
  <si>
    <t>603024 Нижегородская область город Нижний Новгород улица Белинского дом 124  Литер А 01-07</t>
  </si>
  <si>
    <t>ИП Парфенов Александр Германович</t>
  </si>
  <si>
    <t>526310090001</t>
  </si>
  <si>
    <t>ИП5206003331</t>
  </si>
  <si>
    <t>ИП520600333100000</t>
  </si>
  <si>
    <t>603000 Нижегородская область город Нижний Новгород улица Воровского дом 22   часть помещения 25</t>
  </si>
  <si>
    <t>ИП Перфилов Никита Сергеевич</t>
  </si>
  <si>
    <t>526310515007</t>
  </si>
  <si>
    <t>ИП7701039381</t>
  </si>
  <si>
    <t>ИП770103938100000</t>
  </si>
  <si>
    <t>603111 Нижегородская область город Нижний Новгород улица Плотникова дом 3А   1 этаж</t>
  </si>
  <si>
    <t>ИП770103938100001</t>
  </si>
  <si>
    <t>603003 Нижегородская область Город Нижний Новгород Улица Воровского Дом 22   Помещение 25</t>
  </si>
  <si>
    <t>ИП770100890900000</t>
  </si>
  <si>
    <t>603000 Нижегородская область Город Нижний Новгород Улица Большая Покровская Дом 82   1 этаж, Часть помещения П40</t>
  </si>
  <si>
    <t>ИП770100890900001</t>
  </si>
  <si>
    <t>603126 Нижегородская область Город Нижний Новгород Улица Родионова Дом 187,187В   этаж 1, Помещение П2 Секция 276/1</t>
  </si>
  <si>
    <t>ИП770100890900002</t>
  </si>
  <si>
    <t>603126 Нижегородская область Город Нижний Новгород Улица Родионова Дом 187,187В   этаж 1, Помещение П2, торговое место №033</t>
  </si>
  <si>
    <t>ИП770100890900003</t>
  </si>
  <si>
    <t>603093 Нижегородская область город Нижний Новгород улица Родионова дом 187В  литер Е этаж1, секция 291</t>
  </si>
  <si>
    <t>ИП770100890900005</t>
  </si>
  <si>
    <t>603003 Нижегородская область город Нижний Новгород улица Коминтерна дом 105   этаж 2, помещение П1</t>
  </si>
  <si>
    <t>ИП770100890900006</t>
  </si>
  <si>
    <t>603095 Нижегородская область город Нижний Новгород улица Дьяконова дом 11а   этаж 1</t>
  </si>
  <si>
    <t>ИП770100890900007</t>
  </si>
  <si>
    <t>607183 Нижегородская область город Саров улица Московская дом 5 строение 1   этаж 2, помещение П 2</t>
  </si>
  <si>
    <t>ИП770100890900008</t>
  </si>
  <si>
    <t>603000 Нижегородская область город Нижний Новгород Проспект Молодежный дом 2а   этаж 1,  часть нежилого помещения П6</t>
  </si>
  <si>
    <t>ИП770100890900009</t>
  </si>
  <si>
    <t>607180 Нижегородская область город Саров улица Арзамасская дом 3   этаж 1, помещение П1,  торговое место 49</t>
  </si>
  <si>
    <t>ИП770100890900010</t>
  </si>
  <si>
    <t>ИП770100890900013</t>
  </si>
  <si>
    <t>607650 Нижегородская область город Кстово площадь Ленина  дом 5А</t>
  </si>
  <si>
    <t>ИП770100890900014</t>
  </si>
  <si>
    <t>606440 Нижегородская область город Бор улица Ленина дом 113Б    торговое место А11,А11а</t>
  </si>
  <si>
    <t>ИП770100890900016</t>
  </si>
  <si>
    <t>603022 Нижегородская область город Нижний Новгород улица Большая Покровская дом 82   подпомещение 37</t>
  </si>
  <si>
    <t>ИП770100890900017</t>
  </si>
  <si>
    <t>606000 Нижегородская область город Дзержинск улица Гайдара  дом 61   торг. место №115</t>
  </si>
  <si>
    <t>ИП770100890900018</t>
  </si>
  <si>
    <t>603000 Нижегородская область город Нижний Новгород улица Воровского дом 22   П24</t>
  </si>
  <si>
    <t>ИП770100890900019</t>
  </si>
  <si>
    <t>606440 Нижегородская область город Бор улица Ленина дом 113Б    торговое место А11а,А11</t>
  </si>
  <si>
    <t>ИП770100890900020</t>
  </si>
  <si>
    <t>607180 Нижегородская область город Саров улица Московская  дом 5 стр.1  подпомещение П2 торговое место №10а</t>
  </si>
  <si>
    <t>ИП770100890900021</t>
  </si>
  <si>
    <t>607185 Нижегородская область город Саров улица Арзамасская дом 3   торговое место 49а</t>
  </si>
  <si>
    <t>ИП770100890900022</t>
  </si>
  <si>
    <t>603003 Нижегородская область город Нижний Новгород улица Коминтерна дом 117   1 этаж</t>
  </si>
  <si>
    <t>ИП770100890900023</t>
  </si>
  <si>
    <t>603065 Нижегородская область город Нижний Новгород улица Дьяконова дом 11а   1 этаж</t>
  </si>
  <si>
    <t>ИП770100890900024</t>
  </si>
  <si>
    <t>ИП Королева Оксана Сергеевна</t>
  </si>
  <si>
    <t>526312522779</t>
  </si>
  <si>
    <t>ИП5206003633</t>
  </si>
  <si>
    <t>ИП520600363300000</t>
  </si>
  <si>
    <t>ООО "ЛОМБАРД РИВЬЕРА НН"</t>
  </si>
  <si>
    <t>5263154031</t>
  </si>
  <si>
    <t>ЮЛ5206037233</t>
  </si>
  <si>
    <t>ЮЛ520603723300001</t>
  </si>
  <si>
    <t>ЮЛ520603723300002</t>
  </si>
  <si>
    <t>ЮЛ520603723300003</t>
  </si>
  <si>
    <t>ЮЛ520603723300004</t>
  </si>
  <si>
    <t>ЮЛ520603723300005</t>
  </si>
  <si>
    <t>ЮЛ520603723300006</t>
  </si>
  <si>
    <t>603009 Нижегородская область город Нижний Новгород проспект Гагарина дом 118   помещение 12</t>
  </si>
  <si>
    <t>ИП Иванова Динара Суннатовна</t>
  </si>
  <si>
    <t>526318550420</t>
  </si>
  <si>
    <t>ИП5206037870</t>
  </si>
  <si>
    <t>ИП520603787000000</t>
  </si>
  <si>
    <t>603095 Нижегородская область город Нижний Новгород улица Дьяконова дом 24А   помещение 5</t>
  </si>
  <si>
    <t>ИП Пискун Дмитрий Александрович</t>
  </si>
  <si>
    <t>526319928425</t>
  </si>
  <si>
    <t>ИП5206033986</t>
  </si>
  <si>
    <t>ИП520603398600000</t>
  </si>
  <si>
    <t>603093 Нижегородская область город Нижний Новгород улица Родионова дом 187   помещение 2 место 036</t>
  </si>
  <si>
    <t>ИП610400426600008</t>
  </si>
  <si>
    <t>603071 Нижегородская область город Нижний Новгород улица Бетанкура дом 1   помещение 362</t>
  </si>
  <si>
    <t>ИП610400426600009</t>
  </si>
  <si>
    <t>603010 Нижегородская область город Нижний Новгород улица Обухова дом 45   помещение 4</t>
  </si>
  <si>
    <t>ООО "ТЕРРА"</t>
  </si>
  <si>
    <t>6154152484</t>
  </si>
  <si>
    <t>ЮЛ6104009879</t>
  </si>
  <si>
    <t>ЮЛ610400987900000</t>
  </si>
  <si>
    <t>603128 Нижегородская область город Нижний Новгород проспект Кораблестроителей дом 4   помещение П2</t>
  </si>
  <si>
    <t>ЮЛ630603037200032</t>
  </si>
  <si>
    <t>606031 Нижегородская область город Дзержинск проспект Циолковского дом 75/1</t>
  </si>
  <si>
    <t>ЮЛ630603037200046</t>
  </si>
  <si>
    <t>ЮЛ630603037200051</t>
  </si>
  <si>
    <t>603142 Нижегородская область город Нижний Новгород улица Мончегорская дом 7А   помещение 81</t>
  </si>
  <si>
    <t>ЮЛ630603037200053</t>
  </si>
  <si>
    <t>603035 Нижегородская область город Нижний Новгород улица Чаадаева дом 26   помещение П1</t>
  </si>
  <si>
    <t>ЮЛ630603037200058</t>
  </si>
  <si>
    <t>603003 Нижегородская область город Нижний Новгород улица Ефремова у дома № 3</t>
  </si>
  <si>
    <t>ЮЛ630603037200110</t>
  </si>
  <si>
    <t>603002 Нижегородская область город Нижний Новгород улица Луначарского дом 25   помещение П5</t>
  </si>
  <si>
    <t>ООО "ЛОМБАРД АЗИМУТ"</t>
  </si>
  <si>
    <t>6382093679</t>
  </si>
  <si>
    <t>ЮЛ6306032474</t>
  </si>
  <si>
    <t>ЮЛ630603247400001</t>
  </si>
  <si>
    <t>603083 Нижегородская область город Нижний Новгород шоссе Южное дом 41   помещение П18</t>
  </si>
  <si>
    <t>ЮЛ630603247400002</t>
  </si>
  <si>
    <t>603079 Нижегородская область город Нижний Новгород шоссе Московское дом 175   помещение П3</t>
  </si>
  <si>
    <t>ЮЛ630603247400003</t>
  </si>
  <si>
    <t>603128 Нижегородская область город Нижний Новгород проспект Кораблестроителей дом 3   помещение П1</t>
  </si>
  <si>
    <t>ЮЛ630603247400004</t>
  </si>
  <si>
    <t>603124 Нижегородская область город Нижний Новгород переулок Камчатский дом 7   помещение П53</t>
  </si>
  <si>
    <t>ЮЛ630603247400005</t>
  </si>
  <si>
    <t>603002 Нижегородская область город Нижний Новгород улица Чкалова дом 7   помещение П25в</t>
  </si>
  <si>
    <t>ЮЛ630603247400006</t>
  </si>
  <si>
    <t>603073 Нижегородская область город Нижний Новгород проспект Ленина дом 64   помещение ВП7</t>
  </si>
  <si>
    <t>ЮЛ630603247400007</t>
  </si>
  <si>
    <t>603016 Нижегородская область город Нижний Новгород улица Лескова дом 2   помещение П8</t>
  </si>
  <si>
    <t>ЮЛ630603247400008</t>
  </si>
  <si>
    <t>603146 Нижегородская область город Нижний Новгород улица Бекетова дом 57   помещение П2</t>
  </si>
  <si>
    <t>ЮЛ630603247400009</t>
  </si>
  <si>
    <t>603003 Нижегородская область город Нижний Новгород улица Коминтерна дом 164   помещение П4</t>
  </si>
  <si>
    <t>ЮЛ630603247400010</t>
  </si>
  <si>
    <t>603142 Нижегородская область город Нижний Новгород улица Маковского дом 21   помещение П001</t>
  </si>
  <si>
    <t>ЮЛ630603247400011</t>
  </si>
  <si>
    <t>603076 Нижегородская область город Нижний Новгород проспект Ленина дом 44   помещение ВП2</t>
  </si>
  <si>
    <t>ЮЛ630603247400012</t>
  </si>
  <si>
    <t>603098 Нижегородская область город Нижний Новгород улица Бекетова дом 24/2   помещение П7</t>
  </si>
  <si>
    <t>ЮЛ630603247400013</t>
  </si>
  <si>
    <t>603006 Нижегородская область город Нижний Новгород улица Ошарская дом 21   помещение П4/2</t>
  </si>
  <si>
    <t>ЮЛ630603247400014</t>
  </si>
  <si>
    <t>603105 Нижегородская область город Нижний Новгород улица Ванеева дом 19   помещение П5</t>
  </si>
  <si>
    <t>ЮЛ630603247400015</t>
  </si>
  <si>
    <t>603137 Нижегородская область город Нижний Новгород проспект Гагарина дом 111   помещение П12</t>
  </si>
  <si>
    <t>ЮЛ630603247400016</t>
  </si>
  <si>
    <t>603070 Нижегородская область город Нижний Новгород улица Сергея Акимова дом 5   помещение П16</t>
  </si>
  <si>
    <t>ЮЛ630603247400017</t>
  </si>
  <si>
    <t>603043 Нижегородская область город Нижний Новгород проспект Октября дом 18   помещение  П17</t>
  </si>
  <si>
    <t>ЮЛ630603247400018</t>
  </si>
  <si>
    <t>603095 Нижегородская область город Нижний Новгород улица Дьяконова дом 9   помещение П12</t>
  </si>
  <si>
    <t>ЮЛ630603247400019</t>
  </si>
  <si>
    <t>603003 Нижегородская область город Нижний Новгород улица Коминтерна дом 168   помещение 9</t>
  </si>
  <si>
    <t>ЮЛ630603247400020</t>
  </si>
  <si>
    <t>603093 Нижегородская область город Нижний Новгород улица Родионова дом187, 187В   помещение 2 секция 152</t>
  </si>
  <si>
    <t>ИП Подкопаева Елена Сергеевна</t>
  </si>
  <si>
    <t>644920549591</t>
  </si>
  <si>
    <t>ИП5001014241</t>
  </si>
  <si>
    <t>ИП500101424100000</t>
  </si>
  <si>
    <t>603001 Нижегородская область город Нижний Новгород улица Рождественская дом 11 помещение П3   помещения 58 и 60</t>
  </si>
  <si>
    <t>ЮЛ660701304200013</t>
  </si>
  <si>
    <t>603000 Нижегородская область ГОРОД НИЖНИЙ НОВГОРОД УЛИЦА ГЕНЕРАЛА ИВЛИЕВА ДОМ 39   ПОМЕЩЕНИЕ 8</t>
  </si>
  <si>
    <t>ИП Якушев Сергей Александрович</t>
  </si>
  <si>
    <t>690504500006</t>
  </si>
  <si>
    <t>ИП6901031984</t>
  </si>
  <si>
    <t>ИП690103198400000</t>
  </si>
  <si>
    <t>603000 Нижегородская область город Нижний Новгород улица Большая Покровская дом 9Б   часть помещения П 8</t>
  </si>
  <si>
    <t>ЮЛ760201041800010</t>
  </si>
  <si>
    <t>603093 Нижегородская область город Нижний Новгород улица Родионова дом 187В</t>
  </si>
  <si>
    <t>ЮЛ770100419400069</t>
  </si>
  <si>
    <t>ЮЛ770100419400071</t>
  </si>
  <si>
    <t>603159 Нижегородская область город Нижний Новгород улица Бетанкура дом 1</t>
  </si>
  <si>
    <t>ЮЛ770100419400072</t>
  </si>
  <si>
    <t>603022 Нижегородская область Нижний Новгород Большая Покровская дом 82 - - помещение П40</t>
  </si>
  <si>
    <t>ЮЛ770100419400231</t>
  </si>
  <si>
    <t>603087 Нижегородская область город Нижний Новгород шоссе  Казанское  дом 11   помещение 2 (секция №127)</t>
  </si>
  <si>
    <t>ИП770100654700011</t>
  </si>
  <si>
    <t>606029 Нижегородская область город Дзержинск улица Гайдара дом 61   помещения 71,72</t>
  </si>
  <si>
    <t>ЮЛ770100193500015</t>
  </si>
  <si>
    <t>603137 Нижегородская область город Нижний Новгород проспект Гагарина дом 105А   1 (первый) этаж, часть помещения П1, подпомещение 64</t>
  </si>
  <si>
    <t>ЮЛ770100193500079</t>
  </si>
  <si>
    <t>607686 Нижегородская область село Федяково улица Любимая  строение 1 литера А 2 этаж, помещение 6092</t>
  </si>
  <si>
    <t>ЮЛ770100193500185</t>
  </si>
  <si>
    <t>603159 Нижегородская область город Нижний Новгород улица Бетанкура дом 1   секция 60, подпомещения  407,408,409, 1 этаж</t>
  </si>
  <si>
    <t>ЮЛ770100193500186</t>
  </si>
  <si>
    <t>603028 Нижегородская область город Нижний Новгород шоссе Московское дом 12    помещение А 19-20</t>
  </si>
  <si>
    <t>ЮЛ770100193500187</t>
  </si>
  <si>
    <t>603002 Нижегородская область город Нижний Новгород площадь Революции дом 9   часть помещения 4</t>
  </si>
  <si>
    <t>ЮЛ770100193500188</t>
  </si>
  <si>
    <t>ЮЛ770100193500190</t>
  </si>
  <si>
    <t>603022 Нижегородская область город Нижний Новгород улица Большая Покровская дом 82   часть помещения П3, часть подпомещения 66а, секция КА10х, 1 (первый) этаж</t>
  </si>
  <si>
    <t>ЮЛ770100193500191</t>
  </si>
  <si>
    <t>603093 Нижегородская область город Нижний Новгород улица Родионова дом 187, 187в   помещение 2, подпомещение 35, часть подпомещения 36, этаж 1</t>
  </si>
  <si>
    <t>ЮЛ770100193500192</t>
  </si>
  <si>
    <t>603106 Нижегородская область город Нижний Новгород площадь Советская дом 5   этаж 1, часть подпомещения 10 помещения П2</t>
  </si>
  <si>
    <t>ЮЛ770100193500194</t>
  </si>
  <si>
    <t>603003 Нижегородская область город Нижний Новгород улица Коминтерна дом 115   помещение  П33, П35</t>
  </si>
  <si>
    <t>ЮЛ770100193500195</t>
  </si>
  <si>
    <t>603004 Нижегородская область город Нижний Новгород проспект Ленина дом 108   часть нежилого помещения П1, секция №102, этаж 1 (первый)</t>
  </si>
  <si>
    <t>ЮЛ770100193500546</t>
  </si>
  <si>
    <t>607220 Нижегородская область город Арзамас проспект Ленина дом 121А   1 этаж</t>
  </si>
  <si>
    <t>ЮЛ770100193500551</t>
  </si>
  <si>
    <t>606100 Нижегородская область город Павлово улица Красноармейская дом 33 строение 1  часть нежилого помещения № 20, этаж 1 (первый)</t>
  </si>
  <si>
    <t>ЮЛ770100193500621</t>
  </si>
  <si>
    <t>603157 Нижегородская область город Нижний Новгород улица Коминтерна дом 11  литер А часть комнаты №38, этаж 1 (первый)</t>
  </si>
  <si>
    <t>ЮЛ770100193500734</t>
  </si>
  <si>
    <t>603111 Нижегородская область город Нижний Новгород улица Плотникова дом 3А   этаж 1 (первый)</t>
  </si>
  <si>
    <t>ЮЛ770100193500738</t>
  </si>
  <si>
    <t>603022 Нижегородская область город Нижний Новгород улица Большая Покровская дом 82   часть помещения П40, подпомещение 14, 1 (первый) этаж</t>
  </si>
  <si>
    <t>ЮЛ770100193500834</t>
  </si>
  <si>
    <t>603123 Нижегородская область город Нижний Новгород шоссе Южное дом 2Г   часть помещения П 16, 1 (первый) этаж</t>
  </si>
  <si>
    <t>ЮЛ770100193500870</t>
  </si>
  <si>
    <t>603056 Нижегородская область пос Аэропорт  дом 2   помещение 35, 35а</t>
  </si>
  <si>
    <t>ЮЛ160600373100007</t>
  </si>
  <si>
    <t>603000 Нижегородская область город Нижний Новгород улица Ульянова дом 5   Помещение П8, этаж 1</t>
  </si>
  <si>
    <t>ИП780300136300012</t>
  </si>
  <si>
    <t>603065 Нижегородская область город Нижний Новгород улица Дьяконова дом 23   помещения 1, 5, 6, 7, 8, 9, 10</t>
  </si>
  <si>
    <t>ЮЛ780300323500069</t>
  </si>
  <si>
    <t>603003 Нижегородская область город Нижний Новгород улица Коминтерна дом 115   помещение П22</t>
  </si>
  <si>
    <t>ЮЛ780300308200056</t>
  </si>
  <si>
    <t>607220 Нижегородская область город Арзамас проспект Ленина дом 121а</t>
  </si>
  <si>
    <t>ЮЛ780300308200137</t>
  </si>
  <si>
    <t>607651 Нижегородская область город Кстово улица 40 лет Октября дом 14</t>
  </si>
  <si>
    <t>ЮЛ780300308200209</t>
  </si>
  <si>
    <t>607686 Нижегородская область село Федяково улица Любимая  строение 1  помещение 166</t>
  </si>
  <si>
    <t>ЮЛ780300308200262</t>
  </si>
  <si>
    <t>603034 Нижегородская область город Нижний Новгород улица Ленина дом 33   помещение П2</t>
  </si>
  <si>
    <t>ЮЛ780300308200287</t>
  </si>
  <si>
    <t>607183 Нижегородская область город Саров улица Московская дом 6   помещение П2</t>
  </si>
  <si>
    <t>ЮЛ780300308200454</t>
  </si>
  <si>
    <t>606408 Нижегородская область город Балахна улица Коммунистическая дом 2   помещение 17</t>
  </si>
  <si>
    <t>ЮЛ780300308200573</t>
  </si>
  <si>
    <t>603071 Нижегородская область город Нижний Новгород улица Бетанкура дом 1   часть подпомещения №379, секция условный номер 69</t>
  </si>
  <si>
    <t>ЮЛ780300308200627</t>
  </si>
  <si>
    <t>607186 Нижегородская область городской округ ЗАТО,город Саров улица Силкина дом 31   часть нежилого помещения № 101</t>
  </si>
  <si>
    <t>ЮЛ780300308200657</t>
  </si>
  <si>
    <t>607220 Нижегородская область город Арзамас улица Калинина дом 46 литер Т, Т1   часть нежилого помещения №25</t>
  </si>
  <si>
    <t>ЮЛ780300308200802</t>
  </si>
  <si>
    <t>606025 Нижегородская область город Дзержинск проспект Циолковского дом 29   помещение П1</t>
  </si>
  <si>
    <t>ЮЛ780300308200803</t>
  </si>
  <si>
    <t>603004 Нижегородская область город Нижний Новгород проспект Ленина дом 108   часть нежилого помещения П1, а именно: секция №106</t>
  </si>
  <si>
    <t>ЮЛ780300308201211</t>
  </si>
  <si>
    <t>603065 Нижегородская область город Нижний Новгород улица Дьяконова дом 23</t>
  </si>
  <si>
    <t>ЮЛ780300363500031</t>
  </si>
  <si>
    <t>603028 Нижегородская область город Нижний Новгород шоссе Московское дом 12   помещение А7</t>
  </si>
  <si>
    <t>ЮЛ780301261200018</t>
  </si>
  <si>
    <t>603093 Нижегородская область город Нижний Новгород улица Родионова дом 187   чп 275/1</t>
  </si>
  <si>
    <t>ЮЛ780301261200071</t>
  </si>
  <si>
    <t>603001 Нижегородская область город Нижний Новгород улица Кожевенная дом 1-1а   Помещение 9</t>
  </si>
  <si>
    <t>ООО "ПЬЕТРА"</t>
  </si>
  <si>
    <t>7838046398</t>
  </si>
  <si>
    <t>ЮЛ5206003131</t>
  </si>
  <si>
    <t>ЮЛ520600313100000</t>
  </si>
  <si>
    <t>603000 Нижегородская область город Нижний Новгород улица Минина дом 3А   помещение 9 этаж 1</t>
  </si>
  <si>
    <t>ЮЛ900403653600003</t>
  </si>
  <si>
    <t>603022 Нижегородская область город Нижний Новгород улица Большая Покровская дом 82</t>
  </si>
  <si>
    <t>ИП820400991100011</t>
  </si>
  <si>
    <t>603093 Нижегородская область город Нижний Новгород улица Родионова дом 187, 187в   подпомещение 229</t>
  </si>
  <si>
    <t>ЮЛ770100668800001</t>
  </si>
  <si>
    <t>603002 Нижегородская область город Нижний Новгород площадь Революции дом 9   часть нежилого помещения № 4</t>
  </si>
  <si>
    <t>ЮЛ770100439200273</t>
  </si>
  <si>
    <t>603000 Нижегородская область город Нижний Новгород переулок Холодный дом 10а   помещ П20/офис № 3.3</t>
  </si>
  <si>
    <t>ЮЛ770100029500004</t>
  </si>
  <si>
    <t>Новгородская область</t>
  </si>
  <si>
    <t>173009 Новгородская область город Великий Новгород улица Псковская дом 13</t>
  </si>
  <si>
    <t>ИП Ткачук Олег Александрович</t>
  </si>
  <si>
    <t>441500015814</t>
  </si>
  <si>
    <t>ИП5303003850</t>
  </si>
  <si>
    <t>ИП530300385000000</t>
  </si>
  <si>
    <t>175400 Новгородская область город Валдай улица Октябрьская дом 20/21</t>
  </si>
  <si>
    <t>ИП Репина Наталия Ивановна</t>
  </si>
  <si>
    <t>530200022043</t>
  </si>
  <si>
    <t>ИП5303014657</t>
  </si>
  <si>
    <t>ИП530301465700000</t>
  </si>
  <si>
    <t>175400 Новгородская область город Валдай проспект Комсомольский дом 51а</t>
  </si>
  <si>
    <t>ИП530301465700002</t>
  </si>
  <si>
    <t>174260 Новгородская область город Малая Вишера 50 лет Октября 13а   офис 1</t>
  </si>
  <si>
    <t>ИП Павлова Ирина Александровна</t>
  </si>
  <si>
    <t>530701258040</t>
  </si>
  <si>
    <t>ИП5303013685</t>
  </si>
  <si>
    <t>ИП530301368500000</t>
  </si>
  <si>
    <t>174510 Новгородская область г. Пестово Вокзальная 11Б нет нет нет</t>
  </si>
  <si>
    <t>ИП Чуркин Юрий Анатольевич</t>
  </si>
  <si>
    <t>531300002885</t>
  </si>
  <si>
    <t>ИП5303004219</t>
  </si>
  <si>
    <t>ИП530300421900000</t>
  </si>
  <si>
    <t>175040 Новгородская область город Сольцы улица Луначарского дом 7</t>
  </si>
  <si>
    <t>ИП Дубинин И.Г.</t>
  </si>
  <si>
    <t>531500013147</t>
  </si>
  <si>
    <t>ИП5303007366</t>
  </si>
  <si>
    <t>ИП530300736600000</t>
  </si>
  <si>
    <t>175040 Новгородская область город Сольцы СОВЕТСКИЙ ПРОСПЕКТ 22</t>
  </si>
  <si>
    <t>ООО "ТД СОЛЬЦЫ"</t>
  </si>
  <si>
    <t>5315005690</t>
  </si>
  <si>
    <t>ЮЛ5303010205</t>
  </si>
  <si>
    <t>ЮЛ530301020500000</t>
  </si>
  <si>
    <t>174411 Новгородская область Боровичи Володарского 12А</t>
  </si>
  <si>
    <t>ИП Киселев Валентин Валентинович</t>
  </si>
  <si>
    <t>532000144009</t>
  </si>
  <si>
    <t>ИП5303007625</t>
  </si>
  <si>
    <t>ИП530300762500000</t>
  </si>
  <si>
    <t>174406 Новгородская область Боровичи Пушкинская 43</t>
  </si>
  <si>
    <t>ИП530300762500001</t>
  </si>
  <si>
    <t>174411 Новгородская область город Боровичи улица Дзержинского дом 31</t>
  </si>
  <si>
    <t>ООО ДИАМАНТ</t>
  </si>
  <si>
    <t>5320016961</t>
  </si>
  <si>
    <t>ЮЛ5303011804</t>
  </si>
  <si>
    <t>ЮЛ530301180400000</t>
  </si>
  <si>
    <t>175310 Новгородская область рабочий поселок Демянск Ленина 15</t>
  </si>
  <si>
    <t>ИП Воронина Ирина Борисовна</t>
  </si>
  <si>
    <t>532005233654</t>
  </si>
  <si>
    <t>ИП5303017757</t>
  </si>
  <si>
    <t>ИП530301775700000</t>
  </si>
  <si>
    <t>175200 Новгородская область город Старая Русса улица Александровская дом 16   помещения 1,5,6,7 в помещении 2</t>
  </si>
  <si>
    <t>ИП Леонтьева Татьяна Викторовна</t>
  </si>
  <si>
    <t>532100063025</t>
  </si>
  <si>
    <t>ИП5303033476</t>
  </si>
  <si>
    <t>ИП530303347600000</t>
  </si>
  <si>
    <t>173016 Новгородская область город Великий Новгород улица Ломоносова дом 29   помещение 1.33</t>
  </si>
  <si>
    <t>ИП530303347600001</t>
  </si>
  <si>
    <t>173025 Новгородская область город Великий Новгород улица Попова дом 10</t>
  </si>
  <si>
    <t>ИП Григорян Володя Николаевич</t>
  </si>
  <si>
    <t>532100931680</t>
  </si>
  <si>
    <t>ИП5303015572</t>
  </si>
  <si>
    <t>ИП530301557200000</t>
  </si>
  <si>
    <t>175202 Новгородская область город Старая Русса площадь Соборная дом 5/1</t>
  </si>
  <si>
    <t>ИП Комбарова Евгения Олеговна</t>
  </si>
  <si>
    <t>532102332315</t>
  </si>
  <si>
    <t>ИП5303004552</t>
  </si>
  <si>
    <t>ИП530300455200000</t>
  </si>
  <si>
    <t>173000 Новгородская область город Великий Новгород Воскресенский бульвар  Дом 1</t>
  </si>
  <si>
    <t>ИП Левандивская Дарья Анатольевна</t>
  </si>
  <si>
    <t>532102496264</t>
  </si>
  <si>
    <t>ИП5303006047</t>
  </si>
  <si>
    <t>ИП530300604700000</t>
  </si>
  <si>
    <t>173020 Новгородская область город Великий Новгород улица Большая Московская дом 124   торговый зал 8</t>
  </si>
  <si>
    <t>ИП Степанов Иван Павлович</t>
  </si>
  <si>
    <t>532102712839</t>
  </si>
  <si>
    <t>ИП5303003714</t>
  </si>
  <si>
    <t>ИП530300371400000</t>
  </si>
  <si>
    <t>173003 Новгородская область город Великий Новгород улица Великая дом 22</t>
  </si>
  <si>
    <t>ИП Алёшин Максим Генрихович</t>
  </si>
  <si>
    <t>532102936645</t>
  </si>
  <si>
    <t>ИП5303008668</t>
  </si>
  <si>
    <t>ИП530300866800000</t>
  </si>
  <si>
    <t>173001 Новгородская область город Великий Новгород улица Большая Санкт-Петербургская 10</t>
  </si>
  <si>
    <t>ИП Шемякина Елена Вячеславовна</t>
  </si>
  <si>
    <t>532107876630</t>
  </si>
  <si>
    <t>ИП5303003328</t>
  </si>
  <si>
    <t>ИП530300332800000</t>
  </si>
  <si>
    <t>173025 Новгородская область Великий Новгород Ломоносова 29   1,68 1 этаж</t>
  </si>
  <si>
    <t>ИП Кузьмина Людмила Анатольевна</t>
  </si>
  <si>
    <t>532113653504</t>
  </si>
  <si>
    <t>ИП5303011760</t>
  </si>
  <si>
    <t>ИП530301176000000</t>
  </si>
  <si>
    <t>173003 Новгородская область город Великий Новгород улица Большая Санкт-Петербургская дом 39   секция 129 в</t>
  </si>
  <si>
    <t>ИП Федоров Эдуард Александрович</t>
  </si>
  <si>
    <t>532114289953</t>
  </si>
  <si>
    <t>ИП4402033224</t>
  </si>
  <si>
    <t>ИП440203322400000</t>
  </si>
  <si>
    <t>173003 Новгородская область город Великий Новгород набережная р. Гзень 5   помещения 212 А, 212 В</t>
  </si>
  <si>
    <t>ИП440203322400002</t>
  </si>
  <si>
    <t>173020 Новгородская область город Великий Новгород улица Большая Московская 59    помещения 1,5</t>
  </si>
  <si>
    <t>ИП440203322400003</t>
  </si>
  <si>
    <t>173001 Новгородская область город Великий Новгород улица Газон дом 5/2</t>
  </si>
  <si>
    <t>ООО "ФАРФОР"</t>
  </si>
  <si>
    <t>5321169350</t>
  </si>
  <si>
    <t>ЮЛ5303012852</t>
  </si>
  <si>
    <t>ЮЛ530301285200000</t>
  </si>
  <si>
    <t>173000 Новгородская область город Великий Новгород улица Фёдоровский Ручей дом 2/13   Офис 201</t>
  </si>
  <si>
    <t>ИП Горбачев Дмитрий Валерьевич</t>
  </si>
  <si>
    <t>532120348808</t>
  </si>
  <si>
    <t>ИП5303003302</t>
  </si>
  <si>
    <t>ИП530300330200000</t>
  </si>
  <si>
    <t>173003 Новгородская область город Великий Новгород улица Большая Санкт-Петербургская дом 39   секция 130</t>
  </si>
  <si>
    <t>ИП530300330200001</t>
  </si>
  <si>
    <t>175204 Новгородская область город Старая Русса улица Крестецкая дом 25   помещение 2Н</t>
  </si>
  <si>
    <t>ООО "ЗЛАТАРЬ"</t>
  </si>
  <si>
    <t>5322015650</t>
  </si>
  <si>
    <t>ЮЛ5303014937</t>
  </si>
  <si>
    <t>ЮЛ530301493700000</t>
  </si>
  <si>
    <t>174411 Новгородская область город Боровичи площадь Володарского дом 12а</t>
  </si>
  <si>
    <t>ИП Газарян Виталий Валерьевич</t>
  </si>
  <si>
    <t>615524269120</t>
  </si>
  <si>
    <t>ИП7803012237</t>
  </si>
  <si>
    <t>ИП780301223700000</t>
  </si>
  <si>
    <t>174411 Новгородская область Боровичи Кропоткина 5А   9-Н</t>
  </si>
  <si>
    <t>ИП780301223700001</t>
  </si>
  <si>
    <t>173016 Новгородская область город Великий Новгород улица Ломоносова дом 29 - - Помещение 1.68</t>
  </si>
  <si>
    <t>ЮЛ760201190700027</t>
  </si>
  <si>
    <t>173003 Новгородская область город Великий Новгород улица Большая Санкт-Петербургская дом 42   1 (первый) этаж</t>
  </si>
  <si>
    <t>ЮЛ770100201500524</t>
  </si>
  <si>
    <t>174210 Новгородская область город Чудово улица Октябрьская дом 4/1   часть нежилого помещения №1, этаж 1 (первый)</t>
  </si>
  <si>
    <t>ЮЛ770100201500629</t>
  </si>
  <si>
    <t>173016 Новгородская область город Великий Новгород улица Ломоносова дом 29   нежилое помещение 1.14, этаж 1</t>
  </si>
  <si>
    <t>ЮЛ770101216600133</t>
  </si>
  <si>
    <t>173009 Новгородская область город Великий Новгород улица Псковская дом 33   этаж 1, часть помещения объекта № 1/107</t>
  </si>
  <si>
    <t>ЮЛ770101216600642</t>
  </si>
  <si>
    <t>173003 Новгородская область город Великий Новгород улица Большая Санкт-Петербургская дом 25   1 этаж</t>
  </si>
  <si>
    <t>ЮЛ770100193500196</t>
  </si>
  <si>
    <t>174210 Новгородская область город Чудово улица Октябрьская дом 4/1   помещение № 1</t>
  </si>
  <si>
    <t>ЮЛ770100193500499</t>
  </si>
  <si>
    <t>173016 Новгородская область город Великий Новгород улица Ломоносова дом 29   помещение 1.30, первый этаж</t>
  </si>
  <si>
    <t>ЮЛ770100193500861</t>
  </si>
  <si>
    <t>173003 Новгородская область город Великий Новгород улица Большая Санкт-Петербургская дом 42   помещение встроенное, 1 (первый) этаж</t>
  </si>
  <si>
    <t>ЮЛ770100193500916</t>
  </si>
  <si>
    <t>173020 Новгородская область город Великий Новгород улица Большая Московская дом 112а   часть нежилого помещения №10</t>
  </si>
  <si>
    <t>ЮЛ780300131300263</t>
  </si>
  <si>
    <t>173001 Новгородская область город Великий Новгород улица Газон дом 5/2   магазин "Алмаз"</t>
  </si>
  <si>
    <t>ЮЛ780300179700008</t>
  </si>
  <si>
    <t>173000 Новгородская область город Великий Новгород улица Большая Санкт-Петербургская 1/7   этаж 1</t>
  </si>
  <si>
    <t>ООО "ЮК НОВГОРОД"</t>
  </si>
  <si>
    <t>7811180981</t>
  </si>
  <si>
    <t>ЮЛ5303005473</t>
  </si>
  <si>
    <t>ЮЛ530300547300000</t>
  </si>
  <si>
    <t>173003 Новгородская область город Великий Новгород улица Большая Санкт-Петербургская дом 34   помещения 6-17, 1-3</t>
  </si>
  <si>
    <t>ЮЛ780300323500042</t>
  </si>
  <si>
    <t>174411 Новгородская область город Боровичи улица Подбельского дом 17  Б</t>
  </si>
  <si>
    <t>ЮЛ780300323500046</t>
  </si>
  <si>
    <t>173024 Новгородская область город Великий Новгород улица Свободы дом 14</t>
  </si>
  <si>
    <t>ЮЛ780300323500077</t>
  </si>
  <si>
    <t>173020 Новгородская область город Великий Новгород улица Большая Московская дом 112а   помещение 10</t>
  </si>
  <si>
    <t>ЮЛ780300308200008</t>
  </si>
  <si>
    <t>173016 Новгородская область город Великий Новгород улица Ломоносова дом 29   нежилое помещение 1.12</t>
  </si>
  <si>
    <t>ЮЛ780300308200009</t>
  </si>
  <si>
    <t>174411 Новгородская область город Боровичи улица Подбельского дом 19</t>
  </si>
  <si>
    <t>ЮЛ780300308200042</t>
  </si>
  <si>
    <t>174210 Новгородская область город Чудово улица Октябрьская дом 5/2   помещение 9</t>
  </si>
  <si>
    <t>ЮЛ780300308200390</t>
  </si>
  <si>
    <t>ЮЛ780300308200477</t>
  </si>
  <si>
    <t>173003 Новгородская область город Великий Новгород улица Большая Санкт-Петербургская дом 34   пом. №№ 19,20,21,22,23,24, 25</t>
  </si>
  <si>
    <t>ЮЛ780300308200753</t>
  </si>
  <si>
    <t>174411 Новгородская область город Боровичи улица Подбельского дом 17Б</t>
  </si>
  <si>
    <t>ЮЛ780300363500007</t>
  </si>
  <si>
    <t>173003 Новгородская область город Великий Новгород улица Большая Санкт-Петербургская дом 34</t>
  </si>
  <si>
    <t>ЮЛ780300363500076</t>
  </si>
  <si>
    <t>ЮЛ780300363500077</t>
  </si>
  <si>
    <t>Новосибирская область</t>
  </si>
  <si>
    <t>630000 Новосибирская область город Новосибирск Орджоникидзе 27</t>
  </si>
  <si>
    <t>ООО "ДРАГОЦЕННОСТИ ЯКУТИИ"</t>
  </si>
  <si>
    <t>1435120136</t>
  </si>
  <si>
    <t>ЮЛ1409009084</t>
  </si>
  <si>
    <t>ЮЛ140900908400012</t>
  </si>
  <si>
    <t>630091 Новосибирская область город Новосибирск улица Крылова дом 4</t>
  </si>
  <si>
    <t>ЮЛ140900343400015</t>
  </si>
  <si>
    <t>630106 Новосибирская область город Новосибирск улица Зорге дом 191</t>
  </si>
  <si>
    <t>ИП Казачкина Маргарита Александровна</t>
  </si>
  <si>
    <t>190113244720</t>
  </si>
  <si>
    <t>ИП2408033160</t>
  </si>
  <si>
    <t>ИП240803316000000</t>
  </si>
  <si>
    <t>630084 Новосибирская область город Новосибирск улица Трикотажная дом 49к1</t>
  </si>
  <si>
    <t>ИП240803316000001</t>
  </si>
  <si>
    <t>630124 Новосибирская область город Новосибирск улица Есенина дом 12</t>
  </si>
  <si>
    <t>ИП240803316000002</t>
  </si>
  <si>
    <t>630023 Новосибирская область город Новосибирск улица Виктора Шевелева дом 18</t>
  </si>
  <si>
    <t>ИП240803316000007</t>
  </si>
  <si>
    <t>630040 Новосибирская область город Новосибирск улица Кубовая здание 91</t>
  </si>
  <si>
    <t>ИП240803316000008</t>
  </si>
  <si>
    <t>630000 Новосибирская область город Новосибирск Улица Гоголя Дом 13</t>
  </si>
  <si>
    <t>ИП Рыбакова Ирина Васильевна</t>
  </si>
  <si>
    <t>227710423058</t>
  </si>
  <si>
    <t>ИП5408033093</t>
  </si>
  <si>
    <t>ИП540803309300000</t>
  </si>
  <si>
    <t>630099 Новосибирская область город Новосибирск улица Советская дом 17А</t>
  </si>
  <si>
    <t>ИП240801272000001</t>
  </si>
  <si>
    <t>630089 Новосибирская область город Новосибирск улица Кошурникова дом 45</t>
  </si>
  <si>
    <t>ЮЛ240800183000070</t>
  </si>
  <si>
    <t>630005 Новосибирская область город Новосибирск улица Крылова дом 53/1</t>
  </si>
  <si>
    <t>ЮЛ240800183000072</t>
  </si>
  <si>
    <t>633010 Новосибирская область город Бердск улица Ленина дом 41А</t>
  </si>
  <si>
    <t>ЮЛ240800183000073</t>
  </si>
  <si>
    <t>630088 Новосибирская область город Новосибирск улица Петухова дом 12/4</t>
  </si>
  <si>
    <t>ЮЛ240800183000083</t>
  </si>
  <si>
    <t>630054 Новосибирская область город Новосибирск улица Станиславского дом 17</t>
  </si>
  <si>
    <t>ЮЛ240800183000084</t>
  </si>
  <si>
    <t>630089 Новосибирская область город Новосибирск улица Бориса Богаткова дом 251</t>
  </si>
  <si>
    <t>ЮЛ240800183000087</t>
  </si>
  <si>
    <t>630027 Новосибирская область город Новосибирск улица Объединения дом 29</t>
  </si>
  <si>
    <t>ЮЛ240800183000100</t>
  </si>
  <si>
    <t>630039 Новосибирская область Новосибирск Панфиловцев 51</t>
  </si>
  <si>
    <t>ЮЛ240800191200016</t>
  </si>
  <si>
    <t>630099 Новосибирская область город Новосибирск проспект Красный здание 17   офис 802</t>
  </si>
  <si>
    <t>ЮЛ240800191200017</t>
  </si>
  <si>
    <t>630099 Новосибирская область город Новосибирск улица Военная дом 5</t>
  </si>
  <si>
    <t>ИП240801156100002</t>
  </si>
  <si>
    <t>630102 Новосибирская область город Новосибирск улица Декабристов дом 41</t>
  </si>
  <si>
    <t>ИП Садовская Елена Ивановна</t>
  </si>
  <si>
    <t>253601641266</t>
  </si>
  <si>
    <t>ИП5408039461</t>
  </si>
  <si>
    <t>ИП540803946100000</t>
  </si>
  <si>
    <t>630056 Новосибирская область город Новосибирск улица Софийская дом 18   204</t>
  </si>
  <si>
    <t>ИП Зайцева Наталья Леонидовна</t>
  </si>
  <si>
    <t>380113114424</t>
  </si>
  <si>
    <t>ИП5408003420</t>
  </si>
  <si>
    <t>ИП540800342000000</t>
  </si>
  <si>
    <t>630046 Новосибирская область Новосибирск Героев Революции 35/1</t>
  </si>
  <si>
    <t>ИП Евстропова Нина Васильевна</t>
  </si>
  <si>
    <t>421720689171</t>
  </si>
  <si>
    <t>ИП5408001808</t>
  </si>
  <si>
    <t>ИП540800180800000</t>
  </si>
  <si>
    <t>630091 Новосибирская область город Новосибирск улица Фрунзе дом 5   офис 409</t>
  </si>
  <si>
    <t>ООО "АЛЬКОР-СИБИРЬ"</t>
  </si>
  <si>
    <t>4431004790</t>
  </si>
  <si>
    <t>ЮЛ5408000683</t>
  </si>
  <si>
    <t>ЮЛ540800068300000</t>
  </si>
  <si>
    <t>630005 Новосибирская область город Новосибирск улица Гоголя дом 13   помещение 1037</t>
  </si>
  <si>
    <t>ИП780303232000000</t>
  </si>
  <si>
    <t>630005 Новосибирская область город Новосибирск улица Гоголя дом 13   помещение №186</t>
  </si>
  <si>
    <t>ИП780303232000001</t>
  </si>
  <si>
    <t>630091 Новосибирская область город Новосибирск проспект Красный дом 71   номера на поэтажном плане: 1-7; 1-8 (1 этаж)</t>
  </si>
  <si>
    <t>ИП500100445500021</t>
  </si>
  <si>
    <t>630091 Новосибирская область город Новосибирск проспект Красный дом 69</t>
  </si>
  <si>
    <t>ИП500100445500058</t>
  </si>
  <si>
    <t>630048 Новосибирская область город Новосибирск площадь им. Карла Маркса дом 7</t>
  </si>
  <si>
    <t>ИП500100445500089</t>
  </si>
  <si>
    <t>630049 Новосибирская область город Новосибирск проспект Красный дом 101     Ройял Парк</t>
  </si>
  <si>
    <t>ИП500100445500110</t>
  </si>
  <si>
    <t>630099 Новосибирская область город Новосибирск улица Военная дом 5   часть помещения №239</t>
  </si>
  <si>
    <t>ЮЛ520603376600091</t>
  </si>
  <si>
    <t>630078 Новосибирская область город Новосибирск площадь имени Карла Маркса дом 3   часть помещения №98</t>
  </si>
  <si>
    <t>ЮЛ520603376600096</t>
  </si>
  <si>
    <t>630049 Новосибирская область город Новосибирск проспект Красный дом 101   часть помещения №160</t>
  </si>
  <si>
    <t>ЮЛ520603376600100</t>
  </si>
  <si>
    <t>630000 Новосибирская область город Новосибирск улица Ватутина дом 107</t>
  </si>
  <si>
    <t>ЮЛ520603376600136</t>
  </si>
  <si>
    <t>630000 Новосибирская область город Новосибирск улица Гоголя  дом 13    часть помещения №2.089.0.4.01</t>
  </si>
  <si>
    <t>ЮЛ520603376600153</t>
  </si>
  <si>
    <t>630124 Новосибирская область город Новосибирск шоссе Гусинобродское 33/1   1</t>
  </si>
  <si>
    <t>ИП Митрохина Маргарита Сергеевна</t>
  </si>
  <si>
    <t>540106596985</t>
  </si>
  <si>
    <t>ИП5408012700</t>
  </si>
  <si>
    <t>ИП540801270000000</t>
  </si>
  <si>
    <t>630008 Новосибирская область город Новосибирск улица Кирова дом 25</t>
  </si>
  <si>
    <t>ИП Сурова Ирина Юрьевна</t>
  </si>
  <si>
    <t>540109419906</t>
  </si>
  <si>
    <t>ИП5408014811</t>
  </si>
  <si>
    <t>ИП540801481100001</t>
  </si>
  <si>
    <t>630089 Новосибирская область город Новосибирск улица Бориса Богаткова 210/1</t>
  </si>
  <si>
    <t>ИП540801481100002</t>
  </si>
  <si>
    <t>630129 Новосибирская область город Новосибирск улица Курчатова дом 1</t>
  </si>
  <si>
    <t>ИП Локотинов Игорь Владимирович</t>
  </si>
  <si>
    <t>540110786403</t>
  </si>
  <si>
    <t>ИП5408013452</t>
  </si>
  <si>
    <t>ИП540801345200000</t>
  </si>
  <si>
    <t>630010 Новосибирская область город Новосибирск шоссе Гусинобродское дом 33/1</t>
  </si>
  <si>
    <t>ИП540801345200003</t>
  </si>
  <si>
    <t>632640 Новосибирская область рабочий поселок Коченево улица Банковская дом 8</t>
  </si>
  <si>
    <t>ИП Минина Елена Валерьевна</t>
  </si>
  <si>
    <t>540111362816</t>
  </si>
  <si>
    <t>ИП5408008469</t>
  </si>
  <si>
    <t>ИП540800846900000</t>
  </si>
  <si>
    <t>630088 Новосибирская область город Новосибирск улица Громова дом 7</t>
  </si>
  <si>
    <t>ИП Поцелуева Алла Николаевна</t>
  </si>
  <si>
    <t>540111607745</t>
  </si>
  <si>
    <t>ИП5408017788</t>
  </si>
  <si>
    <t>ИП540801778800000</t>
  </si>
  <si>
    <t>630091 Новосибирская область город Новосибирск улица Мичурина дом 12   281</t>
  </si>
  <si>
    <t>ИП Никитина Наталья Михайловна</t>
  </si>
  <si>
    <t>540112276447</t>
  </si>
  <si>
    <t>ИП5408013617</t>
  </si>
  <si>
    <t>ИП540801361700000</t>
  </si>
  <si>
    <t>630091 Новосибирская область город Новосибирск улица Мичурина дом 12 павильон 2  торговое место № 9</t>
  </si>
  <si>
    <t>ИП Чумаков Евгений Петрович</t>
  </si>
  <si>
    <t>540121701017</t>
  </si>
  <si>
    <t>ИП5408011049</t>
  </si>
  <si>
    <t>ИП540801104900000</t>
  </si>
  <si>
    <t>630015 Новосибирская область город Новосибирск улица Королева 40 34</t>
  </si>
  <si>
    <t>ИП540801104900001</t>
  </si>
  <si>
    <t>630004 Новосибирская область город Новосибирск проспект Димитрова дом 5   торговый зал 1 этаж</t>
  </si>
  <si>
    <t>5401227760</t>
  </si>
  <si>
    <t>ЮЛ5408015463</t>
  </si>
  <si>
    <t>ЮЛ540801546300000</t>
  </si>
  <si>
    <t>630112 Новосибирская область город Новосибирск проспект Дзержинского дом 2/2</t>
  </si>
  <si>
    <t>ИП Сафонова Ирина Александровна</t>
  </si>
  <si>
    <t>540130427378</t>
  </si>
  <si>
    <t>ИП5408033046</t>
  </si>
  <si>
    <t>ИП540803304600000</t>
  </si>
  <si>
    <t>630009 Новосибирская область город Новосибирск улица Большевистская дом 45/1   нежилое помещение 9,50 кв.м.</t>
  </si>
  <si>
    <t>ИП Алексеенко Александр Викторович</t>
  </si>
  <si>
    <t>540131298502</t>
  </si>
  <si>
    <t>ИП5408014711</t>
  </si>
  <si>
    <t>ИП540801471100000</t>
  </si>
  <si>
    <t>630009 Новосибирская область город Новосибирск улица Большевистская дом 45/1</t>
  </si>
  <si>
    <t>ИП540801471100002</t>
  </si>
  <si>
    <t>630009 Новосибирская область город Новосибирск улица Большевистская дом 45/1   нежилое помещение 9,00 кв.м.</t>
  </si>
  <si>
    <t>ИП540801471100003</t>
  </si>
  <si>
    <t>630023 Новосибирская область город Новосибирск улица Александра Чистякова здание 7</t>
  </si>
  <si>
    <t>ИП Желябина Екатерина Анатольевна</t>
  </si>
  <si>
    <t>540134054832</t>
  </si>
  <si>
    <t>ИП5408039089</t>
  </si>
  <si>
    <t>ИП540803908900000</t>
  </si>
  <si>
    <t>630033 Новосибирская область город Новосибирск улица Аникина дом 16   оф.18</t>
  </si>
  <si>
    <t>ИП Короткова Юлия Вадимовна</t>
  </si>
  <si>
    <t>540139922313</t>
  </si>
  <si>
    <t>ИП5408015007</t>
  </si>
  <si>
    <t>ИП540801500700000</t>
  </si>
  <si>
    <t>630091 Новосибирская область город Новосибирск улица Достоевского дом 14</t>
  </si>
  <si>
    <t>ИП Карпекина Юлия Валерьевна</t>
  </si>
  <si>
    <t>540143991831</t>
  </si>
  <si>
    <t>ИП5408035777</t>
  </si>
  <si>
    <t>ИП540803577700000</t>
  </si>
  <si>
    <t>630009 Новосибирская область город Новосибирск Большевистская 45/1</t>
  </si>
  <si>
    <t>ИП Алексеенко Наталья Николаевна</t>
  </si>
  <si>
    <t>540145625069</t>
  </si>
  <si>
    <t>ИП5408034421</t>
  </si>
  <si>
    <t>ИП540803442100000</t>
  </si>
  <si>
    <t>630115 Новосибирская область город Новосибирск улица Красина дом 58 "В"   помещение бокс 149</t>
  </si>
  <si>
    <t>5401956593</t>
  </si>
  <si>
    <t>ЮЛ5408015472</t>
  </si>
  <si>
    <t>ЮЛ540801547200000</t>
  </si>
  <si>
    <t>630022 Новосибирская область город Новосибирск Петухова  99   2</t>
  </si>
  <si>
    <t>5401999607</t>
  </si>
  <si>
    <t>ЮЛ5408015185</t>
  </si>
  <si>
    <t>ЮЛ540801518500000</t>
  </si>
  <si>
    <t>630040 Новосибирская область город Новосибирск улица Кубовая дом 103/2</t>
  </si>
  <si>
    <t>540201245715</t>
  </si>
  <si>
    <t>ИП5408014693</t>
  </si>
  <si>
    <t>ИП540801469300000</t>
  </si>
  <si>
    <t>630004 Новосибирская область Новосибирск Улица Ленина Дом 26   Офис 302</t>
  </si>
  <si>
    <t>ООО "ББ"</t>
  </si>
  <si>
    <t>5402013217</t>
  </si>
  <si>
    <t>ЮЛ5408001359</t>
  </si>
  <si>
    <t>ЮЛ540800135900000</t>
  </si>
  <si>
    <t>630087 Новосибирская область город Новосибирск проспект Карла Маркса дом 30/1   240</t>
  </si>
  <si>
    <t>ИП Балаболко Яна Александровна</t>
  </si>
  <si>
    <t>540201634503</t>
  </si>
  <si>
    <t>ИП5408035175</t>
  </si>
  <si>
    <t>ИП540803517500000</t>
  </si>
  <si>
    <t>630105 Новосибирская область город Новосибирск Красный проспект дом 88   этаж 2</t>
  </si>
  <si>
    <t>ЮЛ540800214800000</t>
  </si>
  <si>
    <t>630000 Новосибирская область город Новосибирск улица Серебренниковская дом 31   этаж 3, этаж 4</t>
  </si>
  <si>
    <t>ООО "ТДЛ"</t>
  </si>
  <si>
    <t>5402037592</t>
  </si>
  <si>
    <t>ЮЛ5408001180</t>
  </si>
  <si>
    <t>ЮЛ540800118000000</t>
  </si>
  <si>
    <t>633162 Новосибирская область рабочий поселок Колывань улица Советская дом 57</t>
  </si>
  <si>
    <t>ИП Белоус Николай Антонович</t>
  </si>
  <si>
    <t>540208761701</t>
  </si>
  <si>
    <t>ИП5408017805</t>
  </si>
  <si>
    <t>ИП540801780500001</t>
  </si>
  <si>
    <t>633456 Новосибирская область город Тогучин улица Островского дом 13</t>
  </si>
  <si>
    <t>ИП540801780500002</t>
  </si>
  <si>
    <t>633411 Новосибирская область рабочий поселок Горный улица Советская дом 20</t>
  </si>
  <si>
    <t>ИП540801780500003</t>
  </si>
  <si>
    <t>633131 Новосибирская область рабочий поселок Мошково улица Вокзальная дом 10</t>
  </si>
  <si>
    <t>ИП540801780500004</t>
  </si>
  <si>
    <t>630099 Новосибирская область город Новосибирск улица Орджоникидзе дом 27</t>
  </si>
  <si>
    <t>ИП Локотинова Оксана Владимировна</t>
  </si>
  <si>
    <t>540208947640</t>
  </si>
  <si>
    <t>ИП5408032169</t>
  </si>
  <si>
    <t>ИП540803216900000</t>
  </si>
  <si>
    <t>630075 Новосибирская область город Новосибирск улица Богдана Хмельницкого дом 1</t>
  </si>
  <si>
    <t>ИП540803216900001</t>
  </si>
  <si>
    <t>630099 Новосибирская область город Новосибирск улица Максима Горького 54   212</t>
  </si>
  <si>
    <t>ИП Жаглина Анна Сергеевна</t>
  </si>
  <si>
    <t>540209645560</t>
  </si>
  <si>
    <t>ИП5408039088</t>
  </si>
  <si>
    <t>ИП540803908800000</t>
  </si>
  <si>
    <t>630004 Новосибирская область город Новосибирск улица Ленина здание 84</t>
  </si>
  <si>
    <t>ИП Сидорова Елена Владиславовна</t>
  </si>
  <si>
    <t>540209965722</t>
  </si>
  <si>
    <t>ИП5408017049</t>
  </si>
  <si>
    <t>ИП540801704900000</t>
  </si>
  <si>
    <t>632331 Новосибирская область город Барабинск улица Деповская дом 21</t>
  </si>
  <si>
    <t>ЮЛ540801321100003</t>
  </si>
  <si>
    <t>630124 Новосибирская область город Новосибирск Гусинобродское шоссе дом 31/2</t>
  </si>
  <si>
    <t>ИП Милина Ольга Владимировна</t>
  </si>
  <si>
    <t>540213653613</t>
  </si>
  <si>
    <t>ИП5408033386</t>
  </si>
  <si>
    <t>ИП540803338600000</t>
  </si>
  <si>
    <t>630049 Новосибирская область город Новосибирск Красный проспект 101</t>
  </si>
  <si>
    <t>ИП Зайкова Юлия Николаевна</t>
  </si>
  <si>
    <t>540216655802</t>
  </si>
  <si>
    <t>ИП5408016650</t>
  </si>
  <si>
    <t>ИП540801665000000</t>
  </si>
  <si>
    <t>630000 Новосибирская область город Новосибирск площадь Карла Маркса 7</t>
  </si>
  <si>
    <t>ИП540801665000004</t>
  </si>
  <si>
    <t>630005 Новосибирская область город Новосибирск улица Гоголя дом 13</t>
  </si>
  <si>
    <t>ИП540801665000006</t>
  </si>
  <si>
    <t>630049 Новосибирская область Новосибирск Красный проспект 200   907</t>
  </si>
  <si>
    <t>ИП Бойкин Иван Дмитриевич</t>
  </si>
  <si>
    <t>540230371190</t>
  </si>
  <si>
    <t>ИП5408037052</t>
  </si>
  <si>
    <t>ИП540803705200000</t>
  </si>
  <si>
    <t>630091 Новосибирская область город Новосибирск Орджоникидзе 27</t>
  </si>
  <si>
    <t>ИП Соколов Илья Николаевич</t>
  </si>
  <si>
    <t>540231965502</t>
  </si>
  <si>
    <t>ИП5408015575</t>
  </si>
  <si>
    <t>ИП540801557500000</t>
  </si>
  <si>
    <t>630048 Новосибирская область Новосибирск площадь Карла маркса  5/1   Торговый центр "Грани", место №212</t>
  </si>
  <si>
    <t>ИП Копылова Виктория Викторовна</t>
  </si>
  <si>
    <t>540322353578</t>
  </si>
  <si>
    <t>ИП5408014702</t>
  </si>
  <si>
    <t>ИП540801470200000</t>
  </si>
  <si>
    <t>630520 Новосибирская область город Черепаново Вокзальная  12</t>
  </si>
  <si>
    <t>ИП540801470200002</t>
  </si>
  <si>
    <t>633102 Новосибирская область город Обь улица Ломоносова здание 11/1</t>
  </si>
  <si>
    <t>ИП Кузьминова Ольга Александровна</t>
  </si>
  <si>
    <t>540363975810</t>
  </si>
  <si>
    <t>ИП5408019437</t>
  </si>
  <si>
    <t>ИП540801943700000</t>
  </si>
  <si>
    <t>630088 Новосибирская область город Новосибирск улица Сибиряков-Гвардейцев здание 67/2</t>
  </si>
  <si>
    <t>ИП540801943700001</t>
  </si>
  <si>
    <t>630004 Новосибирская область город Новосибирск улица Вокзальная магистраль дом 10</t>
  </si>
  <si>
    <t>ИП Толокнова Ирина Владимировна</t>
  </si>
  <si>
    <t>540406059967</t>
  </si>
  <si>
    <t>ИП5408007833</t>
  </si>
  <si>
    <t>ИП540800783300000</t>
  </si>
  <si>
    <t>630039 Новосибирская область город Новосибирск шоссе Гусинобродское дом 20   Помещение № 33</t>
  </si>
  <si>
    <t>ИП Витухина Эсфирь Моисеевна</t>
  </si>
  <si>
    <t>540406073908</t>
  </si>
  <si>
    <t>ИП5408037322</t>
  </si>
  <si>
    <t>ИП540803732200000</t>
  </si>
  <si>
    <t>ИП Гасанова Хазинат Якубовна</t>
  </si>
  <si>
    <t>540406614307</t>
  </si>
  <si>
    <t>ИП5408012035</t>
  </si>
  <si>
    <t>ИП540801203500000</t>
  </si>
  <si>
    <t>630003 Новосибирская область город Новосибирск улица Кубановская 3   300</t>
  </si>
  <si>
    <t>ИП Мухарский Сергей Борисович</t>
  </si>
  <si>
    <t>540406862589</t>
  </si>
  <si>
    <t>ИП5408006951</t>
  </si>
  <si>
    <t>ИП540800695100000</t>
  </si>
  <si>
    <t>630048 Новосибирская область город Новосибирск площадь им. Карла Маркса дом 7   оф.208</t>
  </si>
  <si>
    <t>ИП Яковлева Наталья Михайловна</t>
  </si>
  <si>
    <t>540406881817</t>
  </si>
  <si>
    <t>ИП5408010026</t>
  </si>
  <si>
    <t>ИП540801002600000</t>
  </si>
  <si>
    <t>630048 Новосибирская область город Новосибирск площадь им. Карла Маркса дом 1   торговая секция 11кв.м.</t>
  </si>
  <si>
    <t>ИП540801002600002</t>
  </si>
  <si>
    <t>630048 Новосибирская область город Новосибирск площадь им. Карла Маркса дом 7   торговая секция</t>
  </si>
  <si>
    <t>ИП540801002600006</t>
  </si>
  <si>
    <t>630061 Новосибирская область город Новосибирск улица Мясниковой дом 29   торговая секция</t>
  </si>
  <si>
    <t>ИП540801002600007</t>
  </si>
  <si>
    <t>630087 Новосибирская область город Новосибирск улица Немировича-Данченко дом 142   торговая секция</t>
  </si>
  <si>
    <t>ИП540801002600008</t>
  </si>
  <si>
    <t>630088 Новосибирская область город Новосибирск улица Громова дом 7   торговая секция 5,10 кв.м.</t>
  </si>
  <si>
    <t>ИП540801002600009</t>
  </si>
  <si>
    <t>630048 Новосибирская область город Новосибирск площадь им. Карла Маркса дом 1   торговая секция 35 кв.м.</t>
  </si>
  <si>
    <t>ИП540801002600010</t>
  </si>
  <si>
    <t>630048 Новосибирская область город Новосибирск площадь им. Карла Маркса дом 1   торговая секция 16,28 кв.м.</t>
  </si>
  <si>
    <t>ИП540801002600011</t>
  </si>
  <si>
    <t>630048 Новосибирская область город Новосибирск площадь им. Карла Маркса дом 1   торговая секция 8,06 кв.м.</t>
  </si>
  <si>
    <t>ИП540801002600012</t>
  </si>
  <si>
    <t>630088 Новосибирская область город Новосибирск Громова 7   торговая секция 6,55 кв.м.</t>
  </si>
  <si>
    <t>ИП540801002600015</t>
  </si>
  <si>
    <t>630005 Новосибирская область город Новосибирск улица Гоголя дом 34</t>
  </si>
  <si>
    <t>ИП Точилкина Ольга Джумабековна</t>
  </si>
  <si>
    <t>540407474081</t>
  </si>
  <si>
    <t>ИП5408011586</t>
  </si>
  <si>
    <t>ИП540801158600000</t>
  </si>
  <si>
    <t>630096 Новосибирская область город Новосибирск улица Забалуева дом 51А</t>
  </si>
  <si>
    <t>ИП Кузнецова Светлана Геннадьевна</t>
  </si>
  <si>
    <t>540409000922</t>
  </si>
  <si>
    <t>ИП5408009193</t>
  </si>
  <si>
    <t>ИП540800919300000</t>
  </si>
  <si>
    <t>633113 Новосибирская область Город Обь Улица ЖКО Аэропорта дом 8   Магазин"Мария-Ра"1этаж</t>
  </si>
  <si>
    <t>ИП Журина Галина Викторовна</t>
  </si>
  <si>
    <t>540411613806</t>
  </si>
  <si>
    <t>ИП5408012975</t>
  </si>
  <si>
    <t>ИП540801297500000</t>
  </si>
  <si>
    <t>630136 Новосибирская область город Новосибирск улица Плахотного дом 2б</t>
  </si>
  <si>
    <t>ИП Пивонова Наталья Алексеевна</t>
  </si>
  <si>
    <t>540412458590</t>
  </si>
  <si>
    <t>ИП5408014977</t>
  </si>
  <si>
    <t>ИП540801497700000</t>
  </si>
  <si>
    <t>630126 Новосибирская область город Новосибирск улица Выборная дом 142/3</t>
  </si>
  <si>
    <t>ИП540801497700002</t>
  </si>
  <si>
    <t>630061 Новосибирская область город Новосибирск улица Тюленина дом 17/1</t>
  </si>
  <si>
    <t>ИП540801497700006</t>
  </si>
  <si>
    <t>630107 Новосибирская область город Новосибирск улица Троллейная дом 130А   помещение 129-130 в ТРК 1этаж</t>
  </si>
  <si>
    <t>5404156429</t>
  </si>
  <si>
    <t>ЮЛ5408002471</t>
  </si>
  <si>
    <t>ЮЛ540800247100003</t>
  </si>
  <si>
    <t>630039 Новосибирская область город Новосибирск шоссе Гусинобродское дом 20   помещение № 33</t>
  </si>
  <si>
    <t>ЮЛ540800247100014</t>
  </si>
  <si>
    <t>630102 Новосибирская область город Новосибирск улица Большевистская дом 45/1   1 этаж</t>
  </si>
  <si>
    <t>ЮЛ540800247100029</t>
  </si>
  <si>
    <t>630034 Новосибирская область город Новосибирск улица Одоевского дом 1/12</t>
  </si>
  <si>
    <t>ИП Морозова Светлана Анатольевна</t>
  </si>
  <si>
    <t>540423002520</t>
  </si>
  <si>
    <t>ИП5408030041</t>
  </si>
  <si>
    <t>ИП540803004100000</t>
  </si>
  <si>
    <t>630004 Новосибирская область город Новосибирск магистраль Вокзальная здание 1</t>
  </si>
  <si>
    <t>ИП Алейников Евгений Сергеевич</t>
  </si>
  <si>
    <t>540429759605</t>
  </si>
  <si>
    <t>ИП5408039195</t>
  </si>
  <si>
    <t>ИП540803919500000</t>
  </si>
  <si>
    <t>632300 Новосибирская область г.Барабинск пер.Водопроводный 2А</t>
  </si>
  <si>
    <t>ИП Маркова Юлия Валентиновна</t>
  </si>
  <si>
    <t>540430908330</t>
  </si>
  <si>
    <t>ИП5408011531</t>
  </si>
  <si>
    <t>ИП540801153100000</t>
  </si>
  <si>
    <t>630088 Новосибирская область город Новосибирск Громова 7</t>
  </si>
  <si>
    <t>ИП Гасанов Мурад Хизриевич</t>
  </si>
  <si>
    <t>540432321579</t>
  </si>
  <si>
    <t>ИП5408034420</t>
  </si>
  <si>
    <t>ИП540803442000000</t>
  </si>
  <si>
    <t>630105 Новосибирская область город Новосибирск улица Кропоткина дом 271</t>
  </si>
  <si>
    <t>ООО ЛОМБАРД "ГЕДЕОН"</t>
  </si>
  <si>
    <t>5404366257</t>
  </si>
  <si>
    <t>ЮЛ5408009065</t>
  </si>
  <si>
    <t>ЮЛ540800906500001</t>
  </si>
  <si>
    <t>630054 Новосибирская область город Новосибирск улица Станиславского дом 8</t>
  </si>
  <si>
    <t>ЮЛ540800906500002</t>
  </si>
  <si>
    <t>630084 Новосибирская область город Новосибирск улица Авиастроителей дом 4</t>
  </si>
  <si>
    <t>ЮЛ540800906500007</t>
  </si>
  <si>
    <t>630136 Новосибирская область город Новосибирск улица Пархоменко дом 90/1</t>
  </si>
  <si>
    <t>ЮЛ540800906500008</t>
  </si>
  <si>
    <t>630001 Новосибирская область город Новосибирск улица Дуси Ковальчук здание 20/2</t>
  </si>
  <si>
    <t>ЮЛ540800906500009</t>
  </si>
  <si>
    <t>630108 Новосибирская область город Новосибирск улица Станционная дом 30А 3  3-405</t>
  </si>
  <si>
    <t>ИП Шахматова Ирина Владимировна</t>
  </si>
  <si>
    <t>540445348345</t>
  </si>
  <si>
    <t>ИП5408036549</t>
  </si>
  <si>
    <t>ИП540803654900000</t>
  </si>
  <si>
    <t>ООО "ЕВРО ЛОМБАРД"</t>
  </si>
  <si>
    <t>5404463010</t>
  </si>
  <si>
    <t>ЮЛ5408002866</t>
  </si>
  <si>
    <t>ЮЛ540800286600003</t>
  </si>
  <si>
    <t>630102 Новосибирская область город Новосибирск улица Гурьевская дом 37А</t>
  </si>
  <si>
    <t>ИП Петроченко Екатерина Анатольевна</t>
  </si>
  <si>
    <t>540446489444</t>
  </si>
  <si>
    <t>ИП5408010025</t>
  </si>
  <si>
    <t>ИП540801002500000</t>
  </si>
  <si>
    <t>630099 Новосибирская область Новосибирск красный проспект 17</t>
  </si>
  <si>
    <t>ИП Шевченко Ирина Анатольевна</t>
  </si>
  <si>
    <t>540449295824</t>
  </si>
  <si>
    <t>ИП5408014676</t>
  </si>
  <si>
    <t>ИП540801467600000</t>
  </si>
  <si>
    <t>630048 Новосибирская область город Новосибирск площадь им. Карла Маркса 1</t>
  </si>
  <si>
    <t>ООО "СВОБОДА"</t>
  </si>
  <si>
    <t>5404954530</t>
  </si>
  <si>
    <t>ЮЛ5408037849</t>
  </si>
  <si>
    <t>ЮЛ540803784900001</t>
  </si>
  <si>
    <t>630015 Новосибирская область город  Новосибирск проспект Дзержинского дом 6</t>
  </si>
  <si>
    <t>ИП Утенко Ирина Ивановна</t>
  </si>
  <si>
    <t>540505614347</t>
  </si>
  <si>
    <t>ИП5408007119</t>
  </si>
  <si>
    <t>ИП540800711900000</t>
  </si>
  <si>
    <t>630096 Новосибирская область город Новосибирск улица Олимпийская дом 44 - - -</t>
  </si>
  <si>
    <t>ИП Бобров Сергей Валентинович</t>
  </si>
  <si>
    <t>540505680389</t>
  </si>
  <si>
    <t>ИП5408002455</t>
  </si>
  <si>
    <t>ИП540800245500000</t>
  </si>
  <si>
    <t>633104 Новосибирская область город Обь-4   Аэропорт Толмачево  Терминал"А", 2 этаж, "Янтарная Комната"</t>
  </si>
  <si>
    <t>ИП Воробьева Светлана Петровна</t>
  </si>
  <si>
    <t>540515416496</t>
  </si>
  <si>
    <t>ИП5408009182</t>
  </si>
  <si>
    <t>ИП540800918200000</t>
  </si>
  <si>
    <t>633104 Новосибирская область город Обь-4   Аэропорт Толмачево  Терминал "С", 1 этаж, "Балтика-Сибирь"</t>
  </si>
  <si>
    <t>ИП540800918200001</t>
  </si>
  <si>
    <t>630078 Новосибирская область город Новосибирск площадь им. Карла Маркса дом 3</t>
  </si>
  <si>
    <t>ИП Деева Ольга Викторовна</t>
  </si>
  <si>
    <t>540524566508</t>
  </si>
  <si>
    <t>ИП5408005972</t>
  </si>
  <si>
    <t>ИП540800597200000</t>
  </si>
  <si>
    <t>630008 Новосибирская область город Новосибирск улица Кирова дом 103</t>
  </si>
  <si>
    <t>АО "НАЗ"</t>
  </si>
  <si>
    <t>5405251820</t>
  </si>
  <si>
    <t>ЮЛ5408001955</t>
  </si>
  <si>
    <t>ЮЛ540800195500000</t>
  </si>
  <si>
    <t>630055 Новосибирская область город Новосибирск улица Мусы Джалиля дом 25   помещ. 4</t>
  </si>
  <si>
    <t>ИП Безруких Сергей Александрович</t>
  </si>
  <si>
    <t>540532793871</t>
  </si>
  <si>
    <t>ИП5408000428</t>
  </si>
  <si>
    <t>ИП540800042800000</t>
  </si>
  <si>
    <t>630112 Новосибирская область Новосибирск Фрунзе 238</t>
  </si>
  <si>
    <t>ИП Кузнецова Ирина Михайловна</t>
  </si>
  <si>
    <t>540535852892</t>
  </si>
  <si>
    <t>ИП5408014076</t>
  </si>
  <si>
    <t>ИП540801407600000</t>
  </si>
  <si>
    <t>632640 Новосибирская область рабочий поселок Коченево улица Максима Горького дом 95</t>
  </si>
  <si>
    <t>ИП Кузнецов Сергей Леонидович</t>
  </si>
  <si>
    <t>540536485638</t>
  </si>
  <si>
    <t>ИП5408000557</t>
  </si>
  <si>
    <t>ИП540800055700000</t>
  </si>
  <si>
    <t>630082 Новосибирская область город Новосибирск улица Федосеева  дом 8</t>
  </si>
  <si>
    <t>ИП Сахарова Елена Витальевна</t>
  </si>
  <si>
    <t>540537178661</t>
  </si>
  <si>
    <t>ИП5408011533</t>
  </si>
  <si>
    <t>ИП540801153300000</t>
  </si>
  <si>
    <t>632201 Новосибирская область рабочий поселок Чаны улица Победы дом 71</t>
  </si>
  <si>
    <t>ИП Зотов Александр Филиппович</t>
  </si>
  <si>
    <t>540539055560</t>
  </si>
  <si>
    <t>ИП5408033091</t>
  </si>
  <si>
    <t>ИП540803309100000</t>
  </si>
  <si>
    <t>630107 Новосибирская область город Новосибирск улица Троллейная дом 130а</t>
  </si>
  <si>
    <t>ИП Трокаль Людмила</t>
  </si>
  <si>
    <t>540553096864</t>
  </si>
  <si>
    <t>ИП5408038740</t>
  </si>
  <si>
    <t>ИП540803874000000</t>
  </si>
  <si>
    <t>630083 Новосибирская область город Новосибирск улица Большевистская дом 177/24</t>
  </si>
  <si>
    <t>ООО "ЭРА НСК"</t>
  </si>
  <si>
    <t>5405957206</t>
  </si>
  <si>
    <t>ЮЛ5408005018</t>
  </si>
  <si>
    <t>ЮЛ540800501800000</t>
  </si>
  <si>
    <t>630049 Новосибирская область город Новосибирск проспект Красный дом 83</t>
  </si>
  <si>
    <t>ООО ЛОМБАРД "ИНТЕРСПРЭДСЕРВИС"</t>
  </si>
  <si>
    <t>5406007920</t>
  </si>
  <si>
    <t>ЮЛ5408013891</t>
  </si>
  <si>
    <t>ЮЛ540801389100000</t>
  </si>
  <si>
    <t>630048 Новосибирская область город Новосибирск пл. им. Карла Маркса дом 1</t>
  </si>
  <si>
    <t>ИП Дымова Анна Евгеньевна</t>
  </si>
  <si>
    <t>540601185281</t>
  </si>
  <si>
    <t>ИП5408034092</t>
  </si>
  <si>
    <t>ИП540803409200000</t>
  </si>
  <si>
    <t>ИП Ковчур Елена Васильевна</t>
  </si>
  <si>
    <t>540605609693</t>
  </si>
  <si>
    <t>ИП5408016132</t>
  </si>
  <si>
    <t>ИП540801613200000</t>
  </si>
  <si>
    <t>630099 Новосибирская область город Новосибирск улица Ленина дом 15   офис 2</t>
  </si>
  <si>
    <t>ООО "ЖЕМЧУЖИНА"</t>
  </si>
  <si>
    <t>5406237560</t>
  </si>
  <si>
    <t>ЮЛ5408010999</t>
  </si>
  <si>
    <t>ЮЛ540801099900000</t>
  </si>
  <si>
    <t>630049 Новосибирская область город Новосибирск проспект Красный дом 101</t>
  </si>
  <si>
    <t>ЮЛ540801099900001</t>
  </si>
  <si>
    <t>630112 Новосибирская область город Новосибирск улица Фрунзе дом 238</t>
  </si>
  <si>
    <t>ЮЛ540801099900002</t>
  </si>
  <si>
    <t>630084 Новосибирская область город Новосибирск улица Трикотажная дом 62</t>
  </si>
  <si>
    <t>ЮЛ540801099900003</t>
  </si>
  <si>
    <t>630004 Новосибирская область город Новосибирск проспект Димитрова дом 5</t>
  </si>
  <si>
    <t>ЮЛ540801099900004</t>
  </si>
  <si>
    <t>ЮЛ540801099900005</t>
  </si>
  <si>
    <t>630073 Новосибирская область город Новосибирск проспект Карла Маркса дом 1</t>
  </si>
  <si>
    <t>ЮЛ540801099900006</t>
  </si>
  <si>
    <t>630119 Новосибирская область город Новосибирск улица Зорге дом 179</t>
  </si>
  <si>
    <t>ЮЛ540801099900007</t>
  </si>
  <si>
    <t>630005 Новосибирская область город Новосибирск улица Фрунзе 88   888</t>
  </si>
  <si>
    <t>ООО "АЭЛИТА"</t>
  </si>
  <si>
    <t>5406245177</t>
  </si>
  <si>
    <t>ЮЛ5408014543</t>
  </si>
  <si>
    <t>ЮЛ540801454300000</t>
  </si>
  <si>
    <t>630048 Новосибирская область город Новосибирск площадь им. Карла Маркса здание 5/1   помещение 204</t>
  </si>
  <si>
    <t>ЮЛ540801454300003</t>
  </si>
  <si>
    <t>630048 Новосибирская область город Новосибирск площадь им. Карла Маркса здание 1   помещение-1</t>
  </si>
  <si>
    <t>ЮЛ540801454300008</t>
  </si>
  <si>
    <t>630048 Новосибирская область город Новосибирск площадь им. Карла Маркса здание 1   помещение-2</t>
  </si>
  <si>
    <t>ЮЛ540801454300009</t>
  </si>
  <si>
    <t>630088 Новосибирская область город Новосибирск улица Громова дом 7   помещение-1</t>
  </si>
  <si>
    <t>ЮЛ540801454300010</t>
  </si>
  <si>
    <t>630004 Новосибирская область город Новосибирск улица Вокзальная магистраль дом 5/1   помещения3,12</t>
  </si>
  <si>
    <t>ЮЛ540800121900000</t>
  </si>
  <si>
    <t>630005 Новосибирская область город Новосибирск улица Фрунзе дом 57/1   этаж 3</t>
  </si>
  <si>
    <t>ООО "ЗОЛОТАЯ СИБИРЬ"</t>
  </si>
  <si>
    <t>5406559705</t>
  </si>
  <si>
    <t>ЮЛ5408010118</t>
  </si>
  <si>
    <t>ЮЛ540801011800000</t>
  </si>
  <si>
    <t>630099 Новосибирская область город Новосибирск улица Фрунзе дом 80   офис 203</t>
  </si>
  <si>
    <t>5406615195</t>
  </si>
  <si>
    <t>ЮЛ5408005685</t>
  </si>
  <si>
    <t>ЮЛ540800568500000</t>
  </si>
  <si>
    <t>630129 Новосибирская область город Новосибирск улица Тайгинская дом 17/1   офис 211</t>
  </si>
  <si>
    <t>ООО "СЕВЕРНОЕ СИЯНИЕ"</t>
  </si>
  <si>
    <t>5406627480</t>
  </si>
  <si>
    <t>ЮЛ5408005294</t>
  </si>
  <si>
    <t>ЮЛ540800529400000</t>
  </si>
  <si>
    <t>630099 Новосибирская область город Новосибирск улица Трудовая дом 10   офис 2</t>
  </si>
  <si>
    <t>ООО "ТЦ "АТОЛЛ"</t>
  </si>
  <si>
    <t>5406633003</t>
  </si>
  <si>
    <t>ЮЛ5408005918</t>
  </si>
  <si>
    <t>ЮЛ540800591800000</t>
  </si>
  <si>
    <t>630073 Новосибирская область город Новосибирск проспект Карла Маркса дом 3  а 25</t>
  </si>
  <si>
    <t>ЮЛ540800591800003</t>
  </si>
  <si>
    <t>633209 Новосибирская область искитим пушкина 57</t>
  </si>
  <si>
    <t>ЮЛ540800591800004</t>
  </si>
  <si>
    <t>630048 Новосибирская область город Новосибирск площадь карла маркса 6/1   А14</t>
  </si>
  <si>
    <t>ЮЛ540800591800006</t>
  </si>
  <si>
    <t>630123 Новосибирская область город Новосибирск Красный проспект дом 232/1</t>
  </si>
  <si>
    <t>ООО "КОРОНА ГОЛД"</t>
  </si>
  <si>
    <t>5406669730</t>
  </si>
  <si>
    <t>ЮЛ5408016431</t>
  </si>
  <si>
    <t>ЮЛ540801643100000</t>
  </si>
  <si>
    <t>630089 Новосибирская область город Новосибирск улица Бориса Богаткова дом 239   150</t>
  </si>
  <si>
    <t>ИП Голенкова Мария Викторовна</t>
  </si>
  <si>
    <t>540698392673</t>
  </si>
  <si>
    <t>ИП5408014841</t>
  </si>
  <si>
    <t>ИП540801484100000</t>
  </si>
  <si>
    <t>630900 Новосибирская область город Новосибирск улица Новоуральская дом 17   1 Этаж</t>
  </si>
  <si>
    <t>ИП Семенова Ася Леонидовна</t>
  </si>
  <si>
    <t>540705756042</t>
  </si>
  <si>
    <t>ИП5408002856</t>
  </si>
  <si>
    <t>ИП540800285600000</t>
  </si>
  <si>
    <t>ИП Писарева Елена Михайловна</t>
  </si>
  <si>
    <t>540718576336</t>
  </si>
  <si>
    <t>ИП5408005161</t>
  </si>
  <si>
    <t>ИП540800516100000</t>
  </si>
  <si>
    <t>ЮЛ540801200600000</t>
  </si>
  <si>
    <t>630099 Новосибирская область город Новосибирск улица Орджоникидзе дом 27   офис</t>
  </si>
  <si>
    <t>ИП Могучев Александр Юрьевич</t>
  </si>
  <si>
    <t>540785567168</t>
  </si>
  <si>
    <t>ИП5408014771</t>
  </si>
  <si>
    <t>ИП540801477100000</t>
  </si>
  <si>
    <t>630024 Новосибирская область город Новосибирск улица Ватутина дом 107   торговая секция</t>
  </si>
  <si>
    <t>ИП540801477100002</t>
  </si>
  <si>
    <t>630112 Новосибирская область город Новосибирск улица Фрунзе дом 238   торговая секция</t>
  </si>
  <si>
    <t>ИП540801477100004</t>
  </si>
  <si>
    <t>630075 Новосибирская область город Новосибирск улица Богдана Хмельницкого дом 1   торговая секция</t>
  </si>
  <si>
    <t>ИП540801477100007</t>
  </si>
  <si>
    <t>630099 Новосибирская область город Новосибирск улица Орджоникидзе дом 27   торговая секция</t>
  </si>
  <si>
    <t>ИП540801477100008</t>
  </si>
  <si>
    <t>63003 Новосибирская область Новосибирск Кубановская 3   307</t>
  </si>
  <si>
    <t>ИП Кузнецов Дмитрий Николаевич</t>
  </si>
  <si>
    <t>540785926650</t>
  </si>
  <si>
    <t>ИП5408020216</t>
  </si>
  <si>
    <t>ИП540802021600000</t>
  </si>
  <si>
    <t>633564 Новосибирская область рабочий поселок Маслянино улица Школьная дом 3А</t>
  </si>
  <si>
    <t>ИП Марков Никита Александрович</t>
  </si>
  <si>
    <t>540787454709</t>
  </si>
  <si>
    <t>ИП5408002450</t>
  </si>
  <si>
    <t>ИП540800245000001</t>
  </si>
  <si>
    <t>632125 Новосибирская область город Татарск улица Ленина дом 114</t>
  </si>
  <si>
    <t>ИП540800245000006</t>
  </si>
  <si>
    <t>632336 Новосибирская область город Барабинск улица Кирова дом 16</t>
  </si>
  <si>
    <t>ИП Арабок Ольга Алексеевна</t>
  </si>
  <si>
    <t>540788997458</t>
  </si>
  <si>
    <t>ИП5408031784</t>
  </si>
  <si>
    <t>ИП540803178400000</t>
  </si>
  <si>
    <t>632720 Новосибирская область рабочий поселок Чистоозерное улица Дзержинского дом 24А</t>
  </si>
  <si>
    <t>ИП540803178400007</t>
  </si>
  <si>
    <t>630098 Новосибирская область город Новосибирск улица 40 лет Комсомола дом 54 - - Торговый ряд</t>
  </si>
  <si>
    <t>ИП Табакаева Алла Николаевна</t>
  </si>
  <si>
    <t>540807882310</t>
  </si>
  <si>
    <t>ИП5408000203</t>
  </si>
  <si>
    <t>ИП540800020300000</t>
  </si>
  <si>
    <t>630079 Новосибирская область город Новосибирск улица Станиславского дом 40/1 1  Ювелирный отдел</t>
  </si>
  <si>
    <t>ИП540800020300001</t>
  </si>
  <si>
    <t>630055 Новосибирская область город Новосибирск улица Иванова дом 4</t>
  </si>
  <si>
    <t>ИП Савельева Татьяна Михайловна</t>
  </si>
  <si>
    <t>540815271690</t>
  </si>
  <si>
    <t>ИП5408015701</t>
  </si>
  <si>
    <t>ИП540801570100000</t>
  </si>
  <si>
    <t>630048 Новосибирская область город Новосибирск площадь им. Карла Маркса 7  А</t>
  </si>
  <si>
    <t>ИП Липатова Ольга Николаевна</t>
  </si>
  <si>
    <t>540817279479</t>
  </si>
  <si>
    <t>ИП5408011693</t>
  </si>
  <si>
    <t>ИП540801169300000</t>
  </si>
  <si>
    <t>ИП540801169300006</t>
  </si>
  <si>
    <t>630078 Новосибирская область город Новосибирск улица Блюхера 7   42П</t>
  </si>
  <si>
    <t>ООО "ДИЗАЙН-ДАЙМОНД"</t>
  </si>
  <si>
    <t>5408176049</t>
  </si>
  <si>
    <t>ЮЛ5408013419</t>
  </si>
  <si>
    <t>ЮЛ540801341900000</t>
  </si>
  <si>
    <t>630090 Новосибирская область город Новосибирск улица Демакова дом 23/5</t>
  </si>
  <si>
    <t>ИП Рахман Светлана Георгиевна</t>
  </si>
  <si>
    <t>540820081101</t>
  </si>
  <si>
    <t>ИП5408007885</t>
  </si>
  <si>
    <t>ИП540800788500000</t>
  </si>
  <si>
    <t>630058 Новосибирская область город Новосибирск улица Русская дом 1</t>
  </si>
  <si>
    <t>ИП540800788500001</t>
  </si>
  <si>
    <t>630090 Новосибирская область город Новосибирск улица Кутателадзе дом 4</t>
  </si>
  <si>
    <t>ИП540800788500002</t>
  </si>
  <si>
    <t>630090 Новосибирская область город Новосибирск Улица Ильича Дом 6</t>
  </si>
  <si>
    <t>ИП540800788500003</t>
  </si>
  <si>
    <t>630091 Новосибирская область город Новосибирск улица Гоголя дом 4</t>
  </si>
  <si>
    <t>5408228709</t>
  </si>
  <si>
    <t>ЮЛ5408005146</t>
  </si>
  <si>
    <t>ЮЛ540800514600001</t>
  </si>
  <si>
    <t>630132 Новосибирская область город Новосибирск улица Советская дом 75</t>
  </si>
  <si>
    <t>ЮЛ540800514600002</t>
  </si>
  <si>
    <t>630099 Новосибирская область город Новосибирск улица Потанинская дом 8</t>
  </si>
  <si>
    <t>ЮЛ540800514600003</t>
  </si>
  <si>
    <t>630049 Новосибирская область город Новосибирск проспект Красный дом 101   201</t>
  </si>
  <si>
    <t>ЮЛ540800514600004</t>
  </si>
  <si>
    <t>630090 Новосибирская область город Новосибирск улица Ильича дом 6</t>
  </si>
  <si>
    <t>ЮЛ540800514600005</t>
  </si>
  <si>
    <t>ЮЛ540800514600007</t>
  </si>
  <si>
    <t>630015 Новосибирская область город Новосибирск улица Королева дом 40 Корпус 34</t>
  </si>
  <si>
    <t>ИП Кирилюк Роман Вадимович</t>
  </si>
  <si>
    <t>540823009960</t>
  </si>
  <si>
    <t>ИП5408031222</t>
  </si>
  <si>
    <t>ИП540803122200000</t>
  </si>
  <si>
    <t>630000 Новосибирская область город Новосибирск улица Военная дом 5   1 этаж ТЦ АУРА</t>
  </si>
  <si>
    <t>ИП Спотарь Александр Сергеевич</t>
  </si>
  <si>
    <t>540864818311</t>
  </si>
  <si>
    <t>ИП5408030976</t>
  </si>
  <si>
    <t>ИП540803097600002</t>
  </si>
  <si>
    <t>630000 Новосибирская область город Новосибирск улица Вокзальная магистраль дом 10    помещение 21</t>
  </si>
  <si>
    <t>ИП540803097600003</t>
  </si>
  <si>
    <t>630003 Новосибирская область город Новосибирск улица Кубановская 3   210</t>
  </si>
  <si>
    <t>ИП Бутеева Ольга Николаевна</t>
  </si>
  <si>
    <t>540905717812</t>
  </si>
  <si>
    <t>ИП5408019127</t>
  </si>
  <si>
    <t>ИП540801912700000</t>
  </si>
  <si>
    <t>630048 Новосибирская область город Новосибирск площадь им. Карла Маркса здание 1</t>
  </si>
  <si>
    <t>ИП Рахимова Лариса Викторовна</t>
  </si>
  <si>
    <t>541000189491</t>
  </si>
  <si>
    <t>ИП5408017646</t>
  </si>
  <si>
    <t>ИП540801764600000</t>
  </si>
  <si>
    <t>ИП540801764600003</t>
  </si>
  <si>
    <t>630129 Новосибирская область город Новосибирск улица Тайгинская дом 15   офис 20</t>
  </si>
  <si>
    <t>ООО "СИБИРЬ ЮВЕЛИР"</t>
  </si>
  <si>
    <t>5410033591</t>
  </si>
  <si>
    <t>ЮЛ5408005710</t>
  </si>
  <si>
    <t>ЮЛ540800571000000</t>
  </si>
  <si>
    <t>630073 Новосибирская область город Новосибирск Площадь Карла Маркса дом 3</t>
  </si>
  <si>
    <t>ИП Черных Наталья Анатольевна</t>
  </si>
  <si>
    <t>541005105262</t>
  </si>
  <si>
    <t>ИП5408005687</t>
  </si>
  <si>
    <t>ИП540800568700000</t>
  </si>
  <si>
    <t>630084 Новосибирская область город Новосибирск улица Новая Заря дом 2А Корпус 1  Офис 205/7, 2 этаж</t>
  </si>
  <si>
    <t>ИП Кизилов Алексей Андреевич</t>
  </si>
  <si>
    <t>541007663738</t>
  </si>
  <si>
    <t>ИП5408030172</t>
  </si>
  <si>
    <t>ИП540803017200000</t>
  </si>
  <si>
    <t>630089 Новосибирская область город Новосибирск улица Бориса Богаткова дом 239   торговое место  № 142</t>
  </si>
  <si>
    <t>ИП Голенков Андрей Вадимович</t>
  </si>
  <si>
    <t>541008500408</t>
  </si>
  <si>
    <t>ИП5408035423</t>
  </si>
  <si>
    <t>ИП540803542300000</t>
  </si>
  <si>
    <t>ИП Туева Галина Владимировна</t>
  </si>
  <si>
    <t>541013341295</t>
  </si>
  <si>
    <t>ИП5408032261</t>
  </si>
  <si>
    <t>ИП540803226100000</t>
  </si>
  <si>
    <t>630078 Новосибирская область город Новосибирск Площадь им. Карла Маркса дом 3   МТРК "Версаль"</t>
  </si>
  <si>
    <t>ИП540801107000001</t>
  </si>
  <si>
    <t>630049 Новосибирская область город Новосибирск улица Дуси Ковальчук дом 179/4   ТРК "Калина"</t>
  </si>
  <si>
    <t>ИП540801107000004</t>
  </si>
  <si>
    <t>630087 Новосибирская область город Новосибирск улица Ватутина дом 107   ТГГ "Ашан"</t>
  </si>
  <si>
    <t>ИП540801107000005</t>
  </si>
  <si>
    <t>630049 Новосибирская область город Новосибирск улица Красный проспект дом 101   ТРЦ "Ройял Парк"</t>
  </si>
  <si>
    <t>ИП540801107000006</t>
  </si>
  <si>
    <t>630126 Новосибирская область город Новосибирск улица Выборная дом 142/3   Торговый центр</t>
  </si>
  <si>
    <t>ИП540801107000007</t>
  </si>
  <si>
    <t>630129 Новосибирская область город Новосибирск улица Курчатова дом 1   ТРК "Голден Парк"</t>
  </si>
  <si>
    <t>ИП540801107000008</t>
  </si>
  <si>
    <t>630099 Новосибирская область город Новосибирск улица Военная дом 5   ТРК " Аура"</t>
  </si>
  <si>
    <t>ИП540801107000009</t>
  </si>
  <si>
    <t>630112 Новосибирская область город Новосибирск проспект Дзержинского дом 2/2   Здание ТЦ "Роща"</t>
  </si>
  <si>
    <t>ИП540801107000011</t>
  </si>
  <si>
    <t>633564 Новосибирская область рабочий поселок Маслянино улица Коммунистическая дом 2Г</t>
  </si>
  <si>
    <t>ИП540801107000017</t>
  </si>
  <si>
    <t>630000 Новосибирская область город Новосибирск Фрунзе 238</t>
  </si>
  <si>
    <t>ИП540801107000025</t>
  </si>
  <si>
    <t>630133 Новосибирская область город Новосибирск улица В.Высоцкого дом 34 корпус 1</t>
  </si>
  <si>
    <t>ООО "ФОРТ ЛОМБАРД"</t>
  </si>
  <si>
    <t>5410157702</t>
  </si>
  <si>
    <t>ЮЛ5408037141</t>
  </si>
  <si>
    <t>ЮЛ540803714100000</t>
  </si>
  <si>
    <t>630020 Новосибирская область город Новосибирск улица Фадеева дом 66   офис 16</t>
  </si>
  <si>
    <t>ООО ЛОМБАРД "ЗОЛОТО ФАРАОНА"</t>
  </si>
  <si>
    <t>5410165414</t>
  </si>
  <si>
    <t>ЮЛ5408039798</t>
  </si>
  <si>
    <t>ЮЛ540803979800000</t>
  </si>
  <si>
    <t>ИП Денисова Светлана Валерьевна</t>
  </si>
  <si>
    <t>541017227561</t>
  </si>
  <si>
    <t>ИП5408035778</t>
  </si>
  <si>
    <t>ИП540803577800000</t>
  </si>
  <si>
    <t>633520 Новосибирская область город Черепаново Романова 2</t>
  </si>
  <si>
    <t>ИП Пазенкова Светлана Владимировна</t>
  </si>
  <si>
    <t>541018935430</t>
  </si>
  <si>
    <t>ИП5408016754</t>
  </si>
  <si>
    <t>ИП540801675400000</t>
  </si>
  <si>
    <t>633623 Новосибирская область рабочий поселок Сузун улица Ленина здание 5Е</t>
  </si>
  <si>
    <t>ИП540801675400002</t>
  </si>
  <si>
    <t>630091 Новосибирская область город Новосибирск Улица Фрунзе Дом 5 ХХХ  Офис 420</t>
  </si>
  <si>
    <t>ИП Пузякова Татьяна Владимировна</t>
  </si>
  <si>
    <t>541020212639</t>
  </si>
  <si>
    <t>ИП5408012985</t>
  </si>
  <si>
    <t>ИП540801298500000</t>
  </si>
  <si>
    <t>630027 Новосибирская область город Новосибирск улица Богдана Хмельницкого дом 103   26</t>
  </si>
  <si>
    <t>ИП Пазавин Дмитрий Николаевич</t>
  </si>
  <si>
    <t>541074352689</t>
  </si>
  <si>
    <t>ИП5408033898</t>
  </si>
  <si>
    <t>ИП540803389800000</t>
  </si>
  <si>
    <t>633340 Новосибирская область город Болотное улица 50 лет Октября дом 2А</t>
  </si>
  <si>
    <t>ИП Фроленко Валентина Ивановна</t>
  </si>
  <si>
    <t>541305785072</t>
  </si>
  <si>
    <t>ИП5408013871</t>
  </si>
  <si>
    <t>ИП540801387100000</t>
  </si>
  <si>
    <t>632241 Новосибирская область  село Венгерово улица Ленина дом 79   Магазин "Универмаг"(2 этаж) секция у входа</t>
  </si>
  <si>
    <t>ПО "ПРОДТОРГ" ВЕНГЕРОВСКОГО ПТПО</t>
  </si>
  <si>
    <t>5419103772</t>
  </si>
  <si>
    <t>ЮЛ5408032675</t>
  </si>
  <si>
    <t>ЮЛ540803267500000</t>
  </si>
  <si>
    <t>632735 Новосибирская область город Купино улица Советов дом 154</t>
  </si>
  <si>
    <t>ИП Губин Алексей Анатольевич</t>
  </si>
  <si>
    <t>541911934302</t>
  </si>
  <si>
    <t>ИП5408019158</t>
  </si>
  <si>
    <t>ИП540801915800000</t>
  </si>
  <si>
    <t>632951 Новосибирская область село Здвинск улица Мира  дом 16</t>
  </si>
  <si>
    <t>ИП Газоян Гаянэ Вачагановна</t>
  </si>
  <si>
    <t>542105807348</t>
  </si>
  <si>
    <t>ИП5408005095</t>
  </si>
  <si>
    <t>ИП540800509500000</t>
  </si>
  <si>
    <t>ИП Вебер Оксана Юрьевна</t>
  </si>
  <si>
    <t>542507211241</t>
  </si>
  <si>
    <t>ИП5408014466</t>
  </si>
  <si>
    <t>ИП540801446600000</t>
  </si>
  <si>
    <t>632450 Новосибирская область село Довольное улица Мичурина дом 2А</t>
  </si>
  <si>
    <t>ИП540801446600001</t>
  </si>
  <si>
    <t>632660 Новосибирская область село Прокудское улица Есенина дом 1</t>
  </si>
  <si>
    <t>ИП540801446600002</t>
  </si>
  <si>
    <t>632382 Новосибирская область город Куйбышев квартал 10-й дом 6</t>
  </si>
  <si>
    <t>ИП540801446600005</t>
  </si>
  <si>
    <t>632122 Новосибирская область город Татарск улица Ленина дом 68</t>
  </si>
  <si>
    <t>ИП540801446600007</t>
  </si>
  <si>
    <t>632125 Новосибирская область город Татарск улица Ленина дом 106г</t>
  </si>
  <si>
    <t>ИП540801446600008</t>
  </si>
  <si>
    <t>633162 Новосибирская область рабочий поселок Колывань улица Ленина дом 73/1</t>
  </si>
  <si>
    <t>ИП540801446600009</t>
  </si>
  <si>
    <t>633340 Новосибирская область город Болотное улица 50 лет Октября дом 1</t>
  </si>
  <si>
    <t>ИП540801446600010</t>
  </si>
  <si>
    <t>632861 Новосибирская область город Карасук улица Совхозная дом 6</t>
  </si>
  <si>
    <t>ИП540801446600014</t>
  </si>
  <si>
    <t>630501 Новосибирская область рабочий поселок Краснообск улица Западная дом 3   2</t>
  </si>
  <si>
    <t>ИП Бурдочкин Всеволод Дмитриевич</t>
  </si>
  <si>
    <t>543305482748</t>
  </si>
  <si>
    <t>ИП5408005147</t>
  </si>
  <si>
    <t>ИП540800514700000</t>
  </si>
  <si>
    <t>633162 Новосибирская область рабочий поселок Кольцово проспект Академика Сандахчиева 9</t>
  </si>
  <si>
    <t>ИП Юрьева Ирина Алексеевна</t>
  </si>
  <si>
    <t>543307123198</t>
  </si>
  <si>
    <t>ИП5408012968</t>
  </si>
  <si>
    <t>ИП540801296800001</t>
  </si>
  <si>
    <t>630108 Новосибирская область город Новосибирск улица Станиславского дом 17   торг. секция "Русское золото"</t>
  </si>
  <si>
    <t>ИП Конин Кирилл Николаевич</t>
  </si>
  <si>
    <t>543307811684</t>
  </si>
  <si>
    <t>ИП5408002864</t>
  </si>
  <si>
    <t>ИП540800286400000</t>
  </si>
  <si>
    <t>630054 Новосибирская область город Новосибирск улица Героев Революции дом 39   торг. секция "Русское золото"</t>
  </si>
  <si>
    <t>ИП540800286400002</t>
  </si>
  <si>
    <t>630501 Новосибирская область рабочий поселок Краснообск улица Западная дом 3   офис 5</t>
  </si>
  <si>
    <t>ООО "БУРДА И К"</t>
  </si>
  <si>
    <t>5433119936</t>
  </si>
  <si>
    <t>ЮЛ5408005750</t>
  </si>
  <si>
    <t>ЮЛ540800575000000</t>
  </si>
  <si>
    <t>630107 Новосибирская область город Новосибирск улица Троллейная дом 130а   отдел "Хризолит"</t>
  </si>
  <si>
    <t>ЮЛ540800575000003</t>
  </si>
  <si>
    <t>630000 Новосибирская область город Новосибирск Гоголя 13   отдел "Хризолит"</t>
  </si>
  <si>
    <t>ЮЛ540800575000007</t>
  </si>
  <si>
    <t>630024 Новосибирская область город Новосибирск улица Ватутина дом 107   отдел "Хризолит"</t>
  </si>
  <si>
    <t>ЮЛ540800575000009</t>
  </si>
  <si>
    <t>630099 Новосибирская область город Новосибирск улица Орджоникидзе дом 27   отдел "Хризолит"</t>
  </si>
  <si>
    <t>ЮЛ540800575000010</t>
  </si>
  <si>
    <t>630066 Новосибирская область город Новосибирск улица Комсомольская дом 10   отдел "Хризолит"</t>
  </si>
  <si>
    <t>ЮЛ540800575000011</t>
  </si>
  <si>
    <t>633216 Новосибирская область рабочий поселок Линево Коммунистический пр-т 2   отдел "Хризолит"</t>
  </si>
  <si>
    <t>ЮЛ540800575000013</t>
  </si>
  <si>
    <t>630078 Новосибирская область город Новосибирск площадь им. Карла Маркса 3   отдел "Хризолит"</t>
  </si>
  <si>
    <t>ЮЛ540800575000015</t>
  </si>
  <si>
    <t>630023 Новосибирская область Новосибирск улица Николая Сотникова здание 10 а   отдел "Хризолит"</t>
  </si>
  <si>
    <t>ЮЛ540800575000018</t>
  </si>
  <si>
    <t>630000 Новосибирская область город Новосибирск Шукшина  7 1</t>
  </si>
  <si>
    <t>ИП Рогозин Николай Васильевич</t>
  </si>
  <si>
    <t>543314431933</t>
  </si>
  <si>
    <t>ИП5408016429</t>
  </si>
  <si>
    <t>ИП540801642900000</t>
  </si>
  <si>
    <t>630000 Новосибирская область город Новосибирск Первомайская 100</t>
  </si>
  <si>
    <t>ИП540801642900003</t>
  </si>
  <si>
    <t>630501 Новосибирская область рабочий поселок Краснообск улица Центральная здание 3А   21</t>
  </si>
  <si>
    <t>ООО "НОВЫЙ СТИЛЬ"</t>
  </si>
  <si>
    <t>5433976345</t>
  </si>
  <si>
    <t>ЮЛ5408005751</t>
  </si>
  <si>
    <t>ЮЛ540800575100000</t>
  </si>
  <si>
    <t>630048 Новосибирская область город Новосибирск площадь им. Карла Маркса дом 7    Отделы "Хризолит" , №101</t>
  </si>
  <si>
    <t>ЮЛ540800575100002</t>
  </si>
  <si>
    <t>630090 Новосибирская область город Новосибирск улица Кутателадзе дом 4/4    Отдел "Хризолит"</t>
  </si>
  <si>
    <t>ЮЛ540800575100003</t>
  </si>
  <si>
    <t>630079 Новосибирская область город Новосибирск улица Станиславского дом 40/1    Отдел "Хризолит"</t>
  </si>
  <si>
    <t>ЮЛ540800575100004</t>
  </si>
  <si>
    <t>630112 Новосибирская область город Новосибирск улица Фрунзе дом 238    Отдел "Хризолит"</t>
  </si>
  <si>
    <t>ЮЛ540800575100005</t>
  </si>
  <si>
    <t>632902 Новосибирская область рабочий поселок Краснозерское улица Чкалова дом 1б   отдел "Хризолит"</t>
  </si>
  <si>
    <t>ЮЛ540800575100007</t>
  </si>
  <si>
    <t>630049 Новосибирская область город Новосибирск улица Дуси Ковальчук дом 179/4   отдел "Хризолит"</t>
  </si>
  <si>
    <t>ЮЛ540800575100011</t>
  </si>
  <si>
    <t>630099 Новосибирская область город Новосибирск улица Военная дом 5   отдел "Хризолит"</t>
  </si>
  <si>
    <t>ЮЛ540800575100013</t>
  </si>
  <si>
    <t>630039 Новосибирская область город Новосибирск Гусинобродское шоссе 20   отдел "Хризолит"</t>
  </si>
  <si>
    <t>ЮЛ540800575100014</t>
  </si>
  <si>
    <t>630048 Новосибирская область город Новосибирск площадь им. Карла Маркса дом 7   Отдел "Хризолит", № 195</t>
  </si>
  <si>
    <t>ЮЛ540800575100016</t>
  </si>
  <si>
    <t>630048 Новосибирская область город Новосибирск улица пл. Карла Маркса дом 6/1   отдел "Хризолит"</t>
  </si>
  <si>
    <t>ЮЛ540800575100017</t>
  </si>
  <si>
    <t>633623 Новосибирская область рабочий поселок Сузун улица Ленина дом 52</t>
  </si>
  <si>
    <t>ИП Кунц Юрий Александрович</t>
  </si>
  <si>
    <t>543606017751</t>
  </si>
  <si>
    <t>ИП5408013418</t>
  </si>
  <si>
    <t>ИП540801341800000</t>
  </si>
  <si>
    <t>633623 Новосибирская область рабочий поселок Сузун улица Ленина дом 32</t>
  </si>
  <si>
    <t>П.К. "МАГАЗИН-АТЕЛЬЕ "АНЖЕЛИКА"</t>
  </si>
  <si>
    <t>5436110385</t>
  </si>
  <si>
    <t>ЮЛ5408002924</t>
  </si>
  <si>
    <t>ЮЛ540800292400000</t>
  </si>
  <si>
    <t>633525 Новосибирская область город Черепаново улица Партизанская дом 69</t>
  </si>
  <si>
    <t>ЮЛ540800292400001</t>
  </si>
  <si>
    <t>ИП540800530800008</t>
  </si>
  <si>
    <t>630000 Новосибирская область город Черепаново улица Пролетарская 97а/1</t>
  </si>
  <si>
    <t>ИП540800530800009</t>
  </si>
  <si>
    <t>633564 Новосибирская область рабочий поселок Маслянино улица Партизанская дом 11А</t>
  </si>
  <si>
    <t>ИП540800530800010</t>
  </si>
  <si>
    <t>630005 Новосибирская область город Новосибирск улица Некрасова дом 50   205</t>
  </si>
  <si>
    <t>ИП540800118900000</t>
  </si>
  <si>
    <t>633261 Новосибирская область рабочий поселок Ордынское проспект Ленина дом 2</t>
  </si>
  <si>
    <t>ИП540800118900001</t>
  </si>
  <si>
    <t>633340 Новосибирская область город Болотное улица Ленина дом 17</t>
  </si>
  <si>
    <t>ИП540800118900002</t>
  </si>
  <si>
    <t>633261 Новосибирская область рабочий поселок Ордынское проспект Ленина дом 4</t>
  </si>
  <si>
    <t>ИП540800118900010</t>
  </si>
  <si>
    <t>633340 Новосибирская область город Болотное улица Забабонова 19</t>
  </si>
  <si>
    <t>ИП540800118900011</t>
  </si>
  <si>
    <t>632551 Новосибирская область город Чулым улица Кооперативная дом 21</t>
  </si>
  <si>
    <t>ИП Абдуллаева Раисат Расуловна</t>
  </si>
  <si>
    <t>544207467920</t>
  </si>
  <si>
    <t>ИП5408017405</t>
  </si>
  <si>
    <t>ИП540801740500000</t>
  </si>
  <si>
    <t>632400 Новосибирская область город Каргат улица Советская дом 197/3</t>
  </si>
  <si>
    <t>ИП540801740500001</t>
  </si>
  <si>
    <t>632551 Новосибирская область город Чулым переулок Банковский дом 5А - - -</t>
  </si>
  <si>
    <t>ИП Лукьяненко Жанна Васильевна</t>
  </si>
  <si>
    <t>544207621138</t>
  </si>
  <si>
    <t>ИП5408017403</t>
  </si>
  <si>
    <t>ИП540801740300000</t>
  </si>
  <si>
    <t>632520 Новосибирская область село Убинское улица Ленина дом 8 - - -</t>
  </si>
  <si>
    <t>ИП540801740300001</t>
  </si>
  <si>
    <t>633010 Новосибирская область город Бердск улица М.Горького 6а   1 этаж</t>
  </si>
  <si>
    <t>ООО "ТД "ЮВЕЛИР-ЦЕНТР"</t>
  </si>
  <si>
    <t>5445024492</t>
  </si>
  <si>
    <t>ЮЛ5408013362</t>
  </si>
  <si>
    <t>ЮЛ540801336200000</t>
  </si>
  <si>
    <t>633009 Новосибирская область город Бердск улица Красная Сибирь дом 115</t>
  </si>
  <si>
    <t>ЮЛ540801336200001</t>
  </si>
  <si>
    <t>633010 Новосибирская область город Бердск улица Ленина здание 54/2</t>
  </si>
  <si>
    <t>ИП Ибрагимов Наиль Ришатович</t>
  </si>
  <si>
    <t>544505878210</t>
  </si>
  <si>
    <t>ИП5408040149</t>
  </si>
  <si>
    <t>ИП540804014900000</t>
  </si>
  <si>
    <t>633010 Новосибирская область город Бердск улица Ленина дом 54</t>
  </si>
  <si>
    <t>ИП Виноградова Наталья Александровна</t>
  </si>
  <si>
    <t>544507600570</t>
  </si>
  <si>
    <t>ИП5408011544</t>
  </si>
  <si>
    <t>ИП540801154400000</t>
  </si>
  <si>
    <t>633009 Новосибирская область город Бердск улица  Ленина дом 47</t>
  </si>
  <si>
    <t>ИП540801154400001</t>
  </si>
  <si>
    <t>633011 Новосибирская область город Бердск улица Ленина дом 29/1</t>
  </si>
  <si>
    <t>ИП Глухих Елена Геннадьевна</t>
  </si>
  <si>
    <t>544510572001</t>
  </si>
  <si>
    <t>ИП5408019492</t>
  </si>
  <si>
    <t>ИП540801949200000</t>
  </si>
  <si>
    <t>633010 Новосибирская область город Бердск улица Ленина дом 46   офис 1</t>
  </si>
  <si>
    <t>ИП Санников Роман Сергеевич</t>
  </si>
  <si>
    <t>544591000627</t>
  </si>
  <si>
    <t>ИП5408015479</t>
  </si>
  <si>
    <t>ИП540801547900000</t>
  </si>
  <si>
    <t>633209 Новосибирская область Искитим Вокзальная 8</t>
  </si>
  <si>
    <t>ИП Аретинская Наталья Петровна</t>
  </si>
  <si>
    <t>544606061745</t>
  </si>
  <si>
    <t>ИП5408015242</t>
  </si>
  <si>
    <t>ИП540801524200000</t>
  </si>
  <si>
    <t>633200 Новосибирская область город Искитим улица Комсомольская  дом 19б</t>
  </si>
  <si>
    <t>ИП Баркалов Евгений Геннадьевич</t>
  </si>
  <si>
    <t>544606447971</t>
  </si>
  <si>
    <t>ИП5408013832</t>
  </si>
  <si>
    <t>ИП540801383200000</t>
  </si>
  <si>
    <t>633520 Новосибирская область город Черепаново улица Пролетарская дом 78</t>
  </si>
  <si>
    <t>ИП Яцкова Марина Макариевна</t>
  </si>
  <si>
    <t>544608171292</t>
  </si>
  <si>
    <t>ИП5408014399</t>
  </si>
  <si>
    <t>ИП540801439900000</t>
  </si>
  <si>
    <t>633209 Новосибирская область город Искитим мкр. Индустриальный дом 42А</t>
  </si>
  <si>
    <t>ИП540801439900001</t>
  </si>
  <si>
    <t>632382 Новосибирская область город Куйбышев квартал 11-й дом 7   Этаж № 01</t>
  </si>
  <si>
    <t>ИП Абатурова Надежда Александровна</t>
  </si>
  <si>
    <t>545207002556</t>
  </si>
  <si>
    <t>ИП5408032347</t>
  </si>
  <si>
    <t>ИП540803234700000</t>
  </si>
  <si>
    <t>632382 Новосибирская область город  Куйбышев Квартал 10 дом 4   офис</t>
  </si>
  <si>
    <t>ИП Горчакова Тамара Степановна</t>
  </si>
  <si>
    <t>545207628150</t>
  </si>
  <si>
    <t>ИП5408015930</t>
  </si>
  <si>
    <t>ИП540801593000000</t>
  </si>
  <si>
    <t>632382 Новосибирская область Город Куйбышев  улица Новосибирская дом 1</t>
  </si>
  <si>
    <t>ИП540801593000001</t>
  </si>
  <si>
    <t>632382 Новосибирская область город Куйбышев улица Закраевского дом 118</t>
  </si>
  <si>
    <t>ИП540801593000002</t>
  </si>
  <si>
    <t>632336 Новосибирская область город Барабинск улица Кирова дом 26</t>
  </si>
  <si>
    <t>ИП540801593000004</t>
  </si>
  <si>
    <t>632334 Новосибирская область город Барабинск улица Карла Маркса дом 119</t>
  </si>
  <si>
    <t>ИП540801593000005</t>
  </si>
  <si>
    <t>632224 Новосибирская область р.п. Озеро Карачи Школьная 1е</t>
  </si>
  <si>
    <t>ИП540801593000006</t>
  </si>
  <si>
    <t>632382 Новосибирская область город Куйбышев     Салон "Ювелирный Мир"</t>
  </si>
  <si>
    <t>ИП540801593000007</t>
  </si>
  <si>
    <t>632382 Новосибирская область город Куйбышев квартал 11-й дом 7</t>
  </si>
  <si>
    <t>ИП Меркурьева Юлия Константиновна</t>
  </si>
  <si>
    <t>545207846648</t>
  </si>
  <si>
    <t>ИП5408011928</t>
  </si>
  <si>
    <t>ИП540801192800000</t>
  </si>
  <si>
    <t>632334 Новосибирская область город Барабинск улица Карла Маркса дом 121</t>
  </si>
  <si>
    <t>ИП540801192800001</t>
  </si>
  <si>
    <t>632125 Новосибирская область город Татарск улица Ленина дом 95   помещение 3</t>
  </si>
  <si>
    <t>ИП Астафьева Татьяна Викторовна</t>
  </si>
  <si>
    <t>545300035355</t>
  </si>
  <si>
    <t>ИП5408013350</t>
  </si>
  <si>
    <t>ИП540801335000000</t>
  </si>
  <si>
    <t>ИП Михайлова Елена Владимировна</t>
  </si>
  <si>
    <t>545300064483</t>
  </si>
  <si>
    <t>ИП5508036080</t>
  </si>
  <si>
    <t>ИП550803608000000</t>
  </si>
  <si>
    <t>632125 Новосибирская область город Татарск улица Ленина дом 100А</t>
  </si>
  <si>
    <t>ИП Галимова Татьяна Ильинична</t>
  </si>
  <si>
    <t>545305001350</t>
  </si>
  <si>
    <t>ИП5408013340</t>
  </si>
  <si>
    <t>ИП540801334000000</t>
  </si>
  <si>
    <t>632160 Новосибирская область село Усть-Тарка улица Чапаева 11</t>
  </si>
  <si>
    <t>ИП Кузнецов Виктор Васильевич</t>
  </si>
  <si>
    <t>550401735223</t>
  </si>
  <si>
    <t>ИП5508015928</t>
  </si>
  <si>
    <t>ИП550801592800000</t>
  </si>
  <si>
    <t>630112 Новосибирская область город Новосибирск улица Фрунзе дом 238   часть помещения №1</t>
  </si>
  <si>
    <t>ИП610400426600014</t>
  </si>
  <si>
    <t>630049 Новосибирская область город Новосибирск проспект Красный дом 182/1   этаж 6, помещение 601</t>
  </si>
  <si>
    <t>ЮЛ660701304200006</t>
  </si>
  <si>
    <t>630007 Новосибирская область город Новосибирск улица Советская дом 13</t>
  </si>
  <si>
    <t>ИП700801161100002</t>
  </si>
  <si>
    <t>630099 Новосибирская область Новосибирск Советская  51</t>
  </si>
  <si>
    <t>ИП700801161100005</t>
  </si>
  <si>
    <t>630091 Новосибирская область город Новосибирск улица Мичурина дом 10/1</t>
  </si>
  <si>
    <t>ИП540800286700000</t>
  </si>
  <si>
    <t>630005 Новосибирская область город Новосибирск улица Гоголя дом 13   ЧП 1.034.0.1.01</t>
  </si>
  <si>
    <t>ЮЛ760201190700082</t>
  </si>
  <si>
    <t>633100 Новосибирская область село Толмачево улица Победы дом 1А</t>
  </si>
  <si>
    <t>ЮЛ770100201500566</t>
  </si>
  <si>
    <t>630078 Новосибирская область город Новосибирск площадь им. Карла Маркса дом 3  Литер А Помещение 83, этаж 1</t>
  </si>
  <si>
    <t>ЮЛ770101216600079</t>
  </si>
  <si>
    <t>630024 Новосибирская область город Новосибирск улица Ватутина дом 107   помещение 111,112</t>
  </si>
  <si>
    <t>ЮЛ770101216600150</t>
  </si>
  <si>
    <t>630112 Новосибирская область город Новосибирск улица Фрунзе дом 238   помещение 84-90, этаж 1</t>
  </si>
  <si>
    <t>ЮЛ770101216600162</t>
  </si>
  <si>
    <t>630099 Новосибирская область город Новосибирск улица Военная дом 5   помещение 1025.1</t>
  </si>
  <si>
    <t>ЮЛ770101216600185</t>
  </si>
  <si>
    <t>630049 Новосибирская область город Новосибирск проспект Красный дом 101   помещение 111</t>
  </si>
  <si>
    <t>ЮЛ770101216600299</t>
  </si>
  <si>
    <t>630105 Новосибирская область город Новосибирск улица Ипподромская дом 46   этаж 1</t>
  </si>
  <si>
    <t>ЮЛ770101216600337</t>
  </si>
  <si>
    <t>630107 Новосибирская область город Новосибирск улица Троллейная дом 130а   этаж 1, часть помещения 143</t>
  </si>
  <si>
    <t>ЮЛ770101216600341</t>
  </si>
  <si>
    <t>630004 Новосибирская область город Новосибирск улица Ленина дом 84   этаж 1</t>
  </si>
  <si>
    <t>ЮЛ770101216600477</t>
  </si>
  <si>
    <t>630009 Новосибирская область город Новосибирск улица Большевистская дом 45/1   этаж 3, часть нежилого помещения №КА3 -9,10,11</t>
  </si>
  <si>
    <t>ЮЛ770101216600487</t>
  </si>
  <si>
    <t>630048 Новосибирская область город Новосибирск площадь им. Карла Маркса дом 6/1   этаж 1, часть нежилого помещения  А22</t>
  </si>
  <si>
    <t>ЮЛ770101216600579</t>
  </si>
  <si>
    <t>630087 Новосибирская область город Новосибирск улица Немировича-Данченко здание 144б   этаж 1</t>
  </si>
  <si>
    <t>ЮЛ770101216600670</t>
  </si>
  <si>
    <t>630559 Новосибирская область рабочий поселок Кольцово проспект Академика Сандахчиева здание 9   этаж 1, помещение № 3</t>
  </si>
  <si>
    <t>ЮЛ770101216600696</t>
  </si>
  <si>
    <t>630126 Новосибирская область город Новосибирск улица Выборная здание 142   1 этаж</t>
  </si>
  <si>
    <t>ЮЛ770101216600724</t>
  </si>
  <si>
    <t>633209 Новосибирская область город Искитим улица Пушкина дом 81А/3   1 этаж, нежилое помещение</t>
  </si>
  <si>
    <t>ЮЛ770101216600743</t>
  </si>
  <si>
    <t>630075 Новосибирская область город Новосибирск улица Богдана Хмельницкого дом 1   1 этаж, помещение П2</t>
  </si>
  <si>
    <t>ЮЛ770101216600747</t>
  </si>
  <si>
    <t>630058 Новосибирская область город Новосибирск шоссе Бердское дом 277   1 этаж, часть нежилого помещения</t>
  </si>
  <si>
    <t>ЮЛ770101216600773</t>
  </si>
  <si>
    <t>630001 Новосибирская область город Новосибирск улица Дуси Ковальчук дом 1/1   1 этаж, помещение № К1-13</t>
  </si>
  <si>
    <t>ЮЛ770101216600778</t>
  </si>
  <si>
    <t>630090 Новосибирская область город Новосибирск улица Ильича дом 6   2 этаж, нежилое помещение</t>
  </si>
  <si>
    <t>ЮЛ770101216600788</t>
  </si>
  <si>
    <t>630541 Новосибирская область Сельское поселение Мичуринский сельсовет, поселок Элитный улица Фламинго здание 15   этаж 1, помещение №32</t>
  </si>
  <si>
    <t>ЮЛ770101216600801</t>
  </si>
  <si>
    <t>633203 Новосибирская область город Искитим микрорайон Индустриальный дом 42А   этаж 1</t>
  </si>
  <si>
    <t>ЮЛ770101216600921</t>
  </si>
  <si>
    <t>630129 Новосибирская область город Новосибирск улица Курчатова дом 1   помещение № 84</t>
  </si>
  <si>
    <t>ЮЛ770101216600925</t>
  </si>
  <si>
    <t>630089 Новосибирская область город Новосибирск улица Кошурникова дом 33   этаж 1</t>
  </si>
  <si>
    <t>ЮЛ770101216600979</t>
  </si>
  <si>
    <t>630112 Новосибирская область город Новосибирск улица Фрунзе дом 242   этаж 8, помещение №9</t>
  </si>
  <si>
    <t>ЮЛ770100167700008</t>
  </si>
  <si>
    <t>ЮЛ770100419400107</t>
  </si>
  <si>
    <t>ЮЛ770100419400111</t>
  </si>
  <si>
    <t>630024 Новосибирская область город Новосибирск улица Ватутина дом 107</t>
  </si>
  <si>
    <t>ЮЛ770100419400200</t>
  </si>
  <si>
    <t>ЮЛ770100419400201</t>
  </si>
  <si>
    <t>ЮЛ770100419400202</t>
  </si>
  <si>
    <t>630024 Новосибирская область город Новосибирск улица Ватутина дом 107   помещение 3062</t>
  </si>
  <si>
    <t>ЮЛ770100193500199</t>
  </si>
  <si>
    <t>630078 Новосибирская область город Новосибирск площадь имени Карла Маркса дом 3  литер А 1 (первый) этаж, помещение 96</t>
  </si>
  <si>
    <t>ЮЛ770100193500200</t>
  </si>
  <si>
    <t>630107 Новосибирская область город Новосибирск улица Троллейная дом 130а   часть помещения 114</t>
  </si>
  <si>
    <t>ЮЛ770100193500201</t>
  </si>
  <si>
    <t>630091 Новосибирская область город Новосибирск улица Гоголя дом 7   первый этаж</t>
  </si>
  <si>
    <t>ЮЛ770100193500203</t>
  </si>
  <si>
    <t>630090 Новосибирская область город Новосибирск улица Кутателадзе дом 4/4   1 этаж, часть помещения 26</t>
  </si>
  <si>
    <t>ЮЛ770100193500204</t>
  </si>
  <si>
    <t>630099 Новосибирская область город Новосибирск улица Военная дом 5   помещение 210 (условный № 1041), первый этаж</t>
  </si>
  <si>
    <t>ЮЛ770100193500586</t>
  </si>
  <si>
    <t>633010 Новосибирская область город Бердск улица Ленина дом 54/3</t>
  </si>
  <si>
    <t>ЮЛ770100193500598</t>
  </si>
  <si>
    <t>630049 Новосибирская область город Новосибирск проспект Красный дом 188   этаж 1 (первый)</t>
  </si>
  <si>
    <t>ЮЛ770100193500737</t>
  </si>
  <si>
    <t>630105 Новосибирская область город Новосибирск улица Ипподромская дом 46   помещение, этаж 1 (первый)</t>
  </si>
  <si>
    <t>ЮЛ770100193500796</t>
  </si>
  <si>
    <t>630005 Новосибирская область город Новосибирск улица Гоголя дом 13   часть помещения 1.094.1.4.02, 1 (первый) этаж</t>
  </si>
  <si>
    <t>ЮЛ770100193500803</t>
  </si>
  <si>
    <t>630048 Новосибирская область город Новосибирск площадь им. Карла Маркса здание 6/1   помещение А40, этаж 1 (первый)</t>
  </si>
  <si>
    <t>ЮЛ770100193500822</t>
  </si>
  <si>
    <t>630112 Новосибирская область город Новосибирск улица Фрунзе дом 238   площадь о1/32 в помещении 1, первый этаж</t>
  </si>
  <si>
    <t>ЮЛ770100193500877</t>
  </si>
  <si>
    <t>633100 Новосибирская область село Толмачево улица Победы дом 1а</t>
  </si>
  <si>
    <t>ЮЛ770100193501002</t>
  </si>
  <si>
    <t>ЮЛ770100193501050</t>
  </si>
  <si>
    <t>630008 Новосибирская область город Новосибирск улица Кирова дом 113   место 1</t>
  </si>
  <si>
    <t>ЮЛ770100193501106</t>
  </si>
  <si>
    <t>630112 Новосибирская область город Новосибирск улица Фрунзе дом 238   помещения 122-124, А59, первый этаж</t>
  </si>
  <si>
    <t>ЮЛ770100193501145</t>
  </si>
  <si>
    <t>633104 Новосибирская область город Обь проспект Мозжерина здание 100а  этаж 3</t>
  </si>
  <si>
    <t>ЮЛ160600373100014</t>
  </si>
  <si>
    <t>630091 Новосибирская область город Новосибирск проспект Красный дом 71</t>
  </si>
  <si>
    <t>ИП780300136300007</t>
  </si>
  <si>
    <t>630048 Новосибирская область город Новосибирск улица Ватутина дом 28  Литер А Нежилое помещение, первый этаж</t>
  </si>
  <si>
    <t>ИП780300136300013</t>
  </si>
  <si>
    <t>630049 Новосибирская область город Новосибирск проспект Красный дом 188   № 23-30</t>
  </si>
  <si>
    <t>ЮЛ780300131300315</t>
  </si>
  <si>
    <t>630049 Новосибирская область город Новосибирск проспект Красный дом 157</t>
  </si>
  <si>
    <t>ЮЛ780300131300316</t>
  </si>
  <si>
    <t>630088 Новосибирская область город Новосибирск улица Громова дом 7   часть помещения №24, часть помещения №29</t>
  </si>
  <si>
    <t>ЮЛ780300131300317</t>
  </si>
  <si>
    <t>630073 Новосибирская область город Новосибирск ул. К.Маркса 4</t>
  </si>
  <si>
    <t>ЮЛ780300131300318</t>
  </si>
  <si>
    <t>630089 Новосибирская область город Новосибирск улица Бориса Богаткова дом 208/1</t>
  </si>
  <si>
    <t>ЮЛ780300131300321</t>
  </si>
  <si>
    <t>630005 Новосибирская область город Новосибирск улица Гоголя дом 19</t>
  </si>
  <si>
    <t>ЮЛ780300131300391</t>
  </si>
  <si>
    <t>630009 Новосибирская область город Новосибирск улица Кирова дом 108   часть комнаты №17</t>
  </si>
  <si>
    <t>ЮЛ780300131300452</t>
  </si>
  <si>
    <t>630559 Новосибирская область р.п. Кольцово  дом 19   Номера на поэтажном плане: 45</t>
  </si>
  <si>
    <t>ЮЛ780300131300463</t>
  </si>
  <si>
    <t>630054 Новосибирская область город Новосибирск улица Станиславского 17</t>
  </si>
  <si>
    <t>ЮЛ780300131300472</t>
  </si>
  <si>
    <t>630096 Новосибирская область город Новосибирск улица Колхидская 2   место № 5а</t>
  </si>
  <si>
    <t>ЮЛ780300328000047</t>
  </si>
  <si>
    <t>630056 Новосибирская область город Новосибирск улица Ветлужская дом 16</t>
  </si>
  <si>
    <t>ЮЛ780300328000239</t>
  </si>
  <si>
    <t>630005 Новосибирская область город Новосибирск улица Гоголя дом 13   помещение 167</t>
  </si>
  <si>
    <t>ООО "ВСК ЮВЕЛИР"</t>
  </si>
  <si>
    <t>7806559566</t>
  </si>
  <si>
    <t>ЮЛ7803012467</t>
  </si>
  <si>
    <t>ЮЛ780301246700004</t>
  </si>
  <si>
    <t>630054 Новосибирская область город Новосибирск улица Станиславского дом 14</t>
  </si>
  <si>
    <t>ЮЛ780300323500020</t>
  </si>
  <si>
    <t>633010 Новосибирская область город Бердск улица Ленина дом 90</t>
  </si>
  <si>
    <t>ИП Аболенцева Любовь Павловна</t>
  </si>
  <si>
    <t>781311716014</t>
  </si>
  <si>
    <t>ИП5408018750</t>
  </si>
  <si>
    <t>ИП540801875000000</t>
  </si>
  <si>
    <t>630073 Новосибирская область город Новосибирск проспект Карла Маркса дом 29</t>
  </si>
  <si>
    <t>ЮЛ780300308200036</t>
  </si>
  <si>
    <t>ЮЛ780300308200050</t>
  </si>
  <si>
    <t>630559 Новосибирская область рабочий поселок Кольцово  дом 19   помещение 48, часть помещения 56</t>
  </si>
  <si>
    <t>ЮЛ780300308200062</t>
  </si>
  <si>
    <t>630080 Новосибирская область город Новосибирск улица Первомайская дом 100</t>
  </si>
  <si>
    <t>ЮЛ780300308200072</t>
  </si>
  <si>
    <t>630129 Новосибирская область город Новосибирск улица Рассветная дом 13</t>
  </si>
  <si>
    <t>ЮЛ780300308200073</t>
  </si>
  <si>
    <t>630107 Новосибирская область город Новосибирск улица Троллейная дом 130А</t>
  </si>
  <si>
    <t>ЮЛ780300308200074</t>
  </si>
  <si>
    <t>630004 Новосибирская область город Новосибирск улица Вокзальная магистраль дом 2   помещения 5,13</t>
  </si>
  <si>
    <t>ЮЛ780300308200080</t>
  </si>
  <si>
    <t>630048 Новосибирская область город Новосибирск улица Ватутина дом 28а</t>
  </si>
  <si>
    <t>ЮЛ780300308200298</t>
  </si>
  <si>
    <t>633216 Новосибирская область рабочий поселок Линево проспект Коммунистический дом 2</t>
  </si>
  <si>
    <t>ЮЛ780300308200347</t>
  </si>
  <si>
    <t>630129 Новосибирская область город Новосибирск улица Курчатова дом 1   часть помещения №78 (остров №9)</t>
  </si>
  <si>
    <t>ЮЛ780300308200597</t>
  </si>
  <si>
    <t>630009 Новосибирская область город Новосибирск улица Кирова дом 108</t>
  </si>
  <si>
    <t>ЮЛ780300308200631</t>
  </si>
  <si>
    <t>ЮЛ780300308200672</t>
  </si>
  <si>
    <t>ЮЛ780300308200909</t>
  </si>
  <si>
    <t>ЮЛ780300308200924</t>
  </si>
  <si>
    <t>630027 Новосибирская область город Новосибирск улица Объединения дом 80/1</t>
  </si>
  <si>
    <t>ЮЛ780300308200947</t>
  </si>
  <si>
    <t>630015 Новосибирская область город Новосибирск улица Трикотажная дом 29</t>
  </si>
  <si>
    <t>ЮЛ780300308200951</t>
  </si>
  <si>
    <t>630055 Новосибирская область город Новосибирск улица Героев Труда дом 16</t>
  </si>
  <si>
    <t>ЮЛ780300308200953</t>
  </si>
  <si>
    <t>ЮЛ780300308200955</t>
  </si>
  <si>
    <t>633010 Новосибирская область город Бердск улица Ленина дом 67</t>
  </si>
  <si>
    <t>ЮЛ780300308200958</t>
  </si>
  <si>
    <t>630049 Новосибирская область город Новосибирск проспект Красный дом 188   часть нежилых помещений №23-30</t>
  </si>
  <si>
    <t>ЮЛ780300308200963</t>
  </si>
  <si>
    <t>630075 Новосибирская область город Новосибирск улица Богдана Хмельницкого дом 20</t>
  </si>
  <si>
    <t>ЮЛ780300308200967</t>
  </si>
  <si>
    <t>630112 Новосибирская область город Новосибирск улица Фрунзе дом 238   часть нежилого помещения №№ 125,126,127</t>
  </si>
  <si>
    <t>ЮЛ780300308200973</t>
  </si>
  <si>
    <t>633209 Новосибирская область город Искитим улица Пушкина дом 57Б</t>
  </si>
  <si>
    <t>ЮЛ780300308201025</t>
  </si>
  <si>
    <t>ЮЛ780300308201061</t>
  </si>
  <si>
    <t>630073 Новосибирская область город Новосибирск проспект Карла Маркса дом 4</t>
  </si>
  <si>
    <t>ЮЛ780300308201062</t>
  </si>
  <si>
    <t>ЮЛ780300308201076</t>
  </si>
  <si>
    <t>630091 Новосибирская область город Новосибирск улица Гоголя дом 7   часть нежилого помещения № 1(номера на поэтажном плане 1-7,21-27)</t>
  </si>
  <si>
    <t>ЮЛ780300308201103</t>
  </si>
  <si>
    <t>630073 Новосибирская область город Новосибирск проспект Карла Маркса дом 3   помещение № 97</t>
  </si>
  <si>
    <t>ЮЛ780300308201129</t>
  </si>
  <si>
    <t>630024 Новосибирская область город Новосибирск улица Ватутина здание 107   помещение 648,649 (по плану Арендодателя 2008)</t>
  </si>
  <si>
    <t>ЮЛ780300308201147</t>
  </si>
  <si>
    <t>630099 Новосибирская область город Новосибирск улица Военная дом 5   нежилое помещение № 209 с условным обозначением №1042</t>
  </si>
  <si>
    <t>ЮЛ780300308201161</t>
  </si>
  <si>
    <t>630049 Новосибирская область город Новосибирск проспект Красный дом 101   помещение 106 (остров № 41)</t>
  </si>
  <si>
    <t>ЮЛ780300308201177</t>
  </si>
  <si>
    <t>630005 Новосибирская область город Новосибирск улица Гоголя дом 13   нежилое помещение с номером 1.078.0.4.02</t>
  </si>
  <si>
    <t>ЮЛ780300308201186</t>
  </si>
  <si>
    <t>630112 Новосибирская область город Новосибирск улица Фрунзе дом 238   часть помещения №120, А58/1 (условный номер)</t>
  </si>
  <si>
    <t>ЮЛ780300308201218</t>
  </si>
  <si>
    <t>ЮЛ780300363500165</t>
  </si>
  <si>
    <t>ЮЛ770101527400008</t>
  </si>
  <si>
    <t>630005 Новосибирская область город Новосибирск улица Гоголя дом 13   помещение 146</t>
  </si>
  <si>
    <t>ЮЛ770100668800003</t>
  </si>
  <si>
    <t>630005 Новосибирская область город Новосибирск улица Гоголя дом 13   помещение №181 1 этаж</t>
  </si>
  <si>
    <t>ЮЛ770100439200051</t>
  </si>
  <si>
    <t>630112 Новосибирская область город Новосибирск улица Фрунзе дом 238   1 этаж, помещения №128-129</t>
  </si>
  <si>
    <t>ЮЛ770100439200204</t>
  </si>
  <si>
    <t>630091 Новосибирская область город Новосибирск улица Фрунзе дом 5   помещения №№ 52,53,54/офис 431</t>
  </si>
  <si>
    <t>ЮЛ770100029500006</t>
  </si>
  <si>
    <t>Омская область</t>
  </si>
  <si>
    <t>646070 Омская область рабочий поселок Москаленки улица Ленина дом 4</t>
  </si>
  <si>
    <t>ИП Шмаков Александр Андреевич</t>
  </si>
  <si>
    <t>383101701656</t>
  </si>
  <si>
    <t>ИП5001007509</t>
  </si>
  <si>
    <t>ИП500100750900000</t>
  </si>
  <si>
    <t>644099 Омская область город Омск улица Ленина дом 14   помещение 21П</t>
  </si>
  <si>
    <t>ИП500100445500031</t>
  </si>
  <si>
    <t>644074 Омская область город Омск бульвар Архитекторов дом 35   Мега, 582 KSK-01</t>
  </si>
  <si>
    <t>ИП500100445500126</t>
  </si>
  <si>
    <t>644000 Омская область город Омск бульвар Архитекторов дом 35</t>
  </si>
  <si>
    <t>ЮЛ520603376600145</t>
  </si>
  <si>
    <t>644029 Омская область город Омск проспект Мира дом 60</t>
  </si>
  <si>
    <t>ООО ЛОМБАРД "ЕРМАКЗАЛОГСЕРВИС"</t>
  </si>
  <si>
    <t>5501050749</t>
  </si>
  <si>
    <t>ЮЛ5508001116</t>
  </si>
  <si>
    <t>ЮЛ550800111600002</t>
  </si>
  <si>
    <t>644050 Омская область город Омск улица Химиков дом 4   квартира 4</t>
  </si>
  <si>
    <t>ООО "ПРОЭКТ"</t>
  </si>
  <si>
    <t>5501081313</t>
  </si>
  <si>
    <t>ЮЛ5508020107</t>
  </si>
  <si>
    <t>ЮЛ550802010700000</t>
  </si>
  <si>
    <t>644099 Омская область город Омск улица Карла Либкнехта дом 35 9 этаж  пом.28,29,30</t>
  </si>
  <si>
    <t>ИП Ложевская Ольга Александровна</t>
  </si>
  <si>
    <t>550109015025</t>
  </si>
  <si>
    <t>ИП5508013900</t>
  </si>
  <si>
    <t>ИП550801390000000</t>
  </si>
  <si>
    <t>644024 Омская область город Омск улица Ильинская дом 9 1 этаж литер Д  помещение №№9,17</t>
  </si>
  <si>
    <t>ООО "ЮК "ХРУСТАЛЬНАЯ ТУФЕЛЬКА"</t>
  </si>
  <si>
    <t>5501191210</t>
  </si>
  <si>
    <t>ЮЛ5508015489</t>
  </si>
  <si>
    <t>ЮЛ550801548900000</t>
  </si>
  <si>
    <t>644010 Омская область город Омск улица Чокана Валиханова дом 11</t>
  </si>
  <si>
    <t>ЮЛ550801548900001</t>
  </si>
  <si>
    <t>644029 Омская область город Омск проспект Мира дом 54</t>
  </si>
  <si>
    <t>ИП Ершов Анатолий Георгиевич</t>
  </si>
  <si>
    <t>550200019276</t>
  </si>
  <si>
    <t>ИП5508003940</t>
  </si>
  <si>
    <t>ИП550800394000000</t>
  </si>
  <si>
    <t>644106 Омская область город Омск улица Дианова дом 14</t>
  </si>
  <si>
    <t>ИП550800394000002</t>
  </si>
  <si>
    <t>644103 Омская область город Омск улица 12 Декабря дом 64</t>
  </si>
  <si>
    <t>ИП550800394000009</t>
  </si>
  <si>
    <t>644099 Омская область город Омск улица Интернациональная дом 43   помещение 2</t>
  </si>
  <si>
    <t>ИП Костромин Олег Александрович</t>
  </si>
  <si>
    <t>550200226603</t>
  </si>
  <si>
    <t>ИП5508012952</t>
  </si>
  <si>
    <t>ИП550801295200000</t>
  </si>
  <si>
    <t>644099 Омская область город Омск улица Интернациональная дом 43   помещение 3</t>
  </si>
  <si>
    <t>ИП550801295200003</t>
  </si>
  <si>
    <t>644070 Омская область город Омск улица 10 лет Октября дом 92   2 этаж</t>
  </si>
  <si>
    <t>ИП550801295200008</t>
  </si>
  <si>
    <t>644086 Омская область город Омск улица 4-я Челюскинцев дом 66 корпус 1</t>
  </si>
  <si>
    <t>ИП550801295200009</t>
  </si>
  <si>
    <t>644099 Омская область город Омск улица Интернациональная дом 43   помещение 1</t>
  </si>
  <si>
    <t>ИП550801295200010</t>
  </si>
  <si>
    <t>644000 Омская область город Омск улица Масленникова  дом134</t>
  </si>
  <si>
    <t>ИП550801295200011</t>
  </si>
  <si>
    <t>644119 Омская область город Омск проспект Комарова дом 6 корпус 1  этаж 1, часть помещения 133</t>
  </si>
  <si>
    <t>ИП Зубова Марина Витальевна</t>
  </si>
  <si>
    <t>550203161947</t>
  </si>
  <si>
    <t>ИП5508013574</t>
  </si>
  <si>
    <t>ИП550801357400000</t>
  </si>
  <si>
    <t>644103 Омская область город Омск улица Транссибирская дом 28  А, А1, А2, А3, А4 2 этаж, часть нежилого помещения № 62</t>
  </si>
  <si>
    <t>ИП550801357400007</t>
  </si>
  <si>
    <t>644099 Омская область город Омск улица Интернациональная дом 43</t>
  </si>
  <si>
    <t>ИП Усова Ольга Витальевна</t>
  </si>
  <si>
    <t>550208177475</t>
  </si>
  <si>
    <t>ИП5508035819</t>
  </si>
  <si>
    <t>ИП550803581900000</t>
  </si>
  <si>
    <t>644074 Омская область город Омск улица 70 лет Октября дом 25 корпус 2 литера А1 1 этаж № 4П</t>
  </si>
  <si>
    <t>ИП550803581900001</t>
  </si>
  <si>
    <t>644099 Омская область город Омск улица Карла Либкнехта дом 35   11</t>
  </si>
  <si>
    <t>ИП Хариби Марина Николаевна</t>
  </si>
  <si>
    <t>550300950577</t>
  </si>
  <si>
    <t>ИП5508011202</t>
  </si>
  <si>
    <t>ИП550801120200000</t>
  </si>
  <si>
    <t>644029 Омская область город Омск улица Малунцева дом 13   помещение 6п</t>
  </si>
  <si>
    <t>ИП Коломейко Юлия Владимировна</t>
  </si>
  <si>
    <t>550302594500</t>
  </si>
  <si>
    <t>ИП5508001203</t>
  </si>
  <si>
    <t>ИП550800120300000</t>
  </si>
  <si>
    <t>644099 Омская область город Омск улица Карла Либкнехта дом 35   1,2,3,4,5,20,22</t>
  </si>
  <si>
    <t>ИП Хариби Кирилл Вадимович</t>
  </si>
  <si>
    <t>550307850684</t>
  </si>
  <si>
    <t>ИП5508011204</t>
  </si>
  <si>
    <t>ИП550801120400000</t>
  </si>
  <si>
    <t>644070 Омская область город Омск улица 10 лет Октября дом 113   ПОМЕЩ. 11П ПОМЕЩ. 57</t>
  </si>
  <si>
    <t>ООО "ЛОМБАРД "ЛИДЕР"</t>
  </si>
  <si>
    <t>5503208773</t>
  </si>
  <si>
    <t>ЮЛ5508012549</t>
  </si>
  <si>
    <t>ЮЛ550801254900000</t>
  </si>
  <si>
    <t>644105 Омская область город Омск улица 22 Партсъезда дом 94</t>
  </si>
  <si>
    <t>ЮЛ550801254900003</t>
  </si>
  <si>
    <t>644088 Омская область город Омск улица 22 Апреля дом 8 В</t>
  </si>
  <si>
    <t>ЮЛ550801254900005</t>
  </si>
  <si>
    <t>644112 Омская область город Омск улица Степанца дом 8 Б</t>
  </si>
  <si>
    <t>ЮЛ550801254900007</t>
  </si>
  <si>
    <t>644052 Омская область город Омск улица 4-я Челюскинцев дом 117 3</t>
  </si>
  <si>
    <t>ЮЛ550801254900008</t>
  </si>
  <si>
    <t>644103 Омская область город Омск улица 12 Декабря дом 104 А</t>
  </si>
  <si>
    <t>ЮЛ550801254900009</t>
  </si>
  <si>
    <t>644013 Омская область город Омск улица Завертяева дом 24   к 4</t>
  </si>
  <si>
    <t>ЮЛ550801254900010</t>
  </si>
  <si>
    <t>644007 Омская область город Омск улица Фрунзе дом 80   632</t>
  </si>
  <si>
    <t>ООО "СИЛЬВЕР-ГОЛД"</t>
  </si>
  <si>
    <t>5503223475</t>
  </si>
  <si>
    <t>ЮЛ5508003469</t>
  </si>
  <si>
    <t>ЮЛ550800346900000</t>
  </si>
  <si>
    <t>644043 Омская область город Омск улица Фрунзе дом 1 корпус 4  помещение 2п:8,9</t>
  </si>
  <si>
    <t>ИП Киселева Кристина Юрьевна</t>
  </si>
  <si>
    <t>550335271784</t>
  </si>
  <si>
    <t>ИП5508005032</t>
  </si>
  <si>
    <t>ИП550800503200000</t>
  </si>
  <si>
    <t>644042 Омская область город Омск проспект Карла Маркса дом 24   торговое место № 252</t>
  </si>
  <si>
    <t>ИП550800503200006</t>
  </si>
  <si>
    <t>644074 Омская область город Омск бульвар Архитекторов дом 35   площадь № 582KSK-06</t>
  </si>
  <si>
    <t>ИП550800503200007</t>
  </si>
  <si>
    <t>644000 Омская область город Омск улица Фрунзе дом 1   бутик 12 - ОП - заказы - сайт</t>
  </si>
  <si>
    <t>ИП550800503200008</t>
  </si>
  <si>
    <t>644020 Омская область город Омск улица Серова дом 32</t>
  </si>
  <si>
    <t>ИП Сафронова Ирина Алексеевна</t>
  </si>
  <si>
    <t>550401372354</t>
  </si>
  <si>
    <t>ИП5508020307</t>
  </si>
  <si>
    <t>ИП550802030700000</t>
  </si>
  <si>
    <t>644020 Омская область город Омск улица Лобкова дом 4</t>
  </si>
  <si>
    <t>ИП550802030700001</t>
  </si>
  <si>
    <t>644099 Омская область город Омск улица Герцена дом 19   помещение 30П</t>
  </si>
  <si>
    <t>ИП Вандышев Владимир Анатольевич</t>
  </si>
  <si>
    <t>550401421474</t>
  </si>
  <si>
    <t>ИП5508007887</t>
  </si>
  <si>
    <t>ИП550800788700000</t>
  </si>
  <si>
    <t>644010 Омская область город Омск площадь Ленинградская дом 3 корпус 1  нежилое помещение</t>
  </si>
  <si>
    <t>ИП550800788700002</t>
  </si>
  <si>
    <t>644043 Омская область город Омск улица Ленина дом 16   помещение 2П</t>
  </si>
  <si>
    <t>ИП550800788700004</t>
  </si>
  <si>
    <t>644001 Омская область Город Омск Улица Масленникова Дом 134</t>
  </si>
  <si>
    <t>ИП Русина Ольга Анатольевна</t>
  </si>
  <si>
    <t>550401592783</t>
  </si>
  <si>
    <t>ИП5508011188</t>
  </si>
  <si>
    <t>ИП550801118800000</t>
  </si>
  <si>
    <t>644010 Омская область Город Омск Улица Проспект К.Маркса Дом 29А</t>
  </si>
  <si>
    <t>ИП550801118800001</t>
  </si>
  <si>
    <t>644050 Омская область Город Омск Улица Проспект Мира Дом 9Б</t>
  </si>
  <si>
    <t>ИП550801118800002</t>
  </si>
  <si>
    <t>644031 Омская область город Омск улица 10 лет Октября дом 166/1</t>
  </si>
  <si>
    <t>ИП Будник Александр Николаевич</t>
  </si>
  <si>
    <t>550405739155</t>
  </si>
  <si>
    <t>ИП5508012956</t>
  </si>
  <si>
    <t>ИП550801295600000</t>
  </si>
  <si>
    <t>644010 Омская область город Омск улица Маршала Жукова дом 70А/1   кабинет 2</t>
  </si>
  <si>
    <t>ООО "МИСТЕРГОЛД"</t>
  </si>
  <si>
    <t>5504102160</t>
  </si>
  <si>
    <t>ЮЛ5508007791</t>
  </si>
  <si>
    <t>ЮЛ550800779100000</t>
  </si>
  <si>
    <t>644024 Омская область город Омск улица Лермонтова дом 63  ПОМ. 21П офис 404</t>
  </si>
  <si>
    <t>ЮЛ550801121800000</t>
  </si>
  <si>
    <t>644010 Омская область город Омск площадь Ленинградская дом 3</t>
  </si>
  <si>
    <t>ООО "ЖЕМЧУЖИНА ПЛЮС"</t>
  </si>
  <si>
    <t>5504162994</t>
  </si>
  <si>
    <t>ЮЛ5508013083</t>
  </si>
  <si>
    <t>ЮЛ550801308300000</t>
  </si>
  <si>
    <t>644123 Омская область город Омск Улица 70 лет Октября дом 12 Корпус 1</t>
  </si>
  <si>
    <t>ЮЛ550801308300001</t>
  </si>
  <si>
    <t>644099 Омская область город Омск улица Карла Либкнехта дом 35   помещение 23</t>
  </si>
  <si>
    <t>ООО "РОССЮВЕЛИРТОРГ"</t>
  </si>
  <si>
    <t>5504225556</t>
  </si>
  <si>
    <t>ЮЛ5508006805</t>
  </si>
  <si>
    <t>ЮЛ550800680500000</t>
  </si>
  <si>
    <t>646900 Омская область город Калачинск улица Советская дом 3   пом.3П</t>
  </si>
  <si>
    <t>ЮЛ550800680500002</t>
  </si>
  <si>
    <t>644020 Омская область город Омск улица Рождественского дом 6 корпус 1</t>
  </si>
  <si>
    <t>ЮЛ550800680500003</t>
  </si>
  <si>
    <t>644027 Омская область город Омск проспект Космический дом 17Б</t>
  </si>
  <si>
    <t>ЮЛ550800680500004</t>
  </si>
  <si>
    <t>644090 Омская область город Омск улица Заозерная дом 11 корпус 1  пом2-107</t>
  </si>
  <si>
    <t>ЮЛ550800680500005</t>
  </si>
  <si>
    <t>644106 Омская область город Омск улица Дианова дом 14   пом.22,23</t>
  </si>
  <si>
    <t>ЮЛ550800680500006</t>
  </si>
  <si>
    <t>644099 Омская область город Омск улица Карла Либкнехта дом 35   пом. 24</t>
  </si>
  <si>
    <t>ЮЛ550800680500007</t>
  </si>
  <si>
    <t>ЮЛ550800680500008</t>
  </si>
  <si>
    <t>644099 Омская область город Омск улица Ленина дом 5</t>
  </si>
  <si>
    <t>ЮЛ550800680500009</t>
  </si>
  <si>
    <t>644010 Омская область город Омск проспект Карла Маркса дом 10   пом.11-16</t>
  </si>
  <si>
    <t>ЮЛ550800680500010</t>
  </si>
  <si>
    <t>644021 Омская область город Омск улица Масленникова дом 134</t>
  </si>
  <si>
    <t>ЮЛ550800680500012</t>
  </si>
  <si>
    <t>644050 Омская область город Омск проспект Мира дом 9Б   пом.15П</t>
  </si>
  <si>
    <t>ЮЛ550800680500013</t>
  </si>
  <si>
    <t>644042 Омская область город Омск проспект Карла Маркса дом 24   пом.39</t>
  </si>
  <si>
    <t>ЮЛ550800680500014</t>
  </si>
  <si>
    <t>644050 Омская область город Омск улица Химиков дом 2   пом. 11П</t>
  </si>
  <si>
    <t>ЮЛ550800680500015</t>
  </si>
  <si>
    <t>ЮЛ550800680500016</t>
  </si>
  <si>
    <t>644074 Омская область город Омск бульвар Архитекторов дом 35</t>
  </si>
  <si>
    <t>ЮЛ550800680500017</t>
  </si>
  <si>
    <t>644024 Омская область город Омск улица Березовского дом 19</t>
  </si>
  <si>
    <t>ЮЛ550800680500018</t>
  </si>
  <si>
    <t>ЮЛ550800680500019</t>
  </si>
  <si>
    <t>644074 Омская область город Омск улица 70 лет Октября дом 25/2</t>
  </si>
  <si>
    <t>ЮЛ550800680500020</t>
  </si>
  <si>
    <t>644074 Омская область город Омск улица 70 лет Октября дом 19</t>
  </si>
  <si>
    <t>ЮЛ550800680500021</t>
  </si>
  <si>
    <t>644042 Омская область город Омск проспект Карла Маркса дом 24</t>
  </si>
  <si>
    <t>ЮЛ550800680500022</t>
  </si>
  <si>
    <t>644058 Омская область город Омск улица 6-я Станционная дом 2/3</t>
  </si>
  <si>
    <t>ЮЛ550800680500023</t>
  </si>
  <si>
    <t>644041 Омская область город Омск улица Кирова дом 47а</t>
  </si>
  <si>
    <t>ЮЛ550800680500024</t>
  </si>
  <si>
    <t>644020 Омская область город Омск улица Лобкова 4 1</t>
  </si>
  <si>
    <t>ЮЛ550800680500025</t>
  </si>
  <si>
    <t>644010 Омская область город Омск улица Масленникова  дом 28   Модный Дом "Роба"</t>
  </si>
  <si>
    <t>ИП Михайлова Галина Юрьевна</t>
  </si>
  <si>
    <t>550501045103</t>
  </si>
  <si>
    <t>ИП5508015723</t>
  </si>
  <si>
    <t>ИП550801572300000</t>
  </si>
  <si>
    <t>644020 Омская область город Омск проспект Карла Маркса дом 84А</t>
  </si>
  <si>
    <t>ООО ТД "ОМСКИЙ ЮВЕЛИР"</t>
  </si>
  <si>
    <t>5505041696</t>
  </si>
  <si>
    <t>ЮЛ5508013008</t>
  </si>
  <si>
    <t>ЮЛ550801300800000</t>
  </si>
  <si>
    <t>644090 Омская область город Омск улица Заозерная дом 11 корпус 1  помещение № 4-119</t>
  </si>
  <si>
    <t>ЮЛ550801300800001</t>
  </si>
  <si>
    <t>644074 Омская область город Омск улица 70 лет Октября дом 19  литер А часть помещения № 26</t>
  </si>
  <si>
    <t>ЮЛ550801300800002</t>
  </si>
  <si>
    <t>644065 Омская область город Омск улица 22 Апреля дом 38 корпус 8  помещение 12</t>
  </si>
  <si>
    <t>ЮЛ550801300800003</t>
  </si>
  <si>
    <t>644099 Омская область город Омск улица Ленина дом 19</t>
  </si>
  <si>
    <t>ЮЛ550801300800004</t>
  </si>
  <si>
    <t>644088 Омская область город Омск улица Энтузиастов дом 2 корпус 1  помещение № 139</t>
  </si>
  <si>
    <t>ЮЛ550801300800005</t>
  </si>
  <si>
    <t>644041 Омская область город Омск улица Кирова дом 3</t>
  </si>
  <si>
    <t>5505074726</t>
  </si>
  <si>
    <t>ЮЛ5508039822</t>
  </si>
  <si>
    <t>ЮЛ550803982200000</t>
  </si>
  <si>
    <t>ИП Бережная Светлана Валентиновна</t>
  </si>
  <si>
    <t>550510089932</t>
  </si>
  <si>
    <t>ИП5508037053</t>
  </si>
  <si>
    <t>ИП550803705300000</t>
  </si>
  <si>
    <t>644123 Омская область город Омск улица 70 лет Октября дом 12 корпус 1</t>
  </si>
  <si>
    <t>ИП550803705300001</t>
  </si>
  <si>
    <t>644103 Омская область город Омск улица Суровцева дом 55   помещение 23</t>
  </si>
  <si>
    <t>ИП Бескоровайный Николай Валерьевич</t>
  </si>
  <si>
    <t>550510620060</t>
  </si>
  <si>
    <t>ИП7701020168</t>
  </si>
  <si>
    <t>ИП770102016800000</t>
  </si>
  <si>
    <t>644076 Омская область город Омск улица Индустриальная дом 56   1 этаж, помещения 4,5,6,7</t>
  </si>
  <si>
    <t>ИП ГОРТЭ Е. А.</t>
  </si>
  <si>
    <t>550512549504</t>
  </si>
  <si>
    <t>ИП5508037962</t>
  </si>
  <si>
    <t>ИП550803796200000</t>
  </si>
  <si>
    <t>ИП Мэрц Ирина Александровна</t>
  </si>
  <si>
    <t>550517284160</t>
  </si>
  <si>
    <t>ИП5508015270</t>
  </si>
  <si>
    <t>ИП550801527000000</t>
  </si>
  <si>
    <t>ИП550801527000001</t>
  </si>
  <si>
    <t>644119 Омская область город Омск проспект Комарова дом 6 корпус 1</t>
  </si>
  <si>
    <t>ИП550801527000002</t>
  </si>
  <si>
    <t>644050 Омская область город Омск проспект Мира дом 9Б</t>
  </si>
  <si>
    <t>ИП550801527000003</t>
  </si>
  <si>
    <t>644074 Омская область город Омск улица 70 лет Октября дом 25 корпус 1</t>
  </si>
  <si>
    <t>ИП Лагутина Нина Ивановна</t>
  </si>
  <si>
    <t>550600915326</t>
  </si>
  <si>
    <t>ИП5508012625</t>
  </si>
  <si>
    <t>ИП550801262500000</t>
  </si>
  <si>
    <t>644058 Омская область город Омск улица 6-я Станционная дом 2 корпус 3</t>
  </si>
  <si>
    <t>ИП550801262500002</t>
  </si>
  <si>
    <t>644090 Омская область город Омск улица Заозерная дом 11/1  блок 3</t>
  </si>
  <si>
    <t>ИП550801262500004</t>
  </si>
  <si>
    <t>644007 Омская область город Омск улица Гусарова дом 30</t>
  </si>
  <si>
    <t>ИП Сопин Олег Григорьевич</t>
  </si>
  <si>
    <t>550601641318</t>
  </si>
  <si>
    <t>ИП5508014971</t>
  </si>
  <si>
    <t>ИП550801497100000</t>
  </si>
  <si>
    <t>ИП550801497100002</t>
  </si>
  <si>
    <t>644020 Омская область город Омск улица Рождественского дом 6  литера КТ этаж 1</t>
  </si>
  <si>
    <t>ИП Бакман Анатолий Викторович</t>
  </si>
  <si>
    <t>550606059713</t>
  </si>
  <si>
    <t>ИП5508014158</t>
  </si>
  <si>
    <t>ИП550801415800002</t>
  </si>
  <si>
    <t>644106 Омская область город Омск улица Дианова дом 14   этаж 1, часть помещения № 23</t>
  </si>
  <si>
    <t>ИП550801415800003</t>
  </si>
  <si>
    <t>ИП550801415800005</t>
  </si>
  <si>
    <t>644082 Омская область город Омск улица Бетховена дом 22   часть нежилого помещения в Павильоне № 18</t>
  </si>
  <si>
    <t>ИП550801415800006</t>
  </si>
  <si>
    <t>644021 Омская область город Омск улица Ипподромная дом 27А</t>
  </si>
  <si>
    <t>ИП Ткач Сергей Алексеевич</t>
  </si>
  <si>
    <t>550609276339</t>
  </si>
  <si>
    <t>ИП5508016003</t>
  </si>
  <si>
    <t>ИП550801600300001</t>
  </si>
  <si>
    <t>644076 Омская область город Омск проспект Космический дом 99/2</t>
  </si>
  <si>
    <t>ИП Формояни Георгий Анатольевич</t>
  </si>
  <si>
    <t>550612978899</t>
  </si>
  <si>
    <t>ИП5508005823</t>
  </si>
  <si>
    <t>ИП550800582300000</t>
  </si>
  <si>
    <t>644089 Омская область город Омск проспект Мира дом 98Б</t>
  </si>
  <si>
    <t>ИП Царегородцева Марина Ильинична</t>
  </si>
  <si>
    <t>550615296816</t>
  </si>
  <si>
    <t>ИП5508014100</t>
  </si>
  <si>
    <t>ИП550801410000000</t>
  </si>
  <si>
    <t>644020 Омская область город Омск улица Рождественского дом 6  литера КТ (торговый комплекс) место 205</t>
  </si>
  <si>
    <t>ИП Иванова Ирина Александровна</t>
  </si>
  <si>
    <t>550700028455</t>
  </si>
  <si>
    <t>ИП5508010049</t>
  </si>
  <si>
    <t>ИП550801004900000</t>
  </si>
  <si>
    <t>644020 Омская область город Омск улица Рождественского дом 6 литера КТ (торговый комплекс)  место 215</t>
  </si>
  <si>
    <t>ИП550801004900003</t>
  </si>
  <si>
    <t>644010 Омская область город Омск улица Ленина 41</t>
  </si>
  <si>
    <t>ИП Новиков Сергей Анатольевич</t>
  </si>
  <si>
    <t>550701473297</t>
  </si>
  <si>
    <t>ИП5508006076</t>
  </si>
  <si>
    <t>ИП550800607600000</t>
  </si>
  <si>
    <t>644033 Омская область город Омск улица Красный Путь дом 82А   помещение 4П</t>
  </si>
  <si>
    <t>ИП Красноруцкая Татьяна Юрьевна</t>
  </si>
  <si>
    <t>550702925274</t>
  </si>
  <si>
    <t>ИП5508011552</t>
  </si>
  <si>
    <t>ИП550801155200000</t>
  </si>
  <si>
    <t>644042 Омская область город Омск проспект Карла Маркса дом 24   место 23,24</t>
  </si>
  <si>
    <t>ИП Веселовская Виктория Витальевна</t>
  </si>
  <si>
    <t>550708039970</t>
  </si>
  <si>
    <t>ИП5508011933</t>
  </si>
  <si>
    <t>ИП550801193300000</t>
  </si>
  <si>
    <t>644074 Омская область город Омск улица 70 лет Октября дом 25 корпус 2  бутик 119а</t>
  </si>
  <si>
    <t>ИП550801193300001</t>
  </si>
  <si>
    <t>644074 Омская область город Омск улица 70 лет Октября дом 25 корпус 1  бутик 26</t>
  </si>
  <si>
    <t>ИП550801193300002</t>
  </si>
  <si>
    <t>644042 Омская область город Омск проспект Карла Маркса дом 24   место 37</t>
  </si>
  <si>
    <t>ИП550801193300004</t>
  </si>
  <si>
    <t>ИП550801193300008</t>
  </si>
  <si>
    <t>ИП Грош Константин Андреевич</t>
  </si>
  <si>
    <t>550711295090</t>
  </si>
  <si>
    <t>ИП5508011940</t>
  </si>
  <si>
    <t>ИП550801194000000</t>
  </si>
  <si>
    <t>644074 Омская область город Омск проспект Мира  дом 9 Корпус Б  бутик 40</t>
  </si>
  <si>
    <t>ИП550801194000001</t>
  </si>
  <si>
    <t>644074 Омская область Омск улица 70 лет Октября дом 19</t>
  </si>
  <si>
    <t>ИП550801194000002</t>
  </si>
  <si>
    <t>644090 Омская область город Омск улица Заозерная дом 11 корпус 1  4-148</t>
  </si>
  <si>
    <t>ИП550801194000003</t>
  </si>
  <si>
    <t>644119 Омская область город Омск проспект Комарова дом 6 1  бутик 110</t>
  </si>
  <si>
    <t>ИП Грош Андрей Константинович</t>
  </si>
  <si>
    <t>550712829700</t>
  </si>
  <si>
    <t>ИП5508000883</t>
  </si>
  <si>
    <t>ИП550800088300000</t>
  </si>
  <si>
    <t>644050 Омская область город Омск улица Химиков угол проспект Мира дом 2 угол дом 46</t>
  </si>
  <si>
    <t>ИП550800088300001</t>
  </si>
  <si>
    <t>644050 Омская область город Омск проспект Мира дом 19</t>
  </si>
  <si>
    <t>ИП550800088300002</t>
  </si>
  <si>
    <t>644119 Омская область город Омск улица Комарова дом 2 корпус 2 А</t>
  </si>
  <si>
    <t>ИП Крейк Татьяна Антоновна</t>
  </si>
  <si>
    <t>550713411746</t>
  </si>
  <si>
    <t>ИП5508014138</t>
  </si>
  <si>
    <t>ИП550801413800000</t>
  </si>
  <si>
    <t>644000 Омская область город Омск улица Кирова дом 53</t>
  </si>
  <si>
    <t>ИП550801413800001</t>
  </si>
  <si>
    <t>644064 Омская область город Омск улица Энтузиастов дом 2 корпус1</t>
  </si>
  <si>
    <t>ИП550801413800002</t>
  </si>
  <si>
    <t>ИП Серебрякова Ольга Анатольевна</t>
  </si>
  <si>
    <t>550714233888</t>
  </si>
  <si>
    <t>ИП5508033962</t>
  </si>
  <si>
    <t>ИП550803396200000</t>
  </si>
  <si>
    <t>644020 Омская область город Омск улица Лобкова дом 4/1</t>
  </si>
  <si>
    <t>ИП550803396200001</t>
  </si>
  <si>
    <t>644076 Омская область город Омск улица Романенко дом4   помещение 1П</t>
  </si>
  <si>
    <t>ИП Васенина Елена Николаевна</t>
  </si>
  <si>
    <t>550714367641</t>
  </si>
  <si>
    <t>ИП5508019787</t>
  </si>
  <si>
    <t>ИП550801978700000</t>
  </si>
  <si>
    <t>644082 Омская область город Омск улица Бетховена дом 22</t>
  </si>
  <si>
    <t>ИП Иванов Игорь Евгеньевич</t>
  </si>
  <si>
    <t>550722482341</t>
  </si>
  <si>
    <t>ИП2304007454</t>
  </si>
  <si>
    <t>ИП230400745400000</t>
  </si>
  <si>
    <t>ИП Стокусов Андрей Геннадьевич</t>
  </si>
  <si>
    <t>550724195600</t>
  </si>
  <si>
    <t>ИП5508017402</t>
  </si>
  <si>
    <t>ИП550801740200000</t>
  </si>
  <si>
    <t>644013 Омская область город Омск улица 12 Декабря 115</t>
  </si>
  <si>
    <t>ИП550801740200003</t>
  </si>
  <si>
    <t>644086 Омская область город Омск улица 4-я Челюскинцев 66 1</t>
  </si>
  <si>
    <t>ИП550801740200004</t>
  </si>
  <si>
    <t>646104 Омская область город Называевск улица Кирова дом 13</t>
  </si>
  <si>
    <t>ИП Бургардт Лариса Павловна</t>
  </si>
  <si>
    <t>550728790078</t>
  </si>
  <si>
    <t>ИП5508013783</t>
  </si>
  <si>
    <t>ИП550801378300000</t>
  </si>
  <si>
    <t>646430 Омская область рабочий поселок Муромцево улица Ленина дом 121А</t>
  </si>
  <si>
    <t>ИП550801378300001</t>
  </si>
  <si>
    <t>646040 Омская область рабочий поселок Марьяновка улица Ленина дом 3   помещение 3П</t>
  </si>
  <si>
    <t>ИП550801378300002</t>
  </si>
  <si>
    <t>646780 Омская область рабочий поселок Русская Поляна улица Ленина дом 41   магазин "Парус"</t>
  </si>
  <si>
    <t>ИП550801378300003</t>
  </si>
  <si>
    <t>646800 Омская область рабочий поселок Таврическое улица Ленина дом 42А</t>
  </si>
  <si>
    <t>ИП550801378300004</t>
  </si>
  <si>
    <t>646760 Омская область рабочий поселок Павлоградка улица Ленина дом 47</t>
  </si>
  <si>
    <t>ИП550801378300005</t>
  </si>
  <si>
    <t>646160 Омская область рабочий поселок Любинский улица Октябрьская дом 62</t>
  </si>
  <si>
    <t>ИП550801378300006</t>
  </si>
  <si>
    <t>646160 Омская область рабочий поселок Любинский улица Октябрьская 94</t>
  </si>
  <si>
    <t>ИП550801378300008</t>
  </si>
  <si>
    <t>644073 Омская область город Омск улица Дианова дом 24 корпус 2</t>
  </si>
  <si>
    <t>5507299620</t>
  </si>
  <si>
    <t>ЮЛ5508037477</t>
  </si>
  <si>
    <t>ЮЛ550803747700000</t>
  </si>
  <si>
    <t>646670 Омская область рабочий поселок Большеречье улица 50 лет ВЛКСМ 42 0</t>
  </si>
  <si>
    <t>ИП Кахидзе Евгения Сергеевна</t>
  </si>
  <si>
    <t>551002933120</t>
  </si>
  <si>
    <t>ИП5508015529</t>
  </si>
  <si>
    <t>ИП550801552900000</t>
  </si>
  <si>
    <t>644007 Омская область город Омск улица Герцена-Фрунзе дом 80/18   офис 743</t>
  </si>
  <si>
    <t>ИП Колесникова Виктория Александровна</t>
  </si>
  <si>
    <t>551100557586</t>
  </si>
  <si>
    <t>ИП5508011944</t>
  </si>
  <si>
    <t>ИП550801194400000</t>
  </si>
  <si>
    <t>646530 Омская область город Тара улица Ленина дом 84</t>
  </si>
  <si>
    <t>ИП550801194400002</t>
  </si>
  <si>
    <t>646560 Омская область рабочий поселок Тевриз улица Гуртьева дом 12 корпус А</t>
  </si>
  <si>
    <t>ИП550801194400003</t>
  </si>
  <si>
    <t>646380 Омская область село Большие Уки улица Избышева дом 15 Б</t>
  </si>
  <si>
    <t>ИП550801194400004</t>
  </si>
  <si>
    <t>646350 Омская область село Колосовка улица Кирова дом 26А</t>
  </si>
  <si>
    <t>ИП550801194400005</t>
  </si>
  <si>
    <t>646024 Омская область город Исилькуль улица Коммунистическая дом 13   1 П</t>
  </si>
  <si>
    <t>ИП Кононова Людмила Ивановна</t>
  </si>
  <si>
    <t>551400016154</t>
  </si>
  <si>
    <t>ИП5508016025</t>
  </si>
  <si>
    <t>ИП550801602500000</t>
  </si>
  <si>
    <t>646024 Омская область город Исилькуль улица Коммунистическая дом 33</t>
  </si>
  <si>
    <t>ИП550801602500003</t>
  </si>
  <si>
    <t>646024 Омская область город Исилькуль улица Первомайская дом 67   1</t>
  </si>
  <si>
    <t>ИП Махмудянцева Светлана Сергеевна</t>
  </si>
  <si>
    <t>551401287703</t>
  </si>
  <si>
    <t>ИП5508015457</t>
  </si>
  <si>
    <t>ИП550801545700000</t>
  </si>
  <si>
    <t>646970 Омская область рабочий поселок Кормиловка улица Ленина  дом 39</t>
  </si>
  <si>
    <t>ИП Кононов Владимир Павлович</t>
  </si>
  <si>
    <t>551401827853</t>
  </si>
  <si>
    <t>ИП5508005261</t>
  </si>
  <si>
    <t>ИП550800526100000</t>
  </si>
  <si>
    <t>646600 Омская область рабочий поселок Горьковское улица Красный Путь дом 3   помещение 1П</t>
  </si>
  <si>
    <t>ИП550800526100001</t>
  </si>
  <si>
    <t>646400 Омская область рабочий поселок Саргатское улица Кооперативная дом 109</t>
  </si>
  <si>
    <t>ИП550800526100002</t>
  </si>
  <si>
    <t>646070 Омская область рабочий поселок Москаленки улица Почтовая дом 77   помещение 2П</t>
  </si>
  <si>
    <t>ИП550800526100003</t>
  </si>
  <si>
    <t>646070 Омская область рабочий поселок Москаленки улица Ленина дом 2А</t>
  </si>
  <si>
    <t>ИП550800526100004</t>
  </si>
  <si>
    <t>646740 Омская область рабочий поселок Полтавка улица Победы дом 13</t>
  </si>
  <si>
    <t>ИП550800526100005</t>
  </si>
  <si>
    <t>646900 Омская область город Калачинск улица Советская дом 3   помещение 3П</t>
  </si>
  <si>
    <t>ИП Андиколовский Юрий Александрович</t>
  </si>
  <si>
    <t>551500032985</t>
  </si>
  <si>
    <t>ИП5508005267</t>
  </si>
  <si>
    <t>ИП550800526700000</t>
  </si>
  <si>
    <t>646901 Омская область город Калачинск улица Ленина дом 29   1П</t>
  </si>
  <si>
    <t>ИП Мамыкина Людмила Анатольевна</t>
  </si>
  <si>
    <t>551500089558</t>
  </si>
  <si>
    <t>ИП5508015486</t>
  </si>
  <si>
    <t>ИП550801548600000</t>
  </si>
  <si>
    <t>646901 Омская область город Калачинск улица Петра Ильичева дом 17Б</t>
  </si>
  <si>
    <t>ИП550801548600001</t>
  </si>
  <si>
    <t>646900 Омская область город Калачинск улица Заводская  дом 5 -  -</t>
  </si>
  <si>
    <t>ООО "ЛОМБАРД "МГНОВЕНИЕ"</t>
  </si>
  <si>
    <t>5515011147</t>
  </si>
  <si>
    <t>ЮЛ5508012547</t>
  </si>
  <si>
    <t>ЮЛ550801254700000</t>
  </si>
  <si>
    <t>646900 Омская область город Калачинск улица Советская  дом 3</t>
  </si>
  <si>
    <t>ЮЛ550801254700001</t>
  </si>
  <si>
    <t>646900 Омская область город Калачинск улица Вокзальная дом 37</t>
  </si>
  <si>
    <t>ИП Чихирин Виктор Михайлович</t>
  </si>
  <si>
    <t>551501860981</t>
  </si>
  <si>
    <t>ИП5508005860</t>
  </si>
  <si>
    <t>ИП550800586000000</t>
  </si>
  <si>
    <t>ИП Нижник Марина Юрьевна</t>
  </si>
  <si>
    <t>551502929700</t>
  </si>
  <si>
    <t>ИП5508032262</t>
  </si>
  <si>
    <t>ИП550803226200000</t>
  </si>
  <si>
    <t>646900 Омская область город Калачинск улица Советская дом 3</t>
  </si>
  <si>
    <t>ИП Чихирина Елена Владимировна</t>
  </si>
  <si>
    <t>551504971746</t>
  </si>
  <si>
    <t>ИП5508032404</t>
  </si>
  <si>
    <t>ИП550803240400000</t>
  </si>
  <si>
    <t>644060 Омская область город Омск улица Гуртьева дом 31   Торговый отдел в Т.К. "Цоколь"</t>
  </si>
  <si>
    <t>ИП Башина Анна Валерьевна</t>
  </si>
  <si>
    <t>552804617579</t>
  </si>
  <si>
    <t>ИП5508011930</t>
  </si>
  <si>
    <t>ИП550801193000000</t>
  </si>
  <si>
    <t>646530 Омская область город Тара улица Ленина дом 93   помещение 4П</t>
  </si>
  <si>
    <t>ИП Стуколова Оксана Сергеевна</t>
  </si>
  <si>
    <t>553500964050</t>
  </si>
  <si>
    <t>ИП5508010201</t>
  </si>
  <si>
    <t>ИП550801020100000</t>
  </si>
  <si>
    <t>646530 Омская область город Тара улица Ленина дом 95   помещение 3П</t>
  </si>
  <si>
    <t>ИП550801020100002</t>
  </si>
  <si>
    <t>646480 Омская область село Седельниково ул. Советская дом 21</t>
  </si>
  <si>
    <t>ИП230400708500002</t>
  </si>
  <si>
    <t>646530 Омская область город Тара улица 40 лет ВЛКСМ дом 36   помещение  2</t>
  </si>
  <si>
    <t>ИП230400708500003</t>
  </si>
  <si>
    <t>646530 Омская область город Тара 40 лет ВЛКСМ 23</t>
  </si>
  <si>
    <t>ИП Кучерова Татьяна Николаевна</t>
  </si>
  <si>
    <t>553503095017</t>
  </si>
  <si>
    <t>ИП5508013870</t>
  </si>
  <si>
    <t>ИП550801387000000</t>
  </si>
  <si>
    <t>646530 Омская область город Тара улица 40 лет ВЛКСМ дом 30</t>
  </si>
  <si>
    <t>ИП Колпащиков Николай Владимирович</t>
  </si>
  <si>
    <t>553504795283</t>
  </si>
  <si>
    <t>ИП5508004973</t>
  </si>
  <si>
    <t>ИП550800497300000</t>
  </si>
  <si>
    <t>646330 Омская область город Тюкалинск улица Луначарского дом 73</t>
  </si>
  <si>
    <t>ИП Шкицкий Иван Анатольевич</t>
  </si>
  <si>
    <t>553703277173</t>
  </si>
  <si>
    <t>ИП5508015288</t>
  </si>
  <si>
    <t>ИП550801528800000</t>
  </si>
  <si>
    <t>646330 Омская область город Тюкалинск улица Ленина дом 27</t>
  </si>
  <si>
    <t>ИП550801528800001</t>
  </si>
  <si>
    <t>646130 Омская область рабочий поселок Крутинка улица Аптекарская дом 3А</t>
  </si>
  <si>
    <t>ИП550801528800002</t>
  </si>
  <si>
    <t>646250 Омская область рабочий поселок Черлак улица 2-я Восточная  строение 12/1</t>
  </si>
  <si>
    <t>ИП Тяпкина Евгения Васильевна</t>
  </si>
  <si>
    <t>553900691979</t>
  </si>
  <si>
    <t>ИП5508009158</t>
  </si>
  <si>
    <t>ИП550800915800000</t>
  </si>
  <si>
    <t>644074 Омская область город Омск бульвар Архитекторов дом 35   помещение 3141</t>
  </si>
  <si>
    <t>ЮЛ770101216600170</t>
  </si>
  <si>
    <t>644042 Омская область город Омск проспект Карла Маркса дом 24  Литера А,А1 этаж 1, помещение 1П</t>
  </si>
  <si>
    <t>ЮЛ770101216600343</t>
  </si>
  <si>
    <t>644074 Омская область город Омск улица 70 лет Октября дом 19  Литера А этаж 1, часть помещения 26</t>
  </si>
  <si>
    <t>ЮЛ770101216600349</t>
  </si>
  <si>
    <t>ЮЛ770101216600355</t>
  </si>
  <si>
    <t>644021 Омская область город Омск улица Масленникова дом 134   этаж 1</t>
  </si>
  <si>
    <t>ЮЛ770101216600360</t>
  </si>
  <si>
    <t>644024 Омская область город Омск улица Березовского дом 19   пом. 2П, этаж 1, часть нежилого помещения №75</t>
  </si>
  <si>
    <t>ЮЛ770101216600393</t>
  </si>
  <si>
    <t>644088 Омская область город Омск улица Энтузиастов дом 2 корпус 1  этаж 1, часть нежилого помещения №106/5</t>
  </si>
  <si>
    <t>ЮЛ770101216600482</t>
  </si>
  <si>
    <t>644010 Омская область город Омск проспект Карла Маркса дом 10   этаж 1, встроенное нежилое помещение № 6П: 1-3</t>
  </si>
  <si>
    <t>ЮЛ770101216600635</t>
  </si>
  <si>
    <t>644070 Омская область город Омск улица 10 лет Октября дом 92   этаж 1, нежилое помещение 16П/1</t>
  </si>
  <si>
    <t>ЮЛ770101216600712</t>
  </si>
  <si>
    <t>644050 Омская область город Омск проспект Мира строение 9Б   этаж 1, часть нежилого помещения № 15П</t>
  </si>
  <si>
    <t>ЮЛ770101216600976</t>
  </si>
  <si>
    <t>644119 Омская область город Омск проспект Комарова  дом 6 корпус 1  помещение 8П, этаж 1, часть нежилого помещения 136/1</t>
  </si>
  <si>
    <t>ЮЛ770101216600982</t>
  </si>
  <si>
    <t>644074 Омская область город Омск бульвар Архитекторов дом 35   помещение №6102</t>
  </si>
  <si>
    <t>ЮЛ770100419400239</t>
  </si>
  <si>
    <t>644042 Омская область город Омск проспект Карла Маркса дом 24   часть помещения 250</t>
  </si>
  <si>
    <t>ЮЛ770100193500205</t>
  </si>
  <si>
    <t>644010 Омская область город Омск проспект Карла Маркса дом 29   помещение 15П, помещения 1, 2, 3, 4</t>
  </si>
  <si>
    <t>ЮЛ770100193500206</t>
  </si>
  <si>
    <t>644020 Омская область город Омск проспект Карла Маркса дом 84   этаж 1</t>
  </si>
  <si>
    <t>ЮЛ770100193500207</t>
  </si>
  <si>
    <t>644074 Омская область город Омск бульвар Архитекторов дом 35   помещение 4116</t>
  </si>
  <si>
    <t>ЮЛ770100193500208</t>
  </si>
  <si>
    <t>644074 Омская область город Омск улица 70 лет Октября дом 25 корпус 2  1 этаж, помещение 4П, помещение 101</t>
  </si>
  <si>
    <t>ЮЛ770100193500209</t>
  </si>
  <si>
    <t>644119 Омская область город Омск проспект Комарова дом 6 корпус 1  помещение № 117</t>
  </si>
  <si>
    <t>ЮЛ770100193500210</t>
  </si>
  <si>
    <t>644024 Омская область город Омск улица Березовского дом 19   помещение 2П, нежилое помещение № 67, часть нежилого помещения № 75 , нежилое помещение № 132, этаж 1 (первый)</t>
  </si>
  <si>
    <t>ЮЛ770100193500596</t>
  </si>
  <si>
    <t>644050 Омская область город Омск проспект Мира строение 9Б   часть нежилого помещения № 15П, этаж 1 (первый)</t>
  </si>
  <si>
    <t>ЮЛ770100193500758</t>
  </si>
  <si>
    <t>644021 Омская область город Омск улица Масленникова дом 134   этаж 1 (первый)</t>
  </si>
  <si>
    <t>ЮЛ770100193500794</t>
  </si>
  <si>
    <t>644083 Омская область город Омск улица Заозерная 26</t>
  </si>
  <si>
    <t>ЮЛ780300131300280</t>
  </si>
  <si>
    <t>644010 Омская область город Омск улица Маяковского 15</t>
  </si>
  <si>
    <t>ЮЛ780300131300283</t>
  </si>
  <si>
    <t>644010 Омская область город Омск проспект Маркса дом 10</t>
  </si>
  <si>
    <t>ЮЛ780300131300284</t>
  </si>
  <si>
    <t>644020 Омская область город Омск улица Лобкова 4</t>
  </si>
  <si>
    <t>ЮЛ780300131300285</t>
  </si>
  <si>
    <t>644041 Омская область город Омск улица Кирова дом 47А</t>
  </si>
  <si>
    <t>ЮЛ780300131300287</t>
  </si>
  <si>
    <t>644099 Омская область город Омск улица Герцена угол Чапаева дом 17/99   помещение 7П</t>
  </si>
  <si>
    <t>ЮЛ780300308200299</t>
  </si>
  <si>
    <t>ЮЛ780300308200300</t>
  </si>
  <si>
    <t>ЮЛ780300308200301</t>
  </si>
  <si>
    <t>644010 Омская область город Омск улица Маяковского дом 15   часть нежилого помещения 4П</t>
  </si>
  <si>
    <t>ЮЛ780300308200302</t>
  </si>
  <si>
    <t>644074 Омская область город Омск бульвар Архитекторов дом 35   помещение 1120m</t>
  </si>
  <si>
    <t>ЮЛ780300308200601</t>
  </si>
  <si>
    <t>644052 Омская область город Омск улица 4-я Челюскинцев дом 119/1</t>
  </si>
  <si>
    <t>ЮЛ780300308200952</t>
  </si>
  <si>
    <t>644083 Омская область город Омск улица Заозерная дом 26   помещение 12П</t>
  </si>
  <si>
    <t>ЮЛ780300308200985</t>
  </si>
  <si>
    <t>644041 Омская область город Омск улица Кирова дом 47Б</t>
  </si>
  <si>
    <t>ЮЛ780300308200993</t>
  </si>
  <si>
    <t>644050 Омская область город Омск проспект Мира дом 44</t>
  </si>
  <si>
    <t>ЮЛ780300308201011</t>
  </si>
  <si>
    <t>644010 Омская область город Омск проспект Карла Маркса дом 10   часть нежилого помещения 11П</t>
  </si>
  <si>
    <t>ЮЛ780300308201047</t>
  </si>
  <si>
    <t>644042 Омская область г. Омск проспект Карла Маркса дом 18/28   помещение 2П/этаж 8/офис 803/помещения №№10,11,12,13</t>
  </si>
  <si>
    <t>ЮЛ770100029500010</t>
  </si>
  <si>
    <t>ООО ЛОМБАРД "ГИПЕРИОН"</t>
  </si>
  <si>
    <t>9723139152</t>
  </si>
  <si>
    <t>ЮЛ7701032934</t>
  </si>
  <si>
    <t>ЮЛ770103293400000</t>
  </si>
  <si>
    <t>644106 Омская область город Омск улица Дианова дом 14   этаж 1, часть помещения № 34</t>
  </si>
  <si>
    <t>ЮЛ770103293400001</t>
  </si>
  <si>
    <t>644020 Омская область город Омск улица Рождественского дом 6  Литера КТ этаж 1</t>
  </si>
  <si>
    <t>ЮЛ770103293400002</t>
  </si>
  <si>
    <t>ЮЛ770103293400004</t>
  </si>
  <si>
    <t>Оренбургская область</t>
  </si>
  <si>
    <t>460024 Оренбургская область город Оренбург улица Володарского дом 37</t>
  </si>
  <si>
    <t>ООО "ФИНАНС ДИСКОНТ"</t>
  </si>
  <si>
    <t>268071686</t>
  </si>
  <si>
    <t>ЮЛ0206000925</t>
  </si>
  <si>
    <t>ЮЛ020600092500035</t>
  </si>
  <si>
    <t>462274 Оренбургская область город Медногорск улица А.Гайдара дом 14А  Б8</t>
  </si>
  <si>
    <t>ИП370200423500005</t>
  </si>
  <si>
    <t>460022 Оренбургская область город Оренбург улица Новая дом 4   помещение 245</t>
  </si>
  <si>
    <t>ИП370200423500011</t>
  </si>
  <si>
    <t>460019 Оренбургская область город Оренбург шоссе Шарлыкское дом 1/2</t>
  </si>
  <si>
    <t>ИП500100445500062</t>
  </si>
  <si>
    <t>462635 Оренбургская область город Гай улица Ленина дом 47   нежилое помещение</t>
  </si>
  <si>
    <t>ООО "ЛОМБАРД "ГЕНЕРАЛЬНЫЙ"</t>
  </si>
  <si>
    <t>5030103010</t>
  </si>
  <si>
    <t>ЮЛ5001030463</t>
  </si>
  <si>
    <t>ЮЛ500103046300005</t>
  </si>
  <si>
    <t>462830 Оренбургская область поселок Адамовка улица Майская дом 107Б   часть нежилого помещения</t>
  </si>
  <si>
    <t>ЮЛ500103046300006</t>
  </si>
  <si>
    <t>462800 Оренбургская область поселок Новоорск улица Рабочая дом 6   часть нежилого помещения</t>
  </si>
  <si>
    <t>ЮЛ500103046300007</t>
  </si>
  <si>
    <t>462408 Оренбургская область город Орск улица Виноградная/улица Просвещения дом 7/66   часть нежилого помещения № 1</t>
  </si>
  <si>
    <t>ЮЛ500103046300008</t>
  </si>
  <si>
    <t>462408 Оренбургская область город Орск улица Спортивная дом 1А   часть встроенного нежилого помещения № 1</t>
  </si>
  <si>
    <t>ЮЛ500103046300011</t>
  </si>
  <si>
    <t>462100 Оренбургская область поселок Саракташ улица Партизанская/улица Крупской дом 6/67   часть нежилого помещения</t>
  </si>
  <si>
    <t>ЮЛ500103046300014</t>
  </si>
  <si>
    <t>462430 Оренбургская область город Орск улица Беляева дом 2А   нежилое встроенное помещение № 5, 1 этаж</t>
  </si>
  <si>
    <t>ЮЛ500103046300021</t>
  </si>
  <si>
    <t>461900 Оренбургская область город Сорочинск улица Володарского дом 6В   нежилое помещение</t>
  </si>
  <si>
    <t>ЮЛ500103046300022</t>
  </si>
  <si>
    <t>462353 Оренбургская область город Новотроицк улица Советская дом 39   помещение 1 (часть нежилого помещения (кабинет № 12/2))</t>
  </si>
  <si>
    <t>ЮЛ500103046300032</t>
  </si>
  <si>
    <t>462356 Оренбургская область город Новотроицк улица Мира дом 7   помещение 4 (часть нежилого помещения)</t>
  </si>
  <si>
    <t>ЮЛ500103046300033</t>
  </si>
  <si>
    <t>462363 Оренбургская область город Новотроицк улица Советская дом 93   помещение 3, часть нежилого встроенного торгового помещения, 1 этаж</t>
  </si>
  <si>
    <t>ЮЛ500103046300041</t>
  </si>
  <si>
    <t>462432 Оренбургская область город Орск проспект Орский дом 13   помещение 1а, часть нежилого помещения, 1 этаж</t>
  </si>
  <si>
    <t>ЮЛ500103046300053</t>
  </si>
  <si>
    <t>462359 Оренбургская область город Новотроицк улица Советская дом 78   часть нежилого встроенного помещение № 3</t>
  </si>
  <si>
    <t>ЮЛ500103046300059</t>
  </si>
  <si>
    <t>461500 Оренбургская область город Соль-Илецк переулок Хлебный дом 1А</t>
  </si>
  <si>
    <t>ИП Толкачева О.В.</t>
  </si>
  <si>
    <t>504501831871</t>
  </si>
  <si>
    <t>ИП5001005254</t>
  </si>
  <si>
    <t>ИП500100525400009</t>
  </si>
  <si>
    <t>460019 Оренбургская область город Оренбург шоссе Шарлыкское здание 1/2</t>
  </si>
  <si>
    <t>ИП520600697000007</t>
  </si>
  <si>
    <t>ИП520601790200030</t>
  </si>
  <si>
    <t>460022 Оренбургская область город Оренбург улица Новая дом 4   Помещение № 214</t>
  </si>
  <si>
    <t>ИП520601790200040</t>
  </si>
  <si>
    <t>461744 Оренбургская область город Абдулино Коммунистическая 288/5</t>
  </si>
  <si>
    <t>ИП Ростова Наталья Анатольевна</t>
  </si>
  <si>
    <t>560100051064</t>
  </si>
  <si>
    <t>ИП5606006821</t>
  </si>
  <si>
    <t>ИП560600682100000</t>
  </si>
  <si>
    <t>461450 Оренбургская область село Шарлык улица Калининская дом 2</t>
  </si>
  <si>
    <t>ИП560600682100001</t>
  </si>
  <si>
    <t>ИП Чернова Татьяна Анатольевна</t>
  </si>
  <si>
    <t>560100096548</t>
  </si>
  <si>
    <t>ИП5606006819</t>
  </si>
  <si>
    <t>ИП560600681900000</t>
  </si>
  <si>
    <t>461670 Оренбургская область село Северное улица Чапаева дом 43   помещение 2</t>
  </si>
  <si>
    <t>ИП560600681900002</t>
  </si>
  <si>
    <t>461049 Оренбургская область город Бузулук улица микрорайон 1-й дом 4В   12</t>
  </si>
  <si>
    <t xml:space="preserve">ИП Щекочихина К.В. </t>
  </si>
  <si>
    <t>560302366483</t>
  </si>
  <si>
    <t>ИП5606001040</t>
  </si>
  <si>
    <t>ИП560600104000000</t>
  </si>
  <si>
    <t>461040 Оренбургская область город Бузулук улица Комсомольская здание 81</t>
  </si>
  <si>
    <t>ИП560600104000001</t>
  </si>
  <si>
    <t>461040 Оренбургская область город Бузулук 1 мкр-он 4В</t>
  </si>
  <si>
    <t>ИП560600104000003</t>
  </si>
  <si>
    <t>461040 Оренбургская область город Бузулук улица Ленина/О.Яроша дом 56"А"/61"А"</t>
  </si>
  <si>
    <t>ИП Елаев Даниил Андреевич</t>
  </si>
  <si>
    <t>560307450280</t>
  </si>
  <si>
    <t>ИП5606005011</t>
  </si>
  <si>
    <t>ИП560600501100000</t>
  </si>
  <si>
    <t>462243 Оренбургская область город Кувандык улица Ленина дом 55А</t>
  </si>
  <si>
    <t>ИП Чулкова Наталья Анатольевна</t>
  </si>
  <si>
    <t>560600629811</t>
  </si>
  <si>
    <t>ИП5606016748</t>
  </si>
  <si>
    <t>ИП560601674800000</t>
  </si>
  <si>
    <t>460060 Оренбургская область город Оренбург улица Салмышская дом 71</t>
  </si>
  <si>
    <t>ИП Стрельцова Наталья Владимировна</t>
  </si>
  <si>
    <t>560700028476</t>
  </si>
  <si>
    <t>ИП5606002290</t>
  </si>
  <si>
    <t>ИП560600229000000</t>
  </si>
  <si>
    <t>460044 Оренбургская область город Оренбург проспект Дзержинского дом 23 1</t>
  </si>
  <si>
    <t>ИП Харламов Константин Владимирович</t>
  </si>
  <si>
    <t>560701812588</t>
  </si>
  <si>
    <t>ИП5606001770</t>
  </si>
  <si>
    <t>ИП560600177000000</t>
  </si>
  <si>
    <t>ИП560600177000001</t>
  </si>
  <si>
    <t>460044 Оренбургская область город Оренбург проспект Дзержинского дом 23</t>
  </si>
  <si>
    <t>ИП Мерц Ольга Николаевна</t>
  </si>
  <si>
    <t>560900331455</t>
  </si>
  <si>
    <t>ИП5606003946</t>
  </si>
  <si>
    <t>ИП560600394600000</t>
  </si>
  <si>
    <t>460060 Оренбургская область город Оренбург улица Салмышская дом 71  литер Е</t>
  </si>
  <si>
    <t>ИП560600394600005</t>
  </si>
  <si>
    <t>460006 Оренбургская область город Оренбург переулок Кондукторский вл.4</t>
  </si>
  <si>
    <t>ИП560600394600008</t>
  </si>
  <si>
    <t>461505 Оренбургская область город Соль-Илецк улица Оренбургская дом 19</t>
  </si>
  <si>
    <t>ИП Сорокина Татьяна Николаевна</t>
  </si>
  <si>
    <t>560900398139</t>
  </si>
  <si>
    <t>ИП5606004640</t>
  </si>
  <si>
    <t>ИП560600464000002</t>
  </si>
  <si>
    <t>461170 Оренбургская область село Ташла улица Хлебная дом 8   помещение 2</t>
  </si>
  <si>
    <t>ИП560600464000016</t>
  </si>
  <si>
    <t>461450 Оренбургская область село Шарлык улица Калининская 2 "СИТИЦЕНТР"</t>
  </si>
  <si>
    <t>ИП560600464000017</t>
  </si>
  <si>
    <t>ИП560600464000020</t>
  </si>
  <si>
    <t>461710 Оренбургская область село Асекеево Советская здание 4 М1</t>
  </si>
  <si>
    <t>ИП560600464000021</t>
  </si>
  <si>
    <t>460008 Оренбургская область г Оренбург Нежинское ш. 2В</t>
  </si>
  <si>
    <t>ИП Мусина Венера Галимардановна</t>
  </si>
  <si>
    <t>560901191602</t>
  </si>
  <si>
    <t>ИП5606008128</t>
  </si>
  <si>
    <t>ИП560600812800001</t>
  </si>
  <si>
    <t>460034 Оренбургская область город Оренбург улица Беляевская дом 19</t>
  </si>
  <si>
    <t>ИП560600812800002</t>
  </si>
  <si>
    <t>460021 Оренбургская область город Оренбург улица Восточная дом 42/7</t>
  </si>
  <si>
    <t>ИП560600812800003</t>
  </si>
  <si>
    <t>462631 Оренбургская область город Гай улица Ленина дом 46</t>
  </si>
  <si>
    <t>ИП560600812800004</t>
  </si>
  <si>
    <t>462100 Оренбургская область поселок Саракташ улица Крупской дом 69</t>
  </si>
  <si>
    <t>ИП560600812800006</t>
  </si>
  <si>
    <t>460045 Оренбургская область город Оренбург улица Амурская здание 50</t>
  </si>
  <si>
    <t>ИП560600812800007</t>
  </si>
  <si>
    <t>460058 Оренбургская область город Оренбург улица Чкалова дом 55/1</t>
  </si>
  <si>
    <t>ИП560600812800008</t>
  </si>
  <si>
    <t>460052 Оренбургская область город Оренбург улица Салмышская здание 41</t>
  </si>
  <si>
    <t>ИП560600812800011</t>
  </si>
  <si>
    <t>462274 Оренбургская область город Медногорск улица А.Гайдара дом 14А</t>
  </si>
  <si>
    <t>ИП560600812800013</t>
  </si>
  <si>
    <t>461200 Оренбургская область поселок Новосергиевка проспект Калинина дом 154</t>
  </si>
  <si>
    <t>ИП560600812800014</t>
  </si>
  <si>
    <t>460051 Оренбургская область город Оренбург проспект Гагарина дом 48/1</t>
  </si>
  <si>
    <t>ИП560600812800016</t>
  </si>
  <si>
    <t>461906 Оренбургская область город Сорочинск проспект Парковый дом 19</t>
  </si>
  <si>
    <t>ИП560600812800017</t>
  </si>
  <si>
    <t>460022 Оренбургская область город Оренбург улица Новая дом 4</t>
  </si>
  <si>
    <t>ИП560600812800018</t>
  </si>
  <si>
    <t>ИП560600812800020</t>
  </si>
  <si>
    <t>460006 Оренбургская область город Оренбург переулок Кондукторский здание 4</t>
  </si>
  <si>
    <t>ИП560600812800021</t>
  </si>
  <si>
    <t>460026 Оренбургская область город Оренбург улица Карагандинская дом 22</t>
  </si>
  <si>
    <t>ИП560600812800023</t>
  </si>
  <si>
    <t>460051 Оренбургская область город Оренбург проспект Гагарина дом 48/3</t>
  </si>
  <si>
    <t>ИП560600812800024</t>
  </si>
  <si>
    <t>460014 Оренбургская область город Оренбург улица Чичерина дом 2</t>
  </si>
  <si>
    <t>ИП560600812800026</t>
  </si>
  <si>
    <t>460022 Оренбургская область город Оренбург улица Пролетарская дом 267</t>
  </si>
  <si>
    <t>ИП560600812800028</t>
  </si>
  <si>
    <t>460044 Оренбургская область город Оренбург проспект Дзержинского здание 23</t>
  </si>
  <si>
    <t>ИП560600812800030</t>
  </si>
  <si>
    <t>460000 Оренбургская область город Оренбург улица Советская дом 40</t>
  </si>
  <si>
    <t>ИП560600812800031</t>
  </si>
  <si>
    <t>462363 Оренбургская область город Новотроицк улица Советская дом 85</t>
  </si>
  <si>
    <t>ИП560600812800032</t>
  </si>
  <si>
    <t>461505 Оренбургская область город Соль-Илецк улица Оренбургская дом 15</t>
  </si>
  <si>
    <t>ИП560600812800033</t>
  </si>
  <si>
    <t>461134 Оренбургская область село Тоцкое Второе улица А.И.Кобина владение 15</t>
  </si>
  <si>
    <t>ИП560600812800034</t>
  </si>
  <si>
    <t>462363 Оренбургская область город Новотроицк улица Юных Ленинцев дом 8</t>
  </si>
  <si>
    <t>ИП560600812800035</t>
  </si>
  <si>
    <t>460034 Оренбургская область город Оренбург улица Центральная дом 18</t>
  </si>
  <si>
    <t>ИП560600812800037</t>
  </si>
  <si>
    <t>460024 Оренбургская область город Оренбург улица Туркестанская дом 17</t>
  </si>
  <si>
    <t>ИП560600812800038</t>
  </si>
  <si>
    <t>460038 Оренбургская область город Оренбург проспект Дзержинского дом 24</t>
  </si>
  <si>
    <t>ИП560600812800039</t>
  </si>
  <si>
    <t>462243 Оренбургская область город Кувандык улица Ленина здание 150 "З"</t>
  </si>
  <si>
    <t>ИП560600812800040</t>
  </si>
  <si>
    <t>462359 Оренбургская область город Новотроицк улица Советская дом 59</t>
  </si>
  <si>
    <t>ИП560600812800041</t>
  </si>
  <si>
    <t>460000 Оренбургская область город Оренбург улица 8 Марта дом 42 ТЦ Восход позиция на плане 3 "Анжелика"</t>
  </si>
  <si>
    <t>ИП Соловых Анжелика Валерьевна</t>
  </si>
  <si>
    <t>560904050335</t>
  </si>
  <si>
    <t>ИП5606003486</t>
  </si>
  <si>
    <t>ИП560600348600000</t>
  </si>
  <si>
    <t>460000 Оренбургская область город Оренбург улица 8 Марта  42 ТЦ Восход позиция на плане 76 Остров</t>
  </si>
  <si>
    <t>ИП560600348600005</t>
  </si>
  <si>
    <t>460024 Оренбургская область город Оренбург улица 8 Марта дом 42 ТЦ Восход №84 Roberto Bravo</t>
  </si>
  <si>
    <t>ИП560600348600007</t>
  </si>
  <si>
    <t>461350 Оренбургская область село Илек улица Чапаевская дом 22</t>
  </si>
  <si>
    <t>ИП Немолочнова Екатерина Андреевна</t>
  </si>
  <si>
    <t>560904449313</t>
  </si>
  <si>
    <t>ИП5606004378</t>
  </si>
  <si>
    <t>ИП560600437800000</t>
  </si>
  <si>
    <t>ИП560600437800001</t>
  </si>
  <si>
    <t>461060 Оренбургская область село Курманаевка улица Крестьянская домовладение 24   секция 10</t>
  </si>
  <si>
    <t>ИП560600437800002</t>
  </si>
  <si>
    <t>461980 Оренбургская область поселок Первомайский улица Льва Толстого дом 41</t>
  </si>
  <si>
    <t>ИП560600437800003</t>
  </si>
  <si>
    <t>461980 Оренбургская область поселок Первомайский улица Мирная дом 34</t>
  </si>
  <si>
    <t>ИП560600437800004</t>
  </si>
  <si>
    <t>461420 Оренбургская область село Сакмара улица Советская дом 21</t>
  </si>
  <si>
    <t>ИП560600437800005</t>
  </si>
  <si>
    <t>461170 Оренбургская область село Ташла улица Довженко здание 31А</t>
  </si>
  <si>
    <t>ИП560600437800006</t>
  </si>
  <si>
    <t>460022 Оренбургская область город Оренбург улица Пролетарская дом 273   помещение 4</t>
  </si>
  <si>
    <t>ООО "ИЮЛЬ-2020" (ЛОМБАРД)</t>
  </si>
  <si>
    <t>5609071293</t>
  </si>
  <si>
    <t>ЮЛ5606001721</t>
  </si>
  <si>
    <t>ЮЛ560600172100000</t>
  </si>
  <si>
    <t>460060 Оренбургская область город Оренбург улица Салмышская дом 67/1   помещение 69</t>
  </si>
  <si>
    <t>ЮЛ560600172100001</t>
  </si>
  <si>
    <t>460047 Оренбургская область город Оренбург улица Брестская дом 2</t>
  </si>
  <si>
    <t>ЮЛ560600172100004</t>
  </si>
  <si>
    <t>ЮЛ560600172100005</t>
  </si>
  <si>
    <t>460009 Оренбургская область город Оренбург улица Магнитогорская дом 2</t>
  </si>
  <si>
    <t>ЮЛ560600172100006</t>
  </si>
  <si>
    <t>460026 Оренбургская область город Оренбург улица Карагандинская дом 37Б</t>
  </si>
  <si>
    <t>ЮЛ560600172100007</t>
  </si>
  <si>
    <t>460052 Оренбургская область город Оренбург улица Джангильдина здание 20/7</t>
  </si>
  <si>
    <t>ЮЛ560600172100008</t>
  </si>
  <si>
    <t>462030 Оренбургская область село Октябрьское улица Луначарского дом 6</t>
  </si>
  <si>
    <t>ИП Князева Анна Андреевна</t>
  </si>
  <si>
    <t>560912716964</t>
  </si>
  <si>
    <t>ИП5606004546</t>
  </si>
  <si>
    <t>ИП560600454600001</t>
  </si>
  <si>
    <t>461550 Оренбургская область поселок Акбулак улица Кирова дом 50</t>
  </si>
  <si>
    <t>ИП560600454600002</t>
  </si>
  <si>
    <t>461550 Оренбургская область поселок Акбулак улица Кирова дом 17Д</t>
  </si>
  <si>
    <t>ИП560600454600003</t>
  </si>
  <si>
    <t>461330 Оренбургская область село Беляевка улица Советская дом 48</t>
  </si>
  <si>
    <t>ИП560600454600004</t>
  </si>
  <si>
    <t>461330 Оренбургская область село Беляевка улица Советская дом 63/3</t>
  </si>
  <si>
    <t>ИП560600454600005</t>
  </si>
  <si>
    <t>462010 Оренбургская область поселок Тюльган улица Кирова дом 5</t>
  </si>
  <si>
    <t>ИП560600454600006</t>
  </si>
  <si>
    <t>460047 Оренбургская область город Оренбург улица Дружбы дом 16</t>
  </si>
  <si>
    <t>ИП Савельева Алевтина Геннадьевна</t>
  </si>
  <si>
    <t>561000034885</t>
  </si>
  <si>
    <t>ИП5606017337</t>
  </si>
  <si>
    <t>ИП560601733700000</t>
  </si>
  <si>
    <t>460022 Оренбургская область город Оренбург улица Новая 4   помещение №46</t>
  </si>
  <si>
    <t>ИП560601733700002</t>
  </si>
  <si>
    <t>461830 Оренбургская область село Александровка улица Рощепкина дом 5</t>
  </si>
  <si>
    <t>ИП Дмитриева Марина Николаевна</t>
  </si>
  <si>
    <t>561002255304</t>
  </si>
  <si>
    <t>ИП5606004188</t>
  </si>
  <si>
    <t>ИП560600418800002</t>
  </si>
  <si>
    <t>461710 Оренбургская область село Асекеево улица Чапаева  дом 43 А</t>
  </si>
  <si>
    <t>ИП560600418800003</t>
  </si>
  <si>
    <t>461780 Оренбургская область село Пономаревка улица Куйбышева дом 11/2</t>
  </si>
  <si>
    <t>ИП560600418800004</t>
  </si>
  <si>
    <t>461261 Оренбургская область поселок Переволоцкий улица Ленинская дом 62</t>
  </si>
  <si>
    <t>ИП560600418800006</t>
  </si>
  <si>
    <t>461132 Оренбургская область село Тоцкое Второе улица Ленина строение 19</t>
  </si>
  <si>
    <t>ИП560600418800008</t>
  </si>
  <si>
    <t>460000 Оренбургская область город Оренбург улица Советская дом 27</t>
  </si>
  <si>
    <t>ООО "ЖЕМЧУГ"</t>
  </si>
  <si>
    <t>5610086270</t>
  </si>
  <si>
    <t>ЮЛ5606000742</t>
  </si>
  <si>
    <t>ЮЛ560600074200000</t>
  </si>
  <si>
    <t>460044 Оренбургская область город Оренбург проспект Дзержинского дом 23   помещене R-1-17</t>
  </si>
  <si>
    <t>ЮЛ560600074200002</t>
  </si>
  <si>
    <t>460000 Оренбургская область город Оренбург улица Кирова/Советская дом 30/25   помещение 7</t>
  </si>
  <si>
    <t>ЮЛ560600074200003</t>
  </si>
  <si>
    <t>460006 Оренбургская область город Оренбург улица Советская дом 31  АА1А2А3ЕЕ1Е2ББ1 14</t>
  </si>
  <si>
    <t>ООО "ЛИНИЯ ПРЕСТИЖ"</t>
  </si>
  <si>
    <t>5610113565</t>
  </si>
  <si>
    <t>ЮЛ5606000004</t>
  </si>
  <si>
    <t>ЮЛ560600000400000</t>
  </si>
  <si>
    <t>460006 Оренбургская область город Оренбург улица Советская дом 31   офис 14</t>
  </si>
  <si>
    <t>ООО "ЛИНИЯ"</t>
  </si>
  <si>
    <t>5610114939</t>
  </si>
  <si>
    <t>ЮЛ5606000003</t>
  </si>
  <si>
    <t>ЮЛ560600000300000</t>
  </si>
  <si>
    <t>460019 Оренбургская область город Оренбург шоссе Шарлыкское дом 1 корпус 2</t>
  </si>
  <si>
    <t>ИП Бондарчук Ольга Михайловна</t>
  </si>
  <si>
    <t>561013143271</t>
  </si>
  <si>
    <t>ИП5606003954</t>
  </si>
  <si>
    <t>ИП560600395400000</t>
  </si>
  <si>
    <t>ИП Рашкевич Юлия Михайловна</t>
  </si>
  <si>
    <t>561014574200</t>
  </si>
  <si>
    <t>ИП5606001409</t>
  </si>
  <si>
    <t>ИП560600140900000</t>
  </si>
  <si>
    <t>461900 Оренбургская область город Сорочинск улица Фрунзе дом 1</t>
  </si>
  <si>
    <t>ИП560600140900002</t>
  </si>
  <si>
    <t>462010 Оренбургская область поселок Тюльган улица Максима Горького здание 10б   помещение 2</t>
  </si>
  <si>
    <t>ИП560600140900003</t>
  </si>
  <si>
    <t>460000 Оренбургская область город Оренбург переулок Матросский дом 5   помещение 1 этаж 1</t>
  </si>
  <si>
    <t>ООО "ЛОМБАРД ФЕНИКС 2012"</t>
  </si>
  <si>
    <t>5610147589</t>
  </si>
  <si>
    <t>ЮЛ5606010431</t>
  </si>
  <si>
    <t>ЮЛ560601043100005</t>
  </si>
  <si>
    <t>460051 Оренбургская область город Оренбург проспект Гагарина дом 29/2</t>
  </si>
  <si>
    <t>ЮЛ560601043100006</t>
  </si>
  <si>
    <t>460040 Оренбургская область город Оренбург улица Алтайская дом 8</t>
  </si>
  <si>
    <t>ИП Самакаев Вадим Радикович</t>
  </si>
  <si>
    <t>561015483259</t>
  </si>
  <si>
    <t>ИП5606003739</t>
  </si>
  <si>
    <t>ИП560600373900000</t>
  </si>
  <si>
    <t>460009 Оренбургская область город Оренбург проспект Братьев Коростелевых дом 1</t>
  </si>
  <si>
    <t>ИП ЦЕЛОВАЛЬНИКОВА ТА</t>
  </si>
  <si>
    <t>561100186916</t>
  </si>
  <si>
    <t>ИП5606008798</t>
  </si>
  <si>
    <t>ИП560600879800000</t>
  </si>
  <si>
    <t>ООО "ЛОМБАРД АБСОЛЮТ"</t>
  </si>
  <si>
    <t>5611053816</t>
  </si>
  <si>
    <t>ЮЛ5606001713</t>
  </si>
  <si>
    <t>ЮЛ560600171300000</t>
  </si>
  <si>
    <t>460060 Оренбургская область город Оренбург  улица Салмышская дом 71  литер Е</t>
  </si>
  <si>
    <t>ЮЛ560600171300003</t>
  </si>
  <si>
    <t>460006 Оренбургская область город Оренбург  переулок Кондукторский дом 4</t>
  </si>
  <si>
    <t>ЮЛ560600171300007</t>
  </si>
  <si>
    <t>ООО "МЕТАЛЛ ОПТ"</t>
  </si>
  <si>
    <t>5611072086</t>
  </si>
  <si>
    <t>ЮЛ5606001719</t>
  </si>
  <si>
    <t>ЮЛ560600171900004</t>
  </si>
  <si>
    <t>460024 Оренбургская область город Оренбург улица 8 Марта дом 42</t>
  </si>
  <si>
    <t>ИП Бакулина Наталья Сергеевна</t>
  </si>
  <si>
    <t>561107757407</t>
  </si>
  <si>
    <t>ИП5606032123</t>
  </si>
  <si>
    <t>ИП560603212300000</t>
  </si>
  <si>
    <t>ИП Трофименко Михаил Викторович</t>
  </si>
  <si>
    <t>561109702900</t>
  </si>
  <si>
    <t>ИП5606019605</t>
  </si>
  <si>
    <t>ИП560601960500000</t>
  </si>
  <si>
    <t>460019 Оренбургская область город Оренбург шоссе Шарлыкское 1/2</t>
  </si>
  <si>
    <t>ИП Бакулин Сергей Викторович</t>
  </si>
  <si>
    <t>561111370995</t>
  </si>
  <si>
    <t>ИП5606005754</t>
  </si>
  <si>
    <t>ИП560600575400000</t>
  </si>
  <si>
    <t>460014 Оренбургская область город Оренбург улица Максима Горького дом 60</t>
  </si>
  <si>
    <t>ИП Кудрин Антон Юрьевич</t>
  </si>
  <si>
    <t>561142145608</t>
  </si>
  <si>
    <t>ИП5606010074</t>
  </si>
  <si>
    <t>ИП560601007400000</t>
  </si>
  <si>
    <t>460000 Оренбургская область город Оренбург улица Кирова дом 11А</t>
  </si>
  <si>
    <t>ООО "ПРИРОДА"</t>
  </si>
  <si>
    <t>5612028393</t>
  </si>
  <si>
    <t>ЮЛ5606013581</t>
  </si>
  <si>
    <t>ЮЛ560601358100000</t>
  </si>
  <si>
    <t>ИП Моисеева Оксана Леонидовна</t>
  </si>
  <si>
    <t>561203085204</t>
  </si>
  <si>
    <t>ИП5606036936</t>
  </si>
  <si>
    <t>ИП560603693600000</t>
  </si>
  <si>
    <t>ИП Моисеев Вячеслав Александрович</t>
  </si>
  <si>
    <t>561203586017</t>
  </si>
  <si>
    <t>ИП5606003762</t>
  </si>
  <si>
    <t>ИП560600376200000</t>
  </si>
  <si>
    <t>460024 Оренбургская область город Оренбург улица Б.Хмельницкого дом 2А   помещение 4</t>
  </si>
  <si>
    <t>ИП Чудакова Татьяна Николаевна</t>
  </si>
  <si>
    <t>561207131726</t>
  </si>
  <si>
    <t>ИП5606001343</t>
  </si>
  <si>
    <t>ИП560600134300000</t>
  </si>
  <si>
    <t>ИП560600134300001</t>
  </si>
  <si>
    <t>460024 Оренбургская область город Оренбург улица 8 Марта дом 42   остров Эстет</t>
  </si>
  <si>
    <t>ИП560600134300002</t>
  </si>
  <si>
    <t>460038 Оренбургская область город Оренбург проспект Дзержинского дом 4А</t>
  </si>
  <si>
    <t>ИП560600134300004</t>
  </si>
  <si>
    <t>460024 Оренбургская область Оренбург Богдана Хмельницкого 2</t>
  </si>
  <si>
    <t>ИП Маськова Виктория Викторовна</t>
  </si>
  <si>
    <t>561207862444</t>
  </si>
  <si>
    <t>ИП5606001833</t>
  </si>
  <si>
    <t>ИП560600183300000</t>
  </si>
  <si>
    <t>462404 Оренбургская область город Орск проспект Ленина дом 53   помещение №2</t>
  </si>
  <si>
    <t>ИП Беляк Александр Владимирович</t>
  </si>
  <si>
    <t>561400579940</t>
  </si>
  <si>
    <t>ИП5606004380</t>
  </si>
  <si>
    <t>ИП560600438000000</t>
  </si>
  <si>
    <t>460006 Оренбургская область город Оренбург улица Володарского дом 21</t>
  </si>
  <si>
    <t>ИП Палей Оксана Владимировна</t>
  </si>
  <si>
    <t>561400653600</t>
  </si>
  <si>
    <t>ИП5606000569</t>
  </si>
  <si>
    <t>ИП560600056900000</t>
  </si>
  <si>
    <t>460006 Оренбургская область город Оренбург улица Советская дом 31</t>
  </si>
  <si>
    <t>ИП560600056900001</t>
  </si>
  <si>
    <t>462419 Оренбургская область город Орск проспект Мира дом 26</t>
  </si>
  <si>
    <t>ИП Николаев Максим Александрович</t>
  </si>
  <si>
    <t>561402339929</t>
  </si>
  <si>
    <t>ИП5606011954</t>
  </si>
  <si>
    <t>ИП560601195400000</t>
  </si>
  <si>
    <t>462419 Оренбургская область город Орск проспект Ленина дом 63</t>
  </si>
  <si>
    <t>ИП Головко Андрей Юрьевич</t>
  </si>
  <si>
    <t>561500864330</t>
  </si>
  <si>
    <t>ИП5606001945</t>
  </si>
  <si>
    <t>ИП560600194500000</t>
  </si>
  <si>
    <t>462404 Оренбургская область город Орск проспект Ленина дом 25</t>
  </si>
  <si>
    <t>ИП560600194500001</t>
  </si>
  <si>
    <t>462419 Оренбургская область город Орск проспект Мира здание 15Е</t>
  </si>
  <si>
    <t>ИП560600194500002</t>
  </si>
  <si>
    <t>462419 Оренбургская область город Орск Проспект Мира/улица Станиславского 15/57</t>
  </si>
  <si>
    <t>ИП Пунинская Ольга Николаевна</t>
  </si>
  <si>
    <t>561501000534</t>
  </si>
  <si>
    <t>ИП5606015340</t>
  </si>
  <si>
    <t>ИП560601534000000</t>
  </si>
  <si>
    <t>462419 Оренбургская область город Орск проспект Ленина дом 21</t>
  </si>
  <si>
    <t>ИП560601534000002</t>
  </si>
  <si>
    <t>462631 Оренбургская область город Гай улица Ленина дом 24</t>
  </si>
  <si>
    <t>ИП Иманов Амир Али-Оглы</t>
  </si>
  <si>
    <t>561501232373</t>
  </si>
  <si>
    <t>ИП5606001322</t>
  </si>
  <si>
    <t>ИП560600132200004</t>
  </si>
  <si>
    <t>462419 Оренбургская область город Орск проспект Мира/Ленина дом 23/26</t>
  </si>
  <si>
    <t>ИП560600132200007</t>
  </si>
  <si>
    <t>462432 Оренбургская область город Орск проспект Орский дом 7</t>
  </si>
  <si>
    <t>ИП560600132200009</t>
  </si>
  <si>
    <t>462420 Оренбургская область город Орск проспект Ленина дом 4 нежилое встроенное помещение № 1</t>
  </si>
  <si>
    <t>ИП560600132200010</t>
  </si>
  <si>
    <t>462419 Оренбургская область город Орск проспект Мира дом 15Д  Литер Е1Е2 этаж 1, помещение №4</t>
  </si>
  <si>
    <t>ИП Павельев Владимир Николаевич</t>
  </si>
  <si>
    <t>561506416487</t>
  </si>
  <si>
    <t>ИП7701030941</t>
  </si>
  <si>
    <t>ИП770103094100000</t>
  </si>
  <si>
    <t>462404 Оренбургская область город Орск проспект Ленина дом 39  литер А помещение №6</t>
  </si>
  <si>
    <t>ИП Сагайдак Ирина Павловна</t>
  </si>
  <si>
    <t>561600557238</t>
  </si>
  <si>
    <t>ИП5606004388</t>
  </si>
  <si>
    <t>ИП560600438800002</t>
  </si>
  <si>
    <t>ИП560600438800003</t>
  </si>
  <si>
    <t>462419 Оренбургская область город Орск проспект Мира дом 15</t>
  </si>
  <si>
    <t>ИП560600438800004</t>
  </si>
  <si>
    <t>461900 Оренбургская область город Сорочинск улица Пушкина дом 39</t>
  </si>
  <si>
    <t>ИП Злобина Ирина Николаевна</t>
  </si>
  <si>
    <t>561700082965</t>
  </si>
  <si>
    <t>ИП5606006919</t>
  </si>
  <si>
    <t>ИП560600691900000</t>
  </si>
  <si>
    <t>462781 Оренбургская область город Ясный улица Ленина дом 6</t>
  </si>
  <si>
    <t>ИП Давыдова Галина Анатольевна</t>
  </si>
  <si>
    <t>561800036426</t>
  </si>
  <si>
    <t>ИП5606001726</t>
  </si>
  <si>
    <t>ИП560600172600001</t>
  </si>
  <si>
    <t>462781 Оренбургская область город Ясный улица Ленина дом 9</t>
  </si>
  <si>
    <t>ИП560600172600002</t>
  </si>
  <si>
    <t>ИП560600172600006</t>
  </si>
  <si>
    <t>ООО "ЛОМБАРД "СНЕЖАНА"</t>
  </si>
  <si>
    <t>5618005307</t>
  </si>
  <si>
    <t>ЮЛ5606004131</t>
  </si>
  <si>
    <t>ЮЛ560600413100000</t>
  </si>
  <si>
    <t>462740 Оренбургская область поселок Светлый улица Торговая здание 11</t>
  </si>
  <si>
    <t>ИП Кужатаев Аскар Тлювмахамбетович</t>
  </si>
  <si>
    <t>561901108839</t>
  </si>
  <si>
    <t>ИП5606032695</t>
  </si>
  <si>
    <t>ИП560603269500000</t>
  </si>
  <si>
    <t>ИП560603269500001</t>
  </si>
  <si>
    <t>462830 Оренбургская область п.Адамовка улица Пушкинская дом 67</t>
  </si>
  <si>
    <t>ИП Халатян Лилия Владимировна</t>
  </si>
  <si>
    <t>561901713258</t>
  </si>
  <si>
    <t>ИП5606004017</t>
  </si>
  <si>
    <t>ИП560600401700000</t>
  </si>
  <si>
    <t>462428 Оренбургская область город Орск улица Васнецова дом 16</t>
  </si>
  <si>
    <t>ИП Иванченко Олеся Владимировна</t>
  </si>
  <si>
    <t>561902065539</t>
  </si>
  <si>
    <t>ИП5001016117</t>
  </si>
  <si>
    <t>ИП500101611700005</t>
  </si>
  <si>
    <t>462375 Оренбургская область город Новотроицк улица Советская дом 78   помещение 3</t>
  </si>
  <si>
    <t>ИП500101611700007</t>
  </si>
  <si>
    <t>462243 Оренбургская область город Кувандык улица Ленина дом 116</t>
  </si>
  <si>
    <t>ИП500101611700008</t>
  </si>
  <si>
    <t>461800 Оренбургская область село Грачевка улица Советская дом 16</t>
  </si>
  <si>
    <t>562701195924</t>
  </si>
  <si>
    <t>ИП5606031121</t>
  </si>
  <si>
    <t>ИП560603112100000</t>
  </si>
  <si>
    <t>461150 Оренбургская область село Плешаново проспект Гагарина дом 25А</t>
  </si>
  <si>
    <t>ИП Черкас Наталья Юрьевна</t>
  </si>
  <si>
    <t>563100038799</t>
  </si>
  <si>
    <t>ИП5606035951</t>
  </si>
  <si>
    <t>ИП560603595100000</t>
  </si>
  <si>
    <t>461150 Оренбургская область село Плешаново проспект Гагарина 25 Б</t>
  </si>
  <si>
    <t>ИП Бурангулова Нина Минигалиевна</t>
  </si>
  <si>
    <t>563100052987</t>
  </si>
  <si>
    <t>ИП5606005064</t>
  </si>
  <si>
    <t>ИП560600506400000</t>
  </si>
  <si>
    <t>462800 Оренбургская область поселок Новоорск улица Ленина дом 14А</t>
  </si>
  <si>
    <t>ИП Юров Денис Юрьевич</t>
  </si>
  <si>
    <t>563500079750</t>
  </si>
  <si>
    <t>ИП5606001841</t>
  </si>
  <si>
    <t>ИП560600184100000</t>
  </si>
  <si>
    <t>462800 Оренбургская область п Новоорск улица Ленина дом 4 в   помещение 4</t>
  </si>
  <si>
    <t>ИП Адаубаева Гульнара Байгунусовна</t>
  </si>
  <si>
    <t>563501035594</t>
  </si>
  <si>
    <t>ИП5606001840</t>
  </si>
  <si>
    <t>ИП560600184000000</t>
  </si>
  <si>
    <t>460006 Оренбургская область город Оренбург ул.Комсомольская/ул.Володарского  №43/21</t>
  </si>
  <si>
    <t>ООО "ТД "ДИАМАНТ"</t>
  </si>
  <si>
    <t>5638071058</t>
  </si>
  <si>
    <t>ЮЛ5606019495</t>
  </si>
  <si>
    <t>ЮЛ560601949500000</t>
  </si>
  <si>
    <t>460006 Оренбургская область город Оренбург Советская 31</t>
  </si>
  <si>
    <t>ЮЛ560601949500001</t>
  </si>
  <si>
    <t>461505 Оренбургская область город Соль-Илецк улица Пушкина дом 7</t>
  </si>
  <si>
    <t>ИП Пасечная Лилия Николаевна</t>
  </si>
  <si>
    <t>564603796871</t>
  </si>
  <si>
    <t>ИП5606001418</t>
  </si>
  <si>
    <t>ИП560600141800000</t>
  </si>
  <si>
    <t>461170 Оренбургская область село Ташла улица Довженко здание 52</t>
  </si>
  <si>
    <t>ООО "ХОЗЯЮШКА"</t>
  </si>
  <si>
    <t>5648006121</t>
  </si>
  <si>
    <t>ЮЛ5606007931</t>
  </si>
  <si>
    <t>ЮЛ560600793100000</t>
  </si>
  <si>
    <t>461134 Оренбургская область село Тоцкое Второе Ленина  4</t>
  </si>
  <si>
    <t>ИП Шумилкина Наталья Валерьевна</t>
  </si>
  <si>
    <t>564900023289</t>
  </si>
  <si>
    <t>ИП5606009209</t>
  </si>
  <si>
    <t>ИП560600920900000</t>
  </si>
  <si>
    <t>461049 Оренбургская область город Бузулук микрорайон 2-й дом 34   помещение 5</t>
  </si>
  <si>
    <t>ИП Толмачева Ольга Сергеевна</t>
  </si>
  <si>
    <t>564902374405</t>
  </si>
  <si>
    <t>ИП5606000336</t>
  </si>
  <si>
    <t>ИП560600033600000</t>
  </si>
  <si>
    <t>461450 Оренбургская область село Шарлык улица Мусы Джалиля дом 3</t>
  </si>
  <si>
    <t>ИП Симонова Светлана Жадитовна</t>
  </si>
  <si>
    <t>565100528660</t>
  </si>
  <si>
    <t>ИП5606003648</t>
  </si>
  <si>
    <t>ИП560600364800000</t>
  </si>
  <si>
    <t>461630 Оренбургская область город Бугуруслан улица Революционная здание 46</t>
  </si>
  <si>
    <t>ООО "ЛОМБАРД МОЙ ПАРТНЕР"</t>
  </si>
  <si>
    <t>6316280098</t>
  </si>
  <si>
    <t>ЮЛ6306032353</t>
  </si>
  <si>
    <t>ЮЛ630603235300014</t>
  </si>
  <si>
    <t>461630 Оренбургская область город Бугуруслан улица Революционная дом 66   квартира 19</t>
  </si>
  <si>
    <t>ИП Постникова Юлия Вячеславовна</t>
  </si>
  <si>
    <t>631800435199</t>
  </si>
  <si>
    <t>ИП6306033814</t>
  </si>
  <si>
    <t>ИП630603381400000</t>
  </si>
  <si>
    <t>ИП630601425400002</t>
  </si>
  <si>
    <t>461900 Оренбургская область город Сорочинск улица Фрунзе дом 1   помещение 24,20</t>
  </si>
  <si>
    <t>ИП630601425400014</t>
  </si>
  <si>
    <t>ИП630601425400030</t>
  </si>
  <si>
    <t>462360 Оренбургская область город Новотроицк улица Комарова дом 9а</t>
  </si>
  <si>
    <t>ИП630601425400038</t>
  </si>
  <si>
    <t>462634 Оренбургская область город Гай улица Орская дом 111В   павильон 2</t>
  </si>
  <si>
    <t>ИП630601425400105</t>
  </si>
  <si>
    <t>ИП630601425400107</t>
  </si>
  <si>
    <t>462419 Оренбургская область город Орск проспект Мира/улица Станиславского дом 15/57</t>
  </si>
  <si>
    <t>ИП630601425400121</t>
  </si>
  <si>
    <t>461744 Оренбургская область город Абдулино улица Коммунистическая здание 288/1а</t>
  </si>
  <si>
    <t>ИП Нефедовский Игорь Юрьевич</t>
  </si>
  <si>
    <t>631900682875</t>
  </si>
  <si>
    <t>ИП6306005503</t>
  </si>
  <si>
    <t>ИП630600550300005</t>
  </si>
  <si>
    <t>461630 Оренбургская область город Бугуруслан улица Революционная дом 54/96</t>
  </si>
  <si>
    <t>ИП630600550300014</t>
  </si>
  <si>
    <t>461630 Оренбургская область город Бугуруслан улица Революционная дом 45</t>
  </si>
  <si>
    <t>ИП630600550300015</t>
  </si>
  <si>
    <t>461630 Оренбургская область город Бугуруслан улица Революционная здание 41</t>
  </si>
  <si>
    <t>ИП630600550300016</t>
  </si>
  <si>
    <t>460036 Оренбургская область город Оренбург улица Восточная дом 31</t>
  </si>
  <si>
    <t>ЮЛ630603373600032</t>
  </si>
  <si>
    <t>ЮЛ630603373600033</t>
  </si>
  <si>
    <t>462356 Оренбургская область город Новотроицк улица Мира дом 12   помещение 6</t>
  </si>
  <si>
    <t>ЮЛ630603373600036</t>
  </si>
  <si>
    <t>462401 Оренбургская область город Орск улица Строителей дом 4</t>
  </si>
  <si>
    <t>ЮЛ630603373600079</t>
  </si>
  <si>
    <t>462429 Оренбургская область город Орск проспект Ленина дом 88   3</t>
  </si>
  <si>
    <t>ЮЛ630603373600080</t>
  </si>
  <si>
    <t>462435 Оренбургская область город Орск улица Вокзальное шоссе дом 9</t>
  </si>
  <si>
    <t>ЮЛ630603037200001</t>
  </si>
  <si>
    <t>460005 Оренбургская область город Оренбург проспект Победы здание 119/2</t>
  </si>
  <si>
    <t>ЮЛ630603037200002</t>
  </si>
  <si>
    <t>462431 Оренбургская область город Орск проспект Ленина дом 76</t>
  </si>
  <si>
    <t>ЮЛ630603037200006</t>
  </si>
  <si>
    <t>460000 Оренбургская область город Оренбург улица Советская дом 46</t>
  </si>
  <si>
    <t>ЮЛ630603037200007</t>
  </si>
  <si>
    <t>460022 Оренбургская область город Оренбург улица Новая дом 13   помещение 1</t>
  </si>
  <si>
    <t>ЮЛ630603037200013</t>
  </si>
  <si>
    <t>460024 Оренбургская область город Оренбург улица Туркестанская дом 88/1</t>
  </si>
  <si>
    <t>ЮЛ630603037200020</t>
  </si>
  <si>
    <t>460051 Оренбургская область город Оренбург проспект Гагарина дом 27/2</t>
  </si>
  <si>
    <t>ЮЛ630603037200061</t>
  </si>
  <si>
    <t>460014 Оренбургская область город Оренбург улица Ленинская/улица Пушкинская дом 42-44/49</t>
  </si>
  <si>
    <t>ЮЛ630603037200062</t>
  </si>
  <si>
    <t>460036 Оренбургская область город Оренбург улица Восточная дом 31   помещение 6</t>
  </si>
  <si>
    <t>ЮЛ630603037200073</t>
  </si>
  <si>
    <t>460052 Оренбургская область город Оренбург улица Салмышская остановка общественного транспорта "Липовая"</t>
  </si>
  <si>
    <t>ЮЛ630603037200087</t>
  </si>
  <si>
    <t>ЮЛ630603037200107</t>
  </si>
  <si>
    <t>460006 Оренбургская область город Оренбург улица Терешковой дом 23</t>
  </si>
  <si>
    <t>ЮЛ630603037200108</t>
  </si>
  <si>
    <t>460009 Оренбургская область город Оренбург улица Ткачева дом 32</t>
  </si>
  <si>
    <t>ЮЛ630603037200109</t>
  </si>
  <si>
    <t>460024 Оренбургская область город Оренбург улица Б.Хмельницкого дом 2Б</t>
  </si>
  <si>
    <t>ЮЛ660700070800132</t>
  </si>
  <si>
    <t>460019 Оренбургская область город Оренбург шоссе Шарлыкское дом 36Б</t>
  </si>
  <si>
    <t>ИП Новиков Алексей Вячеславович</t>
  </si>
  <si>
    <t>682502985440</t>
  </si>
  <si>
    <t>ИП5606040142</t>
  </si>
  <si>
    <t>ИП560604014200000</t>
  </si>
  <si>
    <t>460024 Оренбургская область город Оренбург улица 8 Марта дом 42   3 этаж</t>
  </si>
  <si>
    <t>ЮЛ770100826401134</t>
  </si>
  <si>
    <t>460060 Оренбургская область город Оренбург улица Салмышская дом 71  Литер Е помещение 3 и часть помещения 4</t>
  </si>
  <si>
    <t>ИП770100417900030</t>
  </si>
  <si>
    <t>460009 Оренбургская область город Оренбург улица Дзержинского дом 23</t>
  </si>
  <si>
    <t>ИП770100417900031</t>
  </si>
  <si>
    <t>460019 Оренбургская область город Оренбург шоссе Шарлыкское здание 1/2  литер Е помещение С1</t>
  </si>
  <si>
    <t>ИП770100417900034</t>
  </si>
  <si>
    <t>460006 Оренбургская область город Оренбург улица Советская дом 50</t>
  </si>
  <si>
    <t>ИП770100417900049</t>
  </si>
  <si>
    <t>461040 Оренбургская область город Бузулук улица Комсомольская здание 81   этаж 1</t>
  </si>
  <si>
    <t>ЮЛ770101216600107</t>
  </si>
  <si>
    <t>460961 Оренбургская область город Оренбург шоссе Шарлыкское домовладение 1/2   этаж 1</t>
  </si>
  <si>
    <t>ЮЛ770101216600247</t>
  </si>
  <si>
    <t>460044 Оренбургская область город Оренбург проспект Дзержинского дом 23   нежилые помещения 1,2, этаж 1</t>
  </si>
  <si>
    <t>ЮЛ770101216600311</t>
  </si>
  <si>
    <t>460022 Оренбургская область город Оренбург улица Новая дом 4  Литер Е1 помещения 208, 209, этаж 1</t>
  </si>
  <si>
    <t>ЮЛ770101216600318</t>
  </si>
  <si>
    <t>462419 Оренбургская область город Орск проспект Мира дом 15Д   этаж 1</t>
  </si>
  <si>
    <t>ЮЛ770101216600340</t>
  </si>
  <si>
    <t>460060 Оренбургская область город Оренбург улица Салмышская дом 71  литера Е этаж 1, номер островного отдела №9</t>
  </si>
  <si>
    <t>ЮЛ770101216600491</t>
  </si>
  <si>
    <t>460051 Оренбургская область город Оренбург проспект Гагарина дом 48/3   этаж 1</t>
  </si>
  <si>
    <t>ЮЛ770101216600494</t>
  </si>
  <si>
    <t>462419 Оренбургская область город Орск проспект Ленина дом 25   этаж 1, нежилое помещение № 32</t>
  </si>
  <si>
    <t>ЮЛ770101216600624</t>
  </si>
  <si>
    <t>460026 Оренбургская область город Оренбург улица Карагандинская дом 22   этаж 1</t>
  </si>
  <si>
    <t>ЮЛ770101216600653</t>
  </si>
  <si>
    <t>460051 Оренбургская область город Оренбург шоссе Нежинское здание 2Б   этаж 1, часть торговой площади № Г1-25</t>
  </si>
  <si>
    <t>ЮЛ770101216600658</t>
  </si>
  <si>
    <t>460006 Оренбургская область город Оренбург переулок Кондукторский дом 4   этаж 2</t>
  </si>
  <si>
    <t>ЮЛ770101216600661</t>
  </si>
  <si>
    <t>460052 Оренбургская область город Оренбург улица Салмышская дом 41   этаж 1, нежилое помещение 1</t>
  </si>
  <si>
    <t>ЮЛ770101216600961</t>
  </si>
  <si>
    <t>461040 Оренбургская область город Бузулук улица Комсомольская здание 81   первый этаж</t>
  </si>
  <si>
    <t>ЮЛ770100193500211</t>
  </si>
  <si>
    <t>460019 Оренбургская область город Оренбург шоссе Шарлыкское дом 1/2   помещение С 14/1</t>
  </si>
  <si>
    <t>ЮЛ770100193500212</t>
  </si>
  <si>
    <t>ЮЛ770100193500213</t>
  </si>
  <si>
    <t>462428 Оренбургская область город Орск улица Васнецова дом 16   часть помещения 3, 1 этаж</t>
  </si>
  <si>
    <t>ЮЛ770100193500214</t>
  </si>
  <si>
    <t>460022 Оренбургская область город Оренбург улица Новая дом 4   этаж 1, помещение № 189, 190, 191, 192, 193, 194, 195, 196</t>
  </si>
  <si>
    <t>ЮЛ770100193500487</t>
  </si>
  <si>
    <t>460024 Оренбургская область город Оренбург улица 8 Марта дом 42   нежилое помещение № 71, этаж 1 (первый)</t>
  </si>
  <si>
    <t>ЮЛ770100193500597</t>
  </si>
  <si>
    <t>462359 Оренбургская область город Новотроицк улица Советская дом 43В   этаж 1 (первый)</t>
  </si>
  <si>
    <t>ЮЛ770100193500705</t>
  </si>
  <si>
    <t>460044 Оренбургская область город Оренбург проспект Дзержинского здание 23   нежилое помещение № 17, этаж подвал 1,2,3 (первый, второй, третий)</t>
  </si>
  <si>
    <t>ЮЛ770100193500753</t>
  </si>
  <si>
    <t>460044 Оренбургская область город Оренбург проспект Дзержинского дом 23   первый этаж, часть помещения 17</t>
  </si>
  <si>
    <t>ЮЛ770100193501041</t>
  </si>
  <si>
    <t>460052 Оренбургская область город Оренбург улица Салмышская д. 41</t>
  </si>
  <si>
    <t>ИП Сёмина Ольга Владимировна</t>
  </si>
  <si>
    <t>780158631367</t>
  </si>
  <si>
    <t>ИП7803002260</t>
  </si>
  <si>
    <t>ИП780300226000010</t>
  </si>
  <si>
    <t>460022 Оренбургская область город Оренбург улица Новая дом 4  В34 помещения 5, 6, 7</t>
  </si>
  <si>
    <t>ЮЛ780300323500022</t>
  </si>
  <si>
    <t>462419 Оренбургская область город Орск проспект Ленина дом 24</t>
  </si>
  <si>
    <t>ЮЛ780300323500023</t>
  </si>
  <si>
    <t>460000 Оренбургская область город Оренбург улица Советская дом 25</t>
  </si>
  <si>
    <t>ЮЛ780300308200171</t>
  </si>
  <si>
    <t>461630 Оренбургская область город Бугуруслан улица Революционная дом 47   помещение 1320</t>
  </si>
  <si>
    <t>ЮЛ780300308200405</t>
  </si>
  <si>
    <t>ЮЛ780300308200490</t>
  </si>
  <si>
    <t>462419 Оренбургская область город Орск проспект Ленина дом 24   часть нежилых помещений № 3-5 встроенного нежилого помещения №1</t>
  </si>
  <si>
    <t>ЮЛ780300308200491</t>
  </si>
  <si>
    <t>460019 Оренбургская область город Оренбург шоссе Шарлыкское д. 1/2</t>
  </si>
  <si>
    <t>ЮЛ780300308200633</t>
  </si>
  <si>
    <t>460052 Оренбургская область город Оренбург улица Салмышская д. 41   часть нежилого помещения № 1</t>
  </si>
  <si>
    <t>ЮЛ780300308200656</t>
  </si>
  <si>
    <t>460019 Оренбургская область город Оренбург шоссе Шарлыкское д 1/2   часть нежилого помещения номер 65</t>
  </si>
  <si>
    <t>ЮЛ780300308201050</t>
  </si>
  <si>
    <t>460009 Оренбургская область город Оренбург улица Дзержинского дом 23   часть нежилого помещения № 17</t>
  </si>
  <si>
    <t>ЮЛ780300308201105</t>
  </si>
  <si>
    <t>461040 Оренбургская область город Бузулук улица Комсомольская здание 81   пом.1</t>
  </si>
  <si>
    <t>ЮЛ780300308201118</t>
  </si>
  <si>
    <t>ЮЛ780300363500033</t>
  </si>
  <si>
    <t>ЮЛ780300363500169</t>
  </si>
  <si>
    <t>460051 Оренбургская область город Оренбург проспект Гагарина дом 48/3   -</t>
  </si>
  <si>
    <t>ЮЛ780301261200021</t>
  </si>
  <si>
    <t>460022 Оренбургская область город Оренбург улица Новая дом 4  литера е1 помещения 19, 20</t>
  </si>
  <si>
    <t>ЮЛ780301261200030</t>
  </si>
  <si>
    <t>460009 Оренбургская область город Оренбург улица Дзержинского дом 23   б/н на первом этаже</t>
  </si>
  <si>
    <t>ЮЛ780301261200032</t>
  </si>
  <si>
    <t>460019 Оренбургская область город Оренбург шоссе Шарлыкское здание 1/2   С29</t>
  </si>
  <si>
    <t>ЮЛ780301261200033</t>
  </si>
  <si>
    <t>460038 Оренбургская область город Оренбург проспект Дзержинского дом 4А   помещение 52</t>
  </si>
  <si>
    <t>ЮЛ770100938700043</t>
  </si>
  <si>
    <t>460053 Оренбургская область город Оренбург улица Салмышская дом 45   помещение 1</t>
  </si>
  <si>
    <t>ЮЛ770100938700044</t>
  </si>
  <si>
    <t>ЮЛ770100938700047</t>
  </si>
  <si>
    <t>Орловская область</t>
  </si>
  <si>
    <t>302042 Орловская область город Орёл шоссе Кромское дом 4   Помещение №23</t>
  </si>
  <si>
    <t>ИП Кузнецова Екатерина Владимировна</t>
  </si>
  <si>
    <t>132610620427</t>
  </si>
  <si>
    <t>ИП5701030015</t>
  </si>
  <si>
    <t>ИП570103001500000</t>
  </si>
  <si>
    <t>302042 Орловская область город Орёл шоссе Кромское дом 4   1 этаж, помещение 15</t>
  </si>
  <si>
    <t>ИП310103412600005</t>
  </si>
  <si>
    <t>302020 Орловская область город Орёл улица Октябрьская дом 27   1 этаж, нежилое помещение 3</t>
  </si>
  <si>
    <t>ИП310103412600006</t>
  </si>
  <si>
    <t>302042 Орловская область город Орёл шоссе Кромское    дом 4 помещения №№ 22,124,125</t>
  </si>
  <si>
    <t>ЮЛ310100216200007</t>
  </si>
  <si>
    <t>302001 Орловская область город Орёл улица Комсомольская дом 62   1 этаж, помещение 46</t>
  </si>
  <si>
    <t>ЮЛ310100189400004</t>
  </si>
  <si>
    <t>303850 Орловская область город Ливны улица Капитана Филиппова дом 60   этаж 1</t>
  </si>
  <si>
    <t>ИП770100193400005</t>
  </si>
  <si>
    <t>302030 Орловская область город Орёл переулок Новосильский дом 3   помещение 2</t>
  </si>
  <si>
    <t>ЮЛ320100307600010</t>
  </si>
  <si>
    <t>302206 Орловская область город Орёл  улица Комсомольская дом 78  литер А помещение 86</t>
  </si>
  <si>
    <t>ЮЛ480100215000022</t>
  </si>
  <si>
    <t>302002 Орловская область город Орёл площадь Мира дом 1   литер А, А1, А2</t>
  </si>
  <si>
    <t>ЮЛ480100215000030</t>
  </si>
  <si>
    <t>302042 Орловская область город Орёл шоссе Кромское дом 4  литера е ТЦ Гринн</t>
  </si>
  <si>
    <t>ИП500100445500120</t>
  </si>
  <si>
    <t>303410 Орловская область поселок городского типа Колпна улица Советская дом 17</t>
  </si>
  <si>
    <t>5700001432</t>
  </si>
  <si>
    <t>ЮЛ5701032234</t>
  </si>
  <si>
    <t>ЮЛ570103223400000</t>
  </si>
  <si>
    <t>303850 Орловская область город Ливны улица Максима Горького дом 2В</t>
  </si>
  <si>
    <t>ООО "ПАРИТЕТ"</t>
  </si>
  <si>
    <t>5702001050</t>
  </si>
  <si>
    <t>ЮЛ5701006273</t>
  </si>
  <si>
    <t>ЮЛ570100627300000</t>
  </si>
  <si>
    <t>303850 Орловская область город Ливны улица Кирова дом 61А</t>
  </si>
  <si>
    <t>ИП Шумина Татьяна Ивановна</t>
  </si>
  <si>
    <t>570200139015</t>
  </si>
  <si>
    <t>ИП5701008543</t>
  </si>
  <si>
    <t>ИП570100854300000</t>
  </si>
  <si>
    <t>303760 Орловская область поселок городского типа Долгое улица Свердлова дом 18</t>
  </si>
  <si>
    <t>ИП Овсянников Александр Александрович</t>
  </si>
  <si>
    <t>570800927392</t>
  </si>
  <si>
    <t>ИП5701038485</t>
  </si>
  <si>
    <t>ИП570103848500000</t>
  </si>
  <si>
    <t>302028 Орловская область город Орел улица Бульвар Победы дом 2  Литера А Помещение 204, 207</t>
  </si>
  <si>
    <t>ИП Василенко Игорь Вадимович</t>
  </si>
  <si>
    <t>575100695265</t>
  </si>
  <si>
    <t>ИП7701006313</t>
  </si>
  <si>
    <t>ИП770100631300000</t>
  </si>
  <si>
    <t>302028 Орловская область город Орёл бульвар Победы дом 2  литер А помещение 206</t>
  </si>
  <si>
    <t>ИП Дементьева Ирина Юрьевна</t>
  </si>
  <si>
    <t>575201387309</t>
  </si>
  <si>
    <t>ИП5701006914</t>
  </si>
  <si>
    <t>ИП570100691400000</t>
  </si>
  <si>
    <t>302024 Орловская область город Орёл улица Поселковая дом 1  литера А этаж 1</t>
  </si>
  <si>
    <t>ИП Алдошин Александр Юрьевич</t>
  </si>
  <si>
    <t>575207245580</t>
  </si>
  <si>
    <t>ИП5701006670</t>
  </si>
  <si>
    <t>ИП570100667000000</t>
  </si>
  <si>
    <t>302001 Орловская область Город Орёл Улица Гагарина Дом 9   Помещение 6</t>
  </si>
  <si>
    <t>ИП Зеновин Валерий Иванович</t>
  </si>
  <si>
    <t>575304706878</t>
  </si>
  <si>
    <t>ИП5701006384</t>
  </si>
  <si>
    <t>ИП570100638400000</t>
  </si>
  <si>
    <t>302010 Орловская область город Орёл улица Автовокзальная дом 1   этаж 1</t>
  </si>
  <si>
    <t>ИП570100638400001</t>
  </si>
  <si>
    <t>302001 Орловская область город Орёл улица Карачевская дом 22  литера А помещение 1 этаж 1</t>
  </si>
  <si>
    <t>ИП570100638400002</t>
  </si>
  <si>
    <t>302028 Орловская область город Орёл улица Октябрьская дом 27   помещение 11,12, комнаты 47,50 (часть), 73,41, этаж 2</t>
  </si>
  <si>
    <t>ЮЛ570100272800000</t>
  </si>
  <si>
    <t>302026 Орловская область город Орёл улица Комсомольская дом 66  литера А, А1 помещение 16, комнаты №34,34а, этаж подвал</t>
  </si>
  <si>
    <t>ЮЛ570100272800001</t>
  </si>
  <si>
    <t>303850 Орловская область город Ливны улица Ленина дом 23</t>
  </si>
  <si>
    <t>ЮЛ570100272800003</t>
  </si>
  <si>
    <t>302030 Орловская область город Орёл улица Пушкина дом 4а  Литара А помещение 22</t>
  </si>
  <si>
    <t>ИП Сусанов Яков Юрьевич</t>
  </si>
  <si>
    <t>575406300725</t>
  </si>
  <si>
    <t>ИП5701040043</t>
  </si>
  <si>
    <t>ИП570104004300000</t>
  </si>
  <si>
    <t>302004 Орловская область город Орёл улица Ливенская дом 68А</t>
  </si>
  <si>
    <t>ИП570104004300001</t>
  </si>
  <si>
    <t>302007 Орловская область город Орёл шоссе Карачевское дом 94</t>
  </si>
  <si>
    <t>ИП570104004300003</t>
  </si>
  <si>
    <t>302000 Орловская область город Орел улица Металлургов дом 17 корпус 1</t>
  </si>
  <si>
    <t>ИП570104004300004</t>
  </si>
  <si>
    <t>303720 Орловская область поселок городского типа Верховье улица 7 Ноября дом 2   помещение 21, 22, 23</t>
  </si>
  <si>
    <t>ИП Кушлянский Дмитрий Викторович</t>
  </si>
  <si>
    <t>673100337519</t>
  </si>
  <si>
    <t>ИП6701005248</t>
  </si>
  <si>
    <t>ИП670100524800008</t>
  </si>
  <si>
    <t>303850 Орловская область город Ливны улица Максима Горького дом 5 А</t>
  </si>
  <si>
    <t>ИП000100637600005</t>
  </si>
  <si>
    <t>302042 Орловская область город Орёл шоссе Кромское владение 4   помещение 23, 128</t>
  </si>
  <si>
    <t>ЮЛ760201190700046</t>
  </si>
  <si>
    <t>302002 Орловская область город Орёл площадь Мира дом 1   нежилые помещения 31,32, 33 (часть), этаж 1</t>
  </si>
  <si>
    <t>ЮЛ770101216600138</t>
  </si>
  <si>
    <t>302042 Орловская область город Орёл шоссе Кромское владение 4   нежилые помещения 33,137,138,139, этаж 1</t>
  </si>
  <si>
    <t>ЮЛ770101216600144</t>
  </si>
  <si>
    <t>302028 Орловская область город Орёл улица Октябрьская дом 27   помещение 10, этаж 1, чать нежилого помещения №48</t>
  </si>
  <si>
    <t>ЮЛ770101216600484</t>
  </si>
  <si>
    <t>302007 Орловская область город Орёл шоссе Карачевское дом 94   этаж 1, часть комнаты № 2</t>
  </si>
  <si>
    <t>ЮЛ770101216600583</t>
  </si>
  <si>
    <t>302040 Орловская область город Орёл улица Ломоносова здание 6 корпус 20  этаж 1, часть нежилого помещения</t>
  </si>
  <si>
    <t>ЮЛ770101216600796</t>
  </si>
  <si>
    <t>302038 Орловская область город Орёл улица Металлургов дом 17 корпус 1  этаж 1, часть комнаты №1</t>
  </si>
  <si>
    <t>ЮЛ770101216600805</t>
  </si>
  <si>
    <t>303720 Орловская область поселок городского типа Верховье улица Советская дом 57  литер Г</t>
  </si>
  <si>
    <t>ИП Верижникова Наталия Сергеевна</t>
  </si>
  <si>
    <t>772020993996</t>
  </si>
  <si>
    <t>ИП7701016712</t>
  </si>
  <si>
    <t>ИП770101671200000</t>
  </si>
  <si>
    <t>302028 Орловская область город Орёл улица Октябрьская дом 27  В комната 15</t>
  </si>
  <si>
    <t>ИП770101671200001</t>
  </si>
  <si>
    <t>302001 Орловская область город Орёл площадь Карла Маркса дом 1-3  литера А,А3 помещение 132</t>
  </si>
  <si>
    <t>ИП770101671200002</t>
  </si>
  <si>
    <t>302025 Орловская область город Орёл улица Металлургов дом 24   помещение 82</t>
  </si>
  <si>
    <t>ИП770101671200003</t>
  </si>
  <si>
    <t>303030 Орловская область город Мценск улица Тургенева   литер А1</t>
  </si>
  <si>
    <t>ИП770101671200004</t>
  </si>
  <si>
    <t>302028 Орловская область город Орёл улица Октябрьская дом 27   помещение 1</t>
  </si>
  <si>
    <t>ИП770101671200005</t>
  </si>
  <si>
    <t>302032 Орловская область город Орёл площадь Мира дом 1   помещения  3-9, часть помещения 10</t>
  </si>
  <si>
    <t>ЮЛ770100193500215</t>
  </si>
  <si>
    <t>302042 Орловская область город Орёл шоссе Кромское дом 4  литер Е помещение 30, 1 (первый) этаж</t>
  </si>
  <si>
    <t>ЮЛ770100193500216</t>
  </si>
  <si>
    <t>303850 Орловская область город Ливны улица Дружбы Народов дом 121</t>
  </si>
  <si>
    <t>ЮЛ780300131300292</t>
  </si>
  <si>
    <t>303030 Орловская область город Мценск улица Мира дом 30</t>
  </si>
  <si>
    <t>ЮЛ780300131300293</t>
  </si>
  <si>
    <t>302026 Орловская область город Орёл площадь Комсомольская дом 53</t>
  </si>
  <si>
    <t>ЮЛ780300131300295</t>
  </si>
  <si>
    <t>302043 Орловская область город Орёл улица Комсомольская дом 238   помещение 77</t>
  </si>
  <si>
    <t>ЮЛ780300131300426</t>
  </si>
  <si>
    <t>302025 Орловская область город Орёл улица Металлургов дом 16   пом.2</t>
  </si>
  <si>
    <t>ЮЛ780300131300459</t>
  </si>
  <si>
    <t>302001 Орловская область город Орёл улица Комсомольская дом 53</t>
  </si>
  <si>
    <t>ЮЛ780300308200037</t>
  </si>
  <si>
    <t>302025 Орловская область город Орёл улица Металлургов дом 16   помещение 2</t>
  </si>
  <si>
    <t>ЮЛ780300308200038</t>
  </si>
  <si>
    <t>302001 Орловская область город Орёл площадь Карла Маркса дом 5-7   комнаты 2,7,27,28,29</t>
  </si>
  <si>
    <t>ЮЛ780300308200051</t>
  </si>
  <si>
    <t>302030 Орловская область город Орёл улица Московская дом 43</t>
  </si>
  <si>
    <t>ЮЛ780300308200057</t>
  </si>
  <si>
    <t>302042 Орловская область город Орёл шоссе Кромское владение 4   часть нежилого помещения 15</t>
  </si>
  <si>
    <t>ЮЛ780300308200288</t>
  </si>
  <si>
    <t>302028 Орловская область город Орёл улица Октябрьская дом 22   часть помещения 17</t>
  </si>
  <si>
    <t>ЮЛ780300308200328</t>
  </si>
  <si>
    <t>303850 Орловская область город Ливны улица Дружбы Народов дом 121   часть нежилого помещения №13, нежилые помещения №15, №16, №17</t>
  </si>
  <si>
    <t>ЮЛ780300308200747</t>
  </si>
  <si>
    <t>ЮЛ780300308200933</t>
  </si>
  <si>
    <t>302043 Орловская область город Орёл улица Комсомольская дом 238   часть нежилого помещения № 5, нежилые помещения № 6, №7, №8, №9, №10 помещения 77</t>
  </si>
  <si>
    <t>ЮЛ780300308201003</t>
  </si>
  <si>
    <t>302002 Орловская область город Орёл площадь Мира дом 1   нежилые помещения №№52,53</t>
  </si>
  <si>
    <t>ЮЛ780300308201101</t>
  </si>
  <si>
    <t>302030 Орловская область город Орёл площадь Мира дом 5</t>
  </si>
  <si>
    <t>ЮЛ770100902000032</t>
  </si>
  <si>
    <t>Пензенская область</t>
  </si>
  <si>
    <t>440000 Пензенская область город Пенза улица Московская строение 69</t>
  </si>
  <si>
    <t>ЮЛ470300219500009</t>
  </si>
  <si>
    <t>440000 Пензенская область город Пенза улица Кирова/Бакунина дом 73/23А   помещения №№69,70</t>
  </si>
  <si>
    <t>ЮЛ480100215000031</t>
  </si>
  <si>
    <t>440066 Пензенская область город Пенза проспект Строителей дом 1В   этаж 1</t>
  </si>
  <si>
    <t>ИП520600807800015</t>
  </si>
  <si>
    <t>440000 Пензенская область город Пенза Кирова 65/2  В комната 97,98,100</t>
  </si>
  <si>
    <t>ИП Воронцов Роман Владимирович</t>
  </si>
  <si>
    <t>526301326902</t>
  </si>
  <si>
    <t>ИП5806038134</t>
  </si>
  <si>
    <t>ИП580603813400000</t>
  </si>
  <si>
    <t>442530 Пензенская область город Кузнецк улица Белинского дом 148</t>
  </si>
  <si>
    <t>ИП Зяблицева Елена Анатольевна</t>
  </si>
  <si>
    <t>580300169108</t>
  </si>
  <si>
    <t>ИП5806001212</t>
  </si>
  <si>
    <t>ИП580600121200000</t>
  </si>
  <si>
    <t>440066 Пензенская область город Пенза проспект Строителей дом 1В   1 этаж, помещение № 127</t>
  </si>
  <si>
    <t>ИП Смагин Анатолий Иванович</t>
  </si>
  <si>
    <t>580300247814</t>
  </si>
  <si>
    <t>ИП5806004125</t>
  </si>
  <si>
    <t>ИП580600412500000</t>
  </si>
  <si>
    <t>442530 Пензенская область город Кузнецк улица Дарвина дом 88</t>
  </si>
  <si>
    <t>ИП Тулупов Вячеслав Александрович</t>
  </si>
  <si>
    <t>580300348925</t>
  </si>
  <si>
    <t>ИП5806007464</t>
  </si>
  <si>
    <t>ИП580600746400000</t>
  </si>
  <si>
    <t>442543 Пензенская область город Кузнецк улица Белинского дом 2А</t>
  </si>
  <si>
    <t>ИП Янгаева Оксана Николаевна</t>
  </si>
  <si>
    <t>580300665804</t>
  </si>
  <si>
    <t>ИП5806008505</t>
  </si>
  <si>
    <t>ИП580600850500000</t>
  </si>
  <si>
    <t>442310 Пензенская область город Городище улица Московская здание 82</t>
  </si>
  <si>
    <t>ИП580600850500001</t>
  </si>
  <si>
    <t>440066 Пензенская область город Пенза проспект Строителей дом 1В</t>
  </si>
  <si>
    <t>ИП Смагина Лариса Владимировна</t>
  </si>
  <si>
    <t>580301013706</t>
  </si>
  <si>
    <t>ИП7701002072</t>
  </si>
  <si>
    <t>ИП770100207200000</t>
  </si>
  <si>
    <t>442533 Пензенская область город Кузнецк улица Калинина дом 214</t>
  </si>
  <si>
    <t>ИП Сулейманова Флюра Аллямовна</t>
  </si>
  <si>
    <t>580301782451</t>
  </si>
  <si>
    <t>ИП5806003071</t>
  </si>
  <si>
    <t>ИП580600307100000</t>
  </si>
  <si>
    <t>442532 Пензенская область город Кузнецк улица Белинского дом 82Б</t>
  </si>
  <si>
    <t>ИП580600307100001</t>
  </si>
  <si>
    <t>ИП580600307100002</t>
  </si>
  <si>
    <t>442533 Пензенская область город Кузнецк улица Калинина дом 208</t>
  </si>
  <si>
    <t>ИП580600307100003</t>
  </si>
  <si>
    <t>442532 Пензенская область город Кузнецк улица Белинского дом 82</t>
  </si>
  <si>
    <t>5803022307</t>
  </si>
  <si>
    <t>ЮЛ5806008744</t>
  </si>
  <si>
    <t>ЮЛ580600874400000</t>
  </si>
  <si>
    <t>442530 Пензенская область город Кузнецк улица Комсомольская дом 40</t>
  </si>
  <si>
    <t>ИП Ганиева Найля Хайдаровна</t>
  </si>
  <si>
    <t>580302777119</t>
  </si>
  <si>
    <t>ИП5806034218</t>
  </si>
  <si>
    <t>ИП580603421800001</t>
  </si>
  <si>
    <t>440000 Пензенская область город Пенза улица Московская/Кураева дом 37/3</t>
  </si>
  <si>
    <t>ИП Шестаков Анатолий Владимирович</t>
  </si>
  <si>
    <t>580303105423</t>
  </si>
  <si>
    <t>ИП5806005276</t>
  </si>
  <si>
    <t>ИП580600527600000</t>
  </si>
  <si>
    <t>ИП Тараканова Елена Евгеньевна</t>
  </si>
  <si>
    <t>580305678444</t>
  </si>
  <si>
    <t>ИП5806005799</t>
  </si>
  <si>
    <t>ИП580600579900000</t>
  </si>
  <si>
    <t>ИП580600579900001</t>
  </si>
  <si>
    <t>ИП Выборных Дмитрий Юрьевич</t>
  </si>
  <si>
    <t>580312308902</t>
  </si>
  <si>
    <t>ИП5806040828</t>
  </si>
  <si>
    <t>ИП580604082800000</t>
  </si>
  <si>
    <t>442530 Пензенская область город Кузнецк улица Дарвина владение 57А</t>
  </si>
  <si>
    <t>ИП Иньшова Анна Александровна</t>
  </si>
  <si>
    <t>580312765419</t>
  </si>
  <si>
    <t>ИП5806008851</t>
  </si>
  <si>
    <t>ИП580600885100000</t>
  </si>
  <si>
    <t>442895 Пензенская область город Сердобск улица Ленина дом 87</t>
  </si>
  <si>
    <t>ИП Панкратов Андрей Иванович</t>
  </si>
  <si>
    <t>580500789081</t>
  </si>
  <si>
    <t>ИП5806020081</t>
  </si>
  <si>
    <t>ИП580602008100000</t>
  </si>
  <si>
    <t>442895 Пензенская область город Сердобск улица Чапаева здание 81/24</t>
  </si>
  <si>
    <t>ИП Ускова Елена Анатольевна</t>
  </si>
  <si>
    <t>580502638120</t>
  </si>
  <si>
    <t>ИП5806033516</t>
  </si>
  <si>
    <t>ИП580603351600000</t>
  </si>
  <si>
    <t>442895 Пензенская область город Сердобск улица Ленина дом 110а</t>
  </si>
  <si>
    <t>ИП Королев Сергей Станиславович</t>
  </si>
  <si>
    <t>580504622220</t>
  </si>
  <si>
    <t>ИП5806031521</t>
  </si>
  <si>
    <t>ИП580603152100000</t>
  </si>
  <si>
    <t>442246 Пензенская область город Каменка улица Чернышевского дом 10</t>
  </si>
  <si>
    <t>ИП580603152100002</t>
  </si>
  <si>
    <t>442060 Пензенская область рабочий поселок Башмаково улица Советская дом 12</t>
  </si>
  <si>
    <t>ИП Логинов Дмитрий Валерьевич</t>
  </si>
  <si>
    <t>580600122478</t>
  </si>
  <si>
    <t>ИП5806000610</t>
  </si>
  <si>
    <t>ИП580600061000000</t>
  </si>
  <si>
    <t>442250 Пензенская область город Белинский улица Барышева дом 2</t>
  </si>
  <si>
    <t>ИП580600061000001</t>
  </si>
  <si>
    <t>440013 Пензенская область город Пенза улица Клары Цеткин дом 44А</t>
  </si>
  <si>
    <t>ИП Охмак Андрей Николаевич</t>
  </si>
  <si>
    <t>580900285339</t>
  </si>
  <si>
    <t>ИП5806009284</t>
  </si>
  <si>
    <t>ИП580600928400000</t>
  </si>
  <si>
    <t>440045 Пензенская область город Пенза улица Ладожская здание 162Б</t>
  </si>
  <si>
    <t>ИП580600928400001</t>
  </si>
  <si>
    <t>440004 Пензенская область город Пенза улица Центральная дом 1</t>
  </si>
  <si>
    <t>ИП580600928400003</t>
  </si>
  <si>
    <t>440004 Пензенская область город Пенза улица Центральная дом 1   отд.№1</t>
  </si>
  <si>
    <t>ИП Курочкин Антон Юрьевич</t>
  </si>
  <si>
    <t>581200543890</t>
  </si>
  <si>
    <t>ИП5806001133</t>
  </si>
  <si>
    <t>ИП580600113300000</t>
  </si>
  <si>
    <t>440004 Пензенская область город Пенза улица Центральная дом 1   отд.№2</t>
  </si>
  <si>
    <t>ИП580600113300001</t>
  </si>
  <si>
    <t>442246 Пензенская область город Каменка улица Чкалова дом 21</t>
  </si>
  <si>
    <t>ИП580600113300002</t>
  </si>
  <si>
    <t>442301 Пензенская область город Сурск улица Полевая дом 21</t>
  </si>
  <si>
    <t>ИП Медведева Ольга Викторовна</t>
  </si>
  <si>
    <t>581201733300</t>
  </si>
  <si>
    <t>ИП5806000685</t>
  </si>
  <si>
    <t>ИП580600068500000</t>
  </si>
  <si>
    <t>440513 Пензенская область село Засечное улица Ново-Терновская дом 1</t>
  </si>
  <si>
    <t>ИП Филин Андрей Анатольевич</t>
  </si>
  <si>
    <t>582600008345</t>
  </si>
  <si>
    <t>ИП5806001994</t>
  </si>
  <si>
    <t>ИП580600199400000</t>
  </si>
  <si>
    <t>440066 Пензенская область город Пенза проспект Строителей строение 1В</t>
  </si>
  <si>
    <t>ИП580600199400006</t>
  </si>
  <si>
    <t>440068 Пензенская область город Пенза улица Терновского владение 183   ювелирный отдел</t>
  </si>
  <si>
    <t>ИП580600199400007</t>
  </si>
  <si>
    <t>440028 Пензенская область город Пенза улица Циолковского строение 3</t>
  </si>
  <si>
    <t>ИП580600199400008</t>
  </si>
  <si>
    <t>442150 Пензенская область город Нижний Ломов улица Московская дом 45</t>
  </si>
  <si>
    <t>ИП Колесникова Галина Алексеевна</t>
  </si>
  <si>
    <t>582700153000</t>
  </si>
  <si>
    <t>ИП5806002779</t>
  </si>
  <si>
    <t>ИП580600277900000</t>
  </si>
  <si>
    <t>442150 Пензенская область город Нижний Ломов улица Карла Маркса дом 11   офис 2</t>
  </si>
  <si>
    <t>ИП Кириллова Оксана Леонидовна</t>
  </si>
  <si>
    <t>582703409677</t>
  </si>
  <si>
    <t>ИП5806008864</t>
  </si>
  <si>
    <t>ИП580600886400000</t>
  </si>
  <si>
    <t>442100 Пензенская область рабочий поселок Пачелма улица Кирова дом 1</t>
  </si>
  <si>
    <t>ИП Меняева Наталья Валентиновна</t>
  </si>
  <si>
    <t>582703470706</t>
  </si>
  <si>
    <t>ИП5806001849</t>
  </si>
  <si>
    <t>ИП580600184900000</t>
  </si>
  <si>
    <t>442570 Пензенская область рабочий посёлок Сосновоборск улица Рабочая дом 58А</t>
  </si>
  <si>
    <t>ООО "ТИХИЙ БОР"</t>
  </si>
  <si>
    <t>5831901211</t>
  </si>
  <si>
    <t>ЮЛ5806032703</t>
  </si>
  <si>
    <t>ЮЛ580603270300000</t>
  </si>
  <si>
    <t>440026 Пензенская область город Пенза улица Кирова дом 70</t>
  </si>
  <si>
    <t>ИП Ломоносов Максим Юрьевич</t>
  </si>
  <si>
    <t>583400183790</t>
  </si>
  <si>
    <t>ИП5806002322</t>
  </si>
  <si>
    <t>ИП580600232200000</t>
  </si>
  <si>
    <t>440000 Пензенская область город Пенза улица Московская/Кураева здание 37/3</t>
  </si>
  <si>
    <t>ИП580600232200003</t>
  </si>
  <si>
    <t>440026 Пензенская область город Пенза улица Кирова дом 73</t>
  </si>
  <si>
    <t>ИП580600232200004</t>
  </si>
  <si>
    <t>440000 Пензенская область город Пенза улица Кирова дом 58А</t>
  </si>
  <si>
    <t>ИП580600232200005</t>
  </si>
  <si>
    <t>440000 Пензенская область город Пенза улица Московская дом 83</t>
  </si>
  <si>
    <t>ИП580600232200010</t>
  </si>
  <si>
    <t>ИП580600232200012</t>
  </si>
  <si>
    <t>440000 Пензенская область город Пенза улица Куприна владение 9</t>
  </si>
  <si>
    <t>ИП Вдовиченко Татьяна Александровна</t>
  </si>
  <si>
    <t>583401962372</t>
  </si>
  <si>
    <t>ИП5806000596</t>
  </si>
  <si>
    <t>ИП580600059600000</t>
  </si>
  <si>
    <t>440071 Пензенская область город Пенза улица Ладожская строение 79А</t>
  </si>
  <si>
    <t>ИП Горелова Тамара Николаевна</t>
  </si>
  <si>
    <t>583405307706</t>
  </si>
  <si>
    <t>ИП5806000283</t>
  </si>
  <si>
    <t>ИП580600028300000</t>
  </si>
  <si>
    <t>440000 Пензенская область город Пенза улица Московская домовладение 91-93-95</t>
  </si>
  <si>
    <t>5834127123</t>
  </si>
  <si>
    <t>ЮЛ5806000281</t>
  </si>
  <si>
    <t>ЮЛ580600028100000</t>
  </si>
  <si>
    <t>440000 Пензенская область город Пенза улица Бакунина дом 36А</t>
  </si>
  <si>
    <t>ООО ЛОМБАРД "НАДЕЖНЫЙ"</t>
  </si>
  <si>
    <t>5834129667</t>
  </si>
  <si>
    <t>ЮЛ5806034069</t>
  </si>
  <si>
    <t>ЮЛ580603406900000</t>
  </si>
  <si>
    <t>440062 Пензенская область город Пенза проспект Строителей дом 48</t>
  </si>
  <si>
    <t>ИП Рыженков Владимир Викторович</t>
  </si>
  <si>
    <t>583500116934</t>
  </si>
  <si>
    <t>ИП5806009955</t>
  </si>
  <si>
    <t>ИП580600995500000</t>
  </si>
  <si>
    <t>440000 Пензенская область город Пенза улица Куприна Строение 19Б</t>
  </si>
  <si>
    <t>ИП Семенова Мария Викторовна</t>
  </si>
  <si>
    <t>583500263304</t>
  </si>
  <si>
    <t>ИП5806004168</t>
  </si>
  <si>
    <t>ИП580600416800000</t>
  </si>
  <si>
    <t>440000 Пензенская область город Пенза улица Московская дом 83   34а</t>
  </si>
  <si>
    <t>ИП Бажанов Алексей Геннадьевич</t>
  </si>
  <si>
    <t>583500747506</t>
  </si>
  <si>
    <t>ИП5806002998</t>
  </si>
  <si>
    <t>ИП580600299800000</t>
  </si>
  <si>
    <t>440000 Пензенская область город Пенза улица Кирова строение 70</t>
  </si>
  <si>
    <t>ИП Ломоносова Елена Анатольевна</t>
  </si>
  <si>
    <t>583501215053</t>
  </si>
  <si>
    <t>ИП5806003133</t>
  </si>
  <si>
    <t>ИП580600313300000</t>
  </si>
  <si>
    <t>440008 Пензенская область город Пенза улица Суворова дом 141</t>
  </si>
  <si>
    <t>ООО "ЛОМБАРД ТОПАЗ"</t>
  </si>
  <si>
    <t>5835028260</t>
  </si>
  <si>
    <t>ЮЛ5806032468</t>
  </si>
  <si>
    <t>ЮЛ580603246800000</t>
  </si>
  <si>
    <t>440071 Пензенская область город Пенза улица Ладожская дом 79А</t>
  </si>
  <si>
    <t>ИП Сорокина Марина Владимировна</t>
  </si>
  <si>
    <t>583503371731</t>
  </si>
  <si>
    <t>ИП5806009192</t>
  </si>
  <si>
    <t>ИП580600919200000</t>
  </si>
  <si>
    <t>442370 Пензенская область рабочий поселок Мокшан переулок Саранский дом 3</t>
  </si>
  <si>
    <t>ИП Ларин Максим Александрович</t>
  </si>
  <si>
    <t>583508089545</t>
  </si>
  <si>
    <t>ИП5806009958</t>
  </si>
  <si>
    <t>ИП580600995800000</t>
  </si>
  <si>
    <t>442710 Пензенская область рабочий поселок Исса улица Черокманова дом 6"а"</t>
  </si>
  <si>
    <t>ИП580600995800001</t>
  </si>
  <si>
    <t>442730 Пензенская область рабочий поселок Лунино улица Кооперативная владение 47И</t>
  </si>
  <si>
    <t>ИП580600995800002</t>
  </si>
  <si>
    <t>442940 Пензенская область рабочий поселок Беково улица Почтовая дом 2</t>
  </si>
  <si>
    <t>ИП Сулимов Роман Михайлович</t>
  </si>
  <si>
    <t>583512881129</t>
  </si>
  <si>
    <t>ИП5806000223</t>
  </si>
  <si>
    <t>ИП580600022300000</t>
  </si>
  <si>
    <t>440031 Пензенская область город Пенза улица Окружная владение 27В</t>
  </si>
  <si>
    <t>ИП580600022300001</t>
  </si>
  <si>
    <t>440028 Пензенская область Пенза Строителей  1 Г</t>
  </si>
  <si>
    <t>ООО "БОРДЖИ"</t>
  </si>
  <si>
    <t>5835130810</t>
  </si>
  <si>
    <t>ЮЛ5806011414</t>
  </si>
  <si>
    <t>ЮЛ580601141400000</t>
  </si>
  <si>
    <t>442830 Пензенская область рабочий поселок Колышлей улица Московская дом 29</t>
  </si>
  <si>
    <t>ИП Ромашкова Елена Михайловна</t>
  </si>
  <si>
    <t>583514918695</t>
  </si>
  <si>
    <t>ИП5806000292</t>
  </si>
  <si>
    <t>ИП580600029200000</t>
  </si>
  <si>
    <t>442060 Пензенская область рабочий поселок Башмаково улица Советская владение 14А</t>
  </si>
  <si>
    <t>ИП580600029200001</t>
  </si>
  <si>
    <t>442900 Пензенская область рабочий поселок Тамала улица Коммунистическая дом 17</t>
  </si>
  <si>
    <t>ИП580600029200002</t>
  </si>
  <si>
    <t>440015 Пензенская область город Пенза проезд Совхозный 19</t>
  </si>
  <si>
    <t>ИП Ломоносов Алексей Максимович</t>
  </si>
  <si>
    <t>583519539796</t>
  </si>
  <si>
    <t>ИП5806001876</t>
  </si>
  <si>
    <t>ИП580600187600000</t>
  </si>
  <si>
    <t>442830 Пензенская область рабочий поселок Колышлей улица Московская здание 24</t>
  </si>
  <si>
    <t>ИП Кудинова Юлия Валерьевна</t>
  </si>
  <si>
    <t>583521208671</t>
  </si>
  <si>
    <t>ИП5806036013</t>
  </si>
  <si>
    <t>ИП580603601300000</t>
  </si>
  <si>
    <t>442630 Пензенская область село Наровчат улица Советская дом 30</t>
  </si>
  <si>
    <t>ИП580603601300002</t>
  </si>
  <si>
    <t>442400 Пензенская область село Кондоль улица Волкова домовладение 2</t>
  </si>
  <si>
    <t>ИП580603601300003</t>
  </si>
  <si>
    <t>440011 Пензенская область город Пенза улица Карпинского строение 39</t>
  </si>
  <si>
    <t>ИП Хомутская Алина Викторовна</t>
  </si>
  <si>
    <t>583600026025</t>
  </si>
  <si>
    <t>ИП5806000873</t>
  </si>
  <si>
    <t>ИП580600087300000</t>
  </si>
  <si>
    <t>440000 Пензенская область город Пенза улица Куприна владение 9 ххх ххх ххх</t>
  </si>
  <si>
    <t>ИП Пресняков Олег Юрьевич</t>
  </si>
  <si>
    <t>583600135095</t>
  </si>
  <si>
    <t>ИП5806000635</t>
  </si>
  <si>
    <t>ИП580600063500000</t>
  </si>
  <si>
    <t>442780 Пензенская область село Бессоновка улица Комсомольская домовладение 1</t>
  </si>
  <si>
    <t>ИП580600063500001</t>
  </si>
  <si>
    <t>440015 Пензенская область город Пенза улица Совхозная строение 12Г   комната 102</t>
  </si>
  <si>
    <t>ИП Александрова Юлия Юрьевна</t>
  </si>
  <si>
    <t>583605549639</t>
  </si>
  <si>
    <t>ИП5806001131</t>
  </si>
  <si>
    <t>ИП580600113100000</t>
  </si>
  <si>
    <t>440026 Пензенская область город Пенза улица Московская владение 36Б</t>
  </si>
  <si>
    <t>ИП Глазунов Валерий Александрович</t>
  </si>
  <si>
    <t>583606739079</t>
  </si>
  <si>
    <t>ИП5806002225</t>
  </si>
  <si>
    <t>ИП580600222500000</t>
  </si>
  <si>
    <t>440018 Пензенская область город Пенза улица Суворова дом 225</t>
  </si>
  <si>
    <t>ООО "ЮВЕЛИР-СЕРВИС"</t>
  </si>
  <si>
    <t>5836605706</t>
  </si>
  <si>
    <t>ЮЛ5806000378</t>
  </si>
  <si>
    <t>ЮЛ580600037800000</t>
  </si>
  <si>
    <t>440026 Пензенская область город Пенза улица Кирова  строение 73</t>
  </si>
  <si>
    <t>ЮЛ580600037800003</t>
  </si>
  <si>
    <t>ИП Мхеян Асмик Ашотиковна</t>
  </si>
  <si>
    <t>583681756210</t>
  </si>
  <si>
    <t>ИП5806031723</t>
  </si>
  <si>
    <t>ИП580603172300000</t>
  </si>
  <si>
    <t>ИП Дурнева Лариса Алексеевна</t>
  </si>
  <si>
    <t>583700410796</t>
  </si>
  <si>
    <t>ИП5806009559</t>
  </si>
  <si>
    <t>ИП580600955900000</t>
  </si>
  <si>
    <t>442895 Пензенская область город Сердобск улица Ленина строение 110Б</t>
  </si>
  <si>
    <t>ИП580600955900002</t>
  </si>
  <si>
    <t>440031 Пензенская область город Пенза улица Кижеватова строение 15А</t>
  </si>
  <si>
    <t>ИП Хайрова Фатыма Шамильевна</t>
  </si>
  <si>
    <t>583702002400</t>
  </si>
  <si>
    <t>ИП5806000760</t>
  </si>
  <si>
    <t>ИП580600076000000</t>
  </si>
  <si>
    <t>440067 Пензенская область город Пенза улица Клары Цеткин  дом 44 А</t>
  </si>
  <si>
    <t>ИП Бученков Игорь Евгеньевич</t>
  </si>
  <si>
    <t>583703619852</t>
  </si>
  <si>
    <t>ИП5806002337</t>
  </si>
  <si>
    <t>ИП580600233700000</t>
  </si>
  <si>
    <t>440000 Пензенская область город Пенза улица Кирова дом 71</t>
  </si>
  <si>
    <t>ИП Боринштейн Маргарита Афанасьевна</t>
  </si>
  <si>
    <t>583708189900</t>
  </si>
  <si>
    <t>ИП5806009311</t>
  </si>
  <si>
    <t>ИП580600931100000</t>
  </si>
  <si>
    <t>440026 Пензенская область город Пенза улица Кирова сооружение 15В</t>
  </si>
  <si>
    <t>ИП Старцев Олег Николаевич</t>
  </si>
  <si>
    <t>583800058987</t>
  </si>
  <si>
    <t>ИП5806000819</t>
  </si>
  <si>
    <t>ИП580600081900000</t>
  </si>
  <si>
    <t>440026 Пензенская область город Пенза улица Кирова дом 3/5</t>
  </si>
  <si>
    <t>ИП Воробьева Светлана Геннадьевна</t>
  </si>
  <si>
    <t>583800368717</t>
  </si>
  <si>
    <t>ИП5806007513</t>
  </si>
  <si>
    <t>ИП580600751300000</t>
  </si>
  <si>
    <t>440011 Пензенская область город Пенза улица Карпинского дом 48</t>
  </si>
  <si>
    <t>ИП580600751300001</t>
  </si>
  <si>
    <t>ИП580600751300002</t>
  </si>
  <si>
    <t>440011 Пензенская область город Пенза улица Карпинского дом 48  литера А</t>
  </si>
  <si>
    <t>5838015822</t>
  </si>
  <si>
    <t>ЮЛ5806033492</t>
  </si>
  <si>
    <t>ЮЛ580603349200000</t>
  </si>
  <si>
    <t>440000 Пензенская область город Пенза улица Бакунина дом 36А  Литера А</t>
  </si>
  <si>
    <t>ЮЛ580603349200002</t>
  </si>
  <si>
    <t>442960 Пензенская область город Заречный улица Комсомольская дом 1А   1 этаж, помещение № 35,36</t>
  </si>
  <si>
    <t>ИП Серегина Елена Владимировна</t>
  </si>
  <si>
    <t>583803897719</t>
  </si>
  <si>
    <t>ИП5806005139</t>
  </si>
  <si>
    <t>ИП580600513900000</t>
  </si>
  <si>
    <t>440026 Пензенская область город Пенза улица Кирова строение 73</t>
  </si>
  <si>
    <t>ИП630601425400090</t>
  </si>
  <si>
    <t>442532 Пензенская область город Кузнецк улица Белинского дом 82Б   помещение 2</t>
  </si>
  <si>
    <t>ИП630601425400117</t>
  </si>
  <si>
    <t>440000 Пензенская область город Пенза улица Чехова строение 10   помещение 1</t>
  </si>
  <si>
    <t>ООО "ЛОМБАРД СТИМУЛ"</t>
  </si>
  <si>
    <t>6382093975</t>
  </si>
  <si>
    <t>ЮЛ6306035168</t>
  </si>
  <si>
    <t>ЮЛ630603516800001</t>
  </si>
  <si>
    <t>440514 Пензенская область село Засечное улица Радужная дом 10</t>
  </si>
  <si>
    <t>ЮЛ630603516800003</t>
  </si>
  <si>
    <t>440018 Пензенская область город Пенза улица Суворова дом 192   помещение 3</t>
  </si>
  <si>
    <t>ЮЛ630603516800004</t>
  </si>
  <si>
    <t>440018 Пензенская область город Пенза улица Суворова дом 192</t>
  </si>
  <si>
    <t>ЮЛ630603516800005</t>
  </si>
  <si>
    <t>440071 Пензенская область город Пенза проспект Строителей дом 45   помещение 1</t>
  </si>
  <si>
    <t>ЮЛ630603516800006</t>
  </si>
  <si>
    <t>440015 Пензенская область город Пенза улица Аустрина дом 152Б</t>
  </si>
  <si>
    <t>ИП Петрухина Ольга Анатольевна</t>
  </si>
  <si>
    <t>644900329037</t>
  </si>
  <si>
    <t>ИП6406011861</t>
  </si>
  <si>
    <t>ИП640601186100001</t>
  </si>
  <si>
    <t>442895 Пензенская область город Сердобск площадь Нагорная здание 5</t>
  </si>
  <si>
    <t>ИП Чередникова Ирина Васильевна</t>
  </si>
  <si>
    <t>645003535929</t>
  </si>
  <si>
    <t>ИП6406003483</t>
  </si>
  <si>
    <t>ИП640600348300000</t>
  </si>
  <si>
    <t>440004 Пензенская область город Пенза улица Центральная дом 1  т</t>
  </si>
  <si>
    <t>ИП Сидорова Татьяна Алексеевна</t>
  </si>
  <si>
    <t>645212611108</t>
  </si>
  <si>
    <t>ИП6406031954</t>
  </si>
  <si>
    <t>ИП640603195400003</t>
  </si>
  <si>
    <t>442680 Пензенская область город Никольск улица Ленина дом 140</t>
  </si>
  <si>
    <t>ИП Айнетдинова Регина Фаридовна</t>
  </si>
  <si>
    <t>732590805649</t>
  </si>
  <si>
    <t>ИП7306011791</t>
  </si>
  <si>
    <t>ИП730601179100007</t>
  </si>
  <si>
    <t>440000 Пензенская область город Пенза улица Московская - строение 83 - Нежилое помещение № 64</t>
  </si>
  <si>
    <t>ЮЛ760201190700014</t>
  </si>
  <si>
    <t>440066 Пензенская область город Пенза проспект Строителей дом 1В   помещение 96</t>
  </si>
  <si>
    <t>ЮЛ760201190700074</t>
  </si>
  <si>
    <t>440000 Пензенская область город Пенза улица Московская дом 83   нежилое помещение 95,96,97, этаж 1</t>
  </si>
  <si>
    <t>ЮЛ770101216600157</t>
  </si>
  <si>
    <t>440000 Пензенская область город Пенза улица Московская/Кураева здание 37/3   этаж 1</t>
  </si>
  <si>
    <t>ЮЛ770101216600196</t>
  </si>
  <si>
    <t>440066 Пензенская область город Пенза проспект Строителей дом 1В   этаж 1 ,  помещение 169, 169а</t>
  </si>
  <si>
    <t>ЮЛ770101216600382</t>
  </si>
  <si>
    <t>440008 Пензенская область город Пенза улица Суворова дом 144А   этаж 1,помещение 1</t>
  </si>
  <si>
    <t>ЮЛ770101216600410</t>
  </si>
  <si>
    <t>440072 Пензенская область город Пенза улица Антонова дом 18В   этаж 1</t>
  </si>
  <si>
    <t>ЮЛ770101216600434</t>
  </si>
  <si>
    <t>440000 Пензенская область город Пенза улица Плеханова дом 19   этаж 1, помещения № 155,156</t>
  </si>
  <si>
    <t>ЮЛ770101216600490</t>
  </si>
  <si>
    <t>440004 Пензенская область город Пенза улица Центральная дом 1   этаж 1</t>
  </si>
  <si>
    <t>ЮЛ770101216600566</t>
  </si>
  <si>
    <t>440000 Пензенская область город Пенза улица Кирова/Бакунина  дом 73/23А   этаж 1, нежилые помещения №17, 17а</t>
  </si>
  <si>
    <t>ЮЛ770101216600679</t>
  </si>
  <si>
    <t>440071 Пензенская область город Пенза проспект Строителей дом 49  Литера А этаж 1, помещение №84</t>
  </si>
  <si>
    <t>ЮЛ770101216600683</t>
  </si>
  <si>
    <t>440514 Пензенская область село Засечное улица Кольцевая (5 мкр) дом 65В   1 этаж, н пом 125</t>
  </si>
  <si>
    <t>ЮЛ770101216600722</t>
  </si>
  <si>
    <t>442240 Пензенская область город Каменка улица Центральная дом 10   этаж 1</t>
  </si>
  <si>
    <t>ЮЛ770101216600734</t>
  </si>
  <si>
    <t>440045 Пензенская область город Пенза улица Генерала Глазунова строение 1 корпус 1  этаж 1</t>
  </si>
  <si>
    <t>ЮЛ770101216600941</t>
  </si>
  <si>
    <t>ЮЛ770100419400097</t>
  </si>
  <si>
    <t>442532 Пензенская область город Кузнецк улица Белинского дом 82Б   помещение Ф 1-1/159</t>
  </si>
  <si>
    <t>ЮЛ770100193500217</t>
  </si>
  <si>
    <t>440000 Пензенская область город Пенза улица Плеханова дом 19   этаж 1</t>
  </si>
  <si>
    <t>ЮЛ770100193500218</t>
  </si>
  <si>
    <t>440066 Пензенская область город Пенза проспект Строителей дом 1В   помещение 109, 1 (первый) этаж</t>
  </si>
  <si>
    <t>ЮЛ770100193500219</t>
  </si>
  <si>
    <t>440000 Пензенская область город Пенза улица Московская дом 83   1 (первый) этаж, помещения 68, 122</t>
  </si>
  <si>
    <t>ЮЛ770100193500220</t>
  </si>
  <si>
    <t>440000 Пензенская область город Пенза улица Московская/Кураева здание 37/3   часть нежилого помещения № 28, этаж 1 (первый)</t>
  </si>
  <si>
    <t>ЮЛ770100193500856</t>
  </si>
  <si>
    <t>440061 Пензенская область город Пенза улица Луначарского дом 6</t>
  </si>
  <si>
    <t>ЮЛ770100193500930</t>
  </si>
  <si>
    <t>440000 Пензенская область город Пенза улица Кирова /улица Бакунина дом 73/дом 23А   помещения 52, 52а</t>
  </si>
  <si>
    <t>ЮЛ780300323500093</t>
  </si>
  <si>
    <t>440000 Пензенская область город Пенза улица Московская дом 100</t>
  </si>
  <si>
    <t>ЮЛ780300323500108</t>
  </si>
  <si>
    <t>440071 Пензенская область город Пенза проспект Строителей дом 45 корпус А</t>
  </si>
  <si>
    <t>ЮЛ780300323500109</t>
  </si>
  <si>
    <t>ЮЛ780300308200139</t>
  </si>
  <si>
    <t>ЮЛ780300308200210</t>
  </si>
  <si>
    <t>440066 Пензенская область город Пенза проспект Строителей дом 1В   помещение 99</t>
  </si>
  <si>
    <t>ЮЛ780300308200215</t>
  </si>
  <si>
    <t>440071 Пензенская область город Пенза проспект Строителей дом 49А   часть нежилого помещения Литера "А1"</t>
  </si>
  <si>
    <t>ЮЛ780300308200414</t>
  </si>
  <si>
    <t>ЮЛ780300308200562</t>
  </si>
  <si>
    <t>440000 Пензенская область город Пенза улица Московская дом 86   часть нежилого помещения №19, нежилые помещения №№20-29</t>
  </si>
  <si>
    <t>ЮЛ780300308200797</t>
  </si>
  <si>
    <t>440000 Пензенская область город Пенза улица Чехова дом 5   нежилое помещение №3, часть нежилого помещения №4</t>
  </si>
  <si>
    <t>ЮЛ780300308201053</t>
  </si>
  <si>
    <t>440000 Пензенская область город Пенза улица Кирова / улица Бакунина дом 73/ дом 23А</t>
  </si>
  <si>
    <t>ЮЛ780300363500172</t>
  </si>
  <si>
    <t>ЮЛ780300363500174</t>
  </si>
  <si>
    <t>ЮЛ780300363500277</t>
  </si>
  <si>
    <t>440000 Пензенская область город Пенза улица Московская строение 83   помещения №61, №61а на 1 этаже в ТЦ "Пассаж"</t>
  </si>
  <si>
    <t>ЮЛ770100439200102</t>
  </si>
  <si>
    <t>ЮЛ770100439200103</t>
  </si>
  <si>
    <t>440000 Пензенская область город Пенза улица Плеханова дом 19   этаж 1, помещение 111, 112</t>
  </si>
  <si>
    <t>ЛИЧНЫЙ ФОНД "УСПЕХ Л"</t>
  </si>
  <si>
    <t>9715488760</t>
  </si>
  <si>
    <t>ЮЛ7701037454</t>
  </si>
  <si>
    <t>ЮЛ770103745400000</t>
  </si>
  <si>
    <t>Пермский край</t>
  </si>
  <si>
    <t>614500 Пермский край Савинское сельское поселение тер. Шоссе Космонавтов Дом 455 нет нет Этаж 2, часть нежилого помещения 116</t>
  </si>
  <si>
    <t>ООО "УРАЛ ДЮТИ ФРИ"</t>
  </si>
  <si>
    <t>274098277</t>
  </si>
  <si>
    <t>ЮЛ0206032628</t>
  </si>
  <si>
    <t>ЮЛ020603262800003</t>
  </si>
  <si>
    <t>617700 Пермский край поселок Куеда улица Гагарина дом 9</t>
  </si>
  <si>
    <t>ЮЛ020603117700026</t>
  </si>
  <si>
    <t>617000 Пермский край город Нытва улица Карла Маркса дом 66</t>
  </si>
  <si>
    <t>ИП120600362800009</t>
  </si>
  <si>
    <t>618150 Пермский край село Барда улица Ленина дом 44«а»</t>
  </si>
  <si>
    <t>ИП Баширова Лилия Рафаиловна</t>
  </si>
  <si>
    <t>165103096752</t>
  </si>
  <si>
    <t>ИП5906006525</t>
  </si>
  <si>
    <t>ИП590600652500000</t>
  </si>
  <si>
    <t>614068 Пермский край город Пермь улица Лесозаводская дом 9</t>
  </si>
  <si>
    <t>ИП Валиуллин Арсен Азатович</t>
  </si>
  <si>
    <t>182700245966</t>
  </si>
  <si>
    <t>ИП5906000939</t>
  </si>
  <si>
    <t>ИП590600093900000</t>
  </si>
  <si>
    <t>617763 Пермский край Город Чайковский Улица Вокзальная Дом 21</t>
  </si>
  <si>
    <t>ИП Ибрагимова Марина Андреевна</t>
  </si>
  <si>
    <t>183114983402</t>
  </si>
  <si>
    <t>ИП1806001039</t>
  </si>
  <si>
    <t>ИП180600103900001</t>
  </si>
  <si>
    <t>614067 Пермский край город Пермь улица Лесозаводская дом 9</t>
  </si>
  <si>
    <t>ИП Валиуллина Татьяна Евгеньевна</t>
  </si>
  <si>
    <t>183308104386</t>
  </si>
  <si>
    <t>ИП5906000970</t>
  </si>
  <si>
    <t>ИП590600097000000</t>
  </si>
  <si>
    <t>614030 Пермский край город Пермь улица Вильямса дом 37  б цоколь</t>
  </si>
  <si>
    <t>ИП Быдина Софья Борисовна</t>
  </si>
  <si>
    <t>183309454993</t>
  </si>
  <si>
    <t>ИП5906003521</t>
  </si>
  <si>
    <t>ИП590600352100000</t>
  </si>
  <si>
    <t>614032 Пермский край город Пермь улица Закамская дом 62</t>
  </si>
  <si>
    <t>ИП Лященко Светлана Станиславовна</t>
  </si>
  <si>
    <t>183501244127</t>
  </si>
  <si>
    <t>ИП1806033142</t>
  </si>
  <si>
    <t>ИП180603314200000</t>
  </si>
  <si>
    <t>617762 Пермский край город Чайковский улица Промышленная дом 13/1</t>
  </si>
  <si>
    <t>ООО "СТАТУС-ГОЛД"</t>
  </si>
  <si>
    <t>1841107321</t>
  </si>
  <si>
    <t>ЮЛ1806031367</t>
  </si>
  <si>
    <t>ЮЛ180603136700001</t>
  </si>
  <si>
    <t>614007 Пермский край город Пермь улица Революции дом 13</t>
  </si>
  <si>
    <t>ИП420801368200000</t>
  </si>
  <si>
    <t>614039 Пермский край город Пермь улица Пушкина/Комсомольский проспект дом 78/дом 35</t>
  </si>
  <si>
    <t>ИП500100445500026</t>
  </si>
  <si>
    <t>614065 Пермский край город Пермь шоссе Космонавтов строение 162б</t>
  </si>
  <si>
    <t>ИП500100445500069</t>
  </si>
  <si>
    <t>614030 Пермский край город Пермь улица Писарева дом 29А</t>
  </si>
  <si>
    <t>ИП440200426400027</t>
  </si>
  <si>
    <t>618204 Пермский край город Чусовой улица 50 лет ВЛКСМ дом 15</t>
  </si>
  <si>
    <t>ИП Уклонская Лариса Владимировна</t>
  </si>
  <si>
    <t>505300163908</t>
  </si>
  <si>
    <t>ИП5001008724</t>
  </si>
  <si>
    <t>ИП500100872400000</t>
  </si>
  <si>
    <t>614039 Пермский край город Пермь улица проспект Комсомольский дом 68   помещение 1, помещение 2</t>
  </si>
  <si>
    <t>ИП500100872400001</t>
  </si>
  <si>
    <t>614065 Пермский край город Пермь шоссе Космонавтов  строение 162Б</t>
  </si>
  <si>
    <t>ИП520600807800018</t>
  </si>
  <si>
    <t>614007 Пермский край город Пермь улица Революции дом 13   помещение № 158 этаж 1</t>
  </si>
  <si>
    <t>ИП520600807800030</t>
  </si>
  <si>
    <t>614000 Пермский край город Пермь улица Спешилова дом 114</t>
  </si>
  <si>
    <t>ЮЛ520603376600050</t>
  </si>
  <si>
    <t>614000 Пермский край город Пермь улица Петропавловская дом 73А   помещение №k1.10</t>
  </si>
  <si>
    <t>ЮЛ520603376600098</t>
  </si>
  <si>
    <t>614109 Пермский край город Пермь улица Ушакова дом 55</t>
  </si>
  <si>
    <t>ИП Аникина Марина Анатольевна</t>
  </si>
  <si>
    <t>590200413951</t>
  </si>
  <si>
    <t>ИП5906018043</t>
  </si>
  <si>
    <t>ИП590601804300000</t>
  </si>
  <si>
    <t>614012 Пермский край город Пермь улица Рязанская Дом 19   офис 214</t>
  </si>
  <si>
    <t>ИП Белышева Юлия Николаевна</t>
  </si>
  <si>
    <t>590202863882</t>
  </si>
  <si>
    <t>ИП5906002408</t>
  </si>
  <si>
    <t>ИП590600240800000</t>
  </si>
  <si>
    <t>618554 Пермский край город Соликамск улица Революции  дом 55</t>
  </si>
  <si>
    <t>ИП Белышева Кристина Александровна</t>
  </si>
  <si>
    <t>590204126997</t>
  </si>
  <si>
    <t>ИП5906037080</t>
  </si>
  <si>
    <t>ИП590603708000000</t>
  </si>
  <si>
    <t>614015 Пермский край город Пермь улица Екатерининская дом 105   этаж 1</t>
  </si>
  <si>
    <t>ООО "ЛОМБАРД № 1"</t>
  </si>
  <si>
    <t>5902050898</t>
  </si>
  <si>
    <t>ЮЛ5906000628</t>
  </si>
  <si>
    <t>ЮЛ590600062800000</t>
  </si>
  <si>
    <t>614068 Пермский край город Пермь улица Ленина дом 76   помещение 28,29</t>
  </si>
  <si>
    <t>ООО "ЛОМБАРД "ЮВЕЛИР"</t>
  </si>
  <si>
    <t>5902053514</t>
  </si>
  <si>
    <t>ЮЛ5906000466</t>
  </si>
  <si>
    <t>ЮЛ590600046600000</t>
  </si>
  <si>
    <t>614056 Пермский край город Пермь улица Гашкова дом 19а помещение №1</t>
  </si>
  <si>
    <t>ИП Ерёмина Елена Евгеньевна</t>
  </si>
  <si>
    <t>590301607150</t>
  </si>
  <si>
    <t>ИП5906011702</t>
  </si>
  <si>
    <t>ИП590601170200000</t>
  </si>
  <si>
    <t>614000 Пермский край город Пермь улица Куйбышева дом 2   офис 401-1</t>
  </si>
  <si>
    <t>ИП Николаев Игорь Николаевич</t>
  </si>
  <si>
    <t>590302811006</t>
  </si>
  <si>
    <t>ИП5906001543</t>
  </si>
  <si>
    <t>ИП590600154300000</t>
  </si>
  <si>
    <t>614097 Пермский край город Пермь проспект Парковый дом 28а   помещение №19</t>
  </si>
  <si>
    <t>ИП Бритнев Тимур Радикович</t>
  </si>
  <si>
    <t>590306568313</t>
  </si>
  <si>
    <t>ИП5906000778</t>
  </si>
  <si>
    <t>ИП590600077800000</t>
  </si>
  <si>
    <t>614039 Пермский край город Пермь проспект Комсомольский дом 58</t>
  </si>
  <si>
    <t>ИП Шайгазамова Лиана Гурамовна</t>
  </si>
  <si>
    <t>590309021952</t>
  </si>
  <si>
    <t>ИП5906000119</t>
  </si>
  <si>
    <t>ИП590600011900000</t>
  </si>
  <si>
    <t>614101 Пермский край город Пермь улица Маршала Рыбалко дом 41а корпус 1</t>
  </si>
  <si>
    <t>ИП590600011900001</t>
  </si>
  <si>
    <t>618417 Пермский край город Березники улица Пятилетки дом 41</t>
  </si>
  <si>
    <t>ИП590600011900002</t>
  </si>
  <si>
    <t>ИП590600011900004</t>
  </si>
  <si>
    <t>614000 Пермский край город Пермь улица Петропавловская дом 73а   помещение № 52</t>
  </si>
  <si>
    <t>ИП590600011900005</t>
  </si>
  <si>
    <t>614000 Пермский край город Пермь улица Газеты Звезда дом 25б   помещение 201</t>
  </si>
  <si>
    <t>ИП Калашников Вячеслав Анатольевич</t>
  </si>
  <si>
    <t>590309565920</t>
  </si>
  <si>
    <t>ИП5906037102</t>
  </si>
  <si>
    <t>ИП590603710200000</t>
  </si>
  <si>
    <t>614077 Пермский край город Пермь улица Крупской дом 79а</t>
  </si>
  <si>
    <t>ИП Хасаншина Гельсина Махмутовна</t>
  </si>
  <si>
    <t>590314243686</t>
  </si>
  <si>
    <t>ИП5906034562</t>
  </si>
  <si>
    <t>ИП590603456200000</t>
  </si>
  <si>
    <t>614023 Пермский край город Пермь улица Светлогорская дом 23 аа</t>
  </si>
  <si>
    <t>ИП Шумилова Ирина Александровна</t>
  </si>
  <si>
    <t>590315820752</t>
  </si>
  <si>
    <t>ИП5906018474</t>
  </si>
  <si>
    <t>ИП590601847400000</t>
  </si>
  <si>
    <t>614113 Пермский край город Пермь улица Автозаводская дом 23</t>
  </si>
  <si>
    <t>ИП590601847400004</t>
  </si>
  <si>
    <t>614500 Пермский край город Пермь улица шоссе Космонавтов дом 355</t>
  </si>
  <si>
    <t>ИП Киселева Людмила Владимировна</t>
  </si>
  <si>
    <t>590401150607</t>
  </si>
  <si>
    <t>ИП5906001783</t>
  </si>
  <si>
    <t>ИП590600178300000</t>
  </si>
  <si>
    <t>614010 Пермский край город Пермь улица Куйбышева дом 95Б</t>
  </si>
  <si>
    <t>ИП590600178300002</t>
  </si>
  <si>
    <t>614039 Пермский край  город Пермь Комсомольский проспект Дом 68   Квартира 36</t>
  </si>
  <si>
    <t>ООО "ПЕРМСКИЙ ОБЪЕДИНЕННЫЙ ЛОМБАРД"</t>
  </si>
  <si>
    <t>5904032005</t>
  </si>
  <si>
    <t>ЮЛ5906001278</t>
  </si>
  <si>
    <t>ЮЛ590600127800000</t>
  </si>
  <si>
    <t>614095 Пермский край город Пермь улица Стахановская дом 18</t>
  </si>
  <si>
    <t>ООО "ЛОМБАРД "КСС"</t>
  </si>
  <si>
    <t>5904053566</t>
  </si>
  <si>
    <t>ЮЛ5906001056</t>
  </si>
  <si>
    <t>ЮЛ590600105600001</t>
  </si>
  <si>
    <t>614087 Пермский край город Пермь улица Академика Вавилова дом 4</t>
  </si>
  <si>
    <t>ЮЛ590600105600003</t>
  </si>
  <si>
    <t>614021 Пермский край город Пермь улица Куйбышева дом 147</t>
  </si>
  <si>
    <t>ЮЛ590600105600007</t>
  </si>
  <si>
    <t>614097 Пермский край город Пермь улица Комиссара Пожарского дом 13</t>
  </si>
  <si>
    <t>ЮЛ590600105600008</t>
  </si>
  <si>
    <t>614070 Пермский край город Пермь улица Крупской дом 42</t>
  </si>
  <si>
    <t>ИП Плешков Андрей Вениаминович</t>
  </si>
  <si>
    <t>590407182901</t>
  </si>
  <si>
    <t>ИП5906033066</t>
  </si>
  <si>
    <t>ИП590603306600000</t>
  </si>
  <si>
    <t>614030 Пермский край город Пермь улица Вильямса дом 49</t>
  </si>
  <si>
    <t>ИП590603306600001</t>
  </si>
  <si>
    <t>614000 Пермский край город Пермь улица Сибирская дом 37   помещение А7</t>
  </si>
  <si>
    <t>ИП Щепелина Марина Анатольевна</t>
  </si>
  <si>
    <t>590409852252</t>
  </si>
  <si>
    <t>ИП5906002407</t>
  </si>
  <si>
    <t>ИП590600240700000</t>
  </si>
  <si>
    <t>614016 Пермский край город Пермь улица Солдатова дом 28</t>
  </si>
  <si>
    <t>ООО "ЛОМБАРД "КЛИО"</t>
  </si>
  <si>
    <t>5904113705</t>
  </si>
  <si>
    <t>ЮЛ5906000718</t>
  </si>
  <si>
    <t>ЮЛ590600071800006</t>
  </si>
  <si>
    <t>614016 Пермский край город Пермь улица Революции дом 60 строение 1</t>
  </si>
  <si>
    <t>ЮЛ590600071800007</t>
  </si>
  <si>
    <t>614016 Пермский край город Пермь улица Куйбышева дом 47</t>
  </si>
  <si>
    <t>ЮЛ590600071800009</t>
  </si>
  <si>
    <t>614051 Пермский край город Пермь улица Юрша дом 74</t>
  </si>
  <si>
    <t>ИП Никишин Александр Игоревич</t>
  </si>
  <si>
    <t>590412638185</t>
  </si>
  <si>
    <t>ИП5906014521</t>
  </si>
  <si>
    <t>ИП590601452100000</t>
  </si>
  <si>
    <t>614026 Пермский край город Пермь улица Цимлянская дом 17   Помещение 2</t>
  </si>
  <si>
    <t>ИП590601452100012</t>
  </si>
  <si>
    <t>614038 Пермский край город Пермь улица Академика Веденеева дом 84   Помещение №42</t>
  </si>
  <si>
    <t>ИП590601452100014</t>
  </si>
  <si>
    <t>617060 Пермский край город Краснокамск проспект Комсомольский дом 15   Помещения №1,2,3,4,лит.а4</t>
  </si>
  <si>
    <t>ИП590601452100015</t>
  </si>
  <si>
    <t>614067 Пермский край город Пермь улица Хабаровская дом 161</t>
  </si>
  <si>
    <t>ИП590601452100018</t>
  </si>
  <si>
    <t>614070 Пермский край город Пермь улица Крупской дом 40</t>
  </si>
  <si>
    <t>ИП590601452100020</t>
  </si>
  <si>
    <t>614068 Пермский край город Пермь улица Попова дом 57</t>
  </si>
  <si>
    <t>ИП590601452100021</t>
  </si>
  <si>
    <t>614031 Пермский край город Пермь улица Докучаева дом 28/1</t>
  </si>
  <si>
    <t>ИП590601452100022</t>
  </si>
  <si>
    <t>614104 Пермский край город Пермь улица Генерала Черняховского дом 72а/1</t>
  </si>
  <si>
    <t>ИП590601452100023</t>
  </si>
  <si>
    <t>614090 Пермский край город Пермь улица Лодыгина дом 9</t>
  </si>
  <si>
    <t>ИП590601452100027</t>
  </si>
  <si>
    <t>614097 Пермский край город Пермь проспект Парковый дом 25г</t>
  </si>
  <si>
    <t>ИП590601452100028</t>
  </si>
  <si>
    <t>614023 Пермский край город Пермь улица Адмирала Ушакова дом 28</t>
  </si>
  <si>
    <t>ООО ЛОМБАРД "ВЕГА"</t>
  </si>
  <si>
    <t>5904163537</t>
  </si>
  <si>
    <t>ЮЛ5906009256</t>
  </si>
  <si>
    <t>ЮЛ590600925600001</t>
  </si>
  <si>
    <t>614032 Пермский край город Пермь улица Маршала Рыбалко дом 99б</t>
  </si>
  <si>
    <t>ЮЛ590600925600002</t>
  </si>
  <si>
    <t>614090 Пермский край город Пермь улица Гусарова дом 5</t>
  </si>
  <si>
    <t>5904190379</t>
  </si>
  <si>
    <t>ЮЛ5906000636</t>
  </si>
  <si>
    <t>ЮЛ590600063600003</t>
  </si>
  <si>
    <t>614051 Пермский край город Пермь улица Юрша дом 100</t>
  </si>
  <si>
    <t>ЮЛ590600063600005</t>
  </si>
  <si>
    <t>614010 Пермский край город Пермь улица Маршала Рыбалко дом 85 в</t>
  </si>
  <si>
    <t>ЮЛ590600063600007</t>
  </si>
  <si>
    <t>614056 Пермский край город Пермь улица Гашкова дом 23а   этаж 2</t>
  </si>
  <si>
    <t>ИП Трифонова Анна Александровна</t>
  </si>
  <si>
    <t>590420922270</t>
  </si>
  <si>
    <t>ИП7701010136</t>
  </si>
  <si>
    <t>ИП770101013600000</t>
  </si>
  <si>
    <t>614101 Пермский край город Пермь улица Автозаводская дом 23 (Литер А)</t>
  </si>
  <si>
    <t>ИП770101013600001</t>
  </si>
  <si>
    <t>614038 Пермский край город Пермь улица Академика Веденеева дом 29</t>
  </si>
  <si>
    <t>ИП770101013600002</t>
  </si>
  <si>
    <t>614030 Пермский край город Пермь улица Вильямса дом 49А</t>
  </si>
  <si>
    <t>ИП770101013600004</t>
  </si>
  <si>
    <t>614109 Пермский край город Пермь улица Адмирала Ушакова дом 55/1</t>
  </si>
  <si>
    <t>ИП770101013600005</t>
  </si>
  <si>
    <t>614017 Пермский край город Пермь проспект Парковый дом 3/1   этаж 1</t>
  </si>
  <si>
    <t>ИП770101013600006</t>
  </si>
  <si>
    <t>614066 Пермский край город Пермь улица Мира дом 20</t>
  </si>
  <si>
    <t>ИП770101013600007</t>
  </si>
  <si>
    <t>614088 Пермский край город Пермь улица Чердынская дом 20   этаж 1</t>
  </si>
  <si>
    <t>ИП770101013600008</t>
  </si>
  <si>
    <t>614039 Пермский край город Пермь улица Пушкина дом 78   этаж подвал</t>
  </si>
  <si>
    <t>ИП770101013600009</t>
  </si>
  <si>
    <t>614032 Пермский край город Пермь улица Маршала Рыбалко дом 99б этаж 2</t>
  </si>
  <si>
    <t>ИП770101013600012</t>
  </si>
  <si>
    <t>ИП770101013600013</t>
  </si>
  <si>
    <t>614065 Пермский край город Пермь улица Мира дом 103   этаж 1, помещение 2</t>
  </si>
  <si>
    <t>ИП770101013600016</t>
  </si>
  <si>
    <t>614000 Пермский край город Пермь улица Куйбышева дом 2   401-2</t>
  </si>
  <si>
    <t>ООО "ДЕЛЬТА ЛОМБАРД"</t>
  </si>
  <si>
    <t>5904221482</t>
  </si>
  <si>
    <t>ЮЛ5906001739</t>
  </si>
  <si>
    <t>ЮЛ590600173900010</t>
  </si>
  <si>
    <t>ООО ЛОМБАРД "МАЛАХИТ"</t>
  </si>
  <si>
    <t>5904312490</t>
  </si>
  <si>
    <t>ЮЛ5906008290</t>
  </si>
  <si>
    <t>ЮЛ590600829000001</t>
  </si>
  <si>
    <t>ЮЛ590600829000002</t>
  </si>
  <si>
    <t>ЮЛ590600829000006</t>
  </si>
  <si>
    <t>618120 Пермский край город Оса улица Максима Горького дом 68   помещение 8</t>
  </si>
  <si>
    <t>5904354355</t>
  </si>
  <si>
    <t>ЮЛ5906034672</t>
  </si>
  <si>
    <t>ЮЛ590603467200000</t>
  </si>
  <si>
    <t>618120 Пермский край город Оса улица Максима Горького дом 73 Помещение 2</t>
  </si>
  <si>
    <t>ЮЛ590603467200001</t>
  </si>
  <si>
    <t>618120 Пермский край город Оса улица Генерала Богомягкова здание 10б</t>
  </si>
  <si>
    <t>ЮЛ590603467200002</t>
  </si>
  <si>
    <t>614066 Пермский край город Пермь улица Мира дом 64   помещения 18,19,20</t>
  </si>
  <si>
    <t>ИП Хатамов Роман Амиджанович</t>
  </si>
  <si>
    <t>590500056690</t>
  </si>
  <si>
    <t>ИП5906001764</t>
  </si>
  <si>
    <t>ИП590600176400000</t>
  </si>
  <si>
    <t>614095 Пермский край город Пермь улица Танкистов дом 34</t>
  </si>
  <si>
    <t>ИП590600176400001</t>
  </si>
  <si>
    <t>614046 Пермский край город Пермь проспект Парковый  дом 33</t>
  </si>
  <si>
    <t>ИП590600176400002</t>
  </si>
  <si>
    <t>614010 Пермский край город Пермь улица Белинского дом 42</t>
  </si>
  <si>
    <t>ИП590600176400003</t>
  </si>
  <si>
    <t>614017 Пермский край город Пермь улица Тургенева дом 33</t>
  </si>
  <si>
    <t>ИП590600176400004</t>
  </si>
  <si>
    <t>614070 Пермский край город Пермь улица Крупской дом 50</t>
  </si>
  <si>
    <t>ИП590600176400005</t>
  </si>
  <si>
    <t>614060 Пермский край город Пермь улица Лебедева дом 45   помещение 1, 2</t>
  </si>
  <si>
    <t>ИП590600176400006</t>
  </si>
  <si>
    <t>614014 Пермский край город Пермь улица 1905 года дом 10</t>
  </si>
  <si>
    <t>ИП590600176400007</t>
  </si>
  <si>
    <t>614056 Пермский край город Пермь улица Гашкова дом 23а</t>
  </si>
  <si>
    <t>ИП590600176400009</t>
  </si>
  <si>
    <t>614088 Пермский край город Пермь улица Космонавта Леонова дом 60</t>
  </si>
  <si>
    <t>ИП590600176400010</t>
  </si>
  <si>
    <t>614036 Пермский край город Пермь улица Мира дом 67</t>
  </si>
  <si>
    <t>ИП590600176400011</t>
  </si>
  <si>
    <t>614016 Пермский край город Пермь улица Революции дом 60/1</t>
  </si>
  <si>
    <t>ИП Шохина Надежда Ивановна</t>
  </si>
  <si>
    <t>590506470499</t>
  </si>
  <si>
    <t>ИП5906001530</t>
  </si>
  <si>
    <t>ИП590600153000010</t>
  </si>
  <si>
    <t>614000 Пермский край город Пермь улица Маршала Рыбалко дом 85 В</t>
  </si>
  <si>
    <t>ИП590600153000018</t>
  </si>
  <si>
    <t>ИП590600153000019</t>
  </si>
  <si>
    <t>614000 Пермский край город Пермь улица Комиссара Пожарского дом 13</t>
  </si>
  <si>
    <t>ИП590600153000020</t>
  </si>
  <si>
    <t>614051 Пермский край город Пермь улица Юрша дом 86</t>
  </si>
  <si>
    <t>ИП Алимов Зиннур Мидхатович</t>
  </si>
  <si>
    <t>590600021910</t>
  </si>
  <si>
    <t>ИП5906019141</t>
  </si>
  <si>
    <t>ИП590601914100003</t>
  </si>
  <si>
    <t>614000 Пермский край город Пермь улица Ленина дом 22 нет нет нет</t>
  </si>
  <si>
    <t>ИП590600044200000</t>
  </si>
  <si>
    <t>618740 Пермский край город Добрянка улица Победы дом 31   помещение 3</t>
  </si>
  <si>
    <t>ИП590600044200002</t>
  </si>
  <si>
    <t>614000 Пермский край город Пермь улица Борчанинова дом 14 нежилые помещения с 01 по 14</t>
  </si>
  <si>
    <t>ИП590600044200003</t>
  </si>
  <si>
    <t>614000 Пермский край город Пермь улица Ленина дом 22</t>
  </si>
  <si>
    <t>ИП590600044200005</t>
  </si>
  <si>
    <t>618703 Пермский край деревня Демидково улица Курортная дом 1 корус 2</t>
  </si>
  <si>
    <t>ИП590600044200006</t>
  </si>
  <si>
    <t>618400 Пермский край город Березники улица Пятилетки дом 36</t>
  </si>
  <si>
    <t>ИП590600044200007</t>
  </si>
  <si>
    <t>ИП Саламатина Ирина Александровна</t>
  </si>
  <si>
    <t>590600375002</t>
  </si>
  <si>
    <t>ИП5906001279</t>
  </si>
  <si>
    <t>ИП590600127900000</t>
  </si>
  <si>
    <t>619000 Пермский край город Кудымкар улица Калинина дом 51</t>
  </si>
  <si>
    <t>ИП Коровина Лариса Ивановна</t>
  </si>
  <si>
    <t>590601650519</t>
  </si>
  <si>
    <t>ИП5906013244</t>
  </si>
  <si>
    <t>ИП590601324400002</t>
  </si>
  <si>
    <t>617830 Пермский край город Чернушка улица Юбилейная дом 26</t>
  </si>
  <si>
    <t>ИП590601324400005</t>
  </si>
  <si>
    <t>619000 Пермский край город Кудымкар ул 50 лет Октября дом 22   квартира 76</t>
  </si>
  <si>
    <t>ИП590601324400006</t>
  </si>
  <si>
    <t>614830 Пермский край город Чернушка улица Мира дом 40   квартира 21</t>
  </si>
  <si>
    <t>ИП590601324400007</t>
  </si>
  <si>
    <t>617120 Пермский край город Верещагино ул Ленина дом 11   помещение 4</t>
  </si>
  <si>
    <t>ИП590601324400009</t>
  </si>
  <si>
    <t>ИП КОРОВИНА И. В.</t>
  </si>
  <si>
    <t>590609131875</t>
  </si>
  <si>
    <t>ИП5906036865</t>
  </si>
  <si>
    <t>ИП590603686500001</t>
  </si>
  <si>
    <t>619000 Пермский край город Кудымкар улица 50 лет Октября дом 22   квартира 76</t>
  </si>
  <si>
    <t>ИП590603686500002</t>
  </si>
  <si>
    <t>617120 Пермский край город Верещагино улица Ленина дом 11</t>
  </si>
  <si>
    <t>ИП590603686500003</t>
  </si>
  <si>
    <t>614830 Пермский край город Чернушка улица Юбилейная дом 26</t>
  </si>
  <si>
    <t>ИП590603686500004</t>
  </si>
  <si>
    <t>614000 Пермский край город Кудымкар улица Калинина дом 51</t>
  </si>
  <si>
    <t>ИП590603686500005</t>
  </si>
  <si>
    <t>614070 Пермский край город Пермь Писарева дом 29 а</t>
  </si>
  <si>
    <t>ИП Боровикова Ольга Владимировна</t>
  </si>
  <si>
    <t>590611111795</t>
  </si>
  <si>
    <t>ИП5906017585</t>
  </si>
  <si>
    <t>ИП590601758500000</t>
  </si>
  <si>
    <t>618340 Пермский край город Александровск, рабочий поселок Яйва улица Парковая дом 2   офис 19</t>
  </si>
  <si>
    <t>ИП Пылкова Екатерина Геннадьевна</t>
  </si>
  <si>
    <t>590612298088</t>
  </si>
  <si>
    <t>ИП5906011866</t>
  </si>
  <si>
    <t>ИП590601186600000</t>
  </si>
  <si>
    <t>617080 Пермский край село Большая Соснова улица Ленина здание 31 корпус 1  помещение 4</t>
  </si>
  <si>
    <t>ИП590601186600002</t>
  </si>
  <si>
    <t>617210 Пермский край село Карагай улица Кирова дом 20</t>
  </si>
  <si>
    <t>ИП590601186600004</t>
  </si>
  <si>
    <t>618320 Пермский край город Александровск улица Машиностроителей дом 3   помещение 7</t>
  </si>
  <si>
    <t>ИП590601186600005</t>
  </si>
  <si>
    <t>617140 Пермский край город Очер улица Ленина дом 46   помещение 2.25.46</t>
  </si>
  <si>
    <t>ИП590601186600007</t>
  </si>
  <si>
    <t>617120 Пермский край город Верещагино улица К.Маркса дом 56   офис 73</t>
  </si>
  <si>
    <t>ИП590601186600008</t>
  </si>
  <si>
    <t>618100 Пермский край город Оханск улица Ленина дом 30</t>
  </si>
  <si>
    <t>ИП590601186600009</t>
  </si>
  <si>
    <t>618320 Пермский край город Александровск Машиностроителей дом 1   помещение 2</t>
  </si>
  <si>
    <t>ИП590601186600010</t>
  </si>
  <si>
    <t>ИП590601186600011</t>
  </si>
  <si>
    <t>614051 Пермский край город Пермь улица Юрша дом 23</t>
  </si>
  <si>
    <t>ИП Сухарева Елена Александровна</t>
  </si>
  <si>
    <t>590612500770</t>
  </si>
  <si>
    <t>ИП5906033447</t>
  </si>
  <si>
    <t>ИП590603344700000</t>
  </si>
  <si>
    <t>614111 Пермский край город Пермь улица Солдатова  дом 32</t>
  </si>
  <si>
    <t>ИП Вичужанин Максим Иванович</t>
  </si>
  <si>
    <t>590615762621</t>
  </si>
  <si>
    <t>ИП5906012464</t>
  </si>
  <si>
    <t>ИП590601246400000</t>
  </si>
  <si>
    <t>614021 Пермский край город Пермь улица Куйбышева дом 147 1 очередь этаж 1 сектор А32</t>
  </si>
  <si>
    <t>ИП590601246400001</t>
  </si>
  <si>
    <t>614051 Пермский край город Пермь улица Юрша дом 1в   1этаж</t>
  </si>
  <si>
    <t>ИП590601246400002</t>
  </si>
  <si>
    <t>614051 Пермский край город Пермь улица Юрша дом 82   помещение 26</t>
  </si>
  <si>
    <t>ООО "АВЕРС"</t>
  </si>
  <si>
    <t>5906175129</t>
  </si>
  <si>
    <t>ЮЛ5906032028</t>
  </si>
  <si>
    <t>ЮЛ590603202800000</t>
  </si>
  <si>
    <t>614060 Пермский край город Пермь улица Красновишерская дом 37</t>
  </si>
  <si>
    <t>ИП Кайгородова Полина Артемьевна</t>
  </si>
  <si>
    <t>590618491426</t>
  </si>
  <si>
    <t>ИП5906040372</t>
  </si>
  <si>
    <t>ИП590604037200000</t>
  </si>
  <si>
    <t>614030 Пермский край город Пермь улица Вильямса дом 14   комната 1</t>
  </si>
  <si>
    <t>ООО "ЛОМБАРД ИЗУМРУДНЫЙ"</t>
  </si>
  <si>
    <t>5906187149</t>
  </si>
  <si>
    <t>ЮЛ5906040964</t>
  </si>
  <si>
    <t>ЮЛ590604096400000</t>
  </si>
  <si>
    <t>614030 Пермский край город Пермь улица писарева дом 31А</t>
  </si>
  <si>
    <t>ИП Попова Елена Викторовна</t>
  </si>
  <si>
    <t>590700559892</t>
  </si>
  <si>
    <t>ИП5906012402</t>
  </si>
  <si>
    <t>ИП590601240200000</t>
  </si>
  <si>
    <t>614026 Пермский край город Пермь улица Первомайская дом 10</t>
  </si>
  <si>
    <t>ООО ЛОМБАРД "ЖЕМЧУГ"</t>
  </si>
  <si>
    <t>5907040445</t>
  </si>
  <si>
    <t>ЮЛ5906003001</t>
  </si>
  <si>
    <t>ЮЛ590600300100000</t>
  </si>
  <si>
    <t>614070 Пермский край город Пермь улица Крупской дом 38</t>
  </si>
  <si>
    <t xml:space="preserve">ИП Борисов Сергей Анатольевич </t>
  </si>
  <si>
    <t>590800435731</t>
  </si>
  <si>
    <t>ИП5906011134</t>
  </si>
  <si>
    <t>ИП590601113400000</t>
  </si>
  <si>
    <t>617565 Пермский край село Ключи улица Курортная дом 23</t>
  </si>
  <si>
    <t>ИП Ренёва Светлана Юрьевна</t>
  </si>
  <si>
    <t>590804317383</t>
  </si>
  <si>
    <t>ИП5906011799</t>
  </si>
  <si>
    <t>ИП590601179900000</t>
  </si>
  <si>
    <t>614068 Пермский край город Пермь УЛИЦА ЛЕНИНА дом 76   помещение 28, 29</t>
  </si>
  <si>
    <t>ИП Аликин Алексей Валерьевич</t>
  </si>
  <si>
    <t>590811782529</t>
  </si>
  <si>
    <t>ИП5906019649</t>
  </si>
  <si>
    <t>ИП590601964900000</t>
  </si>
  <si>
    <t>614068 Пермский край город Пермь улица Ленина дом 76   помещение 29</t>
  </si>
  <si>
    <t>ИП Аликина Екатерина Александровна</t>
  </si>
  <si>
    <t>590847412017</t>
  </si>
  <si>
    <t>ИП5906032782</t>
  </si>
  <si>
    <t>ИП590603278200000</t>
  </si>
  <si>
    <t>618425 Пермский край город Березники улица Мира дом 84Б   помещение 1</t>
  </si>
  <si>
    <t xml:space="preserve">ИП Балкоева Елена Жамалиевна    </t>
  </si>
  <si>
    <t>591104079110</t>
  </si>
  <si>
    <t>ИП5906004587</t>
  </si>
  <si>
    <t>ИП590600458700000</t>
  </si>
  <si>
    <t>618400 Пермский край Город Березники Улица Пятилетки Дом 39</t>
  </si>
  <si>
    <t>ИП Неверова Татьяна Владимировна</t>
  </si>
  <si>
    <t>591104087217</t>
  </si>
  <si>
    <t>ИП5906001742</t>
  </si>
  <si>
    <t>ИП590600174200000</t>
  </si>
  <si>
    <t>614016 Пермский край город Пермь улица Краснофлотская дом 15</t>
  </si>
  <si>
    <t>ИП Заякина Людмила Сергеевна</t>
  </si>
  <si>
    <t>591113782697</t>
  </si>
  <si>
    <t>ИП5906037095</t>
  </si>
  <si>
    <t>ИП590603709500000</t>
  </si>
  <si>
    <t>618250 Пермский край город Губаха проспект Ленина дом 44А   помещение 25</t>
  </si>
  <si>
    <t>ИП Киселев Алексей Юрьевич</t>
  </si>
  <si>
    <t>591302603752</t>
  </si>
  <si>
    <t>ИП5906011674</t>
  </si>
  <si>
    <t>ИП590601167400000</t>
  </si>
  <si>
    <t>618350 Пермский край город Кизел улица Советская дом 17   помещение 1</t>
  </si>
  <si>
    <t>ИП590601167400003</t>
  </si>
  <si>
    <t>614039 Пермский край город Пермь улица Сибирская дом 65а</t>
  </si>
  <si>
    <t>ИП Швецова Наталья Александровна</t>
  </si>
  <si>
    <t>591400009473</t>
  </si>
  <si>
    <t>ИП5906008013</t>
  </si>
  <si>
    <t>ИП590600801300000</t>
  </si>
  <si>
    <t>614007 Пермский край город Пермь улица Революции дом 13   помещения 54,55</t>
  </si>
  <si>
    <t>ИП590600801300001</t>
  </si>
  <si>
    <t>614000 Пермский край город Пермь улица Николая Островского дом 52   помещение №5/2</t>
  </si>
  <si>
    <t>ИП590600801300004</t>
  </si>
  <si>
    <t>618400 Пермский край город Березники улица Пятилетки дом 38</t>
  </si>
  <si>
    <t>ИП590600801300005</t>
  </si>
  <si>
    <t>614039 Пермский край город Пермь проспект Комсомольский дом 66</t>
  </si>
  <si>
    <t>ИП590600801300006</t>
  </si>
  <si>
    <t>ИП Швецова Лариса Александровна</t>
  </si>
  <si>
    <t>591400077346</t>
  </si>
  <si>
    <t>ИП5906001578</t>
  </si>
  <si>
    <t>ИП590600157800000</t>
  </si>
  <si>
    <t>618740 Пермский край город Добрянка улица Победы дом 37/35   пом.20,21,22,23,24,25,26,40/1,41</t>
  </si>
  <si>
    <t>ИП590600157800001</t>
  </si>
  <si>
    <t>614095 Пермский край город Пермь улица Мира дом 41/1</t>
  </si>
  <si>
    <t>ИП590600157800002</t>
  </si>
  <si>
    <t>614025 Пермский край город Пермь улица Героев Хасана дом 105   номер на плане 142</t>
  </si>
  <si>
    <t>ИП590600157800003</t>
  </si>
  <si>
    <t>ИП590600157800007</t>
  </si>
  <si>
    <t>ИП Щербакова Ирина Борисовна</t>
  </si>
  <si>
    <t>591402099497</t>
  </si>
  <si>
    <t>ИП5906010370</t>
  </si>
  <si>
    <t>ИП590601037000000</t>
  </si>
  <si>
    <t>618900 Пермский край город Лысьва улица Федосеева дом 28А</t>
  </si>
  <si>
    <t>ИП Денисов Вадим Леонидович</t>
  </si>
  <si>
    <t>591405494551</t>
  </si>
  <si>
    <t>ИП5906032264</t>
  </si>
  <si>
    <t>ИП590603226400000</t>
  </si>
  <si>
    <t>ИП Шарипова Зульфия Паутдиновна</t>
  </si>
  <si>
    <t>591500110491</t>
  </si>
  <si>
    <t>ИП5906034492</t>
  </si>
  <si>
    <t>ИП590603449200000</t>
  </si>
  <si>
    <t>617060 Пермский край город Краснокамск Комсомольский проспект дом 17</t>
  </si>
  <si>
    <t>ИП Смирнов Сергей Викторович</t>
  </si>
  <si>
    <t>591600153178</t>
  </si>
  <si>
    <t>ИП5906002816</t>
  </si>
  <si>
    <t>ИП590600281600000</t>
  </si>
  <si>
    <t>617060 Пермский край город Краснокамск проспект Мира дом 9</t>
  </si>
  <si>
    <t>ООО "Агат"</t>
  </si>
  <si>
    <t>5916002037</t>
  </si>
  <si>
    <t>ЮЛ5906013254</t>
  </si>
  <si>
    <t>ЮЛ590601325400000</t>
  </si>
  <si>
    <t>617860 Пермский край рабочий поселок Октябрьский улица Трактовая здание 20</t>
  </si>
  <si>
    <t>ИП Рубан Татьяна Павловна</t>
  </si>
  <si>
    <t>591600935231</t>
  </si>
  <si>
    <t>ИП5906040831</t>
  </si>
  <si>
    <t>ИП590604083100000</t>
  </si>
  <si>
    <t>ООО ЛОМБАРД "СИРИУС-Н"</t>
  </si>
  <si>
    <t>5916019954</t>
  </si>
  <si>
    <t>ЮЛ5906010123</t>
  </si>
  <si>
    <t>ЮЛ590601012300001</t>
  </si>
  <si>
    <t>ЮЛ590601012300002</t>
  </si>
  <si>
    <t>614101 Пермский край город Пермь улица Автозаводская дом 23  А</t>
  </si>
  <si>
    <t>ЮЛ590601012300003</t>
  </si>
  <si>
    <t>614017 Пермский край город Пермь проспект Парковый дом 3/1   59:01:4410396:3204</t>
  </si>
  <si>
    <t>ООО ЛОМБАРД "АЛЬФА"</t>
  </si>
  <si>
    <t>5916024841</t>
  </si>
  <si>
    <t>ЮЛ5906010364</t>
  </si>
  <si>
    <t>ЮЛ590601036400001</t>
  </si>
  <si>
    <t>614088 Пермский край город Пермь улица Чердынская дом 20</t>
  </si>
  <si>
    <t>ЮЛ590601036400002</t>
  </si>
  <si>
    <t>ЮЛ590601036400003</t>
  </si>
  <si>
    <t>614030 Пермский край город Пермь улица Вильямса дом 49а</t>
  </si>
  <si>
    <t>ЮЛ590601036400004</t>
  </si>
  <si>
    <t>617060 Пермский край город Краснокамск улица Культуры дом 4</t>
  </si>
  <si>
    <t>ИП Попова Элла Александровна</t>
  </si>
  <si>
    <t>591603084973</t>
  </si>
  <si>
    <t>ИП5906000612</t>
  </si>
  <si>
    <t>ИП590600061200000</t>
  </si>
  <si>
    <t>617060 Пермский край город Краснокамск проспект Комсомольский дом 17</t>
  </si>
  <si>
    <t>ИП Денисова Галина Викторовна</t>
  </si>
  <si>
    <t>591606753527</t>
  </si>
  <si>
    <t>ИП5906032440</t>
  </si>
  <si>
    <t>ИП590603244000000</t>
  </si>
  <si>
    <t>617470 Пермский край город Кунгур улица Ленина дом 59</t>
  </si>
  <si>
    <t>ИП Иконников Николай Леонидович</t>
  </si>
  <si>
    <t>591701062992</t>
  </si>
  <si>
    <t>ИП5906040341</t>
  </si>
  <si>
    <t>ИП590604034100000</t>
  </si>
  <si>
    <t>ИП Летова Галина Вениаминовна</t>
  </si>
  <si>
    <t>591702355511</t>
  </si>
  <si>
    <t>ИП5906034098</t>
  </si>
  <si>
    <t>ИП590603409800000</t>
  </si>
  <si>
    <t>617470 Пермский край город Кунгур улица Свердлова дом 104</t>
  </si>
  <si>
    <t>ИП Александрова Алёна Петровна</t>
  </si>
  <si>
    <t>591792868890</t>
  </si>
  <si>
    <t>ИП5906019708</t>
  </si>
  <si>
    <t>ИП590601970800000</t>
  </si>
  <si>
    <t>618900 Пермский край город Лысьва улица Мира дом 3</t>
  </si>
  <si>
    <t>ИП Терехина Елена Вячеславовна</t>
  </si>
  <si>
    <t>591805409889</t>
  </si>
  <si>
    <t>ИП5906017251</t>
  </si>
  <si>
    <t>ИП590601725100000</t>
  </si>
  <si>
    <t>618206 Пермский край город Чусовой улица Мира дом 2 корпус 1  нежилое помещение</t>
  </si>
  <si>
    <t>ИП Семёнова Вера Мударисовна</t>
  </si>
  <si>
    <t>591805943593</t>
  </si>
  <si>
    <t>ИП5906014269</t>
  </si>
  <si>
    <t>ИП590601426900000</t>
  </si>
  <si>
    <t>618900 Пермский край город Лысьва улица Мира дом 18   помещение 3</t>
  </si>
  <si>
    <t>ИП590601426900038</t>
  </si>
  <si>
    <t>618426 Пермский край город Березники улица Пятилетки дом 150   нежилое помещение №47</t>
  </si>
  <si>
    <t>ИП590601426900049</t>
  </si>
  <si>
    <t>618900 Пермский край город Лысьва улица Луначарского дом 17</t>
  </si>
  <si>
    <t>ИП Ковалева Ксения Витальевна</t>
  </si>
  <si>
    <t>591878143951</t>
  </si>
  <si>
    <t>ИП5906003538</t>
  </si>
  <si>
    <t>ИП590600353800000</t>
  </si>
  <si>
    <t>618554 Пермский край город Соликамск улица Революции дом 61А</t>
  </si>
  <si>
    <t>ИП Рамазанова Алжанат Умаровна</t>
  </si>
  <si>
    <t>591902105702</t>
  </si>
  <si>
    <t>ИП5906008519</t>
  </si>
  <si>
    <t>ИП590600851900000</t>
  </si>
  <si>
    <t>618553 Пермский край город Соликамск улица Северная дом 70</t>
  </si>
  <si>
    <t>ИП Гевейлер Ирина Викторовна</t>
  </si>
  <si>
    <t>591904118471</t>
  </si>
  <si>
    <t>ИП5906033490</t>
  </si>
  <si>
    <t>ИП590603349000000</t>
  </si>
  <si>
    <t>618554 Пермский край город Соликамск улица Набережная дом 105</t>
  </si>
  <si>
    <t>ИП590603349000001</t>
  </si>
  <si>
    <t>ИП590603349000003</t>
  </si>
  <si>
    <t>618590 Пермский край город Красновишерск улица Спортивная дом 28   помещение 2</t>
  </si>
  <si>
    <t>ИП Лях Людмила Владимировна</t>
  </si>
  <si>
    <t>591908298673</t>
  </si>
  <si>
    <t>ИП5906016402</t>
  </si>
  <si>
    <t>ИП590601640200000</t>
  </si>
  <si>
    <t>617760 Пермский край город ЧАЙКОВСКИЙ улица КАРЛА МАРКСА дом 42</t>
  </si>
  <si>
    <t>ИП Шумилов Борис Викторович</t>
  </si>
  <si>
    <t>592000175608</t>
  </si>
  <si>
    <t>ИП5906040119</t>
  </si>
  <si>
    <t>ИП590604011900000</t>
  </si>
  <si>
    <t>617760 Пермский край город Чайковский улица Карла Маркса дом 30</t>
  </si>
  <si>
    <t>ИП Шагалова Надежда Вячеславовна</t>
  </si>
  <si>
    <t>592000512405</t>
  </si>
  <si>
    <t>ИП5906003142</t>
  </si>
  <si>
    <t>ИП590600314200000</t>
  </si>
  <si>
    <t>ИП Шагалов Кирилл Алексеевич</t>
  </si>
  <si>
    <t>592005580705</t>
  </si>
  <si>
    <t>ИП5906031860</t>
  </si>
  <si>
    <t>ИП590603186000000</t>
  </si>
  <si>
    <t>617760 Пермский край город Чайковский улица Карла Маркса дом 26</t>
  </si>
  <si>
    <t>ИП Кузьминых Светлана Алексеевна</t>
  </si>
  <si>
    <t>592009893970</t>
  </si>
  <si>
    <t>ИП5906032265</t>
  </si>
  <si>
    <t>ИП590603226500000</t>
  </si>
  <si>
    <t>617760 Пермский край город Чайковский улица Карла Маркса дом 42</t>
  </si>
  <si>
    <t>ИП Килина Ирина Владимировна</t>
  </si>
  <si>
    <t>592012251934</t>
  </si>
  <si>
    <t>ИП5906006333</t>
  </si>
  <si>
    <t>ИП590600633300000</t>
  </si>
  <si>
    <t>611760 Пермский край город Чайковский улица Карла Маркса дом 26</t>
  </si>
  <si>
    <t>ИП590600633300001</t>
  </si>
  <si>
    <t>ООО ЛОМБАРД "ОМЕГА"</t>
  </si>
  <si>
    <t>5921028400</t>
  </si>
  <si>
    <t>ЮЛ5906007048</t>
  </si>
  <si>
    <t>ЮЛ590600704800001</t>
  </si>
  <si>
    <t>ЮЛ590600704800003</t>
  </si>
  <si>
    <t>614111 Пермский край город Пермь улица Солдатова здание 28а</t>
  </si>
  <si>
    <t>ИП Пчелин Игорь Викторович</t>
  </si>
  <si>
    <t>592107201096</t>
  </si>
  <si>
    <t>ИП5906010800</t>
  </si>
  <si>
    <t>ИП590601080000004</t>
  </si>
  <si>
    <t>ИП590601080000006</t>
  </si>
  <si>
    <t>618200 Пермский край город Чусовой улица Мира дом 17   помещение 1013</t>
  </si>
  <si>
    <t>ИП590601080000007</t>
  </si>
  <si>
    <t>618200 Пермский край город Кунгур улица Коммуны дом 45   помещение 24</t>
  </si>
  <si>
    <t>ИП590601080000008</t>
  </si>
  <si>
    <t>619000 Пермский край город Кудымкар улица Данилова строение 15б</t>
  </si>
  <si>
    <t>ИП590601080000009</t>
  </si>
  <si>
    <t>ООО ЛОМБАРД "НОТР"</t>
  </si>
  <si>
    <t>5930004533</t>
  </si>
  <si>
    <t>ЮЛ5906008328</t>
  </si>
  <si>
    <t>ЮЛ590600832800001</t>
  </si>
  <si>
    <t>614038 Пермский край город Пермь улица Академика Веденеева дом 84</t>
  </si>
  <si>
    <t>ЮЛ590600832800003</t>
  </si>
  <si>
    <t>614026 Пермский край город Пермь улица Цимлянская дом 17</t>
  </si>
  <si>
    <t>ЮЛ590600832800004</t>
  </si>
  <si>
    <t>614097 Пермский край город Пермь проспект Парковый дом 25г   этаж 1</t>
  </si>
  <si>
    <t>ЮЛ590600832800006</t>
  </si>
  <si>
    <t>ООО ЛОМБАРД "КВАЗАР-21"</t>
  </si>
  <si>
    <t>5930005255</t>
  </si>
  <si>
    <t>ЮЛ5906010256</t>
  </si>
  <si>
    <t>ЮЛ590601025600001</t>
  </si>
  <si>
    <t>614039 Пермский край город Пермь улица Пушкина дом 78</t>
  </si>
  <si>
    <t>ЮЛ590601025600002</t>
  </si>
  <si>
    <t>614065 Пермский край город Пермь улица Мира дом 103   2</t>
  </si>
  <si>
    <t>ЮЛ590601025600005</t>
  </si>
  <si>
    <t>617120 Пермский край город Верещагино улица Советская Дом 61   помещение 1</t>
  </si>
  <si>
    <t>ИП Красносельских Наталья Евгеньевна</t>
  </si>
  <si>
    <t>593300413492</t>
  </si>
  <si>
    <t>ИП5906006913</t>
  </si>
  <si>
    <t>ИП590600691300000</t>
  </si>
  <si>
    <t>617120 Пермский край город Верещагино улица Ленина дом 16/1</t>
  </si>
  <si>
    <t>ИП590600691300001</t>
  </si>
  <si>
    <t>617120 Пермский край город Верещагино улица Ленина дом 3   офис  4</t>
  </si>
  <si>
    <t>ООО "ЛОМБАРД "ВЕРЕЩАГИНСКИЙ"</t>
  </si>
  <si>
    <t>5933006289</t>
  </si>
  <si>
    <t>ЮЛ5906011158</t>
  </si>
  <si>
    <t>ЮЛ590601115800000</t>
  </si>
  <si>
    <t>ЮЛ590601115800001</t>
  </si>
  <si>
    <t>ЮЛ590601115800002</t>
  </si>
  <si>
    <t>617120 Пермский край город Верещагино улица Карла Маркса дом 56   офис 73</t>
  </si>
  <si>
    <t>ЮЛ590601115800003</t>
  </si>
  <si>
    <t>ЮЛ590601115800004</t>
  </si>
  <si>
    <t>617080 Пермский край село Большая Соснова улица Ленина здание 31</t>
  </si>
  <si>
    <t>ЮЛ590601115800006</t>
  </si>
  <si>
    <t>ЮЛ590601115800007</t>
  </si>
  <si>
    <t>618320 Пермский край город Александровск улица Машиностроителей дом 1   помещение 2</t>
  </si>
  <si>
    <t>ЮЛ590601115800009</t>
  </si>
  <si>
    <t>ЮЛ590601115800010</t>
  </si>
  <si>
    <t>618820 Пермский край город Горнозаводск улица Свердлова дом 62</t>
  </si>
  <si>
    <t>ИП Гусева Нелли Юрьевна</t>
  </si>
  <si>
    <t>593402059667</t>
  </si>
  <si>
    <t>ИП5906017756</t>
  </si>
  <si>
    <t>ИП590601775600000</t>
  </si>
  <si>
    <t>618820 Пермский край город Горнозаводск улица Мира дом 19</t>
  </si>
  <si>
    <t>ИП Ширинкина Людмила Васильевна</t>
  </si>
  <si>
    <t>593403754783</t>
  </si>
  <si>
    <t>ИП5906032082</t>
  </si>
  <si>
    <t>ИП590603208200000</t>
  </si>
  <si>
    <t>617500 Пермский край село Орда улица Трактовая дом 11</t>
  </si>
  <si>
    <t>ИП590603208200001</t>
  </si>
  <si>
    <t>618590 Пермский край город Красновишерск улица Карла Маркса дом 7Б</t>
  </si>
  <si>
    <t>ИП Лях Любовь Николаевна</t>
  </si>
  <si>
    <t>594102052895</t>
  </si>
  <si>
    <t>ИП5906034943</t>
  </si>
  <si>
    <t>ИП590603494300000</t>
  </si>
  <si>
    <t>617000 Пермский край город Нытва улица Карла Маркса здание 64</t>
  </si>
  <si>
    <t>ИП Заякин Павел Евгеньевич</t>
  </si>
  <si>
    <t>594200151100</t>
  </si>
  <si>
    <t>ИП5906006614</t>
  </si>
  <si>
    <t>ИП590600661400002</t>
  </si>
  <si>
    <t>ООО ЛОМБАРД "НИКА"</t>
  </si>
  <si>
    <t>5944204290</t>
  </si>
  <si>
    <t>ЮЛ5906007699</t>
  </si>
  <si>
    <t>ЮЛ590600769900001</t>
  </si>
  <si>
    <t>617060 Пермский край город Краснокамск проспект Комсомольский дом 15</t>
  </si>
  <si>
    <t>ЮЛ590600769900003</t>
  </si>
  <si>
    <t>618703 Пермский край поселок Полазна улица Дружбы дом 3</t>
  </si>
  <si>
    <t>ИП Санникова Ирина Ивановна</t>
  </si>
  <si>
    <t>594802804660</t>
  </si>
  <si>
    <t>ИП5906000754</t>
  </si>
  <si>
    <t>ИП590600075400000</t>
  </si>
  <si>
    <t>617570 Пермский край село Березовка улица Центральная дом 35</t>
  </si>
  <si>
    <t>ИП590600075400001</t>
  </si>
  <si>
    <t>614065 Пермский край город Пермь улица Мира дом 83</t>
  </si>
  <si>
    <t>ИП Рудой Наталья Владимировна</t>
  </si>
  <si>
    <t>594806680800</t>
  </si>
  <si>
    <t>ИП5906000528</t>
  </si>
  <si>
    <t>ИП590600052800000</t>
  </si>
  <si>
    <t>614095 Пермский край город Пермь улица Мира дом 23   помещение 29</t>
  </si>
  <si>
    <t>ООО "МЯТНЫЙ СТИЛЬ"</t>
  </si>
  <si>
    <t>5948072735</t>
  </si>
  <si>
    <t>ЮЛ5906040590</t>
  </si>
  <si>
    <t>ЮЛ590604059000000</t>
  </si>
  <si>
    <t>617240 Пермский край село Сива улица Советская дом 8</t>
  </si>
  <si>
    <t>ИП Леконцева Светлана Леонидовна</t>
  </si>
  <si>
    <t>594900003588</t>
  </si>
  <si>
    <t>ИП1806007926</t>
  </si>
  <si>
    <t>ИП180600792600000</t>
  </si>
  <si>
    <t>617520 Пермский край село Уинское улица Ленина домовладение 6</t>
  </si>
  <si>
    <t>ИП Пастухова Анна Васильевна</t>
  </si>
  <si>
    <t>595102673380</t>
  </si>
  <si>
    <t>ИП5906031999</t>
  </si>
  <si>
    <t>ИП590603199900000</t>
  </si>
  <si>
    <t>618601 Пермский край город Чердынь улица Успенская дом 84</t>
  </si>
  <si>
    <t>ИП Шулепова Галина Михайловна</t>
  </si>
  <si>
    <t>595600562900</t>
  </si>
  <si>
    <t>ИП5906019653</t>
  </si>
  <si>
    <t>ИП590601965300000</t>
  </si>
  <si>
    <t>614014 Пермский край город Пермь улица 1905 года дом 18</t>
  </si>
  <si>
    <t>ООО "ЛОМБАРД ДИНАСТИЯ"</t>
  </si>
  <si>
    <t>6382100260</t>
  </si>
  <si>
    <t>ЮЛ6306037487</t>
  </si>
  <si>
    <t>ЮЛ630603748700001</t>
  </si>
  <si>
    <t>614036 Пермский край город Пермь улица Мира дом 81   помещение 16</t>
  </si>
  <si>
    <t>ЮЛ630603748700002</t>
  </si>
  <si>
    <t>614016 Пермский край город Пермь улица Куйбышева дом 71</t>
  </si>
  <si>
    <t>ЮЛ630603748700003</t>
  </si>
  <si>
    <t>614101 Пермский край город Пермь улица Маршала Рыбалко дом 32</t>
  </si>
  <si>
    <t>ЮЛ630603748700004</t>
  </si>
  <si>
    <t>614097 Пермский край город Пермь проспект Парковый дом 25б</t>
  </si>
  <si>
    <t>ЮЛ630603748700005</t>
  </si>
  <si>
    <t>ЮЛ630603748700006</t>
  </si>
  <si>
    <t>614111 Пермский край город Пермь улица Солдатова дом 36   помещение 15</t>
  </si>
  <si>
    <t>ЮЛ630603748700007</t>
  </si>
  <si>
    <t>614095 Пермский край город Пермь улица Стахановская здание 19/1</t>
  </si>
  <si>
    <t>ЮЛ630603748700008</t>
  </si>
  <si>
    <t>614051 Пермский край город Пермь улица Тургенева дом 39</t>
  </si>
  <si>
    <t>ЮЛ630603748700009</t>
  </si>
  <si>
    <t>614095 Пермский край город Пермь улица Мира дом 5а</t>
  </si>
  <si>
    <t>ЮЛ630603748700010</t>
  </si>
  <si>
    <t>614039 Пермский край Город Пермь Комсомольский проспект Дом 67</t>
  </si>
  <si>
    <t>ИП Поярко Наталья Николаевна</t>
  </si>
  <si>
    <t>732895628088</t>
  </si>
  <si>
    <t>ИП5906013448</t>
  </si>
  <si>
    <t>ИП590601344800000</t>
  </si>
  <si>
    <t>614007 Пермский край город Пермь улица 25 Октября дом 62</t>
  </si>
  <si>
    <t>ИП750900123200009</t>
  </si>
  <si>
    <t>ООО "ЗЛАТОМИР"</t>
  </si>
  <si>
    <t>7536137955</t>
  </si>
  <si>
    <t>ЮЛ5906000468</t>
  </si>
  <si>
    <t>ЮЛ590600046800000</t>
  </si>
  <si>
    <t>614065 Пермский край город Пермь шоссе Космонавтов строение 162б   помещение 407</t>
  </si>
  <si>
    <t>ЮЛ760201190700034</t>
  </si>
  <si>
    <t>614000 Пермский край город Пермь улица Куйбышева дом 16   помещение 44,45,46,47,48,49,50, этаж 1</t>
  </si>
  <si>
    <t>ЮЛ770101216600145</t>
  </si>
  <si>
    <t>614065 Пермский край город Пермь шоссе Космонавтов дом 162Б   помещение 463, этаж 1</t>
  </si>
  <si>
    <t>ЮЛ770101216600248</t>
  </si>
  <si>
    <t>614000 Пермский край город Пермь улица Петропавловская    помещения А30, А31, этаж 1</t>
  </si>
  <si>
    <t>ЮЛ770101216600302</t>
  </si>
  <si>
    <t>614097 Пермский край город Пермь проспект Парковый дом 17   часть помещения 50, часть помещения 52,этаж 1</t>
  </si>
  <si>
    <t>ЮЛ770101216600310</t>
  </si>
  <si>
    <t>614039 Пермский край город Пермь проспект Комсомольский дом 64   этаж 1</t>
  </si>
  <si>
    <t>ЮЛ770101216600328</t>
  </si>
  <si>
    <t>614101 Пермский край город Пермь улица Маршала Рыбалко дом 41А корпус 1  этаж 1</t>
  </si>
  <si>
    <t>ЮЛ770101216600397</t>
  </si>
  <si>
    <t>614095 Пермский край город Пермь улица Мира дом 41/1   этаж 1, торговый зал № 82, подсобное  помещение № 81,80</t>
  </si>
  <si>
    <t>ЮЛ770101216600467</t>
  </si>
  <si>
    <t>614007 Пермский край город Пермь улица Революции дом 13   этаж 1, часть помещения №79</t>
  </si>
  <si>
    <t>ЮЛ770101216600500</t>
  </si>
  <si>
    <t>618553 Пермский край город Соликамск улица Молодежная дом 26   этаж 1</t>
  </si>
  <si>
    <t>ЮЛ770101216600501</t>
  </si>
  <si>
    <t>618426 Пермский край город Березники улица Пятилетки дом 150   этаж 1. часть нежилого помещения №2</t>
  </si>
  <si>
    <t>ЮЛ770101216600513</t>
  </si>
  <si>
    <t>614025 Пермский край город Пермь улица Героев Хасана дом 105  Литер А этаж 1, часть номера на поэтажном плане №214</t>
  </si>
  <si>
    <t>ЮЛ770101216600522</t>
  </si>
  <si>
    <t>614068 Пермский край город Пермь улица Спешилова дом 114   этаж 1, часть нежилого помещения № 746</t>
  </si>
  <si>
    <t>ЮЛ770101216600572</t>
  </si>
  <si>
    <t>614038 Пермский край город Пермь улица Академика Веденеева дом 28а   1 этаж, часть нежилого помещения №27</t>
  </si>
  <si>
    <t>ЮЛ770101216600813</t>
  </si>
  <si>
    <t>614007 Пермский край город Пермь улица Революции дом 13   1 этаж, изолированные помещения № 59, 60, 61, 62</t>
  </si>
  <si>
    <t>ЮЛ770101216600833</t>
  </si>
  <si>
    <t>614016 Пермский край город Пермь улица Революции дом 60/1   1 этаж, нежилое помещение</t>
  </si>
  <si>
    <t>ЮЛ770101216600883</t>
  </si>
  <si>
    <t>614016 Пермский край город Пермь улица Революции дом 60/1   этаж 1</t>
  </si>
  <si>
    <t>ЮЛ770101216600960</t>
  </si>
  <si>
    <t>614007 Пермский край город Пермь улица Революции дом 20   этаж 5, офис 505</t>
  </si>
  <si>
    <t>ЮЛ770100167700011</t>
  </si>
  <si>
    <t>ЮЛ770100419400062</t>
  </si>
  <si>
    <t>ЮЛ770100419400168</t>
  </si>
  <si>
    <t>ЮЛ770100419400211</t>
  </si>
  <si>
    <t>614000 Пермский край город Пермь улица Петропавловская дом 73а   помещение А02</t>
  </si>
  <si>
    <t>ЮЛ770100419400224</t>
  </si>
  <si>
    <t>614000 Пермский край город Пермь улица Куйбышева дом 16   часть помещения 1</t>
  </si>
  <si>
    <t>ЮЛ770100193500221</t>
  </si>
  <si>
    <t>614007 Пермский край город Пермь улица Революции дом 13   помещения 99, 100</t>
  </si>
  <si>
    <t>ЮЛ770100193500222</t>
  </si>
  <si>
    <t>614065 Пермский край город Пермь шоссе Космонавтов строение 162Б   помещение 1-109</t>
  </si>
  <si>
    <t>ЮЛ770100193500224</t>
  </si>
  <si>
    <t>614025 Пермский край город Пермь улица Героев Хасана дом 105  литер А помещение 144, 1 (первый) этаж</t>
  </si>
  <si>
    <t>ЮЛ770100193500600</t>
  </si>
  <si>
    <t>614000 Пермский край город Пермь улица Попова дом 16   нежилое помещение № 15, часть нежилого помещения № 14, этаж 1 (первый)</t>
  </si>
  <si>
    <t>ЮЛ770100193500731</t>
  </si>
  <si>
    <t>618553 Пермский край город Соликамск улица Северная дом 55   этаж 1 (первый)</t>
  </si>
  <si>
    <t>ЮЛ770100193500763</t>
  </si>
  <si>
    <t>618426 Пермский край город Березники улица Пятилетки дом 150   нежилые помещения № 59, 60, этаж 1 (первый)</t>
  </si>
  <si>
    <t>ЮЛ770100193500773</t>
  </si>
  <si>
    <t>614039 Пермский край город Пермь проспект Комсомольский дом 64   часть нежилых помещений № 10, 12, 13, этаж 1 (первый)</t>
  </si>
  <si>
    <t>ЮЛ770100193500776</t>
  </si>
  <si>
    <t>617060 Пермский край город Краснокамск проспект Комсомольский здание 20   помещение 120</t>
  </si>
  <si>
    <t>ЮЛ770100193500843</t>
  </si>
  <si>
    <t>614000 Пермский край город Пермь улица Петропавловская дом 73а   нежилое помещение № 53, этаж 1 (первый)</t>
  </si>
  <si>
    <t>ЮЛ770100193500852</t>
  </si>
  <si>
    <t>614000 Пермский край город Пермь улица Петропавловская дом 73а   часть помещения 53, 1 этаж</t>
  </si>
  <si>
    <t>ЮЛ770100193501134</t>
  </si>
  <si>
    <t>614095 Пермский край город Пермь улица Мира дом 41/1   1 этаж, часть нежилых помещений №83,84,85</t>
  </si>
  <si>
    <t>ИП780300226000002</t>
  </si>
  <si>
    <t>617470 Пермский край город Кунгур улица Уральская дом 3   часть нежилого помещения № 31, нежилое помещение № 29</t>
  </si>
  <si>
    <t>ИП780300226000004</t>
  </si>
  <si>
    <t>614000 Пермский край город Пермь улица Пермская/Куйбышева дом 116/31   1 этаж</t>
  </si>
  <si>
    <t>ИП780300226000007</t>
  </si>
  <si>
    <t>614056 Пермский край город Пермь улица Ивана Франко дом 38</t>
  </si>
  <si>
    <t>ЮЛ780300131300430</t>
  </si>
  <si>
    <t>614095 Пермский край город Пермь улица Мира дом 41/1   часть нежилого помещения № 84</t>
  </si>
  <si>
    <t>ЮЛ780300331800048</t>
  </si>
  <si>
    <t>617763 Пермский край город Чайковский улица Карла Маркса дом 50</t>
  </si>
  <si>
    <t>ЮЛ780300323500035</t>
  </si>
  <si>
    <t>618400 Пермский край город Березники улица Пятилетки дом 42</t>
  </si>
  <si>
    <t>ЮЛ780300323500045</t>
  </si>
  <si>
    <t>614097 Пермский край город Пермь проспект Парковый дом 48   помещения 1, 2, 3, 4</t>
  </si>
  <si>
    <t>ЮЛ780300323500099</t>
  </si>
  <si>
    <t>614068 Пермский край город Пермь улица Петропавловская дом 60/1</t>
  </si>
  <si>
    <t>ЮЛ780300323500100</t>
  </si>
  <si>
    <t>614030 Пермский край город Пермь улица Писарева дом 25</t>
  </si>
  <si>
    <t>ЮЛ780300323500101</t>
  </si>
  <si>
    <t>614095 Пермский край город Пермь улица Мира дом 41/1   помещение 122</t>
  </si>
  <si>
    <t>ЮЛ780300323500102</t>
  </si>
  <si>
    <t>614014 Пермский край город Пермь улица 1905 года дом 12</t>
  </si>
  <si>
    <t>ЮЛ780300323500110</t>
  </si>
  <si>
    <t>614039 Пермский край город Пермь проспект Комсомольский дом 60   помещения 27-31</t>
  </si>
  <si>
    <t>ЮЛ780300323500111</t>
  </si>
  <si>
    <t>614060 Пермский край город Пермь улица Крупской дом 25</t>
  </si>
  <si>
    <t>ЮЛ780300323500112</t>
  </si>
  <si>
    <t>ЮЛ780300323500113</t>
  </si>
  <si>
    <t>618900 Пермский край город Лысьва улица Мира дом 11   часть нежилого помещения 5-10</t>
  </si>
  <si>
    <t>ЮЛ780300308200162</t>
  </si>
  <si>
    <t>618120 Пермский край город Оса улица Максима Горького дом 67а   помещение 1042</t>
  </si>
  <si>
    <t>ЮЛ780300308200172</t>
  </si>
  <si>
    <t>614039 Пермский край город Пермь проспект Комсомольский дом 60</t>
  </si>
  <si>
    <t>ЮЛ780300308200173</t>
  </si>
  <si>
    <t>614077 Пермский край город Пермь улица Крупской дом 79А</t>
  </si>
  <si>
    <t>ЮЛ780300308200174</t>
  </si>
  <si>
    <t>614101 Пермский край город Пермь улица Маршала Рыбалко дом 42   часть нежилого помещение 14-17</t>
  </si>
  <si>
    <t>ЮЛ780300308200175</t>
  </si>
  <si>
    <t>617830 Пермский край город Чернушка улица Юбилейная дом 1   помещения 1-9</t>
  </si>
  <si>
    <t>ЮЛ780300308200222</t>
  </si>
  <si>
    <t>618425 Пермский край город Березники улица Мира дом 62А   часть помещения 9</t>
  </si>
  <si>
    <t>ЮЛ780300308200292</t>
  </si>
  <si>
    <t>618400 Пермский край город Березники улица Пятилетки дом 42   часть нежилого помещения №1-9</t>
  </si>
  <si>
    <t>ЮЛ780300308200293</t>
  </si>
  <si>
    <t>617763 Пермский край город Чайковский улица Карла Маркса дом 52   часть нежилого  помещения № 12-17</t>
  </si>
  <si>
    <t>ЮЛ780300308200363</t>
  </si>
  <si>
    <t>614068 Пермский край город Пермь улица Спешилова дом 114   часть нежилого помещения №100</t>
  </si>
  <si>
    <t>ЮЛ780300308200378</t>
  </si>
  <si>
    <t>614065 Пермский край город Пермь шоссе Космонавтов дом 162Б   помещение № 387</t>
  </si>
  <si>
    <t>ЮЛ780300308200492</t>
  </si>
  <si>
    <t>ЮЛ780300308200493</t>
  </si>
  <si>
    <t>ЮЛ780300308200494</t>
  </si>
  <si>
    <t>617470 Пермский край город Кунгур улица Уральская дом 3   часть нежилого помещения №31 и нежилое помещение № 29</t>
  </si>
  <si>
    <t>ЮЛ780300308200764</t>
  </si>
  <si>
    <t>614000 Пермский край город Пермь улица Куйбышева дом 31</t>
  </si>
  <si>
    <t>ЮЛ780300308200876</t>
  </si>
  <si>
    <t>614095 Пермский край город Пермь улица Мира дом 41/1   часть нежилого помещения № 83-85</t>
  </si>
  <si>
    <t>ЮЛ780300308200910</t>
  </si>
  <si>
    <t>614000 Пермский край город Пермь улица Куйбышева дом 16   №80 (часть), помещение №39</t>
  </si>
  <si>
    <t>ЮЛ780300308201017</t>
  </si>
  <si>
    <t>ЮЛ780300308201246</t>
  </si>
  <si>
    <t>ЮЛ780300363500006</t>
  </si>
  <si>
    <t>ЮЛ780300363500043</t>
  </si>
  <si>
    <t>ЮЛ780300363500176</t>
  </si>
  <si>
    <t>ЮЛ780300363500177</t>
  </si>
  <si>
    <t>614097 Пермский край город Пермь проспект Парковый дом 48</t>
  </si>
  <si>
    <t>ЮЛ780300363500178</t>
  </si>
  <si>
    <t>ЮЛ780300363500180</t>
  </si>
  <si>
    <t>ЮЛ780300363500181</t>
  </si>
  <si>
    <t>ЮЛ780300363500183</t>
  </si>
  <si>
    <t>ЮЛ780300363500278</t>
  </si>
  <si>
    <t>ЮЛ780300363500279</t>
  </si>
  <si>
    <t>619000 Пермский край город Кудымкар улица 50 лет Октября дом 32</t>
  </si>
  <si>
    <t>ИП Нешатаева Светлана Викторовна</t>
  </si>
  <si>
    <t>810700047884</t>
  </si>
  <si>
    <t>ИП5906019418</t>
  </si>
  <si>
    <t>ИП590601941800000</t>
  </si>
  <si>
    <t>614000 Пермский край город Пермь улица Куйбышева дом 37   Торговый центр Алмаз</t>
  </si>
  <si>
    <t>ИП Бычков Олег Григорьевич</t>
  </si>
  <si>
    <t>810703300207</t>
  </si>
  <si>
    <t>ИП5906017702</t>
  </si>
  <si>
    <t>ИП590601770200000</t>
  </si>
  <si>
    <t>619000 Пермский край город Кудымкар улица Калинина дом 53</t>
  </si>
  <si>
    <t>ИП590601770200001</t>
  </si>
  <si>
    <t>614000 Пермский край город Пермь улица Петропавловская дом 73а   помещение №53, 1 (первый) этаж</t>
  </si>
  <si>
    <t>ЮЛ770104000500006</t>
  </si>
  <si>
    <t>Приморский край</t>
  </si>
  <si>
    <t>690002 Приморский край город Владивосток улица Некрасовская здание 49</t>
  </si>
  <si>
    <t>ООО "ТРИТОН"</t>
  </si>
  <si>
    <t>1435130550</t>
  </si>
  <si>
    <t>ЮЛ1409002113</t>
  </si>
  <si>
    <t>ЮЛ140900211300011</t>
  </si>
  <si>
    <t>690091 Приморский край город Владивосток Светланская 33</t>
  </si>
  <si>
    <t>ИП Корякина Оксана Александровна</t>
  </si>
  <si>
    <t>143515542664</t>
  </si>
  <si>
    <t>ИП1409016572</t>
  </si>
  <si>
    <t>ИП140901657200000</t>
  </si>
  <si>
    <t>692756 Приморский край город Артем улица Владимира Сайбеля дом 45</t>
  </si>
  <si>
    <t>ЮЛ230403096500006</t>
  </si>
  <si>
    <t>692330 Приморский край город Арсеньев Ломоносова 23   помещение 2</t>
  </si>
  <si>
    <t>ИП Герасименко Валерий Афанасьевич</t>
  </si>
  <si>
    <t>250100654188</t>
  </si>
  <si>
    <t>ИП2509005714</t>
  </si>
  <si>
    <t>ИП250900571400000</t>
  </si>
  <si>
    <t>692330 Приморский край город Арсеньев Островского 2</t>
  </si>
  <si>
    <t>ИП250900571400002</t>
  </si>
  <si>
    <t>690048 Приморский край город Арсеньев улица Жуковского дом 39/1</t>
  </si>
  <si>
    <t>ИП250900571400003</t>
  </si>
  <si>
    <t>692342 Приморский край город Арсеньев  улица Калининская  дом 16   помещение 1</t>
  </si>
  <si>
    <t>ИП Машинская Екатерина Николаевна</t>
  </si>
  <si>
    <t>250100933738</t>
  </si>
  <si>
    <t>ИП2509007915</t>
  </si>
  <si>
    <t>ИП250900791500000</t>
  </si>
  <si>
    <t>692342 Приморский край город Арсеньев улица  Калининская  дом 16   пом. 1</t>
  </si>
  <si>
    <t>ООО "ЛОМБАРД №1"</t>
  </si>
  <si>
    <t>2501020347</t>
  </si>
  <si>
    <t>ЮЛ2509009121</t>
  </si>
  <si>
    <t>ЮЛ250900912100000</t>
  </si>
  <si>
    <t>692330 Приморский край город Арсеньев улица Калининская  дом 10   офис 2</t>
  </si>
  <si>
    <t>ИП Янцер Ольга Валентиновна</t>
  </si>
  <si>
    <t>250105171280</t>
  </si>
  <si>
    <t>ИП2509011044</t>
  </si>
  <si>
    <t>ИП250901104400000</t>
  </si>
  <si>
    <t>692337 Приморский край город Арсеньев улица Жуковского дом 23   помещение 2</t>
  </si>
  <si>
    <t>ИП Лим Тимур Викторович</t>
  </si>
  <si>
    <t>250107115805</t>
  </si>
  <si>
    <t>ИП2509034488</t>
  </si>
  <si>
    <t>ИП250903448800000</t>
  </si>
  <si>
    <t>692760 Приморский край город Артем площадь Ленина дом 8   Ювелирная лавка "Софи"</t>
  </si>
  <si>
    <t>ИП Дмитриева Любовь Георгиевна</t>
  </si>
  <si>
    <t>250200144053</t>
  </si>
  <si>
    <t>ИП2509003027</t>
  </si>
  <si>
    <t>ИП250900302700000</t>
  </si>
  <si>
    <t>692760 Приморский край город Артем улица Кирова дом 16   Ювелирная лавка "Софи"</t>
  </si>
  <si>
    <t>ИП250900302700002</t>
  </si>
  <si>
    <t>692770 Приморский край город Артем улица 1-я Рабочая дом 25   Ювелирная лавка "Софи"</t>
  </si>
  <si>
    <t>ИП250900302700003</t>
  </si>
  <si>
    <t>690048 Приморский край город Владивосток улица Ильичева дом 20   Ювелирная лавка "Софи"</t>
  </si>
  <si>
    <t>ИП250900302700004</t>
  </si>
  <si>
    <t>690091 Приморский край город Владивосток улица Уборевича дом 20   Ювелирная лавка "Софи"</t>
  </si>
  <si>
    <t>ИП250900302700005</t>
  </si>
  <si>
    <t>690016 Приморский край город Владивосток улица 40 лет ВЛКСМ дом 14   Ювелирная лавка "Софи"</t>
  </si>
  <si>
    <t>ИП250900302700006</t>
  </si>
  <si>
    <t>690080 Приморский край город Владивосток улица Сахалинская дом 50</t>
  </si>
  <si>
    <t>ИП250900302700008</t>
  </si>
  <si>
    <t>692760 Приморский край город Артем площадь Ленина дом 4  А помещение 10</t>
  </si>
  <si>
    <t>2502019785</t>
  </si>
  <si>
    <t>ЮЛ2509009142</t>
  </si>
  <si>
    <t>ЮЛ250900914200000</t>
  </si>
  <si>
    <t>692760 Приморский край город Артем Улица Фрунзе дом 53   помещение 7</t>
  </si>
  <si>
    <t>ООО "ТУРМАЛИН"</t>
  </si>
  <si>
    <t>2502027056</t>
  </si>
  <si>
    <t>ЮЛ2509002121</t>
  </si>
  <si>
    <t>ЮЛ250900212100000</t>
  </si>
  <si>
    <t>692917 Приморский край город Находка  улица Находкинский проспект дом 60</t>
  </si>
  <si>
    <t>ЮЛ250900212100002</t>
  </si>
  <si>
    <t>692760 Приморский край город Артем улица Фрунзе  дом 32А</t>
  </si>
  <si>
    <t>ЮЛ250900212100005</t>
  </si>
  <si>
    <t>692760 Приморский край город Артем  Улица Фрунзе  дом 69</t>
  </si>
  <si>
    <t>ЮЛ250900212100006</t>
  </si>
  <si>
    <t>692760 Приморский край город Артем площадь Ленина дом 8</t>
  </si>
  <si>
    <t>ООО "ЛОМБАРД СОФИЯ"</t>
  </si>
  <si>
    <t>2502038890</t>
  </si>
  <si>
    <t>ЮЛ2509000937</t>
  </si>
  <si>
    <t>ЮЛ250900093700000</t>
  </si>
  <si>
    <t>692760 Приморский край город Артем улица Фрунзе дом 50</t>
  </si>
  <si>
    <t>ЮЛ250900093700007</t>
  </si>
  <si>
    <t>692760 Приморский край город Артем улица Фрунзе дом 53   офис 302</t>
  </si>
  <si>
    <t>ООО "ЗОЛОТИНКА ПЛЮС"</t>
  </si>
  <si>
    <t>2502049740</t>
  </si>
  <si>
    <t>ЮЛ2509003362</t>
  </si>
  <si>
    <t>ЮЛ250900336200000</t>
  </si>
  <si>
    <t>692751 Приморский край город Артем улица Кирова дом 74/3   помещение 10</t>
  </si>
  <si>
    <t>ЮЛ250900336200002</t>
  </si>
  <si>
    <t>692342 Приморский край город Арсеньев улица Ломоносова дом 15   помещение 3</t>
  </si>
  <si>
    <t>ЮЛ250900336200003</t>
  </si>
  <si>
    <t>692806 Приморский край город Большой Камень улица Приморского Комсомола дом 2А   бутик № 107</t>
  </si>
  <si>
    <t>ЮЛ250900336200004</t>
  </si>
  <si>
    <t>692651 Приморский край село Михайловка улица Красноармейская здание 23</t>
  </si>
  <si>
    <t>ЮЛ250900336200009</t>
  </si>
  <si>
    <t>692864 Приморский край город Партизанск улица Ленинская дом 10</t>
  </si>
  <si>
    <t>ЮЛ250900336200011</t>
  </si>
  <si>
    <t>692245 Приморский край город Спасск-Дальний улица Ленинская дом 36</t>
  </si>
  <si>
    <t>ЮЛ250900336200013</t>
  </si>
  <si>
    <t>692390 Приморский край поселок городского типа Сибирцево улица Строительная дом 17   46</t>
  </si>
  <si>
    <t>ЮЛ250900336200014</t>
  </si>
  <si>
    <t>692519 Приморский край город Уссурийск улица Некрасова дом 83</t>
  </si>
  <si>
    <t>ЮЛ250900336200015</t>
  </si>
  <si>
    <t>692701 Приморский край поселок городского типа Славянка улица Молодежная дом 2</t>
  </si>
  <si>
    <t>ЮЛ250900336200017</t>
  </si>
  <si>
    <t>692413 Приморский край поселок городского типа Кавалерово улица Арсеньева дом 59</t>
  </si>
  <si>
    <t>ЮЛ250900336200019</t>
  </si>
  <si>
    <t>692441 Приморский край город Дальнегорск проспект 50 лет октября  13   213</t>
  </si>
  <si>
    <t>ЮЛ250900336200020</t>
  </si>
  <si>
    <t>692760 Приморский край город Артем улица Фрунзе дом 73 подъезд IV  офис 3</t>
  </si>
  <si>
    <t>ООО "ФРЕЙЯ"</t>
  </si>
  <si>
    <t>2502055335</t>
  </si>
  <si>
    <t>ЮЛ2509014372</t>
  </si>
  <si>
    <t>ЮЛ250901437200000</t>
  </si>
  <si>
    <t>690091 Приморский край город Владивосток улица Алеутская 45   107</t>
  </si>
  <si>
    <t>ИП Шушкевич Анастасия Александровна</t>
  </si>
  <si>
    <t>250211002558</t>
  </si>
  <si>
    <t>ИП2509039196</t>
  </si>
  <si>
    <t>ИП250903919600000</t>
  </si>
  <si>
    <t>692760 Приморский край город Артем улица Кирова дом 7/6   павильон №73</t>
  </si>
  <si>
    <t>ИП Долматова Светлана Юрьевна</t>
  </si>
  <si>
    <t>250212907905</t>
  </si>
  <si>
    <t>ИП2509007822</t>
  </si>
  <si>
    <t>ИП250900782200000</t>
  </si>
  <si>
    <t>692760 Приморский край город Артем улица Кирова дом 23</t>
  </si>
  <si>
    <t>ИП250900782200002</t>
  </si>
  <si>
    <t>692770 Приморский край город Артем улица 1-я Рабочая дом 28б</t>
  </si>
  <si>
    <t>ИП250900782200003</t>
  </si>
  <si>
    <t>692760 Приморский край город Артем улица Кирова дом 18   квартира 24</t>
  </si>
  <si>
    <t>ИП250900782200008</t>
  </si>
  <si>
    <t>690091 Приморский край город Владивосток проспект Океанский дом 13</t>
  </si>
  <si>
    <t>ИП Пономаренко Тамара Николаевна</t>
  </si>
  <si>
    <t>250304719475</t>
  </si>
  <si>
    <t>ИП2509035187</t>
  </si>
  <si>
    <t>ИП250903518700001</t>
  </si>
  <si>
    <t>692441 Приморский край город Дальнегорск Проспект 50 лет Октября 57</t>
  </si>
  <si>
    <t>ИП Козловская Людмила Леонидовна</t>
  </si>
  <si>
    <t>250500018370</t>
  </si>
  <si>
    <t>ИП2509003419</t>
  </si>
  <si>
    <t>ИП250900341900000</t>
  </si>
  <si>
    <t>690091 Приморский край город Владивосток Светланская  37</t>
  </si>
  <si>
    <t>ИП Будкина Ирина Петровна</t>
  </si>
  <si>
    <t>250550448594</t>
  </si>
  <si>
    <t>ИП2509009190</t>
  </si>
  <si>
    <t>ИП250900919000000</t>
  </si>
  <si>
    <t>690000 Приморский край город Владивосток Светланская  37</t>
  </si>
  <si>
    <t>ИП250900919000005</t>
  </si>
  <si>
    <t>690091 Приморский край город Владивосток улица Адмирала Фокина 16  А</t>
  </si>
  <si>
    <t>ИП250900919000006</t>
  </si>
  <si>
    <t>692911 Приморский край город Находка Луначарского 23</t>
  </si>
  <si>
    <t>ИП Грипич Елена Валентиновна</t>
  </si>
  <si>
    <t>250800008239</t>
  </si>
  <si>
    <t>ИП2509010228</t>
  </si>
  <si>
    <t>ИП250901022800000</t>
  </si>
  <si>
    <t>692919 Приморский край город Находка улица Линейная дом 1а</t>
  </si>
  <si>
    <t>ИП250901022800001</t>
  </si>
  <si>
    <t>692904 Приморский край город Находка проспект Находкинский дом 7А</t>
  </si>
  <si>
    <t>ООО "ТРОЙКА, ЛТД"</t>
  </si>
  <si>
    <t>2508005683</t>
  </si>
  <si>
    <t>ЮЛ2509001819</t>
  </si>
  <si>
    <t>ЮЛ250900181900000</t>
  </si>
  <si>
    <t>692911 Приморский край город Находка улица Ленинская дом 17</t>
  </si>
  <si>
    <t>ИП Крухтанова Вита Александровна</t>
  </si>
  <si>
    <t>250810931615</t>
  </si>
  <si>
    <t>ИП2509010951</t>
  </si>
  <si>
    <t>ИП250901095100000</t>
  </si>
  <si>
    <t>692924 Приморский край город Находка улица Спортивная дом 2</t>
  </si>
  <si>
    <t>ИП Печеницына Галина Юрьевна</t>
  </si>
  <si>
    <t>250811608767</t>
  </si>
  <si>
    <t>ИП2509003463</t>
  </si>
  <si>
    <t>ИП250900346300000</t>
  </si>
  <si>
    <t>692245 Приморский край город Спасск-Дальний улица Парковая дом 27</t>
  </si>
  <si>
    <t>ИП Стаценко Людмила Леонидовна</t>
  </si>
  <si>
    <t>251000362994</t>
  </si>
  <si>
    <t>ИП2509011035</t>
  </si>
  <si>
    <t>ИП250901103500000</t>
  </si>
  <si>
    <t>692245 Приморский край город Спасск-Дальний улица Советская дом 84 - - -</t>
  </si>
  <si>
    <t>ИП250901103500001</t>
  </si>
  <si>
    <t>692245 Приморский край город Спасск-Дальний улица Парковая дом 27 - - -</t>
  </si>
  <si>
    <t>ООО "ЛОМБАРД "ЖЕМЧУЖИНА"</t>
  </si>
  <si>
    <t>2510011892</t>
  </si>
  <si>
    <t>ЮЛ2509002853</t>
  </si>
  <si>
    <t>ЮЛ250900285300000</t>
  </si>
  <si>
    <t>692519 Приморский край город Уссурийск улица Суханова 52</t>
  </si>
  <si>
    <t>ИП Фролова Инна Валентиновна</t>
  </si>
  <si>
    <t>251100686914</t>
  </si>
  <si>
    <t>ИП2509012126</t>
  </si>
  <si>
    <t>ИП250901212600000</t>
  </si>
  <si>
    <t>692684 Приморский край село Камень-Рыболов улица Кирова дом 1 2 этаж  ТЦ "Елена"</t>
  </si>
  <si>
    <t>ИП250901212600003</t>
  </si>
  <si>
    <t>692254 Приморский край село Хороль улица Ленинская дом 104-А 1 этаж  ТЦ "Елена"</t>
  </si>
  <si>
    <t>ИП250901212600004</t>
  </si>
  <si>
    <t>692525 Приморский край город Уссурийск улица Некрасова дом 114</t>
  </si>
  <si>
    <t>ИП Хобта Виталий Никитич</t>
  </si>
  <si>
    <t>251100790200</t>
  </si>
  <si>
    <t>ИП2509037173</t>
  </si>
  <si>
    <t>ИП250903717300000</t>
  </si>
  <si>
    <t>692519 Приморский край город Уссурийск улица Чичерина дом 76 15 А 210</t>
  </si>
  <si>
    <t>ИП250903717300003</t>
  </si>
  <si>
    <t>692519 Приморский край город Уссурийск улица Суханова здание 52</t>
  </si>
  <si>
    <t>ИП250903717300004</t>
  </si>
  <si>
    <t>692621 Приморский край село Чугуевка 50 лет Октября 212</t>
  </si>
  <si>
    <t>ИП Симакова Елена Сергеевна</t>
  </si>
  <si>
    <t>251102586922</t>
  </si>
  <si>
    <t>ИП2509017014</t>
  </si>
  <si>
    <t>ИП250901701400000</t>
  </si>
  <si>
    <t>2511042685</t>
  </si>
  <si>
    <t>ЮЛ2509008389</t>
  </si>
  <si>
    <t>ЮЛ250900838900000</t>
  </si>
  <si>
    <t>ЮЛ250900838900001</t>
  </si>
  <si>
    <t>692519 Приморский край город Уссурийск улица Чичерина дом 76</t>
  </si>
  <si>
    <t>ЮЛ250900838900003</t>
  </si>
  <si>
    <t>692372 Приморский край село Черниговка улица Ленинская дом 62</t>
  </si>
  <si>
    <t>ИП Романенко Татьяна Анатольевна</t>
  </si>
  <si>
    <t>251106155388</t>
  </si>
  <si>
    <t>ИП2509002135</t>
  </si>
  <si>
    <t>ИП250900213500000</t>
  </si>
  <si>
    <t>692561 Приморский край село Покровка улица Советов 62</t>
  </si>
  <si>
    <t>ИП Соколовский Андрей Алексеевич</t>
  </si>
  <si>
    <t>251108684651</t>
  </si>
  <si>
    <t>ИП2509002283</t>
  </si>
  <si>
    <t>ИП250900228300000</t>
  </si>
  <si>
    <t>692519 Приморский край город Уссурийск улица Чичерина дом 62</t>
  </si>
  <si>
    <t>2511099843</t>
  </si>
  <si>
    <t>ЮЛ2509003387</t>
  </si>
  <si>
    <t>ЮЛ250900338700001</t>
  </si>
  <si>
    <t>692525 Приморский край город Уссурийск улица Некрасова дом 107  А помещ. 34</t>
  </si>
  <si>
    <t>ЮЛ250900338700006</t>
  </si>
  <si>
    <t>690087 Приморский край город Владивосток улица Баляева дом 60</t>
  </si>
  <si>
    <t>ИП Лигай Вячеслав Ревмирович</t>
  </si>
  <si>
    <t>251114400308</t>
  </si>
  <si>
    <t>ИП2509019913</t>
  </si>
  <si>
    <t>ИП250901991300000</t>
  </si>
  <si>
    <t>ИП250901991300001</t>
  </si>
  <si>
    <t>690033 Приморский край город Владивосток проспект 100-летия Владивостока дом 62 помещение II</t>
  </si>
  <si>
    <t>ИП250901991300002</t>
  </si>
  <si>
    <t>692525 Приморский край город Уссурийск улица Советская дом 82</t>
  </si>
  <si>
    <t>ИП250901991300004</t>
  </si>
  <si>
    <t>690912 Приморский край город Владивосток улица Лермонтова дом 77</t>
  </si>
  <si>
    <t>ИП250901991300005</t>
  </si>
  <si>
    <t>692519 Приморский край город Уссурийск улица Чичерина дом 105 2 этаж</t>
  </si>
  <si>
    <t>ИП Зайцева Алеся Александровна</t>
  </si>
  <si>
    <t>251132166202</t>
  </si>
  <si>
    <t>ИП2509002843</t>
  </si>
  <si>
    <t>ИП250900284300000</t>
  </si>
  <si>
    <t>692519 Приморский край город Уссурийск улица Плеханова дом 61 1 этаж</t>
  </si>
  <si>
    <t>ИП250900284300001</t>
  </si>
  <si>
    <t>692180 Приморский край село Рощино улица Рощина дом 47/5</t>
  </si>
  <si>
    <t>ИП Шабанов Сергей Юрьевич</t>
  </si>
  <si>
    <t>251700082174</t>
  </si>
  <si>
    <t>ИП2509000715</t>
  </si>
  <si>
    <t>ИП250900071500000</t>
  </si>
  <si>
    <t>692998 Приморский край поселок городского типа Преображение улица 50 лет ВЛКСМ дом 9</t>
  </si>
  <si>
    <t>ИП Белоусова Светлана Викторовна</t>
  </si>
  <si>
    <t>251801502202</t>
  </si>
  <si>
    <t>ИП2509003951</t>
  </si>
  <si>
    <t>ИП250900395100000</t>
  </si>
  <si>
    <t>692851 Приморский край город Партизанск улица А.С. Аллилуева дом 2 корпус 1</t>
  </si>
  <si>
    <t>ИП Шуляк Марина Денисовна</t>
  </si>
  <si>
    <t>252402173371</t>
  </si>
  <si>
    <t>ИП2509010996</t>
  </si>
  <si>
    <t>ИП250901099600000</t>
  </si>
  <si>
    <t>692525 Приморский край город Уссурийск улица Некрасова дом 107   помещ. 34</t>
  </si>
  <si>
    <t>ИП Русакович Александр Анатольевич</t>
  </si>
  <si>
    <t>252502096498</t>
  </si>
  <si>
    <t>ИП2509031548</t>
  </si>
  <si>
    <t>ИП250903154800000</t>
  </si>
  <si>
    <t>692519 Приморский край город Уссурийск улица Чичерина 62   помещение</t>
  </si>
  <si>
    <t>ИП250903154800004</t>
  </si>
  <si>
    <t>692525 Приморский край город Уссурийск улица Некрасова дом 84   помещ. 13</t>
  </si>
  <si>
    <t>ИП250903154800005</t>
  </si>
  <si>
    <t>692519 Приморский край город Уссурийск улица Некрасова дом 81   помещ. 2</t>
  </si>
  <si>
    <t>ИП250903154800006</t>
  </si>
  <si>
    <t>692001 Приморский край поселок городского типа Лучегорск микрорайон 4-й дом 10в</t>
  </si>
  <si>
    <t>ИП Аглиулина Вера Николаевна</t>
  </si>
  <si>
    <t>252600027630</t>
  </si>
  <si>
    <t>ИП2509011059</t>
  </si>
  <si>
    <t>ИП250901105900000</t>
  </si>
  <si>
    <t>690041 Приморский край город Владивосток улица Полетаева здание 6д</t>
  </si>
  <si>
    <t>ИП250901105900001</t>
  </si>
  <si>
    <t>690066 Приморский край город Владивосток проспект Красного Знамени 110</t>
  </si>
  <si>
    <t>ИП250901105900003</t>
  </si>
  <si>
    <t>690000 Приморский край город Владивосток Проспект Острякова 13</t>
  </si>
  <si>
    <t>ИП Киян Алексей Валерьевич</t>
  </si>
  <si>
    <t>253600601983</t>
  </si>
  <si>
    <t>ИП2509040576</t>
  </si>
  <si>
    <t>ИП250904057600000</t>
  </si>
  <si>
    <t>690048 Приморский край город Владивосток проспект 100-летия Владивостока дом 42А   помещение 15</t>
  </si>
  <si>
    <t>ИП Гриценко Ольга Анатольевна</t>
  </si>
  <si>
    <t>253601069994</t>
  </si>
  <si>
    <t>ИП2509005029</t>
  </si>
  <si>
    <t>ИП250900502900002</t>
  </si>
  <si>
    <t>ИП250900502900003</t>
  </si>
  <si>
    <t>690087 Приморский край город Владивосток улица Баляева дом 35   помещение 515</t>
  </si>
  <si>
    <t>ИП250900502900005</t>
  </si>
  <si>
    <t>690033 Приморский край город Владивосток улица Семеновская дом 15   помещение 115</t>
  </si>
  <si>
    <t>ИП250900502900006</t>
  </si>
  <si>
    <t>690005 Приморский край город Владивосток улица Луговая дом 18   помещение 251</t>
  </si>
  <si>
    <t>ИП250900502900007</t>
  </si>
  <si>
    <t>690021 Приморский край город Владивосток улица Запорожская дом 77   помещение 54</t>
  </si>
  <si>
    <t>ИП250900502900008</t>
  </si>
  <si>
    <t>690039 Приморский край город Владивосток улица Русская дом 2К   помещение 203</t>
  </si>
  <si>
    <t>ИП250900502900010</t>
  </si>
  <si>
    <t>690002 Приморский край город Владивосток улица Некрасовская дом 49А</t>
  </si>
  <si>
    <t>ИП250900502900012</t>
  </si>
  <si>
    <t>690013 Приморский край город Владивосток улица Луговая дом 18   помещение 10А</t>
  </si>
  <si>
    <t>ИП250900502900013</t>
  </si>
  <si>
    <t>690039 Приморский край город Владивосток улица Русская дом 2к   помещение К-15</t>
  </si>
  <si>
    <t>ИП250900502900014</t>
  </si>
  <si>
    <t>690013 Приморский край город Владивосток улица Луговая дом 18</t>
  </si>
  <si>
    <t>ИП250900502900015</t>
  </si>
  <si>
    <t>690021 Приморский край город Владивосток улица Черемуховая дом 15</t>
  </si>
  <si>
    <t>ИП250900502900016</t>
  </si>
  <si>
    <t>690041 Приморский край город Владивосток улица Посьетская 14   17</t>
  </si>
  <si>
    <t>ИП Кулапина Наталья Владимировна</t>
  </si>
  <si>
    <t>253603098084</t>
  </si>
  <si>
    <t>ИП2509001887</t>
  </si>
  <si>
    <t>ИП250900188700000</t>
  </si>
  <si>
    <t>690041 Приморский край город Владивосток улица Полетаева здание 6д   В116</t>
  </si>
  <si>
    <t>ИП250900188700001</t>
  </si>
  <si>
    <t>690091 Приморский край город Владивосток улица Семеновская дом 15   36</t>
  </si>
  <si>
    <t>ИП250900188700002</t>
  </si>
  <si>
    <t>690033 Приморский край город Владивосток проспект 100-летия Владивостока дом 64   помещение 1-10</t>
  </si>
  <si>
    <t>ИП250900188700003</t>
  </si>
  <si>
    <t>690000 Приморский край город Владивосток Полетаева 6Д   помещение А110</t>
  </si>
  <si>
    <t>ИП250900188700005</t>
  </si>
  <si>
    <t>690000 Приморский край город Владивосток улица Луговая 21а   офис323</t>
  </si>
  <si>
    <t>ИП Малиновская Елена Владимировна</t>
  </si>
  <si>
    <t>253603305990</t>
  </si>
  <si>
    <t>ИП2509001417</t>
  </si>
  <si>
    <t>ИП250900141700000</t>
  </si>
  <si>
    <t>690000 Приморский край город Владивосток Луговая 21а   67</t>
  </si>
  <si>
    <t>ИП Булгаков Дмитрий Александрович</t>
  </si>
  <si>
    <t>253606186902</t>
  </si>
  <si>
    <t>ИП2509008396</t>
  </si>
  <si>
    <t>ИП250900839600000</t>
  </si>
  <si>
    <t>690091 Приморский край Владивосток Светланская дом 55</t>
  </si>
  <si>
    <t>ООО "МИНЕРАЛ-1"</t>
  </si>
  <si>
    <t>2536071198</t>
  </si>
  <si>
    <t>ЮЛ2509000810</t>
  </si>
  <si>
    <t>ЮЛ250900081000000</t>
  </si>
  <si>
    <t>692519 Приморский край город Уссурийск улица Некрасова 64</t>
  </si>
  <si>
    <t>ЮЛ250900081000001</t>
  </si>
  <si>
    <t>690037 Приморский край город Владивосток улица Адмирала Юмашева дом 4</t>
  </si>
  <si>
    <t>ИП Коробко Алексей Андреевич</t>
  </si>
  <si>
    <t>253610829987</t>
  </si>
  <si>
    <t>ИП2509012987</t>
  </si>
  <si>
    <t>ИП250901298700000</t>
  </si>
  <si>
    <t>690013 Приморский край город Владивосток улица Трамвайная дом 12</t>
  </si>
  <si>
    <t>ИП250901298700001</t>
  </si>
  <si>
    <t>690090 Приморский край город Владивосток улица Адмирала Фокина дом 8   помещение 1</t>
  </si>
  <si>
    <t>ООО "ЮВЕЛИРНАЯ КОМПАНИЯ "СЮРПРИЗ"</t>
  </si>
  <si>
    <t>2536129190</t>
  </si>
  <si>
    <t>ЮЛ2509010246</t>
  </si>
  <si>
    <t>ЮЛ250901024600000</t>
  </si>
  <si>
    <t>692943 Приморский край город Находка проспект Восточный дом 4</t>
  </si>
  <si>
    <t>ЮЛ250901024600001</t>
  </si>
  <si>
    <t>690091 Приморский край город Владивосток проспект Океанский дом 16</t>
  </si>
  <si>
    <t>ООО "ЮВЕЛИРНЫЙ МАГАЗИН ИЗУМРУД"</t>
  </si>
  <si>
    <t>2536212096</t>
  </si>
  <si>
    <t>ЮЛ2509019469</t>
  </si>
  <si>
    <t>ЮЛ250901946900000</t>
  </si>
  <si>
    <t>690048 Приморский край город Владивосток проспект 100-летия Владивостока дом 42А   08</t>
  </si>
  <si>
    <t>ООО "ЕЛЕНА"</t>
  </si>
  <si>
    <t>2536294966</t>
  </si>
  <si>
    <t>ЮЛ2509010988</t>
  </si>
  <si>
    <t>ЮЛ250901098800000</t>
  </si>
  <si>
    <t>690048 Приморский край город Владивосток проспект 100-летия Владивостока дом 42А   помещение 03</t>
  </si>
  <si>
    <t>ЮЛ250901098800002</t>
  </si>
  <si>
    <t>690048 Приморский край город Владивосток проспект 100-летия Владивостока дом 42А   помещение 19</t>
  </si>
  <si>
    <t>ЮЛ250901098800003</t>
  </si>
  <si>
    <t>690000 Приморский край город Владивосток проспект Океанский 84   1</t>
  </si>
  <si>
    <t>ЮЛ250901098800004</t>
  </si>
  <si>
    <t>690091 Приморский край город Владивосток проспект Океанский дом 11   19</t>
  </si>
  <si>
    <t>ЮЛ250901098800005</t>
  </si>
  <si>
    <t>690013 Приморский край город Владивосток улица Трамвайная дом 14Б</t>
  </si>
  <si>
    <t>ЮЛ250901098800006</t>
  </si>
  <si>
    <t>690012 Приморский край город Владивосток улица Пихтовая дом 4А</t>
  </si>
  <si>
    <t>ЮЛ250901098800007</t>
  </si>
  <si>
    <t>690087 Приморский край город Владивосток улица Баляева дом 60   1</t>
  </si>
  <si>
    <t>ЮЛ250901098800008</t>
  </si>
  <si>
    <t>690039 Приморский край город Владивосток улица Кирова дом 19/2 2  1</t>
  </si>
  <si>
    <t>ЮЛ250901098800009</t>
  </si>
  <si>
    <t>690091 Приморский край город Владивосток улица Светланская дом 29  Б</t>
  </si>
  <si>
    <t>ЮЛ250901098800010</t>
  </si>
  <si>
    <t>690016 Приморский край город Владивосток улица Борисенко 30</t>
  </si>
  <si>
    <t>ЮЛ250901098800011</t>
  </si>
  <si>
    <t>690016 Приморский край город Владивосток улица Борисенко дом 2</t>
  </si>
  <si>
    <t>ООО "РЕГИОНАЛЬНО-ПРАВОВОЙ ЦЕНТР"</t>
  </si>
  <si>
    <t>2536317500</t>
  </si>
  <si>
    <t>ЮЛ2509031928</t>
  </si>
  <si>
    <t>ЮЛ250903192800000</t>
  </si>
  <si>
    <t>690013 Приморский край город Владивосток улица Луговая дом 18   113</t>
  </si>
  <si>
    <t>ИП Богданчикова Нина Валентиновна</t>
  </si>
  <si>
    <t>253696048478</t>
  </si>
  <si>
    <t>ИП2509004963</t>
  </si>
  <si>
    <t>ИП250900496300000</t>
  </si>
  <si>
    <t>690005 Приморский край город Владивосток Луговая 21а   320</t>
  </si>
  <si>
    <t>ИП250900496300001</t>
  </si>
  <si>
    <t>690005 Приморский край город Владивосток Луговая 21а   337</t>
  </si>
  <si>
    <t>ИП250900496300002</t>
  </si>
  <si>
    <t>690005 Приморский край город Владивосток улица Луговая 21А   208</t>
  </si>
  <si>
    <t>ИП Борисов Игорь Олегович</t>
  </si>
  <si>
    <t>253696812492</t>
  </si>
  <si>
    <t>ИП2509001198</t>
  </si>
  <si>
    <t>ИП250900119800000</t>
  </si>
  <si>
    <t>690091 Приморский край город Владивосток улица Семеновская дом 29</t>
  </si>
  <si>
    <t>ИП Лысик О.П.</t>
  </si>
  <si>
    <t>253697287479</t>
  </si>
  <si>
    <t>ИП2509003944</t>
  </si>
  <si>
    <t>ИП250900394400000</t>
  </si>
  <si>
    <t>690090 Приморский край город Владивосток улица Набережная зд. 13 строение 1</t>
  </si>
  <si>
    <t>ИП250900394400002</t>
  </si>
  <si>
    <t>690005 Приморский край город Владивосток улица Луговая дом 21А   328</t>
  </si>
  <si>
    <t>ИП Куценко Елена Владимировна</t>
  </si>
  <si>
    <t>253697686900</t>
  </si>
  <si>
    <t>ИП2509004993</t>
  </si>
  <si>
    <t>ИП250900499300000</t>
  </si>
  <si>
    <t>ИП Покрова Елена Борисовна</t>
  </si>
  <si>
    <t>253697767330</t>
  </si>
  <si>
    <t>ИП2509036723</t>
  </si>
  <si>
    <t>ИП250903672300000</t>
  </si>
  <si>
    <t>690005 Приморский край город Владивосток улица Луговая дом 22/26</t>
  </si>
  <si>
    <t>ИП Демидов Денис Вячеславович</t>
  </si>
  <si>
    <t>253698447823</t>
  </si>
  <si>
    <t>ИП2509012524</t>
  </si>
  <si>
    <t>ИП250901252400000</t>
  </si>
  <si>
    <t>690005 Приморский край город Владивосток улица Луговая дом 21А   329</t>
  </si>
  <si>
    <t>ИП Богданчиков Юрий Юрьевич</t>
  </si>
  <si>
    <t>253699241568</t>
  </si>
  <si>
    <t>ИП2509003374</t>
  </si>
  <si>
    <t>ИП250900337400000</t>
  </si>
  <si>
    <t>690000 Приморский край город Владивосток Луговая 18</t>
  </si>
  <si>
    <t>ИП250900337400001</t>
  </si>
  <si>
    <t>690039 Приморский край город Владивосток улица Русская дом 5   помещение 1</t>
  </si>
  <si>
    <t>ИП Степанов Андрей Владимирович</t>
  </si>
  <si>
    <t>253699250080</t>
  </si>
  <si>
    <t>ИП2509019433</t>
  </si>
  <si>
    <t>ИП250901943300000</t>
  </si>
  <si>
    <t>692372 Приморский край село Черниговка улица Октябрьская дом 70</t>
  </si>
  <si>
    <t>ИП Беркутова Нина Германовна</t>
  </si>
  <si>
    <t>253700385158</t>
  </si>
  <si>
    <t>ИП2509003408</t>
  </si>
  <si>
    <t>ИП250900340800002</t>
  </si>
  <si>
    <t>692582 Приморский край поселок городского типа Пограничный улица Ленина дом 48</t>
  </si>
  <si>
    <t>ИП250900340800003</t>
  </si>
  <si>
    <t>692390 Приморский край поселок городского типа Сибирцево улица Строительная дом 17</t>
  </si>
  <si>
    <t>ИП250900340800004</t>
  </si>
  <si>
    <t>692254 Приморский край село Хороль улица Ленинская дом 100</t>
  </si>
  <si>
    <t>ИП250900340800005</t>
  </si>
  <si>
    <t>690000 Приморский край город Владивосток Сахалинская 37</t>
  </si>
  <si>
    <t>ИП250900340800006</t>
  </si>
  <si>
    <t>690048 Приморский край город Владивосток проспект 100-летия Владивостока дом 39</t>
  </si>
  <si>
    <t>ИП Ишин Вениамин Евгеньевич</t>
  </si>
  <si>
    <t>253700482240</t>
  </si>
  <si>
    <t>ИП2509002995</t>
  </si>
  <si>
    <t>ИП250900299500000</t>
  </si>
  <si>
    <t>690039 Приморский край город Владивосток улица Русская дом 19А</t>
  </si>
  <si>
    <t>ИП Рахманенко Дина Алексеевна</t>
  </si>
  <si>
    <t>253700524531</t>
  </si>
  <si>
    <t>ИП2509007818</t>
  </si>
  <si>
    <t>ИП250900781800000</t>
  </si>
  <si>
    <t>ИП Рахманенко Елена Алексеевна</t>
  </si>
  <si>
    <t>253700524605</t>
  </si>
  <si>
    <t>ИП2509007865</t>
  </si>
  <si>
    <t>ИП250900786500000</t>
  </si>
  <si>
    <t>690091 Приморский край город Владивосток проспект Океанский дом 12</t>
  </si>
  <si>
    <t>ИП250900786500001</t>
  </si>
  <si>
    <t>690001 Приморский край город Владивосток улица Светланская дом 143</t>
  </si>
  <si>
    <t>ИП250900786500003</t>
  </si>
  <si>
    <t>692760 Приморский край город Артем улица Владимира Сайбеля дом 45</t>
  </si>
  <si>
    <t>ИП250900786500004</t>
  </si>
  <si>
    <t>690005 Приморский край город Владивосток улица Трамвайная дом 14 корпус Б  160</t>
  </si>
  <si>
    <t>ИП Сорогина Елена Александровна</t>
  </si>
  <si>
    <t>253700572905</t>
  </si>
  <si>
    <t>ИП2509002863</t>
  </si>
  <si>
    <t>ИП250900286300000</t>
  </si>
  <si>
    <t>690021 Приморский край город Владивосток улица Калинина дом 275   бутик 107/2</t>
  </si>
  <si>
    <t>ООО "АЛАКС"</t>
  </si>
  <si>
    <t>2537028621</t>
  </si>
  <si>
    <t>ЮЛ2509002109</t>
  </si>
  <si>
    <t>ЮЛ250900210900001</t>
  </si>
  <si>
    <t>ЮЛ250900210900002</t>
  </si>
  <si>
    <t>690091 Приморский край город Владивосток улица Светланская дом 23   павильон 22/2</t>
  </si>
  <si>
    <t>ЮЛ250900210900003</t>
  </si>
  <si>
    <t>690034 Приморский край город Владивосток улица Спортивная дом 4</t>
  </si>
  <si>
    <t>ЮЛ250900210900004</t>
  </si>
  <si>
    <t>690014 Приморский край город Владивосток проспект Красного Знамени дом 82</t>
  </si>
  <si>
    <t>ЮЛ250900210900005</t>
  </si>
  <si>
    <t>690109 Приморский край город Владивосток улица Нейбута дом 31   бутик 4/2</t>
  </si>
  <si>
    <t>ЮЛ250900210900006</t>
  </si>
  <si>
    <t>690002 Приморский край город Владивосток проспект Острякова дом 13   торговое место 1/20</t>
  </si>
  <si>
    <t>ИП Рамзин Дмитрий Александрович</t>
  </si>
  <si>
    <t>253705153802</t>
  </si>
  <si>
    <t>ИП2509004489</t>
  </si>
  <si>
    <t>ИП250900448900000</t>
  </si>
  <si>
    <t>690080 Приморский край город Владивосток улица Сахалинская дом 38</t>
  </si>
  <si>
    <t>ООО ЛОМБАРД "ГЕЛИОС"</t>
  </si>
  <si>
    <t>2537070292</t>
  </si>
  <si>
    <t>ЮЛ2509000160</t>
  </si>
  <si>
    <t>ЮЛ250900016000000</t>
  </si>
  <si>
    <t>690005 Приморский край город Владивосток улица Луговая дом 21А   336</t>
  </si>
  <si>
    <t>ИП Коваль Василий Федорович</t>
  </si>
  <si>
    <t>253709115607</t>
  </si>
  <si>
    <t>ИП2509041095</t>
  </si>
  <si>
    <t>ИП250904109500000</t>
  </si>
  <si>
    <t>690034 Приморский край Город Владивосток Улица Фадеева Дом 14А</t>
  </si>
  <si>
    <t>ИП Ишин Алексей Вениаминович</t>
  </si>
  <si>
    <t>253710893908</t>
  </si>
  <si>
    <t>ИП2509005677</t>
  </si>
  <si>
    <t>ИП250900567700000</t>
  </si>
  <si>
    <t>ИП Зорин Александр Викторович</t>
  </si>
  <si>
    <t>253713204970</t>
  </si>
  <si>
    <t>ИП2509000301</t>
  </si>
  <si>
    <t>ИП250900030100000</t>
  </si>
  <si>
    <t>690041 Приморский край город Владивосток улица Полетаева здание 6д   А 118/1</t>
  </si>
  <si>
    <t>ИП Авраменко Алена Анатольевна</t>
  </si>
  <si>
    <t>253803584652</t>
  </si>
  <si>
    <t>ИП2509005098</t>
  </si>
  <si>
    <t>ИП250900509800000</t>
  </si>
  <si>
    <t>690080 Приморский край город Владивосток улица Сахалинская дом 41  Г 102</t>
  </si>
  <si>
    <t>ИП Мараховская Светлана Анатольевна</t>
  </si>
  <si>
    <t>253810218801</t>
  </si>
  <si>
    <t>ИП2509013536</t>
  </si>
  <si>
    <t>ИП250901353600000</t>
  </si>
  <si>
    <t>690021 Приморский край город Владивосток улица Черемуховая дом 15   203</t>
  </si>
  <si>
    <t>ИП250901353600001</t>
  </si>
  <si>
    <t>690091 Приморский край город Владивосток улица Алеутская дом 27</t>
  </si>
  <si>
    <t>ИП Момот Дмитрий Николаевич</t>
  </si>
  <si>
    <t>253900859937</t>
  </si>
  <si>
    <t>ИП2509002480</t>
  </si>
  <si>
    <t>ИП250900248000001</t>
  </si>
  <si>
    <t>690039 Приморский край город Владивосток улица Русская дом 46</t>
  </si>
  <si>
    <t>ИП250900248000003</t>
  </si>
  <si>
    <t>690035 Приморский край город Владивосток улица Калинина дом 8</t>
  </si>
  <si>
    <t>ИП250900248000004</t>
  </si>
  <si>
    <t>692904 Приморский край город Находка улица Школьная дом 1Б</t>
  </si>
  <si>
    <t>ИП250900248000005</t>
  </si>
  <si>
    <t>690039 Приморский край город Владивосток улица Русская дом 2К</t>
  </si>
  <si>
    <t>ИП250900248000006</t>
  </si>
  <si>
    <t>692880 Приморский край город Фокино улица Клубная 15  А</t>
  </si>
  <si>
    <t>ИП250900248000007</t>
  </si>
  <si>
    <t>692802 Приморский край город Большой Камень улица Корабельная площадь дом 1</t>
  </si>
  <si>
    <t>ИП250900248000009</t>
  </si>
  <si>
    <t>692031 Приморский край город Лесозаводск Калининская 24</t>
  </si>
  <si>
    <t>ИП250900248000011</t>
  </si>
  <si>
    <t>692623 Приморский край село Чугуевка улица 50 лет Октября 65  А</t>
  </si>
  <si>
    <t>ИП250900248000012</t>
  </si>
  <si>
    <t>692778 Приморский край город Артем улица Ленина 6</t>
  </si>
  <si>
    <t>ИП250900248000013</t>
  </si>
  <si>
    <t>692331 Приморский край город Арсеньев улица Жуковского 39 1</t>
  </si>
  <si>
    <t>ИП250900248000014</t>
  </si>
  <si>
    <t>692481 Приморский край село Вольно-Надеждинское улица Пушкина 34  А</t>
  </si>
  <si>
    <t>ИП250900248000015</t>
  </si>
  <si>
    <t>ИП250900248000020</t>
  </si>
  <si>
    <t>690002 Приморский край город Владивосток проспект Океанский дом 135   офис 309</t>
  </si>
  <si>
    <t>ИП250900248000021</t>
  </si>
  <si>
    <t>690035 Приморский край Владивосток Калинина 8   389</t>
  </si>
  <si>
    <t>ИП250900248000022</t>
  </si>
  <si>
    <t>692500 Приморский край город Уссурийск Суханова 52</t>
  </si>
  <si>
    <t>ИП250900248000024</t>
  </si>
  <si>
    <t>692132 Приморский край город Дальнереченск улица Ленина дом 86</t>
  </si>
  <si>
    <t>ИП250900248000025</t>
  </si>
  <si>
    <t>690039 Приморский край город Владивосток улица Русская дом 44</t>
  </si>
  <si>
    <t>ИП250900248000026</t>
  </si>
  <si>
    <t>ИП Липова Лилия Вячеславовна</t>
  </si>
  <si>
    <t>253901223245</t>
  </si>
  <si>
    <t>ИП2509011576</t>
  </si>
  <si>
    <t>ИП250901157600000</t>
  </si>
  <si>
    <t>690089 Приморский край город Владивосток улица Мичуринская  дом 2   офис 16</t>
  </si>
  <si>
    <t>ИП Липкань Наталья Викторовна</t>
  </si>
  <si>
    <t>253901365289</t>
  </si>
  <si>
    <t>ИП2509000944</t>
  </si>
  <si>
    <t>ИП250900094400000</t>
  </si>
  <si>
    <t>690088 Приморский край город Владивосток улица Жигура дом 26  в 19</t>
  </si>
  <si>
    <t>ИП250900094400001</t>
  </si>
  <si>
    <t>690068 Приморский край город Владивосток улица Магнитогорская дом 11а   офис 1б</t>
  </si>
  <si>
    <t>ИП250900094400002</t>
  </si>
  <si>
    <t>690048 Приморский край город Владивосток проспект 100-летия Владивостока дом 42А   17</t>
  </si>
  <si>
    <t>ИП250900094400003</t>
  </si>
  <si>
    <t>690000 Приморский край город Владивосток ПОЛЕТАЕВА 6 Д</t>
  </si>
  <si>
    <t>ИП Ткач Ольга Васильевна</t>
  </si>
  <si>
    <t>253903055116</t>
  </si>
  <si>
    <t>ИП2509007871</t>
  </si>
  <si>
    <t>ИП250900787100000</t>
  </si>
  <si>
    <t>690005 Приморский край город Владивосток Луговая дом 21А   Нежилое помещение 74, 4 этаж</t>
  </si>
  <si>
    <t>ИП Веселков Виктор Анатольевич</t>
  </si>
  <si>
    <t>253904164372</t>
  </si>
  <si>
    <t>ИП2509010989</t>
  </si>
  <si>
    <t>ИП250901098900000</t>
  </si>
  <si>
    <t>690005 Приморский край город Владивосток Луговая дом 21А   бутик 423, ТК Луговая</t>
  </si>
  <si>
    <t>ИП250901098900001</t>
  </si>
  <si>
    <t>690005 Приморский край город Владивосток Луговая дом 21А   бутик 345, ТК Луговая</t>
  </si>
  <si>
    <t>ИП250901098900002</t>
  </si>
  <si>
    <t>690000 Приморский край город Владивосток Русская дом 16   Торговое место без номера, ТЦ "Березка"</t>
  </si>
  <si>
    <t>ИП250901098900003</t>
  </si>
  <si>
    <t>690000 Приморский край город Владивосток улица Нижнепортовая дом 1   помещение 231,232,233,234</t>
  </si>
  <si>
    <t>ИП Зыков Вячеслав Александрович</t>
  </si>
  <si>
    <t>253904334899</t>
  </si>
  <si>
    <t>ИП2509005840</t>
  </si>
  <si>
    <t>ИП250900584000000</t>
  </si>
  <si>
    <t>692486 Приморский край город Артем улица Фрунзе дом 65</t>
  </si>
  <si>
    <t>ИП250900584000004</t>
  </si>
  <si>
    <t>690000 Приморский край город Владивосток улица Луговая дом 21А   бутик  375</t>
  </si>
  <si>
    <t>ИП250900584000005</t>
  </si>
  <si>
    <t>690000 Приморский край город Владивосток улица Луговая дом 21А   помещение 33 лит. А</t>
  </si>
  <si>
    <t>ИП250900584000006</t>
  </si>
  <si>
    <t>690000 Приморский край город Владивосток улица Нижнепортовая дом 1   помещение № 136</t>
  </si>
  <si>
    <t>ИП250900584000007</t>
  </si>
  <si>
    <t>690002 Приморский край город Владивосток проспект Острякова дом 13   5-з пр.</t>
  </si>
  <si>
    <t>ИП250900584000009</t>
  </si>
  <si>
    <t>690035 Приморский край город Владивосток улица Окатовая дом 28</t>
  </si>
  <si>
    <t>ИП Богомазюк Вера Эдуардовна</t>
  </si>
  <si>
    <t>253907486265</t>
  </si>
  <si>
    <t>ИП2509008407</t>
  </si>
  <si>
    <t>ИП250900840700000</t>
  </si>
  <si>
    <t>692916 Приморский край город Владивосток улица Маяковского дом 145б строение 2</t>
  </si>
  <si>
    <t>ИП Рыбчак Анна Сергеевна</t>
  </si>
  <si>
    <t>253908789784</t>
  </si>
  <si>
    <t>ИП2509031808</t>
  </si>
  <si>
    <t>ИП250903180800000</t>
  </si>
  <si>
    <t>690105 Приморский край город Владивосток улица Русская дом 74А</t>
  </si>
  <si>
    <t>ИП Мамед-Заде Мибарис Маилович</t>
  </si>
  <si>
    <t>253910057682</t>
  </si>
  <si>
    <t>ИП2509002125</t>
  </si>
  <si>
    <t>ИП250900212500000</t>
  </si>
  <si>
    <t>690039 Приморский край город Владивосток улица Русская дом 42</t>
  </si>
  <si>
    <t>ИП250900212500003</t>
  </si>
  <si>
    <t>69005 Приморский край Владивосток Луговая  21 А  336</t>
  </si>
  <si>
    <t>ИП Воробьева Валерия Васильевна</t>
  </si>
  <si>
    <t>253912914773</t>
  </si>
  <si>
    <t>ИП2509034913</t>
  </si>
  <si>
    <t>ИП250903491300000</t>
  </si>
  <si>
    <t>ИП Закалюкина Г.Г.</t>
  </si>
  <si>
    <t>254005395117</t>
  </si>
  <si>
    <t>ИП2509007896</t>
  </si>
  <si>
    <t>ИП250900789600000</t>
  </si>
  <si>
    <t>ООО "ЛОМБАРД "ЗОЛОТОЙ ВЕЧЕР"</t>
  </si>
  <si>
    <t>2543124193</t>
  </si>
  <si>
    <t>ЮЛ2509003468</t>
  </si>
  <si>
    <t>ЮЛ250900346800001</t>
  </si>
  <si>
    <t>690005 Приморский край город Владивосток улица Луговая дом 21А   бутик 360</t>
  </si>
  <si>
    <t>ЮЛ250900346800005</t>
  </si>
  <si>
    <t>690005 Приморский край город Владивосток улица Луговая дом 21А   бутик 368</t>
  </si>
  <si>
    <t>ЮЛ250900346800011</t>
  </si>
  <si>
    <t>690002 Приморский край город Владивосток пр-кт Острякова дом 13   бутик 5-з лев.</t>
  </si>
  <si>
    <t>ЮЛ250900346800012</t>
  </si>
  <si>
    <t>690005 Приморский край город Владивосток улица Луговая дом 21А   бутик 370</t>
  </si>
  <si>
    <t>ЮЛ250900346800014</t>
  </si>
  <si>
    <t>690005 Приморский край город Владивосток улица Луговая дом 21А   бутик 374</t>
  </si>
  <si>
    <t>ЮЛ250900346800017</t>
  </si>
  <si>
    <t>ООО "ЛОМБАРД ПРИМОРЬЕ"</t>
  </si>
  <si>
    <t>2543134730</t>
  </si>
  <si>
    <t>ЮЛ2509008381</t>
  </si>
  <si>
    <t>ЮЛ250900838100000</t>
  </si>
  <si>
    <t>690048 Приморский край город Владивосток улица Ильичева дом 20   1</t>
  </si>
  <si>
    <t>ООО "СОФИЯ"</t>
  </si>
  <si>
    <t>2543164774</t>
  </si>
  <si>
    <t>ЮЛ2509031852</t>
  </si>
  <si>
    <t>ЮЛ250903185200000</t>
  </si>
  <si>
    <t>692760 Приморский край город Артем улица Кирова дом 16</t>
  </si>
  <si>
    <t>ЮЛ250903185200001</t>
  </si>
  <si>
    <t>692760 Приморский край город Артем площадь Ленина дом 8   30</t>
  </si>
  <si>
    <t>ЮЛ250903185200002</t>
  </si>
  <si>
    <t>ЮЛ250903185200003</t>
  </si>
  <si>
    <t>690105 Приморский край Владивосток Липовая 7 А  314</t>
  </si>
  <si>
    <t>ООО "АЛЛЕЛИ"</t>
  </si>
  <si>
    <t>2543189521</t>
  </si>
  <si>
    <t>ЮЛ2509039159</t>
  </si>
  <si>
    <t>ЮЛ250903915900000</t>
  </si>
  <si>
    <t>692132 Приморский край город Дальнереченск улица Ленина дом 75</t>
  </si>
  <si>
    <t>ИП270901193700004</t>
  </si>
  <si>
    <t>692525 Приморский край город Уссурийск улица Некрасова дом 82А   нежилое помещение № 37, часть помещений № 36, 38</t>
  </si>
  <si>
    <t>ООО "ЛОМБАРД ГЦР"</t>
  </si>
  <si>
    <t>2721096951</t>
  </si>
  <si>
    <t>ЮЛ2709000047</t>
  </si>
  <si>
    <t>ЮЛ270900004700012</t>
  </si>
  <si>
    <t>690091 Приморский край город Владивосток улица Светланская дом 53</t>
  </si>
  <si>
    <t>ЮЛ270900211200001</t>
  </si>
  <si>
    <t>692342 Приморский край город Арсеньев улица Калининская дом 26</t>
  </si>
  <si>
    <t>ЮЛ270900211200003</t>
  </si>
  <si>
    <t>692441 Приморский край город Дальнегорск проспект 50 лет Октября дом 57</t>
  </si>
  <si>
    <t>ЮЛ270900211200013</t>
  </si>
  <si>
    <t>692760 Приморский край город Артем улица Кирова дом 1</t>
  </si>
  <si>
    <t>ЮЛ270900211200018</t>
  </si>
  <si>
    <t>ЮЛ270900211200022</t>
  </si>
  <si>
    <t>692806 Приморский край город Большой Камень улица Аллея Труда дом 35А</t>
  </si>
  <si>
    <t>ЮЛ270900211200023</t>
  </si>
  <si>
    <t>692001 Приморский край поселок городского типа Лучегорск микрорайон 2-й дом 1</t>
  </si>
  <si>
    <t>ЮЛ270900211200024</t>
  </si>
  <si>
    <t>692519 Приморский край город Уссурийск улица Плеханова здание 61</t>
  </si>
  <si>
    <t>ЮЛ270900211200025</t>
  </si>
  <si>
    <t>690012 Приморский край город Владивосток улица Калинина дом 275 корпус 1 литера В</t>
  </si>
  <si>
    <t>ЮЛ270900211200026</t>
  </si>
  <si>
    <t>690039 Приморский край город Владивосток улица Русская дом 16</t>
  </si>
  <si>
    <t>ЮЛ270900211200027</t>
  </si>
  <si>
    <t>690048 Приморский край город Владивосток проспект 100-летия Владивостока дом 43</t>
  </si>
  <si>
    <t>ЮЛ270900211200028</t>
  </si>
  <si>
    <t>ЮЛ270900211200029</t>
  </si>
  <si>
    <t>692880 Приморский край город Фокино улица Клубная дом 15А</t>
  </si>
  <si>
    <t>ЮЛ270900211200030</t>
  </si>
  <si>
    <t>692031 Приморский край город Лесозаводск улица Пушкинская дом 31А</t>
  </si>
  <si>
    <t>ЮЛ270900211200031</t>
  </si>
  <si>
    <t>690091 Приморский край город Владивосток улица Светланская дом 29  литера Б</t>
  </si>
  <si>
    <t>ЮЛ270900211200034</t>
  </si>
  <si>
    <t>692413 Приморский край поселок городского типа Кавалерово улица Арсеньева дом 80</t>
  </si>
  <si>
    <t>ЮЛ270900211200039</t>
  </si>
  <si>
    <t>692132 Приморский край город Дальнереченск улица Ленина дом 71</t>
  </si>
  <si>
    <t>ЮЛ270900211200040</t>
  </si>
  <si>
    <t>692245 Приморский край город Спасск-Дальний улица Советская дом 45</t>
  </si>
  <si>
    <t>ЮЛ270900211200041</t>
  </si>
  <si>
    <t>ЮЛ270900211200042</t>
  </si>
  <si>
    <t>692918 Приморский край город Находка улица Дзержинского дом 40</t>
  </si>
  <si>
    <t>ЮЛ270900211200043</t>
  </si>
  <si>
    <t>692864 Приморский край город Партизанск улица Центральная дом 1В</t>
  </si>
  <si>
    <t>ЮЛ270900211200044</t>
  </si>
  <si>
    <t>692701 Приморский край поселок городского типа Славянка улица 50 лет Октября дом 1</t>
  </si>
  <si>
    <t>ЮЛ270900211200047</t>
  </si>
  <si>
    <t>692519 Приморский край город Уссурийск улица Чичерина дом 58</t>
  </si>
  <si>
    <t>ЮЛ270900211200057</t>
  </si>
  <si>
    <t>690091 Приморский край город Владивосток улица Алеутская дом 25</t>
  </si>
  <si>
    <t>ЮЛ270900211200060</t>
  </si>
  <si>
    <t>692918 Приморский край город Находка проспект Мира дом 51</t>
  </si>
  <si>
    <t>ЮЛ270900211200061</t>
  </si>
  <si>
    <t>690912 Приморский край поселок Трудовое  улица Лермонтова дом 77Б</t>
  </si>
  <si>
    <t>ЮЛ270900211200062</t>
  </si>
  <si>
    <t>690005 Приморский край город Владивосток улица Луговая дом 18</t>
  </si>
  <si>
    <t>ЮЛ270900211200063</t>
  </si>
  <si>
    <t>692481 Приморский край село Вольно-Надеждинское улица Пушкина дом 32</t>
  </si>
  <si>
    <t>ЮЛ270900211200065</t>
  </si>
  <si>
    <t>690021 Приморский край город Владивосток улица Черемуховая дом 15   помещение 328</t>
  </si>
  <si>
    <t>ЮЛ270900211200081</t>
  </si>
  <si>
    <t>ИП270900018300003</t>
  </si>
  <si>
    <t>692525 Приморский край город Уссурийск улица Некрасова дом 82а   1 этаж , помещения №№ 30,31,32,33,31,35,39,40,41 , часть помещений №№ 36,38</t>
  </si>
  <si>
    <t>ИП Коробко Сергей Алексеевич</t>
  </si>
  <si>
    <t>272700121614</t>
  </si>
  <si>
    <t>ИП7701032348</t>
  </si>
  <si>
    <t>ИП770103234800003</t>
  </si>
  <si>
    <t>692512 Приморский край город Уссурийск улица Дзержинского здание 93б   1 этаж</t>
  </si>
  <si>
    <t>ИП770103234800005</t>
  </si>
  <si>
    <t>690000 Приморский край город Владивосток улица Полетаева здание 6Д   помещение №В147а</t>
  </si>
  <si>
    <t>ЮЛ520603376600063</t>
  </si>
  <si>
    <t>690000 Приморский край город Владивосток улица Калинина дом 8</t>
  </si>
  <si>
    <t>ЮЛ520603376600064</t>
  </si>
  <si>
    <t>690039 Приморский край город Владивосток улица Русская дом 19В ТЦ "Европейский"  1 этаж, бут.110</t>
  </si>
  <si>
    <t>ИП770101425100002</t>
  </si>
  <si>
    <t>690035 Приморский край город Владивосток улица Калинина дом 8 4этаж, бутик 2-39</t>
  </si>
  <si>
    <t>ИП770101425100003</t>
  </si>
  <si>
    <t>690091 Приморский край город Владивосток улица Светланская дом 29 лит Б 1 этаж бут 8</t>
  </si>
  <si>
    <t>ИП770101425100011</t>
  </si>
  <si>
    <t>690021 Приморский край город Владивосток улица Запорожская дом 77   2этаж бут201</t>
  </si>
  <si>
    <t>ИП770101425100012</t>
  </si>
  <si>
    <t>690091 Приморский край город Владивосток проспект Океанский дом 8</t>
  </si>
  <si>
    <t>ИП770101425100024</t>
  </si>
  <si>
    <t>690041 Приморский край город Владивосток улица Полетаева дом 6д   бут А113</t>
  </si>
  <si>
    <t>ИП770101425100028</t>
  </si>
  <si>
    <t>692900 Приморский край город Находка проспект Мира 65 6</t>
  </si>
  <si>
    <t>ИП770101425100034</t>
  </si>
  <si>
    <t>692500 Приморский край город Уссурийск Суханова 52  2 этаж</t>
  </si>
  <si>
    <t>ИП770101425100035</t>
  </si>
  <si>
    <t>690091 Приморский край город Владивосток улица Корабельная Набережная дом 10   119</t>
  </si>
  <si>
    <t>ООО "ЮВЕЛИРНЫЙ ДОМ "МОИСЕЙКИН"</t>
  </si>
  <si>
    <t>6674313794</t>
  </si>
  <si>
    <t>ЮЛ6607000774</t>
  </si>
  <si>
    <t>ЮЛ660700077400002</t>
  </si>
  <si>
    <t>690091 Приморский край город Владивосток улица Уборевича дом 11</t>
  </si>
  <si>
    <t>ЮЛ660701304200014</t>
  </si>
  <si>
    <t>690041 Приморский край город Владивосток улица Полетаева дом 6д</t>
  </si>
  <si>
    <t>ЮЛ770100419400208</t>
  </si>
  <si>
    <t>690091 Приморский край город Владивосток улица Светланская дом 31</t>
  </si>
  <si>
    <t>ЮЛ770100419400227</t>
  </si>
  <si>
    <t>690035 Приморский край город Владивосток улица Калинина дом 8   помещение №460</t>
  </si>
  <si>
    <t>ЮЛ770100419400246</t>
  </si>
  <si>
    <t>692924 Приморский край город Находка улица Спортивная дом 2   1 (первый) этаж, помещения № 251, 252</t>
  </si>
  <si>
    <t>ЮЛ770100193500349</t>
  </si>
  <si>
    <t>692519 Приморский край город Уссурийск улица Суханова дом 52   помещение № 207</t>
  </si>
  <si>
    <t>ЮЛ770100193500352</t>
  </si>
  <si>
    <t>690091 Приморский край город Владивосток улица Светланская дом 45  литера 3</t>
  </si>
  <si>
    <t>ЮЛ770100193500353</t>
  </si>
  <si>
    <t>690021 Приморский край город Владивосток улица Черемуховая дом 15   помещение № 13</t>
  </si>
  <si>
    <t>ЮЛ770100193500354</t>
  </si>
  <si>
    <t>690037 Приморский край город Владивосток улица Ладыгина 3   этаж 1, помещение № 7</t>
  </si>
  <si>
    <t>ЮЛ770100193500481</t>
  </si>
  <si>
    <t>690039 Приморский край город Владивосток улица Русская дом 44   нежилое помещение, этаж 1 (первый)</t>
  </si>
  <si>
    <t>ЮЛ770100193500556</t>
  </si>
  <si>
    <t>690090 Приморский край город Владивосток улица Алеутская дом 25   нежилое помещение, этаж 2 (второй)</t>
  </si>
  <si>
    <t>ЮЛ770100193500592</t>
  </si>
  <si>
    <t>692512 Приморский край город Уссурийск улица Дзержинского здание 93б   этаж 1 (первый)</t>
  </si>
  <si>
    <t>ЮЛ770100193500650</t>
  </si>
  <si>
    <t>690035 Приморский край город Владивосток улица Калинина дом 8   часть помещения 2-О4, этаж 4 (четвертый)</t>
  </si>
  <si>
    <t>ЮЛ770100193500785</t>
  </si>
  <si>
    <t>692756 Приморский край город Артем улица Фрунзе дом 32а   помещение № 204, этаж 2 (второй)</t>
  </si>
  <si>
    <t>ЮЛ770100193501006</t>
  </si>
  <si>
    <t>ЮЛ780300308200141</t>
  </si>
  <si>
    <t>692924 Приморский край город Находка улица Спортивная дом 2   нежилое помещение 261</t>
  </si>
  <si>
    <t>ЮЛ780300308200255</t>
  </si>
  <si>
    <t>692512 Приморский край город Уссурийск улица Дзержинского здание 93б</t>
  </si>
  <si>
    <t>ЮЛ780300308200362</t>
  </si>
  <si>
    <t>690041 Приморский край город Владивосток улица Полетаева дом 6Д   нежилое помещение (открытая торговая площадь) № А112/3 (часть помещения с номером на поэтажном плане 1)</t>
  </si>
  <si>
    <t>ЮЛ780300308201201</t>
  </si>
  <si>
    <t>692756 Приморский край город Артем улица Фрунзе дом 32А   нежилое помещение №211</t>
  </si>
  <si>
    <t>ЮЛ780300308201210</t>
  </si>
  <si>
    <t>690039 Приморский край город Владивосток улица Русская дом 2к   часть здания, имеющая условный номер №9 (номер на поэтажном плане 10,ЧЗЗ)</t>
  </si>
  <si>
    <t>ЮЛ780300308201220</t>
  </si>
  <si>
    <t>690078 Приморский край город Владивосток улица Комсомольская дом 13   этаж 2</t>
  </si>
  <si>
    <t>ИП Кацман Жанна Викторовна</t>
  </si>
  <si>
    <t>790101248170</t>
  </si>
  <si>
    <t>ИП7909015111</t>
  </si>
  <si>
    <t>ИП790901511100000</t>
  </si>
  <si>
    <t>690003 Приморский край город Владивосток улица Верхнепортовая дом 46   комната 504</t>
  </si>
  <si>
    <t>ЮЛ770100029500008</t>
  </si>
  <si>
    <t>Псковская область</t>
  </si>
  <si>
    <t>182100 Псковская область город Великие Луки улица Вокзальная дом 11</t>
  </si>
  <si>
    <t>ЮЛ520603376600057</t>
  </si>
  <si>
    <t>180559 Псковская область деревня Борисовичи улица Завеличенская дом 23</t>
  </si>
  <si>
    <t>ЮЛ520603376600070</t>
  </si>
  <si>
    <t>182840 Псковская область рабочий поселок Бежаницы улица Советская дом 26</t>
  </si>
  <si>
    <t>БЕЖАНИЦКОЕ РАЙПО</t>
  </si>
  <si>
    <t>6001000149</t>
  </si>
  <si>
    <t>ЮЛ6003013702</t>
  </si>
  <si>
    <t>ЮЛ600301370200000</t>
  </si>
  <si>
    <t>182710 Псковская область рабочий поселок Дедовичи улица Комсомольская дом 13   Помещение 1002</t>
  </si>
  <si>
    <t>ЮЛ600301370200001</t>
  </si>
  <si>
    <t>182840 Псковская область рабочий поселок Бежаницы улица Смольная дом 6</t>
  </si>
  <si>
    <t>ЮЛ600301370200002</t>
  </si>
  <si>
    <t>182670 Псковская область город Дно улица Космонавтов дом 26   помещение 8</t>
  </si>
  <si>
    <t>ИП Чеботарев Александр Филиппович</t>
  </si>
  <si>
    <t>600500115038</t>
  </si>
  <si>
    <t>ИП6003002284</t>
  </si>
  <si>
    <t>ИП600300228400000</t>
  </si>
  <si>
    <t>182250 Псковская область город Себеж улица 7 Ноября дом 13   помещение 2</t>
  </si>
  <si>
    <t>ИП600300228400001</t>
  </si>
  <si>
    <t>181370 Псковская область рабочий поселок Пушкинские Горы улица Ленина дом 30   помещение 1001</t>
  </si>
  <si>
    <t>ИП600300228400003</t>
  </si>
  <si>
    <t>181350 Псковская область город Остров улица 1 Мая дом 19а   1 этаж</t>
  </si>
  <si>
    <t>ИП600300228400005</t>
  </si>
  <si>
    <t>182500 Псковская область город Невель улица Ленина дом 27   помещение 2</t>
  </si>
  <si>
    <t>ИП Шарыпова Наталья Анатольевна</t>
  </si>
  <si>
    <t>600500707563</t>
  </si>
  <si>
    <t>ИП6003036042</t>
  </si>
  <si>
    <t>ИП600303604200000</t>
  </si>
  <si>
    <t>182711 Псковская область поселок городского типа Дедовичи улица Октябрьская дом 21А</t>
  </si>
  <si>
    <t>ИП Веселов Максим Сергеевич</t>
  </si>
  <si>
    <t>600500801830</t>
  </si>
  <si>
    <t>ИП6003003008</t>
  </si>
  <si>
    <t>ИП600300300800000</t>
  </si>
  <si>
    <t>182200 Псковская область город Новосокольники улица Партизанская дом 7   помещение 5</t>
  </si>
  <si>
    <t>ИП Непряхина Елена Александровна</t>
  </si>
  <si>
    <t>601101709024</t>
  </si>
  <si>
    <t>ИП6003016775</t>
  </si>
  <si>
    <t>ИП600301677500000</t>
  </si>
  <si>
    <t>182330 Псковская область Опочка Коммунальная 4б</t>
  </si>
  <si>
    <t>ИП Александрова Ирина Михайловна</t>
  </si>
  <si>
    <t>601200004346</t>
  </si>
  <si>
    <t>ИП6003016964</t>
  </si>
  <si>
    <t>ИП600301696400000</t>
  </si>
  <si>
    <t>182330 Псковская область город Опочка Улица Красных командировдиров Дом 7 - - -</t>
  </si>
  <si>
    <t>ИП Волкова И.К.</t>
  </si>
  <si>
    <t>601200912309</t>
  </si>
  <si>
    <t>ИП6003008049</t>
  </si>
  <si>
    <t>ИП600300804900000</t>
  </si>
  <si>
    <t>182330 Псковская область город Опочка улица Коммунальная дом 16А</t>
  </si>
  <si>
    <t>ИП Доронина Н.В.</t>
  </si>
  <si>
    <t>601201817270</t>
  </si>
  <si>
    <t>ИП6003013101</t>
  </si>
  <si>
    <t>ИП600301310100000</t>
  </si>
  <si>
    <t>181350 Псковская область город Остров улица 1 Мая дом 3</t>
  </si>
  <si>
    <t>ИП Гукова Марина Владимировна</t>
  </si>
  <si>
    <t>601300108807</t>
  </si>
  <si>
    <t>ИП6003000554</t>
  </si>
  <si>
    <t>ИП600300055400000</t>
  </si>
  <si>
    <t>181350 Псковская область Город Остров Улица Спартака Дом 17   Квартира 5</t>
  </si>
  <si>
    <t>ИП Бабиев Михаил Михайлович</t>
  </si>
  <si>
    <t>601327939573</t>
  </si>
  <si>
    <t>ИП6003034112</t>
  </si>
  <si>
    <t>ИП600303411200000</t>
  </si>
  <si>
    <t>182620 Псковская область город Порхов проспект Ленина дом 6   помещение 1005</t>
  </si>
  <si>
    <t>ИП Меркульев Артур Валерьевич</t>
  </si>
  <si>
    <t>601700002072</t>
  </si>
  <si>
    <t>ИП6003013174</t>
  </si>
  <si>
    <t>ИП600301317400000</t>
  </si>
  <si>
    <t>182620 Псковская область город Порхов проспект Ленина дом 1   1013</t>
  </si>
  <si>
    <t>ПОРХОВСКОЕ РАЙПО</t>
  </si>
  <si>
    <t>6017000634</t>
  </si>
  <si>
    <t>ЮЛ6003031547</t>
  </si>
  <si>
    <t>ЮЛ600303154700000</t>
  </si>
  <si>
    <t>182113 Псковская область город Великие Луки проспект Ленина дом 34   1008</t>
  </si>
  <si>
    <t>ИП Баева Елена Валентиновна</t>
  </si>
  <si>
    <t>602500101906</t>
  </si>
  <si>
    <t>ИП6003004120</t>
  </si>
  <si>
    <t>ИП600300412000000</t>
  </si>
  <si>
    <t>182110 Псковская область Великие Луки Проспект Ленина 40/33   Помещение 1001</t>
  </si>
  <si>
    <t>ИП Слесарева Елена Васильевна</t>
  </si>
  <si>
    <t>602500326522</t>
  </si>
  <si>
    <t>ИП6003004216</t>
  </si>
  <si>
    <t>ИП600300421600000</t>
  </si>
  <si>
    <t>182113 Псковская область город Великие Луки Проспект Ленина дом 34   помещение 1010</t>
  </si>
  <si>
    <t>ООО "ДИОН"</t>
  </si>
  <si>
    <t>6025014091</t>
  </si>
  <si>
    <t>ЮЛ6003015675</t>
  </si>
  <si>
    <t>ЮЛ600301567500002</t>
  </si>
  <si>
    <t>182110 Псковская область город Великие Луки улица Л.Толстого дом 29     помещение №1002</t>
  </si>
  <si>
    <t>ООО "ЭЛИТОН-ПЛЮС"</t>
  </si>
  <si>
    <t>6025016155</t>
  </si>
  <si>
    <t>ЮЛ6003014812</t>
  </si>
  <si>
    <t>ЮЛ600301481200000</t>
  </si>
  <si>
    <t>182113 Псковская область город Великие Луки проспект Ленина дом 33/14   помещение  V</t>
  </si>
  <si>
    <t>ЮЛ600301481200004</t>
  </si>
  <si>
    <t>182110 Псковская область город Великие Луки проспект Октябрьский дом 27А   помещение 1005</t>
  </si>
  <si>
    <t>ООО "ЮВЕЛИР-КАРАТ" ВЕЛИКИЕ ЛУКИ"</t>
  </si>
  <si>
    <t>6025041970</t>
  </si>
  <si>
    <t>ЮЛ6003003770</t>
  </si>
  <si>
    <t>ЮЛ600300377000000</t>
  </si>
  <si>
    <t>182111 Псковская область город Великие Луки улица Малышева дом 33   помещение 2001 ком 4</t>
  </si>
  <si>
    <t>ООО "ЛОГИСТИК ЭКСПОРТ"</t>
  </si>
  <si>
    <t>6025047121</t>
  </si>
  <si>
    <t>ЮЛ6003035644</t>
  </si>
  <si>
    <t>ЮЛ600303564400000</t>
  </si>
  <si>
    <t>180004 Псковская область город Псков проспект Октябрьский дом 54   пом 1048</t>
  </si>
  <si>
    <t>ИП Павлова Елена Геннадьевна</t>
  </si>
  <si>
    <t>602700184949</t>
  </si>
  <si>
    <t>ИП6003011225</t>
  </si>
  <si>
    <t>ИП600301122500000</t>
  </si>
  <si>
    <t>180016 Псковская область город Псков проспект Рижский 41 магазин "Корона-Д"</t>
  </si>
  <si>
    <t>ИП Дик Дмитрий Викторович</t>
  </si>
  <si>
    <t>602700769930</t>
  </si>
  <si>
    <t>ИП6003002005</t>
  </si>
  <si>
    <t>ИП600300200500000</t>
  </si>
  <si>
    <t>180016 Псковская область город Псков проспект Рижский дом 41 магазин "Корона-Д"</t>
  </si>
  <si>
    <t>ИП Федорова Елена Борисовна</t>
  </si>
  <si>
    <t>602700834548</t>
  </si>
  <si>
    <t>ИП6003032690</t>
  </si>
  <si>
    <t>ИП600303269000000</t>
  </si>
  <si>
    <t>180000 Псковская область г. Псков ул. Советская д. 48   пом. 1002</t>
  </si>
  <si>
    <t>ИП Семенова Елена Анатольевна</t>
  </si>
  <si>
    <t>602702370556</t>
  </si>
  <si>
    <t>ИП6003032008</t>
  </si>
  <si>
    <t>ИП600303200800000</t>
  </si>
  <si>
    <t>180007 Псковская область город Псков улица Максима Горького дом 29   помещение 1001</t>
  </si>
  <si>
    <t>ИП Барский Сергей Геннадьевич</t>
  </si>
  <si>
    <t>602705468648</t>
  </si>
  <si>
    <t>ИП6003008188</t>
  </si>
  <si>
    <t>ИП600300818800000</t>
  </si>
  <si>
    <t>180024 Псковская область город Псков улица Коммунальная 41</t>
  </si>
  <si>
    <t>ИП Емельянова Елена Владимировна</t>
  </si>
  <si>
    <t>602706871031</t>
  </si>
  <si>
    <t>ИП6003011792</t>
  </si>
  <si>
    <t>ИП600301179200000</t>
  </si>
  <si>
    <t>180000 Псковская область город Псков улица Кремль дом 6</t>
  </si>
  <si>
    <t>ИП Иванов Дмитрий Викторович</t>
  </si>
  <si>
    <t>602708352000</t>
  </si>
  <si>
    <t>ИП6003012784</t>
  </si>
  <si>
    <t>ИП600301278400000</t>
  </si>
  <si>
    <t>180024 Псковская область деревня Борисовичи улица Завеличенская дом 23</t>
  </si>
  <si>
    <t>ООО "ФОРВАРД-АВТО"</t>
  </si>
  <si>
    <t>6027105107</t>
  </si>
  <si>
    <t>ЮЛ6003009807</t>
  </si>
  <si>
    <t>ЮЛ600300980700000</t>
  </si>
  <si>
    <t>180024 Псковская область город Псков улица Коммунальная дом 48</t>
  </si>
  <si>
    <t>ИП Кисловская Оксана Васильевна</t>
  </si>
  <si>
    <t>602714324113</t>
  </si>
  <si>
    <t>ИП6003016019</t>
  </si>
  <si>
    <t>ИП600301601900000</t>
  </si>
  <si>
    <t>180000 Псковская область город Псков проспект Октябрьский дом 44   1001</t>
  </si>
  <si>
    <t>ООО "ЮВЕЛИР-КАРАТ" ПСКОВ"</t>
  </si>
  <si>
    <t>6027158613</t>
  </si>
  <si>
    <t>ЮЛ6003002210</t>
  </si>
  <si>
    <t>ЮЛ600300221000000</t>
  </si>
  <si>
    <t>181500 Псковская область город Печоры площадь Октябрьская дом 6</t>
  </si>
  <si>
    <t>ИП Зазулинас Евгениюс</t>
  </si>
  <si>
    <t>603702292109</t>
  </si>
  <si>
    <t>ИП6003012174</t>
  </si>
  <si>
    <t>ИП600301217400000</t>
  </si>
  <si>
    <t>182100 Псковская область город Великие Луки Улица Вокзальная Дом 11   павильон 41</t>
  </si>
  <si>
    <t>ИП Якубов Дмитрий Владимирович</t>
  </si>
  <si>
    <t>672902760163</t>
  </si>
  <si>
    <t>ИП6701005189</t>
  </si>
  <si>
    <t>ИП670100518900000</t>
  </si>
  <si>
    <t>182100 Псковская область город Великие Луки улица Некрасова дом 18/7   помещение 202</t>
  </si>
  <si>
    <t>ИП670100518900002</t>
  </si>
  <si>
    <t>182110 Псковская область город Великие Луки улица Комсомольца Зверева дом 30/25   павильон 33</t>
  </si>
  <si>
    <t>ИП670100518900003</t>
  </si>
  <si>
    <t>180024 Псковская область город Псков улица Юбилейная дом 68   помещение 105</t>
  </si>
  <si>
    <t>ИП670100518900006</t>
  </si>
  <si>
    <t>180024 Псковская область город Псков улица Кузбасской Дивизии дом 19   помещение А32</t>
  </si>
  <si>
    <t>ЮЛ760201190700036</t>
  </si>
  <si>
    <t>180024 Псковская область город Псков улица Юбилейная дом 68   этаж 1</t>
  </si>
  <si>
    <t>ЮЛ770101216600251</t>
  </si>
  <si>
    <t>180024 Псковская область деревня Борисовичи улица Завеличенская дом 23   этаж 1</t>
  </si>
  <si>
    <t>ЮЛ770101216600361</t>
  </si>
  <si>
    <t>180024 Псковская область город Псков улица Кузбасской Дивизии дом 19   1 этаж, нежилое помещение № А8</t>
  </si>
  <si>
    <t>ЮЛ770101216600823</t>
  </si>
  <si>
    <t>180024 Псковская область город Псков улица Коммунальная дом 41</t>
  </si>
  <si>
    <t>ЮЛ770100419400114</t>
  </si>
  <si>
    <t>180024 Псковская область город Псков улица Кузбасской Дивизии дом 19   помещение А5</t>
  </si>
  <si>
    <t>ЮЛ770100419400121</t>
  </si>
  <si>
    <t>182115 Псковская область город Великие Луки улица Вокзальная дом 11   первый этаж</t>
  </si>
  <si>
    <t>ЮЛ770100193500225</t>
  </si>
  <si>
    <t>180024 Псковская область город Псков улица Юбилейная дом 68</t>
  </si>
  <si>
    <t>ЮЛ770100193500226</t>
  </si>
  <si>
    <t>180000 Псковская область город Псков проспект Октябрьский дом 22   пом. 1018</t>
  </si>
  <si>
    <t>ЮЛ780300328000073</t>
  </si>
  <si>
    <t>180000 Псковская область город Псков улица Советская дом 9   Пом 1008 магазин "Алмаз"</t>
  </si>
  <si>
    <t>ЮЛ780300179700010</t>
  </si>
  <si>
    <t>180000 Псковская область город Псков проспект Октябрьский дом 22</t>
  </si>
  <si>
    <t>ЮЛ780300323500014</t>
  </si>
  <si>
    <t>182110 Псковская область город Великие Луки проспект Ленина дом 48   помещение 1003</t>
  </si>
  <si>
    <t>ЮЛ780300323500052</t>
  </si>
  <si>
    <t>180016 Псковская область город Псков проспект Рижский дом 41</t>
  </si>
  <si>
    <t>ЮЛ780300323500121</t>
  </si>
  <si>
    <t>ЮЛ780300323500122</t>
  </si>
  <si>
    <t>182110 Псковская область город Великие Луки проспект Ленина дом 42/34   помещение 1007</t>
  </si>
  <si>
    <t>ЮЛ780300308200043</t>
  </si>
  <si>
    <t>180024 Псковская область город Псков улица Кузбасской Дивизии дом 19</t>
  </si>
  <si>
    <t>ЮЛ780300308200052</t>
  </si>
  <si>
    <t>180000 Псковская область город Псков проспект Октябрьский дом 22   помещение 1018</t>
  </si>
  <si>
    <t>ЮЛ780300308200192</t>
  </si>
  <si>
    <t>ЮЛ780300308200238</t>
  </si>
  <si>
    <t>180016 Псковская область город Псков проспект Рижский дом 41   помещение 1001</t>
  </si>
  <si>
    <t>ЮЛ780300308201067</t>
  </si>
  <si>
    <t>ЮЛ780300363500074</t>
  </si>
  <si>
    <t>ЮЛ780300363500189</t>
  </si>
  <si>
    <t>ЮЛ780300363500190</t>
  </si>
  <si>
    <t>ЮЛ780300363500191</t>
  </si>
  <si>
    <t>Республика Адыгея</t>
  </si>
  <si>
    <t>385000 Республика Адыгея город Майкоп Гоголя/Крестьянская 49/203   помещение 2</t>
  </si>
  <si>
    <t>ЮЛ010403538100000</t>
  </si>
  <si>
    <t>385600 Республика Адыгея станица Гиагинская улица Красная 266К</t>
  </si>
  <si>
    <t>ИП Журкина Татьяна Георгиевна</t>
  </si>
  <si>
    <t>10100310700</t>
  </si>
  <si>
    <t>ИП0104035044</t>
  </si>
  <si>
    <t>ИП010403504400000</t>
  </si>
  <si>
    <t>385730 Республика Адыгея поселок Тульский улица Комсомольская дом 21   помещение 2</t>
  </si>
  <si>
    <t>104013276</t>
  </si>
  <si>
    <t>ЮЛ0104004864</t>
  </si>
  <si>
    <t>ЮЛ010400486400000</t>
  </si>
  <si>
    <t>385019 Республика Адыгея город Майкоп улица Шоссейная дом 22   квартира 36</t>
  </si>
  <si>
    <t>ЮЛ010400486400001</t>
  </si>
  <si>
    <t>385000 Республика Адыгея город Майкоп улица Краснооктябрьская дом 36 строение 3  помещение 2</t>
  </si>
  <si>
    <t>ЮЛ010400486400002</t>
  </si>
  <si>
    <t>385000 Республика Адыгея город Майкоп улица Краснооктябрьская дом 40</t>
  </si>
  <si>
    <t>ИП Чупейда Александр Александрович</t>
  </si>
  <si>
    <t>10500068500</t>
  </si>
  <si>
    <t>ИП0104000954</t>
  </si>
  <si>
    <t>ИП010400095400000</t>
  </si>
  <si>
    <t>385000 Республика Адыгея город Майкоп улица Депутатская дом 14</t>
  </si>
  <si>
    <t>ИП010400095400001</t>
  </si>
  <si>
    <t>385000 Республика Адыгея город Майкоп Депутатская 14</t>
  </si>
  <si>
    <t>ИП010400095400003</t>
  </si>
  <si>
    <t>385000 Республика Адыгея город Майкоп улица Пролетарская/Краснооктябрьская дом 225/29 - - пом. 8</t>
  </si>
  <si>
    <t>ИП010400626100000</t>
  </si>
  <si>
    <t>385000 Республика Адыгея город Майкоп улица Пролетарская дом 210 - - место №МЗ-ПО44.2</t>
  </si>
  <si>
    <t>ИП010400626100007</t>
  </si>
  <si>
    <t>385000 Республика Адыгея город Майкоп улица Краснооктябрьская дом 34 - - -</t>
  </si>
  <si>
    <t>ИП010400626100008</t>
  </si>
  <si>
    <t>385000 Республика Адыгея город Майкоп улица Пролетарская дом 236Б   №1</t>
  </si>
  <si>
    <t>ИП Иванова Галина Васильевна</t>
  </si>
  <si>
    <t>10501369540</t>
  </si>
  <si>
    <t>ИП0104002832</t>
  </si>
  <si>
    <t>ИП010400283200000</t>
  </si>
  <si>
    <t>385000 Республика Адыгея город Майкоп улица Пролетарская дом 236Б   №2</t>
  </si>
  <si>
    <t>ИП010400283200001</t>
  </si>
  <si>
    <t>385000 Республика Адыгея город Майкоп улица Пролетарская дом 208А</t>
  </si>
  <si>
    <t>ИП Махмудов Алил Омарович</t>
  </si>
  <si>
    <t>10502276721</t>
  </si>
  <si>
    <t>ИП0104003719</t>
  </si>
  <si>
    <t>ИП010400371900001</t>
  </si>
  <si>
    <t>385000 Республика Адыгея город Майкоп улица Степная дом 190</t>
  </si>
  <si>
    <t>ИП010400371900002</t>
  </si>
  <si>
    <t>105036910</t>
  </si>
  <si>
    <t>ЮЛ0104008291</t>
  </si>
  <si>
    <t>ЮЛ010400829100000</t>
  </si>
  <si>
    <t>385018 Республика Адыгея город Майкоп улица Депутатская дом 14</t>
  </si>
  <si>
    <t>ЮЛ010400829100001</t>
  </si>
  <si>
    <t>385000 Республика Адыгея город Майкоп улица Краснооктябрьская дом 29</t>
  </si>
  <si>
    <t>ООО "ЛОМБАРД ФЕНИКС И К"</t>
  </si>
  <si>
    <t>105042008</t>
  </si>
  <si>
    <t>ЮЛ0104002839</t>
  </si>
  <si>
    <t>ЮЛ010400283900000</t>
  </si>
  <si>
    <t>385020 Республика Адыгея город Майкоп Пролетарская 334</t>
  </si>
  <si>
    <t>ООО "ФЕНИКС ЛОМБАРД"</t>
  </si>
  <si>
    <t>105045418</t>
  </si>
  <si>
    <t>ЮЛ0104009713</t>
  </si>
  <si>
    <t>ЮЛ010400971300000</t>
  </si>
  <si>
    <t>385018 Республика Адыгея город Майкоп улица Чкалова дом 80</t>
  </si>
  <si>
    <t>ООО "ЛОМБАРД "ЗОЛОТОЙ ВЕК"</t>
  </si>
  <si>
    <t>105046034</t>
  </si>
  <si>
    <t>ЮЛ0104006737</t>
  </si>
  <si>
    <t>ЮЛ010400673700000</t>
  </si>
  <si>
    <t>385018 Республика Адыгея город Майкоп улица Пролетарская дом 387</t>
  </si>
  <si>
    <t>ЮЛ010400673700003</t>
  </si>
  <si>
    <t>385020 Республика Адыгея город Майкоп улица Пролетарская дом 334</t>
  </si>
  <si>
    <t>ИП Жидких Маргарита Леонидовна</t>
  </si>
  <si>
    <t>10504864207</t>
  </si>
  <si>
    <t>ИП0104009563</t>
  </si>
  <si>
    <t>ИП010400956300000</t>
  </si>
  <si>
    <t>38501800 Республика Адыгея город Майкоп улица Чкалова дом 71   подв 1</t>
  </si>
  <si>
    <t>ООО "ЛОМБАРД"ЛИДЕР"</t>
  </si>
  <si>
    <t>105061642</t>
  </si>
  <si>
    <t>ЮЛ0104006689</t>
  </si>
  <si>
    <t>ЮЛ010400668900000</t>
  </si>
  <si>
    <t>385000 Республика Адыгея город Майкоп улица Краснооктябрьская дом 36 строение 3  помещение 1</t>
  </si>
  <si>
    <t>ИП Дербенева Ирина Ивановна</t>
  </si>
  <si>
    <t>10514588274</t>
  </si>
  <si>
    <t>ИП0104007453</t>
  </si>
  <si>
    <t>ИП010400745300000</t>
  </si>
  <si>
    <t>ИП010400745300001</t>
  </si>
  <si>
    <t>ИП010400745300002</t>
  </si>
  <si>
    <t>385140 Республика Адыгея поселок городского типа Яблоновский улица Промышленная дом 11 нет нет нет</t>
  </si>
  <si>
    <t>ООО "ЛОМБАРД КЛОНДАЙК"</t>
  </si>
  <si>
    <t>107027566</t>
  </si>
  <si>
    <t>ЮЛ0104003185</t>
  </si>
  <si>
    <t>ЮЛ010400318500000</t>
  </si>
  <si>
    <t>ИП010400003500000</t>
  </si>
  <si>
    <t>385132 Республика Адыгея поселок городского типа Энем улица Седина дом 53б</t>
  </si>
  <si>
    <t>ИП610400007100041</t>
  </si>
  <si>
    <t>385141 Республика Адыгея поселок городского типа Яблоновский улица Гагарина дом 148 корпус 2</t>
  </si>
  <si>
    <t>ИП Ипатенко Евгения Александровна</t>
  </si>
  <si>
    <t>230904691204</t>
  </si>
  <si>
    <t>ИП2304002808</t>
  </si>
  <si>
    <t>ИП230400280800000</t>
  </si>
  <si>
    <t>385132 Республика Адыгея поселок городского типа Энем улица Чкалова дом 5А</t>
  </si>
  <si>
    <t>ИП230400071300001</t>
  </si>
  <si>
    <t>385300 Республика Адыгея село Красногвардейское улица Ленина владение 171</t>
  </si>
  <si>
    <t>ИП230400071300002</t>
  </si>
  <si>
    <t>385018 Республика Адыгея город Майкоп улица Пионерская дом 524А</t>
  </si>
  <si>
    <t>ЮЛ240800183000022</t>
  </si>
  <si>
    <t>385000 Республика Адыгея город Майкоп улица Пролетарская домовладение 210   место УП-047</t>
  </si>
  <si>
    <t>ЮЛ240800183000023</t>
  </si>
  <si>
    <t>385000 Республика Адыгея город Майкоп улица Краснооктябрьская/Крестьянская дом 34/225   помещения №№1-4,6,7</t>
  </si>
  <si>
    <t>ЮЛ480100215000014</t>
  </si>
  <si>
    <t>385121 Республика Адыгея аул Новая Адыгея улица Тургеневское шоссе дом 27</t>
  </si>
  <si>
    <t>ИП630601425400045</t>
  </si>
  <si>
    <t>385730 Республика Адыгея поселок Тульский улица Комсомольская дом 11   помещение 2</t>
  </si>
  <si>
    <t>ЮЛ660700070800201</t>
  </si>
  <si>
    <t>385121 Республика Адыгея поселок Новая Адыгея улица Тургеневское шоссе дом 27    помещение 01А8004</t>
  </si>
  <si>
    <t>ЮЛ770101216600538</t>
  </si>
  <si>
    <t>385000 Республика Адыгея город Майкоп улица Гоголя/Пролетарская дом 38/207   этаж 1</t>
  </si>
  <si>
    <t>ЮЛ770101216600626</t>
  </si>
  <si>
    <t>385018 Республика Адыгея город Майкоп улица Чкалова дом 71   этаж 1</t>
  </si>
  <si>
    <t>ЮЛ770101216600666</t>
  </si>
  <si>
    <t>385121 Республика Адыгея аул Новая Адыгея улица Тургеневское шоссе дом 27   помещение №01А3056</t>
  </si>
  <si>
    <t>ЮЛ770101216600760</t>
  </si>
  <si>
    <t>385000 Республика Адыгея город Майкоп улица Краснооктябрьская дом 36</t>
  </si>
  <si>
    <t>ЮЛ770100419400189</t>
  </si>
  <si>
    <t>385000 Республика Адыгея город Майкоп улица Гоголя дом 45   помещения 1,2,3,4</t>
  </si>
  <si>
    <t>ЮЛ770100193500038</t>
  </si>
  <si>
    <t>385121 Республика Адыгея аул Новая Адыгея улица Тургеневское шоссе дом 27   помещение 2010</t>
  </si>
  <si>
    <t>ЮЛ770100193500039</t>
  </si>
  <si>
    <t>385018 Республика Адыгея город Майкоп улица Чкалова дом 71   этаж 1 (первый)</t>
  </si>
  <si>
    <t>ЮЛ770100193500665</t>
  </si>
  <si>
    <t>385000 Республика Адыгея город Майкоп улица Краснооктябрьская дом 30   этаж 1 (первый)</t>
  </si>
  <si>
    <t>ЮЛ770100193500704</t>
  </si>
  <si>
    <t>385000 Республика Адыгея город Майкоп улица Гоголя/ улица Пролетарская дом №38/207</t>
  </si>
  <si>
    <t>ЮЛ780300131300178</t>
  </si>
  <si>
    <t>385000 Республика Адыгея город Майкоп улица Гоголя, улица Пролетарская  дом 35/209</t>
  </si>
  <si>
    <t>ЮЛ780300328000205</t>
  </si>
  <si>
    <t>385000 Республика Адыгея город Майкоп улица Гоголя/улица Крестьянская  д. 49/203</t>
  </si>
  <si>
    <t>ЮЛ780300328000210</t>
  </si>
  <si>
    <t>385000 Республика Адыгея город Майкоп улица Гоголя дом 35</t>
  </si>
  <si>
    <t>ЮЛ780300308200097</t>
  </si>
  <si>
    <t>385121 Республика Адыгея аул Новая Адыгея улица Тургеневское шоссе дом 27   помещение 2024</t>
  </si>
  <si>
    <t>ЮЛ780300308200395</t>
  </si>
  <si>
    <t>385000 Республика Адыгея город Майкоп улица Гоголя дом 38/207</t>
  </si>
  <si>
    <t>ЮЛ780300308200861</t>
  </si>
  <si>
    <t>Республика Алтай</t>
  </si>
  <si>
    <t>649780 Республика Алтай село Кош-Агач Пограничная 33Б</t>
  </si>
  <si>
    <t>ИП Кожанова Гуляейман Субебаевна</t>
  </si>
  <si>
    <t>40100580784</t>
  </si>
  <si>
    <t>ИП0408033872</t>
  </si>
  <si>
    <t>ИП040803387200000</t>
  </si>
  <si>
    <t>649450 Республика Алтай село Усть-Кан улица Ленинская дом 54</t>
  </si>
  <si>
    <t>ИП Носова Людмила Ивановна</t>
  </si>
  <si>
    <t>40300001000</t>
  </si>
  <si>
    <t>ИП0408003939</t>
  </si>
  <si>
    <t>ИП040800393900000</t>
  </si>
  <si>
    <t>649006 Республика Алтай город Горно-Алтайск проспект Коммунистический дом 60</t>
  </si>
  <si>
    <t>ИП040800393900001</t>
  </si>
  <si>
    <t>649002 Республика Алтай город Горно-Алтайск проспект Коммунистический дом 109/2</t>
  </si>
  <si>
    <t>ИП040800393900002</t>
  </si>
  <si>
    <t>649006 Республика Алтай город Горно-Алтайск улица Чорос-Гуркина Г.И. дом 50   помещение 1</t>
  </si>
  <si>
    <t>ИП040800393900003</t>
  </si>
  <si>
    <t>649440 Республика Алтай Село Онгудай Улица Советская  Дом 87</t>
  </si>
  <si>
    <t>ИП Климова ЛН</t>
  </si>
  <si>
    <t>40400004132</t>
  </si>
  <si>
    <t>ИП0408011176</t>
  </si>
  <si>
    <t>ИП040801117600000</t>
  </si>
  <si>
    <t>649220 Республика Алтай Село Шебалино улица Советская  Дом 82</t>
  </si>
  <si>
    <t>ИП Кречетов Сергей Михайлович</t>
  </si>
  <si>
    <t>40500023851</t>
  </si>
  <si>
    <t>ИП0408007838</t>
  </si>
  <si>
    <t>ИП040800783800000</t>
  </si>
  <si>
    <t>649490 Республика Алтай село Усть-Кокса улица Мичурина дом 1А</t>
  </si>
  <si>
    <t>ИП Белова Марина Геннадьевна</t>
  </si>
  <si>
    <t>40600653776</t>
  </si>
  <si>
    <t>ИП0408014692</t>
  </si>
  <si>
    <t>ИП040801469200000</t>
  </si>
  <si>
    <t>649140 Республика Алтай cело Турочак улица Советская дом 51А</t>
  </si>
  <si>
    <t>ИП Поздеева Ольга Александровна</t>
  </si>
  <si>
    <t>40700019820</t>
  </si>
  <si>
    <t>ИП0408032679</t>
  </si>
  <si>
    <t>ИП040803267900000</t>
  </si>
  <si>
    <t>649180 Республика Алтай село Чоя улица Ленина дом 19А</t>
  </si>
  <si>
    <t>ИП Баринова Ольга Сергеевна</t>
  </si>
  <si>
    <t>40900704238</t>
  </si>
  <si>
    <t>ИП0408039263</t>
  </si>
  <si>
    <t>ИП040803926300000</t>
  </si>
  <si>
    <t>649000 Республика Алтай город Горно-Алтайск улица Чорос-Гуркина Г.И. дом 41   помещение 2</t>
  </si>
  <si>
    <t>ИП Борбуева Татьяна Валерьевна</t>
  </si>
  <si>
    <t>41100105847</t>
  </si>
  <si>
    <t>ИП0408007824</t>
  </si>
  <si>
    <t>ИП040800782400000</t>
  </si>
  <si>
    <t>649002 Республика Алтай город Горно-Алтайск проспект Коммунистический дом 109 корпус 2  отдел  №38</t>
  </si>
  <si>
    <t>ИП040800782400001</t>
  </si>
  <si>
    <t>649000 Республика Алтай город Горно-Алтайск улица Чорос-Гуркина Г.И. дом 4   отдел №1А1</t>
  </si>
  <si>
    <t>ИП040800782400002</t>
  </si>
  <si>
    <t>649000 Республика Алтай город Горно-Алтайск улица Чорос-Гуркина дом 4</t>
  </si>
  <si>
    <t>ИП Тарских Светлана Анатольевна</t>
  </si>
  <si>
    <t>41101217670</t>
  </si>
  <si>
    <t>ИП0408011087</t>
  </si>
  <si>
    <t>ИП040801108700000</t>
  </si>
  <si>
    <t>649000 Республика Алтай город Горно-Алтайск проспект Коммунистический дом 1</t>
  </si>
  <si>
    <t>ИП040801108700001</t>
  </si>
  <si>
    <t>ИП Калужина Тамара Николаевна</t>
  </si>
  <si>
    <t>225000016400</t>
  </si>
  <si>
    <t>ИП2208009150</t>
  </si>
  <si>
    <t>ИП220800915000000</t>
  </si>
  <si>
    <t>649140 Республика Алтай село Турочак улица Советская дом 20</t>
  </si>
  <si>
    <t>ИП Фоменко Оксана Николаевна</t>
  </si>
  <si>
    <t>225101398498</t>
  </si>
  <si>
    <t>ИП0408018599</t>
  </si>
  <si>
    <t>ИП040801859900000</t>
  </si>
  <si>
    <t>649000 Республика Алтай город Горно-Алтайск проспект Коммунистический дом 11   этаж 1</t>
  </si>
  <si>
    <t>ЮЛ770101216600593</t>
  </si>
  <si>
    <t>649002 Республика Алтай город Горно-Алтайск проспект Коммунистический дом 117 строение 1  1 этаж, часть нежилого помещения</t>
  </si>
  <si>
    <t>ЮЛ770101216600847</t>
  </si>
  <si>
    <t>649002 Республика Алтай город Горно-Алтайск проспект Коммунистический дом 109/2   отдел № 45</t>
  </si>
  <si>
    <t>ЮЛ770100193500821</t>
  </si>
  <si>
    <t>649002 Республика Алтай город Горно-Алтайск проспект Коммунистический дом 117</t>
  </si>
  <si>
    <t>ЮЛ780300308200338</t>
  </si>
  <si>
    <t>649000 Республика Алтай город Горно-Алтайск проспект Коммунистический дом 3</t>
  </si>
  <si>
    <t>ЮЛ780300308200598</t>
  </si>
  <si>
    <t>Республика Башкортостан</t>
  </si>
  <si>
    <t>452880 Республика Башкортостан село Аскино улица Ленина дом 1 1 этаж  павильон №12</t>
  </si>
  <si>
    <t>ИП Миндияров Ринат Рафкатович</t>
  </si>
  <si>
    <t>20400857667</t>
  </si>
  <si>
    <t>ИП0206017017</t>
  </si>
  <si>
    <t>ИП020601701700000</t>
  </si>
  <si>
    <t>453480 Республика Башкортостан Село Толбазы Ленина 54 - - -</t>
  </si>
  <si>
    <t>ИП Дашкина Альфия Искандаровна</t>
  </si>
  <si>
    <t>20504600391</t>
  </si>
  <si>
    <t>ИП0206010059</t>
  </si>
  <si>
    <t>ИП020601005900000</t>
  </si>
  <si>
    <t>452650 Республика Башкортостан Бакалы Мостовая 2</t>
  </si>
  <si>
    <t>ИП Сагидуллина Альфия Кашбельмагановна</t>
  </si>
  <si>
    <t>20703906306</t>
  </si>
  <si>
    <t>ИП0206009325</t>
  </si>
  <si>
    <t>ИП020600932500000</t>
  </si>
  <si>
    <t>450071 Республика Башкортостан город Уфа улица Менделеева дом 205а</t>
  </si>
  <si>
    <t>ИП Нургалеева Лилия Яудатовна</t>
  </si>
  <si>
    <t>21200201862</t>
  </si>
  <si>
    <t>ИП0206004547</t>
  </si>
  <si>
    <t>ИП020600454700000</t>
  </si>
  <si>
    <t>452260 Республика Башкортостан село Верхнеяркеево Улица Коммунистическая Дом 30 корпус 1  Помещение №14</t>
  </si>
  <si>
    <t>ИП Шайдуллин Ильдар Ригнатович</t>
  </si>
  <si>
    <t>22500324401</t>
  </si>
  <si>
    <t>ИП0206008447</t>
  </si>
  <si>
    <t>ИП020600844700000</t>
  </si>
  <si>
    <t>452360 Республика Башкортостан село Караидель улица Коммунистическая 130а</t>
  </si>
  <si>
    <t>ИП Сахапов Марат Мансафович</t>
  </si>
  <si>
    <t>22801013706</t>
  </si>
  <si>
    <t>ИП0206016982</t>
  </si>
  <si>
    <t>ИП020601698200000</t>
  </si>
  <si>
    <t>452360 Республика Башкортостан село Караидель улица Ленина 16</t>
  </si>
  <si>
    <t>ИП Гизатуллин Булат Халимуллович</t>
  </si>
  <si>
    <t>22802682026</t>
  </si>
  <si>
    <t>ИП0804037691</t>
  </si>
  <si>
    <t>ИП080403769100000</t>
  </si>
  <si>
    <t>452500 Республика Башкортостан село Верхние Киги Советская  4а</t>
  </si>
  <si>
    <t>ИП Альтапов Адик Рафисович</t>
  </si>
  <si>
    <t>23000335862</t>
  </si>
  <si>
    <t>ИП0206031877</t>
  </si>
  <si>
    <t>ИП020603187700000</t>
  </si>
  <si>
    <t>450078 Республика Башкортостан Уфа Кирова 128/1</t>
  </si>
  <si>
    <t>ИП БАЙБУРИНА Р. В.</t>
  </si>
  <si>
    <t>23101177891</t>
  </si>
  <si>
    <t>ИП0206040677</t>
  </si>
  <si>
    <t>ИП020604067700000</t>
  </si>
  <si>
    <t>452230 Республика Башкортостан село Кушнаренково улица Октябрьская здание 59</t>
  </si>
  <si>
    <t>ИП Ганиева Рида Адгамовна</t>
  </si>
  <si>
    <t>23402911107</t>
  </si>
  <si>
    <t>ИП0206004483</t>
  </si>
  <si>
    <t>ИП020600448300000</t>
  </si>
  <si>
    <t>453852 Республика Башкортостан город Мелеуз улица Бурангулова дом 21а   офис 308</t>
  </si>
  <si>
    <t>ИП Горбунов Сергей Юрьевич</t>
  </si>
  <si>
    <t>23500009497</t>
  </si>
  <si>
    <t>ИП0206004031</t>
  </si>
  <si>
    <t>ИП020600403100000</t>
  </si>
  <si>
    <t>453851 Республика Башкортостан город Мелеуз улица Ленина дом 133</t>
  </si>
  <si>
    <t>ИП020600403100001</t>
  </si>
  <si>
    <t>453300 Республика Башкортостан город Кумертау улица 60 лет БАССР дом 9</t>
  </si>
  <si>
    <t>ИП020600403100002</t>
  </si>
  <si>
    <t>453300 Республика Башкортостан город Кумертау улица Карла Маркса дом 30</t>
  </si>
  <si>
    <t>ИП020600403100003</t>
  </si>
  <si>
    <t>453204 Республика Башкортостан город Ишимбай улица Стахановская дом 92   58</t>
  </si>
  <si>
    <t>ИП020600403100004</t>
  </si>
  <si>
    <t>453850 Республика Башкортостан город Мелеуз улица Смоленская дом 38   офис 312</t>
  </si>
  <si>
    <t>ИП020600403100005</t>
  </si>
  <si>
    <t>453260 Республика Башкортостан город Салават улица Уфимская дом 30 А пом.2  офис 229</t>
  </si>
  <si>
    <t>ИП020600403100006</t>
  </si>
  <si>
    <t>453107 Республика Башкортостан город Стерлитамак улица Худайбердина дом 120   офис 245</t>
  </si>
  <si>
    <t>ИП020600403100007</t>
  </si>
  <si>
    <t>453100 Республика Башкортостан город Стерлитамак улица Артёма дом 96</t>
  </si>
  <si>
    <t>ИП020600403100008</t>
  </si>
  <si>
    <t>453262 Республика Башкортостан город Салават улица Ленина дом 42</t>
  </si>
  <si>
    <t>ИП020600403100009</t>
  </si>
  <si>
    <t>453300 Республика Башкортостан город Кумертау  улица Брикетная дом 2а</t>
  </si>
  <si>
    <t>ИП020600403100011</t>
  </si>
  <si>
    <t>453260 Республика Башкортостан город Салават улица Уфимская дом 28</t>
  </si>
  <si>
    <t>ИП020600403100012</t>
  </si>
  <si>
    <t>453100 Республика Башкортостан город Стерлитамак проспект Октября дом 36</t>
  </si>
  <si>
    <t>ИП020600403100013</t>
  </si>
  <si>
    <t>453856 Республика Башкортостан город Мелеуз улица Ленина здание 202</t>
  </si>
  <si>
    <t>ИП020600403100014</t>
  </si>
  <si>
    <t>453204 Республика Башкортостан город Ишимбай улица Стахановская дом 35</t>
  </si>
  <si>
    <t>ИП020600403100015</t>
  </si>
  <si>
    <t>453300 Республика Башкортостан город Кумертау улица Карла Маркса дом 13 корпус а  помещение 3</t>
  </si>
  <si>
    <t>ИП020600403100016</t>
  </si>
  <si>
    <t>453126 Республика Башкортостан город Стерлитамак улица Мира дом 2б</t>
  </si>
  <si>
    <t>ИП020600403100017</t>
  </si>
  <si>
    <t>453265 Республика Башкортостан город Салават бульвар Юлаева дом 29а</t>
  </si>
  <si>
    <t>ИП020600403100018</t>
  </si>
  <si>
    <t>452550 Республика Башкортостан с. Большеустьикинское Первомайская 5</t>
  </si>
  <si>
    <t>ИП Зиалетдинова Хакима Хисамовна</t>
  </si>
  <si>
    <t>23601859532</t>
  </si>
  <si>
    <t>ИП0206017743</t>
  </si>
  <si>
    <t>ИП020601774300000</t>
  </si>
  <si>
    <t>452340 Республика Башкортостан село Мишкино улица Спортивная здание 19/11   этаж № 1</t>
  </si>
  <si>
    <t>ИП Атнабаев Андрей Никифорович</t>
  </si>
  <si>
    <t>23700925602</t>
  </si>
  <si>
    <t>ИП0206037874</t>
  </si>
  <si>
    <t>ИП020603787400000</t>
  </si>
  <si>
    <t>452080 Республика Башкортостан село Киргиз-Мияки улица Губайдуллина 126</t>
  </si>
  <si>
    <t>ИП Ахмеров Альберт Анварович</t>
  </si>
  <si>
    <t>23800120746</t>
  </si>
  <si>
    <t>ИП0206031653</t>
  </si>
  <si>
    <t>ИП020603165300000</t>
  </si>
  <si>
    <t>452492 Республика Башкортостан село Янгантау улица Салавата Юлаева дом 1   помещение 18</t>
  </si>
  <si>
    <t>ИП Гафиятуллин Рустам Юлаевич</t>
  </si>
  <si>
    <t>24000545195</t>
  </si>
  <si>
    <t>ИП0206004346</t>
  </si>
  <si>
    <t>ИП020600434600000</t>
  </si>
  <si>
    <t>452490 Республика Башкортостан село Малояз улица Коммунистическая дом 53</t>
  </si>
  <si>
    <t>ИП Гареева Лилия Хурматовна</t>
  </si>
  <si>
    <t>24000546216</t>
  </si>
  <si>
    <t>ИП0206010142</t>
  </si>
  <si>
    <t>ИП020601014200000</t>
  </si>
  <si>
    <t>452490 Республика Башкортостан село Малояз улица Октябрьская домовладение 40</t>
  </si>
  <si>
    <t>ИП Гареева Елена Сергеевна</t>
  </si>
  <si>
    <t>24000546463</t>
  </si>
  <si>
    <t>ИП0206035700</t>
  </si>
  <si>
    <t>ИП020603570000000</t>
  </si>
  <si>
    <t>452830 Республика Башкортостан село Верхние Татышлы Ленина 68   1</t>
  </si>
  <si>
    <t>ИП Ибатуллина Рафина Агзамовна</t>
  </si>
  <si>
    <t>24300907544</t>
  </si>
  <si>
    <t>ИП0206014395</t>
  </si>
  <si>
    <t>ИП020601439500000</t>
  </si>
  <si>
    <t>452754 Республика Башкортостан город Туймазы проспект Ленина дом 8</t>
  </si>
  <si>
    <t>ИП Мухамадуллина Минзиля Гилемхановна</t>
  </si>
  <si>
    <t>24402666545</t>
  </si>
  <si>
    <t>ИП0206010515</t>
  </si>
  <si>
    <t>ИП020601051500000</t>
  </si>
  <si>
    <t>453800 Республика Башкортостан село Акъяр улица Батанова дом 6</t>
  </si>
  <si>
    <t>ИП Гатауллина Фанида Валиевна</t>
  </si>
  <si>
    <t>24803693507</t>
  </si>
  <si>
    <t>ИП0206005768</t>
  </si>
  <si>
    <t>ИП020600576800000</t>
  </si>
  <si>
    <t>452170 Республика Башкортостан поселок Чишмы проспект Дружбы дом 6/1   помещение №201</t>
  </si>
  <si>
    <t>ИП Якубова Ригина Римовна</t>
  </si>
  <si>
    <t>25001419981</t>
  </si>
  <si>
    <t>ИП0206013014</t>
  </si>
  <si>
    <t>ИП020601301400000</t>
  </si>
  <si>
    <t>453580 Республика Башкортостан село Старосубхангулово улица Уральская дом 2А</t>
  </si>
  <si>
    <t>ИП020601301400001</t>
  </si>
  <si>
    <t>453630 Республика Башкортостан город Баймак улица Юбилейная дом 4   11</t>
  </si>
  <si>
    <t>ИП Халикова Айсылу Галиевна</t>
  </si>
  <si>
    <t>25400409713</t>
  </si>
  <si>
    <t>ИП0206014109</t>
  </si>
  <si>
    <t>ИП020601410900000</t>
  </si>
  <si>
    <t>453630 Республика Башкортостан город Баймак проспект С.Юлаева здание 28</t>
  </si>
  <si>
    <t>ИП020601410900001</t>
  </si>
  <si>
    <t>453580 Республика Башкортостан село Старосубхангулово улица Ленина здание 73</t>
  </si>
  <si>
    <t>ИП020601410900002</t>
  </si>
  <si>
    <t>ИП Чаканова Эльмира Рахметовна</t>
  </si>
  <si>
    <t>25405391682</t>
  </si>
  <si>
    <t>ИП0206004337</t>
  </si>
  <si>
    <t>ИП020600433700000</t>
  </si>
  <si>
    <t>452005 Республика Башкортостан город Белебей улица Интернациональная дом 108</t>
  </si>
  <si>
    <t>ИП Пекш Зигурдс Витолдович</t>
  </si>
  <si>
    <t>25507547508</t>
  </si>
  <si>
    <t>ИП0206015557</t>
  </si>
  <si>
    <t>ИП020601555700000</t>
  </si>
  <si>
    <t>453505 Республика Башкортостан город Белорецк улица Карла Маркса дом 50</t>
  </si>
  <si>
    <t>ООО "ЛОМБАРД "АЛЬБАТРОС"</t>
  </si>
  <si>
    <t>256012968</t>
  </si>
  <si>
    <t>ЮЛ0206000515</t>
  </si>
  <si>
    <t>ЮЛ020600051500000</t>
  </si>
  <si>
    <t>453500 Республика Башкортостан г. Белорецк улица Косоротова дом 42   помещение 1</t>
  </si>
  <si>
    <t>ООО "ЛОМБАРД "АГАТ +"</t>
  </si>
  <si>
    <t>256019057</t>
  </si>
  <si>
    <t>ЮЛ0206018832</t>
  </si>
  <si>
    <t>ЮЛ020601883200000</t>
  </si>
  <si>
    <t>453500 Республика Башкортостан город Белорецк улица Ленина дом 59    магазин КАРАТ</t>
  </si>
  <si>
    <t>ИП Чечнева Оксана Вячеславовна</t>
  </si>
  <si>
    <t>25608302092</t>
  </si>
  <si>
    <t>ИП0206000985</t>
  </si>
  <si>
    <t>ИП020600098500000</t>
  </si>
  <si>
    <t>453700 Республика Башкортостан город Учалы улица Ленина дом 3   магазин КАРАТ</t>
  </si>
  <si>
    <t>ИП020600098500002</t>
  </si>
  <si>
    <t>453500 Республика Башкортостан город Белорецк улица Карла Маркса дом 75   магазин ИЗУМРУД</t>
  </si>
  <si>
    <t>ИП020600098500004</t>
  </si>
  <si>
    <t>453500 Республика Башкортостан город Белорецк улица Точисского дом 27   ТЦ ГОРОДСКОЙ РЫНОК</t>
  </si>
  <si>
    <t>ИП020600098500005</t>
  </si>
  <si>
    <t>453500 Республика Башкортостан город Белорецк улица 5 июля дом 5   ТЦ СЕЗАМ</t>
  </si>
  <si>
    <t>ИП020600098500006</t>
  </si>
  <si>
    <t>453700 Республика Башкортостан город Учалы улица Ленина дом 31  А ТЦ ЕВРАЗИЯ</t>
  </si>
  <si>
    <t>ИП020600098500008</t>
  </si>
  <si>
    <t>452450 Республика Башкортостан город Бирск улица Мира дом 26 А</t>
  </si>
  <si>
    <t>ИП Демшина Татьяна Анатольевна</t>
  </si>
  <si>
    <t>25700331850</t>
  </si>
  <si>
    <t>ИП0206003759</t>
  </si>
  <si>
    <t>ИП020600375900001</t>
  </si>
  <si>
    <t>452450 Республика Башкортостан город Бирск улица Интернациональная дом 30</t>
  </si>
  <si>
    <t>ООО "ЮВЕЛИРМАСТЕР"</t>
  </si>
  <si>
    <t>257006639</t>
  </si>
  <si>
    <t>ЮЛ0206006875</t>
  </si>
  <si>
    <t>ЮЛ020600687500000</t>
  </si>
  <si>
    <t>452455 Республика Башкортостан город Бирск улица Пролетарская дом 122  А</t>
  </si>
  <si>
    <t>ИП Демшин Игорь Николаевич</t>
  </si>
  <si>
    <t>25703149581</t>
  </si>
  <si>
    <t>ИП0206033129</t>
  </si>
  <si>
    <t>ИП020603312900000</t>
  </si>
  <si>
    <t>453431 Республика Башкортостан город Благовещенск улица Седова дом 95   помещение 5</t>
  </si>
  <si>
    <t>ИП Никандрова Ксения Владимировна</t>
  </si>
  <si>
    <t>25800408190</t>
  </si>
  <si>
    <t>ИП0206031801</t>
  </si>
  <si>
    <t>ИП020603180100000</t>
  </si>
  <si>
    <t>453431 Республика Башкортостан город Благовещенск улица Седова дом 112   офис 61</t>
  </si>
  <si>
    <t>ИП Григорьева Арина Максимовна</t>
  </si>
  <si>
    <t>25806333293</t>
  </si>
  <si>
    <t>ИП0206039843</t>
  </si>
  <si>
    <t>ИП020603984300000</t>
  </si>
  <si>
    <t>453400 Республика Башкортостан город Давлеканово улица Красная Площадь дом 5</t>
  </si>
  <si>
    <t>ИП Шлегин Сергей Юрьевич</t>
  </si>
  <si>
    <t>25904942409</t>
  </si>
  <si>
    <t>ИП0206003963</t>
  </si>
  <si>
    <t>ИП020600396300000</t>
  </si>
  <si>
    <t>452320 Республика Башкортостан Город Дюртюли ул.Первомайская дом 13А</t>
  </si>
  <si>
    <t>ИП Ахметова Райля Фанильевна</t>
  </si>
  <si>
    <t>26000216941</t>
  </si>
  <si>
    <t>ИП0206004355</t>
  </si>
  <si>
    <t>ИП020600435500000</t>
  </si>
  <si>
    <t>452320 Республика Башкортостан город Дюртюли улица Ленина дом 16</t>
  </si>
  <si>
    <t>ООО "ЛОМБАРД ГОЛД"</t>
  </si>
  <si>
    <t>260010610</t>
  </si>
  <si>
    <t>ЮЛ0206000624</t>
  </si>
  <si>
    <t>ЮЛ020600062400000</t>
  </si>
  <si>
    <t>452320 Республика Башкортостан город Дюртюли улица Ленина дом 3/1   Помещение 38</t>
  </si>
  <si>
    <t>ИП Хайруллина Амина Шамилевна</t>
  </si>
  <si>
    <t>26006231209</t>
  </si>
  <si>
    <t>ИП0206002736</t>
  </si>
  <si>
    <t>ИП020600273600000</t>
  </si>
  <si>
    <t>452710 Республика Башкортостан село Буздяк улица Красная Площадь дом 22</t>
  </si>
  <si>
    <t>ИП020600273600002</t>
  </si>
  <si>
    <t>453300 Республика Башкортостан город Кумертау Бабаевская 16</t>
  </si>
  <si>
    <t>ИП Быкова Светлана Бернатовна</t>
  </si>
  <si>
    <t>26203791288</t>
  </si>
  <si>
    <t>ИП0206011750</t>
  </si>
  <si>
    <t>ИП020601175000000</t>
  </si>
  <si>
    <t>452683 Республика Башкортостан город Нефтекамск улица Ленина дом 42</t>
  </si>
  <si>
    <t>ИП Иванова Ирина Васильевна</t>
  </si>
  <si>
    <t>26404529308</t>
  </si>
  <si>
    <t>ИП0206004556</t>
  </si>
  <si>
    <t>ИП020600455600000</t>
  </si>
  <si>
    <t>452852 Республика Башкортостан село Краснохолмский улица Губкина дом 8   бутик № 2</t>
  </si>
  <si>
    <t>ИП020600455600001</t>
  </si>
  <si>
    <t>452686 Республика Башкортостан город Нефтекамск улица Дорожная дом 56</t>
  </si>
  <si>
    <t>ИП Шакирова Гульнара Римовна</t>
  </si>
  <si>
    <t>26406220280</t>
  </si>
  <si>
    <t>ИП0206014863</t>
  </si>
  <si>
    <t>ИП020601486300000</t>
  </si>
  <si>
    <t>452960 Республика Башкортостан село Бураево улица Ленина дом 105</t>
  </si>
  <si>
    <t>ИП020601486300002</t>
  </si>
  <si>
    <t>452680 Республика Башкортостан город Нефтекамск улица Ленина дом 17</t>
  </si>
  <si>
    <t>ИП Нафикова Зиля Римовна</t>
  </si>
  <si>
    <t>26406220674</t>
  </si>
  <si>
    <t>ИП0206001855</t>
  </si>
  <si>
    <t>ИП020600185500000</t>
  </si>
  <si>
    <t>452680 Республика Башкортостан город Нефтекамск улица Дорожная дом 56</t>
  </si>
  <si>
    <t>ИП020600185500001</t>
  </si>
  <si>
    <t>452683 Республика Башкортостан город Нефтекамск улица Социалистическая дом 61</t>
  </si>
  <si>
    <t>ООО ЛОМБАРД "ЙОТА"</t>
  </si>
  <si>
    <t>264062899</t>
  </si>
  <si>
    <t>ЮЛ0206000735</t>
  </si>
  <si>
    <t>ЮЛ020600073500003</t>
  </si>
  <si>
    <t>452687 Республика Башкортостан город Нефтекамск улица Парковая дом 2 корпус  е</t>
  </si>
  <si>
    <t>ИП Камалова Альбина Бурхановна</t>
  </si>
  <si>
    <t>26408441012</t>
  </si>
  <si>
    <t>ИП0206000622</t>
  </si>
  <si>
    <t>ИП020600062200000</t>
  </si>
  <si>
    <t>452680 Республика Башкортостан город Нефтекамск улица Парковая дом 2Е</t>
  </si>
  <si>
    <t>ИП Гайсина Регина Ринафовна</t>
  </si>
  <si>
    <t>26411700605</t>
  </si>
  <si>
    <t>ИП0206031104</t>
  </si>
  <si>
    <t>ИП020603110400000</t>
  </si>
  <si>
    <t>452680 Республика Башкортостан город Нефтекамск Ленина 30</t>
  </si>
  <si>
    <t>ИП Кашапов Флюр Карамович</t>
  </si>
  <si>
    <t>26412307468</t>
  </si>
  <si>
    <t>ИП0206001430</t>
  </si>
  <si>
    <t>ИП020600143000000</t>
  </si>
  <si>
    <t>452601 Республика Башкортостан город Октябрьский Свердлова 20</t>
  </si>
  <si>
    <t>ИП Фомин Александр Анатольевич</t>
  </si>
  <si>
    <t>26500969911</t>
  </si>
  <si>
    <t>ИП0206011779</t>
  </si>
  <si>
    <t>ИП020601177900000</t>
  </si>
  <si>
    <t>452600 Республика Башкортостан город Октябрьский улица Островского дом 55   ТРК Плаза, 1 этаж</t>
  </si>
  <si>
    <t>ИП Горбань Наталья Александровна</t>
  </si>
  <si>
    <t>26510215977</t>
  </si>
  <si>
    <t>ИП7701008504</t>
  </si>
  <si>
    <t>ИП770100850400000</t>
  </si>
  <si>
    <t>453252 Республика Башкортостан город Салават улица Северная владение 15   офис 2/1</t>
  </si>
  <si>
    <t>ИП Евдокимов Сергей Владимирович</t>
  </si>
  <si>
    <t>26612594869</t>
  </si>
  <si>
    <t>ИП0206000326</t>
  </si>
  <si>
    <t>ИП020600032600000</t>
  </si>
  <si>
    <t>453260 Республика Башкортостан город Салават улица Ленина дом 38</t>
  </si>
  <si>
    <t>ИП Тренина Венера Асхатовна</t>
  </si>
  <si>
    <t>26614203905</t>
  </si>
  <si>
    <t>ИП0206014108</t>
  </si>
  <si>
    <t>ИП020601410800000</t>
  </si>
  <si>
    <t>453839 Республика Башкортостан город Сибай улица Заки Валиди дом 48   пом. 46, 47</t>
  </si>
  <si>
    <t>ИП Спирина Светлана Ивановна</t>
  </si>
  <si>
    <t>26701424202</t>
  </si>
  <si>
    <t>ИП0206004386</t>
  </si>
  <si>
    <t>ИП020600438600000</t>
  </si>
  <si>
    <t>453839 Республика Башкортостан город Сибай улица Ленина дом 20</t>
  </si>
  <si>
    <t>ИП020600438600001</t>
  </si>
  <si>
    <t>ИП020600438600002</t>
  </si>
  <si>
    <t>453680 Республика Башкортостан село Зилаир улица Ленина дом 77</t>
  </si>
  <si>
    <t>ИП020600438600003</t>
  </si>
  <si>
    <t>453830 Республика Башкортостан город Сибай проспект Горняков дом 20</t>
  </si>
  <si>
    <t>ИП Лагунова Ольга Михайловна</t>
  </si>
  <si>
    <t>26701479265</t>
  </si>
  <si>
    <t>ИП7701040311</t>
  </si>
  <si>
    <t>ИП770104031100000</t>
  </si>
  <si>
    <t>453839 Республика Башкортостан город Сибай проспект Горняков дом 20</t>
  </si>
  <si>
    <t>ИП Лагунов Владимир Владиславович</t>
  </si>
  <si>
    <t>26701596579</t>
  </si>
  <si>
    <t>ИП5001003914</t>
  </si>
  <si>
    <t>ИП500100391400000</t>
  </si>
  <si>
    <t>453830 Республика Башкортостан город Сибай улица Заки Валиди дом 46</t>
  </si>
  <si>
    <t>ИП Климова Клара Фаритовна</t>
  </si>
  <si>
    <t>26703709884</t>
  </si>
  <si>
    <t>ИП0206015619</t>
  </si>
  <si>
    <t>ИП020601561900000</t>
  </si>
  <si>
    <t>453830 Республика Башкортостан город Сибай улица Ленина дом 15/1   11</t>
  </si>
  <si>
    <t>ИП020601561900001</t>
  </si>
  <si>
    <t>453830 Республика Башкортостан город Сибай улица Заки Валиди 42/1   60</t>
  </si>
  <si>
    <t>ИП020601561900002</t>
  </si>
  <si>
    <t>453839 Республика Башкортостан город Сибай улица Ленина дом 9</t>
  </si>
  <si>
    <t>ИП020601561900003</t>
  </si>
  <si>
    <t>453100 Республика Башкортостан город Стерлитамак улица Коммунистическая дом 32   помещение 1</t>
  </si>
  <si>
    <t>ЮЛ020600092500003</t>
  </si>
  <si>
    <t>450035 Республика Башкортостан город Уфа улица Коммунаров дом 61   помещение 29</t>
  </si>
  <si>
    <t>ЮЛ020600092500041</t>
  </si>
  <si>
    <t>453130 Республика Башкортостан город Стерлитамак улица Мира дом 2Б</t>
  </si>
  <si>
    <t>ЮЛ020600092500045</t>
  </si>
  <si>
    <t>450035 Республика Башкортостан город Уфа улица Коммунаров дом 61   цокольный этаж, помещение №29</t>
  </si>
  <si>
    <t>ИП770103639800001</t>
  </si>
  <si>
    <t>453124 Республика Башкортостан город Стерлитамак улица Мира дом 2Д   офис 3В</t>
  </si>
  <si>
    <t>ИП Ямлиханова Флюра Николаевна</t>
  </si>
  <si>
    <t>26809762951</t>
  </si>
  <si>
    <t>ИП0206002692</t>
  </si>
  <si>
    <t>ИП020600269200000</t>
  </si>
  <si>
    <t>453124 Республика Башкортостан город Стерлитамак улица Мира дом 2Д   помещение 138</t>
  </si>
  <si>
    <t>ИП Шарафутдинова Валентина Ивановна</t>
  </si>
  <si>
    <t>26817470800</t>
  </si>
  <si>
    <t>ИП0206001286</t>
  </si>
  <si>
    <t>ИП020600128600000</t>
  </si>
  <si>
    <t>453124 Республика Башкортостан город Стерлитамак улица Мира дом 2 Д   помещение 148</t>
  </si>
  <si>
    <t>ИП020600128600001</t>
  </si>
  <si>
    <t>453103 Республика Башкортостан город Стерлитамак улица Ленина дом 43</t>
  </si>
  <si>
    <t>ИП Гусева Любовь Ивановна</t>
  </si>
  <si>
    <t>26822230321</t>
  </si>
  <si>
    <t>ИП0206005162</t>
  </si>
  <si>
    <t>ИП020600516200000</t>
  </si>
  <si>
    <t>453115 Республика Башкортостан город Стерлитамак улица Комсомольская дом 5 Б  №150</t>
  </si>
  <si>
    <t>ИП020600516200002</t>
  </si>
  <si>
    <t>453115 Республика Башкортостан п. Архангельское  улица Сазонова дом 25/1</t>
  </si>
  <si>
    <t>ИП020600516200003</t>
  </si>
  <si>
    <t>453124 Республика Башкортостан город Стерлитамак улица Комсомольская Дом 5 корпус Б  секция 140</t>
  </si>
  <si>
    <t>ИП020600516200005</t>
  </si>
  <si>
    <t>450005 Республика Башкортостан город Уфа 50-летия Октября дом 5</t>
  </si>
  <si>
    <t>ИП020600906600000</t>
  </si>
  <si>
    <t>453103 Республика Башкортостан город Стерлитамак проспект Ленина дом 43   отдельный вход с северного торца</t>
  </si>
  <si>
    <t>ИП Кужахметов Руслан Салаватович</t>
  </si>
  <si>
    <t>26825426636</t>
  </si>
  <si>
    <t>ИП0206009496</t>
  </si>
  <si>
    <t>ИП020600949600000</t>
  </si>
  <si>
    <t>452756 Республика Башкортостан город Туймазы улица Горького дом 41</t>
  </si>
  <si>
    <t>ИП Яфаева Фарида Айратовна</t>
  </si>
  <si>
    <t>26900506971</t>
  </si>
  <si>
    <t>ИП0206011005</t>
  </si>
  <si>
    <t>ИП020601100500000</t>
  </si>
  <si>
    <t>452750 Республика Башкортостан город Туймазы проспект Ленина дом 10</t>
  </si>
  <si>
    <t>ИП Шайхуллина А.У.</t>
  </si>
  <si>
    <t>26902295356</t>
  </si>
  <si>
    <t>ИП0206000327</t>
  </si>
  <si>
    <t>ИП020600032700000</t>
  </si>
  <si>
    <t>450006 Республика Башкортостан город Уфа улица Цюрупа 97</t>
  </si>
  <si>
    <t>ИП020600032700001</t>
  </si>
  <si>
    <t>450000 Республика Башкортостан Уфа пр.Октября 34</t>
  </si>
  <si>
    <t>ИП020600032700003</t>
  </si>
  <si>
    <t>450000 Республика Башкортостан Уфа пр Октября 4 1  1</t>
  </si>
  <si>
    <t>ИП020600032700004</t>
  </si>
  <si>
    <t>450000 Республика Башкортостан Уфа пр.Октября 4 1  2</t>
  </si>
  <si>
    <t>ИП020600032700005</t>
  </si>
  <si>
    <t>452750 Республика Башкортостан Туймазы пр.Ленина 10</t>
  </si>
  <si>
    <t>ИП020600032700006</t>
  </si>
  <si>
    <t>452750 Республика Башкортостан Туймазы пр.Ленина  50</t>
  </si>
  <si>
    <t>ИП020600032700007</t>
  </si>
  <si>
    <t>453500 Республика Башкортостан Белорецк Улица 5 Июля 5</t>
  </si>
  <si>
    <t>ИП020600032700008</t>
  </si>
  <si>
    <t>453500 Республика Башкортостан Белорецк Точисского 27</t>
  </si>
  <si>
    <t>ИП020600032700009</t>
  </si>
  <si>
    <t>453103 Республика Башкортостан Стерлитамак Худайбердина 120</t>
  </si>
  <si>
    <t>ИП020600032700010</t>
  </si>
  <si>
    <t>452750 Республика Башкортостан город Туймазы площадь Октября 2</t>
  </si>
  <si>
    <t>ИП020600032700012</t>
  </si>
  <si>
    <t>452750 Республика Башкортостан город Туймазы улица Островского дом 2 1 этаж</t>
  </si>
  <si>
    <t>ИП Буданова Гузель Ильдаровна</t>
  </si>
  <si>
    <t>26905440080</t>
  </si>
  <si>
    <t>ИП0206004374</t>
  </si>
  <si>
    <t>ИП020600437400000</t>
  </si>
  <si>
    <t>453700 Республика Башкортостан город Учалы улица Горнозаводская дом 1  Литера Б</t>
  </si>
  <si>
    <t>ИП Гайнетдинова Земфира Халитовна</t>
  </si>
  <si>
    <t>27000674380</t>
  </si>
  <si>
    <t>ИП0206035896</t>
  </si>
  <si>
    <t>ИП020603589600000</t>
  </si>
  <si>
    <t>453700 Республика Башкортостан город Учалы улица Ленина дом 19   помещение 61</t>
  </si>
  <si>
    <t>ИП Ильгамова Юлия Данисовна</t>
  </si>
  <si>
    <t>27001673050</t>
  </si>
  <si>
    <t>ИП0206008455</t>
  </si>
  <si>
    <t>ИП020600845500000</t>
  </si>
  <si>
    <t>453700 Республика Башкортостан город Учалы Кирова 4   64</t>
  </si>
  <si>
    <t>ООО "ЛОМБАРД "РУБЛЁВЪ"</t>
  </si>
  <si>
    <t>270022044</t>
  </si>
  <si>
    <t>ЮЛ0206008703</t>
  </si>
  <si>
    <t>ЮЛ020600870300000</t>
  </si>
  <si>
    <t>453700 Республика Башкортостан город Учалы улица Ленина дом 21   помещение 23</t>
  </si>
  <si>
    <t>ИП Куклина Елена Николаевна</t>
  </si>
  <si>
    <t>27006378891</t>
  </si>
  <si>
    <t>ИП0206006175</t>
  </si>
  <si>
    <t>ИП020600617500000</t>
  </si>
  <si>
    <t>453700 Республика Башкортостан город Учалы улица Ленина дом 31А   бутик 28</t>
  </si>
  <si>
    <t>ИП Мужавирова Минзиля Мавлитовна</t>
  </si>
  <si>
    <t>27006862693</t>
  </si>
  <si>
    <t>ИП0206003765</t>
  </si>
  <si>
    <t>ИП020600376500000</t>
  </si>
  <si>
    <t>453700 Республика Башкортостан город Учалы улица Первостроителей дом 15   28</t>
  </si>
  <si>
    <t>ИП Валеева Диана Рамилевна</t>
  </si>
  <si>
    <t>27008230280</t>
  </si>
  <si>
    <t>ИП0206037334</t>
  </si>
  <si>
    <t>ИП020603733400000</t>
  </si>
  <si>
    <t>452800 Республика Башкортостан город Янаул улица Советская дом 6а</t>
  </si>
  <si>
    <t>ИП Хатмуллина Эльмира Фаридовна</t>
  </si>
  <si>
    <t>27101464639</t>
  </si>
  <si>
    <t>ИП0206001966</t>
  </si>
  <si>
    <t>ИП020600196600000</t>
  </si>
  <si>
    <t>452800 Республика Башкортостан город Янаул улица Советская дом 12   помещение 22</t>
  </si>
  <si>
    <t>ИП Голикова Гульнара Альбертовна</t>
  </si>
  <si>
    <t>27105395062</t>
  </si>
  <si>
    <t>ИП0206034936</t>
  </si>
  <si>
    <t>ИП020603493600000</t>
  </si>
  <si>
    <t>453431 Республика Башкортостан город Благовещенск улица Седова дом 113/г</t>
  </si>
  <si>
    <t>ИП Никандров Максим Валерьевич</t>
  </si>
  <si>
    <t>27306326703</t>
  </si>
  <si>
    <t>ИП0206032204</t>
  </si>
  <si>
    <t>ИП020603220400000</t>
  </si>
  <si>
    <t>450112 Республика Башкортостан город Уфа улица Нежинская 17</t>
  </si>
  <si>
    <t>273099687</t>
  </si>
  <si>
    <t>ЮЛ0206041250</t>
  </si>
  <si>
    <t>ЮЛ020604125000000</t>
  </si>
  <si>
    <t>450006 Республика Башкортостан город Уфа улица Цюрупы дом 97</t>
  </si>
  <si>
    <t>ИП Максименко Ирина Дмитриевна</t>
  </si>
  <si>
    <t>27312142736</t>
  </si>
  <si>
    <t>ИП0206000918</t>
  </si>
  <si>
    <t>ИП020600091800001</t>
  </si>
  <si>
    <t>450032 Республика Башкортостан город Уфа улица Рыбакова</t>
  </si>
  <si>
    <t>ИП020600091800002</t>
  </si>
  <si>
    <t>450005 Республика Башкортостан город Уфа улица 50-летия Октября 5</t>
  </si>
  <si>
    <t>ИП020600091800003</t>
  </si>
  <si>
    <t>450059 Республика Башкортостан город Уфа проспект Октября 31</t>
  </si>
  <si>
    <t>ИП020600091800004</t>
  </si>
  <si>
    <t>450047 Республика Башкортостан город Уфа улица Менделеева 137</t>
  </si>
  <si>
    <t>ИП020600091800005</t>
  </si>
  <si>
    <t>450501 Республика Башкортостан село Булгаково мкр. Аэропорт дом 56</t>
  </si>
  <si>
    <t>ИП Фролов Сергей Владимирович</t>
  </si>
  <si>
    <t>27409822968</t>
  </si>
  <si>
    <t>ИП0206018562</t>
  </si>
  <si>
    <t>ИП020601856200000</t>
  </si>
  <si>
    <t>450095 Республика Башкортостан город Уфа улица Ухтомского дом 16</t>
  </si>
  <si>
    <t>ИП Маннанова Рагида Тимергалеевна</t>
  </si>
  <si>
    <t>27412634636</t>
  </si>
  <si>
    <t>ИП0206006889</t>
  </si>
  <si>
    <t>ИП020600688900000</t>
  </si>
  <si>
    <t>450092 Республика Башкортостан город Уфа улица Рабкоров дом 1</t>
  </si>
  <si>
    <t>ИП020600688900001</t>
  </si>
  <si>
    <t>450017 Республика Башкортостан город Уфа улица Ахметова дом 300</t>
  </si>
  <si>
    <t>ИП020600688900002</t>
  </si>
  <si>
    <t>450005 Республика Башкортостан город Уфа улица Революционная дом 70/1   офис 205</t>
  </si>
  <si>
    <t>ИП Кудакаева Лира Рамильевна</t>
  </si>
  <si>
    <t>27415460201</t>
  </si>
  <si>
    <t>ИП0206001124</t>
  </si>
  <si>
    <t>ИП020600112400000</t>
  </si>
  <si>
    <t>450074 Республика Башкортостан город Уфа улица Софьи Перовской  Дом 46   помещение с 26 по 36</t>
  </si>
  <si>
    <t>ООО ЮФ "СОЛЮКС"</t>
  </si>
  <si>
    <t>274972103</t>
  </si>
  <si>
    <t>ЮЛ0206002517</t>
  </si>
  <si>
    <t>ЮЛ020600251700000</t>
  </si>
  <si>
    <t>450059 Республика Башкортостан город Уфа улица Рихарда Зорге дом 8/1</t>
  </si>
  <si>
    <t>ИП Ястребов Александр Анатольевич</t>
  </si>
  <si>
    <t>27501372573</t>
  </si>
  <si>
    <t>ИП0206004323</t>
  </si>
  <si>
    <t>ИП020600432300000</t>
  </si>
  <si>
    <t>450001 Республика Башкортостан Город Уфа Проспект Октября Дом 6</t>
  </si>
  <si>
    <t>ИП Халиуллин Феркат Адельзянович</t>
  </si>
  <si>
    <t>27606176939</t>
  </si>
  <si>
    <t>ИП0206001411</t>
  </si>
  <si>
    <t>ИП020600141100000</t>
  </si>
  <si>
    <t>450092 Республика Башкортостан Город Уфа ул. Степана Кувыкина Дом 18</t>
  </si>
  <si>
    <t>ИП020600141100001</t>
  </si>
  <si>
    <t>450059 Республика Башкортостан Город Уфа ул. 50-летия Октября Дом 5</t>
  </si>
  <si>
    <t>ИП020600141100003</t>
  </si>
  <si>
    <t>450024 Республика Башкортостан Город Уфа ул. Ухтомского Дом 16</t>
  </si>
  <si>
    <t>ИП020600141100005</t>
  </si>
  <si>
    <t>450022 Республика Башкортостан Город Уфа ул. Менделеева  Дом 137  Литер А</t>
  </si>
  <si>
    <t>ИП020600141100006</t>
  </si>
  <si>
    <t>450052 Республика Башкортостан город Уфа улица Чернышевского дом 75</t>
  </si>
  <si>
    <t>ИП020600141100009</t>
  </si>
  <si>
    <t>450001 Республика Башкортостан г.Уфа Проспект Октября 6</t>
  </si>
  <si>
    <t>ИП Халиуллина Дания Фагимовна</t>
  </si>
  <si>
    <t>27606177107</t>
  </si>
  <si>
    <t>ИП0206038379</t>
  </si>
  <si>
    <t>ИП020603837900000</t>
  </si>
  <si>
    <t>450112 Республика Башкортостан город Уфа улица Ульяновых дом 31</t>
  </si>
  <si>
    <t>ИП Седова Эльвира Феркатовна</t>
  </si>
  <si>
    <t>27606178164</t>
  </si>
  <si>
    <t>ИП0206001727</t>
  </si>
  <si>
    <t>ИП020600172700000</t>
  </si>
  <si>
    <t>450043 Республика Башкортостан Город Уфа ул. Ферина Дом 29</t>
  </si>
  <si>
    <t>ИП020600172700001</t>
  </si>
  <si>
    <t>450006 Республика Башкортостан Город Уфа ул. Цюрупы Дом 97</t>
  </si>
  <si>
    <t>ИП020600172700002</t>
  </si>
  <si>
    <t>450071 Республика Башкортостан Город Уфа ул. Менделеева дом 205А</t>
  </si>
  <si>
    <t>ИП020600172700003</t>
  </si>
  <si>
    <t>450039 Республика Башкортостан Город Уфа ул. Ульяновых Дом 31</t>
  </si>
  <si>
    <t>ИП020600172700004</t>
  </si>
  <si>
    <t>450049 Республика Башкортостан Уфа г Маршала Жукова ул 29</t>
  </si>
  <si>
    <t>ИП020600172700007</t>
  </si>
  <si>
    <t>450071 Республика Башкортостан город Уфа улица Менделеева дом 205А</t>
  </si>
  <si>
    <t>ИП Сахибгареева Гульнара Анусовна</t>
  </si>
  <si>
    <t>27613376030</t>
  </si>
  <si>
    <t>ИП0206009049</t>
  </si>
  <si>
    <t>ИП020600904900000</t>
  </si>
  <si>
    <t>450054 Республика Башкортостан город Уфа проспект Октября дом 84   Новелла</t>
  </si>
  <si>
    <t>ИП Елистратов Владимир Леонидович</t>
  </si>
  <si>
    <t>27614433763</t>
  </si>
  <si>
    <t>ИП0206001860</t>
  </si>
  <si>
    <t>ИП020600186000000</t>
  </si>
  <si>
    <t>450077 Республика Башкортостан город Уфа улица Ленина дом 26   23Ч-27Ч</t>
  </si>
  <si>
    <t>ЮЛ020603117700000</t>
  </si>
  <si>
    <t>452530 Республика Башкортостан село Месягутово улица Коммунистическая домовладение 44</t>
  </si>
  <si>
    <t>ЮЛ020603117700002</t>
  </si>
  <si>
    <t>450038 Республика Башкортостан город Уфа улица Первомайская дом 98</t>
  </si>
  <si>
    <t>ЮЛ020603117700004</t>
  </si>
  <si>
    <t>453400 Республика Башкортостан город Давлеканово улица Красная Площадь дом 12</t>
  </si>
  <si>
    <t>ЮЛ020603117700005</t>
  </si>
  <si>
    <t>452170 Республика Башкортостан рабочий поселок Чишмы улица Кирова дом 52</t>
  </si>
  <si>
    <t>ЮЛ020603117700006</t>
  </si>
  <si>
    <t>452121 Республика Башкортостан село Раевский улица Коммунистическая домовладение 94</t>
  </si>
  <si>
    <t>ЮЛ020603117700007</t>
  </si>
  <si>
    <t>453020 Республика Башкортостан село Кармаскалы улица Султан-Галиева дом 3</t>
  </si>
  <si>
    <t>ЮЛ020603117700008</t>
  </si>
  <si>
    <t>453050 Республика Башкортостан село Красноусольский улица Ленина дом 18 1</t>
  </si>
  <si>
    <t>ЮЛ020603117700009</t>
  </si>
  <si>
    <t>452410 Республика Башкортостан село Иглино улица Горького дом 52</t>
  </si>
  <si>
    <t>ЮЛ020603117700010</t>
  </si>
  <si>
    <t>453103 Республика Башкортостан город Стерлитамак улица Худайбердина владение 120</t>
  </si>
  <si>
    <t>ЮЛ020603117700012</t>
  </si>
  <si>
    <t>452410 Республика Башкортостан село Иглино улица Горького дом 41</t>
  </si>
  <si>
    <t>ЮЛ020603117700013</t>
  </si>
  <si>
    <t>452710 Республика Башкортостан село Буздяк улица Красная Площадь дом 24</t>
  </si>
  <si>
    <t>ЮЛ020603117700014</t>
  </si>
  <si>
    <t>450112 Республика Башкортостан город Уфа улица Кольцевая дом 65</t>
  </si>
  <si>
    <t>ЮЛ020603117700017</t>
  </si>
  <si>
    <t>452451 Республика Башкортостан город Бирск улица Мира владение 143в</t>
  </si>
  <si>
    <t>ЮЛ020603117700019</t>
  </si>
  <si>
    <t>452580 Республика Башкортостан село Новобелокатай улица Советская дом 125</t>
  </si>
  <si>
    <t>ЮЛ020603117700020</t>
  </si>
  <si>
    <t>452550 Республика Башкортостан село Большеустьикинское улица Центральная дом 7а</t>
  </si>
  <si>
    <t>ЮЛ020603117700021</t>
  </si>
  <si>
    <t>452320 Республика Башкортостан город Дюртюли улица Василия Горшкова здание 16</t>
  </si>
  <si>
    <t>ЮЛ020603117700022</t>
  </si>
  <si>
    <t>452450 Республика Башкортостан город Бирск улица Интернациональная дом 23</t>
  </si>
  <si>
    <t>ЮЛ020603117700023</t>
  </si>
  <si>
    <t>452800 Республика Башкортостан город Янаул улица Азина дом 22</t>
  </si>
  <si>
    <t>ЮЛ020603117700024</t>
  </si>
  <si>
    <t>452451 Республика Башкортостан город Бирск улица 8 Марта дом 46</t>
  </si>
  <si>
    <t>ЮЛ020603117700025</t>
  </si>
  <si>
    <t>452452 Республика Башкортостан город Бирск улица Интернациональная здание 157 корпус в</t>
  </si>
  <si>
    <t>ЮЛ020603117700027</t>
  </si>
  <si>
    <t>452260 Республика Башкортостан село Верхнеяркеево улица Коммунистическая дом 30/1</t>
  </si>
  <si>
    <t>ЮЛ020603117700028</t>
  </si>
  <si>
    <t>452687 Республика Башкортостан город Нефтекамск проспект Юбилейный строение 18</t>
  </si>
  <si>
    <t>ЮЛ020603117700031</t>
  </si>
  <si>
    <t>452683 Республика Башкортостан город Нефтекамск проспект Комсомольский дом 21</t>
  </si>
  <si>
    <t>ЮЛ020603117700032</t>
  </si>
  <si>
    <t>453330 Республика Башкортостан село Мраково улица З.Биишевой здание 94в</t>
  </si>
  <si>
    <t>ЮЛ020603117700033</t>
  </si>
  <si>
    <t>452680 Республика Башкортостан город Нефтекамск улица Парковая дом 4</t>
  </si>
  <si>
    <t>ЮЛ020603117700035</t>
  </si>
  <si>
    <t>452920 Республика Башкортостан город Агидель улица Молодежная дом 1</t>
  </si>
  <si>
    <t>ЮЛ020603117700036</t>
  </si>
  <si>
    <t>452689 Республика Башкортостан город Нефтекамск улица Ленина дом 82А</t>
  </si>
  <si>
    <t>ЮЛ020603117700037</t>
  </si>
  <si>
    <t>452802 Республика Башкортостан город Янаул улица Ленина дом 1</t>
  </si>
  <si>
    <t>ЮЛ020603117700038</t>
  </si>
  <si>
    <t>452980 Республика Башкортостан село Старобалтачево улица Советская здание 40</t>
  </si>
  <si>
    <t>ЮЛ020603117700039</t>
  </si>
  <si>
    <t>453380 Республика Башкортостан село Исянгулово улица Октябрьской Революции дом 47</t>
  </si>
  <si>
    <t>ЮЛ020603117700041</t>
  </si>
  <si>
    <t>453310 Республика Башкортостан город Кумертау улица Бабаевская здание 16</t>
  </si>
  <si>
    <t>ЮЛ020603117700042</t>
  </si>
  <si>
    <t>453300 Республика Башкортостан город Кумертау улица Карла Маркса дом 13А</t>
  </si>
  <si>
    <t>ЮЛ020603117700045</t>
  </si>
  <si>
    <t>453100 Республика Башкортостан город Стерлитамак улица Артема дом 147</t>
  </si>
  <si>
    <t>ЮЛ020603117700046</t>
  </si>
  <si>
    <t>453260 Республика Башкортостан город Салават улица Островского дом 13/32</t>
  </si>
  <si>
    <t>ЮЛ020603117700048</t>
  </si>
  <si>
    <t>453261 Республика Башкортостан город Салават улица Первомайская дом 9/12</t>
  </si>
  <si>
    <t>ЮЛ020603117700049</t>
  </si>
  <si>
    <t>453100 Республика Башкортостан город Стерлитамак проспект Октября владение 36</t>
  </si>
  <si>
    <t>ЮЛ020603117700050</t>
  </si>
  <si>
    <t>453100 Республика Башкортостан город Стерлитамак улица Артема владение 96</t>
  </si>
  <si>
    <t>ЮЛ020603117700054</t>
  </si>
  <si>
    <t>450043 Республика Башкортостан город Уфа улица Ферина дом 29</t>
  </si>
  <si>
    <t>ЮЛ020603117700055</t>
  </si>
  <si>
    <t>450105 Республика Башкортостан город Уфа улица Академика Королева дом 27</t>
  </si>
  <si>
    <t>ЮЛ020603117700059</t>
  </si>
  <si>
    <t>450055 Республика Башкортостан город Уфа проспект Октября дом 134</t>
  </si>
  <si>
    <t>ЮЛ020603117700061</t>
  </si>
  <si>
    <t>452005 Республика Башкортостан город Белебей улица им В.И.Ленина дом 42</t>
  </si>
  <si>
    <t>ЮЛ020603117700062</t>
  </si>
  <si>
    <t>450061 Республика Башкортостан город Уфа улица Первомайская дом 54</t>
  </si>
  <si>
    <t>ЮЛ020603117700064</t>
  </si>
  <si>
    <t>452005 Республика Башкортостан город Белебей улица Красная дом 112</t>
  </si>
  <si>
    <t>ЮЛ020603117700065</t>
  </si>
  <si>
    <t>450044 Республика Башкортостан город Уфа улица Первомайская дом 18</t>
  </si>
  <si>
    <t>ЮЛ020603117700068</t>
  </si>
  <si>
    <t>452017 Республика Башкортостан рабочий поселок Приютово улица Ленина дом 16</t>
  </si>
  <si>
    <t>ЮЛ020603117700069</t>
  </si>
  <si>
    <t>452616 Республика Башкортостан город Октябрьский проспект Ленина здание 59/1</t>
  </si>
  <si>
    <t>ЮЛ020603117700071</t>
  </si>
  <si>
    <t>452754 Республика Башкортостан город Туймазы проспект Ленина дом 2</t>
  </si>
  <si>
    <t>ЮЛ020603117700072</t>
  </si>
  <si>
    <t>452614 Республика Башкортостан город Октябрьский улица Островского дом 7</t>
  </si>
  <si>
    <t>ЮЛ020603117700075</t>
  </si>
  <si>
    <t>452080 Республика Башкортостан село Киргиз-Мияки улица Губайдуллина дом 134</t>
  </si>
  <si>
    <t>ЮЛ020603117700076</t>
  </si>
  <si>
    <t>ЮЛ020603117700082</t>
  </si>
  <si>
    <t>ЮЛ020603117700083</t>
  </si>
  <si>
    <t>450077 Республика Башкортостан город Уфа площадь Верхнеторговая дом 1</t>
  </si>
  <si>
    <t>ЮЛ020603117700084</t>
  </si>
  <si>
    <t>450009 Республика Башкортостан город Уфа проспект Октября дом 31</t>
  </si>
  <si>
    <t>ЮЛ020603117700085</t>
  </si>
  <si>
    <t>450074 Республика Башкортостан город Уфа улица Софьи Перовской дом 48</t>
  </si>
  <si>
    <t>ЮЛ020603117700087</t>
  </si>
  <si>
    <t>450024 Республика Башкортостан город Уфа улица Дагестанская дом 2</t>
  </si>
  <si>
    <t>ЮЛ020603117700088</t>
  </si>
  <si>
    <t>ЮЛ020603117700089</t>
  </si>
  <si>
    <t>450065 Республика Башкортостан город Уфа улица Вологодская дом 60</t>
  </si>
  <si>
    <t>ЮЛ020603117700101</t>
  </si>
  <si>
    <t>452830 Республика Башкортостан село Верхние Татышлы улица Ленина дом 72</t>
  </si>
  <si>
    <t>ЮЛ020603117700105</t>
  </si>
  <si>
    <t>453480 Республика Башкортостан село Толбазы улица Ленина дом 78</t>
  </si>
  <si>
    <t>ЮЛ020603117700106</t>
  </si>
  <si>
    <t>450071 Республика Башкортостан город Уфа улица Менделеева дом 207</t>
  </si>
  <si>
    <t>276973039</t>
  </si>
  <si>
    <t>ЮЛ0206032385</t>
  </si>
  <si>
    <t>ЮЛ020603238500001</t>
  </si>
  <si>
    <t>450112 Республика Башкортостан город Уфа улица Кольцевая дом 58</t>
  </si>
  <si>
    <t>ЮЛ020603238500003</t>
  </si>
  <si>
    <t>453100 Республика Башкортостан город Стерлитамак улица Коммунистическая дом 32</t>
  </si>
  <si>
    <t>ЮЛ020603238500007</t>
  </si>
  <si>
    <t>452170 Республика Башкортостан рабочий поселок Чишмы проспект Дружбы дом 6/1</t>
  </si>
  <si>
    <t>ЮЛ020603238500010</t>
  </si>
  <si>
    <t>453130 Республика Башкортостан город Стерлитамак улица Мира владение 1а</t>
  </si>
  <si>
    <t>ЮЛ020603238500013</t>
  </si>
  <si>
    <t>450035 Республика Башкортостан город Уфа улица Коммунаров дом 61</t>
  </si>
  <si>
    <t>ЮЛ020603238500014</t>
  </si>
  <si>
    <t>450005 Республика Башкортостан город Уфа улица Цюрупы дом 104</t>
  </si>
  <si>
    <t>ЮЛ020603238500021</t>
  </si>
  <si>
    <t>450112 Республика Башкортостан город Уфа улица Первомайская дом 40</t>
  </si>
  <si>
    <t>ЮЛ020603238500022</t>
  </si>
  <si>
    <t>450017 Республика Башкортостан город Уфа улица Ахметова дом 299</t>
  </si>
  <si>
    <t>ЮЛ020603238500025</t>
  </si>
  <si>
    <t>452174 Республика Башкортостан рабочий поселок Чишмы улица Шоссейная 11   б/н</t>
  </si>
  <si>
    <t>ЮЛ020603238500027</t>
  </si>
  <si>
    <t>452410 Республика Башкортостан село Иглино улица Ленина 143   б/н</t>
  </si>
  <si>
    <t>ЮЛ020603238500044</t>
  </si>
  <si>
    <t>450077 Республика Башкортостан город Уфа улица Чернышевского дом 88/1</t>
  </si>
  <si>
    <t>ИП Симарчук Анна Сергеевна</t>
  </si>
  <si>
    <t>27702186418</t>
  </si>
  <si>
    <t>ИП0206008181</t>
  </si>
  <si>
    <t>ИП020600818100000</t>
  </si>
  <si>
    <t>452200 Республика Башкортостан село Чекмагуш улица Ленина дом 27   бутик 18</t>
  </si>
  <si>
    <t>ИП Субханкулов Наиль Бариевич</t>
  </si>
  <si>
    <t>27704732895</t>
  </si>
  <si>
    <t>ИП0206004508</t>
  </si>
  <si>
    <t>ИП020600450800001</t>
  </si>
  <si>
    <t>450006 Республика Башкортостан город Уфа улица Ленина дом 84/47</t>
  </si>
  <si>
    <t>ИП Асоян Рада Фаритовна</t>
  </si>
  <si>
    <t>27705201618</t>
  </si>
  <si>
    <t>ИП0206002695</t>
  </si>
  <si>
    <t>ИП020600269500000</t>
  </si>
  <si>
    <t>450008 Республика Башкортостан город Уфа улица Чернышевского дом 75   часть помещения №1</t>
  </si>
  <si>
    <t>ИП Смышляева Владлена Ринатовна</t>
  </si>
  <si>
    <t>27719098350</t>
  </si>
  <si>
    <t>ИП0206001769</t>
  </si>
  <si>
    <t>ИП020600176900000</t>
  </si>
  <si>
    <t>450077 Республика Башкортостан город Уфа улица Коммунистическая дом 92</t>
  </si>
  <si>
    <t>ИП Одинцов Александр Геннадьевич</t>
  </si>
  <si>
    <t>27722836463</t>
  </si>
  <si>
    <t>ИП0206039491</t>
  </si>
  <si>
    <t>ИП020603949100000</t>
  </si>
  <si>
    <t>450077 Республика Башкортостан город Уфа улица Мустая Карима д 44</t>
  </si>
  <si>
    <t>ИП Олькова Татьяна Сергеевна</t>
  </si>
  <si>
    <t>27807967610</t>
  </si>
  <si>
    <t>ИП0206004325</t>
  </si>
  <si>
    <t>ИП020600432500000</t>
  </si>
  <si>
    <t>450047 Республика Башкортостан город Уфа улица Бакалинская дом 27</t>
  </si>
  <si>
    <t>ИП Шагимуратова Юлия Фауисовна</t>
  </si>
  <si>
    <t>27811088107</t>
  </si>
  <si>
    <t>ИП0206008777</t>
  </si>
  <si>
    <t>ИП020600877700000</t>
  </si>
  <si>
    <t>450075 Республика Башкортостан город Уфа проспект Октября дом 89</t>
  </si>
  <si>
    <t>ИП Пермяков Павел Николаевич</t>
  </si>
  <si>
    <t>27812696877</t>
  </si>
  <si>
    <t>ИП0206004473</t>
  </si>
  <si>
    <t>ИП020600447300001</t>
  </si>
  <si>
    <t>450061 Республика Башкортостан город Уфа улица Первомайская дом 64</t>
  </si>
  <si>
    <t>ИП020600447300002</t>
  </si>
  <si>
    <t>450005 Республика Башкортостан город Уфа улица 50-летия Октября дом 5</t>
  </si>
  <si>
    <t>ИП020600447300003</t>
  </si>
  <si>
    <t>450074 Республика Башкортостан город Уфа улица Софьи Перовской дом 52/2</t>
  </si>
  <si>
    <t>ИП Чернявская Ирина Анатольевна</t>
  </si>
  <si>
    <t>27814646007</t>
  </si>
  <si>
    <t>ИП0206005023</t>
  </si>
  <si>
    <t>ИП020600502300000</t>
  </si>
  <si>
    <t>450027 Республика Башкортостан с. Языково Пушкина 2</t>
  </si>
  <si>
    <t>ИП Лутфуллина Альфира Ахсановна</t>
  </si>
  <si>
    <t>27815008800</t>
  </si>
  <si>
    <t>ИП0206011962</t>
  </si>
  <si>
    <t>ИП020601196200000</t>
  </si>
  <si>
    <t>450006 Республика Башкортостан город Уфа бульвар Ибрагимова дом 37 корпус 3  офис 117</t>
  </si>
  <si>
    <t>ЮЛ020600027100000</t>
  </si>
  <si>
    <t>450071 Республика Башкортостан город Уфа улица Менделеева дом 170   806</t>
  </si>
  <si>
    <t>ЮЛ020600027100008</t>
  </si>
  <si>
    <t>425601 Республика Башкортостан город Октябрьский улица Островского дом 6А</t>
  </si>
  <si>
    <t>ООО "ЭКСПРЕСС ПЭЙ"</t>
  </si>
  <si>
    <t>1645026651</t>
  </si>
  <si>
    <t>ЮЛ1606032454</t>
  </si>
  <si>
    <t>ЮЛ160603245400001</t>
  </si>
  <si>
    <t>450112 Республика Башкортостан город Уфа улица Кольцевая дом 64</t>
  </si>
  <si>
    <t>ООО "ЛОМБАРД МЕРКУРИЙ"</t>
  </si>
  <si>
    <t>1650407525</t>
  </si>
  <si>
    <t>ЮЛ1606000866</t>
  </si>
  <si>
    <t>ЮЛ160600086600002</t>
  </si>
  <si>
    <t>450038 Республика Башкортостан город Уфа улица Машиностроителей дом 21/1</t>
  </si>
  <si>
    <t>ЮЛ160600086600003</t>
  </si>
  <si>
    <t>450112 Республика Башкортостан город Уфа улица Первомайская дом 43   помещение 12</t>
  </si>
  <si>
    <t>ЮЛ160600086600004</t>
  </si>
  <si>
    <t>450055 Республика Башкортостан город Уфа проспект Октября дом 160   помещение 2</t>
  </si>
  <si>
    <t>ЮЛ160600086600005</t>
  </si>
  <si>
    <t>450105 Республика Башкортостан город Уфа улица Гагарина дом 23   помещение 109</t>
  </si>
  <si>
    <t>ЮЛ160600086600006</t>
  </si>
  <si>
    <t>ЮЛ160600086600007</t>
  </si>
  <si>
    <t>450043 Республика Башкортостан город Уфа улица Транспортная дом 34/3   помещение 164</t>
  </si>
  <si>
    <t>ЮЛ160600086600008</t>
  </si>
  <si>
    <t>450106 Республика Башкортостан город Уфа улица Степана Кувыкина дом 19</t>
  </si>
  <si>
    <t>ЮЛ160600086600009</t>
  </si>
  <si>
    <t>450059 Республика Башкортостан город Уфа улица Рихарда Зорге дом 30</t>
  </si>
  <si>
    <t>ЮЛ160600086600010</t>
  </si>
  <si>
    <t>ЮЛ160600086600011</t>
  </si>
  <si>
    <t>450001 Республика Башкортостан город Уфа проспект Октября дом 10</t>
  </si>
  <si>
    <t>ЮЛ160600086600012</t>
  </si>
  <si>
    <t>450092 Республика Башкортостан город Уфа улица Софьи Перовской дом 23</t>
  </si>
  <si>
    <t>ЮЛ160600086600013</t>
  </si>
  <si>
    <t>450105 Республика Башкортостан город Уфа улица Юрия Гагарина дом 60   офис 2</t>
  </si>
  <si>
    <t>ЮЛ160600086600014</t>
  </si>
  <si>
    <t>450054 Республика Башкортостан город Уфа проспект Октября дом 74   помещение 71</t>
  </si>
  <si>
    <t>ЮЛ160600086600015</t>
  </si>
  <si>
    <t>450005 Республика Башкортостан город Уфа улица Айская дом 79</t>
  </si>
  <si>
    <t>ЮЛ160600086600016</t>
  </si>
  <si>
    <t>453839 Республика Башкортостан город Сибай улица Ленина дом 15/1</t>
  </si>
  <si>
    <t>ИП370200423500007</t>
  </si>
  <si>
    <t>453700 Республика Башкортостан город Учалы улица Ленина дом 31А   бутик № 12</t>
  </si>
  <si>
    <t>ИП370200423500008</t>
  </si>
  <si>
    <t>450006 Республика Башкортостан город Уфа улица Цюрупы дом 97  литера е помещение О1</t>
  </si>
  <si>
    <t>ЮЛ500100602500051</t>
  </si>
  <si>
    <t>450018 Республика Башкортостан город Уфа улица Рубежная дом 174   помещение 31.40</t>
  </si>
  <si>
    <t>ЮЛ500100602500054</t>
  </si>
  <si>
    <t>450080 Республика Башкортостан город Уфа улица Минигали Губайдуллина дом 6   помещение 106,106а, 1 этаж</t>
  </si>
  <si>
    <t>ЮЛ500100602500057</t>
  </si>
  <si>
    <t>450096 Республика Башкортостан город Уфа улица Энтузиастов дом 20   неж. помещение № 230</t>
  </si>
  <si>
    <t>ЮЛ500100602500058</t>
  </si>
  <si>
    <t>450099 Республика Башкортостан город Уфа улица Маршала Жукова дом 4/4</t>
  </si>
  <si>
    <t>ЮЛ470300219500005</t>
  </si>
  <si>
    <t>450005 Республика Башкортостан город Уфа улица 50-летия Октября дом 18   первый этаж здания</t>
  </si>
  <si>
    <t>ИП500100445500012</t>
  </si>
  <si>
    <t>ИП500100445500075</t>
  </si>
  <si>
    <t>453263 Республика Башкортостан город Салават улица Ленина дом 42   бутик № 28</t>
  </si>
  <si>
    <t>ИП440200426400005</t>
  </si>
  <si>
    <t>453400 Республика Башкортостан город Давлеканово улица Красная Площадь дом 12   комната 2</t>
  </si>
  <si>
    <t>ИП440200426400013</t>
  </si>
  <si>
    <t>452755 Республика Башкортостан город Туймазы улица Островского дом 2   77.2</t>
  </si>
  <si>
    <t>ИП440200426400037</t>
  </si>
  <si>
    <t>450006 Республика Башкортостан город Уфа улица Цюрупы дом 97  Е  1 этаж, помещение  О1/3</t>
  </si>
  <si>
    <t>ИП Гумеров Радик Ильнурович</t>
  </si>
  <si>
    <t>505017961774</t>
  </si>
  <si>
    <t>ИП7701005250</t>
  </si>
  <si>
    <t>ИП770100525000000</t>
  </si>
  <si>
    <t>450000 Республика Башкортостан город Уфа улица Энтузиастов дом 20   часть помещения №1.19</t>
  </si>
  <si>
    <t>ЮЛ520603376600150</t>
  </si>
  <si>
    <t>450038 Республика Башкортостан город Уфа улица Машиностроителей дом 19</t>
  </si>
  <si>
    <t>ЮЛ630600259300004</t>
  </si>
  <si>
    <t>452320 Республика Башкортостан город Дюртюли улица Генерала Шаймуратова дом 9</t>
  </si>
  <si>
    <t>ИП630603381400001</t>
  </si>
  <si>
    <t>452687 Республика Башкортостан город Нефтекамск улица Парковая дом 10   квартира 67</t>
  </si>
  <si>
    <t>ИП630603381400004</t>
  </si>
  <si>
    <t>ИП630603381400005</t>
  </si>
  <si>
    <t>ИП630603381400007</t>
  </si>
  <si>
    <t>453215 Республика Башкортостан город Ишимбай улица Стахановская здание 92</t>
  </si>
  <si>
    <t>ИП630603381400009</t>
  </si>
  <si>
    <t>ИП630603381400011</t>
  </si>
  <si>
    <t>ИП630603381400013</t>
  </si>
  <si>
    <t>453126 Республика Башкортостан город Стерлитамак улица Комсомольская здание 5б</t>
  </si>
  <si>
    <t>ИП630603381400014</t>
  </si>
  <si>
    <t>ИП630603381400018</t>
  </si>
  <si>
    <t>452614 Республика Башкортостан город Октябрьский улица Островского дом 6а</t>
  </si>
  <si>
    <t>ИП630603381400021</t>
  </si>
  <si>
    <t>452614 Республика Башкортостан город Октябрьский улица Островского дом 6А</t>
  </si>
  <si>
    <t>ИП630601425400021</t>
  </si>
  <si>
    <t>453103 Республика Башкортостан город Стерлитамак улица Худайбердина дом 120  литера а помещение 106,107,108</t>
  </si>
  <si>
    <t>ИП630601425400050</t>
  </si>
  <si>
    <t>450096 Республика Башкортостан город Уфа улица Энтузиастов дом 20   нежилое помещение 222</t>
  </si>
  <si>
    <t>ИП630601425400064</t>
  </si>
  <si>
    <t>453260 Республика Башкортостан город Салават улица Ленина дом 42</t>
  </si>
  <si>
    <t>ИП630601425400072</t>
  </si>
  <si>
    <t>ИП630601425400076</t>
  </si>
  <si>
    <t>453310 Республика Башкортостан город Кумертау улица Бабаевская здание 5</t>
  </si>
  <si>
    <t>ИП630601425400100</t>
  </si>
  <si>
    <t>453251 Республика Башкортостан город Салават улица Уфимская дом 30а</t>
  </si>
  <si>
    <t>ИП Дворецкая Светлана Владимировна</t>
  </si>
  <si>
    <t>631804292625</t>
  </si>
  <si>
    <t>ИП6306007174</t>
  </si>
  <si>
    <t>ИП630600717400005</t>
  </si>
  <si>
    <t>ИП630600717400006</t>
  </si>
  <si>
    <t>ИП630600717400007</t>
  </si>
  <si>
    <t>452755 Республика Башкортостан город Туймазы улица Островского здание 2</t>
  </si>
  <si>
    <t>ИП Ворожейкин Александр Валентинович</t>
  </si>
  <si>
    <t>631812634826</t>
  </si>
  <si>
    <t>ИП6306006335</t>
  </si>
  <si>
    <t>ИП630600633500000</t>
  </si>
  <si>
    <t>453300 Республика Башкортостан город Кумертау улица Ленина дом 16</t>
  </si>
  <si>
    <t>ИП630600550300000</t>
  </si>
  <si>
    <t>453856 Республика Башкортостан город Мелеуз улица Смоленская дом 31</t>
  </si>
  <si>
    <t>ИП630600550300002</t>
  </si>
  <si>
    <t>453300 Республика Башкортостан город Кумертау улица Карла Маркса дом 34</t>
  </si>
  <si>
    <t>ИП630600550300003</t>
  </si>
  <si>
    <t>452005 Республика Башкортостан город Белебей улица им В.И.Ленина дом 42   квартира 2</t>
  </si>
  <si>
    <t>ИП630600550300009</t>
  </si>
  <si>
    <t>452005 Республика Башкортостан город Белебей улица им Морозова здание 9</t>
  </si>
  <si>
    <t>ИП630600550300011</t>
  </si>
  <si>
    <t>ИП630600550300013</t>
  </si>
  <si>
    <t>452614 Республика Башкортостан город Октябрьский улица Островского здание 6а</t>
  </si>
  <si>
    <t>ИП Куликов Александр Сергеевич</t>
  </si>
  <si>
    <t>631937393742</t>
  </si>
  <si>
    <t>ИП6306007299</t>
  </si>
  <si>
    <t>ИП630600729900001</t>
  </si>
  <si>
    <t>452614 Республика Башкортостан город Октябрьский улица Островского здание 5б</t>
  </si>
  <si>
    <t>ИП630600729900002</t>
  </si>
  <si>
    <t>ИП630600729900003</t>
  </si>
  <si>
    <t>450049 Республика Башкортостан город Уфа улица Маршала Жукова дом 29 блок Б  комната № 90а 4 этаж</t>
  </si>
  <si>
    <t>ИП Иванов Евгений Сергеевич</t>
  </si>
  <si>
    <t>667354512243</t>
  </si>
  <si>
    <t>ИП0206018412</t>
  </si>
  <si>
    <t>ИП020601841200001</t>
  </si>
  <si>
    <t>450112 Республика Башкортостан город Уфа улица Первомайская дом 24   14-15а,16-24</t>
  </si>
  <si>
    <t>ООО "ТЦ "ЮВЕЛИРЫ УРАЛА"</t>
  </si>
  <si>
    <t>6674193127</t>
  </si>
  <si>
    <t>ЮЛ6607038333</t>
  </si>
  <si>
    <t>ЮЛ660703833300007</t>
  </si>
  <si>
    <t>450005 Республика Башкортостан город Уфа улица 50-летия Октября дом 3   44-55,55а,55б,55в,56,56а,57</t>
  </si>
  <si>
    <t>ЮЛ660703833300009</t>
  </si>
  <si>
    <t>450044 Республика Башкортостан город Уфа улица Первомайская  дом 24   помещения № 14-15, 15а, 16-24</t>
  </si>
  <si>
    <t>ООО "ФСМ "ЮВЕЛИРЫ УРАЛА"</t>
  </si>
  <si>
    <t>6674195318</t>
  </si>
  <si>
    <t>ЮЛ6607000879</t>
  </si>
  <si>
    <t>ЮЛ660700087900001</t>
  </si>
  <si>
    <t>450005 Республика Башкортостан город Уфа улица 50-летия Октября дом 3   помещения № 44-57</t>
  </si>
  <si>
    <t>ЮЛ660700087900002</t>
  </si>
  <si>
    <t>450077 Республика Башкортостан город Уфа площадь Верхнеторговая дом 6  литера А помещение 28</t>
  </si>
  <si>
    <t>ЮЛ660701304200003</t>
  </si>
  <si>
    <t>453839 Республика Башкортостан город Сибай улица Ленина дом 15/1   объект №9</t>
  </si>
  <si>
    <t>ИП Рыкова Татьяна Викторовна</t>
  </si>
  <si>
    <t>744513829324</t>
  </si>
  <si>
    <t>ИП7407005050</t>
  </si>
  <si>
    <t>ИП740700505000004</t>
  </si>
  <si>
    <t>453509 Республика Башкортостан город Белорецк улица Точисского дом 27 строение 1  помещение 1, торговый павильон №165</t>
  </si>
  <si>
    <t>ИП740700505000007</t>
  </si>
  <si>
    <t>453509 Республика Башкортостан город Белорецк улица Точисского дом 38   помещение 8</t>
  </si>
  <si>
    <t>ООО Ломбард"Монета"</t>
  </si>
  <si>
    <t>7456024106</t>
  </si>
  <si>
    <t>ЮЛ7407000654</t>
  </si>
  <si>
    <t>ЮЛ740700065400001</t>
  </si>
  <si>
    <t>453839 Республика Башкортостан город Сибай улица Заки Валиди дом 48/1    часть помещения 58</t>
  </si>
  <si>
    <t>ЮЛ740700065400004</t>
  </si>
  <si>
    <t>453103 Республика Башкортостан город Стерлитамак улица Худайбердина владение 120   нежилое помещение 143, этаж 1</t>
  </si>
  <si>
    <t>ЮЛ770101216600168</t>
  </si>
  <si>
    <t>450018 Республика Башкортостан город Уфа улица Рубежная дом 174   помещение 3138, этаж 1</t>
  </si>
  <si>
    <t>ЮЛ770101216600176</t>
  </si>
  <si>
    <t>450037 Республика Башкортостан город Уфа проспект Октября дом 34   часть помещения 47, этаж 1</t>
  </si>
  <si>
    <t>ЮЛ770101216600224</t>
  </si>
  <si>
    <t>453100 Республика Башкортостан город Стерлитамак проспект Октября дом 36   этаж 1</t>
  </si>
  <si>
    <t>ЮЛ770101216600378</t>
  </si>
  <si>
    <t>450065 Республика Башкортостан город Уфа улица Вологодская дом 60   этаж 1, часть помещения № 63</t>
  </si>
  <si>
    <t>ЮЛ770101216600406</t>
  </si>
  <si>
    <t>453856 Республика Башкортостан город Мелеуз улица Ленина здание 202   этаж 1</t>
  </si>
  <si>
    <t>ЮЛ770101216600419</t>
  </si>
  <si>
    <t>450096 Республика Башкортостан город Уфа улица Энтузиастов дом 20   этаж 1, нежилое помещение №33</t>
  </si>
  <si>
    <t>ЮЛ770101216600466</t>
  </si>
  <si>
    <t>450049 Республика Башкортостан город Уфа улица Маршала Жукова дом 29   этаж 1, часть комнаты №38</t>
  </si>
  <si>
    <t>ЮЛ770101216600511</t>
  </si>
  <si>
    <t>450080 Республика Башкортостан город Уфа улица Минигали Губайдуллина дом 6   этаж 1, помещение № О-1/4</t>
  </si>
  <si>
    <t>ЮЛ770101216600518</t>
  </si>
  <si>
    <t>452687 Республика Башкортостан город Нефтекамск проспект Юбилейный строение 18   этаж 1</t>
  </si>
  <si>
    <t>ЮЛ770101216600520</t>
  </si>
  <si>
    <t>450047 Республика Башкортостан город Уфа улица Бакалинская дом 27   этаж 1,  помещение №175</t>
  </si>
  <si>
    <t>ЮЛ770101216600521</t>
  </si>
  <si>
    <t>450006 Республика Башкортостан город Уфа улица Цюрупы дом 97  Литер А этаж 1, нежилое помещение А56</t>
  </si>
  <si>
    <t>ЮЛ770101216600556</t>
  </si>
  <si>
    <t>453215 Республика Башкортостан город Ишимбай улица Стахановская здание 92   помещение 3, часть нежилого помещения № 58</t>
  </si>
  <si>
    <t>ЮЛ770101216600568</t>
  </si>
  <si>
    <t>453260 Республика Башкортостан город Салават улица Ленина дом 42   этаж 1, часть нежилого помещения № 21</t>
  </si>
  <si>
    <t>ЮЛ770101216600611</t>
  </si>
  <si>
    <t>452005 Республика Башкортостан город Белебей улица им Морозова здание 9   этаж 1</t>
  </si>
  <si>
    <t>ЮЛ770101216600638</t>
  </si>
  <si>
    <t>450077 Республика Башкортостан город Уфа площадь Верхнеторговая дом 1   этаж 1, часть нежилого помещения № 165, секция 1А-44</t>
  </si>
  <si>
    <t>ЮЛ770101216600650</t>
  </si>
  <si>
    <t>453100 Республика Башкортостан город Стерлитамак улица Артема дом 96   этаж 1, часть нежилого помещения</t>
  </si>
  <si>
    <t>ЮЛ770101216600806</t>
  </si>
  <si>
    <t>450001 Республика Башкортостан город Уфа, Советский район проспект Октября дом 4 корпус 1  цокольный этаж, нежилое помещение 137/2</t>
  </si>
  <si>
    <t>ЮЛ770101216600861</t>
  </si>
  <si>
    <t>450043 Республика Башкортостан город Уфа улица Ферина дом 29   1 этаж, нежилое помещение №32, 33 часть</t>
  </si>
  <si>
    <t>ЮЛ770101216600869</t>
  </si>
  <si>
    <t>452757 Республика Башкортостан город Туймазы улица Чапаева дом 69   этаж 1</t>
  </si>
  <si>
    <t>ЮЛ770101216600944</t>
  </si>
  <si>
    <t>452320 Республика Башкортостан город Дюртюли улица Генерала Шаймуратова дом 9 помещение 12  этаж 1, часть комнаты № 23</t>
  </si>
  <si>
    <t>ЮЛ770101216600968</t>
  </si>
  <si>
    <t>450047 Республика Башкортостан город Уфа улица Менделеева дом 137   этаж 1, часть нежилого помещения №5</t>
  </si>
  <si>
    <t>ЮЛ770101216601000</t>
  </si>
  <si>
    <t>453509 Республика Башкортостан город Белорецк улица Точисского дом 27 строение 1  помещение 2, этаж 1, нежилое помещение торговый павильон № 101</t>
  </si>
  <si>
    <t>ЮЛ770101216601005</t>
  </si>
  <si>
    <t>450001 Республика Башкортостан город Уфа проспект Октября дом 4</t>
  </si>
  <si>
    <t>ЮЛ770100419400088</t>
  </si>
  <si>
    <t>450037 Республика Башкортостан город Уфа проспект Октября дом 34</t>
  </si>
  <si>
    <t>ЮЛ770100419400090</t>
  </si>
  <si>
    <t>450096 Республика Башкортостан город Уфа улица Энтузиастов дом 20   нежилое помещение №9</t>
  </si>
  <si>
    <t>ЮЛ770100419400232</t>
  </si>
  <si>
    <t>453103 Республика Башкортостан город Стерлитамак улица Худайбердина дом 120   помещение 148, 148/1, 148/2, 1 этаж</t>
  </si>
  <si>
    <t>ЮЛ770100193500040</t>
  </si>
  <si>
    <t>450047 Республика Башкортостан город Уфа улица Бакалинская дом 27   помещение 163, этаж (1) первый</t>
  </si>
  <si>
    <t>ЮЛ770100193500042</t>
  </si>
  <si>
    <t>450096 Республика Башкортостан город Уфа улица Энтузиастов дом 20   помещение 23, первый этаж</t>
  </si>
  <si>
    <t>ЮЛ770100193500044</t>
  </si>
  <si>
    <t>450037 Республика Башкортостан город Уфа проспект Октября дом 34   помещение 61, первый этаж</t>
  </si>
  <si>
    <t>ЮЛ770100193500045</t>
  </si>
  <si>
    <t>450006 Республика Башкортостан город Уфа улица Цюрупы дом 97  литер А помещение А42/43, 1 этаж</t>
  </si>
  <si>
    <t>ЮЛ770100193500484</t>
  </si>
  <si>
    <t>450018 Республика Башкортостан город Уфа улица Рубежная дом 174</t>
  </si>
  <si>
    <t>ЮЛ770100193500583</t>
  </si>
  <si>
    <t>452794 Республика Башкортостан город Туймазы улица Горького здание 41   помещение, этаж 1 (первый)</t>
  </si>
  <si>
    <t>ЮЛ770100193500626</t>
  </si>
  <si>
    <t>453856 Республика Башкортостан город Мелеуз улица Ленина здание 202   этаж 1 (первый)</t>
  </si>
  <si>
    <t>ЮЛ770100193500685</t>
  </si>
  <si>
    <t>450043 Республика Башкортостан город Уфа улица Ферина дом 29   помещение № 35, этаж 1 (первый)</t>
  </si>
  <si>
    <t>ЮЛ770100193500687</t>
  </si>
  <si>
    <t>452005 Республика Башкортостан город Белебей улица им Морозова дом 9   этаж 1 (первый)</t>
  </si>
  <si>
    <t>ЮЛ770100193500707</t>
  </si>
  <si>
    <t>453100 Республика Башкортостан город Стерлитамак улица Артема дом 96   часть нежилого помещения № 44,45,46, этаж 1 (первый)</t>
  </si>
  <si>
    <t>ЮЛ770100193500736</t>
  </si>
  <si>
    <t>450065 Республика Башкортостан город Уфа улица Вологодская дом 60   нежилое помещение № 69, этаж 1 (первый)</t>
  </si>
  <si>
    <t>ЮЛ770100193500744</t>
  </si>
  <si>
    <t>450001 Республика Башкортостан город Уфа проспект Октября дом 4 корпус 1  помещение № 108, этаж 1 (первый)</t>
  </si>
  <si>
    <t>ЮЛ770100193500759</t>
  </si>
  <si>
    <t>453215 Республика Башкортостан город Ишимбай улица Стахановская дом 92   помещение 3, помещения 145, 145а, 146</t>
  </si>
  <si>
    <t>ЮЛ770100193500835</t>
  </si>
  <si>
    <t>450096 Республика Башкортостан город Уфа улица Энтузиастов дом 20   помещение №229, 1 (первый) этаж</t>
  </si>
  <si>
    <t>ЮЛ770100193501088</t>
  </si>
  <si>
    <t>452754 Республика Башкортостан город Туймазы проспект Ленина дом 2   офис 5</t>
  </si>
  <si>
    <t>ЮЛ770100193501102</t>
  </si>
  <si>
    <t>453261 Республика Башкортостан город Салават улица Уфимская дом 30А   помещение 2, помещение 34-35, 1 этаж</t>
  </si>
  <si>
    <t>ЮЛ770100193501120</t>
  </si>
  <si>
    <t>450096 Республика Башкортостан город Уфа улица Энтузиастов дом 20   часть помещения 229, 1 (первый) этаж</t>
  </si>
  <si>
    <t>ЮЛ770100193501138</t>
  </si>
  <si>
    <t>450056 Республика Башкортостан микрорайон Аэропорт (село Булгаково)  здание 1  этаж 2</t>
  </si>
  <si>
    <t>ЮЛ160600373100017</t>
  </si>
  <si>
    <t>ЮЛ770103181900009</t>
  </si>
  <si>
    <t>452754 Республика Башкортостан город Туймазы проспект Ленина дом 2   1 этаж оф.4</t>
  </si>
  <si>
    <t>ИП780300226000003</t>
  </si>
  <si>
    <t>ИП780300226000008</t>
  </si>
  <si>
    <t>452614 Республика Башкортостан город Октябрьский улица Свердлова дом 24   1 этаж, часть нежилых помещений №75,76,85-90</t>
  </si>
  <si>
    <t>ИП780300226000009</t>
  </si>
  <si>
    <t>453852 Республика Башкортостан город Мелеуз улица Ленина дом 133</t>
  </si>
  <si>
    <t>ЮЛ780300323500015</t>
  </si>
  <si>
    <t>ЮЛ780300323500198</t>
  </si>
  <si>
    <t>450017 Республика Башкортостан город Уфа улица Ахметова дом 326</t>
  </si>
  <si>
    <t>ЮЛ780300323500199</t>
  </si>
  <si>
    <t>450112 Республика Башкортостан город Уфа улица Первомайская дом 36</t>
  </si>
  <si>
    <t>ЮЛ780300323500200</t>
  </si>
  <si>
    <t>ЮЛ780300308200098</t>
  </si>
  <si>
    <t>450006 Республика Башкортостан город Уфа улица Цюрупы дом 97  литер Е2</t>
  </si>
  <si>
    <t>ЮЛ780300308200099</t>
  </si>
  <si>
    <t>452683 Республика Башкортостан город Нефтекамск улица Ленина дом 30</t>
  </si>
  <si>
    <t>ЮЛ780300308200166</t>
  </si>
  <si>
    <t>453130 Республика Башкортостан город Стерлитамак улица Мира дом 2б</t>
  </si>
  <si>
    <t>ЮЛ780300308200181</t>
  </si>
  <si>
    <t>450105 Республика Башкортостан город Уфа улица Маршала Жукова дом 29</t>
  </si>
  <si>
    <t>ЮЛ780300308200220</t>
  </si>
  <si>
    <t>ЮЛ780300308200221</t>
  </si>
  <si>
    <t>450001 Республика Башкортостан город Уфа проспект Октября дом 4 корпус 1  часть нежилого помещения № 155</t>
  </si>
  <si>
    <t>ЮЛ780300308200244</t>
  </si>
  <si>
    <t>450018 Республика Башкортостан город Уфа, Кировский район улица Рубежная дом 174   помещение 284, 284а, 284б</t>
  </si>
  <si>
    <t>ЮЛ780300308200261</t>
  </si>
  <si>
    <t>453103 Республика Башкортостан город Стерлитамак улица Худайбердина 120  литер А, литер Л помещение 149</t>
  </si>
  <si>
    <t>ЮЛ780300308200308</t>
  </si>
  <si>
    <t>ЮЛ780300308200314</t>
  </si>
  <si>
    <t>450080 Республика Башкортостан город Уфа улица Минигали Губайдуллина дом 6</t>
  </si>
  <si>
    <t>ЮЛ780300308200496</t>
  </si>
  <si>
    <t>ЮЛ780300308200499</t>
  </si>
  <si>
    <t>450043 Республика Башкортостан город Уфа улица Ферина дом 29   нежилое помещение №34</t>
  </si>
  <si>
    <t>ЮЛ780300308200623</t>
  </si>
  <si>
    <t>452754 Республика Башкортостан город Туймазы проспект Ленина дом 5   офис 4</t>
  </si>
  <si>
    <t>ЮЛ780300308200763</t>
  </si>
  <si>
    <t>452614 Республика Башкортостан город Октябрьский улица Свердлова дом 24   часть нежилых помещений №№75,76, 85-90</t>
  </si>
  <si>
    <t>ЮЛ780300308200766</t>
  </si>
  <si>
    <t>ЮЛ780300308200881</t>
  </si>
  <si>
    <t>450096 Республика Башкортостан город Уфа улица Энтузиастов дом 20   часть нежилого помещения №0,1М</t>
  </si>
  <si>
    <t>ЮЛ780300308201093</t>
  </si>
  <si>
    <t>450065 Республика Башкортостан город Уфа улица Вологодская дом 60   часть помещения № 63</t>
  </si>
  <si>
    <t>ЮЛ780300308201142</t>
  </si>
  <si>
    <t>450096 Республика Башкортостан город Уфа улица Энтузиастов дом 20   нежилое помещение № 11</t>
  </si>
  <si>
    <t>ЮЛ780300308201187</t>
  </si>
  <si>
    <t>ЮЛ780300363500026</t>
  </si>
  <si>
    <t>ЮЛ780300363500245</t>
  </si>
  <si>
    <t>ЮЛ780300363500246</t>
  </si>
  <si>
    <t>ЮЛ780300363500247</t>
  </si>
  <si>
    <t>453103 Республика Башкортостан город Стерлитамак улица Худайбердина дом 120   помещение 156</t>
  </si>
  <si>
    <t>ЮЛ780301261200045</t>
  </si>
  <si>
    <t>450006 Республика Башкортостан город Уфа улица Цюрупы дом 97  Литер Е 1 этаж помещение №24а</t>
  </si>
  <si>
    <t>ЮЛ770100439200004</t>
  </si>
  <si>
    <t>450080 Республика Башкортостан город Уфа улица Минигали Губайдуллина дом 6   помещение №105 1 этаж</t>
  </si>
  <si>
    <t>ЮЛ770100439200005</t>
  </si>
  <si>
    <t>450096 Республика Башкортостан город Уфа улица Энтузиастов дом 20   1 этаж, часть нежилого помещения №5</t>
  </si>
  <si>
    <t>ЮЛ770100439200218</t>
  </si>
  <si>
    <t>450009 Республика Башкортостан город Уфа проспект Октября дом 34   часть изолированного помещения №41, 1 этаж</t>
  </si>
  <si>
    <t>ЮЛ770100439200229</t>
  </si>
  <si>
    <t>450006 Республика Башкортостан город Уфа улица Пархоменко дом 156 корпус 3  этаж 6/помещения №№10,11,12/офис 616</t>
  </si>
  <si>
    <t>ЮЛ770100029500002</t>
  </si>
  <si>
    <t>453260 Республика Башкортостан город Салават улица Островского дом 21</t>
  </si>
  <si>
    <t>ЮЛ770100938700040</t>
  </si>
  <si>
    <t>ЮЛ770100938700063</t>
  </si>
  <si>
    <t>450035 Республика Башкортостан город Уфа улица Коммунаров дом 61   цокольный этаж, торговое место 29</t>
  </si>
  <si>
    <t>ЮЛ770100938700072</t>
  </si>
  <si>
    <t>450035 Республика Башкортостан город Уфа улица Коммунаров дом 61   цокольный этаж, помещение 29/1</t>
  </si>
  <si>
    <t>ЮЛ770101932900012</t>
  </si>
  <si>
    <t>450096 Республика Башкортостан город Уфа улица Энтузиастов дом 20   помещение 229, 1 (первый) этаж</t>
  </si>
  <si>
    <t>ЮЛ770104000500009</t>
  </si>
  <si>
    <t>Республика Бурятия</t>
  </si>
  <si>
    <t>671920 Республика Бурятия Петропавловка Свердлова 25</t>
  </si>
  <si>
    <t>ИП Шестакова Людмила Андреевна</t>
  </si>
  <si>
    <t>30400004369</t>
  </si>
  <si>
    <t>ИП0309009167</t>
  </si>
  <si>
    <t>ИП030900916700000</t>
  </si>
  <si>
    <t>671430 Республика Бурятия село Сосново-Озерское улица Первомайская дом 104</t>
  </si>
  <si>
    <t>СОСНОВО-ОЗЕРСКИЙ СЕЛЬСКИЙ ПОТРЕБИТЕЛЬСКИЙ КООПЕРАТИВ СОСНОВО-ОЗЕРСКИЙ РАБКООП</t>
  </si>
  <si>
    <t>305002299</t>
  </si>
  <si>
    <t>ЮЛ0309019999</t>
  </si>
  <si>
    <t>ЮЛ030901999900000</t>
  </si>
  <si>
    <t>671950 Республика Бурятия Закаменск Ленина 25</t>
  </si>
  <si>
    <t>ИП Федорова Елена Валерьевна</t>
  </si>
  <si>
    <t>30700101420</t>
  </si>
  <si>
    <t>ИП0309003936</t>
  </si>
  <si>
    <t>ИП030900393600000</t>
  </si>
  <si>
    <t>6712000 Республика Бурятия село Кабанск Октябрьская 22</t>
  </si>
  <si>
    <t>ИП Власов Сергей Валерьевич</t>
  </si>
  <si>
    <t>30900033907</t>
  </si>
  <si>
    <t>ИП0309002117</t>
  </si>
  <si>
    <t>ИП030900211700000</t>
  </si>
  <si>
    <t>671247 Республика Бурятия поселок городского типа Селенгинск микрорайон Южный 1А</t>
  </si>
  <si>
    <t>ИП Власова Валентина Ильинична</t>
  </si>
  <si>
    <t>30900321207</t>
  </si>
  <si>
    <t>ИП0309002908</t>
  </si>
  <si>
    <t>ИП030900290800000</t>
  </si>
  <si>
    <t>671450 Республика Бурятия село Кижинга улица Коммунистическая дом 10А</t>
  </si>
  <si>
    <t>ИП Хажеева Сэсэгма Сультимовна</t>
  </si>
  <si>
    <t>31000023810</t>
  </si>
  <si>
    <t>ИП0309002486</t>
  </si>
  <si>
    <t>ИП030900248600000</t>
  </si>
  <si>
    <t>670010 Республика Бурятия город Улан-Удэ улица Пржевальского дом 3</t>
  </si>
  <si>
    <t>ИП030900248600001</t>
  </si>
  <si>
    <t>670045 Республика Бурятия город Улан-Удэ проспект Автомобилистов дом 19</t>
  </si>
  <si>
    <t>ИП030900248600002</t>
  </si>
  <si>
    <t>670000 Республика Бурятия город Улан-Удэ улица Балтахинова дом 17</t>
  </si>
  <si>
    <t>ИП030900248600003</t>
  </si>
  <si>
    <t>671640 Республика Бурятия село Курумкан улица Школьная дом 5   квартира 11</t>
  </si>
  <si>
    <t>ИП Бубдиева Сыржема Цыдыповна</t>
  </si>
  <si>
    <t>31100836618</t>
  </si>
  <si>
    <t>ИП0309032845</t>
  </si>
  <si>
    <t>ИП030903284500000</t>
  </si>
  <si>
    <t>670000 Республика Бурятия город Улан-Удэ Жердева 136/1</t>
  </si>
  <si>
    <t>ИП Петухаева Арюна Нордоповна</t>
  </si>
  <si>
    <t>31101738839</t>
  </si>
  <si>
    <t>ИП0309010888</t>
  </si>
  <si>
    <t>ИП030901088800001</t>
  </si>
  <si>
    <t>671840 Республика Бурятия Кяхта Сергея Лазо 4</t>
  </si>
  <si>
    <t>ИП Лизунова Тамара Петровна</t>
  </si>
  <si>
    <t>31200016369</t>
  </si>
  <si>
    <t>ИП0309005683</t>
  </si>
  <si>
    <t>ИП030900568300000</t>
  </si>
  <si>
    <t>671840 Республика Бурятия город Кяхта улица Серова дом 4</t>
  </si>
  <si>
    <t>ИП Жарникова Анна Петровна</t>
  </si>
  <si>
    <t>31200044045</t>
  </si>
  <si>
    <t>ИП0309009968</t>
  </si>
  <si>
    <t>ИП030900996800000</t>
  </si>
  <si>
    <t>671840 Республика Бурятия Кяхта Крупской 36   21</t>
  </si>
  <si>
    <t>ИП Титов Антон Юрьевич</t>
  </si>
  <si>
    <t>31201878607</t>
  </si>
  <si>
    <t>ИП0309010053</t>
  </si>
  <si>
    <t>ИП030901005300000</t>
  </si>
  <si>
    <t>671561 Республика Бурятия Поселок Таксимо Улица Белорусская Дом 3 "Б"</t>
  </si>
  <si>
    <t>ИП Данилова Тамара Юрьевна</t>
  </si>
  <si>
    <t>31300068988</t>
  </si>
  <si>
    <t>ИП0309010971</t>
  </si>
  <si>
    <t>ИП030901097100000</t>
  </si>
  <si>
    <t>671560 Республика Бурятия поселок городского типа Таксимо улица 70 лет Октября дом 46   квартира 1</t>
  </si>
  <si>
    <t>ИП Петренко Зинаида Ивановна</t>
  </si>
  <si>
    <t>31300088173</t>
  </si>
  <si>
    <t>ИП0309010986</t>
  </si>
  <si>
    <t>ИП030901098600000</t>
  </si>
  <si>
    <t>670000 Республика Бурятия Улан-Удэ Калинина 17   4</t>
  </si>
  <si>
    <t>ИП Насников Евгений Геннадьевич</t>
  </si>
  <si>
    <t>31600418753</t>
  </si>
  <si>
    <t>ИП0309040367</t>
  </si>
  <si>
    <t>ИП030904036700000</t>
  </si>
  <si>
    <t>671624 Республика Бурятия поселок городского типа Усть-Баргузин улица Горького дом 34   этаж 1, павильон 12</t>
  </si>
  <si>
    <t>ИП Литвинова Иулиания Михайловна</t>
  </si>
  <si>
    <t>31603109376</t>
  </si>
  <si>
    <t>ИП0309040145</t>
  </si>
  <si>
    <t>ИП030904014500000</t>
  </si>
  <si>
    <t>671700 Республика Бурятия город Северобайкальск проспект Ленинградский дом 8   этаж 1</t>
  </si>
  <si>
    <t>ИП Тимофеева Валентина Михайловна</t>
  </si>
  <si>
    <t>31700359766</t>
  </si>
  <si>
    <t>ИП0309014686</t>
  </si>
  <si>
    <t>ИП030901468600000</t>
  </si>
  <si>
    <t>671700 Республика Бурятия город Северобайкальск Проспект Ленинградский дом 10А</t>
  </si>
  <si>
    <t>ИП Петренко Светлана Николаевна</t>
  </si>
  <si>
    <t>31701892078</t>
  </si>
  <si>
    <t>ИП0309008376</t>
  </si>
  <si>
    <t>ИП030900837600000</t>
  </si>
  <si>
    <t>671160 Республика Бурятия Гусиноозерск Ленина 26  М</t>
  </si>
  <si>
    <t>ИП Абрамян Асмик Абрамовна</t>
  </si>
  <si>
    <t>31800057230</t>
  </si>
  <si>
    <t>ИП0309009052</t>
  </si>
  <si>
    <t>ИП030900905200000</t>
  </si>
  <si>
    <t>671010 Республика Бурятия село Кырен улица Ленина дом 83</t>
  </si>
  <si>
    <t>ИП Сотникова Ленина Геннадьевна</t>
  </si>
  <si>
    <t>31801393185</t>
  </si>
  <si>
    <t>ИП0309030385</t>
  </si>
  <si>
    <t>ИП030903038500000</t>
  </si>
  <si>
    <t>670033 Республика Бурятия Улан-Удэ улица Жердева дом 104Б</t>
  </si>
  <si>
    <t>ИП Попков Сергей Александрович</t>
  </si>
  <si>
    <t>31900884794</t>
  </si>
  <si>
    <t>ИП0309030681</t>
  </si>
  <si>
    <t>ИП030903068100000</t>
  </si>
  <si>
    <t>670000 Республика Бурятия Улан-Удэ Ленина 39</t>
  </si>
  <si>
    <t>ИП030903068100001</t>
  </si>
  <si>
    <t>671010 Республика Бурятия село Кырен улица Ленина дом 102Б</t>
  </si>
  <si>
    <t>ИП Ябжанова Дина Владимировна</t>
  </si>
  <si>
    <t>32000474356</t>
  </si>
  <si>
    <t>ИП0309014072</t>
  </si>
  <si>
    <t>ИП030901407200000</t>
  </si>
  <si>
    <t>670034 Республика Бурятия город Улан-Удэ улица Цивилева дом 27</t>
  </si>
  <si>
    <t>ООО "ЮВЕЛИРНАЯ МАСТЕРСКАЯ "РУБИН"</t>
  </si>
  <si>
    <t>323000760</t>
  </si>
  <si>
    <t>ЮЛ0309006790</t>
  </si>
  <si>
    <t>ЮЛ030900679000000</t>
  </si>
  <si>
    <t>670033 Республика Бурятия город Улан-Удэ улица Жердева дом 104Б</t>
  </si>
  <si>
    <t>ИП Егорова Анна Юрьевна</t>
  </si>
  <si>
    <t>32301927507</t>
  </si>
  <si>
    <t>ИП0309000971</t>
  </si>
  <si>
    <t>ИП030900097100000</t>
  </si>
  <si>
    <t>670000 Республика Бурятия город Улан-Удэ улица Ленина дом 44</t>
  </si>
  <si>
    <t>ИП Горбачева Ольга Анатольевна</t>
  </si>
  <si>
    <t>32302637790</t>
  </si>
  <si>
    <t>ИП0309002861</t>
  </si>
  <si>
    <t>ИП030900286100000</t>
  </si>
  <si>
    <t>670034 Республика Бурятия город Улан-Удэ улица Цивилева дом 34   помещение 1</t>
  </si>
  <si>
    <t>ИП Смирнов Алексей Геннадьевич</t>
  </si>
  <si>
    <t>32307229442</t>
  </si>
  <si>
    <t>ИП0309003459</t>
  </si>
  <si>
    <t>ИП030900345900000</t>
  </si>
  <si>
    <t>670000 Республика Бурятия город Улан-Удэ улица Балтахинова здание 15 КТЦ Гэлакси  помещение № 121</t>
  </si>
  <si>
    <t>ИП030900345900007</t>
  </si>
  <si>
    <t>670000 Республика Бурятия город Улан-Удэ улица Коммунистическая дом 44   помещение IV</t>
  </si>
  <si>
    <t>ИП030900345900008</t>
  </si>
  <si>
    <t>670000 Республика Бурятия город Улан-Удэ Ленина 39</t>
  </si>
  <si>
    <t>ИП Цыбенов Цыдып Сергеевич</t>
  </si>
  <si>
    <t>32313592975</t>
  </si>
  <si>
    <t>ИП0309015181</t>
  </si>
  <si>
    <t>ИП030901518100001</t>
  </si>
  <si>
    <t>670013 Республика Бурятия город Улан-Удэ улица Ключевская 20   помещение VII</t>
  </si>
  <si>
    <t>ООО "ЛОМБАРД ПЛЮС"</t>
  </si>
  <si>
    <t>323348229</t>
  </si>
  <si>
    <t>ЮЛ0309013894</t>
  </si>
  <si>
    <t>ЮЛ030901389400000</t>
  </si>
  <si>
    <t>670047 Республика Бурятия город Улан-Удэ улица Сахьяновой дом 13   помещение 2</t>
  </si>
  <si>
    <t>ЮЛ030901389400001</t>
  </si>
  <si>
    <t>670033 Республика Бурятия город Улан-Удэ улица Краснофлотская дом 40   кв VIII</t>
  </si>
  <si>
    <t>ЮЛ030901389400002</t>
  </si>
  <si>
    <t>670010 Республика Бурятия город Улан-Удэ улица Гагарина дом 49   помещение 2</t>
  </si>
  <si>
    <t>ЮЛ030901389400003</t>
  </si>
  <si>
    <t>670034 Республика Бурятия город Улан-Удэ проспект 50-летия Октября дом 34   помещение 43</t>
  </si>
  <si>
    <t>ЮЛ030901389400004</t>
  </si>
  <si>
    <t>670049 Республика Бурятия город Улан-Удэ 112 микрорайон дом 34   помещение 4</t>
  </si>
  <si>
    <t>ЮЛ030901389400005</t>
  </si>
  <si>
    <t>670031 Республика Бурятия город Улан-Удэ улица Бабушкина дом 17   помещение 22</t>
  </si>
  <si>
    <t>ЮЛ030901389400006</t>
  </si>
  <si>
    <t>670000 Республика Бурятия город Улан-Удэ улица Коммунистическая дом 12   помещение II</t>
  </si>
  <si>
    <t>ЮЛ030901389400007</t>
  </si>
  <si>
    <t>670002 Республика Бурятия город Улан-Удэ улица Октябрьская дом 30   помещение I (1-12)</t>
  </si>
  <si>
    <t>ЮЛ030901389400008</t>
  </si>
  <si>
    <t>670050 Республика Бурятия город Улан-Удэ улица Туполева дом 1   помещение 14</t>
  </si>
  <si>
    <t>ЮЛ030901389400009</t>
  </si>
  <si>
    <t>670031 Республика Бурятия город Улан-Удэ улица Бабушкина дом 17   квартира 22</t>
  </si>
  <si>
    <t>ООО "ЗОЛОТОЙ"</t>
  </si>
  <si>
    <t>323390527</t>
  </si>
  <si>
    <t>ЮЛ0309017645</t>
  </si>
  <si>
    <t>ЮЛ030901764500000</t>
  </si>
  <si>
    <t>670010 Республика Бурятия город Улан-Удэ улица Гагарина дом 49</t>
  </si>
  <si>
    <t>ЮЛ030901764500002</t>
  </si>
  <si>
    <t>670013 Республика Бурятия город Улан-Удэ улица Ключевская дом 20   помещение VII</t>
  </si>
  <si>
    <t>ЮЛ030901764500003</t>
  </si>
  <si>
    <t>ЮЛ030901764500004</t>
  </si>
  <si>
    <t>ЮЛ030901764500006</t>
  </si>
  <si>
    <t>670000 Республика Бурятия город Улан-Удэ улица Балтахинова дом 15   помещение CLXXXIX</t>
  </si>
  <si>
    <t>ИП030900572300000</t>
  </si>
  <si>
    <t>670000 Республика Бурятия город Улан-Удэ 110 мкр дом 11</t>
  </si>
  <si>
    <t>ИП030900572300003</t>
  </si>
  <si>
    <t>670045 Республика Бурятия город Улан-Удэ проспект Автомобилистов дом 4А</t>
  </si>
  <si>
    <t>ИП030900572300006</t>
  </si>
  <si>
    <t>670000 Республика Бурятия город Улан-Удэ Балтахинова 15</t>
  </si>
  <si>
    <t>ИП030900572300014</t>
  </si>
  <si>
    <t>6700000 Республика Бурятия город Улан-Удэ проспект Победы дом 16</t>
  </si>
  <si>
    <t>ИП Цыбжитов Баир Владимирович</t>
  </si>
  <si>
    <t>32356277583</t>
  </si>
  <si>
    <t>ИП0309009981</t>
  </si>
  <si>
    <t>ИП030900998100000</t>
  </si>
  <si>
    <t>670042 Республика Бурятия город Улан-Удэ улица Сахьяновой дом 9/14   офис 88</t>
  </si>
  <si>
    <t>ИП Балдаева Наталья Петровна</t>
  </si>
  <si>
    <t>32382719333</t>
  </si>
  <si>
    <t>ИП0309006797</t>
  </si>
  <si>
    <t>ИП030900679700000</t>
  </si>
  <si>
    <t>670050 Республика Бурятия город Улан-Удэ улица Камова дом 25   павильон 1/3</t>
  </si>
  <si>
    <t>ИП Голикова Евгения Анатольевна</t>
  </si>
  <si>
    <t>32383515220</t>
  </si>
  <si>
    <t>ИП0309019147</t>
  </si>
  <si>
    <t>ИП030901914700000</t>
  </si>
  <si>
    <t>670031 Республика Бурятия город Улан-Удэ улица Бабушкина дом 12</t>
  </si>
  <si>
    <t>ИП Соболев Андрей Алексеевич</t>
  </si>
  <si>
    <t>32400217931</t>
  </si>
  <si>
    <t>ИП0309010242</t>
  </si>
  <si>
    <t>ИП030901024200000</t>
  </si>
  <si>
    <t>670010 Республика Бурятия город Улан-Удэ улица Пржевальского дом 3   бутик 107</t>
  </si>
  <si>
    <t>ИП Немчинова Светлана Леонидовна</t>
  </si>
  <si>
    <t>32500204781</t>
  </si>
  <si>
    <t>ИП0309000112</t>
  </si>
  <si>
    <t>ИП030900011200000</t>
  </si>
  <si>
    <t>670000 Республика Бурятия город Улан-Удэ улица Свердлова дом 12 Г  305</t>
  </si>
  <si>
    <t>ИП Хомонова Виктория Владленовна</t>
  </si>
  <si>
    <t>32600158930</t>
  </si>
  <si>
    <t>ИП0309001459</t>
  </si>
  <si>
    <t>ИП030900145900000</t>
  </si>
  <si>
    <t>670000 Республика Бурятия город Улан-Удэ улица Балтахинова дом 15 2 этаж  бутик 220</t>
  </si>
  <si>
    <t>ИП030900145900001</t>
  </si>
  <si>
    <t>670034 Республика Бурятия город Улан-Удэ улица Гагарина дом 24</t>
  </si>
  <si>
    <t>ИП030900145900002</t>
  </si>
  <si>
    <t>670000 Республика Бурятия г.Улан-Удэ Ленина 15  1 1</t>
  </si>
  <si>
    <t>ИП030900145900004</t>
  </si>
  <si>
    <t>ИП Соболева Любовь Владиславовна</t>
  </si>
  <si>
    <t>32601073905</t>
  </si>
  <si>
    <t>ИП0309010245</t>
  </si>
  <si>
    <t>ИП030901024500000</t>
  </si>
  <si>
    <t>670034 Республика Бурятия город Улан-Удэ проспект 50-летия Октября дом 4</t>
  </si>
  <si>
    <t>ИП030901024500001</t>
  </si>
  <si>
    <t>670031 Республика Бурятия город Улан-Удэ улица Терешковой дом 7А</t>
  </si>
  <si>
    <t>ИП030901024500004</t>
  </si>
  <si>
    <t>670033 Республика Бурятия город Улан-Удэ улица Жердева здание 136/1</t>
  </si>
  <si>
    <t>ИП030901024500005</t>
  </si>
  <si>
    <t>670031 Республика Бурятия город Улан-Удэ улица Терешковой дом 2   цокольный этаж мастерская</t>
  </si>
  <si>
    <t>ИП Конечных Марина Александровна</t>
  </si>
  <si>
    <t>32602155251</t>
  </si>
  <si>
    <t>ИП0309006803</t>
  </si>
  <si>
    <t>ИП030900680300000</t>
  </si>
  <si>
    <t>670031 Республика Бурятия Город Улан-Удэ Улица Терешковой  дом 20а</t>
  </si>
  <si>
    <t>ИП Вторушина Галина Александровна</t>
  </si>
  <si>
    <t>32606708771</t>
  </si>
  <si>
    <t>ИП0309005724</t>
  </si>
  <si>
    <t>ИП030900572400003</t>
  </si>
  <si>
    <t>670000 Республика Бурятия город Улан-Удэ Гагарина 20, 1 этаж</t>
  </si>
  <si>
    <t>ИП030900572400005</t>
  </si>
  <si>
    <t>670031 Республика Бурятия город Улан-Удэ улица Терешковой дом 2</t>
  </si>
  <si>
    <t>ИП Леонова Анастасия Александровна</t>
  </si>
  <si>
    <t>32609943357</t>
  </si>
  <si>
    <t>ИП2304008751</t>
  </si>
  <si>
    <t>ИП230400875100000</t>
  </si>
  <si>
    <t>670000 Республика Бурятия город Улан-Удэ улица Балтахинова дом 9</t>
  </si>
  <si>
    <t>ИП230400875100001</t>
  </si>
  <si>
    <t>670000 Республика Бурятия город Улан-Удэ улица Балтахинова дом 15   пом. ХХ</t>
  </si>
  <si>
    <t>ИП230400875100002</t>
  </si>
  <si>
    <t>670010 Республика Бурятия город Улан-Удэ улица Пржевальского дом 3   офис 317</t>
  </si>
  <si>
    <t>ИП Хантаева Ия Капитоновна</t>
  </si>
  <si>
    <t>32615728728</t>
  </si>
  <si>
    <t>ИП0309002495</t>
  </si>
  <si>
    <t>ИП030900249500000</t>
  </si>
  <si>
    <t>671160 Республика Бурятия город Гусиноозерск  дом 2 Б   ТЦ "Мега Дом", 1 этаж, офис 1</t>
  </si>
  <si>
    <t>ИП030900249500001</t>
  </si>
  <si>
    <t>670000 Республика Бурятия город Улан-Удэ улица Сухэ-Батора дом 16А</t>
  </si>
  <si>
    <t>ИП Цыбикова Арюна Аркадьевна</t>
  </si>
  <si>
    <t>32615769192</t>
  </si>
  <si>
    <t>ИП0309010251</t>
  </si>
  <si>
    <t>ИП030901025100000</t>
  </si>
  <si>
    <t>670000 Республика Бурятия город Улан-Удэ улица Коммунистическая дом 45</t>
  </si>
  <si>
    <t>ИП030903932900000</t>
  </si>
  <si>
    <t>670002 Республика Бурятия город Улан-Удэ улица Октябрьская дом 19</t>
  </si>
  <si>
    <t>ИП Бочанова Ольга Сергеевна</t>
  </si>
  <si>
    <t>32616958280</t>
  </si>
  <si>
    <t>ИП0309005807</t>
  </si>
  <si>
    <t>ИП030900580700000</t>
  </si>
  <si>
    <t>670000 Республика Бурятия город Улан-Удэ улица Кирова дом 35</t>
  </si>
  <si>
    <t>ИП Соболева Ариана Андреевна</t>
  </si>
  <si>
    <t>32617669348</t>
  </si>
  <si>
    <t>ИП7701016416</t>
  </si>
  <si>
    <t>ИП770101641600000</t>
  </si>
  <si>
    <t>ИП770101641600002</t>
  </si>
  <si>
    <t>670000 Республика Бурятия город Улан-Удэ улица Балтахинова здание 15   1 этаж</t>
  </si>
  <si>
    <t>ИП Бадмаев Андрей Борисович</t>
  </si>
  <si>
    <t>32617755050</t>
  </si>
  <si>
    <t>ИП0309032091</t>
  </si>
  <si>
    <t>ИП030903209100000</t>
  </si>
  <si>
    <t>670047 Республика Бурятия город Улан-Удэ улица Сахьяновой дом 13</t>
  </si>
  <si>
    <t>ИП Орлова Марина Валентиновна</t>
  </si>
  <si>
    <t>32619436081</t>
  </si>
  <si>
    <t>ИП0309038176</t>
  </si>
  <si>
    <t>ИП030903817600000</t>
  </si>
  <si>
    <t>670009 Республика Бурятия Улан-Удэ Хоринская 1  Б 15</t>
  </si>
  <si>
    <t>ООО "ЗОЛОТАЯ МАРКА"</t>
  </si>
  <si>
    <t>326524955</t>
  </si>
  <si>
    <t>ЮЛ0309004345</t>
  </si>
  <si>
    <t>ЮЛ030900434500000</t>
  </si>
  <si>
    <t>670004 Республика Бурятия город Улан-Удэ улица Керамическая дом 1А   помещение 8</t>
  </si>
  <si>
    <t>ООО "ЛОМБАРД "КАРАТ ПЛЮС"</t>
  </si>
  <si>
    <t>326541742</t>
  </si>
  <si>
    <t>ЮЛ0309000373</t>
  </si>
  <si>
    <t>ЮЛ030900037300000</t>
  </si>
  <si>
    <t>670000 Республика Бурятия город Улан-Удэ улица Коммунистическая дом 45  Лит А-1 этаж Х (1-3)</t>
  </si>
  <si>
    <t>ЮЛ030900839800001</t>
  </si>
  <si>
    <t>670018 Республика Бурятия город Улан-Удэ улица Покровская дом 33А блок 2</t>
  </si>
  <si>
    <t>ЮЛ030900839800002</t>
  </si>
  <si>
    <t>671700 Республика Бурятия город Северобайкальск проспект Ленинградский 8</t>
  </si>
  <si>
    <t>ИП Аникина Ксения Геннадьевна</t>
  </si>
  <si>
    <t>246523086621</t>
  </si>
  <si>
    <t>ИП0309036196</t>
  </si>
  <si>
    <t>ИП030903619600000</t>
  </si>
  <si>
    <t>670017 Республика Бурятия город Улан-Удэ улица Балтахинова здание 5   1</t>
  </si>
  <si>
    <t>ИП Алсаев Роман Юрьевич</t>
  </si>
  <si>
    <t>380119963551</t>
  </si>
  <si>
    <t>ИП0309017803</t>
  </si>
  <si>
    <t>ИП030901780300000</t>
  </si>
  <si>
    <t>670033 Республика Бурятия город Улан-Удэ улица Краснофлотская дом 40   кв.VIII</t>
  </si>
  <si>
    <t>ИП Иванов Андрей Александрович</t>
  </si>
  <si>
    <t>380801268810</t>
  </si>
  <si>
    <t>ИП3808035433</t>
  </si>
  <si>
    <t>ИП380803543300000</t>
  </si>
  <si>
    <t>670000 Республика Бурятия город Улан-Удэ улица Коммунистическая дом 12</t>
  </si>
  <si>
    <t>ИП380803543300001</t>
  </si>
  <si>
    <t>670050 Республика Бурятия город Улан-Удэ улица Туполева дом 1</t>
  </si>
  <si>
    <t>ИП380803543300002</t>
  </si>
  <si>
    <t>670000 Республика Бурятия город Улан-Удэ улица Ленина 33   этаж 1, помещ. II: 1-9</t>
  </si>
  <si>
    <t>ЮЛ030900299700000</t>
  </si>
  <si>
    <t>ЮЛ030900299700006</t>
  </si>
  <si>
    <t>670000 Республика Бурятия город Улан-Удэ улица Ленина дом 33</t>
  </si>
  <si>
    <t>ЮЛ030900299700007</t>
  </si>
  <si>
    <t>670000 Республика Бурятия город Улан-Удэ площадь Революции 5</t>
  </si>
  <si>
    <t>ЮЛ030900299700012</t>
  </si>
  <si>
    <t>670034 Республика Бурятия город Улан-Удэ улица Гагарина здание 24</t>
  </si>
  <si>
    <t>ЮЛ030900299700013</t>
  </si>
  <si>
    <t>670034 Республика Бурятия город Улан-Удэ улица Гагарина дом 20</t>
  </si>
  <si>
    <t>ИП380800056300003</t>
  </si>
  <si>
    <t>671200 Республика Бурятия село Кабанск улица Октябрьская дом 20</t>
  </si>
  <si>
    <t>ИП Брянский Александр Николаевич</t>
  </si>
  <si>
    <t>381255540229</t>
  </si>
  <si>
    <t>ИП0309002901</t>
  </si>
  <si>
    <t>ИП030900290100000</t>
  </si>
  <si>
    <t>670033 Республика Бурятия город Улан-Удэ улица Тулаева дом 108</t>
  </si>
  <si>
    <t>ЮЛ380803559400014</t>
  </si>
  <si>
    <t>671700 Республика Бурятия город Северобайкальск проспект Ленинградский дом 8</t>
  </si>
  <si>
    <t>ИП380800056200001</t>
  </si>
  <si>
    <t>ИП770101425100021</t>
  </si>
  <si>
    <t>670033 Республика Бурятия город Улан-Удэ улица Жердева дом 104Б   этаж 1</t>
  </si>
  <si>
    <t>ЮЛ770101216600268</t>
  </si>
  <si>
    <t>670000 Республика Бурятия город Улан-Удэ улица Ленина дом 39   помещение 6, этаж 1</t>
  </si>
  <si>
    <t>ЮЛ770101216600315</t>
  </si>
  <si>
    <t>670000 Республика Бурятия город Улан-Удэ улица Корабельная дом 41   этаж, часть нежилого помещения № 10</t>
  </si>
  <si>
    <t>ЮЛ770101216600659</t>
  </si>
  <si>
    <t>670034 Республика Бурятия город Улан-Удэ улица Гагарина здание 24   этаж 1</t>
  </si>
  <si>
    <t>ЮЛ770101216600997</t>
  </si>
  <si>
    <t>670000 Республика Бурятия город Улан-Удэ улица Ленина дом 39</t>
  </si>
  <si>
    <t>ЮЛ770100419400132</t>
  </si>
  <si>
    <t>670000 Республика Бурятия город Улан-Удэ улица Ленина дом 25   помещения 18,19,20,21,22,23, 1 (первый) этаж</t>
  </si>
  <si>
    <t>ЮЛ770100193500046</t>
  </si>
  <si>
    <t>670045 Республика Бурятия город Улан-Удэ проспект Автомобилистов дом 4А   1 этаж, помещение № 36</t>
  </si>
  <si>
    <t>ЮЛ770100193500047</t>
  </si>
  <si>
    <t>670034 Республика Бурятия город Улан-Удэ проспект 50-летия Октября дом 5   помещение № 1-3, 1-4, 6-12, этаж 1 (первый)</t>
  </si>
  <si>
    <t>ЮЛ770100193500754</t>
  </si>
  <si>
    <t>670031 Республика Бурятия город Улан-Удэ улица Терешковой 24а</t>
  </si>
  <si>
    <t>ЮЛ780300131300186</t>
  </si>
  <si>
    <t>670010 Республика Бурятия город Улан-Удэ улица Гагарина дом 37А</t>
  </si>
  <si>
    <t>ЮЛ780300131300187</t>
  </si>
  <si>
    <t>670000 Республика Бурятия город Улан-Удэ улица Ленина 30А</t>
  </si>
  <si>
    <t>ЮЛ780300131300188</t>
  </si>
  <si>
    <t>670034 Республика Бурятия город Улан-Удэ проспект 50 лет Октября дом 5</t>
  </si>
  <si>
    <t>ЮЛ780300131300189</t>
  </si>
  <si>
    <t>670000 Республика Бурятия город Улан-Удэ улица Кирова дом №37</t>
  </si>
  <si>
    <t>ЮЛ780300131300190</t>
  </si>
  <si>
    <t>670034 Республика Бурятия город Улан-Удэ проспект 50 лет Октября дом 6А</t>
  </si>
  <si>
    <t>ЮЛ780300131300191</t>
  </si>
  <si>
    <t>ЮЛ780300308200360</t>
  </si>
  <si>
    <t>670000 Республика Бурятия город Улан-Удэ улица Кирова дом 37</t>
  </si>
  <si>
    <t>ЮЛ780300308200932</t>
  </si>
  <si>
    <t>670034 Республика Бурятия город Улан-Удэ проспект 50-летия Октября дом 5</t>
  </si>
  <si>
    <t>ЮЛ780300308200934</t>
  </si>
  <si>
    <t>670034 Республика Бурятия город Улан-Удэ проспект 50-летия Октября дом 6А</t>
  </si>
  <si>
    <t>ЮЛ780300308200935</t>
  </si>
  <si>
    <t>670000 Республика Бурятия город Улан-Удэ улица Ленина дом 30А</t>
  </si>
  <si>
    <t>ЮЛ780300308200971</t>
  </si>
  <si>
    <t>670031 Республика Бурятия город Улан-Удэ улица Терешковой дом 24а</t>
  </si>
  <si>
    <t>ЮЛ780300308200982</t>
  </si>
  <si>
    <t>ЮЛ780300308201035</t>
  </si>
  <si>
    <t>Республика Дагестан</t>
  </si>
  <si>
    <t>368572 Республика Дагестан село Кубачи улица Юсупа Ахмедова дом 94</t>
  </si>
  <si>
    <t>ООО "КУБАЧИНСКИЙ ХУДОЖЕСТВЕННЫЙ КОМБИНАТ"</t>
  </si>
  <si>
    <t>500026279</t>
  </si>
  <si>
    <t>ЮЛ0505038689</t>
  </si>
  <si>
    <t>ЮЛ050503868900000</t>
  </si>
  <si>
    <t>367000 Республика Дагестан город Махачкала улица Ирчи Казака дом 111</t>
  </si>
  <si>
    <t>ИП Абдуллаев Магарам Тажутинович</t>
  </si>
  <si>
    <t>50200054478</t>
  </si>
  <si>
    <t>ИП0505004020</t>
  </si>
  <si>
    <t>ИП050500402000001</t>
  </si>
  <si>
    <t>367000 Республика Дагестан город Махачкала улица Дахадаева дом 44   квартира 9</t>
  </si>
  <si>
    <t>ИП Габибуллаев Шамиль Валиевич</t>
  </si>
  <si>
    <t>50200110700</t>
  </si>
  <si>
    <t>ИП0505005371</t>
  </si>
  <si>
    <t>ИП050500537100000</t>
  </si>
  <si>
    <t>367000 Республика Дагестан город Махачкала улица Ирчи Казака дом 144</t>
  </si>
  <si>
    <t>ИП Ганаева Гажар Омаровна</t>
  </si>
  <si>
    <t>50200809986</t>
  </si>
  <si>
    <t>ИП0505002724</t>
  </si>
  <si>
    <t>ИП050500272400000</t>
  </si>
  <si>
    <t>368287 Республика Дагестан село Балхар</t>
  </si>
  <si>
    <t>ИП Якубова Барият Абакаровна</t>
  </si>
  <si>
    <t>50204820162</t>
  </si>
  <si>
    <t>ИП0505036981</t>
  </si>
  <si>
    <t>ИП050503698100000</t>
  </si>
  <si>
    <t>368300 Республика Дагестан город Каспийск улица Ленина дом 35   этаж 2</t>
  </si>
  <si>
    <t>ИП Бахмудова Патимат Гаджиисаевна</t>
  </si>
  <si>
    <t>50703251539</t>
  </si>
  <si>
    <t>ИП0505037120</t>
  </si>
  <si>
    <t>ИП050503712000000</t>
  </si>
  <si>
    <t>368215 Республика Дагестан село Халимбекаул</t>
  </si>
  <si>
    <t>ИП Зайналбекова Нюржаган Гасановна</t>
  </si>
  <si>
    <t>50706552326</t>
  </si>
  <si>
    <t>ИП5001036767</t>
  </si>
  <si>
    <t>ИП500103676700000</t>
  </si>
  <si>
    <t>367000 Республика Дагестан город Махачкала улица Хизроева дом 81г   301</t>
  </si>
  <si>
    <t>ИП Омаржанова Рахмат Багавудиновна</t>
  </si>
  <si>
    <t>50800423624</t>
  </si>
  <si>
    <t>ИП0505037517</t>
  </si>
  <si>
    <t>ИП050503751700000</t>
  </si>
  <si>
    <t>ИП Далгатов Гаджимурад Магомедович</t>
  </si>
  <si>
    <t>50800502298</t>
  </si>
  <si>
    <t>ИП0505002722</t>
  </si>
  <si>
    <t>ИП050500272200000</t>
  </si>
  <si>
    <t>368121 Республика Дагестан город Кизилюрт улица Г.Цадаса дом 44   квартира 1</t>
  </si>
  <si>
    <t>ИП Салихова Патимат Алмасовна</t>
  </si>
  <si>
    <t>50900039806</t>
  </si>
  <si>
    <t>ИП0505013177</t>
  </si>
  <si>
    <t>ИП050501317700000</t>
  </si>
  <si>
    <t>367000 Республика Дагестан город Махачкала улица Коркмасова дом 38</t>
  </si>
  <si>
    <t>ИП Хурдаев Гаджи-Магомед Гасан-Гусейнович</t>
  </si>
  <si>
    <t>51100046563</t>
  </si>
  <si>
    <t>ИП0505003561</t>
  </si>
  <si>
    <t>ИП050500356100000</t>
  </si>
  <si>
    <t>367010 Республика Дагестан город Махачкала улица Юсупа Акаева дом 25 корпус А  8/м/а</t>
  </si>
  <si>
    <t>ИП Инжиев Гаджиахмед Гаджимурадович</t>
  </si>
  <si>
    <t>51100050400</t>
  </si>
  <si>
    <t>ИП0505000949</t>
  </si>
  <si>
    <t>ИП050500094900000</t>
  </si>
  <si>
    <t>ИП Юхаранов Гаджияхя Захария Оглы</t>
  </si>
  <si>
    <t>51100053850</t>
  </si>
  <si>
    <t>ИП0505017948</t>
  </si>
  <si>
    <t>ИП050501794800000</t>
  </si>
  <si>
    <t>367003 Республика Дагестан город Махачкала переулок Садовый 1-й дом 9</t>
  </si>
  <si>
    <t>ИП Муллаев Гаджимагомед Гаджигасанович</t>
  </si>
  <si>
    <t>51100068542</t>
  </si>
  <si>
    <t>ИП0505037315</t>
  </si>
  <si>
    <t>ИП050503731500000</t>
  </si>
  <si>
    <t>368572 Республика Дагестан село Кубачи улица Кубасана 1</t>
  </si>
  <si>
    <t>ЮЛ050500827400000</t>
  </si>
  <si>
    <t>368572 Республика Дагестан село Кубачи</t>
  </si>
  <si>
    <t>ИП Алиханов Гаджимагомед Гаджиибрагимович</t>
  </si>
  <si>
    <t>51100960791</t>
  </si>
  <si>
    <t>ИП0505013866</t>
  </si>
  <si>
    <t>ИП050501386600000</t>
  </si>
  <si>
    <t>367026 Республика Дагестан город Махачкала улица Хизроева дом 81  А 304</t>
  </si>
  <si>
    <t>ИП Магомедов Магомед Сулайбанович</t>
  </si>
  <si>
    <t>51100982918</t>
  </si>
  <si>
    <t>ИП2304034072</t>
  </si>
  <si>
    <t>ИП230403407200000</t>
  </si>
  <si>
    <t>ИП Гакачиев Гаджимагомед Расулович</t>
  </si>
  <si>
    <t>51101221458</t>
  </si>
  <si>
    <t>ИП0505037029</t>
  </si>
  <si>
    <t>ИП050503702900000</t>
  </si>
  <si>
    <t>367003 Республика Дагестан город Махачкала улица Юсупова дом 51Ж  ЛИТЕР А ПЕРВЫЙ ЭТАЖ</t>
  </si>
  <si>
    <t>ИП Чупанисаева Зейнаб Гаджиабдуллаевна</t>
  </si>
  <si>
    <t>51101567618</t>
  </si>
  <si>
    <t>ИП0505031774</t>
  </si>
  <si>
    <t>ИП050503177400000</t>
  </si>
  <si>
    <t>367913 Республика Дагестан город Махачкала проспект Расула Гамзатова дом 17</t>
  </si>
  <si>
    <t>ИП Хурдаев Алигаджи Магомедович</t>
  </si>
  <si>
    <t>51101736930</t>
  </si>
  <si>
    <t>ИП0505013092</t>
  </si>
  <si>
    <t>ИП050501309200000</t>
  </si>
  <si>
    <t>368572 Республика Дагестан село Кубачи Абдула Алиева 38 А</t>
  </si>
  <si>
    <t>ИП Уммалатов Рабадан Гаджимурадович</t>
  </si>
  <si>
    <t>51102151676</t>
  </si>
  <si>
    <t>ИП0505011445</t>
  </si>
  <si>
    <t>ИП050501144500000</t>
  </si>
  <si>
    <t>ИП Рабазанова Разият Гаджиатаевна</t>
  </si>
  <si>
    <t>51102826784</t>
  </si>
  <si>
    <t>ИП0505038873</t>
  </si>
  <si>
    <t>ИП050503887300000</t>
  </si>
  <si>
    <t>367030 Республика Дагестан город Махачкала улица Ирчи Казака дом 111</t>
  </si>
  <si>
    <t>ИП Ахмедов Гасан Ахмедович</t>
  </si>
  <si>
    <t>51102853724</t>
  </si>
  <si>
    <t>ИП0505017851</t>
  </si>
  <si>
    <t>ИП050501785100000</t>
  </si>
  <si>
    <t>367013 Республика Дагестан город Махачкала проспект Гамидова дом 61  Литер-А1</t>
  </si>
  <si>
    <t>ИП Гаджигасанов Рабадан Гаджигасанович</t>
  </si>
  <si>
    <t>51103173915</t>
  </si>
  <si>
    <t>ИП0505001227</t>
  </si>
  <si>
    <t>ИП050500122700000</t>
  </si>
  <si>
    <t>ИП Юнусов Ахмед Абдулхаликович</t>
  </si>
  <si>
    <t>51103267803</t>
  </si>
  <si>
    <t>ИП0505008006</t>
  </si>
  <si>
    <t>ИП050500800600000</t>
  </si>
  <si>
    <t>367000 Республика Дагестан город Махачкала улица Ирчи Казака дом 111   20</t>
  </si>
  <si>
    <t>ИП Тыкаев Курбан Гаджи-Ибрагимович</t>
  </si>
  <si>
    <t>51103269350</t>
  </si>
  <si>
    <t>ИП0505019980</t>
  </si>
  <si>
    <t>ИП050501998000000</t>
  </si>
  <si>
    <t>367000 Республика Дагестан город Махачкала добролюбова 14 а</t>
  </si>
  <si>
    <t>ИП Каймарасова Гаджикиз Рабадановна</t>
  </si>
  <si>
    <t>51103631587</t>
  </si>
  <si>
    <t>ИП0505040519</t>
  </si>
  <si>
    <t>ИП050504051900000</t>
  </si>
  <si>
    <t>ИП Хурдаева Мадина Магомедовна</t>
  </si>
  <si>
    <t>51103663035</t>
  </si>
  <si>
    <t>ИП0505005367</t>
  </si>
  <si>
    <t>ИП050500536700000</t>
  </si>
  <si>
    <t>368300 Республика Дагестан город Каспийск улица Орджоникидзе дом 17/9</t>
  </si>
  <si>
    <t>ИП Чамкуралов Гаджиибрагим Гаджиомарович</t>
  </si>
  <si>
    <t>51103752415</t>
  </si>
  <si>
    <t>ИП0505017176</t>
  </si>
  <si>
    <t>ИП050501717600000</t>
  </si>
  <si>
    <t>367030 Республика Дагестан Махачкала ул Ирчи-Казака 111</t>
  </si>
  <si>
    <t>ИП Аммалаева Гульнара Маммаевна</t>
  </si>
  <si>
    <t>51104076551</t>
  </si>
  <si>
    <t>ИП0505036256</t>
  </si>
  <si>
    <t>ИП050503625600000</t>
  </si>
  <si>
    <t>367911 Республика Дагестан город Махачкала улица Орджоникидзе дом 160</t>
  </si>
  <si>
    <t>ИП Багаев Гаджиали Гаджимагомедович</t>
  </si>
  <si>
    <t>51120251225</t>
  </si>
  <si>
    <t>ИП0505016637</t>
  </si>
  <si>
    <t>ИП050501663700000</t>
  </si>
  <si>
    <t>367027 Республика Дагестан г. Махачкала проспект А. Акушинского 14 4</t>
  </si>
  <si>
    <t>ИП Хулабеков Загир Магомедович</t>
  </si>
  <si>
    <t>51120539486</t>
  </si>
  <si>
    <t>ИП0505005950</t>
  </si>
  <si>
    <t>ИП050500595000000</t>
  </si>
  <si>
    <t>368300 Республика Дагестан город Каспийск линия 26-я  строение 6  1</t>
  </si>
  <si>
    <t>ИП Киблаев Закарья Гаджиахмедович</t>
  </si>
  <si>
    <t>51127453076</t>
  </si>
  <si>
    <t>ИП0505000088</t>
  </si>
  <si>
    <t>ИП050500008800000</t>
  </si>
  <si>
    <t>367000 Республика Дагестан город Махачкала улица Ирчи Казака дом 111 - - -</t>
  </si>
  <si>
    <t>ИП Гадуниева Зумрут Магомедгаджиевна</t>
  </si>
  <si>
    <t>51127463571</t>
  </si>
  <si>
    <t>ИП0505035803</t>
  </si>
  <si>
    <t>ИП050503580300000</t>
  </si>
  <si>
    <t>ИП Магамедов Багутдин Умаргаджиевич</t>
  </si>
  <si>
    <t>51127613629</t>
  </si>
  <si>
    <t>ИП0505039874</t>
  </si>
  <si>
    <t>ИП050503987400000</t>
  </si>
  <si>
    <t>368301 Республика Дагестан город Каспийск улица Приморская здание 11А</t>
  </si>
  <si>
    <t>ИП Тагиров Магомед Юсупович</t>
  </si>
  <si>
    <t>52001044479</t>
  </si>
  <si>
    <t>ИП0505039833</t>
  </si>
  <si>
    <t>ИП050503983300000</t>
  </si>
  <si>
    <t>ИП Умаев Магомед Ибрагимович</t>
  </si>
  <si>
    <t>52100216626</t>
  </si>
  <si>
    <t>ИП0505001120</t>
  </si>
  <si>
    <t>ИП050500112000001</t>
  </si>
  <si>
    <t>ИП Газиева Абидат Абакаровна</t>
  </si>
  <si>
    <t>52101610505</t>
  </si>
  <si>
    <t>ИП0505004397</t>
  </si>
  <si>
    <t>ИП050500439700000</t>
  </si>
  <si>
    <t>ИП Магомедова Патимат Магомедовна</t>
  </si>
  <si>
    <t>52108015992</t>
  </si>
  <si>
    <t>ИП0505032426</t>
  </si>
  <si>
    <t>ИП050503242600000</t>
  </si>
  <si>
    <t>ИП Шихмурадова Марият Нисрединовна</t>
  </si>
  <si>
    <t>52347888691</t>
  </si>
  <si>
    <t>ИП0505002720</t>
  </si>
  <si>
    <t>ИП050500272000000</t>
  </si>
  <si>
    <t>368850 Республика Дагестан село Терекли-Мектеб улица Эдиге дом 33/2</t>
  </si>
  <si>
    <t>ИП Кадирова Гульшаар Хамаровна</t>
  </si>
  <si>
    <t>52500178703</t>
  </si>
  <si>
    <t>ИП0505008546</t>
  </si>
  <si>
    <t>ИП050500854600000</t>
  </si>
  <si>
    <t>368850 Республика Дагестан Терекли-Мектеб Эдиге 68/3</t>
  </si>
  <si>
    <t>ИП Болатова Зарина Явгайтаровна</t>
  </si>
  <si>
    <t>52512418501</t>
  </si>
  <si>
    <t>ИП0505000569</t>
  </si>
  <si>
    <t>ИП050500056900000</t>
  </si>
  <si>
    <t>367000 Республика Дагестан город Махачкала Магомедтагирова 184-а</t>
  </si>
  <si>
    <t>ИП Гаджиев Гаджияв Магомедалиевич</t>
  </si>
  <si>
    <t>53300465318</t>
  </si>
  <si>
    <t>ИП0505000101</t>
  </si>
  <si>
    <t>ИП050500010100000</t>
  </si>
  <si>
    <t>367014 Республика Дагестан город Махачкала улица Газопроводная дом 2А</t>
  </si>
  <si>
    <t>ИП050500010100005</t>
  </si>
  <si>
    <t>368009 Республика Дагестан город Хасавюрт улица Тотурбиева дом 146   271</t>
  </si>
  <si>
    <t>ИП Гаджимурадова Зарема Мавлудиновна</t>
  </si>
  <si>
    <t>53414609524</t>
  </si>
  <si>
    <t>ИП0505014187</t>
  </si>
  <si>
    <t>ИП050501418700000</t>
  </si>
  <si>
    <t>ИП Хабибулаева Абидат Магомедовна</t>
  </si>
  <si>
    <t>54100005570</t>
  </si>
  <si>
    <t>ИП0505003153</t>
  </si>
  <si>
    <t>ИП050500315300000</t>
  </si>
  <si>
    <t>368601 Республика Дагестан город Дербент улица Канделаки дом 17а</t>
  </si>
  <si>
    <t>ИП Гатамов Гаджимурад Гебекович</t>
  </si>
  <si>
    <t>54200271007</t>
  </si>
  <si>
    <t>ИП0505012588</t>
  </si>
  <si>
    <t>ИП050501258800001</t>
  </si>
  <si>
    <t>368608 Республика Дагестан город Дербент улица 345 Дагестанской Стрелковой Дивизии дом 8/1</t>
  </si>
  <si>
    <t>ИП Асалиева Олеся Феталиевна</t>
  </si>
  <si>
    <t>54202288648</t>
  </si>
  <si>
    <t>ИП0505039714</t>
  </si>
  <si>
    <t>ИП050503971400000</t>
  </si>
  <si>
    <t>368300 Республика Дагестан город Каспийск линия 26  строение 6</t>
  </si>
  <si>
    <t>ИП Акутаева Лейла Гаджиевна</t>
  </si>
  <si>
    <t>54203377509</t>
  </si>
  <si>
    <t>ИП0505033176</t>
  </si>
  <si>
    <t>ИП050503317600000</t>
  </si>
  <si>
    <t>367029 Республика Дагестан город Махачкала проспект Имама Шамиля дом 31г  А1 павильон 5</t>
  </si>
  <si>
    <t>ИП Омаров Гаджирабадан Абдулхаликович</t>
  </si>
  <si>
    <t>54204697406</t>
  </si>
  <si>
    <t>ИП0505013180</t>
  </si>
  <si>
    <t>ИП050501318000000</t>
  </si>
  <si>
    <t>368600 Республика Дагестан город Дербент улица Таги-заде дом 30 Б  01</t>
  </si>
  <si>
    <t>ИП050501318000003</t>
  </si>
  <si>
    <t>368602 Республика Дагестан город Дербент улица В.Ленина дом 93</t>
  </si>
  <si>
    <t>ИП Мамедова Арзу Надировна</t>
  </si>
  <si>
    <t>54205687721</t>
  </si>
  <si>
    <t>ИП0505040143</t>
  </si>
  <si>
    <t>ИП050504014300000</t>
  </si>
  <si>
    <t>368601 Республика Дагестан город Дербент улица Курбанова С.Д. дом 42   помещение 1</t>
  </si>
  <si>
    <t>ИП Демирова Заира Насировна</t>
  </si>
  <si>
    <t>54205976392</t>
  </si>
  <si>
    <t>ИП0505008534</t>
  </si>
  <si>
    <t>ИП050500853400000</t>
  </si>
  <si>
    <t>368601 Республика Дагестан город Дербент улица Таги-Заде дом 104</t>
  </si>
  <si>
    <t>ИП Бабаева Рима Саидмагомедовна</t>
  </si>
  <si>
    <t>54206696119</t>
  </si>
  <si>
    <t>ИП0505019804</t>
  </si>
  <si>
    <t>ИП050501980400000</t>
  </si>
  <si>
    <t>368601 Республика Дагестан город Дербент улица Сальмана дом 3</t>
  </si>
  <si>
    <t>ИП Гасанов Халимбек Ибрагимович</t>
  </si>
  <si>
    <t>54207184811</t>
  </si>
  <si>
    <t>ИП0505006417</t>
  </si>
  <si>
    <t>ИП050500641700000</t>
  </si>
  <si>
    <t>ИП Алиханова Тамамат Абдулхаликовна</t>
  </si>
  <si>
    <t>54207186689</t>
  </si>
  <si>
    <t>ИП0505003120</t>
  </si>
  <si>
    <t>ИП050500312000000</t>
  </si>
  <si>
    <t>368601 Республика Дагестан город Дербент Пушкина  41   14</t>
  </si>
  <si>
    <t>ИП Шамова Разият Ибрагимовна</t>
  </si>
  <si>
    <t>54207928877</t>
  </si>
  <si>
    <t>ИП0505040774</t>
  </si>
  <si>
    <t>ИП050504077400000</t>
  </si>
  <si>
    <t>368601 Республика Дагестан город Дербент улица Пушкина дом 84</t>
  </si>
  <si>
    <t>ИП Гасанова Зумруд Ильясовна</t>
  </si>
  <si>
    <t>54209717800</t>
  </si>
  <si>
    <t>ИП0505033741</t>
  </si>
  <si>
    <t>ИП050503374100000</t>
  </si>
  <si>
    <t>368600 Республика Дагестан город Дербент улица Сальмана дом 89м</t>
  </si>
  <si>
    <t>ИП Гаджиисаев Абдулла Махмудович</t>
  </si>
  <si>
    <t>54269500400</t>
  </si>
  <si>
    <t>ИП0505019600</t>
  </si>
  <si>
    <t>ИП050501960000000</t>
  </si>
  <si>
    <t>ИП Гаджалов Курбан Ахмедхан Оглы</t>
  </si>
  <si>
    <t>54279119032</t>
  </si>
  <si>
    <t>ИП0505038859</t>
  </si>
  <si>
    <t>ИП050503885900000</t>
  </si>
  <si>
    <t>368009 Республика Дагестан город Хасавюрт улица Тотурбиева домовладение 146</t>
  </si>
  <si>
    <t>ИП Магомедов Магомед Закаригаевич</t>
  </si>
  <si>
    <t>54400409598</t>
  </si>
  <si>
    <t>ИП0505031227</t>
  </si>
  <si>
    <t>ИП050503122700000</t>
  </si>
  <si>
    <t>368009 Республика Дагестан город Хасавюрт улица Гамидова домовладение 70</t>
  </si>
  <si>
    <t>ИП Моллакаев Джамболат Ильмидинович</t>
  </si>
  <si>
    <t>54404275867</t>
  </si>
  <si>
    <t>ИП0505031899</t>
  </si>
  <si>
    <t>ИП050503189900000</t>
  </si>
  <si>
    <t>ИП Мугуева Заира Арсеновна</t>
  </si>
  <si>
    <t>54404854430</t>
  </si>
  <si>
    <t>ИП0505036659</t>
  </si>
  <si>
    <t>ИП050503665900000</t>
  </si>
  <si>
    <t>368304 Республика Дагестан город Каспийск линия 4-я дом 38</t>
  </si>
  <si>
    <t>ИП Чавтараев Сагир Мусаевич</t>
  </si>
  <si>
    <t>54500148131</t>
  </si>
  <si>
    <t>ИП0505005089</t>
  </si>
  <si>
    <t>ИП050500508900000</t>
  </si>
  <si>
    <t>ИП050500508900001</t>
  </si>
  <si>
    <t>368602 Республика Дагестан город Дербент улица Таги-Заде домовладение 124</t>
  </si>
  <si>
    <t>ИП Гаджикаибов Сагид Мирзабалаевич</t>
  </si>
  <si>
    <t>54500539576</t>
  </si>
  <si>
    <t>ИП7701038099</t>
  </si>
  <si>
    <t>ИП770103809900000</t>
  </si>
  <si>
    <t>367000 Республика Дагестан город Махачкала улица Коркмасова дом 14 ОАО "Махачкалинский ЦУМ" 1 этаж</t>
  </si>
  <si>
    <t>ИП Гамзатова Асият Магомедовна</t>
  </si>
  <si>
    <t>54501207703</t>
  </si>
  <si>
    <t>ИП0505014829</t>
  </si>
  <si>
    <t>ИП050501482900000</t>
  </si>
  <si>
    <t>368300 Республика Дагестан город Каспийск улица Ленина дом 46</t>
  </si>
  <si>
    <t>ИП Анасова Джамиля Магомедовна</t>
  </si>
  <si>
    <t>54502309666</t>
  </si>
  <si>
    <t>ИП0505039875</t>
  </si>
  <si>
    <t>ИП050503987500000</t>
  </si>
  <si>
    <t>368572 Республика Дагестан село Кубачи Кубасана 1</t>
  </si>
  <si>
    <t>ООО "СИЛВЕР ЛЮКС"</t>
  </si>
  <si>
    <t>545026991</t>
  </si>
  <si>
    <t>ЮЛ0505005485</t>
  </si>
  <si>
    <t>ЮЛ050500548500000</t>
  </si>
  <si>
    <t>368300 Республика Дагестан город Каспийск линия 26-я строение 6</t>
  </si>
  <si>
    <t>ИП Асилалов Тимур Магомедович</t>
  </si>
  <si>
    <t>54503194200</t>
  </si>
  <si>
    <t>ИП0505007953</t>
  </si>
  <si>
    <t>ИП050500795300000</t>
  </si>
  <si>
    <t>ИП Омаров Арсен Гаджиакаевич</t>
  </si>
  <si>
    <t>54514895775</t>
  </si>
  <si>
    <t>ИП0505000828</t>
  </si>
  <si>
    <t>ИП050500082800000</t>
  </si>
  <si>
    <t>ИП Умаева Зумруд Гаджимаммаевна</t>
  </si>
  <si>
    <t>54517004064</t>
  </si>
  <si>
    <t>ИП0505039368</t>
  </si>
  <si>
    <t>ИП050503936800000</t>
  </si>
  <si>
    <t>367010 Республика Дагестан город Махачкала проспект Али-Гаджи Акушинского дом 34</t>
  </si>
  <si>
    <t>ИП Нугаева Мадина Абдулмажидовна</t>
  </si>
  <si>
    <t>54598854525</t>
  </si>
  <si>
    <t>ИП0505039182</t>
  </si>
  <si>
    <t>ИП050503918200000</t>
  </si>
  <si>
    <t>ИП Юзбашева Айзанат Абдуллаевна</t>
  </si>
  <si>
    <t>54599825510</t>
  </si>
  <si>
    <t>ИП0505030840</t>
  </si>
  <si>
    <t>ИП050503084000000</t>
  </si>
  <si>
    <t>368502 Республика Дагестан город Избербаш улица Комсомольская дом 21</t>
  </si>
  <si>
    <t>ИП Алмасов Гаджиали Алмасович</t>
  </si>
  <si>
    <t>54800036005</t>
  </si>
  <si>
    <t>ИП0505014983</t>
  </si>
  <si>
    <t>ИП050501498300000</t>
  </si>
  <si>
    <t>367000 Республика Дагестан город Махачкала улица Захарочкина дом 8</t>
  </si>
  <si>
    <t>ИП Бугаев Саид Мамедханович</t>
  </si>
  <si>
    <t>54800537146</t>
  </si>
  <si>
    <t>ИП0505034711</t>
  </si>
  <si>
    <t>ИП050503471100000</t>
  </si>
  <si>
    <t>368502 Республика Дагестан город Избербаш улица Советская здание 28</t>
  </si>
  <si>
    <t>ИП Бийбалаева Гульбарият Абдулмуслимовна</t>
  </si>
  <si>
    <t>54803771708</t>
  </si>
  <si>
    <t>ИП0505036416</t>
  </si>
  <si>
    <t>ИП050503641600000</t>
  </si>
  <si>
    <t>368501 Республика Дагестан город Избербаш улица Г.Брода дом 2</t>
  </si>
  <si>
    <t>ИП Бугаев Гаджимамма Мамедханович</t>
  </si>
  <si>
    <t>54804225067</t>
  </si>
  <si>
    <t>ИП0505015986</t>
  </si>
  <si>
    <t>ИП050501598600000</t>
  </si>
  <si>
    <t>ИП Ибрагимова Альпият Мутаевна</t>
  </si>
  <si>
    <t>54804843659</t>
  </si>
  <si>
    <t>ИП0505012589</t>
  </si>
  <si>
    <t>ИП050501258900000</t>
  </si>
  <si>
    <t>367000 Республика Дагестан город Махачкала улица Ирчи Казака дом 111 0 0 0</t>
  </si>
  <si>
    <t>ИП Таилов Гаджикурбан Расулович</t>
  </si>
  <si>
    <t>54805168502</t>
  </si>
  <si>
    <t>ИП0505036519</t>
  </si>
  <si>
    <t>ИП050503651900000</t>
  </si>
  <si>
    <t>ИП Каймаразова Зейнаб Расуловна</t>
  </si>
  <si>
    <t>54805354435</t>
  </si>
  <si>
    <t>ИП0505034709</t>
  </si>
  <si>
    <t>ИП050503470900000</t>
  </si>
  <si>
    <t>ИП Таилов Рабадан Расулович</t>
  </si>
  <si>
    <t>54806087729</t>
  </si>
  <si>
    <t>ИП0505036518</t>
  </si>
  <si>
    <t>ИП050503651800000</t>
  </si>
  <si>
    <t>ИП Алибекова Патимат Шапиевна</t>
  </si>
  <si>
    <t>55201637231</t>
  </si>
  <si>
    <t>ИП0505017452</t>
  </si>
  <si>
    <t>ИП050501745200000</t>
  </si>
  <si>
    <t>367004 Республика Дагестан город Махачкала улица Бейбулатова дом 16</t>
  </si>
  <si>
    <t>ООО "КУБАЧИНСКИЙ КОМБИНАТ"</t>
  </si>
  <si>
    <t>554001880</t>
  </si>
  <si>
    <t>ЮЛ0505005316</t>
  </si>
  <si>
    <t>ЮЛ050500531600000</t>
  </si>
  <si>
    <t>368300 Республика Дагестан город Каспийск улица Орджоникидзе Дом 17/9</t>
  </si>
  <si>
    <t>ЮА ПОБЕДА НА КУЛЬТУРНОМ ФРОНТЕ</t>
  </si>
  <si>
    <t>554009939</t>
  </si>
  <si>
    <t>ЮЛ0505033294</t>
  </si>
  <si>
    <t>ЮЛ050503329400000</t>
  </si>
  <si>
    <t>367000 Республика Дагестан город Махачкала улица Ирчи Казака дом 142</t>
  </si>
  <si>
    <t>ЮЛ050503329400002</t>
  </si>
  <si>
    <t>ИП Гадуниев Магомед Гаджисаевич</t>
  </si>
  <si>
    <t>55401552169</t>
  </si>
  <si>
    <t>ИП0505036996</t>
  </si>
  <si>
    <t>ИП050503699600000</t>
  </si>
  <si>
    <t>ИП Таилова Эльмира Гасан Гусейновна</t>
  </si>
  <si>
    <t>55401619328</t>
  </si>
  <si>
    <t>ИП0505032197</t>
  </si>
  <si>
    <t>ИП050503219700000</t>
  </si>
  <si>
    <t>ИП Магомедова Майрам Шихкамаловна</t>
  </si>
  <si>
    <t>56001929207</t>
  </si>
  <si>
    <t>ИП0505037900</t>
  </si>
  <si>
    <t>ИП050503790000000</t>
  </si>
  <si>
    <t>ИП Абдулмеджидов Курбан Магомедович</t>
  </si>
  <si>
    <t>56004038505</t>
  </si>
  <si>
    <t>ИП0505004078</t>
  </si>
  <si>
    <t>ИП050500407800001</t>
  </si>
  <si>
    <t>ИП Магомедова Оксана Васильевна</t>
  </si>
  <si>
    <t>56006811030</t>
  </si>
  <si>
    <t>ИП0505003034</t>
  </si>
  <si>
    <t>ИП050500303400000</t>
  </si>
  <si>
    <t>367010 Республика Дагестан город Махачкала улица Репина дом 48</t>
  </si>
  <si>
    <t>ИП Манжова Нина Шамсудиновна</t>
  </si>
  <si>
    <t>56007365532</t>
  </si>
  <si>
    <t>ИП0505016640</t>
  </si>
  <si>
    <t>ИП050501664000000</t>
  </si>
  <si>
    <t>367000 Республика Дагестан город Махачкала Абубакарова 84</t>
  </si>
  <si>
    <t>ИП Таилов Рабадан Закарьяевич</t>
  </si>
  <si>
    <t>56007365927</t>
  </si>
  <si>
    <t>ИП0505006143</t>
  </si>
  <si>
    <t>ИП050500614300000</t>
  </si>
  <si>
    <t>367029 Республика Дагестан город Махачкала улица Абубакарова дом 103А</t>
  </si>
  <si>
    <t>ИП Алиев Магомедмирза Магомедович</t>
  </si>
  <si>
    <t>56008663443</t>
  </si>
  <si>
    <t>ИП0505005597</t>
  </si>
  <si>
    <t>ИП050500559700000</t>
  </si>
  <si>
    <t>ИП Ашурбекова Пенкерхалум Шихкамаловна</t>
  </si>
  <si>
    <t>56008784134</t>
  </si>
  <si>
    <t>ИП0505003539</t>
  </si>
  <si>
    <t>ИП050500353900000</t>
  </si>
  <si>
    <t>ИП Магомедова Патимат Асхабалиевна</t>
  </si>
  <si>
    <t>56011867687</t>
  </si>
  <si>
    <t>ИП0505011694</t>
  </si>
  <si>
    <t>ИП050501169400000</t>
  </si>
  <si>
    <t>367000 Республика Дагестан город Махачкала улица Дахадаева дом 31</t>
  </si>
  <si>
    <t>ИП Багилова Раисат Расуловна</t>
  </si>
  <si>
    <t>56012071369</t>
  </si>
  <si>
    <t>ИП0505010235</t>
  </si>
  <si>
    <t>ИП050501023500000</t>
  </si>
  <si>
    <t>ИП Абдурагимов Абдурагим Расулович</t>
  </si>
  <si>
    <t>56012853038</t>
  </si>
  <si>
    <t>ИП0505033244</t>
  </si>
  <si>
    <t>ИП050503324400000</t>
  </si>
  <si>
    <t>ИП Даудова Изумруд Нурбагандовна</t>
  </si>
  <si>
    <t>56014852390</t>
  </si>
  <si>
    <t>ИП0505037952</t>
  </si>
  <si>
    <t>ИП050503795200000</t>
  </si>
  <si>
    <t>ИП Саидова Серфинат Ганифаевна</t>
  </si>
  <si>
    <t>56100694362</t>
  </si>
  <si>
    <t>ИП0505036257</t>
  </si>
  <si>
    <t>ИП050503625700000</t>
  </si>
  <si>
    <t>367000 Республика Дагестан город Махачкала улица Азиза Алиева дом 8   -</t>
  </si>
  <si>
    <t>ИП Абдусаламов Арсен Нариманович</t>
  </si>
  <si>
    <t>56101256805</t>
  </si>
  <si>
    <t>ИП0505001625</t>
  </si>
  <si>
    <t>ИП050500162500000</t>
  </si>
  <si>
    <t>ИП Омарова Диана Алиевна</t>
  </si>
  <si>
    <t>56101923417</t>
  </si>
  <si>
    <t>ИП0505036142</t>
  </si>
  <si>
    <t>ИП050503614200000</t>
  </si>
  <si>
    <t>ИП Булатова Лейла Бакировна</t>
  </si>
  <si>
    <t>56102162892</t>
  </si>
  <si>
    <t>ИП0505036626</t>
  </si>
  <si>
    <t>ИП050503662600000</t>
  </si>
  <si>
    <t>367000 Республика Дагестан город Махачкала улица Ирчи Казака здание 142</t>
  </si>
  <si>
    <t>ИП Джанбатыров Арслан Усманович</t>
  </si>
  <si>
    <t>56103362196</t>
  </si>
  <si>
    <t>ИП0505038867</t>
  </si>
  <si>
    <t>ИП050503886700000</t>
  </si>
  <si>
    <t>ИП Яхьяева Патимат Надировна</t>
  </si>
  <si>
    <t>56105335381</t>
  </si>
  <si>
    <t>ИП0505013969</t>
  </si>
  <si>
    <t>ИП050501396900000</t>
  </si>
  <si>
    <t>367010 Республика Дагестан город Махачкала район ДСК и ООО АТП-2</t>
  </si>
  <si>
    <t>ИП Гарунов Ренат Исмаилович</t>
  </si>
  <si>
    <t>56105660504</t>
  </si>
  <si>
    <t>ИП0505031046</t>
  </si>
  <si>
    <t>ИП050503104600000</t>
  </si>
  <si>
    <t>ИП Агаева Наида Камалудиновна</t>
  </si>
  <si>
    <t>56105800871</t>
  </si>
  <si>
    <t>ИП0505019996</t>
  </si>
  <si>
    <t>ИП050501999600000</t>
  </si>
  <si>
    <t>ИП Яхьяева Зульфия Магомедовна</t>
  </si>
  <si>
    <t>56106247603</t>
  </si>
  <si>
    <t>ИП0505038996</t>
  </si>
  <si>
    <t>ИП050503899600000</t>
  </si>
  <si>
    <t>ИП Имедашвили Нели Унузовна</t>
  </si>
  <si>
    <t>56108707020</t>
  </si>
  <si>
    <t>ИП0505002718</t>
  </si>
  <si>
    <t>ИП050500271800000</t>
  </si>
  <si>
    <t>ИП Бахмудова Олеся Гасанбековна</t>
  </si>
  <si>
    <t>56114828930</t>
  </si>
  <si>
    <t>ИП0505001438</t>
  </si>
  <si>
    <t>ИП050500143800000</t>
  </si>
  <si>
    <t>ИП Сайфуллаева Наида Маммаевна</t>
  </si>
  <si>
    <t>56199746183</t>
  </si>
  <si>
    <t>ИП0505001656</t>
  </si>
  <si>
    <t>ИП050500165600000</t>
  </si>
  <si>
    <t>ИП Масуева Рая Магомедовна</t>
  </si>
  <si>
    <t>56199857542</t>
  </si>
  <si>
    <t>ИП0505019997</t>
  </si>
  <si>
    <t>ИП050501999700000</t>
  </si>
  <si>
    <t>ИП Бахмудова Сайгибат Меджидовна</t>
  </si>
  <si>
    <t>56199883140</t>
  </si>
  <si>
    <t>ИП0505017672</t>
  </si>
  <si>
    <t>ИП050501767200000</t>
  </si>
  <si>
    <t>367018 Республика Дагестан город Махачкала проспект Насрутдинова дом 87   помещение 3 "А"</t>
  </si>
  <si>
    <t>ИП Гаджиламаммаев Расул Ильясович</t>
  </si>
  <si>
    <t>56200271603</t>
  </si>
  <si>
    <t>ИП0505009381</t>
  </si>
  <si>
    <t>ИП050500938100000</t>
  </si>
  <si>
    <t>368601 Республика Дагестан город Дербент улица В.Ленина дом 64Г</t>
  </si>
  <si>
    <t>ИП Магомедова Хадижат Багаутдиновна</t>
  </si>
  <si>
    <t>56200673006</t>
  </si>
  <si>
    <t>ИП0505001644</t>
  </si>
  <si>
    <t>ИП050500164400000</t>
  </si>
  <si>
    <t>367007 Республика Дагестан город Махачкала проспект Петра 1 дом 14</t>
  </si>
  <si>
    <t>ИП Пенжалиев Муртузали Мардалиевич</t>
  </si>
  <si>
    <t>56201355750</t>
  </si>
  <si>
    <t>ИП0505008554</t>
  </si>
  <si>
    <t>ИП050500855400000</t>
  </si>
  <si>
    <t>367000 Республика Дагестан город Махачкала улица Коркмасова дом 45   офис №15</t>
  </si>
  <si>
    <t>ИП Ахмедов Сиражутдин Мингажидтинович</t>
  </si>
  <si>
    <t>56201973490</t>
  </si>
  <si>
    <t>ИП0505012437</t>
  </si>
  <si>
    <t>ИП050501243700000</t>
  </si>
  <si>
    <t>367000 Республика Дагестан город Махачкала улица Дахадаева дом 42</t>
  </si>
  <si>
    <t>ИП Сагитова Патимат Алиевна</t>
  </si>
  <si>
    <t>56202269381</t>
  </si>
  <si>
    <t>ИП0505000198</t>
  </si>
  <si>
    <t>ИП050500019800000</t>
  </si>
  <si>
    <t>ИП Шарипова Умугат Абдулаевна</t>
  </si>
  <si>
    <t>56202656302</t>
  </si>
  <si>
    <t>ИП0505037317</t>
  </si>
  <si>
    <t>ИП050503731700000</t>
  </si>
  <si>
    <t>367000 Республика Дагестан город Махачкала улица Магомеда Ярагского дом 93а</t>
  </si>
  <si>
    <t>ИП Хурдаева Мариян Бахмудовна</t>
  </si>
  <si>
    <t>56204085439</t>
  </si>
  <si>
    <t>ИП0505004682</t>
  </si>
  <si>
    <t>ИП050500468200000</t>
  </si>
  <si>
    <t>367000 Республика Дагестан город Махачкала улица Дахадаева дом 44</t>
  </si>
  <si>
    <t>ИП Османова Джамиля Зияудтиновна</t>
  </si>
  <si>
    <t>56205130589</t>
  </si>
  <si>
    <t>ИП0505001429</t>
  </si>
  <si>
    <t>ИП050500142900000</t>
  </si>
  <si>
    <t>ИП Каймаразов Гаджиабдулла Яхьяевич</t>
  </si>
  <si>
    <t>56205514948</t>
  </si>
  <si>
    <t>ИП0505005534</t>
  </si>
  <si>
    <t>ИП050500553400000</t>
  </si>
  <si>
    <t>367000 Республика Дагестан город Махачкала проспект Петра 1 дом 25</t>
  </si>
  <si>
    <t>ИП Шамов Мурад Гаджимаммаевич</t>
  </si>
  <si>
    <t>56205748304</t>
  </si>
  <si>
    <t>ИП0505013391</t>
  </si>
  <si>
    <t>ИП050501339100000</t>
  </si>
  <si>
    <t>367010 Республика Дагестан город Махачкала Проспект Расула Гамзатова 17</t>
  </si>
  <si>
    <t>ООО "АРТЕЛЬ-КУБАЧИ"</t>
  </si>
  <si>
    <t>562060745</t>
  </si>
  <si>
    <t>ЮЛ0505006157</t>
  </si>
  <si>
    <t>ЮЛ050500615700000</t>
  </si>
  <si>
    <t>367018 Республика Дагестан город Махачкала проезд Славы 1-й дом 9 НП 4</t>
  </si>
  <si>
    <t>ООО "КУБАЧИНСКИЙ КОМБИНАТ ХУДОЖЕСТВЕННЫХ ИЗДЕЛИЙ"</t>
  </si>
  <si>
    <t>562061393</t>
  </si>
  <si>
    <t>ЮЛ0505017648</t>
  </si>
  <si>
    <t>ЮЛ050501764800000</t>
  </si>
  <si>
    <t>ИП Цахаева Барият Муратхановна</t>
  </si>
  <si>
    <t>56206298496</t>
  </si>
  <si>
    <t>ИП0505001446</t>
  </si>
  <si>
    <t>ИП050500144600000</t>
  </si>
  <si>
    <t>367010 Республика Дагестан город Махачкала проспект Имама Шамиля дом 76А   второй этаж, кабинет 225</t>
  </si>
  <si>
    <t>ИП Гатамова Эльмира Ашраповна</t>
  </si>
  <si>
    <t>56207542796</t>
  </si>
  <si>
    <t>ИП0505001708</t>
  </si>
  <si>
    <t>ИП050500170800000</t>
  </si>
  <si>
    <t>367010 Республика Дагестан город Махачкала проспект Имама Шамиля дом 76А</t>
  </si>
  <si>
    <t>ИП Идрисова Галимат Абдулмеджидовна</t>
  </si>
  <si>
    <t>56207542860</t>
  </si>
  <si>
    <t>ИП0505003227</t>
  </si>
  <si>
    <t>ИП050500322700000</t>
  </si>
  <si>
    <t>367018 Республика Дагестан Махачкала Каримова 6 Г  НП 1</t>
  </si>
  <si>
    <t>ИП Муртузалиев Али Муртузалиевич</t>
  </si>
  <si>
    <t>56207767091</t>
  </si>
  <si>
    <t>ИП0505014148</t>
  </si>
  <si>
    <t>ИП050501414800000</t>
  </si>
  <si>
    <t>367030 Республика Дагестан город Махачкала проспект Имама Шамиля дом 76а</t>
  </si>
  <si>
    <t>ИП Гатамов Гасан Абдулмеджидович</t>
  </si>
  <si>
    <t>56210217186</t>
  </si>
  <si>
    <t>ИП0505001798</t>
  </si>
  <si>
    <t>ИП050500179800000</t>
  </si>
  <si>
    <t>367000 Республика Дагестан город Махачкала пр.Расула Гамзатого дом 9</t>
  </si>
  <si>
    <t>ИП Далгатова Светлана Багаудиновна</t>
  </si>
  <si>
    <t>56210532205</t>
  </si>
  <si>
    <t>ИП0505011460</t>
  </si>
  <si>
    <t>ИП050501146000000</t>
  </si>
  <si>
    <t>ИП Омаев Надир Алилович</t>
  </si>
  <si>
    <t>56211580850</t>
  </si>
  <si>
    <t>ИП0505001472</t>
  </si>
  <si>
    <t>ИП050500147200000</t>
  </si>
  <si>
    <t>ИП Зубаилова Зухра Магомед-Набиевна</t>
  </si>
  <si>
    <t>56297478158</t>
  </si>
  <si>
    <t>ИП0505016608</t>
  </si>
  <si>
    <t>ИП050501660800000</t>
  </si>
  <si>
    <t>ИП Шурпаев Ильдар Мусиевич</t>
  </si>
  <si>
    <t>57000147777</t>
  </si>
  <si>
    <t>ИП0505011687</t>
  </si>
  <si>
    <t>ИП050501168700000</t>
  </si>
  <si>
    <t>367007 Республика Дагестан город Махачкала проспект Петра 1 23 Б</t>
  </si>
  <si>
    <t>ИП Гаджиева Габибат Кадировна</t>
  </si>
  <si>
    <t>57000704114</t>
  </si>
  <si>
    <t>ИП0505009847</t>
  </si>
  <si>
    <t>ИП050500984700000</t>
  </si>
  <si>
    <t>367018 Республика Дагестан город Махачкала проезд Славы 1-й дом 9   НП-4</t>
  </si>
  <si>
    <t>ИП АБДУЛАЕВА З. Р.</t>
  </si>
  <si>
    <t>57100295899</t>
  </si>
  <si>
    <t>ИП0505037876</t>
  </si>
  <si>
    <t>ИП050503787600000</t>
  </si>
  <si>
    <t>ИП Абидов Ибрагим Джамалутдинович</t>
  </si>
  <si>
    <t>57100477962</t>
  </si>
  <si>
    <t>ИП0505037925</t>
  </si>
  <si>
    <t>ИП050503792500000</t>
  </si>
  <si>
    <t>367013 Республика Дагестан город Махачкала проспект Гамидова дом 12А в торце дома</t>
  </si>
  <si>
    <t>ИП Исрапилова Шахри Исрапиловна</t>
  </si>
  <si>
    <t>57100657958</t>
  </si>
  <si>
    <t>ИП0505014775</t>
  </si>
  <si>
    <t>ИП050501477500000</t>
  </si>
  <si>
    <t>367000 Республика Дагестан город Махачкала улица Гамзата Цадасы дом 61</t>
  </si>
  <si>
    <t>ИП Сугуева Диана Магомедовна</t>
  </si>
  <si>
    <t>57100701607</t>
  </si>
  <si>
    <t>ИП0505008559</t>
  </si>
  <si>
    <t>ИП050500855900000</t>
  </si>
  <si>
    <t>367911 Республика Дагестан город Махачкала ул.Ирчи Казака д.111</t>
  </si>
  <si>
    <t>ИП050500855900002</t>
  </si>
  <si>
    <t>ИП Макашарипова Дженет Бабатовна</t>
  </si>
  <si>
    <t>57100985500</t>
  </si>
  <si>
    <t>ИП0505015738</t>
  </si>
  <si>
    <t>ИП050501573800000</t>
  </si>
  <si>
    <t>ИП Омаров Абдулкадир Абдулхаликович</t>
  </si>
  <si>
    <t>57101063072</t>
  </si>
  <si>
    <t>ИП0505033582</t>
  </si>
  <si>
    <t>ИП050503358200000</t>
  </si>
  <si>
    <t>367030 Республика Дагестан Махачкала проспект Имама Шамиля 99а</t>
  </si>
  <si>
    <t>ИП Кихов Гаджи-Мурад Абдусаламович</t>
  </si>
  <si>
    <t>57101291287</t>
  </si>
  <si>
    <t>ИП0505037314</t>
  </si>
  <si>
    <t>ИП050503731400000</t>
  </si>
  <si>
    <t>ИП Абдурагимов Багаутдин Ахмедович</t>
  </si>
  <si>
    <t>57101878036</t>
  </si>
  <si>
    <t>ИП0505038345</t>
  </si>
  <si>
    <t>ИП050503834500000</t>
  </si>
  <si>
    <t>ИП Чаракова Патимат Чараковна</t>
  </si>
  <si>
    <t>57102931356</t>
  </si>
  <si>
    <t>ИП0505030766</t>
  </si>
  <si>
    <t>ИП050503076600000</t>
  </si>
  <si>
    <t>367000 Республика Дагестан город Махачкала Первый проезд Славы  9   НП-3</t>
  </si>
  <si>
    <t>ИП Абдулаева Арсения Расеновна</t>
  </si>
  <si>
    <t>57103583824</t>
  </si>
  <si>
    <t>ИП0505039692</t>
  </si>
  <si>
    <t>ИП050503969200000</t>
  </si>
  <si>
    <t>367030 Республика Дагестан Махачкала И. Казака 111</t>
  </si>
  <si>
    <t>ИП Каммагаджиева Марина Юнусовна</t>
  </si>
  <si>
    <t>57105683729</t>
  </si>
  <si>
    <t>ИП0505037398</t>
  </si>
  <si>
    <t>ИП050503739800000</t>
  </si>
  <si>
    <t>367003 Республика Дагестан город Махачкала улица Магомеда Ярагского дом 61</t>
  </si>
  <si>
    <t>ИП Шиххамадова Мадина Спартаковна</t>
  </si>
  <si>
    <t>57201501435</t>
  </si>
  <si>
    <t>ИП0505035435</t>
  </si>
  <si>
    <t>ИП050503543500000</t>
  </si>
  <si>
    <t>368300 Республика Дагестан город Каспийск улица Ленина здание 35А</t>
  </si>
  <si>
    <t>ИП050503543500002</t>
  </si>
  <si>
    <t>367000 Республика Дагестан город Махачкала улица Дахадаева Дом 103</t>
  </si>
  <si>
    <t>ИП Кадиев З.А</t>
  </si>
  <si>
    <t>57201944797</t>
  </si>
  <si>
    <t>ИП0505003174</t>
  </si>
  <si>
    <t>ИП050500317400000</t>
  </si>
  <si>
    <t>ООО "АГРОХОЛОД"</t>
  </si>
  <si>
    <t>572023478</t>
  </si>
  <si>
    <t>ЮЛ0505033581</t>
  </si>
  <si>
    <t>ЮЛ050503358100001</t>
  </si>
  <si>
    <t>ИП Каймаразов Гасан Ильясович</t>
  </si>
  <si>
    <t>57202436235</t>
  </si>
  <si>
    <t>ИП0505036980</t>
  </si>
  <si>
    <t>ИП050503698000000</t>
  </si>
  <si>
    <t>ИП Увайсов Ислам Гасанович</t>
  </si>
  <si>
    <t>57202800935</t>
  </si>
  <si>
    <t>ИП0505034651</t>
  </si>
  <si>
    <t>ИП050503465100000</t>
  </si>
  <si>
    <t>367000 Республика Дагестан махачкала Шелковая 19 А  3</t>
  </si>
  <si>
    <t>ИП Абдуллаева Айшат Каримовна</t>
  </si>
  <si>
    <t>57203863409</t>
  </si>
  <si>
    <t>ИП0505039405</t>
  </si>
  <si>
    <t>ИП050503940500000</t>
  </si>
  <si>
    <t>367000 Республика Дагестан город Махачкала улица Магомеда Ярагского 93 А</t>
  </si>
  <si>
    <t>ИП Хурдаев Алихан Гаджимаммаевич</t>
  </si>
  <si>
    <t>57204481480</t>
  </si>
  <si>
    <t>ИП0505036748</t>
  </si>
  <si>
    <t>ИП050503674800000</t>
  </si>
  <si>
    <t>367000 Республика Дагестан Махачкала Трасса Махачкала-Кизляр  помещение №15</t>
  </si>
  <si>
    <t>ИП Абдурахманова Разият Исмаиловна</t>
  </si>
  <si>
    <t>57300594303</t>
  </si>
  <si>
    <t>ИП0505001258</t>
  </si>
  <si>
    <t>ИП050500125800000</t>
  </si>
  <si>
    <t>ИП Гаджиев Амирхан Гаджиевич</t>
  </si>
  <si>
    <t>72110384478</t>
  </si>
  <si>
    <t>ИП0505035341</t>
  </si>
  <si>
    <t>ИП050503534100000</t>
  </si>
  <si>
    <t>368009 Республика Дагестан город Хасавюрт улица Тотурбиева 146 643</t>
  </si>
  <si>
    <t>ИП Алисолтанова Айна Бийсолтановна</t>
  </si>
  <si>
    <t>91603100854</t>
  </si>
  <si>
    <t>ИП0505000774</t>
  </si>
  <si>
    <t>ИП050500077400000</t>
  </si>
  <si>
    <t>368009 Республика Дагестан город Хасавюрт улица Гамидова 70</t>
  </si>
  <si>
    <t>ИП Карасаев Шихмурат Иолдашевич</t>
  </si>
  <si>
    <t>142601593646</t>
  </si>
  <si>
    <t>ИП0505006366</t>
  </si>
  <si>
    <t>ИП050500636600000</t>
  </si>
  <si>
    <t>ИП Курбанова Аминат Шамхаловна</t>
  </si>
  <si>
    <t>150204979967</t>
  </si>
  <si>
    <t>ИП0505003097</t>
  </si>
  <si>
    <t>ИП050500309700000</t>
  </si>
  <si>
    <t>367032 Республика Дагестан город Махачкала улица Магомета Гаджиева дом 170   помещение 1а</t>
  </si>
  <si>
    <t>ИП Яндарбиева Тамара Саидабдуловна</t>
  </si>
  <si>
    <t>200101392053</t>
  </si>
  <si>
    <t>ИП2005036215</t>
  </si>
  <si>
    <t>ИП200503621500000</t>
  </si>
  <si>
    <t>367000 Республика Дагестан город Махачкала улица Хизроева дом 81 г  помещение 304</t>
  </si>
  <si>
    <t>ООО "МАРКЕТ"</t>
  </si>
  <si>
    <t>2308291444</t>
  </si>
  <si>
    <t>ЮЛ2304034200</t>
  </si>
  <si>
    <t>ЮЛ230403420000000</t>
  </si>
  <si>
    <t>367030 Республика Дагестан город Махачкала улица Ирчи Казака дом 41А</t>
  </si>
  <si>
    <t>ИП Аверина Ирина Владимировна</t>
  </si>
  <si>
    <t>332303884952</t>
  </si>
  <si>
    <t>ИП5001032947</t>
  </si>
  <si>
    <t>ИП500103294700001</t>
  </si>
  <si>
    <t>367003 Республика Дагестан город Махачкала улица Магомеда Ярагского дом 67</t>
  </si>
  <si>
    <t>ИП500103294700002</t>
  </si>
  <si>
    <t>368300 Республика Дагестан город Каспийск улица Орджоникидзе 10 А</t>
  </si>
  <si>
    <t>ИП Каннаев Закарья Меджидович</t>
  </si>
  <si>
    <t>500907780596</t>
  </si>
  <si>
    <t>ИП0505007696</t>
  </si>
  <si>
    <t>ИП050500769600000</t>
  </si>
  <si>
    <t>368601 Республика Дагестан город Дербент улица У.Буйнакского дом 68 помещение 5</t>
  </si>
  <si>
    <t>ИП520601627100003</t>
  </si>
  <si>
    <t>ИП Гаджияхьяева Патимат Абдулсаламовна</t>
  </si>
  <si>
    <t>771559314018</t>
  </si>
  <si>
    <t>ИП0505037154</t>
  </si>
  <si>
    <t>ИП050503715400000</t>
  </si>
  <si>
    <t>367000 Республика Дагестан город Махачкала улица Коркмасова дом 14   1 этаж, часть нежилого помещения</t>
  </si>
  <si>
    <t>ЮЛ770101216600748</t>
  </si>
  <si>
    <t>368300 Республика Дагестан город Каспийск улица Ленина здание 35А   1 этаж, помещение №1 и №2</t>
  </si>
  <si>
    <t>ЮЛ770101216600841</t>
  </si>
  <si>
    <t>367003 Республика Дагестан город Махачкала улица Богатырева дом 8   1 этаж, нежилое помещение №105</t>
  </si>
  <si>
    <t>ЮЛ770101216600867</t>
  </si>
  <si>
    <t>367030 Республика Дагестан город Махачкала проспект Гамидова дом 61  литера А1 1 этаж</t>
  </si>
  <si>
    <t>ЮЛ770100193500048</t>
  </si>
  <si>
    <t>367026 Республика Дагестан город Махачкала проспект Али-Гаджи Акушинского дом 3   нежилое помещение № 1, этаж 1 (первый)</t>
  </si>
  <si>
    <t>ЮЛ770100193500602</t>
  </si>
  <si>
    <t>367000 Республика Дагестан город Махачкала улица Коркмасова дом 14   1 (первый) этаж</t>
  </si>
  <si>
    <t>ЮЛ770100193500673</t>
  </si>
  <si>
    <t>368608 Республика Дагестан город Дербент проспект Агасиева 20-к</t>
  </si>
  <si>
    <t>ЮЛ780300131300192</t>
  </si>
  <si>
    <t>367000 Республика Дагестан город Махачкала улица Коркмасова дом 20  Литер: "А" часть нежилых помещений №7-10</t>
  </si>
  <si>
    <t>ЮЛ780300131300193</t>
  </si>
  <si>
    <t>368300 Республика Дагестан город Каспийск улица С.Стальского дом 1   пом. 9</t>
  </si>
  <si>
    <t>ЮЛ780300131300555</t>
  </si>
  <si>
    <t>368220 Республика Дагестан город Буйнакск улица Чкалова дом 12</t>
  </si>
  <si>
    <t>ЮЛ780300131300556</t>
  </si>
  <si>
    <t>368009 Республика Дагестан город Хасавюрт улица Тотурбиева (Ордженикидзе) 144  Литер А часть помещения №7</t>
  </si>
  <si>
    <t>ЮЛ780300131300595</t>
  </si>
  <si>
    <t>368601 Республика Дагестан город Дербент улица Сальмана дом №3 (у нижних ворот №1)</t>
  </si>
  <si>
    <t>ЮЛ780300328000207</t>
  </si>
  <si>
    <t>368120 Республика Дагестан город Кизилюрт ул. Площадь Привокзальная часть нежилого здания</t>
  </si>
  <si>
    <t>ЮЛ780300328000216</t>
  </si>
  <si>
    <t>ЮЛ780300331800016</t>
  </si>
  <si>
    <t>ЮЛ780300331800025</t>
  </si>
  <si>
    <t>368009 Республика Дагестан город Хасавюрт улица Тотурбиева домовладение 144   часть помещений № 2,3,7</t>
  </si>
  <si>
    <t>ЮЛ780300331800124</t>
  </si>
  <si>
    <t>367030 Республика Дагестан город Махачкала улица Ирчи Казака дом 40  корпус В помещения №1,3</t>
  </si>
  <si>
    <t>ЮЛ780300308200101</t>
  </si>
  <si>
    <t>368608 Республика Дагестан город Дербент проспект Агасиева дом 20-к   помещение 766</t>
  </si>
  <si>
    <t>ЮЛ780300308200123</t>
  </si>
  <si>
    <t>368502 Республика Дагестан город Избербаш улица Советская дом б/н  (рядом с домом №28)</t>
  </si>
  <si>
    <t>ЮЛ780300308200440</t>
  </si>
  <si>
    <t>368121 Республика Дагестан город Кизилюрт улица Площадь Героев</t>
  </si>
  <si>
    <t>ЮЛ780300308200443</t>
  </si>
  <si>
    <t>368220 Республика Дагестан город Буйнакск улица Орджоникидзе дом 2</t>
  </si>
  <si>
    <t>ЮЛ780300308200634</t>
  </si>
  <si>
    <t>368300 Республика Дагестан город Каспийск улица С.Стальского дом 1   помещение 9</t>
  </si>
  <si>
    <t>ЮЛ780300308200842</t>
  </si>
  <si>
    <t>367000 Республика Дагестан город Махачкала улица Коркмасова дом 20 литер "А"   часть нежилых помщений №7,8, 10-14</t>
  </si>
  <si>
    <t>ЮЛ780300308200862</t>
  </si>
  <si>
    <t>Республика Ингушетия</t>
  </si>
  <si>
    <t>386246 Республика Ингушетия станица Троицкая улица Широкая дом 9</t>
  </si>
  <si>
    <t>ИП Горринг Лев Израилович</t>
  </si>
  <si>
    <t>231007042567</t>
  </si>
  <si>
    <t>ИП0605033455</t>
  </si>
  <si>
    <t>ИП060503345500000</t>
  </si>
  <si>
    <t>386106 Республика Ингушетия город Назрань улица Х.Б.Муталиева дом 5   пом.7</t>
  </si>
  <si>
    <t>ЮЛ780300131300592</t>
  </si>
  <si>
    <t>386130 Республика Ингушетия город Назрань улица Х.Б. Муталиева дом 5   пом. 7</t>
  </si>
  <si>
    <t>ЮЛ780300331800044</t>
  </si>
  <si>
    <t>386302 Республика Ингушетия город Малгобек улица Нурадилова б/н   помещение № 3</t>
  </si>
  <si>
    <t>ЮЛ780300308200444</t>
  </si>
  <si>
    <t>386106 Республика Ингушетия город Назрань улица Х. Б. Муталиева дом 5   помещение 7</t>
  </si>
  <si>
    <t>ЮЛ780300308200445</t>
  </si>
  <si>
    <t>Республика Калмыкия</t>
  </si>
  <si>
    <t>358014 Республика Калмыкия Элиста АККОЧКАРОВА 27 этаж/цоколь  2 РМ1</t>
  </si>
  <si>
    <t>ООО "МР ТРЕЙДИНГ"</t>
  </si>
  <si>
    <t>800004854</t>
  </si>
  <si>
    <t>ЮЛ0804040583</t>
  </si>
  <si>
    <t>ЮЛ080404058300000</t>
  </si>
  <si>
    <t>359220 Республика Калмыкия город Лагань переулок 1-й Пионерский 6А   2</t>
  </si>
  <si>
    <t>ООО "ТРЕЙД ПАРК"</t>
  </si>
  <si>
    <t>800007608</t>
  </si>
  <si>
    <t>ЮЛ0804036566</t>
  </si>
  <si>
    <t>ЮЛ080403656600000</t>
  </si>
  <si>
    <t>359220 Республика Калмыкия город Лагань улица Баташова дом 33А</t>
  </si>
  <si>
    <t>ИП Филимонов Александр Николаевич</t>
  </si>
  <si>
    <t>80300008844</t>
  </si>
  <si>
    <t>ИП0804010522</t>
  </si>
  <si>
    <t>ИП080401052200000</t>
  </si>
  <si>
    <t>359220 Республика Калмыкия город Лагань улица Советская дом 52А</t>
  </si>
  <si>
    <t>ИП Галкин Петр Владимирович</t>
  </si>
  <si>
    <t>80301389631</t>
  </si>
  <si>
    <t>ИП0804010299</t>
  </si>
  <si>
    <t>ИП080401029900000</t>
  </si>
  <si>
    <t>359420 Республика Калмыкия село Малые Дербеты Советская 17 Б</t>
  </si>
  <si>
    <t>ИП Ли Галина Витальевна</t>
  </si>
  <si>
    <t>80501089427</t>
  </si>
  <si>
    <t>ИП0804040807</t>
  </si>
  <si>
    <t>ИП080404080700000</t>
  </si>
  <si>
    <t>358000 Республика Калмыкия город Элиста улица Владимира Ильича Ленина дом 246/14  литер 1,А</t>
  </si>
  <si>
    <t>ИП Якут Ольга Николаевна</t>
  </si>
  <si>
    <t>81400059668</t>
  </si>
  <si>
    <t>ИП7803001793</t>
  </si>
  <si>
    <t>ИП780300179300000</t>
  </si>
  <si>
    <t>358000 Республика Калмыкия город Элиста Буденного 7а</t>
  </si>
  <si>
    <t>ИП Ачирова Лариса Николаевна</t>
  </si>
  <si>
    <t>81400324161</t>
  </si>
  <si>
    <t>ИП0804009487</t>
  </si>
  <si>
    <t>ИП080400948700000</t>
  </si>
  <si>
    <t>358007 Республика Калмыкия город Элиста улица им Буденного С.М. дом 7А</t>
  </si>
  <si>
    <t>ИП Нохаева МА</t>
  </si>
  <si>
    <t>81401261034</t>
  </si>
  <si>
    <t>ИП0804014300</t>
  </si>
  <si>
    <t>ИП080401430000000</t>
  </si>
  <si>
    <t>358014 Республика Калмыкия город Элиста улица Горького  дом 30   павильон № 8</t>
  </si>
  <si>
    <t>ИП080401430000001</t>
  </si>
  <si>
    <t>358003 Республика Калмыкия город Элиста К. Илюмжинова 6</t>
  </si>
  <si>
    <t>ИП080401430000002</t>
  </si>
  <si>
    <t>358000 Республика Калмыкия Город Элиста Улица Горького дом 11   Ювелирный магазин "Золотая Линия"</t>
  </si>
  <si>
    <t>ИП Деренская Наталья Станиславна</t>
  </si>
  <si>
    <t>81401535704</t>
  </si>
  <si>
    <t>ИП0804000731</t>
  </si>
  <si>
    <t>ИП080400073100000</t>
  </si>
  <si>
    <t>358000 Республика Калмыкия город Элиста улица В.И.Ленина дом 255А</t>
  </si>
  <si>
    <t>ИП Ачиров Валерий Николаевич</t>
  </si>
  <si>
    <t>81407465161</t>
  </si>
  <si>
    <t>ИП0804036784</t>
  </si>
  <si>
    <t>ИП080403678400000</t>
  </si>
  <si>
    <t>358000 Республика Калмыкия город Элиста  В.И. Ленина 245 нет нет</t>
  </si>
  <si>
    <t>ИП Киришов Сергей Владимирович</t>
  </si>
  <si>
    <t>81409661595</t>
  </si>
  <si>
    <t>ИП0804000121</t>
  </si>
  <si>
    <t>ИП080400012100000</t>
  </si>
  <si>
    <t>358000 Республика Калмыкия город Элиста улица М.Горького дом 18</t>
  </si>
  <si>
    <t>ООО ЛОМБАРД "БИРЮЗА"</t>
  </si>
  <si>
    <t>814104591</t>
  </si>
  <si>
    <t>ЮЛ0804000187</t>
  </si>
  <si>
    <t>ЮЛ080400018700000</t>
  </si>
  <si>
    <t>358000 Республика Калмыкия город Элиста улица М.Горького дом 11В   часть нежилого помещения на 1 этаже секция № 1-3</t>
  </si>
  <si>
    <t>ИП Санджиев Тамирлан Радионович</t>
  </si>
  <si>
    <t>81600708292</t>
  </si>
  <si>
    <t>ИП0804035923</t>
  </si>
  <si>
    <t>ИП080403592300000</t>
  </si>
  <si>
    <t>358000 Республика Калмыкия город Элиста улица Клыкова дом 13</t>
  </si>
  <si>
    <t>ИП Абеева Алика-София Аликовна</t>
  </si>
  <si>
    <t>81702188412</t>
  </si>
  <si>
    <t>ИП0804019567</t>
  </si>
  <si>
    <t>ИП080401956700000</t>
  </si>
  <si>
    <t>358000 Республика Калмыкия город Элиста улица им Номто Очирова 8</t>
  </si>
  <si>
    <t>ИП080401956700001</t>
  </si>
  <si>
    <t>359050 Республика Калмыкия город Городовиковск улица Советская дом 96</t>
  </si>
  <si>
    <t>ИП Шушурин Александр Степанович</t>
  </si>
  <si>
    <t>260200355660</t>
  </si>
  <si>
    <t>ИП0804009558</t>
  </si>
  <si>
    <t>ИП080400955800000</t>
  </si>
  <si>
    <t>359010 Республика Калмыкия село Яшалта переулок Спортивный дом 10 - - -</t>
  </si>
  <si>
    <t>ИП Байрамов Исмаил Ташкентович</t>
  </si>
  <si>
    <t>615308859693</t>
  </si>
  <si>
    <t>ИП6104000217</t>
  </si>
  <si>
    <t>ИП610400021700001</t>
  </si>
  <si>
    <t>358001 Республика Калмыкия город Элиста переулок Демьяновский дом 67</t>
  </si>
  <si>
    <t>ИП080403797600000</t>
  </si>
  <si>
    <t>358000 Республика Калмыкия город Элиста улица им М.А.Сельгикова дом 12,Б   помещение 3</t>
  </si>
  <si>
    <t>ИП080403797600002</t>
  </si>
  <si>
    <t>358000 Республика Калмыкия город Элиста улица М.Горького дом 22   1 этаж, нежилое помещение</t>
  </si>
  <si>
    <t>ЮЛ770101216600745</t>
  </si>
  <si>
    <t>358000 Республика Калмыкия город Элиста улица В.И.Ленина дом 241</t>
  </si>
  <si>
    <t>ЮЛ770100419400130</t>
  </si>
  <si>
    <t>358000 Республика Калмыкия город Элиста улица М.Горького дом 18 "Б"   комната № 1104, № 1105, этаж 1 (первый)</t>
  </si>
  <si>
    <t>ЮЛ770100193500513</t>
  </si>
  <si>
    <t>358000 Республика Калмыкия город Элиста улица Горького дом № 11</t>
  </si>
  <si>
    <t>ЮЛ780300131300215</t>
  </si>
  <si>
    <t>358000 Республика Калмыкия город Элиста улица Пушкина дом №22А  Литер 1, А, а</t>
  </si>
  <si>
    <t>ЮЛ780300131300219</t>
  </si>
  <si>
    <t>358000 Республика Калмыкия город Элиста улица М.Горького дом 11</t>
  </si>
  <si>
    <t>ЮЛ780300131300455</t>
  </si>
  <si>
    <t>358007 Республика Калмыкия город Элиста улица Джангара 36</t>
  </si>
  <si>
    <t>ЮЛ780300328000092</t>
  </si>
  <si>
    <t>358009 Республика Калмыкия город Элиста улица А.С.Пушкина 54А стр. 7  часть нежилого помещения № 15</t>
  </si>
  <si>
    <t>ЮЛ780300328000093</t>
  </si>
  <si>
    <t>358000 Республика Калмыкия город Элиста улица В.И.Ленина 237А строение 2А  помещение №1</t>
  </si>
  <si>
    <t>ЮЛ780300328000094</t>
  </si>
  <si>
    <t>358009 Республика Калмыкия город Элиста улица А.С.Пушкина дом 54   часть нежилого помещения №15</t>
  </si>
  <si>
    <t>ЮЛ780300308200547</t>
  </si>
  <si>
    <t>358000 Республика Калмыкия город Элиста улица М.Горького дом 11   часть нежилого помещения №1,2,3,4,5,6,7,8,9,10</t>
  </si>
  <si>
    <t>ЮЛ780300308200849</t>
  </si>
  <si>
    <t>358000 Республика Калмыкия город Элиста улица А.С.Пушкина дом 22А</t>
  </si>
  <si>
    <t>ЮЛ780300308200850</t>
  </si>
  <si>
    <t>358000 Республика Калмыкия город Элиста улица М.Горького дом 11 Литер А</t>
  </si>
  <si>
    <t>ЮЛ780300308200894</t>
  </si>
  <si>
    <t>358000 Республика Калмыкия город Элиста улица М.Горького дом 18Б   помещение №1</t>
  </si>
  <si>
    <t>ЮЛ780300363500266</t>
  </si>
  <si>
    <t>Республика Карелия</t>
  </si>
  <si>
    <t>185031 Республика Карелия город Петрозаводск улица Мелентьевой 28</t>
  </si>
  <si>
    <t>ИП Щербакова Анна Сергеевна</t>
  </si>
  <si>
    <t>100102180806</t>
  </si>
  <si>
    <t>ИП1003002356</t>
  </si>
  <si>
    <t>ИП100300235600000</t>
  </si>
  <si>
    <t>186732 Республика Карелия поселок Ихала  туристический объект Долина Водопадов</t>
  </si>
  <si>
    <t>Индивидуальный предприниматель МИХЕЕВА НАТАЛЬЯ БОРИСОВНА</t>
  </si>
  <si>
    <t>100106016959</t>
  </si>
  <si>
    <t>ИП1003035697</t>
  </si>
  <si>
    <t>ИП100303569700000</t>
  </si>
  <si>
    <t>185035 Республика Карелия город Петрозаводск проспект Ленина дом 13   помещение 67</t>
  </si>
  <si>
    <t>ООО "ЮВЕЛИР КАРАТ ПЕТРОЗАВОДСК"</t>
  </si>
  <si>
    <t>1001266975</t>
  </si>
  <si>
    <t>ЮЛ1003005521</t>
  </si>
  <si>
    <t>ЮЛ100300552100000</t>
  </si>
  <si>
    <t>185901 Республика Карелия поселок Марциальные Воды 0 10:03:0000000:5560</t>
  </si>
  <si>
    <t>100129726955</t>
  </si>
  <si>
    <t>ИП1003016037</t>
  </si>
  <si>
    <t>ИП100301603700000</t>
  </si>
  <si>
    <t>186930 Республика Карелия город Костомукша бульвар Лазарева строение 8   4-Н</t>
  </si>
  <si>
    <t>ИП Гаран Александр Андреевич</t>
  </si>
  <si>
    <t>100400108837</t>
  </si>
  <si>
    <t>ИП1003014891</t>
  </si>
  <si>
    <t>ИП100301489100002</t>
  </si>
  <si>
    <t>186350 Республика Карелия город Медвежьегорск улица К. Либкнехта дом 7А</t>
  </si>
  <si>
    <t>ИП Христофоров Александр Васильевич</t>
  </si>
  <si>
    <t>101390442969</t>
  </si>
  <si>
    <t>ИП7803013484</t>
  </si>
  <si>
    <t>ИП780301348400000</t>
  </si>
  <si>
    <t>186930 Республика Карелия город Костомукша бульвар Г.Н. Лазарева дом 1  Литер А часть помещения №16</t>
  </si>
  <si>
    <t>ИП Фахреев Ильдар Рафаэлевич</t>
  </si>
  <si>
    <t>162402094839</t>
  </si>
  <si>
    <t>ИП1606006404</t>
  </si>
  <si>
    <t>ИП160600640400009</t>
  </si>
  <si>
    <t>185035 Республика Карелия город Петрозаводск улица Герцена дом 41   помещение 27</t>
  </si>
  <si>
    <t>ИП160600640400010</t>
  </si>
  <si>
    <t>185014 Республика Карелия город Петрозаводск проспект Лесной дом 47А</t>
  </si>
  <si>
    <t>ИП500100445500054</t>
  </si>
  <si>
    <t>185000 Республика Карелия город Петрозаводск проспект Лесной дом 47А   помещение 3</t>
  </si>
  <si>
    <t>ЮЛ520603376600139</t>
  </si>
  <si>
    <t>185014 Республика Карелия город Петрозаводск проспект Лесной дом 47А   помещение 3</t>
  </si>
  <si>
    <t>ЮЛ760201190700028</t>
  </si>
  <si>
    <t>185035 Республика Карелия город Петрозаводск проспект Ленина дом 14   помещение 4</t>
  </si>
  <si>
    <t>ЮЛ760201190700044</t>
  </si>
  <si>
    <t>185035 Республика Карелия город Петрозаводск проспект Ленина дом 14   помещение 4 на 1 этаже</t>
  </si>
  <si>
    <t>ИП770100417900027</t>
  </si>
  <si>
    <t>186223 Республика Карелия город Кондопога улица Новокирпичная дом 1   помещение А5</t>
  </si>
  <si>
    <t>ИП770100417900037</t>
  </si>
  <si>
    <t>185014 Республика Карелия город Петрозаводск проспект Лесной дом 47А   помещение 3 на первом этаже</t>
  </si>
  <si>
    <t>ИП770100417900056</t>
  </si>
  <si>
    <t>185014 Республика Карелия город Петрозаводск проспект Лесной дом 47А   помещение 3, этаж 1</t>
  </si>
  <si>
    <t>ЮЛ770101216600152</t>
  </si>
  <si>
    <t>ЮЛ770101216600335</t>
  </si>
  <si>
    <t>185035 Республика Карелия город Петрозаводск улица Ленинградская дом 13   1 этаж, помещение объект 1/16</t>
  </si>
  <si>
    <t>ЮЛ770101216600818</t>
  </si>
  <si>
    <t>186930 Республика Карелия город Костомукша бульвар Лазарева дом 1   1 этаж, нежилое помещение №23</t>
  </si>
  <si>
    <t>ЮЛ770101216600859</t>
  </si>
  <si>
    <t>ЮЛ770100419400244</t>
  </si>
  <si>
    <t>185035 Республика Карелия город Петрозаводск проспект Ленина дом 14    помещение 4, часть помещения № 44</t>
  </si>
  <si>
    <t>ЮЛ770100193500263</t>
  </si>
  <si>
    <t>185014 Республика Карелия город Петрозаводск проспект Лесной дом 47А   1 (первый) этаж, помещение № В13</t>
  </si>
  <si>
    <t>ЮЛ770100193500264</t>
  </si>
  <si>
    <t>185035 Республика Карелия город Петрозаводск проспект Ленина дом 35   помещения 1-17</t>
  </si>
  <si>
    <t>ЮЛ770100193501062</t>
  </si>
  <si>
    <t>185035 Республика Карелия город Петрозаводск проспект Ленина дом 37</t>
  </si>
  <si>
    <t>ЮЛ780300131300223</t>
  </si>
  <si>
    <t>185035 Республика Карелия город Петрозаводск проспект Карла Маркса дом 20   магазин "Кристалл"</t>
  </si>
  <si>
    <t>ЮЛ780300179700009</t>
  </si>
  <si>
    <t>185035 Республика Карелия город Петрозаводск проспект Ленина дом 14   помещения 4, 48</t>
  </si>
  <si>
    <t>ЮЛ780300323500117</t>
  </si>
  <si>
    <t>185035 Республика Карелия город Петрозаводск проспект Ленина дом 35   помещение 6-Н</t>
  </si>
  <si>
    <t>ЮЛ780300323500118</t>
  </si>
  <si>
    <t>185014 Республика Карелия город Петрозаводск проспект Лесной дом 47  литера А помещение 3</t>
  </si>
  <si>
    <t>ЮЛ780300323500119</t>
  </si>
  <si>
    <t>185035 Республика Карелия город Петрозаводск проспект Ленина дом 37   помещение 1-Н</t>
  </si>
  <si>
    <t>ЮЛ780300308200022</t>
  </si>
  <si>
    <t>185014 Республика Карелия город Петрозаводск проспект Лесной дом 47А   пом. 3</t>
  </si>
  <si>
    <t>ЮЛ780300308200616</t>
  </si>
  <si>
    <t>185035 Республика Карелия город Петрозаводск проспект Ленина дом 14   пом. № 4, н.п. № 40</t>
  </si>
  <si>
    <t>ЮЛ780300308200639</t>
  </si>
  <si>
    <t>185035 Республика Карелия город Петрозаводск улица Красноармейская дом 20   помещение 1, 20, 61</t>
  </si>
  <si>
    <t>ЮЛ780300363500184</t>
  </si>
  <si>
    <t>ЮЛ780300363500185</t>
  </si>
  <si>
    <t>185035 Республика Карелия город Петрозаводск проспект Ленина дом 35</t>
  </si>
  <si>
    <t>ЮЛ780300363500186</t>
  </si>
  <si>
    <t>185014 Республика Карелия город Петрозаводск проспект Лесной дом 47А   помещения В27</t>
  </si>
  <si>
    <t>ЮЛ780300363500187</t>
  </si>
  <si>
    <t>185035 Республика Карелия город Петрозаводск проспект Ленина дом 14   помещение №47 1 этаж</t>
  </si>
  <si>
    <t>ЮЛ770100439200007</t>
  </si>
  <si>
    <t>185014 Республика Карелия город Петрозаводск проспект Лесной дом 47А   пом.3 1 этаж, Помещение В21</t>
  </si>
  <si>
    <t>ЮЛ770100439200008</t>
  </si>
  <si>
    <t>Республика Коми</t>
  </si>
  <si>
    <t>167000 Республика Коми город Сыктывкар улица Орджоникидзе дом 4</t>
  </si>
  <si>
    <t>ООО "МАГАЗИН "МОДА"</t>
  </si>
  <si>
    <t>1101011603</t>
  </si>
  <si>
    <t>ЮЛ1103003760</t>
  </si>
  <si>
    <t>ЮЛ110300376000000</t>
  </si>
  <si>
    <t>167001 Республика Коми город Сыктывкар улица Коммунистическая дом 31   №1,2,3,4 часть №6,7,8,9,10,11,12,13,14</t>
  </si>
  <si>
    <t>ИП110300790100001</t>
  </si>
  <si>
    <t>167000 Республика Коми город Сыктывкар улица Интернациональная дом 126   помещение №48</t>
  </si>
  <si>
    <t>ИП110300790100002</t>
  </si>
  <si>
    <t>167018 Республика Коми город Сыктывкар улица Космонавтов дом 4   15. 15а</t>
  </si>
  <si>
    <t>ИП110300790100004</t>
  </si>
  <si>
    <t>167001 Республика Коми город Сыктывкар улица Коммунистическая дом 46/7</t>
  </si>
  <si>
    <t>ИП110300790100005</t>
  </si>
  <si>
    <t>169060 Республика Коми город Микунь улица Ленина дом 34трц   помещение  № 23, № 24</t>
  </si>
  <si>
    <t>ИП110300790100006</t>
  </si>
  <si>
    <t>169314 Республика Коми город Ухта улица Заводская дом 3 строение 1  помещение № 37</t>
  </si>
  <si>
    <t>ИП110300790100007</t>
  </si>
  <si>
    <t>169600 Республика Коми город Печора проспект Печорский дом 53</t>
  </si>
  <si>
    <t>ИП110300790100008</t>
  </si>
  <si>
    <t>169601 Республика Коми город Печора улица Ленина дом 22</t>
  </si>
  <si>
    <t>ИП110300790100011</t>
  </si>
  <si>
    <t>167000 Республика Коми город Сыктывкар улица Карла Маркса дом 199   помещения №6,7,9</t>
  </si>
  <si>
    <t>ИП110300790100012</t>
  </si>
  <si>
    <t>167021 Республика Коми город Сыктывкар проспект Бумажников дом 36</t>
  </si>
  <si>
    <t>ИП110300790100013</t>
  </si>
  <si>
    <t>167000 Республика Коми город Сыктывкар улица Интернациональная дом 147</t>
  </si>
  <si>
    <t>ООО "ДЕСОЛЬ"</t>
  </si>
  <si>
    <t>1101057887</t>
  </si>
  <si>
    <t>ЮЛ1103003063</t>
  </si>
  <si>
    <t>ЮЛ110300306300000</t>
  </si>
  <si>
    <t>167000 Республика Коми город Сыктывкар улица Коммунистическая дом 17А</t>
  </si>
  <si>
    <t>ООО "ТОРГОВЫЙ ЦЕНТР "ВАЛДАЙ"</t>
  </si>
  <si>
    <t>1101107111</t>
  </si>
  <si>
    <t>ЮЛ1103005517</t>
  </si>
  <si>
    <t>ЮЛ110300551700000</t>
  </si>
  <si>
    <t>167026 Республика Коми город Сыктывкар проспект Бумажников дом 45</t>
  </si>
  <si>
    <t>ЮЛ110300551700001</t>
  </si>
  <si>
    <t>169200 Республика Коми город Емва улица Дзержинского дом 116 помещение Н-43</t>
  </si>
  <si>
    <t>ЮЛ110300551700003</t>
  </si>
  <si>
    <t>169711 Республика Коми город Усинск улица Парковая дом 8Б</t>
  </si>
  <si>
    <t>ЮЛ110300551700004</t>
  </si>
  <si>
    <t>169040 Республика Коми село Айкино улица Центральная дом 127</t>
  </si>
  <si>
    <t>ЮЛ110300551700005</t>
  </si>
  <si>
    <t>169600 Республика Коми город Печора улица Мира дом 7</t>
  </si>
  <si>
    <t>ЮЛ110300551700006</t>
  </si>
  <si>
    <t>169061 Республика Коми город Микунь улица Ленина дом 32</t>
  </si>
  <si>
    <t>ЮЛ110300551700007</t>
  </si>
  <si>
    <t>168100 Республика Коми село Визинга улица 50 лет ВЛКСМ дом 4</t>
  </si>
  <si>
    <t>ЮЛ110300551700008</t>
  </si>
  <si>
    <t>169314 Республика Коми город Ухта улица Строительная дом 2а</t>
  </si>
  <si>
    <t>ЮЛ110300551700009</t>
  </si>
  <si>
    <t>169912 Республика Коми город Воркута улица Гагарина дом 6</t>
  </si>
  <si>
    <t>ЮЛ110300551700011</t>
  </si>
  <si>
    <t>169480 Республика Коми село Усть-Цильма улица Советская дом 94а</t>
  </si>
  <si>
    <t>ЮЛ110300551700014</t>
  </si>
  <si>
    <t>168060 Республика Коми село Усть-Кулом улица Советская дом 44б</t>
  </si>
  <si>
    <t>ЮЛ110300551700015</t>
  </si>
  <si>
    <t>169045 Республика Коми пгт.Жешарт улица Советская дом 5</t>
  </si>
  <si>
    <t>ЮЛ110300551700016</t>
  </si>
  <si>
    <t>169460 Республика Коми село Ижма улица Советская дом 24</t>
  </si>
  <si>
    <t>ЮЛ110300551700017</t>
  </si>
  <si>
    <t>168130 Республика Коми село Объячево улица Мира дом 73   пом.№34; №41</t>
  </si>
  <si>
    <t>ЮЛ110300551700018</t>
  </si>
  <si>
    <t>167000 Республика Коми город Сыктывкар улица Первомайская дом 83</t>
  </si>
  <si>
    <t>ЮЛ110300551700019</t>
  </si>
  <si>
    <t>167023 Республика Коми город Сыктывкар улица Морозова дом 10</t>
  </si>
  <si>
    <t>ИП Волосков Владимир Васильевич</t>
  </si>
  <si>
    <t>110113263948</t>
  </si>
  <si>
    <t>ИП1103005787</t>
  </si>
  <si>
    <t>ИП110300578700001</t>
  </si>
  <si>
    <t>169841 Республика Коми город Инта улица Воркутинская дом 12   пом.№2</t>
  </si>
  <si>
    <t>ИП110300578700002</t>
  </si>
  <si>
    <t>167005 Республика Коми город Сыктывкар улица Петрозаводская дом 40   пом.№8</t>
  </si>
  <si>
    <t>ИП110300578700006</t>
  </si>
  <si>
    <t>167031 Республика Коми город Сыктывкар улица Карла Маркса дом 172 нежилое помещение литера А часть помещения №13</t>
  </si>
  <si>
    <t>ИП Максакова Алёна Михайловна</t>
  </si>
  <si>
    <t>110115676891</t>
  </si>
  <si>
    <t>ИП1103018579</t>
  </si>
  <si>
    <t>ИП110301857900000</t>
  </si>
  <si>
    <t>167000 Республика Коми город Сыктывкар проспект Бумажников дом 36/1 нежилое помещение  литера А торговое помещение №10</t>
  </si>
  <si>
    <t>ИП110301857900001</t>
  </si>
  <si>
    <t>169313 Республика Коми город Ухта проспект Космонавтов дом 8/32   помещение 1.006</t>
  </si>
  <si>
    <t>ИП Кустов Виктор Николаевич</t>
  </si>
  <si>
    <t>110200096348</t>
  </si>
  <si>
    <t>ИП1103004486</t>
  </si>
  <si>
    <t>ИП110300448600000</t>
  </si>
  <si>
    <t>169300 Республика Коми Город Ухта Проспект Ленина Дом 31/9   Помещение Н-3</t>
  </si>
  <si>
    <t>ИП Самойлова Галина Анатольевна</t>
  </si>
  <si>
    <t>110200969970</t>
  </si>
  <si>
    <t>ИП1103001694</t>
  </si>
  <si>
    <t>ИП110300169400000</t>
  </si>
  <si>
    <t>169502 Республика Коми город Сосногорск микрорайон 6-й дом 8</t>
  </si>
  <si>
    <t>ИП110300169400004</t>
  </si>
  <si>
    <t>169500 Республика Коми город Сосногорск улица Герцена дом 5-А</t>
  </si>
  <si>
    <t>ИП110300169400006</t>
  </si>
  <si>
    <t>169314 Республика Коми город Ухта улица Заводская дом 3 строение 1  помещение 33</t>
  </si>
  <si>
    <t>ИП110300169400007</t>
  </si>
  <si>
    <t>169300 Республика Коми город Ухта улица 30 Лет Октября дом 3</t>
  </si>
  <si>
    <t>ИП Левинова Любовь Борисовна</t>
  </si>
  <si>
    <t>110202025896</t>
  </si>
  <si>
    <t>ИП1103006367</t>
  </si>
  <si>
    <t>ИП110300636700000</t>
  </si>
  <si>
    <t>169901 Республика Коми город Воркута площадь Металлистов дом 1А</t>
  </si>
  <si>
    <t>ООО "ЭНЦО"</t>
  </si>
  <si>
    <t>1103018403</t>
  </si>
  <si>
    <t>ЮЛ1103009830</t>
  </si>
  <si>
    <t>ЮЛ110300983000000</t>
  </si>
  <si>
    <t>169900 Республика Коми город Воркута Улица Ленина Дом 34   Офис</t>
  </si>
  <si>
    <t>ООО "ПОИСК"</t>
  </si>
  <si>
    <t>1103022103</t>
  </si>
  <si>
    <t>ЮЛ1103013403</t>
  </si>
  <si>
    <t>ЮЛ110301340300000</t>
  </si>
  <si>
    <t>169900 Республика Коми Воркута Ленина 34</t>
  </si>
  <si>
    <t>ИП КОРОТКЕВИЧ А. П.</t>
  </si>
  <si>
    <t>110306340412</t>
  </si>
  <si>
    <t>ИП1103036533</t>
  </si>
  <si>
    <t>ИП110303653300000</t>
  </si>
  <si>
    <t>169908 Республика Коми город Воркута улица Ленина дом 53а ТЦ Меркурий</t>
  </si>
  <si>
    <t>ИП Мельничук Наталья Михайловна</t>
  </si>
  <si>
    <t>110309177700</t>
  </si>
  <si>
    <t>ИП1103011141</t>
  </si>
  <si>
    <t>ИП110301114100000</t>
  </si>
  <si>
    <t>169849 Республика Коми город Инта улица Кирова дом 38</t>
  </si>
  <si>
    <t>ИП Баранов Григорий Михайлович</t>
  </si>
  <si>
    <t>110400075867</t>
  </si>
  <si>
    <t>ИП1103003737</t>
  </si>
  <si>
    <t>ИП110300373700000</t>
  </si>
  <si>
    <t>169710 Республика Коми город Усинск улица Молодежная дом 7А</t>
  </si>
  <si>
    <t>ИП Тимофеева Людмила Семеновна</t>
  </si>
  <si>
    <t>110601382804</t>
  </si>
  <si>
    <t>ИП1103019846</t>
  </si>
  <si>
    <t>ИП110301984600000</t>
  </si>
  <si>
    <t>169840 Республика Коми город Инта улица Дзержинского дом 25   помещение Н-3</t>
  </si>
  <si>
    <t>ИП Аншукова Анна Ивановна</t>
  </si>
  <si>
    <t>110603340849</t>
  </si>
  <si>
    <t>ИП1103004831</t>
  </si>
  <si>
    <t>ИП110300483100000</t>
  </si>
  <si>
    <t>169500 Республика Коми город Сосногорск 6-й микрорайон дом 1   нежилое помещение 1</t>
  </si>
  <si>
    <t>ИП Воробьев Александр Савельевич</t>
  </si>
  <si>
    <t>110800023373</t>
  </si>
  <si>
    <t>ИП1103005206</t>
  </si>
  <si>
    <t>ИП110300520600000</t>
  </si>
  <si>
    <t>169300 Республика Коми город Ухта Проспект Ленина дом 27   нежилое помещение - часть площади в магазине ТД "Центр Пик"</t>
  </si>
  <si>
    <t>ИП110300520600002</t>
  </si>
  <si>
    <t>169300 Республика Коми город Ухта улица Дзержинского дом 1   нежилое помещение 1</t>
  </si>
  <si>
    <t>ИП110300520600003</t>
  </si>
  <si>
    <t>169300 Республика Коми город Ухта улица Строительная дом 2 строение А  часть нежилого помещения №2</t>
  </si>
  <si>
    <t>ИП110300520600004</t>
  </si>
  <si>
    <t>169300 Республика Коми город Ухта улица Строительная дом 2 строение А  часть нежилого помещения №108</t>
  </si>
  <si>
    <t>ИП110300520600006</t>
  </si>
  <si>
    <t>169570 Республика Коми город Вуктыл улица Пионерская дом 10   нежилое помещение</t>
  </si>
  <si>
    <t>ИП110300520600007</t>
  </si>
  <si>
    <t>169420 Республика Коми поселок городского типа Троицко-Печорск улица Мичурина дом 15 корпус А  нежилое помещение 1</t>
  </si>
  <si>
    <t>ИП110300520600008</t>
  </si>
  <si>
    <t>169300 Республика Коми город Ухта улица Заводская дом 3 строение 1  нежилое помещение №6</t>
  </si>
  <si>
    <t>ИП110300520600009</t>
  </si>
  <si>
    <t>167026 Республика Коми город Сыктывкар улица Мира дом 24</t>
  </si>
  <si>
    <t>ИП Белодедова Анна Валентиновна</t>
  </si>
  <si>
    <t>111300239062</t>
  </si>
  <si>
    <t>ИП1103019182</t>
  </si>
  <si>
    <t>ИП110301918200000</t>
  </si>
  <si>
    <t>167023 Республика Коми город Сыктывкар улица Коммунистическая дом 59</t>
  </si>
  <si>
    <t>ИП Вишератин Михаил Иванович</t>
  </si>
  <si>
    <t>111301104290</t>
  </si>
  <si>
    <t>ИП1103016828</t>
  </si>
  <si>
    <t>ИП110301682800000</t>
  </si>
  <si>
    <t>168060 Республика Коми село Усть-Кулом улица Советская дом 36б</t>
  </si>
  <si>
    <t>ИП Родионов Янис Валдисович</t>
  </si>
  <si>
    <t>111302534987</t>
  </si>
  <si>
    <t>ИП1103039534</t>
  </si>
  <si>
    <t>ИП110303953400000</t>
  </si>
  <si>
    <t>169480 Республика Коми село Усть-Цильма улица им В.Ф.Батманова дом 99</t>
  </si>
  <si>
    <t>ИП Чупрова Светлана Владимировна</t>
  </si>
  <si>
    <t>112000121216</t>
  </si>
  <si>
    <t>ИП1103004014</t>
  </si>
  <si>
    <t>ИП110300401400000</t>
  </si>
  <si>
    <t>167023 Республика Коми город Сыктывкар улица Коммунистическая дом 52   помещение №34,  №34а, №34б, №35 - ТЦ Аврора</t>
  </si>
  <si>
    <t>ИП Косарева Инга Витальевна</t>
  </si>
  <si>
    <t>432985757160</t>
  </si>
  <si>
    <t>ИП1606002224</t>
  </si>
  <si>
    <t>ИП160600222400001</t>
  </si>
  <si>
    <t>167000 Республика Коми город Сыктывкар проспект Октябрьский дом 141   №172/2 - ТЦ Макси</t>
  </si>
  <si>
    <t>ИП160600222400008</t>
  </si>
  <si>
    <t>168170 Республика Коми село Койгородок улица Советская дом 72а</t>
  </si>
  <si>
    <t>ИП Мальцева Светлана Юрьевна</t>
  </si>
  <si>
    <t>433900859464</t>
  </si>
  <si>
    <t>ИП4306018242</t>
  </si>
  <si>
    <t>ИП430601824200000</t>
  </si>
  <si>
    <t>167000 Республика Коми город Сыктывкар проспект Октябрьский  строение 141  помещение №6Н</t>
  </si>
  <si>
    <t>ЮЛ520603376600083</t>
  </si>
  <si>
    <t>167000 Республика Коми город Сыктывкар проспект Октябрьский дом 141 - - -</t>
  </si>
  <si>
    <t>ЮЛ760201190700001</t>
  </si>
  <si>
    <t>169314 Республика Коми город Ухта улица Строительная дом 2а - - нежилое помещение №47, №48</t>
  </si>
  <si>
    <t>ЮЛ760201190700002</t>
  </si>
  <si>
    <t>169314 Республика Коми город Ухта улица Строительная дом 2а   помещения 51-53, этаж 1</t>
  </si>
  <si>
    <t>ЮЛ770101216600088</t>
  </si>
  <si>
    <t>167023 Республика Коми город Сыктывкар улица Коммунистическая дом 52   помещения 9, 10, этаж 1</t>
  </si>
  <si>
    <t>ЮЛ770101216600260</t>
  </si>
  <si>
    <t>167000 Республика Коми город Сыктывкар проспект Октябрьский дом 141   этаж 1, пом. 6Н, часть неж. пом. №А18</t>
  </si>
  <si>
    <t>ЮЛ770101216600375</t>
  </si>
  <si>
    <t>169710 Республика Коми город Усинск улица Парковая дом 8б   этаж 1, нежилое помещение № 40</t>
  </si>
  <si>
    <t>ЮЛ770101216600618</t>
  </si>
  <si>
    <t>167000 Республика Коми город Сыктывкар проспект Октябрьский строение 131/3   этаж 1, часть комнаты № 309 с условным № Л-22</t>
  </si>
  <si>
    <t>ЮЛ770101216600627</t>
  </si>
  <si>
    <t>167023 Республика Коми город Сыктывкар улица Коммунистическая дом 50   1 этаж, нежилая площадь</t>
  </si>
  <si>
    <t>ЮЛ770101216600909</t>
  </si>
  <si>
    <t>169908 Республика Коми город Воркута переулок Деповской дом 2   этаж 1</t>
  </si>
  <si>
    <t>ЮЛ770101216600943</t>
  </si>
  <si>
    <t>169314 Республика Коми город Ухта улица Строительная дом 2а   помещение 43, первый этаж</t>
  </si>
  <si>
    <t>ЮЛ770100193500268</t>
  </si>
  <si>
    <t>169908 Республика Коми город Воркута переулок Деповской дом 2   часть помещения № П-14</t>
  </si>
  <si>
    <t>ЮЛ770100193500269</t>
  </si>
  <si>
    <t>169710 Республика Коми город Усинск улица Парковая дом 8Б   первый этаж, помещения 28,42</t>
  </si>
  <si>
    <t>ЮЛ770100193500270</t>
  </si>
  <si>
    <t>167026 Республика Коми город Сыктывкар улица Коммунистическая дом 52   часть нежилого помещения № 47, этаж 1 (первый)</t>
  </si>
  <si>
    <t>ЮЛ770100193500536</t>
  </si>
  <si>
    <t>167000 Республика Коми город Сыктывкар проспект Октябрьский дом 141   помещение 6Н, нежилого помещения № 148, этаж 1 (первый)</t>
  </si>
  <si>
    <t>ЮЛ770100193500682</t>
  </si>
  <si>
    <t>167001 Республика Коми город Сыктывкар улица Коммунистическая дом 46   помещение НП-17</t>
  </si>
  <si>
    <t>ЮЛ770100193501056</t>
  </si>
  <si>
    <t>169908 Республика Коми город Воркута улица Ленина дом 66/1  лит. А часть комнаты №2</t>
  </si>
  <si>
    <t>ЮЛ780300131300227</t>
  </si>
  <si>
    <t>169710 Республика Коми город Усинск улица Парковая дом 8Б   нежилое помещение (торговый павильон) № 50</t>
  </si>
  <si>
    <t>ЮЛ780300131300228</t>
  </si>
  <si>
    <t>167023 Республика Коми город Сыктывкар улица Коммунистическая дом 50   помещение согласно внутренней нумерации А24/123+А25/108+113+114+115</t>
  </si>
  <si>
    <t>ЮЛ780300131300251</t>
  </si>
  <si>
    <t>167000 Республика Коми город Сыктывкар улица Коммунистическая дом 19   пом.Н-3</t>
  </si>
  <si>
    <t>ЮЛ780300131300473</t>
  </si>
  <si>
    <t>169908 Республика Коми город Воркута переулок Деповской дом 2   пом. П- 14</t>
  </si>
  <si>
    <t>ЮЛ780300131300582</t>
  </si>
  <si>
    <t>169908 Республика Коми город Воркута переулок Деповской дом 2   часть комнаты № 4, пом. П-14</t>
  </si>
  <si>
    <t>ЮЛ780300328000097</t>
  </si>
  <si>
    <t>169600 Республика Коми город Печора улица Гагарина дом 39</t>
  </si>
  <si>
    <t>ЮЛ780300323500024</t>
  </si>
  <si>
    <t>169711 Республика Коми город Усинск улица Нефтяников дом 50</t>
  </si>
  <si>
    <t>ЮЛ780300323500033</t>
  </si>
  <si>
    <t>169314 Республика Коми город Ухта улица Строительная дом 2а   помещения 82,  82а</t>
  </si>
  <si>
    <t>ЮЛ780300323500034</t>
  </si>
  <si>
    <t>169906 Республика Коми город Воркута улица Ленина дом 36   помещения 14,15,16</t>
  </si>
  <si>
    <t>ЮЛ780300323500055</t>
  </si>
  <si>
    <t>167001 Республика Коми город Сыктывкар улица Коммунистическая дом 46   помещение ПН-12</t>
  </si>
  <si>
    <t>ЮЛ780300323500167</t>
  </si>
  <si>
    <t>167000 Республика Коми город Сыктывкар проспект Октябрьский дом 141   помещение 115</t>
  </si>
  <si>
    <t>ЮЛ780300323500168</t>
  </si>
  <si>
    <t>169314 Республика Коми город Ухта улица Заводская дом 3 строение 1</t>
  </si>
  <si>
    <t>ЮЛ780300308200079</t>
  </si>
  <si>
    <t>ЮЛ780300308200116</t>
  </si>
  <si>
    <t>169710 Республика Коми город Усинск улица Парковая дом 8б</t>
  </si>
  <si>
    <t>ЮЛ780300308200389</t>
  </si>
  <si>
    <t>169908 Республика Коми город Воркута улица Ленина дом 66/1 Лит. А   часть универсального магазина "Белые ночи" (согласно плана: комнаты 3,4,5 и часть комнаты №2)</t>
  </si>
  <si>
    <t>ЮЛ780300308200839</t>
  </si>
  <si>
    <t>169908 Республика Коми город Воркута переулок Деповской дом 2   часть помещения П-14, состоящая из комнаты №4</t>
  </si>
  <si>
    <t>ЮЛ780300308200890</t>
  </si>
  <si>
    <t>ЮЛ780300308201019</t>
  </si>
  <si>
    <t>167000 Республика Коми город Сыктывкар проспект Октябрьский дом 141   часть нежилого помещения 6-Н</t>
  </si>
  <si>
    <t>ЮЛ780300308201060</t>
  </si>
  <si>
    <t>ЮЛ780300363500040</t>
  </si>
  <si>
    <t>169314 Республика Коми город Ухта улица Строительная дом 2а строение 1</t>
  </si>
  <si>
    <t>ЮЛ780300363500042</t>
  </si>
  <si>
    <t>ЮЛ780300363500218</t>
  </si>
  <si>
    <t>ЮЛ780300363500219</t>
  </si>
  <si>
    <t>169906 Республика Коми город Воркута улица Ленина дом 36   помещения  №13, 15</t>
  </si>
  <si>
    <t>ЮЛ780300363500272</t>
  </si>
  <si>
    <t>ЮЛ780300363500280</t>
  </si>
  <si>
    <t>Республика Крым</t>
  </si>
  <si>
    <t>295011 Республика Крым город Симферополь проспект Кирова/Самокиша дом 18/3</t>
  </si>
  <si>
    <t>ИП610400007100003</t>
  </si>
  <si>
    <t>299029 Республика Крым город Севастополь проспект Генерала Острякова дом 64</t>
  </si>
  <si>
    <t>ИП610400007100004</t>
  </si>
  <si>
    <t>297406 Республика Крым город Евпатория улица Интернациональная дом 109</t>
  </si>
  <si>
    <t>ИП610400007100015</t>
  </si>
  <si>
    <t>297403 Республика Крым город Евпатория проспект Победы дом 59Е   помещение 7</t>
  </si>
  <si>
    <t>ИП610400007100031</t>
  </si>
  <si>
    <t>298600 Республика Крым город Ялта улица Московская дом 3Г</t>
  </si>
  <si>
    <t>ИП610400007100032</t>
  </si>
  <si>
    <t>295011 Республика Крым город Симферополь проспект Кирова дом 18</t>
  </si>
  <si>
    <t>ЮЛ230400002700019</t>
  </si>
  <si>
    <t>295022 Республика Крым город Симферополь проспект Победы здание 226</t>
  </si>
  <si>
    <t>ЮЛ230400002700021</t>
  </si>
  <si>
    <t>295051 Республика Крым город Симферополь бульвар Ленина дом 22</t>
  </si>
  <si>
    <t>ЮЛ230400002700022</t>
  </si>
  <si>
    <t>295014 Республика Крым город Симферополь шоссе Евпаторийское дом 8</t>
  </si>
  <si>
    <t>ИП230400618900029</t>
  </si>
  <si>
    <t>295050 Республика Крым город Симферополь улица Кечкеметская дом 1</t>
  </si>
  <si>
    <t>ИП230400618900031</t>
  </si>
  <si>
    <t>298600 Республика Крым город Ялта улица Киевская дом 4б, 6</t>
  </si>
  <si>
    <t>ИП230400618900035</t>
  </si>
  <si>
    <t>295050 Республика Крым город Симферополь улица Киевская дом 189б</t>
  </si>
  <si>
    <t>ИП230400618900041</t>
  </si>
  <si>
    <t>298500 Республика Крым город Алушта улица В.Хромых дом 22</t>
  </si>
  <si>
    <t>ИП230400618900043</t>
  </si>
  <si>
    <t>295050 Республика Крым город Симферополь улица Киевская дом 189б   б/н</t>
  </si>
  <si>
    <t>ИП230400618900048</t>
  </si>
  <si>
    <t>298300 Республика Крым город Керчь улица Маршала Еременко дом 30и</t>
  </si>
  <si>
    <t>ИП230400618900057</t>
  </si>
  <si>
    <t>295014 Республика Крым город Симферополь шоссе Евпаторийское 8   1 этаж</t>
  </si>
  <si>
    <t>ИП230400618900058</t>
  </si>
  <si>
    <t>295050 Республика Крым город Симферополь улица Киевская дом 189</t>
  </si>
  <si>
    <t>ИП230400618900059</t>
  </si>
  <si>
    <t>295050 Республика Крым город Симферополь улица Киевская дом 189   помещение № 163</t>
  </si>
  <si>
    <t>ИП470303686600013</t>
  </si>
  <si>
    <t>ИП470303686600014</t>
  </si>
  <si>
    <t>298302 Республика Крым город Керчь улица Маршала Ерёменко дом 30-г   пом. 5</t>
  </si>
  <si>
    <t>ИП470303686600016</t>
  </si>
  <si>
    <t>295000 Республика Крым город Симферополь улица Екатерининская дом 8а   помещения №№16,17 часть помещения №22 помещения №№23,24</t>
  </si>
  <si>
    <t>ИП470303686600017</t>
  </si>
  <si>
    <t>295000 Республика Крым город Симферополь Генерала Телегина дом 16А</t>
  </si>
  <si>
    <t>ИП Зеленская Яна Владимировна</t>
  </si>
  <si>
    <t>500110875418</t>
  </si>
  <si>
    <t>ИП5001000697</t>
  </si>
  <si>
    <t>ИП500100069700000</t>
  </si>
  <si>
    <t>296300 Республика Крым поселок городского типа Первомайское улица Богдана Хмельницкого дом 3</t>
  </si>
  <si>
    <t>ИП Шилова Полина Владимировна</t>
  </si>
  <si>
    <t>503507489726</t>
  </si>
  <si>
    <t>ИП5001000827</t>
  </si>
  <si>
    <t>ИП500100082700000</t>
  </si>
  <si>
    <t>297412 Республика Крым город Евпатория улица Гагарина дом 39/16</t>
  </si>
  <si>
    <t>ИП440200426400024</t>
  </si>
  <si>
    <t>295047 Республика Крым город Симферополь улица Героев Сталинграда дом 8/3</t>
  </si>
  <si>
    <t>ИП Солдатова Надежда Николаевна</t>
  </si>
  <si>
    <t>550616102904</t>
  </si>
  <si>
    <t>ИП8204014350</t>
  </si>
  <si>
    <t>ИП820401435000000</t>
  </si>
  <si>
    <t>298600 Республика Крым город Ялта улица Дражинского дом 50  литера А</t>
  </si>
  <si>
    <t>ИП Баринов Роман Викторович</t>
  </si>
  <si>
    <t>575200704001</t>
  </si>
  <si>
    <t>ИП8304005160</t>
  </si>
  <si>
    <t>ИП830400516000000</t>
  </si>
  <si>
    <t>295014 Республика Крым город Симферополь шоссе Евпаторийское дом 8   этаж 1</t>
  </si>
  <si>
    <t>ИП610400426600023</t>
  </si>
  <si>
    <t>295014 Республика Крым город Симферополь шоссе Евпаторийское дом 8  Д нежилая часть здания, 1 этаж</t>
  </si>
  <si>
    <t>ИП670100293400015</t>
  </si>
  <si>
    <t>298176 Республика Крым город Феодосия улица Победы дом 8   помещение 7Н</t>
  </si>
  <si>
    <t>ООО "ЛОМБАРД "КОМОД"</t>
  </si>
  <si>
    <t>7704860622</t>
  </si>
  <si>
    <t>ЮЛ8204014656</t>
  </si>
  <si>
    <t>ЮЛ820401465600000</t>
  </si>
  <si>
    <t>295011 Республика Крым город Симферополь пр-кт Кирова, д. 16/ул. Самокиша, д. 14</t>
  </si>
  <si>
    <t>ЮЛ770101324600002</t>
  </si>
  <si>
    <t>298300 Республика Крым город Керчь улица Маршала Еременко дом 30б   помещение 5</t>
  </si>
  <si>
    <t>ЮЛ770101324600003</t>
  </si>
  <si>
    <t>295022 Республика Крым город Симферополь проспект Победы дом 209д   торговый павильон 5 в литере "Г"</t>
  </si>
  <si>
    <t>ЮЛ770101324600005</t>
  </si>
  <si>
    <t>296012 Республика Крым город Армянск микрорайон им Генерала Васильева дом 7</t>
  </si>
  <si>
    <t>ЮЛ770101324600008</t>
  </si>
  <si>
    <t>298635 Республика Крым город Ялта улица Маршака дом 6</t>
  </si>
  <si>
    <t>ЮЛ770101324600012</t>
  </si>
  <si>
    <t>295034 Республика Крым город Симферополь улица Киевская/проспект Победы 77/4   пом. № 56 и часть пом. №III</t>
  </si>
  <si>
    <t>ЮЛ770101324600013</t>
  </si>
  <si>
    <t>298112 Республика Крым город Феодосия улица Крымская дом 82И</t>
  </si>
  <si>
    <t>ЮЛ770101324600016</t>
  </si>
  <si>
    <t>295043 Республика Крым город Симферополь улица Киевская дом 114</t>
  </si>
  <si>
    <t>ЮЛ770101324600017</t>
  </si>
  <si>
    <t>298100 Республика Крым город Феодосия улица Назукина дом 10г  литера А</t>
  </si>
  <si>
    <t>ЮЛ770101324600018</t>
  </si>
  <si>
    <t>297406 Республика Крым город Евпатория улица Крупской дом 7б</t>
  </si>
  <si>
    <t>ЮЛ770101324600023</t>
  </si>
  <si>
    <t>298100 Республика Крым город Феодосия улица Назукина дом № 13   пом. 3-н</t>
  </si>
  <si>
    <t>ЮЛ770101324600026</t>
  </si>
  <si>
    <t>298310 Республика Крым город Керчь улица Орджоникидзе дом 36/11   комнаты 1;2;3;4;5</t>
  </si>
  <si>
    <t>ЮЛ770101324600028</t>
  </si>
  <si>
    <t>296100 Республика Крым город Джанкой улица Крымская дом 32г</t>
  </si>
  <si>
    <t>ЮЛ770101324600029</t>
  </si>
  <si>
    <t>297408 Республика Крым город Евпатория улица Интернациональная дом 88</t>
  </si>
  <si>
    <t>ЮЛ770101324600031</t>
  </si>
  <si>
    <t>298300 Республика Крым город Керчь улица Маршала Еременко дом 30   помещение, 5</t>
  </si>
  <si>
    <t>ЮЛ780300328000204</t>
  </si>
  <si>
    <t>298300 Республика Крым город Керчь улица Маршала Еременко дом 30-г   помещение 5</t>
  </si>
  <si>
    <t>ЮЛ780300308200442</t>
  </si>
  <si>
    <t>295014 Республика Крым город Симферополь шоссе Евпаторийское дом 8   1 этаж</t>
  </si>
  <si>
    <t>ЮЛ780301261200049</t>
  </si>
  <si>
    <t>ЮЛ780301261200066</t>
  </si>
  <si>
    <t>ИП Гарибян Ашот Албертович</t>
  </si>
  <si>
    <t>910100024084</t>
  </si>
  <si>
    <t>ИП8204009861</t>
  </si>
  <si>
    <t>ИП820400986100000</t>
  </si>
  <si>
    <t>298510 Республика Крым город Алушта улица Пионерская дом 1  а</t>
  </si>
  <si>
    <t>ИП820400986100001</t>
  </si>
  <si>
    <t>295006 Республика Крым город Симферополь улица Карла Маркса дом 1/40</t>
  </si>
  <si>
    <t>ИП Консур Валерий Анатольевич</t>
  </si>
  <si>
    <t>910200172417</t>
  </si>
  <si>
    <t>ИП8204005624</t>
  </si>
  <si>
    <t>ИП820400562400000</t>
  </si>
  <si>
    <t>295000 Республика Крым город Симферополь проспект Кирова/переулок Одесский дом 19/1</t>
  </si>
  <si>
    <t>ИП820400562400001</t>
  </si>
  <si>
    <t>295000 Республика Крым город Симферополь ул. К.Маркса 1/40</t>
  </si>
  <si>
    <t>ИП Лакоза Елена Анатольевна</t>
  </si>
  <si>
    <t>910200174358</t>
  </si>
  <si>
    <t>ИП8204004610</t>
  </si>
  <si>
    <t>ИП820400461000000</t>
  </si>
  <si>
    <t>296400 Республика Крым поселок городского типа Черноморское улица Димитрова дом б/н  Т-1</t>
  </si>
  <si>
    <t>ИП Щербаченко Т.Н.</t>
  </si>
  <si>
    <t>910200189756</t>
  </si>
  <si>
    <t>ИП9104039042</t>
  </si>
  <si>
    <t>ИП910403904200001</t>
  </si>
  <si>
    <t>295026 Республика Крым горд Симферополь улица Пушкина/Р.Люксембург дом 1/2</t>
  </si>
  <si>
    <t>ИП Кушнир Елена Яковлевна</t>
  </si>
  <si>
    <t>910200208222</t>
  </si>
  <si>
    <t>ИП8204006194</t>
  </si>
  <si>
    <t>ИП820400619400000</t>
  </si>
  <si>
    <t>298690 Республика Крым поселок городского типа Форос Форосский спуск дом 1   Павильон №11</t>
  </si>
  <si>
    <t>ИП Казлова Нанули Шотаевна</t>
  </si>
  <si>
    <t>910200212162</t>
  </si>
  <si>
    <t>ИП8204005350</t>
  </si>
  <si>
    <t>ИП820400535000002</t>
  </si>
  <si>
    <t>298000 Республика Крым город Судак улица Кипарисовая аллея 2Б   магазин № 3/1</t>
  </si>
  <si>
    <t>ИП820400535000003</t>
  </si>
  <si>
    <t>297600 Республика Крым город Белогорск улица Нижнегорская / Мира дом 3/7</t>
  </si>
  <si>
    <t>ИП Сейфуллаев Эмиль Шевкетович</t>
  </si>
  <si>
    <t>910200236156</t>
  </si>
  <si>
    <t>ИП8204008891</t>
  </si>
  <si>
    <t>ИП820400889100000</t>
  </si>
  <si>
    <t>296100 Республика Крым город Джанкой улица Калинина дом 8А</t>
  </si>
  <si>
    <t>ИП820400889100001</t>
  </si>
  <si>
    <t>297060 Республика Крым поселок городского типа Октябрьское переулок Вокзальный дом 6</t>
  </si>
  <si>
    <t>ИП Дударева Ирина Дмитриевна</t>
  </si>
  <si>
    <t>910200236861</t>
  </si>
  <si>
    <t>ИП8204004160</t>
  </si>
  <si>
    <t>ИП820400416000000</t>
  </si>
  <si>
    <t>295050 Республика Крым город Симферополь улица Кечкеметская дом 1 ТЦ "Крым"  площадь помещения 9 кв.м.</t>
  </si>
  <si>
    <t>ИП Павленко Даниил Юрьевич</t>
  </si>
  <si>
    <t>910200254821</t>
  </si>
  <si>
    <t>ИП8204003210</t>
  </si>
  <si>
    <t>ИП820400321000000</t>
  </si>
  <si>
    <t>295000 Республика Крым город Симферополь проспект Кирова дом 19/1</t>
  </si>
  <si>
    <t>ИП Шершнёв Олег Евгеньевич</t>
  </si>
  <si>
    <t>910200257406</t>
  </si>
  <si>
    <t>ИП8204003667</t>
  </si>
  <si>
    <t>ИП820400366700000</t>
  </si>
  <si>
    <t>295000 Республика Крым город Симферополь проспект Кирова / переулок Одесский дом 19/1</t>
  </si>
  <si>
    <t>ИП Москвитина Лариса Николаевна</t>
  </si>
  <si>
    <t>910200275211</t>
  </si>
  <si>
    <t>ИП8204005594</t>
  </si>
  <si>
    <t>ИП820400559400000</t>
  </si>
  <si>
    <t>295000 Республика Крым город Симферополь улица  Карла Маркса дом 6</t>
  </si>
  <si>
    <t>ИП Полунин Сергей Викторович</t>
  </si>
  <si>
    <t>910200319370</t>
  </si>
  <si>
    <t>ИП8204003707</t>
  </si>
  <si>
    <t>ИП820400370700000</t>
  </si>
  <si>
    <t>297000 Республика Крым поселок городского типа Красногвардейское Улица Тельмана з.  5  Литер А часть помещения № 1</t>
  </si>
  <si>
    <t>ИП820400370700002</t>
  </si>
  <si>
    <t>295015 Республика Крым город Симферополь проспект Кирова / улица Козлова дом 1/11   универсально розничный рынок "Центральный", торговое место 12 в павильоне "Кооператор"</t>
  </si>
  <si>
    <t>ИП Буевская Инна Ивановна</t>
  </si>
  <si>
    <t>910200320249</t>
  </si>
  <si>
    <t>ИП8204001027</t>
  </si>
  <si>
    <t>ИП820400102700000</t>
  </si>
  <si>
    <t>295015 Республика Крым город Симферополь проспект Кирова / улица Козлова дом 1/11   торговое место 23 в павильоне "Кооператор" на территории универсального розничного рынка "Центральный"</t>
  </si>
  <si>
    <t>ИП820400102700001</t>
  </si>
  <si>
    <t>295000 Республика Крым город Симферополь улица Екатерининская  дом 6</t>
  </si>
  <si>
    <t>ИП Королева Нина Альфредовна</t>
  </si>
  <si>
    <t>910200347441</t>
  </si>
  <si>
    <t>ИП8204003712</t>
  </si>
  <si>
    <t>ИП820400371200000</t>
  </si>
  <si>
    <t>ИП Бронштейн Алла Николаевна</t>
  </si>
  <si>
    <t>910200399369</t>
  </si>
  <si>
    <t>ИП8204005611</t>
  </si>
  <si>
    <t>ИП820400561100000</t>
  </si>
  <si>
    <t>295022 Республика Крым город Симферополь проспект Победы дом 228</t>
  </si>
  <si>
    <t>ИП Чёрная Елена Николаевна</t>
  </si>
  <si>
    <t>910200401385</t>
  </si>
  <si>
    <t>ИП8204008855</t>
  </si>
  <si>
    <t>ИП820400885500000</t>
  </si>
  <si>
    <t>295000 Республика Крым город Симферополь улица Пушкина / ул. Горького дом 10/8</t>
  </si>
  <si>
    <t>ООО "АЭРОМАГ"</t>
  </si>
  <si>
    <t>9102007717</t>
  </si>
  <si>
    <t>ЮЛ8204014927</t>
  </si>
  <si>
    <t>ЮЛ820401492700001</t>
  </si>
  <si>
    <t>297408 Республика Крым город Евпатория улица Интернациональная дом 107   офис 3</t>
  </si>
  <si>
    <t>ООО "ЛОМБАРД "КОНСТАНТ"</t>
  </si>
  <si>
    <t>9102016119</t>
  </si>
  <si>
    <t>ЮЛ8204014248</t>
  </si>
  <si>
    <t>ЮЛ820401424800001</t>
  </si>
  <si>
    <t>297406 Республика Крым город Евпатория улица ИМ. Крупской дом 7</t>
  </si>
  <si>
    <t>ЮЛ820401424800002</t>
  </si>
  <si>
    <t>295015 Республика Крым город Симферополь улица Субхи дом 2 строение 18</t>
  </si>
  <si>
    <t>ЮЛ820401424800003</t>
  </si>
  <si>
    <t>295051 Республика Крым город Симферополь улица Гоголя дом 68  литера А офис 1</t>
  </si>
  <si>
    <t>9102029326</t>
  </si>
  <si>
    <t>ЮЛ8204003508</t>
  </si>
  <si>
    <t>ЮЛ820400350800000</t>
  </si>
  <si>
    <t>295015 Республика Крым город Симферополь проспект Кирова/улица Козлова дом 1/11  Щ помещение №1, 2</t>
  </si>
  <si>
    <t>ЮЛ820400350800002</t>
  </si>
  <si>
    <t>295000 Республика Крым город Симферополь улица Екатерининская ( Карла Маркса) дом 6</t>
  </si>
  <si>
    <t>ИП Коротун Ирина Юрьевна</t>
  </si>
  <si>
    <t>910213960567</t>
  </si>
  <si>
    <t>ИП8204003127</t>
  </si>
  <si>
    <t>ИП820400312700000</t>
  </si>
  <si>
    <t>298635 Республика Крым город Ялта улица Пушкинская дом 20</t>
  </si>
  <si>
    <t>ИП Москвина Алина Петровна</t>
  </si>
  <si>
    <t>910216010806</t>
  </si>
  <si>
    <t>ИП8204001275</t>
  </si>
  <si>
    <t>ИП820400127500000</t>
  </si>
  <si>
    <t>ИП Белей Ольга Владимировна</t>
  </si>
  <si>
    <t>910218293596</t>
  </si>
  <si>
    <t>ИП8204003350</t>
  </si>
  <si>
    <t>ИП820400335000000</t>
  </si>
  <si>
    <t>298600 Республика Крым город Ялта улица Московская дом 5   пом. 26-4 - 26-8 (офис)</t>
  </si>
  <si>
    <t>ИП Пацева Инна Владимировна</t>
  </si>
  <si>
    <t>910220588533</t>
  </si>
  <si>
    <t>ИП9104035619</t>
  </si>
  <si>
    <t>ИП910403561900000</t>
  </si>
  <si>
    <t>298500 Республика Крым город Алушта улица Горького дом 80</t>
  </si>
  <si>
    <t>ИП910403561900001</t>
  </si>
  <si>
    <t>298600 Республика Крым город Ялта улица Московская дом 5   пом. 26-4 - 26-8</t>
  </si>
  <si>
    <t>ИП910403561900002</t>
  </si>
  <si>
    <t>298000 Республика Крым город Судак улица Ленина дом 28б</t>
  </si>
  <si>
    <t>ИП910403561900003</t>
  </si>
  <si>
    <t>298112 Республика Крым город Феодосия улица Крымская дом 19-В</t>
  </si>
  <si>
    <t>ИП910403561900004</t>
  </si>
  <si>
    <t>295000 Республика Крым город Симферополь улица Пушкина дом 3</t>
  </si>
  <si>
    <t>ИП Маковецкая Галина Анатольевна</t>
  </si>
  <si>
    <t>910220693979</t>
  </si>
  <si>
    <t>ИП9104035671</t>
  </si>
  <si>
    <t>ИП910403567100000</t>
  </si>
  <si>
    <t>297406 Республика Крым город Евпатория улица им.9-го Мая дом 49</t>
  </si>
  <si>
    <t>ИП910403567100001</t>
  </si>
  <si>
    <t>298100 Республика Крым город Феодосия улица Назукина дом 10   помещение 7н</t>
  </si>
  <si>
    <t>ИП910403567100002</t>
  </si>
  <si>
    <t>296000 Республика Крым город Красноперекопск улица Калинина дом 4/2   1 этаж</t>
  </si>
  <si>
    <t>ИП910403567100005</t>
  </si>
  <si>
    <t>298300 Республика Крым город Керчь улица Маршала Еременко дом 30-д</t>
  </si>
  <si>
    <t>ИП910403567100006</t>
  </si>
  <si>
    <t>298662 Республика Крым город Ялта шоссе Алупкинское дом 12А   3 этаж помещение 4-22</t>
  </si>
  <si>
    <t>ИП Панкратьева Виктория Сергеевна</t>
  </si>
  <si>
    <t>910221736230</t>
  </si>
  <si>
    <t>ИП7701037318</t>
  </si>
  <si>
    <t>ИП770103731800000</t>
  </si>
  <si>
    <t>295021 Республика Крым город Симферополь улица Киевская дом 7-Б   помещение 12</t>
  </si>
  <si>
    <t>ИП Капитонов Василий Сергеевич</t>
  </si>
  <si>
    <t>910222659941</t>
  </si>
  <si>
    <t>ИП8204005275</t>
  </si>
  <si>
    <t>ИП820400527500000</t>
  </si>
  <si>
    <t>295014 Республика Крым город Симферополь шоссе Евпаторийское дом 8   этаж 1, помещение 4 (офис)</t>
  </si>
  <si>
    <t>9102236940</t>
  </si>
  <si>
    <t>ЮЛ8204007787</t>
  </si>
  <si>
    <t>ЮЛ820400778700000</t>
  </si>
  <si>
    <t>295000 Республика Крым город Симферополь улица Екатерининская здание 8б   помещение 1, этаж 1, комнаты 1,2,3,4,6</t>
  </si>
  <si>
    <t>ЮЛ820400778700001</t>
  </si>
  <si>
    <t>295014 Республика Крым город Симферополь шоссе Евпаторийское дом 8   1 (первый) этаж, помещение 4</t>
  </si>
  <si>
    <t>ЮЛ820400778700002</t>
  </si>
  <si>
    <t>298300 Республика Крым город Керчь улица Маршала Еременко дом 30и   второй этаж, помещение 4</t>
  </si>
  <si>
    <t>ЮЛ820400778700004</t>
  </si>
  <si>
    <t>297403 Республика Крым город Евпатория улица Интернациональная дом 130 корпус 3   этаж 1, помещение 1, часть комнаты 1</t>
  </si>
  <si>
    <t>ЮЛ820400778700005</t>
  </si>
  <si>
    <t>295050 Республика Крым город Симферополь улица Киевская дом 189   помещение 145</t>
  </si>
  <si>
    <t>ЮЛ820400778700008</t>
  </si>
  <si>
    <t>298600 Республика Крым город Ялта набережная имени Ленина дом 11   помещения № 9-1,9-2,9-3,9-4,9-5,9-6,9-21,18-1,18-2,18-3,18-4,24-1,24-2</t>
  </si>
  <si>
    <t>ЮЛ820400778700009</t>
  </si>
  <si>
    <t>298600 Республика Крым город Ялта набережная имени Ленина дом 23/2   помещение 3-21</t>
  </si>
  <si>
    <t>ЮЛ820400778700014</t>
  </si>
  <si>
    <t>295050 Республика Крым город Симферополь улица Киевская дом 189  литер П помещение 147</t>
  </si>
  <si>
    <t>ЮЛ820400778700015</t>
  </si>
  <si>
    <t>295026 Республика Крым город Симферополь улица Набережная имени 60-летия СССР дом 69г   помещение 115</t>
  </si>
  <si>
    <t>ИП Афендиков Николай Александрович</t>
  </si>
  <si>
    <t>910224973215</t>
  </si>
  <si>
    <t>ИП9104037632</t>
  </si>
  <si>
    <t>ИП910403763200000</t>
  </si>
  <si>
    <t>295000 Республика Крым город Симферополь улица  Екатерининская (Карла Маркса) дом 6</t>
  </si>
  <si>
    <t>ИП Григорова Анастасия Сергеевна</t>
  </si>
  <si>
    <t>910227967700</t>
  </si>
  <si>
    <t>ИП8204003918</t>
  </si>
  <si>
    <t>ИП820400391800000</t>
  </si>
  <si>
    <t>297412 Республика Крым город Евпатория улица Фрунзе дом 20</t>
  </si>
  <si>
    <t>ИП Казарина Елена Васильевна</t>
  </si>
  <si>
    <t>910228426598</t>
  </si>
  <si>
    <t>ИП8204002681</t>
  </si>
  <si>
    <t>ИП820400268100002</t>
  </si>
  <si>
    <t>295007 Республика Крым город Симферополь улица Плотинная дом 9   офис 109</t>
  </si>
  <si>
    <t>ЮЛ910403571400000</t>
  </si>
  <si>
    <t>295051 Республика Крым город Симферополь бульвар Ленина / ул Гагарина дом 15/1</t>
  </si>
  <si>
    <t>ЮЛ910403571400003</t>
  </si>
  <si>
    <t>295043 Республика Крым город Симферополь улица Гагарина дом 40</t>
  </si>
  <si>
    <t>ЮЛ910403571400005</t>
  </si>
  <si>
    <t>295053 Республика Крым город Симферополь улица Киевская/Гурзуфская дом 5/2   помещение 102</t>
  </si>
  <si>
    <t>ЮЛ910403571400008</t>
  </si>
  <si>
    <t>295011 Республика Крым город Симферополь проспект Кирова дом 7А   помещение 107, 106А</t>
  </si>
  <si>
    <t>ЮЛ910403571400009</t>
  </si>
  <si>
    <t>295043 Республика Крым город Симферополь улица Киевская дом 100   квартира 82</t>
  </si>
  <si>
    <t>ЮЛ910403571400011</t>
  </si>
  <si>
    <t>295044 Республика Крым город Симферополь улица 60 лет Октября дом 22   помещение 15</t>
  </si>
  <si>
    <t>ЮЛ910403571400012</t>
  </si>
  <si>
    <t>295022 Республика Крым город Симферополь проспект Победы дом 230</t>
  </si>
  <si>
    <t>ЮЛ910403571400013</t>
  </si>
  <si>
    <t>295000 Республика Крым город Симферополь проспект Кирова дом 34</t>
  </si>
  <si>
    <t>ЮЛ910403571400014</t>
  </si>
  <si>
    <t>295043 Республика Крым город Симферополь улица Киевская дом 136   помещение 80, 81, 21</t>
  </si>
  <si>
    <t>ЮЛ910403571400015</t>
  </si>
  <si>
    <t>295013 Республика Крым город Симферополь улица Д. Ульянова дом 2В</t>
  </si>
  <si>
    <t>ЮЛ910403571400016</t>
  </si>
  <si>
    <t>295000 Республика Крым город Симферополь улица Пушкина/улица Карла Маркса дом 6/8-10</t>
  </si>
  <si>
    <t>ЮЛ910403571400017</t>
  </si>
  <si>
    <t>295047 Республика Крым город Симферополь улица Героев Сталинграда дом 3А</t>
  </si>
  <si>
    <t>ЮЛ910403571400018</t>
  </si>
  <si>
    <t>295034 Республика Крым город Симферополь улица Тренева дом 2</t>
  </si>
  <si>
    <t>ЮЛ910403571400019</t>
  </si>
  <si>
    <t>295022 Республика Крым город Симферополь проспект Победы здание 245</t>
  </si>
  <si>
    <t>ЮЛ910403571400024</t>
  </si>
  <si>
    <t>297403 Республика Крым город Евпатория проспект Победы дом 59Е</t>
  </si>
  <si>
    <t>ЮЛ910403571400026</t>
  </si>
  <si>
    <t>298112 Республика Крым город Феодосия улица Крымская дом 82К</t>
  </si>
  <si>
    <t>ЮЛ910403571400029</t>
  </si>
  <si>
    <t>298403 Республика Крым город Бахчисарай улица Фрунзе дом 26-Д</t>
  </si>
  <si>
    <t>ЮЛ910403571400034</t>
  </si>
  <si>
    <t>297406 Республика Крым город Евпатория улица им.Крупской дом 7Б</t>
  </si>
  <si>
    <t>ЮЛ910403571400035</t>
  </si>
  <si>
    <t>298500 Республика Крым город Алушта площадь Советская дом 2</t>
  </si>
  <si>
    <t>ЮЛ910403571400036</t>
  </si>
  <si>
    <t>298300 Республика Крым город Керчь улица Маршала Ерёменко дом 30Б</t>
  </si>
  <si>
    <t>ЮЛ910403571400037</t>
  </si>
  <si>
    <t>296500 Республика Крым город Саки улица Революции дом 4 Б   помещение №2</t>
  </si>
  <si>
    <t>ЮЛ910403571400038</t>
  </si>
  <si>
    <t>297408 Республика Крым город Евпатория улица Дмитрия Ульянова дом 1В/23</t>
  </si>
  <si>
    <t>ЮЛ910403571400039</t>
  </si>
  <si>
    <t>296100 Республика Крым город Джанкой улица Крымская дом 39А</t>
  </si>
  <si>
    <t>ЮЛ910403571400040</t>
  </si>
  <si>
    <t>296100 Республика Крым город Джанкой улица Калинина / улица Розы Люксембург дом 15/13   помещение №1-1, 1-2, 1-3.</t>
  </si>
  <si>
    <t>ЮЛ910403571400041</t>
  </si>
  <si>
    <t>297406 Республика Крым город Евпатория улица Интернациональная дом 105   квартира 17</t>
  </si>
  <si>
    <t>ЮЛ910403571400042</t>
  </si>
  <si>
    <t>298100 Республика Крым город Феодосия улица Назукина / улица Куйбышева дом 10/2</t>
  </si>
  <si>
    <t>ЮЛ910403571400043</t>
  </si>
  <si>
    <t>298635 Республика Крым город Ялта улица Пушкинская дом 34 А</t>
  </si>
  <si>
    <t>ЮЛ910403571400044</t>
  </si>
  <si>
    <t>296000 Республика Крым город Красноперекопск улица Калинина дом 4/1</t>
  </si>
  <si>
    <t>ЮЛ910403571400046</t>
  </si>
  <si>
    <t>298300 Республика Крым город Керчь улица Карла Маркса дом 18   помещение 3</t>
  </si>
  <si>
    <t>ЮЛ910403571400047</t>
  </si>
  <si>
    <t>296500 Республика Крым город Саки улица Советская дом 2Б</t>
  </si>
  <si>
    <t>ЮЛ910403571400048</t>
  </si>
  <si>
    <t>ЮЛ910403571400049</t>
  </si>
  <si>
    <t>298600 Республика Крым город Ялта улица Московская / улица Маркса К дом 1/6   помещение 4-2, 4-4, 4-3, 4-6</t>
  </si>
  <si>
    <t>ЮЛ910403571400050</t>
  </si>
  <si>
    <t>298319 Республика Крым город Керчь улица Сморжевского дом 4</t>
  </si>
  <si>
    <t>ЮЛ910403571400051</t>
  </si>
  <si>
    <t>298500 Республика Крым город Алушта улица Горького дом 78</t>
  </si>
  <si>
    <t>ЮЛ910403571400052</t>
  </si>
  <si>
    <t>298100 Республика Крым город Феодосия улица Свободы дом 1</t>
  </si>
  <si>
    <t>ЮЛ910403571400053</t>
  </si>
  <si>
    <t>298600 Республика Крым город Ялта улица Московская дом 29   помещение №6-1, 6-4, 6-6, 6-10</t>
  </si>
  <si>
    <t>ЮЛ910403571400054</t>
  </si>
  <si>
    <t>298300 Республика Крым город Керчь улица Театральная дом 21/40</t>
  </si>
  <si>
    <t>ЮЛ910403571400055</t>
  </si>
  <si>
    <t>298300 Республика Крым город Керчь улица Маршала Ерёменко дом 30Д</t>
  </si>
  <si>
    <t>ЮЛ910403571400056</t>
  </si>
  <si>
    <t>298330 Республика Крым город Керчь улица Ворошилова дом 6А</t>
  </si>
  <si>
    <t>ЮЛ910403571400057</t>
  </si>
  <si>
    <t>298600 Республика Крым город Ялта улица Московская дом 5   помещение №7а-2, №7а-7</t>
  </si>
  <si>
    <t>ЮЛ910403571400058</t>
  </si>
  <si>
    <t>298612 Республика Крым город Ялта улица Киевская дом 52</t>
  </si>
  <si>
    <t>ЮЛ910403571400060</t>
  </si>
  <si>
    <t>295053 Республика Крым город Симферополь улица Киевская/улица Гурзуфская дом 5/2</t>
  </si>
  <si>
    <t>ЮЛ910403571400061</t>
  </si>
  <si>
    <t>296000 Республика Крым город Красноперекопск микрорайон 1 дом 8   помещение 8/1</t>
  </si>
  <si>
    <t>ЮЛ910403571400062</t>
  </si>
  <si>
    <t>297000 Республика Крым поселок городского типа Красногвардейское улица Энгельса здание 10а</t>
  </si>
  <si>
    <t>ЮЛ910403571400063</t>
  </si>
  <si>
    <t>295044 Республика Крым город Симферополь улица Залесская дом 117</t>
  </si>
  <si>
    <t>ЮЛ910403571400064</t>
  </si>
  <si>
    <t>298300 Республика Крым город Керчь улица Маршала Еременко дом 30Г   помещение 9</t>
  </si>
  <si>
    <t>ЮЛ910403571400067</t>
  </si>
  <si>
    <t>297600 Республика Крым город Белогорск улица Симферопольская/пер. Симферопольский дом 28/6</t>
  </si>
  <si>
    <t>ЮЛ910403571400068</t>
  </si>
  <si>
    <t>295034 Республика Крым город Симферополь улица Лермонтова дом 17а</t>
  </si>
  <si>
    <t>ЮЛ910403571400069</t>
  </si>
  <si>
    <t>295015 Республика Крым город Симферополь проспект Кирова/Козлова дом 1/11</t>
  </si>
  <si>
    <t>ЮЛ910403571400071</t>
  </si>
  <si>
    <t>298000 Республика Крым город Судак улица Ленина дом 31 "А"   помещение 3, 7.</t>
  </si>
  <si>
    <t>ЮЛ910403571400072</t>
  </si>
  <si>
    <t>295053 Республика Крым город Симферополь улица Киевская дом 7д</t>
  </si>
  <si>
    <t>ЮЛ910403571400076</t>
  </si>
  <si>
    <t>298310 Республика Крым город Керчь улица Орджоникидзе дом 43/12   помещение 1</t>
  </si>
  <si>
    <t>ЮЛ910403571400078</t>
  </si>
  <si>
    <t>295007 Республика Крым город Симферополь улица Плотинная дом 9   115</t>
  </si>
  <si>
    <t>ЮЛ910403620200000</t>
  </si>
  <si>
    <t>ЮЛ910403620200001</t>
  </si>
  <si>
    <t>296500 Республика Крым город Саки улица Советская дом 2б</t>
  </si>
  <si>
    <t>ЮЛ910403620200002</t>
  </si>
  <si>
    <t>ЮЛ910403620200003</t>
  </si>
  <si>
    <t>298600 Республика Крым город Ялта улица Московская дом 5   помещение 7а-2, 7а-7</t>
  </si>
  <si>
    <t>ЮЛ910403620200004</t>
  </si>
  <si>
    <t>ЮЛ910403620200005</t>
  </si>
  <si>
    <t>298635 Республика Крым город Ялта улица Пушкинская дом 34а</t>
  </si>
  <si>
    <t>ЮЛ910403620200006</t>
  </si>
  <si>
    <t>ЮЛ910403620200007</t>
  </si>
  <si>
    <t>296100 Республика Крым город Джанкой улица Калинина / улица Розы Люксембург дом 15/13   помещение №1-1, 1-2, 1-3</t>
  </si>
  <si>
    <t>ЮЛ910403620200008</t>
  </si>
  <si>
    <t>298600 Республика Крым город Ялта улица Московская дом 29   помещение № 6-1, 6-4, 6-6, 6-10</t>
  </si>
  <si>
    <t>ЮЛ910403620200009</t>
  </si>
  <si>
    <t>298300 Республика Крым город Керчь улица Маршала Еременко дом 30Б</t>
  </si>
  <si>
    <t>ЮЛ910403620200010</t>
  </si>
  <si>
    <t>ЮЛ910403620200011</t>
  </si>
  <si>
    <t>ЮЛ910403620200012</t>
  </si>
  <si>
    <t>ЮЛ910403620200013</t>
  </si>
  <si>
    <t>ЮЛ910403620200014</t>
  </si>
  <si>
    <t>ЮЛ910403620200015</t>
  </si>
  <si>
    <t>298403 Республика Крым город Бахчисарай улица Фрунзе дом 26д</t>
  </si>
  <si>
    <t>ЮЛ910403620200016</t>
  </si>
  <si>
    <t>296500 Республика Крым город Саки улица Революции дом 4б   помещение 2</t>
  </si>
  <si>
    <t>ЮЛ910403620200017</t>
  </si>
  <si>
    <t>ЮЛ910403620200018</t>
  </si>
  <si>
    <t>ЮЛ910403620200019</t>
  </si>
  <si>
    <t>ЮЛ910403620200020</t>
  </si>
  <si>
    <t>298600 Республика Крым город Ялта улица Московская/ улица Маркса К дом 1/6   помещение 4-2, 4-4, 4-3, 4-6</t>
  </si>
  <si>
    <t>ЮЛ910403620200021</t>
  </si>
  <si>
    <t>ЮЛ910403620200022</t>
  </si>
  <si>
    <t>ЮЛ910403620200023</t>
  </si>
  <si>
    <t>ЮЛ910403620200024</t>
  </si>
  <si>
    <t>297408 Республика Крым город Евпатория улица Дм. Ульянова дом 1В/23</t>
  </si>
  <si>
    <t>ЮЛ910403620200025</t>
  </si>
  <si>
    <t>ЮЛ910403620200026</t>
  </si>
  <si>
    <t>ЮЛ910403620200027</t>
  </si>
  <si>
    <t>ЮЛ910403620200028</t>
  </si>
  <si>
    <t>ЮЛ910403620200031</t>
  </si>
  <si>
    <t>ЮЛ910403620200032</t>
  </si>
  <si>
    <t>ЮЛ910403620200033</t>
  </si>
  <si>
    <t>297406 Республика Крым город Евпатория улица Крупской дом 7 Б</t>
  </si>
  <si>
    <t>ЮЛ910403620200036</t>
  </si>
  <si>
    <t>ЮЛ910403620200039</t>
  </si>
  <si>
    <t>ЮЛ910403620200040</t>
  </si>
  <si>
    <t>ЮЛ910403620200041</t>
  </si>
  <si>
    <t>ЮЛ910403620200042</t>
  </si>
  <si>
    <t>ЮЛ910403620200043</t>
  </si>
  <si>
    <t>ЮЛ910403620200045</t>
  </si>
  <si>
    <t>ЮЛ910403620200046</t>
  </si>
  <si>
    <t>ЮЛ910403620200050</t>
  </si>
  <si>
    <t>ЮЛ910403620200051</t>
  </si>
  <si>
    <t>295053 Республика Крым город Симферополь улица Киевская/улица Гурзуфская  дом 5/2</t>
  </si>
  <si>
    <t>ЮЛ910403620200061</t>
  </si>
  <si>
    <t>296000 Республика Крым город Красноперекопск микрорайон 1 дом 1   помещение 8/1</t>
  </si>
  <si>
    <t>ЮЛ910403620200062</t>
  </si>
  <si>
    <t>ЮЛ910403620200063</t>
  </si>
  <si>
    <t>ЮЛ910403620200064</t>
  </si>
  <si>
    <t>ЮЛ910403620200067</t>
  </si>
  <si>
    <t>ЮЛ910403620200068</t>
  </si>
  <si>
    <t>ЮЛ910403620200069</t>
  </si>
  <si>
    <t>ЮЛ910403620200071</t>
  </si>
  <si>
    <t>298000 Республика Крым город Судак улица Ленина дом 31 "А"   помещение 3</t>
  </si>
  <si>
    <t>ЮЛ910403620200072</t>
  </si>
  <si>
    <t>295053 Республика Крым город Симферополь улица Киевская дом 7Д</t>
  </si>
  <si>
    <t>ЮЛ910403620200074</t>
  </si>
  <si>
    <t>ЮЛ910403620200078</t>
  </si>
  <si>
    <t>ИП Цапко Елена Николаевна</t>
  </si>
  <si>
    <t>910230362285</t>
  </si>
  <si>
    <t>ИП8204004232</t>
  </si>
  <si>
    <t>ИП820400423200000</t>
  </si>
  <si>
    <t>298635 Республика Крым город Ялта улица Гоголя дом 1А  литера Л</t>
  </si>
  <si>
    <t>ИП Скрыпкина Светлана Владимировна</t>
  </si>
  <si>
    <t>910300048519</t>
  </si>
  <si>
    <t>ИП8204006561</t>
  </si>
  <si>
    <t>ИП820400656100006</t>
  </si>
  <si>
    <t>298500 Республика Крым город Алушта улица Ленина дом 2  литера Б</t>
  </si>
  <si>
    <t>ИП820400656100008</t>
  </si>
  <si>
    <t>298635 Республика Крым город Ялта улица Пушкинская дом 7а   комната 1-1</t>
  </si>
  <si>
    <t>ИП820400656100009</t>
  </si>
  <si>
    <t>298510 Республика Крым город Алушта улица Пионерская дом 1</t>
  </si>
  <si>
    <t>ИП820400656100010</t>
  </si>
  <si>
    <t>298612 Республика Крым город Ялта улица Киевская дом 38</t>
  </si>
  <si>
    <t>ИП Гнидько Ирина Анатольевна</t>
  </si>
  <si>
    <t>910300050691</t>
  </si>
  <si>
    <t>ИП8204003650</t>
  </si>
  <si>
    <t>ИП820400365000000</t>
  </si>
  <si>
    <t>298600 Республика Крым город Ялта набережная Ленина В.И. имени дом 5</t>
  </si>
  <si>
    <t>ИП Жукова Людмила Сергеевна</t>
  </si>
  <si>
    <t>910300054600</t>
  </si>
  <si>
    <t>ИП8204000209</t>
  </si>
  <si>
    <t>ИП820400020900000</t>
  </si>
  <si>
    <t>298635 Республика Крым город Ялта улица Пушкинская дом 30</t>
  </si>
  <si>
    <t>ИП Ливчак Руслан Владимирович</t>
  </si>
  <si>
    <t>910300108486</t>
  </si>
  <si>
    <t>ИП8204007710</t>
  </si>
  <si>
    <t>ИП820400771000000</t>
  </si>
  <si>
    <t>298635 Республика Крым город Ялта улица Пушкинская дом 28</t>
  </si>
  <si>
    <t>ИП820400771000001</t>
  </si>
  <si>
    <t>298600 Республика Крым город Ялта набережная Ленина В.И. имени дом 1</t>
  </si>
  <si>
    <t>ИП ДЗЫГА С.П.</t>
  </si>
  <si>
    <t>910300141902</t>
  </si>
  <si>
    <t>ИП8204006192</t>
  </si>
  <si>
    <t>ИП820400619200000</t>
  </si>
  <si>
    <t>298600 Республика Крым город Ялта набережная имени Ленина дом 5а  А</t>
  </si>
  <si>
    <t>ИП Перекрестов Юрий Владимирович</t>
  </si>
  <si>
    <t>910300163504</t>
  </si>
  <si>
    <t>ИП8204003349</t>
  </si>
  <si>
    <t>ИП820400334900000</t>
  </si>
  <si>
    <t>298656 Республика Крым город Ялта поселок городского типа Курпаты улица шоссе Алупкинское дом 12а   нежилые помещения 4-20,4-24,4-25</t>
  </si>
  <si>
    <t>ЮЛ820400992900000</t>
  </si>
  <si>
    <t>298600 Республика Крым город Ялта улица Морская дом 3 А</t>
  </si>
  <si>
    <t>ЮЛ820400992900001</t>
  </si>
  <si>
    <t>298683 Республика Крым город Ялта поселок городского типа Парковое  улица шоссе Парковое дом 39</t>
  </si>
  <si>
    <t>ЮЛ820400992900002</t>
  </si>
  <si>
    <t>298521 Республика Крым город Алушта улица Ленина дом 2  литер ш</t>
  </si>
  <si>
    <t>ЮЛ820400992900006</t>
  </si>
  <si>
    <t>298690 Республика Крым город Ялта поселок городского типа Форос  улица Спуск Форосский дом 1   часть помещения 9-36</t>
  </si>
  <si>
    <t>ЮЛ820400992900008</t>
  </si>
  <si>
    <t>298500 Республика Крым город Алушта улица Набережная дом 25</t>
  </si>
  <si>
    <t>ЮЛ820400992900011</t>
  </si>
  <si>
    <t>298612 Республика Крым город Ялта улица Киевская дом 7Б   помещение площадью 13,0 квадратных метров</t>
  </si>
  <si>
    <t>ООО "ЛОМБАРД ОНКОЛЬ"</t>
  </si>
  <si>
    <t>9103004500</t>
  </si>
  <si>
    <t>ЮЛ8204008104</t>
  </si>
  <si>
    <t>ЮЛ820400810400001</t>
  </si>
  <si>
    <t>298612 Республика Крым город Ялта улица Московская дом 47  литера А офис №130-1, общей площадью 7 квадратных метров</t>
  </si>
  <si>
    <t>ЮЛ820400810400004</t>
  </si>
  <si>
    <t>298600 Республика Крым город Ялта улица Пушкинская дом 2  литера Б</t>
  </si>
  <si>
    <t>ИП Крючкова Валентина Кирилловна</t>
  </si>
  <si>
    <t>910306343567</t>
  </si>
  <si>
    <t>ИП8204001598</t>
  </si>
  <si>
    <t>ИП820400159800000</t>
  </si>
  <si>
    <t>298635 Республика Крым город Севастополь Проспект Октябрьской Революции 57</t>
  </si>
  <si>
    <t>ИП Соломка Оксана Андреевна</t>
  </si>
  <si>
    <t>910306684824</t>
  </si>
  <si>
    <t>ИП8204009957</t>
  </si>
  <si>
    <t>ИП820400995700000</t>
  </si>
  <si>
    <t>298685 Республика Крым село Оползневое улица Генерала Острякова дом 9</t>
  </si>
  <si>
    <t>ИП Воронин Валерий Владимирович</t>
  </si>
  <si>
    <t>910310205746</t>
  </si>
  <si>
    <t>ИП8204009743</t>
  </si>
  <si>
    <t>ИП820400974300000</t>
  </si>
  <si>
    <t>298612 Республика Крым город Ялта улица Московская 6 Торговый павильон № 53</t>
  </si>
  <si>
    <t>ИП Соколова Оксана Дмитриевна</t>
  </si>
  <si>
    <t>910312484277</t>
  </si>
  <si>
    <t>ИП9104039293</t>
  </si>
  <si>
    <t>ИП910403929300000</t>
  </si>
  <si>
    <t>ИП Волчкова Елена Владимировна</t>
  </si>
  <si>
    <t>910317813214</t>
  </si>
  <si>
    <t>ИП8204001895</t>
  </si>
  <si>
    <t>ИП820400189500000</t>
  </si>
  <si>
    <t>298420 Республика Крым поселок городского типа Почтовое переулок Совхозный 11</t>
  </si>
  <si>
    <t>ИП Парненко Галина Евгеньевна</t>
  </si>
  <si>
    <t>910400018998</t>
  </si>
  <si>
    <t>ИП8204020125</t>
  </si>
  <si>
    <t>ИП820402012500000</t>
  </si>
  <si>
    <t>298403 Республика Крым город Бахчисарай улица Фрунзе дом 46А</t>
  </si>
  <si>
    <t>ИП Бавбеков Эмиль Айдерович</t>
  </si>
  <si>
    <t>910400041066</t>
  </si>
  <si>
    <t>ИП8204007775</t>
  </si>
  <si>
    <t>ИП820400777500000</t>
  </si>
  <si>
    <t>296500 Республика Крым город Саки улица Советская дом 16</t>
  </si>
  <si>
    <t>ИП820400777500002</t>
  </si>
  <si>
    <t>298403 Республика Крым город Бахчисарай улица Фрунзе дом 29-а</t>
  </si>
  <si>
    <t>ИП Рефатова Урие Якубовна</t>
  </si>
  <si>
    <t>910407707108</t>
  </si>
  <si>
    <t>ИП8204018718</t>
  </si>
  <si>
    <t>ИП820401871800000</t>
  </si>
  <si>
    <t>296100 Республика Крым город Джанкой улица Калинина дом 84</t>
  </si>
  <si>
    <t>ИП Зинченко Валентина Федоровна</t>
  </si>
  <si>
    <t>910500015849</t>
  </si>
  <si>
    <t>ИП8204003685</t>
  </si>
  <si>
    <t>ИП820400368500000</t>
  </si>
  <si>
    <t>296100 Республика Крым город Джанкой улица Крымская дом 45   квартира 2</t>
  </si>
  <si>
    <t>ИП Стадник Елена Александровна</t>
  </si>
  <si>
    <t>910500048509</t>
  </si>
  <si>
    <t>ИП8204000396</t>
  </si>
  <si>
    <t>ИП820400039600000</t>
  </si>
  <si>
    <t>297100 Республика Крым Поселок городского типа Нижнегорский Победы 44</t>
  </si>
  <si>
    <t>ИП Тутаев Даниил Николаевич</t>
  </si>
  <si>
    <t>910500069604</t>
  </si>
  <si>
    <t>ИП8204005610</t>
  </si>
  <si>
    <t>ИП820400561000000</t>
  </si>
  <si>
    <t>297000 Республика Крым поселок городского типа Красногвардейское улица Тельмана  дом 5  литера А помещения №1,№11,№12</t>
  </si>
  <si>
    <t>ИП820400561000001</t>
  </si>
  <si>
    <t>297000 Республика Крым поселок городского типа Красногвардейское улица Фрунзе дом 24   квартира 2</t>
  </si>
  <si>
    <t>ИП820400561000004</t>
  </si>
  <si>
    <t>296100 Республика Крым город Джанкой улица Ленина дом 8</t>
  </si>
  <si>
    <t>ИП Бурков Эдуард Александрович</t>
  </si>
  <si>
    <t>910500131242</t>
  </si>
  <si>
    <t>ИП8204002776</t>
  </si>
  <si>
    <t>ИП820400277600000</t>
  </si>
  <si>
    <t>297060 Республика Крым поселок городского типа Октябрьское улица Ленина дом 55</t>
  </si>
  <si>
    <t>ИП Черватюк Константин Константинович</t>
  </si>
  <si>
    <t>910501008749</t>
  </si>
  <si>
    <t>ИП8204009765</t>
  </si>
  <si>
    <t>ИП820400976500000</t>
  </si>
  <si>
    <t>297000 Республика Крым поселок городского типа Красногвардейское улица Тельмана дом 24</t>
  </si>
  <si>
    <t>ИП Смикулис Мария Николаевна</t>
  </si>
  <si>
    <t>910522586596</t>
  </si>
  <si>
    <t>ИП8204006135</t>
  </si>
  <si>
    <t>ИП820400613500000</t>
  </si>
  <si>
    <t>296000 Республика Крым город Красноперекопск улица Таврическая дом 15 Л-21</t>
  </si>
  <si>
    <t>ИП Иванов Виталий Геннадьевич</t>
  </si>
  <si>
    <t>910600035736</t>
  </si>
  <si>
    <t>ИП8204000087</t>
  </si>
  <si>
    <t>ИП820400008700000</t>
  </si>
  <si>
    <t>296000 Республика Крым город Красноперекопск улица Таврическая дом 15/14</t>
  </si>
  <si>
    <t>ИП Варфоломеева Наталья Сергеевна</t>
  </si>
  <si>
    <t>910600057641</t>
  </si>
  <si>
    <t>ИП8204004731</t>
  </si>
  <si>
    <t>ИП820400473100000</t>
  </si>
  <si>
    <t>296000 Республика Крым город Красноперекопск</t>
  </si>
  <si>
    <t>ИП Варфоломеев Александр Николаевич</t>
  </si>
  <si>
    <t>910600058130</t>
  </si>
  <si>
    <t>ИП8204004614</t>
  </si>
  <si>
    <t>ИП820400461400000</t>
  </si>
  <si>
    <t>296012 Республика Крым город Армянск микрорайон им Генерала Васильева дом 7А</t>
  </si>
  <si>
    <t>ИП Кочеткова Людмила Михайловна</t>
  </si>
  <si>
    <t>910600084050</t>
  </si>
  <si>
    <t>ИП8204014256</t>
  </si>
  <si>
    <t>ИП820401425600000</t>
  </si>
  <si>
    <t>296000 Республика Крым город Красноперекопск улица Гекало дом 22/1   помещение 3</t>
  </si>
  <si>
    <t>ИП Ермакова Анна Александровна</t>
  </si>
  <si>
    <t>910600084123</t>
  </si>
  <si>
    <t>ИП8204014255</t>
  </si>
  <si>
    <t>ИП820401425500000</t>
  </si>
  <si>
    <t>296200 Республика Крым поселок городского типа Раздольное улица Ленина здание 21</t>
  </si>
  <si>
    <t>ИП Прядко Станислав Юрьевич</t>
  </si>
  <si>
    <t>910600099916</t>
  </si>
  <si>
    <t>ИП9104040441</t>
  </si>
  <si>
    <t>ИП910404044100000</t>
  </si>
  <si>
    <t>296300 Республика Крым поселок городского типа Первомайское переулок Садовый дом 3   квартира 3</t>
  </si>
  <si>
    <t>ИП Гайновская Галина Александровна</t>
  </si>
  <si>
    <t>910601015563</t>
  </si>
  <si>
    <t>ИП8204014660</t>
  </si>
  <si>
    <t>ИП820401466000000</t>
  </si>
  <si>
    <t>298600 Республика Крым город Ялта набережная Ленина В.И. имени здание 18   помещение 89</t>
  </si>
  <si>
    <t>ИП Орешникова Елена Сергеевна</t>
  </si>
  <si>
    <t>910601031519</t>
  </si>
  <si>
    <t>ИП9104038911</t>
  </si>
  <si>
    <t>ИП910403891100000</t>
  </si>
  <si>
    <t>296012 Республика Крым город Армянск микрорайон им Генерала Васильева 5</t>
  </si>
  <si>
    <t>ИП Богомолова Раиса Андреевна</t>
  </si>
  <si>
    <t>910602844059</t>
  </si>
  <si>
    <t>ИП8204032245</t>
  </si>
  <si>
    <t>ИП820403224500000</t>
  </si>
  <si>
    <t>296000 Республика Крым город Красноперекопск улица Гекало дом 22/5   помещение № 9</t>
  </si>
  <si>
    <t>ИП Байбуза Виктор Иванович</t>
  </si>
  <si>
    <t>910603293358</t>
  </si>
  <si>
    <t>ИП8204032257</t>
  </si>
  <si>
    <t>ИП820403225700000</t>
  </si>
  <si>
    <t>295015 Республика Крым город Симферополь улица Субхи дом 2 торговое место 18</t>
  </si>
  <si>
    <t>ИП Колесниченко Артём Сергеевич</t>
  </si>
  <si>
    <t>910606325181</t>
  </si>
  <si>
    <t>ИП8204002507</t>
  </si>
  <si>
    <t>ИП820400250700000</t>
  </si>
  <si>
    <t>297400 Республика Крым город Евпатория улица Интернациональная 107   офис 3</t>
  </si>
  <si>
    <t>ИП820400250700001</t>
  </si>
  <si>
    <t>297406 Республика Крым город Евпатория улица им.Крупской дом 7</t>
  </si>
  <si>
    <t>ИП820400250700002</t>
  </si>
  <si>
    <t>296500 Республика Крым город Саки улица Революции дом 6</t>
  </si>
  <si>
    <t>ИП Лебедева Светлана Васильевна</t>
  </si>
  <si>
    <t>910700036927</t>
  </si>
  <si>
    <t>ИП8204010812</t>
  </si>
  <si>
    <t>ИП820401081200000</t>
  </si>
  <si>
    <t>297402 Республика Крым город Евпатория Интернациональная 130 4</t>
  </si>
  <si>
    <t>ИП820401081200002</t>
  </si>
  <si>
    <t>296500 Республика Крым город Саки улица Советская дом 1/27</t>
  </si>
  <si>
    <t>ИП Лебедев Александр Владимирович</t>
  </si>
  <si>
    <t>910700037021</t>
  </si>
  <si>
    <t>ИП8204010806</t>
  </si>
  <si>
    <t>ИП820401080600000</t>
  </si>
  <si>
    <t>296500 Республика Крым город Саки улица Революции дом 4</t>
  </si>
  <si>
    <t>ИП Стецкая Лена Ингеловна</t>
  </si>
  <si>
    <t>910700038610</t>
  </si>
  <si>
    <t>ИП8204004940</t>
  </si>
  <si>
    <t>ИП820400494000000</t>
  </si>
  <si>
    <t>296500 Республика Крым город Саки улица Советская дом 9 р</t>
  </si>
  <si>
    <t>ИП820400494000001</t>
  </si>
  <si>
    <t>ИП Пидорина Ирина Николаевна</t>
  </si>
  <si>
    <t>910700052340</t>
  </si>
  <si>
    <t>ИП8204006070</t>
  </si>
  <si>
    <t>ИП820400607000000</t>
  </si>
  <si>
    <t>297403 Республика Крым город Евпатория улица Интернациональная  130  Б 16</t>
  </si>
  <si>
    <t>ИП Шмидт Евгений Константинович</t>
  </si>
  <si>
    <t>910700067749</t>
  </si>
  <si>
    <t>ИП8204016851</t>
  </si>
  <si>
    <t>ИП820401685100000</t>
  </si>
  <si>
    <t>297412 Республика Крым город Евпатория улица Горького дом 3А</t>
  </si>
  <si>
    <t>ИП Сибирцева Наталья Владимировна</t>
  </si>
  <si>
    <t>910703633745</t>
  </si>
  <si>
    <t>ИП8204014337</t>
  </si>
  <si>
    <t>ИП820401433700000</t>
  </si>
  <si>
    <t>296500 Республика Крым город Саки улица Морская 4 дом 18 сектор13</t>
  </si>
  <si>
    <t>ИП820401433700003</t>
  </si>
  <si>
    <t>298100 Республика Крым город Феодосия улица Земская дом 18</t>
  </si>
  <si>
    <t>ИП Заманова Александра Сергеевна</t>
  </si>
  <si>
    <t>910800018008</t>
  </si>
  <si>
    <t>ИП8204004603</t>
  </si>
  <si>
    <t>ИП820400460300000</t>
  </si>
  <si>
    <t>298100 Республика Крым город Феодосия шоссе Симферопольское дом 24А   помещение 6н</t>
  </si>
  <si>
    <t>ИП Доценко Ольга Анатольевна</t>
  </si>
  <si>
    <t>910800022646</t>
  </si>
  <si>
    <t>ИП8204005397</t>
  </si>
  <si>
    <t>ИП820400539700000</t>
  </si>
  <si>
    <t>298112 Республика Крым город Феодосия улица Крымская здание 82Т   помещение 3Н</t>
  </si>
  <si>
    <t>ИП820400539700001</t>
  </si>
  <si>
    <t>298100 Республика Крым город Феодосия улица Земская (К. Либкнехта) дом 2   помещение 1-Н</t>
  </si>
  <si>
    <t>ИП820400539700002</t>
  </si>
  <si>
    <t>298180 Республика Крым город Феодосия улица Куйбышева дом 2</t>
  </si>
  <si>
    <t>ИП820400539700003</t>
  </si>
  <si>
    <t>298000 Республика Крым город Судак улица Ленина дом 61</t>
  </si>
  <si>
    <t>ИП Каминский Владимир Константинович</t>
  </si>
  <si>
    <t>910800035003</t>
  </si>
  <si>
    <t>ИП8204004726</t>
  </si>
  <si>
    <t>ИП820400472600000</t>
  </si>
  <si>
    <t>298000 Республика Крым город Судак улица Ленина дом 35-а   помещение 1</t>
  </si>
  <si>
    <t>ИП820400472600001</t>
  </si>
  <si>
    <t>297300 Республика Крым поселок городского типа Кировское улица Кирова дом 15   помещение 2н</t>
  </si>
  <si>
    <t>ИП Полищук Зоя Федоровна</t>
  </si>
  <si>
    <t>910800116608</t>
  </si>
  <si>
    <t>ИП8204009954</t>
  </si>
  <si>
    <t>ИП820400995400000</t>
  </si>
  <si>
    <t>298186 Республика Крым город Феодосия,поселок городского типа Коктебель улица Ленина дом 121в</t>
  </si>
  <si>
    <t>ИП Сахоненко Евгений Евгеньевич</t>
  </si>
  <si>
    <t>910800140907</t>
  </si>
  <si>
    <t>ИП8204015095</t>
  </si>
  <si>
    <t>ИП820401509500001</t>
  </si>
  <si>
    <t>298300 Республика Крым город Керчь улица Ленина дом 19</t>
  </si>
  <si>
    <t>ИП820401509500004</t>
  </si>
  <si>
    <t>ИП Чабанова Зера Викторовна</t>
  </si>
  <si>
    <t>910800165958</t>
  </si>
  <si>
    <t>ИП8204009754</t>
  </si>
  <si>
    <t>ИП820400975400000</t>
  </si>
  <si>
    <t>297345 Республика Крым город Старый Крым улица Ленина 103</t>
  </si>
  <si>
    <t>ИП820400975400001</t>
  </si>
  <si>
    <t>298300 Республика Крым город Керчь улица Еременко дом 30В</t>
  </si>
  <si>
    <t>ИП Курьян Александр Петрович</t>
  </si>
  <si>
    <t>910800187158</t>
  </si>
  <si>
    <t>ИП8204008896</t>
  </si>
  <si>
    <t>ИП820400889600000</t>
  </si>
  <si>
    <t>298300 Республика Крым город Керчь улица Маршала Еременко дом 30В</t>
  </si>
  <si>
    <t>ООО "ЛОМБАРД "ЗОЛОТО КРЫМА"</t>
  </si>
  <si>
    <t>9108122530</t>
  </si>
  <si>
    <t>ЮЛ8204007708</t>
  </si>
  <si>
    <t>ЮЛ820400770800000</t>
  </si>
  <si>
    <t>297200 Республика Крым поселок городского типа Советский улица Матросова дом 36</t>
  </si>
  <si>
    <t>ИП Сенюк Екатерина Владиславовна</t>
  </si>
  <si>
    <t>910818160654</t>
  </si>
  <si>
    <t>ИП8204004166</t>
  </si>
  <si>
    <t>ИП820400416600000</t>
  </si>
  <si>
    <t>298200 Республика Крым поселок городского типа Ленино улица Энгельса дом 11А/7</t>
  </si>
  <si>
    <t>ИП820400416600001</t>
  </si>
  <si>
    <t>297300 Республика Крым поселок городского типа Кировское улица Р.Люксембург дом 3</t>
  </si>
  <si>
    <t>ИП820400416600002</t>
  </si>
  <si>
    <t>298000 Республика Крым город Судак улица Ленина дом 44   этаж 1 (часть нежилого помещения)</t>
  </si>
  <si>
    <t>ИП820400416600005</t>
  </si>
  <si>
    <t>297600 Республика Крым город Белогорск улица Симферопольская дом 32А</t>
  </si>
  <si>
    <t>ИП Лобанова Наталья Николаевна</t>
  </si>
  <si>
    <t>910900003862</t>
  </si>
  <si>
    <t>ИП8204001159</t>
  </si>
  <si>
    <t>ИП820400115900000</t>
  </si>
  <si>
    <t>295050 Республика Крым город Симферополь улица Кечкеметская Дом 1 ТЦ "Крым"  Помещение общей площадью 21 кв.м.</t>
  </si>
  <si>
    <t>ИП Дроздова Анна Ивановна</t>
  </si>
  <si>
    <t>910900004030</t>
  </si>
  <si>
    <t>ИП8204000763</t>
  </si>
  <si>
    <t>ИП820400076300000</t>
  </si>
  <si>
    <t>297513 Республика Крым Поселок городского типа Гвардейское Улица Ленина Дом 1А</t>
  </si>
  <si>
    <t>ИП820400076300001</t>
  </si>
  <si>
    <t>295000 Республика Крым Город Симферополь пр-кт Кирова/ул Горького 30/2</t>
  </si>
  <si>
    <t>ИП820400076300003</t>
  </si>
  <si>
    <t>ИП Муранова Людмила Валерьевна</t>
  </si>
  <si>
    <t>910900013726</t>
  </si>
  <si>
    <t>ИП8204003675</t>
  </si>
  <si>
    <t>ИП820400367500000</t>
  </si>
  <si>
    <t>295015 Республика Крым город Симферополь улица Севастопольская дом 62</t>
  </si>
  <si>
    <t>ИП Мельник Валерия Николаевна</t>
  </si>
  <si>
    <t>910900020096</t>
  </si>
  <si>
    <t>ИП8204003163</t>
  </si>
  <si>
    <t>ИП820400316300000</t>
  </si>
  <si>
    <t>295493 Республика Крым город Симферополь улица Яблочкова дом 19</t>
  </si>
  <si>
    <t>ИП Чермных Светослав Анатольевич</t>
  </si>
  <si>
    <t>910900064054</t>
  </si>
  <si>
    <t>ИП8204009835</t>
  </si>
  <si>
    <t>ИП820400983500000</t>
  </si>
  <si>
    <t>295000 Республика Крым город Симферополь улица Карла Маркса дом 1/40</t>
  </si>
  <si>
    <t>ИП Чеботарёв Иван Петрович</t>
  </si>
  <si>
    <t>910900065259</t>
  </si>
  <si>
    <t>ИП8204004763</t>
  </si>
  <si>
    <t>ИП820400476300000</t>
  </si>
  <si>
    <t>295022 Республика Крым город Симферополь улица Механизаторов дом 51</t>
  </si>
  <si>
    <t>ИП Дзядевич Алла Геннадиевна</t>
  </si>
  <si>
    <t>910900067979</t>
  </si>
  <si>
    <t>ИП8204000477</t>
  </si>
  <si>
    <t>ИП820400047700000</t>
  </si>
  <si>
    <t>297600 Республика Крым город Белогорск улица Луначарского дом 15а</t>
  </si>
  <si>
    <t>ИП Поклонский Сергей Энгельсович</t>
  </si>
  <si>
    <t>910903613827</t>
  </si>
  <si>
    <t>ИП8204033976</t>
  </si>
  <si>
    <t>ИП820403397600000</t>
  </si>
  <si>
    <t>298000 Республика Крым город Судак улица Ленина дом 49</t>
  </si>
  <si>
    <t>ИП820403397600001</t>
  </si>
  <si>
    <t>297100 Республика Крым поселок городского типа Нижнегорский улица Победы дом 9</t>
  </si>
  <si>
    <t>ИП820403397600002</t>
  </si>
  <si>
    <t>297630 Республика Крым поселок городского типа Зуя улица Шоссейная дом 99</t>
  </si>
  <si>
    <t>ИП820403397600003</t>
  </si>
  <si>
    <t>298100 Республика Крым город Феодосия улица Земская здание 5</t>
  </si>
  <si>
    <t>ИП820403397600004</t>
  </si>
  <si>
    <t>297200 Республика Крым поселок городского типа Советский улица Матросова дом 21</t>
  </si>
  <si>
    <t>ИП820403397600005</t>
  </si>
  <si>
    <t>297300 Республика Крым поселок городского типа Кировское улица Кирова, зд.12а строение 1 дом 5а</t>
  </si>
  <si>
    <t>ИП820403397600006</t>
  </si>
  <si>
    <t>295051 Республика Крым город Симферополь улица Гоголя дом 68  литера А</t>
  </si>
  <si>
    <t>ИП Слюсарев Олег Сергеевич</t>
  </si>
  <si>
    <t>910917528307</t>
  </si>
  <si>
    <t>ИП8204032900</t>
  </si>
  <si>
    <t>ИП820403290000000</t>
  </si>
  <si>
    <t>ИП820403290000005</t>
  </si>
  <si>
    <t>296500 Республика Крым город Саки улица Советская дом 2</t>
  </si>
  <si>
    <t>ИП820403290000006</t>
  </si>
  <si>
    <t>296000 Республика Крым город Красноперекопск улица Калинина дом 4/4</t>
  </si>
  <si>
    <t>ИП820403290000008</t>
  </si>
  <si>
    <t>296012 Республика Крым город Армянск микрорайон им Генерала Васильева дом 5</t>
  </si>
  <si>
    <t>ИП820403290000009</t>
  </si>
  <si>
    <t>296100 Республика Крым город Джанкой улица Розы Люксембург дом 11-А</t>
  </si>
  <si>
    <t>ИП820403290000010</t>
  </si>
  <si>
    <t>297408 Республика Крым город Евпатория улица Революции дом 44/7</t>
  </si>
  <si>
    <t>ИП Дружинин Николай Иванович</t>
  </si>
  <si>
    <t>911000050406</t>
  </si>
  <si>
    <t>ИП9104036407</t>
  </si>
  <si>
    <t>ИП910403640700000</t>
  </si>
  <si>
    <t>297408 Республика Крым город Евпатория улица Дувановская дом 13</t>
  </si>
  <si>
    <t>ИП910403640700001</t>
  </si>
  <si>
    <t>297403 Республика Крым город Евпатория проспект Победы дом 53</t>
  </si>
  <si>
    <t>ИП910403640700002</t>
  </si>
  <si>
    <t>296400 Республика Крым поселок городского типа Черноморское переулок Больничный дом 5</t>
  </si>
  <si>
    <t>ИП Бойко Лидия Владимировна</t>
  </si>
  <si>
    <t>911000074968</t>
  </si>
  <si>
    <t>ИП8204010737</t>
  </si>
  <si>
    <t>ИП820401073700000</t>
  </si>
  <si>
    <t>297412 Республика Крым город Евпатория улица Фрунзе дом 14   помещение 18</t>
  </si>
  <si>
    <t>ИП Дружинина Анна Павловна</t>
  </si>
  <si>
    <t>911003443892</t>
  </si>
  <si>
    <t>ИП8204015310</t>
  </si>
  <si>
    <t>ИП820401531000000</t>
  </si>
  <si>
    <t>297408 Республика Крым город Евпатория улица Дмитрия Ульянова здание 13Г  П4 торговый павильон 1</t>
  </si>
  <si>
    <t>ИП820401531000003</t>
  </si>
  <si>
    <t>297403 Республика Крым город Евпатория проспект Победы дом 53   Торговый зал</t>
  </si>
  <si>
    <t>ИП820401531000004</t>
  </si>
  <si>
    <t>297403 Республика Крым город Евпатория проспект Победы дом 53   Павильон</t>
  </si>
  <si>
    <t>ИП820401531000005</t>
  </si>
  <si>
    <t>297406 Республика Крым город Евпатория улица Интернациональная дом 103   помещение 18</t>
  </si>
  <si>
    <t>ИП820401531000006</t>
  </si>
  <si>
    <t>297408 Республика Крым город Евпатория улица Дувановская дом 13   помещение 2</t>
  </si>
  <si>
    <t>ИП820401531000009</t>
  </si>
  <si>
    <t>ИП820401531000010</t>
  </si>
  <si>
    <t>296400 Республика Крым поселок городского типа Черноморское улица Южная дом 56  литера А помещение №6</t>
  </si>
  <si>
    <t>ИП Казакова Оксана Васильевна</t>
  </si>
  <si>
    <t>911005577570</t>
  </si>
  <si>
    <t>ИП9104039059</t>
  </si>
  <si>
    <t>ИП910403905900000</t>
  </si>
  <si>
    <t>297406 Республика Крым город Евпатория улица Интернациональная дом 121   помещение 65</t>
  </si>
  <si>
    <t>ИП820400991100009</t>
  </si>
  <si>
    <t>295014 Республика Крым город Симферополь шоссе Евпаторийское дом 8   к 25</t>
  </si>
  <si>
    <t>ИП820400991100010</t>
  </si>
  <si>
    <t>297402 Республика Крым город Ялта Дражинского 31Г</t>
  </si>
  <si>
    <t>ИП820400991100014</t>
  </si>
  <si>
    <t>298300 Республика Крым город Керчь улица Ленина дом 30   павильон 174</t>
  </si>
  <si>
    <t>ИП Феофанова Людмила Андреевна</t>
  </si>
  <si>
    <t>911100007404</t>
  </si>
  <si>
    <t>ИП8204004943</t>
  </si>
  <si>
    <t>ИП820400494300000</t>
  </si>
  <si>
    <t>298300 Республика Крым город Керчь улица Сергея Борзенко    павильон 31</t>
  </si>
  <si>
    <t>ИП Аминев Андрей Игоревич</t>
  </si>
  <si>
    <t>911100029239</t>
  </si>
  <si>
    <t>ИП8204004923</t>
  </si>
  <si>
    <t>ИП820400492300000</t>
  </si>
  <si>
    <t>298300 Республика Крым город Керчь улица Кирова дом 2</t>
  </si>
  <si>
    <t>ИП820400492300003</t>
  </si>
  <si>
    <t>298300 Республика Крым город Керчь улица Борзенко  НТО №94</t>
  </si>
  <si>
    <t>ИП Лазоренко Наталья Михайловна</t>
  </si>
  <si>
    <t>911100041660</t>
  </si>
  <si>
    <t>ИП8204000950</t>
  </si>
  <si>
    <t>ИП820400095000000</t>
  </si>
  <si>
    <t>298300 Республика Крым город Керчь улица Сенная площадь дом 1   торговое место номер ОТ178П14</t>
  </si>
  <si>
    <t>ИП820400095000001</t>
  </si>
  <si>
    <t>298300 Республика Крым город Керчь улица К.Макрса дом 33</t>
  </si>
  <si>
    <t>ИП Приходько Наталья Викторовна</t>
  </si>
  <si>
    <t>911100041807</t>
  </si>
  <si>
    <t>ИП8204000951</t>
  </si>
  <si>
    <t>ИП820400095100000</t>
  </si>
  <si>
    <t>298300 Республика Крым город Керчь улица Володи Дубинина дом 20</t>
  </si>
  <si>
    <t>ИП Сёмкин Игорь Борисович</t>
  </si>
  <si>
    <t>911100042159</t>
  </si>
  <si>
    <t>ИП8204003514</t>
  </si>
  <si>
    <t>ИП820400351400000</t>
  </si>
  <si>
    <t>298300 Республика Крым город Керчь площадь Сенная дом 1</t>
  </si>
  <si>
    <t>ИП Захватова Лариса Геннадьевна</t>
  </si>
  <si>
    <t>911100042617</t>
  </si>
  <si>
    <t>ИП8204003295</t>
  </si>
  <si>
    <t>ИП820400329500000</t>
  </si>
  <si>
    <t>298300 Республика Крым город Керчь улица Сергея Борзенко дом 40</t>
  </si>
  <si>
    <t>ИП Павленко Роман Петрович</t>
  </si>
  <si>
    <t>911100043106</t>
  </si>
  <si>
    <t>ИП8204008821</t>
  </si>
  <si>
    <t>ИП820400882100000</t>
  </si>
  <si>
    <t>298300 Республика Крым город Керчь улица Еременко дом 30-Б</t>
  </si>
  <si>
    <t>ИП Бебнева Светлана Валентиновна</t>
  </si>
  <si>
    <t>911100054027</t>
  </si>
  <si>
    <t>ИП8204005228</t>
  </si>
  <si>
    <t>ИП820400522800000</t>
  </si>
  <si>
    <t>298302 Республика Крым город Керчь улица Борзенко  точка 24</t>
  </si>
  <si>
    <t>ИП820400522800001</t>
  </si>
  <si>
    <t>298302 Республика Крым город Керчь улица Борзенко  точка 25</t>
  </si>
  <si>
    <t>ИП820400522800002</t>
  </si>
  <si>
    <t>298213 Республика Крым город Щелкино  дом 83/29</t>
  </si>
  <si>
    <t>ИП Казаченко Валентина Анатольевна</t>
  </si>
  <si>
    <t>911100057099</t>
  </si>
  <si>
    <t>ИП8204001280</t>
  </si>
  <si>
    <t>ИП820400128000000</t>
  </si>
  <si>
    <t>298302 Республика Крым город Керчь улица Сергея Борзенко  павильон 71 (точка 63)</t>
  </si>
  <si>
    <t>ИП Погребной Алексей Вячеславович</t>
  </si>
  <si>
    <t>911101019561</t>
  </si>
  <si>
    <t>ИП8204009946</t>
  </si>
  <si>
    <t>ИП820400994600000</t>
  </si>
  <si>
    <t>298300 Республика Крым город Керчь улица Советская дом 11   помещение 5</t>
  </si>
  <si>
    <t>ИП Оловянникова Лада Николаевна</t>
  </si>
  <si>
    <t>911102121663</t>
  </si>
  <si>
    <t>ИП8204003920</t>
  </si>
  <si>
    <t>ИП820400392000000</t>
  </si>
  <si>
    <t>298302 Республика Крым город Керчь улица Еременко дом 30-г   помещение 4</t>
  </si>
  <si>
    <t>ИП Коваленко Марина Николаевна</t>
  </si>
  <si>
    <t>911104507310</t>
  </si>
  <si>
    <t>ИП8204004926</t>
  </si>
  <si>
    <t>ИП820400492600000</t>
  </si>
  <si>
    <t>298213 Республика Крым город Щелкино  83/8 павильон №24</t>
  </si>
  <si>
    <t>ИП Размахнина Юлия Николаевна</t>
  </si>
  <si>
    <t>911109870044</t>
  </si>
  <si>
    <t>ИП8204001284</t>
  </si>
  <si>
    <t>ИП820400128400000</t>
  </si>
  <si>
    <t>295022 Республика Крым город Симферополь улица Кечкеметская дом 1</t>
  </si>
  <si>
    <t>ИП Погарская Галина Владимировна</t>
  </si>
  <si>
    <t>920100014205</t>
  </si>
  <si>
    <t>ИП8304000800</t>
  </si>
  <si>
    <t>ИП830400080000000</t>
  </si>
  <si>
    <t>ИП Акопян Елена Александровна</t>
  </si>
  <si>
    <t>920100016788</t>
  </si>
  <si>
    <t>ИП8304006511</t>
  </si>
  <si>
    <t>ИП830400651100004</t>
  </si>
  <si>
    <t>295000 Республика Крым город Симферополь улица Екатерининская здание 8а</t>
  </si>
  <si>
    <t>ИП830400651100005</t>
  </si>
  <si>
    <t>299008 Республика Крым город Севастополь улица Корсунская дом 33А</t>
  </si>
  <si>
    <t>ИП Колесник Екатерина Юрьевна</t>
  </si>
  <si>
    <t>920100064291</t>
  </si>
  <si>
    <t>ИП8204004440</t>
  </si>
  <si>
    <t>ИП820400444000000</t>
  </si>
  <si>
    <t>296100 Республика Крым город Джанкой улица Крымская дом 43   помещение 7</t>
  </si>
  <si>
    <t>ООО "ЛОМБАРД КАЗНА"</t>
  </si>
  <si>
    <t>9201522966</t>
  </si>
  <si>
    <t>ЮЛ8304009953</t>
  </si>
  <si>
    <t>ЮЛ830400995300002</t>
  </si>
  <si>
    <t>297000 Республика Крым поселок городского типа Красногвардейское улица Тельмана дом 3А   помещение 12/25-1</t>
  </si>
  <si>
    <t>ЮЛ830400995300005</t>
  </si>
  <si>
    <t>297060 Республика Крым поселок городского типа Октябрьское улица Ленина дом 59</t>
  </si>
  <si>
    <t>ЮЛ830400995300009</t>
  </si>
  <si>
    <t>298671 Республика Крым город Ялта, поселок городского типа Кореиз Алупкинское шоссе дом 15 этаж № 1  место № 6</t>
  </si>
  <si>
    <t>ИП Шинкарчук Т.Н.</t>
  </si>
  <si>
    <t>920251302036</t>
  </si>
  <si>
    <t>ИП8304004944</t>
  </si>
  <si>
    <t>ИП830400494400000</t>
  </si>
  <si>
    <t>295011 Республика Крым город Симферополь проспект Кирова / улица Козлова дом 1 /дом 11</t>
  </si>
  <si>
    <t>ООО "ЛОМБАРД "ЗЛАТО"</t>
  </si>
  <si>
    <t>9204551669</t>
  </si>
  <si>
    <t>ЮЛ8304004110</t>
  </si>
  <si>
    <t>ЮЛ830400411000002</t>
  </si>
  <si>
    <t>298600 Республика Крым город Ялта набережная имени Ленина/ переулок Черноморский дом 27/1   помещение 1 этажа</t>
  </si>
  <si>
    <t>ЮЛ770103721200000</t>
  </si>
  <si>
    <t>Республика Марий Эл</t>
  </si>
  <si>
    <t>424028 Республика Марий Эл город Йошкар-Ола улица Строителей дом 13   помещение 6</t>
  </si>
  <si>
    <t>ООО "ЛОМБАРД ОРИОН"</t>
  </si>
  <si>
    <t>1200008182</t>
  </si>
  <si>
    <t>ЮЛ1206033512</t>
  </si>
  <si>
    <t>ЮЛ120603351200003</t>
  </si>
  <si>
    <t>424038 Республика Марий Эл город Йошкар-Ола бульвар Чавайна дом 14   помещение II</t>
  </si>
  <si>
    <t>ООО "ЛОМБАРД ОКТАВА"</t>
  </si>
  <si>
    <t>1200016137</t>
  </si>
  <si>
    <t>ЮЛ1206037899</t>
  </si>
  <si>
    <t>ЮЛ120603789900000</t>
  </si>
  <si>
    <t>424008 Республика Марий Эл город Йошкар-Ола улица Петрова дом 22   помещение 2</t>
  </si>
  <si>
    <t>ООО "ЛОМБАРД РЕЗЕРВ"</t>
  </si>
  <si>
    <t>1200016218</t>
  </si>
  <si>
    <t>ЮЛ1206037914</t>
  </si>
  <si>
    <t>ЮЛ120603791400000</t>
  </si>
  <si>
    <t>424019 Республика Марий Эл город Йошкар-Ола улица Баумана дом 11б   помещение 5</t>
  </si>
  <si>
    <t>1200016458</t>
  </si>
  <si>
    <t>ЮЛ1206038054</t>
  </si>
  <si>
    <t>ЮЛ120603805400000</t>
  </si>
  <si>
    <t>425060 Республика Марий Эл город Звенигово улица Ленина дом 16</t>
  </si>
  <si>
    <t>ООО "АКВА-СПОРТ"</t>
  </si>
  <si>
    <t>1203010214</t>
  </si>
  <si>
    <t>ЮЛ1206001112</t>
  </si>
  <si>
    <t>ЮЛ120600111200000</t>
  </si>
  <si>
    <t>425120 Республика Марий Эл поселок городского типа Морки улица Карла Маркса дом 8А</t>
  </si>
  <si>
    <t>ИП Сейсембекова Яна Алексеевна</t>
  </si>
  <si>
    <t>120801401137</t>
  </si>
  <si>
    <t>ИП1206011275</t>
  </si>
  <si>
    <t>ИП120601127500000</t>
  </si>
  <si>
    <t>425450 Республика Марий Эл поселок городского типа Сернур улица Конакова дом 9</t>
  </si>
  <si>
    <t>ИП Романова Наталья Ивановна</t>
  </si>
  <si>
    <t>121201883152</t>
  </si>
  <si>
    <t>ИП1206004023</t>
  </si>
  <si>
    <t>ИП120600402300000</t>
  </si>
  <si>
    <t>425120 Республика Марий Эл поселок городского типа Морки улица Механизаторов дом 1А</t>
  </si>
  <si>
    <t>ИП120600402300002</t>
  </si>
  <si>
    <t>425000 Республика Марий Эл город Волжск улица Ленина дом 59 корпус А  павильон №102</t>
  </si>
  <si>
    <t>ИП120601082800004</t>
  </si>
  <si>
    <t>424000 Республика Марий Эл город Йошкар-Ола улица Советская дом 133   помещение № 6</t>
  </si>
  <si>
    <t>ИП Иванов Владимир Степанович</t>
  </si>
  <si>
    <t>121500123262</t>
  </si>
  <si>
    <t>ИП1206035342</t>
  </si>
  <si>
    <t>ИП120603534200000</t>
  </si>
  <si>
    <t>424000 Республика Марий Эл город Йошкар-Ола улица Комсомольская дом 145   встроенное помещение №1</t>
  </si>
  <si>
    <t>ИП120600364300000</t>
  </si>
  <si>
    <t>424000 Республика Марий Эл город Йошкар-Ола бульвар Чавайна дом 40</t>
  </si>
  <si>
    <t>ИП Жубрина Сумбелия Мударисовна</t>
  </si>
  <si>
    <t>121500561548</t>
  </si>
  <si>
    <t>ИП1206010838</t>
  </si>
  <si>
    <t>ИП120601083800000</t>
  </si>
  <si>
    <t>425400 Республика Марий Эл поселок Советский улица Свердлова дом 21А</t>
  </si>
  <si>
    <t>ИП120601083800001</t>
  </si>
  <si>
    <t>425500 Республика Марий Эл поселок Мари-Турек улица Комсомольская дом 22</t>
  </si>
  <si>
    <t>ИП120601083800003</t>
  </si>
  <si>
    <t>425570 Республика Марий Эл поселок Параньга улица Тукаевская дом 66А 1 этаж</t>
  </si>
  <si>
    <t>ИП120601083800005</t>
  </si>
  <si>
    <t>424002 Республика Марий Эл город Йошкар-Ола улица Кремлевская дом 26</t>
  </si>
  <si>
    <t>ИП Шалахова Лилия Александровна</t>
  </si>
  <si>
    <t>121501425192</t>
  </si>
  <si>
    <t>ИП1206009267</t>
  </si>
  <si>
    <t>ИП120600926700000</t>
  </si>
  <si>
    <t>424033 Республика Марий Эл город Йошкар-Ола улица Петрова дом 15а</t>
  </si>
  <si>
    <t>ИП120600926700002</t>
  </si>
  <si>
    <t>424000 Республика Марий Эл город Йошкар-Ола улица Кремлевская дом 19 пристрой магазина 1 этаж  помещение 44</t>
  </si>
  <si>
    <t>ИП Буянова Надежда Геннадьевна</t>
  </si>
  <si>
    <t>121501874399</t>
  </si>
  <si>
    <t>ИП1206008794</t>
  </si>
  <si>
    <t>ИП120600879400000</t>
  </si>
  <si>
    <t>424039 Республика Марий Эл город Йошкар-Ола Улица Красноармейская Дом 114</t>
  </si>
  <si>
    <t>ООО "ОРНАМЕНТ"</t>
  </si>
  <si>
    <t>1215052226</t>
  </si>
  <si>
    <t>ЮЛ1206032784</t>
  </si>
  <si>
    <t>ЮЛ120603278400000</t>
  </si>
  <si>
    <t>424000 Республика Марий Эл Город Йошкар-Ола Улица Первомайская Дом 164  Литера А Помещение 1V</t>
  </si>
  <si>
    <t>ЮЛ120603278400001</t>
  </si>
  <si>
    <t>424000 Республика Марий Эл Город Йошкар-Ола Улица Красноармейская  Дом 43   Помещение 18</t>
  </si>
  <si>
    <t>ЮЛ120603278400002</t>
  </si>
  <si>
    <t>424033 Республика Марий Эл город Йошкар-Ола улица Эшкинина дом 3   Помещения поз. 1-11, 11а, 12-16, 16а, 17а, 17-28, 28а, 29-79 первого этажа</t>
  </si>
  <si>
    <t>ИП Криваксин Андрей Юрьевич</t>
  </si>
  <si>
    <t>121505758587</t>
  </si>
  <si>
    <t>ИП1206034141</t>
  </si>
  <si>
    <t>ИП120603414100000</t>
  </si>
  <si>
    <t>424020 Республика Марий Эл город Йошкар-Ола улица Красноармейская дом 94   помещение 2</t>
  </si>
  <si>
    <t>ООО "ЛОМБАРД РИФОР"</t>
  </si>
  <si>
    <t>1215128877</t>
  </si>
  <si>
    <t>ЮЛ1206001004</t>
  </si>
  <si>
    <t>ЮЛ120600100400008</t>
  </si>
  <si>
    <t>424038 Республика Марий Эл город Йошкар-Ола бульвар Чавайна дом 14   помещение 3</t>
  </si>
  <si>
    <t>ЮЛ120600100400009</t>
  </si>
  <si>
    <t>425430 Республика Марий Эл Поселок городского типа Новый Торъял Улица Культуры Дом 18 Корпус А</t>
  </si>
  <si>
    <t>ИП120600483700004</t>
  </si>
  <si>
    <t>425430 Республика Марий Эл поселок городского типа Новый Торъял улица Культуры дом 18а</t>
  </si>
  <si>
    <t>ИП Овсянников Виктор Игоревич</t>
  </si>
  <si>
    <t>121530373750</t>
  </si>
  <si>
    <t>ИП1206036664</t>
  </si>
  <si>
    <t>ИП120603666400000</t>
  </si>
  <si>
    <t>425000 Республика Марий Эл город Волжск улица Ленина дом 59А</t>
  </si>
  <si>
    <t>ИП Еремина Анастасия Олеговна</t>
  </si>
  <si>
    <t>121601283054</t>
  </si>
  <si>
    <t>ИП1206001441</t>
  </si>
  <si>
    <t>ИП120600144100000</t>
  </si>
  <si>
    <t>425009 Республика Марий Эл город Волжск улица 107 Бригады дом 5</t>
  </si>
  <si>
    <t>ИП Семёнов Никита Андреевич</t>
  </si>
  <si>
    <t>121660755220</t>
  </si>
  <si>
    <t>ИП1206013487</t>
  </si>
  <si>
    <t>ИП120601348700000</t>
  </si>
  <si>
    <t>ИП120601348700007</t>
  </si>
  <si>
    <t>425000 Республика Марий Эл город Волжск улица Ленина дом 57А</t>
  </si>
  <si>
    <t>ИП Боркута Анна Ивановна</t>
  </si>
  <si>
    <t>121660808680</t>
  </si>
  <si>
    <t>ИП1206008190</t>
  </si>
  <si>
    <t>ИП120600819000000</t>
  </si>
  <si>
    <t>425350 Республика Марий Эл город Козьмодемьянск 2ой микрорайон дом 2   помещение 4</t>
  </si>
  <si>
    <t>ИП Бычкова Людмила Борисовна</t>
  </si>
  <si>
    <t>121700842627</t>
  </si>
  <si>
    <t>ИП1206002541</t>
  </si>
  <si>
    <t>ИП120600254100000</t>
  </si>
  <si>
    <t>424000 Республика Марий Эл город Йошкар-Ола улица Вознесенская дом 74</t>
  </si>
  <si>
    <t>ИП520600153500006</t>
  </si>
  <si>
    <t>425353 Республика Марий Эл город Козьмодемьянск улица Учебная дом 1   помещение 02</t>
  </si>
  <si>
    <t>ИП Мартенс Елена Андреевна</t>
  </si>
  <si>
    <t>212910974610</t>
  </si>
  <si>
    <t>ИП1206032193</t>
  </si>
  <si>
    <t>ИП120603219300000</t>
  </si>
  <si>
    <t>425350 Республика Марий Эл город Козьмодемьянск улица Гагарина дом 22</t>
  </si>
  <si>
    <t>ИП120603219300001</t>
  </si>
  <si>
    <t>424031 Республика Марий Эл город Йошкар-Ола улица Красноармейская дом 43   помещение №77, №78, №79 - Дом Быта</t>
  </si>
  <si>
    <t>ИП Кощеева Марина Ивановна</t>
  </si>
  <si>
    <t>432904270325</t>
  </si>
  <si>
    <t>ИП1806000876</t>
  </si>
  <si>
    <t>ИП180600087600000</t>
  </si>
  <si>
    <t>424019 Республика Марий Эл город Йошкар-Ола улица Баумана дом 16   часть помещения I на 1 этаже - ТЦ Планета (Топаз)</t>
  </si>
  <si>
    <t>ИП180600087600002</t>
  </si>
  <si>
    <t>424006 Республика Марий Эл город Йошкар-Ола улица Карла Маркса дом 99   помещение №31 - ТЦ Форум</t>
  </si>
  <si>
    <t>ИП180600087600003</t>
  </si>
  <si>
    <t>424019 Республика Марий Эл город Йошкар-Ола улица Баумана дом 16   помещение I на 1 этаже - ТЦ Планета (Яхонт)</t>
  </si>
  <si>
    <t>ИП180600087600004</t>
  </si>
  <si>
    <t>424038 Республика Марий Эл город Йошкар-Ола улица Кирова дом 6   помещение №194 - ТЦ Йолка</t>
  </si>
  <si>
    <t>ИП180600087600005</t>
  </si>
  <si>
    <t>424002 Республика Марий Эл город Йошкар-Ола бульвар Победы дом 13   а</t>
  </si>
  <si>
    <t>ИП Прищепа Евгения Андреевна</t>
  </si>
  <si>
    <t>433901657291</t>
  </si>
  <si>
    <t>ИП1206033977</t>
  </si>
  <si>
    <t>ИП120603397700000</t>
  </si>
  <si>
    <t>424000 Республика Марий Эл город Йошкар-Ола улица Советская 128  А</t>
  </si>
  <si>
    <t>ИП440200822300001</t>
  </si>
  <si>
    <t>424002 Республика Марий Эл город Йошкар-Ола Ленинский проспект дом 28</t>
  </si>
  <si>
    <t>ИП500100525400003</t>
  </si>
  <si>
    <t>424038 Республика Марий Эл город Йошкар-Ола улица Кирова дом 6   этаж 1</t>
  </si>
  <si>
    <t>ИП520600807800014</t>
  </si>
  <si>
    <t>424038 Республика Марий Эл город Йошкар-Ола улица Кирова дом 6</t>
  </si>
  <si>
    <t>ИП630601425400097</t>
  </si>
  <si>
    <t>424019 Республика Марий Эл город Йошкар-Ола улица Баумана дом 16</t>
  </si>
  <si>
    <t>ИП630601425400099</t>
  </si>
  <si>
    <t>424019 Республика Марий Эл город Йошкар-Ола улица Баумана дом 16   часть помещения 1</t>
  </si>
  <si>
    <t>ЮЛ760201190700037</t>
  </si>
  <si>
    <t>424038 Республика Марий Эл город Йошкар-Ола улица Кирова дом 6  литер А помещение 176, этаж 1</t>
  </si>
  <si>
    <t>ЮЛ770101216600098</t>
  </si>
  <si>
    <t>424019 Республика Марий Эл город Йошкар-Ола улица Красноармейская дом 119   этаж 1</t>
  </si>
  <si>
    <t>ЮЛ770101216600534</t>
  </si>
  <si>
    <t>424000 Республика Марий Эл город Йошкар-Ола улица Первомайская дом 115   этаж 1, помещения поз. 87,88</t>
  </si>
  <si>
    <t>ЮЛ770101216600740</t>
  </si>
  <si>
    <t>424038 Республика Марий Эл город Йошкар-Ола улица Кирова дом 6   первый этаж</t>
  </si>
  <si>
    <t>ЮЛ770100193500290</t>
  </si>
  <si>
    <t>424019 Республика Марий Эл город Йошкар-Ола улица Красноармейская дом 119   нежилое помещение, этаж 1 (первый)</t>
  </si>
  <si>
    <t>ЮЛ770100193500607</t>
  </si>
  <si>
    <t>425200 Республика Марий Эл поселок городского типа Медведево улица Юбилейная дом 3а</t>
  </si>
  <si>
    <t>ЮЛ770100193501030</t>
  </si>
  <si>
    <t>424000 Республика Марий Эл город Йошкар-Ола улица Советская дом 128   часть нежилого помещения; встроенное помещение III, лит.А</t>
  </si>
  <si>
    <t>ЮЛ780300131300229</t>
  </si>
  <si>
    <t>424000 Республика Марий Эл город Йошкар-Ола бульвар Чавайна дом 41   помещение II</t>
  </si>
  <si>
    <t>ЮЛ780300323500061</t>
  </si>
  <si>
    <t>424000 Республика Марий Эл город Йошкар-Ола улица Советская дом 128</t>
  </si>
  <si>
    <t>ЮЛ780300308200431</t>
  </si>
  <si>
    <t>424000 Республика Марий Эл город Йошкар-Ола улица Первомайская дом 113</t>
  </si>
  <si>
    <t>ЮЛ780300308200559</t>
  </si>
  <si>
    <t>424000 Республика Марий Эл город Йошкар-Ола бульвар Чавайна дом 41</t>
  </si>
  <si>
    <t>ЮЛ780300363500108</t>
  </si>
  <si>
    <t>Республика Мордовия</t>
  </si>
  <si>
    <t>431030 Республика Мордовия рабочий поселок Торбеево улица Ленина дом 2</t>
  </si>
  <si>
    <t>ООО "ЮВЕЛИЯ"</t>
  </si>
  <si>
    <t>1300002522</t>
  </si>
  <si>
    <t>ЮЛ1306031837</t>
  </si>
  <si>
    <t>ЮЛ130603183700000</t>
  </si>
  <si>
    <t>431370 Республика Мордовия село Ельники площадь 1 Мая дом 10В</t>
  </si>
  <si>
    <t>ИП Кяшкин Андрей Алексеевич</t>
  </si>
  <si>
    <t>130700952092</t>
  </si>
  <si>
    <t>ИП1306034587</t>
  </si>
  <si>
    <t>ИП130603458700000</t>
  </si>
  <si>
    <t>431540 Республика Мордовия село Старое Шайгово улица Ленина дом 4</t>
  </si>
  <si>
    <t>ИП130603458700001</t>
  </si>
  <si>
    <t>431110 Республика Мордовия рабочий поселок Зубова Поляна улица Ленинская дом 31</t>
  </si>
  <si>
    <t>ИП Кондратьева Ольга Валерьевна</t>
  </si>
  <si>
    <t>130800048814</t>
  </si>
  <si>
    <t>ИП1306031407</t>
  </si>
  <si>
    <t>ИП130603140700000</t>
  </si>
  <si>
    <t>431640 Республика Мордовия село Кемля улица Советская площадь дом 3</t>
  </si>
  <si>
    <t>ИП Клочкова Вера Александровна</t>
  </si>
  <si>
    <t>131000020508</t>
  </si>
  <si>
    <t>ИП1306012109</t>
  </si>
  <si>
    <t>ИП130601210900000</t>
  </si>
  <si>
    <t>431350 Республика Мордовия город Ковылкино территория №15 Пролетарская  строение 1/8 помещение 2</t>
  </si>
  <si>
    <t>ИП Скворцова Надежда Еремеевна</t>
  </si>
  <si>
    <t>132300849915</t>
  </si>
  <si>
    <t>ИП1306003136</t>
  </si>
  <si>
    <t>ИП130600313600000</t>
  </si>
  <si>
    <t>431350 Республика Мордовия город Ковылкино улица Ленина дом 1А помещение 1</t>
  </si>
  <si>
    <t>ИП Московкина Екатерина Павловна</t>
  </si>
  <si>
    <t>132303127509</t>
  </si>
  <si>
    <t>ИП1306004893</t>
  </si>
  <si>
    <t>ИП130600489300000</t>
  </si>
  <si>
    <t>431450 Республика Мордовия город Рузаевка улица Ленина дом 37   помещение 54</t>
  </si>
  <si>
    <t>ИП Левочкин Юрий Александрович</t>
  </si>
  <si>
    <t>132400592188</t>
  </si>
  <si>
    <t>ИП1306031308</t>
  </si>
  <si>
    <t>ИП130603130800000</t>
  </si>
  <si>
    <t>431449 Республика Мордовия город Рузаевка бульвар Горшкова дом 5   помещение 22</t>
  </si>
  <si>
    <t>ИП130603130800001</t>
  </si>
  <si>
    <t>431449 Республика Мордовия город Рузаевка бульвар Горшкова дом 5   офис 36</t>
  </si>
  <si>
    <t>ИП Агеева Екатерина Викторовна</t>
  </si>
  <si>
    <t>132404705876</t>
  </si>
  <si>
    <t>ИП1306031403</t>
  </si>
  <si>
    <t>ИП130603140300000</t>
  </si>
  <si>
    <t>431440 Республика Мордовия город Рузаевка улица Ленина дом 36</t>
  </si>
  <si>
    <t>ИП Ломакина Ольга Ивановна</t>
  </si>
  <si>
    <t>132404967617</t>
  </si>
  <si>
    <t>ИП1306035073</t>
  </si>
  <si>
    <t>ИП130603507300000</t>
  </si>
  <si>
    <t>430005 Республика Мордовия город Саранск улица Б.Хмельницкого дом 33   помещение 5-10</t>
  </si>
  <si>
    <t>ИП Биряева Анна Анатольевна</t>
  </si>
  <si>
    <t>132610187669</t>
  </si>
  <si>
    <t>ИП1306034559</t>
  </si>
  <si>
    <t>ИП130603455900000</t>
  </si>
  <si>
    <t>431722 Республика Мордовия рабочий поселок Комсомольский микрорайон 2-й рынок "Рождественский"   торговый павильон 21</t>
  </si>
  <si>
    <t>ИП Ямбаева Айгуль Наилевна</t>
  </si>
  <si>
    <t>132610761805</t>
  </si>
  <si>
    <t>ИП1306011442</t>
  </si>
  <si>
    <t>ИП130601144200000</t>
  </si>
  <si>
    <t>430032 Республика Мордовия город Саранск улица Ульянова дом 97   помещение 2</t>
  </si>
  <si>
    <t>ИП Федонькин Андрей Васильевич</t>
  </si>
  <si>
    <t>132702887050</t>
  </si>
  <si>
    <t>ИП1306015298</t>
  </si>
  <si>
    <t>ИП130601529800000</t>
  </si>
  <si>
    <t>430034 Республика Мордовия город Саранск улица Коваленко дом 12   помещение 40</t>
  </si>
  <si>
    <t>ИП130601529800001</t>
  </si>
  <si>
    <t>431350 Республика Мордовия город Ковылкино улица Советская дом 1 Ж</t>
  </si>
  <si>
    <t>ИП130601529800004</t>
  </si>
  <si>
    <t>430005 Республика Мордовия город Саранск улица Пролетарская дом 77   помещение 4</t>
  </si>
  <si>
    <t>ИП Новикова Елена Камилевна</t>
  </si>
  <si>
    <t>132803870141</t>
  </si>
  <si>
    <t>ИП1306001272</t>
  </si>
  <si>
    <t>ИП130600127200000</t>
  </si>
  <si>
    <t>430016 Республика Мордовия город Саранск улица Полежаева дом 99</t>
  </si>
  <si>
    <t>ИП520600153500009</t>
  </si>
  <si>
    <t>430005 Республика Мордовия город Саранск улица Советская дом 47</t>
  </si>
  <si>
    <t>ИП520600153500012</t>
  </si>
  <si>
    <t>430005 Республика Мордовия город Саранск улица Пролетарская дом 77</t>
  </si>
  <si>
    <t>ИП370200423500000</t>
  </si>
  <si>
    <t>431440 Республика Мордовия город Рузаевка улица Ленина дом 55</t>
  </si>
  <si>
    <t>ИП370200423500001</t>
  </si>
  <si>
    <t>430034 Республика Мордовия город Саранск улица Коваленко дом 19А</t>
  </si>
  <si>
    <t>ИП370200423500002</t>
  </si>
  <si>
    <t>431722 Республика Мордовия рабочий поселок Комсомольский микрорайон 2-й Торговый павильон 20</t>
  </si>
  <si>
    <t>ИП370200423500004</t>
  </si>
  <si>
    <t>430009 Республика Мордовия город Саранск улица Волгоградская дом 71   помещение В-6</t>
  </si>
  <si>
    <t>ИП370200423500010</t>
  </si>
  <si>
    <t>430005 Республика Мордовия город Саранск улица Советская дом 55А   нежилое помещение №64</t>
  </si>
  <si>
    <t>ИП370200423500016</t>
  </si>
  <si>
    <t>430009 Республика Мордовия город Саранск улица Большевистская дом 94   помещение №3</t>
  </si>
  <si>
    <t>ЮЛ480100215000024</t>
  </si>
  <si>
    <t>430014 Республика Мордовия город Саранск улица Волгоградская дом 71   этаж 3</t>
  </si>
  <si>
    <t>ИП520600807800022</t>
  </si>
  <si>
    <t>430005 Республика Мордовия город Саранск улица Советская дом 55А</t>
  </si>
  <si>
    <t>ИП520601790200021</t>
  </si>
  <si>
    <t>430014 Республика Мордовия город Саранск улица Волгоградская дом 71</t>
  </si>
  <si>
    <t>ИП630603381400002</t>
  </si>
  <si>
    <t>430027 Республика Мордовия город Саранск улица Гагарина дом 99А</t>
  </si>
  <si>
    <t>ИП630603381400012</t>
  </si>
  <si>
    <t>ИП630601425400028</t>
  </si>
  <si>
    <t>430031 Республика Мордовия город Саранск улица Косарева дом 23</t>
  </si>
  <si>
    <t>ЮЛ630603373600073</t>
  </si>
  <si>
    <t>ИП Мурашов Арсений Сергеевич</t>
  </si>
  <si>
    <t>632133560699</t>
  </si>
  <si>
    <t>ИП6306005816</t>
  </si>
  <si>
    <t>ИП630600581600015</t>
  </si>
  <si>
    <t>430005 Республика Мордовия город Саранск улица Советская дом 55А   этаж 1</t>
  </si>
  <si>
    <t>ЮЛ770101216600134</t>
  </si>
  <si>
    <t>430009 Республика Мордовия город Саранск улица Волгоградская дом 71   помещение В-8, этаж 4</t>
  </si>
  <si>
    <t>ЮЛ770101216600256</t>
  </si>
  <si>
    <t>430005 Республика Мордовия город Саранск улица Б.Хмельницкого дом 28   этаж 1</t>
  </si>
  <si>
    <t>ЮЛ770101216600421</t>
  </si>
  <si>
    <t>430027 Республика Мордовия город Саранск улица Гагарина дом 99А   этаж 1</t>
  </si>
  <si>
    <t>ЮЛ770101216600430</t>
  </si>
  <si>
    <t>430005 Республика Мордовия город Саранск улица Б.Хмельницкого сооружение 35   подземный этаж, помещение 3</t>
  </si>
  <si>
    <t>ЮЛ770101216600908</t>
  </si>
  <si>
    <t>430005 Республика Мордовия город Саранск улица Советская дом 55 а   этаж 1</t>
  </si>
  <si>
    <t>ЮЛ770100193500291</t>
  </si>
  <si>
    <t>430009 Республика Мордовия город Саранск улица Волгоградская дом 71   нежилое помещение № В-9,  этаж 4 (четвертый)</t>
  </si>
  <si>
    <t>ЮЛ770100193500502</t>
  </si>
  <si>
    <t>430027 Республика Мордовия город Саранск улица Гагарина дом 99А   нежилое помещение, этаж 1 (первый)</t>
  </si>
  <si>
    <t>ЮЛ770100193500622</t>
  </si>
  <si>
    <t>430005 Республика Мордовия город Саранск проспект Ленина дом 17   этаж1, помещение №1</t>
  </si>
  <si>
    <t>ЮЛ770100417200004</t>
  </si>
  <si>
    <t>430021 Республика Мордовия город Саранск улица Веселовского дом 31   этаж1</t>
  </si>
  <si>
    <t>ЮЛ770100417200005</t>
  </si>
  <si>
    <t>430005 Республика Мордовия город Саранск проспект Ленина дом №20   часть встроенного нежилого помещения №4</t>
  </si>
  <si>
    <t>ЮЛ780300131300299</t>
  </si>
  <si>
    <t>430016 Республика Мордовия город Саранск улица Полежаева дом 111  лит.А часть встроенного нежилого помещения №2</t>
  </si>
  <si>
    <t>ЮЛ780300131300300</t>
  </si>
  <si>
    <t>430005 Республика Мордовия город Саранск проспект Ленина дом 22   встроенное нежилое помещения №1</t>
  </si>
  <si>
    <t>ЮЛ780300131300301</t>
  </si>
  <si>
    <t>430016 Республика Мордовия город Саранск улица Большевистская дом 94   пом.2</t>
  </si>
  <si>
    <t>ЮЛ780300131300566</t>
  </si>
  <si>
    <t>431440 Республика Мордовия город Рузаевка улица Ленина дом 51</t>
  </si>
  <si>
    <t>ЮЛ780300328000135</t>
  </si>
  <si>
    <t>430016 Республика Мордовия город Саранск улица Большевистская дом 94   пом. 2</t>
  </si>
  <si>
    <t>ЮЛ780300331800128</t>
  </si>
  <si>
    <t>430005 Республика Мордовия город Саранск проспект Ленина дом 3</t>
  </si>
  <si>
    <t>ЮЛ780300323500026</t>
  </si>
  <si>
    <t>430005 Республика Мордовия город Саранск проспект Ленина дом 22   помещение 1</t>
  </si>
  <si>
    <t>ЮЛ780300308200054</t>
  </si>
  <si>
    <t>430016 Республика Мордовия город Саранск улица Большевистская дом 94   помещение 2</t>
  </si>
  <si>
    <t>ЮЛ780300308200055</t>
  </si>
  <si>
    <t>430016 Республика Мордовия город Саранск улица Полежаева дом 111   часть встроенного нежилого помещения 111</t>
  </si>
  <si>
    <t>ЮЛ780300308200103</t>
  </si>
  <si>
    <t>430009 Республика Мордовия город Саранск улица Волгоградская дом 71</t>
  </si>
  <si>
    <t>ЮЛ780300308200104</t>
  </si>
  <si>
    <t>ЮЛ780300308200219</t>
  </si>
  <si>
    <t>430910 Республика Мордовия город Саранск улица Советская дом 55А   нежилое помещение № 76,78, часть нежилого помещения № 77</t>
  </si>
  <si>
    <t>ЮЛ780300308201116</t>
  </si>
  <si>
    <t>ЮЛ780300363500208</t>
  </si>
  <si>
    <t>Республика Саха (Якутия)</t>
  </si>
  <si>
    <t>678200 Республика Саха (Якутия) город Вилюйск ул. Ленина 50</t>
  </si>
  <si>
    <t>ИП Гоголева Алина Гаврильевна</t>
  </si>
  <si>
    <t>140001491310</t>
  </si>
  <si>
    <t>ИП1409038171</t>
  </si>
  <si>
    <t>ИП140903817100002</t>
  </si>
  <si>
    <t>678380 Республика Саха (Якутия) село Намцы Ильи Винокурова 3 1</t>
  </si>
  <si>
    <t>ИП140903817100003</t>
  </si>
  <si>
    <t>677000 Республика Саха (Якутия) город Якутск Орджоникидзе 38   помещение 53</t>
  </si>
  <si>
    <t>ООО "АКЦЕНТ ЮВЕЛИР"</t>
  </si>
  <si>
    <t>1400017770</t>
  </si>
  <si>
    <t>ЮЛ1409032764</t>
  </si>
  <si>
    <t>ЮЛ140903276400000</t>
  </si>
  <si>
    <t>677018 Республика Саха (Якутия) город Якутск улица Аммосова 1</t>
  </si>
  <si>
    <t>ООО "САХА ТААС ЮВЕЛИР"</t>
  </si>
  <si>
    <t>1400022353</t>
  </si>
  <si>
    <t>ЮЛ1409034010</t>
  </si>
  <si>
    <t>ЮЛ140903401000002</t>
  </si>
  <si>
    <t>678960 Республика Саха (Якутия) город Нерюнгри Дружбы Народов 29 2</t>
  </si>
  <si>
    <t>ЮЛ140903401000003</t>
  </si>
  <si>
    <t>677000 Республика Саха (Якутия) город Якутск улица Петра Алексеева дом 8/1 блок 12</t>
  </si>
  <si>
    <t>ООО "МГ ДАЙМОНД"</t>
  </si>
  <si>
    <t>1400023727</t>
  </si>
  <si>
    <t>ЮЛ1409034442</t>
  </si>
  <si>
    <t>ЮЛ140903444200000</t>
  </si>
  <si>
    <t>677000 Республика Саха (Якутия) город Якутск улица Ярославского дом 12/1</t>
  </si>
  <si>
    <t>ЮЛ140903444200001</t>
  </si>
  <si>
    <t>678730 Республика Саха (Якутия) Усть-Нера Ленина 16   пом.1</t>
  </si>
  <si>
    <t>ООО "СТРЕЛИЦИЯ Т"</t>
  </si>
  <si>
    <t>1400024992</t>
  </si>
  <si>
    <t>ЮЛ1409034774</t>
  </si>
  <si>
    <t>ЮЛ140903477400000</t>
  </si>
  <si>
    <t>678900 Республика Саха (Якутия) Город Алдан улица Октябрьская дом 6</t>
  </si>
  <si>
    <t>ИП Юлдашбаев Венер Гимадисламович</t>
  </si>
  <si>
    <t>140200009400</t>
  </si>
  <si>
    <t>ИП1409007810</t>
  </si>
  <si>
    <t>ИП140900781000000</t>
  </si>
  <si>
    <t>678901 Республика Саха (Якутия) город Алдан улица Дзержинского, дом 38</t>
  </si>
  <si>
    <t>ИП140900781000001</t>
  </si>
  <si>
    <t>678901 Республика Саха (Якутия) город Алдан улица Октябрьская дом 44   офис 206</t>
  </si>
  <si>
    <t>ИП140900781000002</t>
  </si>
  <si>
    <t>678954 Республика Саха (Якутия) Томмот Кирова 9 12</t>
  </si>
  <si>
    <t>ИП Возмитель Светлана Султановна</t>
  </si>
  <si>
    <t>140200015355</t>
  </si>
  <si>
    <t>ИП1409010008</t>
  </si>
  <si>
    <t>ИП140901000800000</t>
  </si>
  <si>
    <t>678431 Республика Саха (Якутия) село Юрюнг-Хая  улица Тундровая дом 18   кабинет 3</t>
  </si>
  <si>
    <t>ИП Кляус Альбина Ивановна</t>
  </si>
  <si>
    <t>140501106510</t>
  </si>
  <si>
    <t>ИП1409018673</t>
  </si>
  <si>
    <t>ИП140901867300000</t>
  </si>
  <si>
    <t>678500 Республика Саха (Якутия) поселок городского типа Батагай улица Ленина дом 30А</t>
  </si>
  <si>
    <t>ИП Сыромятникова Саина Ивановна</t>
  </si>
  <si>
    <t>140901667246</t>
  </si>
  <si>
    <t>ИП1409035558</t>
  </si>
  <si>
    <t>ИП140903555800000</t>
  </si>
  <si>
    <t>678200 Республика Саха (Якутия) город Вилюйск улица Мира дом 20</t>
  </si>
  <si>
    <t>ИП Матвеева Екатерина Сергеевна</t>
  </si>
  <si>
    <t>141003233050</t>
  </si>
  <si>
    <t>ИП1409014112</t>
  </si>
  <si>
    <t>ИП140901411200000</t>
  </si>
  <si>
    <t>677027 Республика Саха (Якутия) город Якутск улица Орджоникидзе дом 52</t>
  </si>
  <si>
    <t>ИП Климовская Сардана Ильинична</t>
  </si>
  <si>
    <t>141301122605</t>
  </si>
  <si>
    <t>ИП1409010016</t>
  </si>
  <si>
    <t>ИП140901001600000</t>
  </si>
  <si>
    <t>678144 Республика Саха (Якутия) город Ленск улица Пролетарская дом 11   нежилое помещение № 34, 1 этаж</t>
  </si>
  <si>
    <t>ООО "КАПИТАЛ-ЛОМБАРД"</t>
  </si>
  <si>
    <t>1414010502</t>
  </si>
  <si>
    <t>ЮЛ1409000315</t>
  </si>
  <si>
    <t>ЮЛ140900031500000</t>
  </si>
  <si>
    <t>678144 Республика Саха (Якутия) город Ленск улица Первомайская дом 10   квартира 43Б</t>
  </si>
  <si>
    <t>ИП Гаркуша Ольга Николаевна</t>
  </si>
  <si>
    <t>141426302667</t>
  </si>
  <si>
    <t>ИП1409010903</t>
  </si>
  <si>
    <t>ИП140901090300000</t>
  </si>
  <si>
    <t>677005 Республика Саха (Якутия) город Якутск улица Петра Алексеева дом 83/9   17</t>
  </si>
  <si>
    <t>ИП Григорьев Нюргун Николаевич</t>
  </si>
  <si>
    <t>141501942147</t>
  </si>
  <si>
    <t>ИП1409039949</t>
  </si>
  <si>
    <t>ИП140903994900000</t>
  </si>
  <si>
    <t>677008 Республика Саха (Якутия) Якутск Вилюйский тракт 4 км здание 3 корпус 2  офис 202</t>
  </si>
  <si>
    <t>ИП Ефимова Алена Григорьевна</t>
  </si>
  <si>
    <t>141901847106</t>
  </si>
  <si>
    <t>ИП1409003424</t>
  </si>
  <si>
    <t>ИП140900342400000</t>
  </si>
  <si>
    <t>677000 Республика Саха (Якутия) город Якутск улица Курашова дом 4</t>
  </si>
  <si>
    <t>ИП Степанова Ксения Григорьевна</t>
  </si>
  <si>
    <t>141902632569</t>
  </si>
  <si>
    <t>ИП1409015137</t>
  </si>
  <si>
    <t>ИП140901513700001</t>
  </si>
  <si>
    <t>678730 Республика Саха (Якутия) Оймяконский район, пгт Усть-Нера проезд  Северный  12</t>
  </si>
  <si>
    <t>АО ГРК "ЗАПАДНАЯ"</t>
  </si>
  <si>
    <t>1420041925</t>
  </si>
  <si>
    <t>ЮЛ1409010900</t>
  </si>
  <si>
    <t>ЮЛ140901090000000</t>
  </si>
  <si>
    <t>677005 Республика Саха (Якутия) город Якутск улица Рыдзинского 24 2  46</t>
  </si>
  <si>
    <t>ИП Хатылаев Алексей Терентьевич</t>
  </si>
  <si>
    <t>142501685149</t>
  </si>
  <si>
    <t>ИП1409014685</t>
  </si>
  <si>
    <t>ИП140901468500000</t>
  </si>
  <si>
    <t>678720 Республика Саха (Якутия) поселок Хандыга Петра Алексеева 15 В</t>
  </si>
  <si>
    <t>ИП Абдуракова Мадина Ярашовна</t>
  </si>
  <si>
    <t>142600744003</t>
  </si>
  <si>
    <t>ИП1409010031</t>
  </si>
  <si>
    <t>ИП140901003100000</t>
  </si>
  <si>
    <t>677000 Республика Саха (Якутия) г. Якутск Ойунского 3   505</t>
  </si>
  <si>
    <t>ИП Иванова Майя Гаврильевна</t>
  </si>
  <si>
    <t>142701228929</t>
  </si>
  <si>
    <t>ИП1409011025</t>
  </si>
  <si>
    <t>ИП140901102500000</t>
  </si>
  <si>
    <t>678000 Республика Саха (Якутия) город Покровск улица Николаева дом 5</t>
  </si>
  <si>
    <t>ИП Данилова Виктория Васильевна</t>
  </si>
  <si>
    <t>143100276704</t>
  </si>
  <si>
    <t>ИП1409003467</t>
  </si>
  <si>
    <t>ИП140900346700000</t>
  </si>
  <si>
    <t>678174 Республика Саха (Якутия) город Мирный улица Ленина дом 6</t>
  </si>
  <si>
    <t>ЮЛ140900909900000</t>
  </si>
  <si>
    <t>678290 Республика Саха (Якутия) село Сунтар улица Октябрьская дом 57/2</t>
  </si>
  <si>
    <t>ИП Татаринова Александра Егоровна</t>
  </si>
  <si>
    <t>143302580979</t>
  </si>
  <si>
    <t>ИП1409036472</t>
  </si>
  <si>
    <t>ИП140903647200000</t>
  </si>
  <si>
    <t>678450 Республика Саха (Якутия) город Нюрба Степана Васильева 86   41</t>
  </si>
  <si>
    <t>ИП140903647200001</t>
  </si>
  <si>
    <t>678144 Республика Саха (Якутия) город Ленск улица Орджоникидзе дом 1   9</t>
  </si>
  <si>
    <t>ИП140903647200002</t>
  </si>
  <si>
    <t>678170 Республика Саха (Якутия) Город/Мирный ул. Советская дом/ 4 Корпус/3  офис/13</t>
  </si>
  <si>
    <t>ИП Сергеев Олег Владимирович</t>
  </si>
  <si>
    <t>143302703204</t>
  </si>
  <si>
    <t>ИП1409013539</t>
  </si>
  <si>
    <t>ИП140901353900000</t>
  </si>
  <si>
    <t>678188 Республика Саха (Якутия) город Удачный Новый-город 3   55</t>
  </si>
  <si>
    <t>ИП140901353900001</t>
  </si>
  <si>
    <t>678174 Республика Саха (Якутия) город Мирный проспект Ленинградский дом 19   квартира 66</t>
  </si>
  <si>
    <t>1433028495</t>
  </si>
  <si>
    <t>ЮЛ1409003398</t>
  </si>
  <si>
    <t>ЮЛ140900339800001</t>
  </si>
  <si>
    <t>678175 Республика Саха (Якутия) город Мирный улица Советская дом 15 корпус а</t>
  </si>
  <si>
    <t>ЮЛ140900339800002</t>
  </si>
  <si>
    <t>678170 Республика Саха (Якутия) город Мирный  Аэропорт 2 Этаж Чароит, ш. Алмазников 6 18</t>
  </si>
  <si>
    <t>ИП Иванов Юрий Михайлович</t>
  </si>
  <si>
    <t>143305935789</t>
  </si>
  <si>
    <t>ИП1409010042</t>
  </si>
  <si>
    <t>ИП140901004200000</t>
  </si>
  <si>
    <t>678960 Республика Саха (Якутия) город Нерюнгри улица Ленина дом 5</t>
  </si>
  <si>
    <t>ИП Сапожникова Людмила Юрьевна</t>
  </si>
  <si>
    <t>143400041580</t>
  </si>
  <si>
    <t>ИП1409005670</t>
  </si>
  <si>
    <t>ИП140900567000000</t>
  </si>
  <si>
    <t>678960 Республика Саха (Якутия) город Нерюнгри проспект Ленина дом 6  подъезд 2  подвальное помещение</t>
  </si>
  <si>
    <t>ИП Загудаев Александр Николаевич</t>
  </si>
  <si>
    <t>143400616535</t>
  </si>
  <si>
    <t>ИП1409000273</t>
  </si>
  <si>
    <t>ИП140900027300000</t>
  </si>
  <si>
    <t>678960 Республика Саха (Якутия) город Нерюнгри Дружбы Народов 8 3</t>
  </si>
  <si>
    <t>ИП Прокоп Аврора Лазаровна</t>
  </si>
  <si>
    <t>143400617666</t>
  </si>
  <si>
    <t>ИП1409003395</t>
  </si>
  <si>
    <t>ИП140900339500000</t>
  </si>
  <si>
    <t>678960 Республика Саха (Якутия) город Нерюнгри улица им Кравченко дом 11</t>
  </si>
  <si>
    <t>1434029318</t>
  </si>
  <si>
    <t>ЮЛ1409000513</t>
  </si>
  <si>
    <t>ЮЛ140900051300000</t>
  </si>
  <si>
    <t>678960 Республика Саха (Якутия) город Нерюнгри улица Карла Маркса дом 14   квартира 109</t>
  </si>
  <si>
    <t>ИП Матвеева Юлия Валерьевна</t>
  </si>
  <si>
    <t>143410665348</t>
  </si>
  <si>
    <t>ИП1409037949</t>
  </si>
  <si>
    <t>ИП140903794900000</t>
  </si>
  <si>
    <t>677008 Республика Саха (Якутия) город Якутск улица Лермонтова дом 98</t>
  </si>
  <si>
    <t>ИП Новодворская Галина Григорьевна</t>
  </si>
  <si>
    <t>143500011886</t>
  </si>
  <si>
    <t>ИП1409004075</t>
  </si>
  <si>
    <t>ИП140900407500000</t>
  </si>
  <si>
    <t>677008 Республика Саха (Якутия) город Якутск Курашова 8   Д</t>
  </si>
  <si>
    <t>ИП Потапов Н.И.</t>
  </si>
  <si>
    <t>143500137543</t>
  </si>
  <si>
    <t>ИП1409010982</t>
  </si>
  <si>
    <t>ИП140901098200000</t>
  </si>
  <si>
    <t>677005 Республика Саха (Якутия) город Якутск улица Лермонтова дом 62/4</t>
  </si>
  <si>
    <t>ИП Шпринц Марина Валерьевна</t>
  </si>
  <si>
    <t>143500493020</t>
  </si>
  <si>
    <t>ИП1409011024</t>
  </si>
  <si>
    <t>ИП140901102400000</t>
  </si>
  <si>
    <t>ИП Егоров Лука Митрофанович</t>
  </si>
  <si>
    <t>143500634418</t>
  </si>
  <si>
    <t>ИП1409017259</t>
  </si>
  <si>
    <t>ИП140901725900000</t>
  </si>
  <si>
    <t>677018 Республика Саха (Якутия) город Якутск улица Аммосова дом 1   30</t>
  </si>
  <si>
    <t>ИП Тимофеев Александр Прокопьевич</t>
  </si>
  <si>
    <t>143500696767</t>
  </si>
  <si>
    <t>ИП1409005761</t>
  </si>
  <si>
    <t>ИП140900576100001</t>
  </si>
  <si>
    <t>677007 Республика Саха (Якутия) город Якутск улица Чернышевского дом 74 корпус 8</t>
  </si>
  <si>
    <t>ИП Винокурова Людмила Алексеевна</t>
  </si>
  <si>
    <t>143501213973</t>
  </si>
  <si>
    <t>ИП1409005749</t>
  </si>
  <si>
    <t>ИП140900574900004</t>
  </si>
  <si>
    <t>677014 Республика Саха (Якутия) город Якутск площадь Валерия Кузьмина дом 10</t>
  </si>
  <si>
    <t>ИП140900574900005</t>
  </si>
  <si>
    <t>677013 Республика Саха (Якутия) город Якутск улица Ойунского дом 16/1</t>
  </si>
  <si>
    <t>ИП Алексеев Василий Михайлович</t>
  </si>
  <si>
    <t>143502381554</t>
  </si>
  <si>
    <t>ИП1409009126</t>
  </si>
  <si>
    <t>ИП140900912600000</t>
  </si>
  <si>
    <t>677018 Республика Саха (Якутия) город Якутск улица Аммосова 1   27</t>
  </si>
  <si>
    <t>ИП Осипов Иван Васильевич</t>
  </si>
  <si>
    <t>143503106053</t>
  </si>
  <si>
    <t>ИП1409005905</t>
  </si>
  <si>
    <t>ИП140900590500000</t>
  </si>
  <si>
    <t>677018 Республика Саха (Якутия) город Якутск улица Аммосова дом 1   29</t>
  </si>
  <si>
    <t>ИП Баркалов Дмитрий Геннадьевич</t>
  </si>
  <si>
    <t>143503819103</t>
  </si>
  <si>
    <t>ИП1409012513</t>
  </si>
  <si>
    <t>ИП140901251300000</t>
  </si>
  <si>
    <t>677000 Республика Саха (Якутия) г. Якутск Федора Попова 15   115-116</t>
  </si>
  <si>
    <t>ИП140901251300003</t>
  </si>
  <si>
    <t>678100 Республика Саха (Якутия) город Олекминск улица Бровина дом 6</t>
  </si>
  <si>
    <t>ИП Трунина Ирина Павловна</t>
  </si>
  <si>
    <t>143504976187</t>
  </si>
  <si>
    <t>ИП1409005792</t>
  </si>
  <si>
    <t>ИП140900579200000</t>
  </si>
  <si>
    <t>677009 Республика Саха (Якутия) город Якутск улица Дзержинского дом 32</t>
  </si>
  <si>
    <t>ИП Оноева Алла Даниловна</t>
  </si>
  <si>
    <t>143507787533</t>
  </si>
  <si>
    <t>ИП1409003411</t>
  </si>
  <si>
    <t>ИП140900341100000</t>
  </si>
  <si>
    <t>677000 Республика Саха (Якутия) город Якутск улица Короленко дом 2   помещ. 17</t>
  </si>
  <si>
    <t>ИП140900341100001</t>
  </si>
  <si>
    <t>ИП140900341100002</t>
  </si>
  <si>
    <t>678080 Республика Саха (Якутия) поселок Нижний Бестях улица Ленина дом 35   помещ. 2.1</t>
  </si>
  <si>
    <t>ИП140900341100003</t>
  </si>
  <si>
    <t>677014 Республика Саха (Якутия) город Якутск улица Автострада 50 лет Октября дом 6   помещ. А20</t>
  </si>
  <si>
    <t>ИП140900341100004</t>
  </si>
  <si>
    <t>ИП140900341100005</t>
  </si>
  <si>
    <t>678230 Республика Саха (Якутия) село Верхневилюйск улица 50 лет ЯАССР здание 7   помещ. №1</t>
  </si>
  <si>
    <t>ИП140900341100006</t>
  </si>
  <si>
    <t>677009 Республика Саха (Якутия) город Якутск улица Кальвица дом 14 корпус 5  помещ. 52</t>
  </si>
  <si>
    <t>ИП140900341100007</t>
  </si>
  <si>
    <t>ИП140900341100008</t>
  </si>
  <si>
    <t>677000 Республика Саха (Якутия) город Якутск улица Орджоникидзе дом 38   помещ. 14-1</t>
  </si>
  <si>
    <t>ИП140900341100009</t>
  </si>
  <si>
    <t>677000 Республика Саха (Якутия) город Якутск улица Ярославского дом 12 корпус 1</t>
  </si>
  <si>
    <t>ИП140900341100010</t>
  </si>
  <si>
    <t>677000 Республика Саха (Якутия) город Якутск улица Курашова дом 4   АР-31</t>
  </si>
  <si>
    <t>ИП140900341100011</t>
  </si>
  <si>
    <t>677000 Республика Саха (Якутия) город Якутск пр-кт Ленина дом 17    414</t>
  </si>
  <si>
    <t>ИП Алексеев Петр Кузьмич</t>
  </si>
  <si>
    <t>143508408428</t>
  </si>
  <si>
    <t>ИП1409008435</t>
  </si>
  <si>
    <t>ИП140900843500001</t>
  </si>
  <si>
    <t>ИП Васильев Алексей Викторович</t>
  </si>
  <si>
    <t>143508421274</t>
  </si>
  <si>
    <t>ИП1409003422</t>
  </si>
  <si>
    <t>ИП140900342200004</t>
  </si>
  <si>
    <t>677000 Республика Саха (Якутия) город Якутск проспект Ленина дом 9 2</t>
  </si>
  <si>
    <t>ЮЛ140900843100000</t>
  </si>
  <si>
    <t>677018 Республика Саха (Якутия) Якутск Аммосова 1</t>
  </si>
  <si>
    <t>ИП КЫЧКИНА Е. А.</t>
  </si>
  <si>
    <t>143511067930</t>
  </si>
  <si>
    <t>ИП1409038973</t>
  </si>
  <si>
    <t>ИП140903897300000</t>
  </si>
  <si>
    <t>677000 Республика Саха (Якутия) город Якутск Курнатовского  28</t>
  </si>
  <si>
    <t>ЮЛ140900908400000</t>
  </si>
  <si>
    <t>678200 Республика Саха (Якутия) город Вилюйск Ленина 59   8</t>
  </si>
  <si>
    <t>ЮЛ140900908400002</t>
  </si>
  <si>
    <t>678450 Республика Саха (Якутия) город Нюрба Степана Васильева 35 1</t>
  </si>
  <si>
    <t>ЮЛ140900908400003</t>
  </si>
  <si>
    <t>678290 Республика Саха (Якутия) село Сунтар Октябрьская 57 2</t>
  </si>
  <si>
    <t>ЮЛ140900908400004</t>
  </si>
  <si>
    <t>678170 Республика Саха (Якутия) город Мирный Советская 4 3</t>
  </si>
  <si>
    <t>ЮЛ140900908400005</t>
  </si>
  <si>
    <t>678188 Республика Саха (Якутия) город Удачный Новый город 8   4</t>
  </si>
  <si>
    <t>ЮЛ140900908400006</t>
  </si>
  <si>
    <t>678141 Республика Саха (Якутия) город Ленск Пролетарская 11</t>
  </si>
  <si>
    <t>ЮЛ140900908400007</t>
  </si>
  <si>
    <t>678960 Республика Саха (Якутия) город Нерюнгри Ленина 6</t>
  </si>
  <si>
    <t>ЮЛ140900908400008</t>
  </si>
  <si>
    <t>678650 Республика Саха (Якутия) село Ытык-Кюель Ойунского 8</t>
  </si>
  <si>
    <t>ЮЛ140900908400009</t>
  </si>
  <si>
    <t>678730 Республика Саха (Якутия) поселок городского типа Усть-Нера Кривошапкина 52</t>
  </si>
  <si>
    <t>ЮЛ140900908400010</t>
  </si>
  <si>
    <t>677000 Республика Саха (Якутия) город Якутск проспект Ленина 9</t>
  </si>
  <si>
    <t>ЮЛ140900908400013</t>
  </si>
  <si>
    <t>677000 Республика Саха (Якутия) город Якутск Аммосова 1</t>
  </si>
  <si>
    <t>ЮЛ140900908400014</t>
  </si>
  <si>
    <t>677000 Республика Саха (Якутия) город Якутск Орджоникидзе 38</t>
  </si>
  <si>
    <t>ЮЛ140900908400015</t>
  </si>
  <si>
    <t>678000 Республика Саха (Якутия) Амга Ленина  10 А</t>
  </si>
  <si>
    <t>ЮЛ140900908400016</t>
  </si>
  <si>
    <t>678380 Республика Саха (Якутия) село Намцы улица Чернышевского 11</t>
  </si>
  <si>
    <t>ЮЛ140900908400018</t>
  </si>
  <si>
    <t>678230 Республика Саха (Якутия) село Верхневилюйск 50 лет ЯАССР 7</t>
  </si>
  <si>
    <t>ЮЛ140900908400019</t>
  </si>
  <si>
    <t>677008 Республика Саха (Якутия) Якутск Аммосова 1   109</t>
  </si>
  <si>
    <t>ИП Новодворская Надежда Константиновна</t>
  </si>
  <si>
    <t>143512084504</t>
  </si>
  <si>
    <t>ИП1409032361</t>
  </si>
  <si>
    <t>ИП140903236100000</t>
  </si>
  <si>
    <t>677018 Республика Саха (Якутия) город Якутск улица Аммосова дом 1</t>
  </si>
  <si>
    <t>ЮЛ140900211300001</t>
  </si>
  <si>
    <t>677005 Республика Саха (Якутия) город Якутск улица Лермонтова дом 62 4</t>
  </si>
  <si>
    <t>ЮЛ140900211300002</t>
  </si>
  <si>
    <t>677000 Республика Саха (Якутия) город Якутск улица Кальвица дом 14 5</t>
  </si>
  <si>
    <t>ЮЛ140900211300003</t>
  </si>
  <si>
    <t>677000 Республика Саха (Якутия) город Якутск улица Орджоникидзе дом 38</t>
  </si>
  <si>
    <t>ЮЛ140900211300004</t>
  </si>
  <si>
    <t>ЮЛ140900211300005</t>
  </si>
  <si>
    <t>677000 Республика Саха (Якутия) город Якутск улица Ярославского 12 1</t>
  </si>
  <si>
    <t>ЮЛ140900211300006</t>
  </si>
  <si>
    <t>677000 Республика Саха (Якутия) город Якутск проспект Ленина дом 11</t>
  </si>
  <si>
    <t>ЮЛ140900211300007</t>
  </si>
  <si>
    <t>678080 Республика Саха (Якутия) поселок Нижний Бестях Ленина 35</t>
  </si>
  <si>
    <t>ЮЛ140900211300008</t>
  </si>
  <si>
    <t>677014 Республика Саха (Якутия) город Якутск улица Автострада 50 лет Октября дом 6</t>
  </si>
  <si>
    <t>ЮЛ140900211300009</t>
  </si>
  <si>
    <t>678174 Республика Саха (Якутия) город Мирный улица Советская дом 11</t>
  </si>
  <si>
    <t>ЮЛ140900211300010</t>
  </si>
  <si>
    <t>677000 Республика Саха (Якутия) город Якутск улица Федора Попова дом 15</t>
  </si>
  <si>
    <t>ЮЛ140900211300012</t>
  </si>
  <si>
    <t>677014 Республика Саха (Якутия) город Якутск улица Можайского дом 27</t>
  </si>
  <si>
    <t>ЮЛ140900211300013</t>
  </si>
  <si>
    <t>ЮЛ140900211300014</t>
  </si>
  <si>
    <t>677000 Республика Саха (Якутия) город Якутск проспект Ленина дом 11 1  1</t>
  </si>
  <si>
    <t>ЮЛ140900211300015</t>
  </si>
  <si>
    <t>678960 Республика Саха (Якутия) город Нерюнгри проспект Ленина дом 5   52</t>
  </si>
  <si>
    <t>ЮЛ140900211300016</t>
  </si>
  <si>
    <t>678960 Республика Саха (Якутия) город Нерюнгри проспект Ленина дом 5</t>
  </si>
  <si>
    <t>ЮЛ140900211300017</t>
  </si>
  <si>
    <t>677000 Республика Саха (Якутия) город Якутск проспект Ленина дом 11 корпус 1  каб. 1</t>
  </si>
  <si>
    <t>ООО "ЛОМБАРД ЗОЛОТНИК ПЛЮС"</t>
  </si>
  <si>
    <t>1435139881</t>
  </si>
  <si>
    <t>ЮЛ1409003415</t>
  </si>
  <si>
    <t>ЮЛ140900341500000</t>
  </si>
  <si>
    <t>677027 Республика Саха (Якутия) город Якутск улица Октябрьская дом 24</t>
  </si>
  <si>
    <t>ЮЛ140900341500001</t>
  </si>
  <si>
    <t>677902 Республика Саха (Якутия) поселок Жатай улица Северная здание 31 3</t>
  </si>
  <si>
    <t>ЮЛ140900341500002</t>
  </si>
  <si>
    <t>677009 Республика Саха (Якутия) город Якутск улица Труда дом 2</t>
  </si>
  <si>
    <t>ЮЛ140900341500004</t>
  </si>
  <si>
    <t>677000 Республика Саха (Якутия) город Якутск Петра Алексеева дом 62 д  помещение №1</t>
  </si>
  <si>
    <t>ЮЛ140900341500006</t>
  </si>
  <si>
    <t>677000 Республика Саха (Якутия) город Якутск Кузьмина 34 В</t>
  </si>
  <si>
    <t>ЮЛ140900341500007</t>
  </si>
  <si>
    <t>677000 Республика Саха (Якутия) город Якутск улица Пояркова дом 20 корпус 1  ПОМЕЩ.12</t>
  </si>
  <si>
    <t>ЮЛ140900341500008</t>
  </si>
  <si>
    <t>677000 Республика Саха (Якутия) город Якутск проспект Ленина дом 10   офис 12</t>
  </si>
  <si>
    <t>1435142845</t>
  </si>
  <si>
    <t>ЮЛ1409001224</t>
  </si>
  <si>
    <t>ЮЛ140900122400000</t>
  </si>
  <si>
    <t>ИП Заболоцкая Мария Ивановна</t>
  </si>
  <si>
    <t>143514477934</t>
  </si>
  <si>
    <t>ИП1409015446</t>
  </si>
  <si>
    <t>ИП140901544600002</t>
  </si>
  <si>
    <t>677014 Республика Саха (Якутия) Якутск пер. С. Васильева 27</t>
  </si>
  <si>
    <t>ИП140901544600004</t>
  </si>
  <si>
    <t>677000 Республика Саха (Якутия) Якутск Аммосова 1</t>
  </si>
  <si>
    <t>ИП140901544600006</t>
  </si>
  <si>
    <t>677000 Республика Саха (Якутия) город Якутск улица Аммосова  1</t>
  </si>
  <si>
    <t>ИП Осипова Александра Егоровна</t>
  </si>
  <si>
    <t>143514644783</t>
  </si>
  <si>
    <t>ИП1409013378</t>
  </si>
  <si>
    <t>ИП140901337800002</t>
  </si>
  <si>
    <t>677000 Республика Саха (Якутия) город Якутск улица Курашова  4</t>
  </si>
  <si>
    <t>ИП140901337800003</t>
  </si>
  <si>
    <t>677000 Республика Саха (Якутия) город Якутск Октябрьская  24</t>
  </si>
  <si>
    <t>ИП140901337800004</t>
  </si>
  <si>
    <t>677014 Республика Саха (Якутия) город Якутск площадь Валерия Кузьмина 10</t>
  </si>
  <si>
    <t>ИП140901337800005</t>
  </si>
  <si>
    <t>677000 Республика Саха (Якутия) город Якутск площадь Валерия Кузьмина 10</t>
  </si>
  <si>
    <t>ИП140901337800006</t>
  </si>
  <si>
    <t>ИП Эверстова Альбина Иннокентьевна</t>
  </si>
  <si>
    <t>143515027198</t>
  </si>
  <si>
    <t>ИП1409003402</t>
  </si>
  <si>
    <t>ИП140900340200000</t>
  </si>
  <si>
    <t>678450 Республика Саха (Якутия) город Нюрба улица Степана Васильева дом 86</t>
  </si>
  <si>
    <t>ИП Иванова Любовь Михайловна</t>
  </si>
  <si>
    <t>143515479998</t>
  </si>
  <si>
    <t>ИП1409035853</t>
  </si>
  <si>
    <t>ИП140903585300000</t>
  </si>
  <si>
    <t>678144 Республика Саха (Якутия) город Ленск улица Орджоникидзе дом 1   9/1</t>
  </si>
  <si>
    <t>ИП140903585300002</t>
  </si>
  <si>
    <t>ИП140903585300003</t>
  </si>
  <si>
    <t>677000 Республика Саха (Якутия) город Якутск улица Курашова дом 6</t>
  </si>
  <si>
    <t>ИП Стручков Афанасий Афанасьевич</t>
  </si>
  <si>
    <t>143515528300</t>
  </si>
  <si>
    <t>ИП1409006762</t>
  </si>
  <si>
    <t>ИП140900676200000</t>
  </si>
  <si>
    <t>677000 Республика Саха (Якутия) Якутск Аммосова 1   210</t>
  </si>
  <si>
    <t>ИП Лунгу Оксана Владимировна</t>
  </si>
  <si>
    <t>143515731703</t>
  </si>
  <si>
    <t>ИП1409006745</t>
  </si>
  <si>
    <t>ИП140900674500000</t>
  </si>
  <si>
    <t>677000 Республика Саха (Якутия) город Якутск улица Орджоникидзе дом 21</t>
  </si>
  <si>
    <t>ИП Николаева Наталия Леонидовна</t>
  </si>
  <si>
    <t>143519132041</t>
  </si>
  <si>
    <t>ИП1409005854</t>
  </si>
  <si>
    <t>ИП140900585400000</t>
  </si>
  <si>
    <t>1435195580</t>
  </si>
  <si>
    <t>ЮЛ1409002879</t>
  </si>
  <si>
    <t>ЮЛ140900287900001</t>
  </si>
  <si>
    <t>678080 Республика Саха (Якутия) поселок Нижний Бестях улица Ленина дом 35</t>
  </si>
  <si>
    <t>ЮЛ140900287900002</t>
  </si>
  <si>
    <t>677000 Республика Саха (Якутия) город Якутск 202 микрорайон  дом 1 корпус 2</t>
  </si>
  <si>
    <t>ЮЛ140900287900003</t>
  </si>
  <si>
    <t>677009 Республика Саха (Якутия) город Якутск улица Дзержинского дом 32   помещение 10, 11</t>
  </si>
  <si>
    <t>ЮЛ140900287900004</t>
  </si>
  <si>
    <t>677013 Республика Саха (Якутия) город Якутск улица Ойунского дом 23</t>
  </si>
  <si>
    <t>ЮЛ140900287900005</t>
  </si>
  <si>
    <t>ЮЛ140900287900006</t>
  </si>
  <si>
    <t>6770000 Республика Саха (Якутия) город Якутск 203 микрорайон дом 8</t>
  </si>
  <si>
    <t>ЮЛ140900287900007</t>
  </si>
  <si>
    <t>677027 Республика Саха (Якутия) город Якутск улица Орджоникидзе дом 38</t>
  </si>
  <si>
    <t>ЮЛ140900287900008</t>
  </si>
  <si>
    <t>677000 Республика Саха (Якутия) город Якутск улица Дзержинского дом 1</t>
  </si>
  <si>
    <t>ЮЛ140900287900009</t>
  </si>
  <si>
    <t>ЮЛ140900287900010</t>
  </si>
  <si>
    <t>677018 Республика Саха (Якутия) город Якутск улица Аммосова дом 6</t>
  </si>
  <si>
    <t>ЮЛ140900287900011</t>
  </si>
  <si>
    <t>677009 Республика Саха (Якутия) город Якутск улица Кальвица дом 14 корпус 5</t>
  </si>
  <si>
    <t>ЮЛ140900287900012</t>
  </si>
  <si>
    <t>677021 Республика Саха (Якутия) город Якутск проспект Михаила Николаева дом 13 1Ж</t>
  </si>
  <si>
    <t>ЮЛ140900287900013</t>
  </si>
  <si>
    <t>677000 Республика Саха (Якутия) город Якутск проспект Ленина дом 11   квартира 90</t>
  </si>
  <si>
    <t>ЮЛ140900287900014</t>
  </si>
  <si>
    <t>677021 Республика Саха (Якутия) город Якутск проспект Михаила Николаева дом 53 корпус 1</t>
  </si>
  <si>
    <t>ЮЛ140900287900015</t>
  </si>
  <si>
    <t>677000 Республика Саха (Якутия) город Якутск проспект Ленина  дом 11   квартира 91</t>
  </si>
  <si>
    <t>ЮЛ140900287900016</t>
  </si>
  <si>
    <t>677007 Республика Саха (Якутия) город Якутск проспект Ленина дом 44   квартира 1</t>
  </si>
  <si>
    <t>ЮЛ140900287900017</t>
  </si>
  <si>
    <t>677009 Республика Саха (Якутия) город Якутск улица Дзержинского дом 51</t>
  </si>
  <si>
    <t>ЮЛ140900287900018</t>
  </si>
  <si>
    <t>ИП Борисов Василий Александрович</t>
  </si>
  <si>
    <t>143519633256</t>
  </si>
  <si>
    <t>ИП1409035873</t>
  </si>
  <si>
    <t>ИП140903587300000</t>
  </si>
  <si>
    <t>678960 Республика Саха (Якутия) город Нерюнгри проспект Ленина дом 5   52 Соколов</t>
  </si>
  <si>
    <t>ИП Кондратьева Татьяна Александровна</t>
  </si>
  <si>
    <t>143519636070</t>
  </si>
  <si>
    <t>ИП1409004284</t>
  </si>
  <si>
    <t>ИП140900428400000</t>
  </si>
  <si>
    <t>678960 Республика Саха (Якутия) город Нерюнгри проспект Ленина дом 5   Золотая Якутия</t>
  </si>
  <si>
    <t>ИП140900428400003</t>
  </si>
  <si>
    <t>677000 Республика Саха (Якутия) г.Якутск ул.Ярославского 12 1</t>
  </si>
  <si>
    <t>ИП Десяткина Наталья Владимировна</t>
  </si>
  <si>
    <t>143522070324</t>
  </si>
  <si>
    <t>ИП1409015434</t>
  </si>
  <si>
    <t>ИП140901543400000</t>
  </si>
  <si>
    <t>ИП Заболоцкий Станислав Александрович</t>
  </si>
  <si>
    <t>143523303892</t>
  </si>
  <si>
    <t>ИП1409037240</t>
  </si>
  <si>
    <t>ИП140903724000002</t>
  </si>
  <si>
    <t>ИП140903724000003</t>
  </si>
  <si>
    <t>678350 Республика Саха (Якутия) Борогонцы Ленина 34   3А-1</t>
  </si>
  <si>
    <t>ИП140903724000005</t>
  </si>
  <si>
    <t>ИП Егоров Алексей Лукич</t>
  </si>
  <si>
    <t>143523573345</t>
  </si>
  <si>
    <t>ИП1409013813</t>
  </si>
  <si>
    <t>ИП140901381300000</t>
  </si>
  <si>
    <t>ИП140901381300002</t>
  </si>
  <si>
    <t>677005 Республика Саха (Якутия) город Якутск улица Лермонтова дом 62 корпус 4</t>
  </si>
  <si>
    <t>ООО "ЮВЕЛИРНАЯ КОМПАНИЯ "ЗОЛОТО ЯКУТИИ"</t>
  </si>
  <si>
    <t>1435248369</t>
  </si>
  <si>
    <t>ЮЛ1409003389</t>
  </si>
  <si>
    <t>ЮЛ140900338900000</t>
  </si>
  <si>
    <t>ИП140901095200000</t>
  </si>
  <si>
    <t>ИП140901095200004</t>
  </si>
  <si>
    <t>ИП140901095200005</t>
  </si>
  <si>
    <t>677027 Республика Саха (Якутия) город Якутск улица Белинского дом 44   офис 33</t>
  </si>
  <si>
    <t>ИП Сокольникова Юлия Артуровна</t>
  </si>
  <si>
    <t>143525573728</t>
  </si>
  <si>
    <t>ИП1409003379</t>
  </si>
  <si>
    <t>ИП140900337900000</t>
  </si>
  <si>
    <t>677018 Республика Саха (Якутия) город Якутск улица Аммосова дом 1 ТР "Кружало"  помещение №24</t>
  </si>
  <si>
    <t>ООО "ТАДИУМ"</t>
  </si>
  <si>
    <t>1435279367</t>
  </si>
  <si>
    <t>ЮЛ1409004377</t>
  </si>
  <si>
    <t>ЮЛ140900437700000</t>
  </si>
  <si>
    <t>677000 Республика Саха (Якутия) город Якутск улица Орджоникидзе 38</t>
  </si>
  <si>
    <t>ООО "ЗОЛОТО"</t>
  </si>
  <si>
    <t>1435300322</t>
  </si>
  <si>
    <t>ЮЛ1409039800</t>
  </si>
  <si>
    <t>ЮЛ140903980000001</t>
  </si>
  <si>
    <t>67700 Республика Саха (Якутия) город Якутск улица Ярославского 12 1</t>
  </si>
  <si>
    <t>ЮЛ140903980000002</t>
  </si>
  <si>
    <t>677018 Республика Саха (Якутия) город Якутск улица Аммосова дом 1   32</t>
  </si>
  <si>
    <t>ООО "АЛГЫС"</t>
  </si>
  <si>
    <t>1435310257</t>
  </si>
  <si>
    <t>ЮЛ1409005090</t>
  </si>
  <si>
    <t>ЮЛ140900509000000</t>
  </si>
  <si>
    <t>677000 Республика Саха (Якутия) город Якутск улица Лермонтова дом 37 корпус Б  офис 8,9</t>
  </si>
  <si>
    <t>ЮЛ140900291100000</t>
  </si>
  <si>
    <t>677000 Республика Саха (Якутия) город Якутск улица  Лермонтова дом 37 корпус Б  офис 8,9</t>
  </si>
  <si>
    <t>ЮЛ140900291100001</t>
  </si>
  <si>
    <t>677000 Республика Саха (Якутия) г. Якустк Ярославского 12 1</t>
  </si>
  <si>
    <t>ЮЛ140900291100003</t>
  </si>
  <si>
    <t>677000 Республика Саха (Якутия) г. Якустк Автострада 50 лет Октября  6</t>
  </si>
  <si>
    <t>ЮЛ140900291100004</t>
  </si>
  <si>
    <t>677000 Республика Саха (Якутия) г. Якустк Орджоникидзе 38</t>
  </si>
  <si>
    <t>ЮЛ140900291100005</t>
  </si>
  <si>
    <t>ЮЛ140900291100008</t>
  </si>
  <si>
    <t>677005 Республика Саха (Якутия) город Якутск улица Чернышевского дом 74 8  52</t>
  </si>
  <si>
    <t>ЮЛ140900291100010</t>
  </si>
  <si>
    <t>677009 Республика Саха (Якутия) город Якутск улица Жорницкого дом 12</t>
  </si>
  <si>
    <t>ООО "ЦЗП"</t>
  </si>
  <si>
    <t>1435339922</t>
  </si>
  <si>
    <t>ЮЛ1409039684</t>
  </si>
  <si>
    <t>ЮЛ140903968400000</t>
  </si>
  <si>
    <t>ЮЛ140903968400001</t>
  </si>
  <si>
    <t>677000 Республика Саха (Якутия) город Якутск улица Кирова дом 12</t>
  </si>
  <si>
    <t>ЮЛ140900343400000</t>
  </si>
  <si>
    <t>678144 Республика Саха (Якутия) город Ленск улица Пролетарская дом 11</t>
  </si>
  <si>
    <t>ЮЛ140900343400001</t>
  </si>
  <si>
    <t>678175 Республика Саха (Якутия) город Мирный улица Советская дом 4 3</t>
  </si>
  <si>
    <t>ЮЛ140900343400002</t>
  </si>
  <si>
    <t>ЮЛ140900343400008</t>
  </si>
  <si>
    <t>677000 Республика Саха (Якутия) город Якутск проспект Ленина дом 28</t>
  </si>
  <si>
    <t>ЮЛ140900343400009</t>
  </si>
  <si>
    <t>677027 Республика Саха (Якутия) город Якутск проспект Ленина дом 23</t>
  </si>
  <si>
    <t>ЮЛ140900343400010</t>
  </si>
  <si>
    <t>ЮЛ140900343400011</t>
  </si>
  <si>
    <t>678171 Республика Саха (Якутия) город Мирный улица Советская дом 13/4</t>
  </si>
  <si>
    <t>ЮЛ220800779500001</t>
  </si>
  <si>
    <t>ЮЛ270900211200064</t>
  </si>
  <si>
    <t>678150 Республика Саха (Якутия) поселок Витим улица Кооперативная дом 39</t>
  </si>
  <si>
    <t>ИП Деккерт Мария Валерьевна</t>
  </si>
  <si>
    <t>381806927391</t>
  </si>
  <si>
    <t>ИП1409033598</t>
  </si>
  <si>
    <t>ИП140903359800000</t>
  </si>
  <si>
    <t>678190 Республика Саха (Якутия) поселок Айхал улица Энтузиастов дом 2</t>
  </si>
  <si>
    <t>ИП Мирович Елена Валерьевна</t>
  </si>
  <si>
    <t>540107336482</t>
  </si>
  <si>
    <t>ИП5408015433</t>
  </si>
  <si>
    <t>ИП540801543300000</t>
  </si>
  <si>
    <t>678188 Республика Саха (Якутия) город Удачный микрорайон Новый город дом 8   этаж 1, помещение 104</t>
  </si>
  <si>
    <t>ИП Семкичева Елена Витальевна</t>
  </si>
  <si>
    <t>540507916463</t>
  </si>
  <si>
    <t>ИП5408011000</t>
  </si>
  <si>
    <t>ИП540801100000003</t>
  </si>
  <si>
    <t>678174 Республика Саха (Якутия) город Мирный улица Советская дом 13/4</t>
  </si>
  <si>
    <t>ИП540801107000019</t>
  </si>
  <si>
    <t>678190 Республика Саха (Якутия) поселок Айхал улица Соборная дом 2</t>
  </si>
  <si>
    <t>ИП540801107000020</t>
  </si>
  <si>
    <t>678144 Республика Саха (Якутия) город Ленск улица Ленина здание 88/6</t>
  </si>
  <si>
    <t>ИП540801107000024</t>
  </si>
  <si>
    <t>678188 Республика Саха (Якутия) город Удачный Центральная площадь дом 5   отдел "Хризолит"</t>
  </si>
  <si>
    <t>ЮЛ540800575000005</t>
  </si>
  <si>
    <t>678174 Республика Саха (Якутия) город Мирный улица Советская дом 11   отдел "Хризолит"</t>
  </si>
  <si>
    <t>ЮЛ540800575100008</t>
  </si>
  <si>
    <t>678175 Республика Саха (Якутия) город Мирный улица Советская дом 13/7   отдел "Хризолит"</t>
  </si>
  <si>
    <t>ЮЛ540800575100009</t>
  </si>
  <si>
    <t>677018 Республика Саха (Якутия) город Якутск улица Аммосова дом 6/2   1 этаж</t>
  </si>
  <si>
    <t>ИП770101425100022</t>
  </si>
  <si>
    <t>677018 Республика Саха (Якутия) город Якутск улица Аммосова дом 6   часть помещения № 16,  № 25,  помещения № 18,19,20,26,27,28,29,, этаж 1 (первый)</t>
  </si>
  <si>
    <t>ЮЛ770100193500503</t>
  </si>
  <si>
    <t>677000 Республика Саха (Якутия) город Якутск улица Ленина дом 7   этаж 1 (первый)</t>
  </si>
  <si>
    <t>ЮЛ770100193500654</t>
  </si>
  <si>
    <t>677014 Республика Саха (Якутия) город Якутск улица Автострада 50 лет Октября дом 6   нежилое Торговое место № АО-7, этаж 1 (первый)</t>
  </si>
  <si>
    <t>ЮЛ770100193500655</t>
  </si>
  <si>
    <t>678174 Республика Саха (Якутия) город Мирный улица Советская дом 11   этаж 1 (первый)</t>
  </si>
  <si>
    <t>ЮЛ770100193500701</t>
  </si>
  <si>
    <t>ЮЛ770100193500801</t>
  </si>
  <si>
    <t>677018 Республика Саха (Якутия) город Якутск улица Ярославского дом 12 корпус 1  3 (третий) этаж</t>
  </si>
  <si>
    <t>ЮЛ770100193500840</t>
  </si>
  <si>
    <t>677000 Республика Саха (Якутия) город Якутск улица Курашова дом 8   306</t>
  </si>
  <si>
    <t>ИП Жирков Ю.В.</t>
  </si>
  <si>
    <t>780505421508</t>
  </si>
  <si>
    <t>ИП7803013673</t>
  </si>
  <si>
    <t>ИП780301367300000</t>
  </si>
  <si>
    <t>677027 Республика Саха (Якутия) город Якутск улица Ойунского дом 4</t>
  </si>
  <si>
    <t>ЮЛ780301246700001</t>
  </si>
  <si>
    <t>677000 Республика Саха (Якутия) город Якутск проспект Ленина дом 9 корпус 3  помещение 3</t>
  </si>
  <si>
    <t>ЮЛ780301246700005</t>
  </si>
  <si>
    <t>678175 Республика Саха (Якутия) город Мирный улица Советская дом 3   помещение 3</t>
  </si>
  <si>
    <t>ЮЛ780301246700006</t>
  </si>
  <si>
    <t>ЮЛ780300308200033</t>
  </si>
  <si>
    <t>677000 Республика Саха (Якутия) город Якутск проспект Ленина дом 9</t>
  </si>
  <si>
    <t>ЮЛ780300308200877</t>
  </si>
  <si>
    <t>Республика Северная Осетия — Алания</t>
  </si>
  <si>
    <t>362020 Республика Северная Осетия — Алания г. Владикавказ Московское шоссе 3  к</t>
  </si>
  <si>
    <t>ИП070501720100001</t>
  </si>
  <si>
    <t>362040 Республика Северная Осетия — Алания город Владикавказ улица Ленина дом 49-51-53 Лит А</t>
  </si>
  <si>
    <t>ИП Сланова Изета Антоновна</t>
  </si>
  <si>
    <t>150104032900</t>
  </si>
  <si>
    <t>ИП1505009796</t>
  </si>
  <si>
    <t>ИП150500979600000</t>
  </si>
  <si>
    <t>362008 Республика Северная Осетия — Алания город Владикавказ улица Генерала Плиева дом 18</t>
  </si>
  <si>
    <t>ИП Богиев Мераб Самсонович</t>
  </si>
  <si>
    <t>150200138392</t>
  </si>
  <si>
    <t>ИП1505007709</t>
  </si>
  <si>
    <t>ИП150500770900000</t>
  </si>
  <si>
    <t>362040 Республика Северная Осетия — Алания город Владикавказ улица Миллера дом 1а</t>
  </si>
  <si>
    <t>ИП Гизоева Зарема Хетаговна</t>
  </si>
  <si>
    <t>150204255900</t>
  </si>
  <si>
    <t>ИП1505013124</t>
  </si>
  <si>
    <t>ИП150501312400000</t>
  </si>
  <si>
    <t>362008 Республика Северная Осетия — Алания город Владикавказ улица Генерала Плиева дом 17   ОФИС1</t>
  </si>
  <si>
    <t>ИП150501312400001</t>
  </si>
  <si>
    <t>362027 Республика Северная Осетия — Алания город Владикавказ улица Тамаева 22   ОФИС 2</t>
  </si>
  <si>
    <t>ИП150501312400004</t>
  </si>
  <si>
    <t>362008 Республика Северная Осетия — Алания Владикавказ ГЕНЕРАЛА ПЛИЕВА  17   ОФИС 2</t>
  </si>
  <si>
    <t>ИП150501312400005</t>
  </si>
  <si>
    <t>362025 Республика Северная Осетия — Алания город Владикавказ улица Ватутина дом 51А</t>
  </si>
  <si>
    <t>ИП150501312400006</t>
  </si>
  <si>
    <t>362040 Республика Северная Осетия — Алания город Владикавказ улица Маркуса дом 9</t>
  </si>
  <si>
    <t>ИП Газаева Татьяна Григорьевна</t>
  </si>
  <si>
    <t>150305053403</t>
  </si>
  <si>
    <t>ИП1505035240</t>
  </si>
  <si>
    <t>ИП150503524000000</t>
  </si>
  <si>
    <t>363760 Республика Северная Осетия — Алания город Моздок улица Социалистическая 2   ларек 29</t>
  </si>
  <si>
    <t>ИП Батраев Мурат Зияуович</t>
  </si>
  <si>
    <t>151004413647</t>
  </si>
  <si>
    <t>ИП1505032515</t>
  </si>
  <si>
    <t>ИП150503251500000</t>
  </si>
  <si>
    <t>362043 Республика Северная Осетия — Алания владикавказ А. Кесаева 2а</t>
  </si>
  <si>
    <t>ИП Мулдарова Залина Афанасьевна</t>
  </si>
  <si>
    <t>151200320639</t>
  </si>
  <si>
    <t>ИП1505005983</t>
  </si>
  <si>
    <t>ИП150500598300000</t>
  </si>
  <si>
    <t>363000 Республика Северная Осетия — Алания Беслан Аэропорт "Владикавказ"    2 этаж №7</t>
  </si>
  <si>
    <t>ИП150500598300001</t>
  </si>
  <si>
    <t>362008 Республика Северная Осетия — Алания Владикавказ Генерала Плиева 6 12</t>
  </si>
  <si>
    <t>ИП150500598300002</t>
  </si>
  <si>
    <t>362000 Республика Северная Осетия — Алания город Владикавказ проспект Мира 33</t>
  </si>
  <si>
    <t>ООО "ОЛЬВИЯ"</t>
  </si>
  <si>
    <t>1513001379</t>
  </si>
  <si>
    <t>ЮЛ1505013397</t>
  </si>
  <si>
    <t>ЮЛ150501339700000</t>
  </si>
  <si>
    <t>362048 Республика Северная Осетия — Алания город Владикавказ шоссе Московское дом 3К</t>
  </si>
  <si>
    <t>ООО "АМЕЛИ"</t>
  </si>
  <si>
    <t>1513037047</t>
  </si>
  <si>
    <t>ЮЛ1505016937</t>
  </si>
  <si>
    <t>ЮЛ150501693700000</t>
  </si>
  <si>
    <t>362008 Республика Северная Осетия — Алания город Владикавказ проспект Коста дом 93   квартира 102</t>
  </si>
  <si>
    <t>ООО "ЛОМБАРД ЗОЛОТОЙ МУСТАНГ"</t>
  </si>
  <si>
    <t>1513066129</t>
  </si>
  <si>
    <t>ЮЛ1505005988</t>
  </si>
  <si>
    <t>ЮЛ150500598800000</t>
  </si>
  <si>
    <t>362040 Республика Северная Осетия — Алания город Владикавказ улица Максима Горького дом 17</t>
  </si>
  <si>
    <t>ООО "ЮВЕЛИРНЫЙ ДОМ ЕЛЕТИ"</t>
  </si>
  <si>
    <t>1513070559</t>
  </si>
  <si>
    <t>ЮЛ1505006292</t>
  </si>
  <si>
    <t>ЮЛ150500629200000</t>
  </si>
  <si>
    <t>362025 Республика Северная Осетия — Алания город Владикавказ улица Ватутина дом 62 - 72</t>
  </si>
  <si>
    <t>ООО "ЛОМБАРД "ИМПЕРИЯ ЗОЛОТА"</t>
  </si>
  <si>
    <t>1513080740</t>
  </si>
  <si>
    <t>ЮЛ1505002601</t>
  </si>
  <si>
    <t>ЮЛ150500260100000</t>
  </si>
  <si>
    <t>362000 Республика Северная Осетия — Алания город Владикавказ Московское шоссе 3 к</t>
  </si>
  <si>
    <t>ИП Дзгоева Замира Асланбековна</t>
  </si>
  <si>
    <t>151504715195</t>
  </si>
  <si>
    <t>ИП1505016621</t>
  </si>
  <si>
    <t>ИП150501662100000</t>
  </si>
  <si>
    <t>362020 Республика Северная Осетия — Алания город Владикавказ проспект Коста дом 224</t>
  </si>
  <si>
    <t>1515905563</t>
  </si>
  <si>
    <t>ЮЛ1505006161</t>
  </si>
  <si>
    <t>ЮЛ150500616100000</t>
  </si>
  <si>
    <t>362001 Республика Северная Осетия — Алания Владикавказ Московское шоссе 3  к</t>
  </si>
  <si>
    <t>ИП Гасинова Зита Казбековна</t>
  </si>
  <si>
    <t>151603427134</t>
  </si>
  <si>
    <t>ИП1505012471</t>
  </si>
  <si>
    <t>ИП150501247100000</t>
  </si>
  <si>
    <t>362045 Республика Северная Осетия — Алания город Владикавказ улица Астана Кесаева дом 2А</t>
  </si>
  <si>
    <t>ИП Петросян Татевик Смбатовна</t>
  </si>
  <si>
    <t>263608793730</t>
  </si>
  <si>
    <t>ИП2605000420</t>
  </si>
  <si>
    <t>ИП260500042000000</t>
  </si>
  <si>
    <t>362000 Республика Северная Осетия — Алания город Владикавказ шоссе Московское дом 3К</t>
  </si>
  <si>
    <t>ИП610400426600031</t>
  </si>
  <si>
    <t>362027 Республика Северная Осетия — Алания город Владикавказ улица Джанаева/ улица Рамонова дом 53/дом 1</t>
  </si>
  <si>
    <t>ЮЛ660700070800068</t>
  </si>
  <si>
    <t>363753 Республика Северная Осетия — Алания город Моздок улица Кирова дом 49</t>
  </si>
  <si>
    <t>ЮЛ660700070800220</t>
  </si>
  <si>
    <t>362025 Республика Северная Осетия — Алания город Владикавказ улица Джанаева/улица Куйбышева дом 38/дом 21   1 (первый) этаж</t>
  </si>
  <si>
    <t>ЮЛ770100201500454</t>
  </si>
  <si>
    <t>362045 Республика Северная Осетия — Алания город Владикавказ улица Астана Кесаева дом 2А   помещение 37, этаж 1</t>
  </si>
  <si>
    <t>ЮЛ770101216600313</t>
  </si>
  <si>
    <t>362020 Республика Северная Осетия — Алания город Владикавказ шоссе Московское дом 3К   этаж 1, нежилое помещение № 5 ( помещение №109)</t>
  </si>
  <si>
    <t>ЮЛ770101216600368</t>
  </si>
  <si>
    <t>362040 Республика Северная Осетия — Алания город Владикавказ улица Тамаева дом 22   этаж 1</t>
  </si>
  <si>
    <t>ЮЛ770101216600405</t>
  </si>
  <si>
    <t>362008 Республика Северная Осетия — Алания город Владикавказ улица Генерала Плиева дом 17</t>
  </si>
  <si>
    <t>ЮЛ770100419400077</t>
  </si>
  <si>
    <t>362040 Республика Северная Осетия — Алания город Владикавказ улица Куйбышева/Маркуса/Томаева дом 17/2/29</t>
  </si>
  <si>
    <t>ЮЛ770100419400190</t>
  </si>
  <si>
    <t>362045 Республика Северная Осетия — Алания город Владикавказ улица Астана Кесаева дом 2а   1 этаж, помещения 24,25,26</t>
  </si>
  <si>
    <t>ЮЛ770100193500293</t>
  </si>
  <si>
    <t>362045 Республика Северная Осетия — Алания город Владикавказ улица Владикавказская здание 26К   помещение, этаж 1 (первый)</t>
  </si>
  <si>
    <t>ЮЛ770100193500631</t>
  </si>
  <si>
    <t>362025 Республика Северная Осетия — Алания город Владикавказ улица Джанаева/ Куйбышева дом 38/ 21</t>
  </si>
  <si>
    <t>ЮЛ770100193500881</t>
  </si>
  <si>
    <t>362040 Республика Северная Осетия — Алания город Владикавказ улица Тамаева дом 22   помещение 1-12, 1 (первый) этаж</t>
  </si>
  <si>
    <t>ЮЛ770100193501034</t>
  </si>
  <si>
    <t>363760 Республика Северная Осетия — Алания город Моздок улица Кирова дом 54   помещение 8, 1 этаж</t>
  </si>
  <si>
    <t>ЮЛ770100193501123</t>
  </si>
  <si>
    <t>363760 Республика Северная Осетия — Алания город Моздок улица Кирова дом 54   часть нежилого встроенного помещения 1</t>
  </si>
  <si>
    <t>ЮЛ780300131300302</t>
  </si>
  <si>
    <t>363029 Республика Северная Осетия — Алания город Беслан улица Мира дом 7Б   часть помещения №2, Литер А2</t>
  </si>
  <si>
    <t>ЮЛ780300131300303</t>
  </si>
  <si>
    <t>362025 Республика Северная Осетия — Алания город Владикавказ улица Джанаева 38   часть нежилых помещений №№2, 3, 3а, 3б, 4, 4а, 15, 15а, 16-17, 18, 19, 20</t>
  </si>
  <si>
    <t>ЮЛ780300131300304</t>
  </si>
  <si>
    <t>362045 Республика Северная Осетия — Алания город Владикавказ улица Владикавказская дом 26/4  Литер "А"</t>
  </si>
  <si>
    <t>ЮЛ780300131300305</t>
  </si>
  <si>
    <t>362040 Республика Северная Осетия — Алания город Владикавказ улица Маяковского /Мира дом 20/43</t>
  </si>
  <si>
    <t>ЮЛ780300131300306</t>
  </si>
  <si>
    <t>362025 Республика Северная Осетия — Алания город Владикавказ улица Куйбышева дом 21   часть помещения №1</t>
  </si>
  <si>
    <t>ЮЛ780300131300307</t>
  </si>
  <si>
    <t>362025 Республика Северная Осетия — Алания город Владикавказ улица Джанаева дом 38  литера г</t>
  </si>
  <si>
    <t>ЮЛ780300131300451</t>
  </si>
  <si>
    <t>363332 Республика Северная Осетия — Алания город Ардон улица Пролетарская в 9 м. от дворца культуры в западном направлении</t>
  </si>
  <si>
    <t>ЮЛ780300131300554</t>
  </si>
  <si>
    <t>362045 Республика Северная Осетия — Алания город Владикавказ улица Астана Кесаева дом 12</t>
  </si>
  <si>
    <t>ЮЛ780300131300558</t>
  </si>
  <si>
    <t>363227 Республика Северная Осетия — Алания город Алагир улица К.Хетагурова д. 126 «а» уч. 11</t>
  </si>
  <si>
    <t>ЮЛ780300131300562</t>
  </si>
  <si>
    <t>362031 Республика Северная Осетия — Алания город Владикавказ проспект Коста дом 253</t>
  </si>
  <si>
    <t>ЮЛ780300328000137</t>
  </si>
  <si>
    <t>363753 Республика Северная Осетия — Алания город Моздок улица Кирова дом 59</t>
  </si>
  <si>
    <t>ЮЛ780300328000224</t>
  </si>
  <si>
    <t>362045 Республика Северная Осетия — Алания город Владикавказ улица Владикавказская дом 30</t>
  </si>
  <si>
    <t>ЮЛ780300328000226</t>
  </si>
  <si>
    <t>362048 Республика Северная Осетия — Алания город Владикавказ улица Первомайская дом 44А  литер А часть нежилого помещения, состоящее из комнат № 2,3</t>
  </si>
  <si>
    <t>ЮЛ780300328000245</t>
  </si>
  <si>
    <t>363246 Республика Северная Осетия — Алания город Алагир улица К.Хетагурова дом 126 "а" уч. 11 литер М</t>
  </si>
  <si>
    <t>ЮЛ780300331800010</t>
  </si>
  <si>
    <t>363330 Республика Северная Осетия — Алания город Ардон улица Пролетарская в 9 метрах от дворца культуры в западном направлении  литер А</t>
  </si>
  <si>
    <t>ЮЛ780300331800012</t>
  </si>
  <si>
    <t>362045 Республика Северная Осетия — Алания город Владикавказ улица Астана Кесаева дом 12  Литер АБ часть нежилого помещения, номера на поэтажном плане 3-4</t>
  </si>
  <si>
    <t>ЮЛ780300331800136</t>
  </si>
  <si>
    <t>362045 Республика Северная Осетия — Алания город Владикавказ улица Астана Кесаева дом 12   часть помещения  АБ</t>
  </si>
  <si>
    <t>ЮЛ780300308200120</t>
  </si>
  <si>
    <t>363331 Республика Северная Осетия — Алания город Ардон улица Пролетарская в 9 м. от дворца культуры в западном направлении</t>
  </si>
  <si>
    <t>ЮЛ780300308200200</t>
  </si>
  <si>
    <t>363029 Республика Северная Осетия — Алания город Беслан улица Мира дом 7б  литер А2 часть помещения №1</t>
  </si>
  <si>
    <t>ЮЛ780300308200436</t>
  </si>
  <si>
    <t>362045 Республика Северная Осетия — Алания город Владикавказ улица Владикавказская дом 26К   часть нежилого помещения</t>
  </si>
  <si>
    <t>ЮЛ780300308200789</t>
  </si>
  <si>
    <t>362025 Республика Северная Осетия — Алания город Владикавказ улица Джанаева дом 38 лит "В"   часть нежилых помещений №№2,3, 3а, 3б, 4, 4а, 15, 5а, 16-17, 18, 19,20</t>
  </si>
  <si>
    <t>ЮЛ780300308200790</t>
  </si>
  <si>
    <t>362025 Республика Северная Осетия — Алания город Владикавказ улица Джанаева дом 38 литера Г   часть нежилого помещения, часть комнат №11,12, 12а, 13, 14, 15, 16, 17-18, 14а, 19, 20, 21, 22</t>
  </si>
  <si>
    <t>ЮЛ780300308200822</t>
  </si>
  <si>
    <t>ЮЛ780300308200826</t>
  </si>
  <si>
    <t>362040 Республика Северная Осетия — Алания город Владикавказ ул. Маяковского/Мира дом 20/43</t>
  </si>
  <si>
    <t>ЮЛ780300308200838</t>
  </si>
  <si>
    <t>363760 Республика Северная Осетия — Алания город Моздок улица Кирова дом 54</t>
  </si>
  <si>
    <t>ЮЛ780300308200863</t>
  </si>
  <si>
    <t>362045 Республика Северная Осетия — Алания город Владикавказ улица Астана Кесаева дом 2 "а"</t>
  </si>
  <si>
    <t>ЮЛ780300308201010</t>
  </si>
  <si>
    <t>Республика Татарстан</t>
  </si>
  <si>
    <t>420081 Республика Татарстан Казань Родины 7 К  210</t>
  </si>
  <si>
    <t>ИП БАЯНОВ С. В.</t>
  </si>
  <si>
    <t>26511522868</t>
  </si>
  <si>
    <t>ИП0905038479</t>
  </si>
  <si>
    <t>ИП090503847900000</t>
  </si>
  <si>
    <t>423230 Республика Татарстан город Бугульма улица Ярослава Гашека здание 10</t>
  </si>
  <si>
    <t>ЮЛ020603117700074</t>
  </si>
  <si>
    <t>423258 Республика Татарстан город Лениногорск улица Вахитова дом 12</t>
  </si>
  <si>
    <t>ЮЛ020603117700077</t>
  </si>
  <si>
    <t>423650 Республика Татарстан город Менделеевск улица Фомина дом 18</t>
  </si>
  <si>
    <t>ЮЛ020603117700078</t>
  </si>
  <si>
    <t>423930 Республика Татарстан город Бавлы улица Пионерская дом 10</t>
  </si>
  <si>
    <t>ЮЛ020603117700107</t>
  </si>
  <si>
    <t>420124 Республика Татарстан город Казань проспект Ямашева дом 46/33   22б</t>
  </si>
  <si>
    <t>ЮЛ050500548500001</t>
  </si>
  <si>
    <t>422110 Республика Татарстан город Кукмор улица Ленина дом 30Б   помещения 23,24</t>
  </si>
  <si>
    <t>ИП120600362800007</t>
  </si>
  <si>
    <t>422230 Республика Татарстан город Агрыз улица К.Маркса дом 4   квартира 53</t>
  </si>
  <si>
    <t>ИП Григорьевых Раиса Рахимовна</t>
  </si>
  <si>
    <t>160100002796</t>
  </si>
  <si>
    <t>ИП1606033059</t>
  </si>
  <si>
    <t>ИП160603305900000</t>
  </si>
  <si>
    <t>422230 Республика Татарстан город Агрыз переулок М.Горького дом 2   квартира 3</t>
  </si>
  <si>
    <t>ИП160603305900006</t>
  </si>
  <si>
    <t>423060 Республика Татарстан поселок городского типа Аксубаево улица Советская дом 12А</t>
  </si>
  <si>
    <t>ИП Золина Светлана Николаевна</t>
  </si>
  <si>
    <t>160300865888</t>
  </si>
  <si>
    <t>ИП1606001378</t>
  </si>
  <si>
    <t>ИП160600137800000</t>
  </si>
  <si>
    <t>422570 Республика Татарстан село Верхний Услон улица Чехова дом 43В/1</t>
  </si>
  <si>
    <t>ИП Малышева Гульшат Галимулловна</t>
  </si>
  <si>
    <t>161500464740</t>
  </si>
  <si>
    <t>ИП1606008786</t>
  </si>
  <si>
    <t>ИП160600878600000</t>
  </si>
  <si>
    <t>420059 Республика Татарстан город Казань улица Павлюхина  дом 91</t>
  </si>
  <si>
    <t>ИП Махнин Д.Г.</t>
  </si>
  <si>
    <t>161501039403</t>
  </si>
  <si>
    <t>ИП1606011508</t>
  </si>
  <si>
    <t>ИП160601150800000</t>
  </si>
  <si>
    <t>422110 Республика Татарстан город Кукмор улица Ленина  дом 19</t>
  </si>
  <si>
    <t>ИП Губайдуллина Лилия Николаевна</t>
  </si>
  <si>
    <t>161501170905</t>
  </si>
  <si>
    <t>ИП1606011337</t>
  </si>
  <si>
    <t>ИП160601133700000</t>
  </si>
  <si>
    <t>420000 Республика Татарстан город Казань Улица проспект Победы Дом 91</t>
  </si>
  <si>
    <t>ИП Сибгатуллин Ильфат Ринатович</t>
  </si>
  <si>
    <t>161501593192</t>
  </si>
  <si>
    <t>ИП1606035820</t>
  </si>
  <si>
    <t>ИП160603582000000</t>
  </si>
  <si>
    <t>422700 Республика Татарстан поселок ж.д. ст. Высокая Гора улица Кооперативная дом 2</t>
  </si>
  <si>
    <t>ИП Ганиева Сириня Миннерашитовна</t>
  </si>
  <si>
    <t>161602531347</t>
  </si>
  <si>
    <t>ИП1606013980</t>
  </si>
  <si>
    <t>ИП160601398000000</t>
  </si>
  <si>
    <t>422110 Республика Татарстан город Кукмор улица Ленина дом 19</t>
  </si>
  <si>
    <t>ИП Саляхов Алмаз Миннемуллович</t>
  </si>
  <si>
    <t>162302894197</t>
  </si>
  <si>
    <t>ИП1606010483</t>
  </si>
  <si>
    <t>ИП160601048300000</t>
  </si>
  <si>
    <t>422110 Республика Татарстан город Кукмор улица Ленина дом 1   помещение 19</t>
  </si>
  <si>
    <t>ИП Зарипов Ринат Ильнурович</t>
  </si>
  <si>
    <t>162306080488</t>
  </si>
  <si>
    <t>ИП1606033063</t>
  </si>
  <si>
    <t>ИП160603306300000</t>
  </si>
  <si>
    <t>420111 Республика Татарстан город Казань улица Пушкина дом 5/43</t>
  </si>
  <si>
    <t>ИП160600640400000</t>
  </si>
  <si>
    <t>422870 Республика Татарстан поселок Базарные Матаки улица Ленина дом 2А</t>
  </si>
  <si>
    <t>ИП160600640400002</t>
  </si>
  <si>
    <t>420111 Республика Татарстан город Казань улица Баумана дом 7/10</t>
  </si>
  <si>
    <t>ИП160600640400004</t>
  </si>
  <si>
    <t>420139 Республика Татарстан город Казань улица Р. Зорге дом 95</t>
  </si>
  <si>
    <t>ИП160600640400005</t>
  </si>
  <si>
    <t>421001 Республика Татарстан город Казань улица Ямашева дом 93</t>
  </si>
  <si>
    <t>ИП160600640400008</t>
  </si>
  <si>
    <t>422650 Республика Татарстан поселок городского типа Рыбная Слобода улица Ленина дом 81Б</t>
  </si>
  <si>
    <t>ИП160600640400011</t>
  </si>
  <si>
    <t>422190 Республика Татарстан город Мамадыш улица Габдуллы Тукая дом 29Ж</t>
  </si>
  <si>
    <t>ИП Назмиева Гульназ Ринатовна</t>
  </si>
  <si>
    <t>162611427760</t>
  </si>
  <si>
    <t>ИП1606009292</t>
  </si>
  <si>
    <t>ИП160600929200000</t>
  </si>
  <si>
    <t>423100 Республика Татарстан село Черемшан улица М.Титова дом 22а</t>
  </si>
  <si>
    <t>ИП Каримова Диляра Равгатовна</t>
  </si>
  <si>
    <t>164000422674</t>
  </si>
  <si>
    <t>ИП1606032289</t>
  </si>
  <si>
    <t>ИП160603228900000</t>
  </si>
  <si>
    <t>423331 Республика Татарстан город Азнакаево улица Нефтяников дом 33</t>
  </si>
  <si>
    <t>ИП Шарифуллин Радик Фадирович</t>
  </si>
  <si>
    <t>164300193601</t>
  </si>
  <si>
    <t>ИП1606013167</t>
  </si>
  <si>
    <t>ИП160601316700000</t>
  </si>
  <si>
    <t>423450 Республика Татарстан город Альметьевск улица Радищева дом 16   помещение 1000</t>
  </si>
  <si>
    <t>ИП Насыбуллина Альфия Тауфиковна</t>
  </si>
  <si>
    <t>164400020842</t>
  </si>
  <si>
    <t>ИП1606004657</t>
  </si>
  <si>
    <t>ИП160600465700000</t>
  </si>
  <si>
    <t>423403 Республика Татарстан город Альметьевск улица Ленина дом 114 А   помещение 4Н</t>
  </si>
  <si>
    <t>ИП160600465700002</t>
  </si>
  <si>
    <t>423252 Республика Татарстан город Лениногорск улица Тукая дом 27   помещение 5</t>
  </si>
  <si>
    <t>ИП160600465700004</t>
  </si>
  <si>
    <t>1644072172</t>
  </si>
  <si>
    <t>ЮЛ1606002931</t>
  </si>
  <si>
    <t>ЮЛ160600293100000</t>
  </si>
  <si>
    <t>423457 Республика Татарстан город Альметьевск улица Ленина дом 100</t>
  </si>
  <si>
    <t>ИП Карпунина Екатерина Алексеевна</t>
  </si>
  <si>
    <t>164413737404</t>
  </si>
  <si>
    <t>ИП1606008205</t>
  </si>
  <si>
    <t>ИП160600820500001</t>
  </si>
  <si>
    <t>423803 Республика Татарстан город Набережные Челны улица им Маршала Жукова здание 4</t>
  </si>
  <si>
    <t>ИП160600820500002</t>
  </si>
  <si>
    <t>420087 Республика Татарстан город Казань улица Рихарда Зорге дом 11б</t>
  </si>
  <si>
    <t>ИП160600820500003</t>
  </si>
  <si>
    <t>423812 Республика Татарстан город Набережные Челны проспект Сююмбике дом 2/19   помещение 1.63.</t>
  </si>
  <si>
    <t>ИП160600820500004</t>
  </si>
  <si>
    <t>423812 Республика Татарстан город Набережные Челны проспект Сююмбике дом 2/19   помещение 1.12</t>
  </si>
  <si>
    <t>ИП160600820500005</t>
  </si>
  <si>
    <t>423236 Республика Татарстан город Бугульма улица Мусы Джалиля дом 27   офис 2</t>
  </si>
  <si>
    <t>ИП Садретдинов Фарит Расимович</t>
  </si>
  <si>
    <t>164500000938</t>
  </si>
  <si>
    <t>ИП1606012366</t>
  </si>
  <si>
    <t>ИП160601236600000</t>
  </si>
  <si>
    <t>423236 Республика Татарстан город Бугульма улица Мусы Джалиля дом 25   помещение 1000</t>
  </si>
  <si>
    <t>ИП Перегудова Наталья Валерьевна</t>
  </si>
  <si>
    <t>164500491877</t>
  </si>
  <si>
    <t>ИП1606011473</t>
  </si>
  <si>
    <t>ИП160601147300000</t>
  </si>
  <si>
    <t>423236 Республика Татарстан город Бугульма улица Николая Гоголя дом 53   помещение 1000</t>
  </si>
  <si>
    <t>ЮЛ160603245400000</t>
  </si>
  <si>
    <t>423606 Республика Татарстан город Елабуга проспект Нефтяников дом 9</t>
  </si>
  <si>
    <t>ЮЛ160603245400003</t>
  </si>
  <si>
    <t>423250 Республика Татарстан город Лениногорск улица Ленинградская дом 35   помещение 2</t>
  </si>
  <si>
    <t>ЮЛ160603245400004</t>
  </si>
  <si>
    <t>423230 Республика Татарстан город Бугульма улица Хусаина Ямашева дом 9Б помещение П1</t>
  </si>
  <si>
    <t>ИП Миняева Надежда Ивановна</t>
  </si>
  <si>
    <t>164507791125</t>
  </si>
  <si>
    <t>ИП1606008263</t>
  </si>
  <si>
    <t>ИП160600826300000</t>
  </si>
  <si>
    <t>423603 Республика Татарстан город Елабуга проспект Нефтяников дом 23</t>
  </si>
  <si>
    <t>ИП Кудрявцев Валерий Валентинович</t>
  </si>
  <si>
    <t>164600533834</t>
  </si>
  <si>
    <t>ИП1606000522</t>
  </si>
  <si>
    <t>ИП160600052200000</t>
  </si>
  <si>
    <t>423603 Республика Татарстан город Елабуга проспект Мира дом 43</t>
  </si>
  <si>
    <t>ИП Гизатуллин Рустэм Рафисович</t>
  </si>
  <si>
    <t>164601195708</t>
  </si>
  <si>
    <t>ИП1606005614</t>
  </si>
  <si>
    <t>ИП160600561400000</t>
  </si>
  <si>
    <t>423603 Республика Татарстан город Елабуга проспект Нефтяников дом 16</t>
  </si>
  <si>
    <t>ИП160600561400001</t>
  </si>
  <si>
    <t>423603 Республика Татарстан город Елабуга проспект Мира дом 43   офис 1000</t>
  </si>
  <si>
    <t>ИП Васильев Даниил Александрович</t>
  </si>
  <si>
    <t>164603120842</t>
  </si>
  <si>
    <t>ИП1606018691</t>
  </si>
  <si>
    <t>ИП160601869100000</t>
  </si>
  <si>
    <t>420021 Республика Татарстан город Казань улица Татарстан дом 2   офис 1/34</t>
  </si>
  <si>
    <t>ИП Хабибуллина Лилия Расимовна</t>
  </si>
  <si>
    <t>164705221790</t>
  </si>
  <si>
    <t>ИП1606014219</t>
  </si>
  <si>
    <t>ИП160601421900000</t>
  </si>
  <si>
    <t>423815 Республика Татарстан город Набережные Челны проспект имени Вахитова дом 16А   1этаж, помещение 84</t>
  </si>
  <si>
    <t>ИП Ибрагимова Рамзия Минахсяновна</t>
  </si>
  <si>
    <t>165000079716</t>
  </si>
  <si>
    <t>ИП7701002176</t>
  </si>
  <si>
    <t>ИП770100217600000</t>
  </si>
  <si>
    <t>423802 Республика Татарстан город Набережные Челны улица Гагарина дом 31  А  павильон 21</t>
  </si>
  <si>
    <t>ИП Гилязова Рамзия Ярхамовна</t>
  </si>
  <si>
    <t>165000207710</t>
  </si>
  <si>
    <t>ИП1606002375</t>
  </si>
  <si>
    <t>ИП160600237500000</t>
  </si>
  <si>
    <t>422980 Республика Татарстан город Чистополь улица Ленина дом 40А</t>
  </si>
  <si>
    <t>ИП Нигматуллина Миннегуль Хамитовна</t>
  </si>
  <si>
    <t>165000361543</t>
  </si>
  <si>
    <t>ИП1606008030</t>
  </si>
  <si>
    <t>ИП160600803000000</t>
  </si>
  <si>
    <t>423827 Республика Татарстан город Набережные Челны проспект Мира дом 88/20</t>
  </si>
  <si>
    <t>ИП Шайдуллина Гульсиня Талиповна</t>
  </si>
  <si>
    <t>165000412357</t>
  </si>
  <si>
    <t>ИП1606002316</t>
  </si>
  <si>
    <t>ИП160600231600001</t>
  </si>
  <si>
    <t>423822 Республика Татарстан город Набережные Челны проспект Мира дом 3   помещение 225-227</t>
  </si>
  <si>
    <t>ИП160600231600004</t>
  </si>
  <si>
    <t>423812 Республика Татарстан город Набережные Челны проспект Сююмбике дом 2/19   1.41/1</t>
  </si>
  <si>
    <t>ИП160600231600006</t>
  </si>
  <si>
    <t>423802 Республика Татарстан город Набережные Челны улица Гагарина здание 31   павильон 44</t>
  </si>
  <si>
    <t>ИП160600231600007</t>
  </si>
  <si>
    <t>423823 Республика Татарстан город Набережные Челны проспект Сююмбике дом 40   помещение 73</t>
  </si>
  <si>
    <t>ИП160600231600008</t>
  </si>
  <si>
    <t>423832 Республика Татарстан город Набережные Челны проспект Чулман дом 89/57   145 Условный</t>
  </si>
  <si>
    <t>ИП160600231600010</t>
  </si>
  <si>
    <t>420044 Республика Татарстан город Казань проспект Ямашева дом 46/33   часть галереи 366</t>
  </si>
  <si>
    <t>ИП160600231600011</t>
  </si>
  <si>
    <t>423831 Республика Татарстан город Набережные Челны улица Шамиля Усманова дом 44   307, 315</t>
  </si>
  <si>
    <t>ИП160600231600012</t>
  </si>
  <si>
    <t>423802 Республика Татарстан город Набережные Челны улица Гагарина здание 31  А павильон 31</t>
  </si>
  <si>
    <t>ИП160600231600013</t>
  </si>
  <si>
    <t>423800 Республика Татарстан город Набережные Челны проспект Сююмбике дом 40А   помещение 73</t>
  </si>
  <si>
    <t>ИП Гильманова Эльмира Камильевна</t>
  </si>
  <si>
    <t>165000845287</t>
  </si>
  <si>
    <t>ИП1606034425</t>
  </si>
  <si>
    <t>ИП160603442500003</t>
  </si>
  <si>
    <t>423815 Республика Татарстан город Набережные Челны проспект Московский дом 128   территория Автозаводского рынка 1 этаж торговое место № 34 снаружи</t>
  </si>
  <si>
    <t>ИП Шенфельд Марина Павловна</t>
  </si>
  <si>
    <t>165000880404</t>
  </si>
  <si>
    <t>ИП2304034458</t>
  </si>
  <si>
    <t>ИП230403445800000</t>
  </si>
  <si>
    <t>423700 Республика Татарстан город Мензелинск улица Тукая дом 22</t>
  </si>
  <si>
    <t>ИП Хузина Гульфия Галимулловна</t>
  </si>
  <si>
    <t>165002092871</t>
  </si>
  <si>
    <t>ИП1606002602</t>
  </si>
  <si>
    <t>ИП160600260200000</t>
  </si>
  <si>
    <t>423800 Республика Татарстан город Набережные Челны бульвар Энтуазистов дом № 14(1/10)</t>
  </si>
  <si>
    <t>ИП Фатхутдинова Салида Фаатовна</t>
  </si>
  <si>
    <t>165002753602</t>
  </si>
  <si>
    <t>ИП1606033562</t>
  </si>
  <si>
    <t>ИП160603356200000</t>
  </si>
  <si>
    <t>423826 Республика Татарстан город Набережные Челны Проспект Чулман дом 99   офис151,152</t>
  </si>
  <si>
    <t>ИП Морозов Михаил Викторович</t>
  </si>
  <si>
    <t>165004148008</t>
  </si>
  <si>
    <t>ИП1606009644</t>
  </si>
  <si>
    <t>ИП160600964400000</t>
  </si>
  <si>
    <t>423740 Республика Татарстан село Актаныш проспект Ленина дом 100   комната 4/1</t>
  </si>
  <si>
    <t>ИП Мусин Марат Ринатович</t>
  </si>
  <si>
    <t>165007436043</t>
  </si>
  <si>
    <t>ИП1606040045</t>
  </si>
  <si>
    <t>ИП160604004500000</t>
  </si>
  <si>
    <t>422230 Республика Татарстан город Агрыз улица К.Маркса дом 11 строение 1</t>
  </si>
  <si>
    <t>ИП160604004500001</t>
  </si>
  <si>
    <t>423810 Республика Татарстан город Набережные Челны Бульвар Энтузиастов дом 16   1 этаж</t>
  </si>
  <si>
    <t>ИП Кожуховский Андрей Викторович</t>
  </si>
  <si>
    <t>165008972738</t>
  </si>
  <si>
    <t>ИП1606000978</t>
  </si>
  <si>
    <t>ИП160600097800001</t>
  </si>
  <si>
    <t>423827 Республика Татарстан город Набережные Челны проспект Яшьлек дом 14</t>
  </si>
  <si>
    <t>ИП Галина Зинаида Михайловна</t>
  </si>
  <si>
    <t>165020434856</t>
  </si>
  <si>
    <t>ИП1606004112</t>
  </si>
  <si>
    <t>ИП160600411200000</t>
  </si>
  <si>
    <t>423603 Республика Татарстан город Елабуга проспект Нефтяников дом 25   помещение 1,2</t>
  </si>
  <si>
    <t>ИП Сафин Марат Равильевич</t>
  </si>
  <si>
    <t>165023319731</t>
  </si>
  <si>
    <t>ИП1606031527</t>
  </si>
  <si>
    <t>ИП160603152700000</t>
  </si>
  <si>
    <t>423812 Республика Татарстан город Набережные Челны проспект Сююмбике дом 2/19   помещение 1.37</t>
  </si>
  <si>
    <t>ИП160603152700001</t>
  </si>
  <si>
    <t>423800 Республика Татарстан город Набережные Челны проспект Мусы Джалиля дом 58   помещение 23</t>
  </si>
  <si>
    <t>ИП Халиков Марат Шарифуллович</t>
  </si>
  <si>
    <t>165023597601</t>
  </si>
  <si>
    <t>ИП1606007776</t>
  </si>
  <si>
    <t>ИП160600777600000</t>
  </si>
  <si>
    <t>423823 Республика Татарстан город Набережные Челны проспект Сююмбике дом 40А</t>
  </si>
  <si>
    <t>ИП Габдуллина Гузель Маратовна</t>
  </si>
  <si>
    <t>165026125653</t>
  </si>
  <si>
    <t>ИП1606012871</t>
  </si>
  <si>
    <t>ИП160601287100000</t>
  </si>
  <si>
    <t>423822 Республика Татарстан город Набережные Челны проспект Мира дом 3   помещение 8</t>
  </si>
  <si>
    <t>ИП160601287100001</t>
  </si>
  <si>
    <t>ИП Ахмадиева Гульназ Маратовна</t>
  </si>
  <si>
    <t>165026136006</t>
  </si>
  <si>
    <t>ИП1606013504</t>
  </si>
  <si>
    <t>ИП160601350400000</t>
  </si>
  <si>
    <t>ИП Кузина Татьяна Булатовна</t>
  </si>
  <si>
    <t>165026303497</t>
  </si>
  <si>
    <t>ИП1606032714</t>
  </si>
  <si>
    <t>ИП160603271400001</t>
  </si>
  <si>
    <t>423809 Республика Татарстан город Набережные Челны проспект Мира дом 49А</t>
  </si>
  <si>
    <t>ИП160603271400002</t>
  </si>
  <si>
    <t>ИП160603271400003</t>
  </si>
  <si>
    <t>423810 Республика Татарстан город Набережные Челны бульвар Энтузиастов дом 16</t>
  </si>
  <si>
    <t>ИП160603271400005</t>
  </si>
  <si>
    <t>423040 Республика Татарстан город Нурлат улица К.Маркса домовладение 41</t>
  </si>
  <si>
    <t>ИП Яранцев Михаил Васильевич</t>
  </si>
  <si>
    <t>165026629040</t>
  </si>
  <si>
    <t>ИП1606040645</t>
  </si>
  <si>
    <t>ИП160604064500000</t>
  </si>
  <si>
    <t>423810 Республика Татарстан город Набережные Челны проспект Хасана Туфана дом 12   офис 1911</t>
  </si>
  <si>
    <t>ЮЛ160600086600000</t>
  </si>
  <si>
    <t>423815 Республика Татарстан город Набережные Челны бульвар Шишкинский здание 8   офис 25</t>
  </si>
  <si>
    <t>ООО "ЛОМБАРД ФОРТУНА"</t>
  </si>
  <si>
    <t>1650407927</t>
  </si>
  <si>
    <t>ЮЛ1606001389</t>
  </si>
  <si>
    <t>ЮЛ160600138900000</t>
  </si>
  <si>
    <t>422192 Республика Татарстан город Мамадыш улица Советская дом 1  этаж 1 помещение 16</t>
  </si>
  <si>
    <t>ИП Гилязова Лилия Фирдинандовна</t>
  </si>
  <si>
    <t>165041347160</t>
  </si>
  <si>
    <t>ИП1606033211</t>
  </si>
  <si>
    <t>ИП160603321100000</t>
  </si>
  <si>
    <t>423803 Республика Татарстан город Набережные Челны улица Сергея Титова здание 36Б   помещение 50</t>
  </si>
  <si>
    <t>ООО "СКАРАБЕЙ"</t>
  </si>
  <si>
    <t>1650437914</t>
  </si>
  <si>
    <t>ЮЛ1606037985</t>
  </si>
  <si>
    <t>ЮЛ160603798500000</t>
  </si>
  <si>
    <t>420000 Республика Татарстан город Казань улица Восстания дом 100 корпус 85  офис 234-236</t>
  </si>
  <si>
    <t>ИП Халиуллин Васил Ринатович</t>
  </si>
  <si>
    <t>165043937285</t>
  </si>
  <si>
    <t>ИП1606012579</t>
  </si>
  <si>
    <t>ИП160601257900000</t>
  </si>
  <si>
    <t>423826 Республика Татарстан город Набережные Челны проспект Чулман дом 99   помещение №01</t>
  </si>
  <si>
    <t>ИП Берестинова Альбина Сабержановна</t>
  </si>
  <si>
    <t>165045507168</t>
  </si>
  <si>
    <t>ИП1606032166</t>
  </si>
  <si>
    <t>ИП160603216600000</t>
  </si>
  <si>
    <t>420081 Республика Татарстан город Казань улица Седова дом 24   2 этаж</t>
  </si>
  <si>
    <t>ИП Тезек Резеда Ракифовна</t>
  </si>
  <si>
    <t>165046724180</t>
  </si>
  <si>
    <t>ИП1606011119</t>
  </si>
  <si>
    <t>ИП160601111900000</t>
  </si>
  <si>
    <t>420111 Республика Татарстан город Казань улица Баумана здание 51А   Помещения №4, №5, №25 общей площадью 53,4 кв. метра.</t>
  </si>
  <si>
    <t>ИП Гибадуллин Рудольф Фирдаусович</t>
  </si>
  <si>
    <t>165061926180</t>
  </si>
  <si>
    <t>ИП1606033145</t>
  </si>
  <si>
    <t>ИП160603314500000</t>
  </si>
  <si>
    <t>423578 Республика Татарстан Город Нижнекамск Проспект Мира Дом 59 В</t>
  </si>
  <si>
    <t>ИП Тухбатуллина Зугра Шайхенуровна</t>
  </si>
  <si>
    <t>165100078900</t>
  </si>
  <si>
    <t>ИП1606031677</t>
  </si>
  <si>
    <t>ИП160603167700000</t>
  </si>
  <si>
    <t>423570 Республика Татарстан город Нижнекамск Улица Менделеева Дом 33 "а"   помещение 19</t>
  </si>
  <si>
    <t>ИП Сафонова Наталья Владимировна</t>
  </si>
  <si>
    <t>165100510245</t>
  </si>
  <si>
    <t>ИП1606017055</t>
  </si>
  <si>
    <t>ИП160601705500000</t>
  </si>
  <si>
    <t>420138 Республика Татарстан город Казань улица Рихарда Зорге дом 66</t>
  </si>
  <si>
    <t>ИП Мухаметзянова Лейсан Рафиковна</t>
  </si>
  <si>
    <t>165125647837</t>
  </si>
  <si>
    <t>ИП1606035101</t>
  </si>
  <si>
    <t>ИП160603510100000</t>
  </si>
  <si>
    <t>423575 Республика Татарстан город Нижнекамск проспект Строителей дом 32 помещение 5  ЦЕНТР-ЮВЕЛИР</t>
  </si>
  <si>
    <t>ИП Сиразетдинов Фарит Рафисович</t>
  </si>
  <si>
    <t>165128894143</t>
  </si>
  <si>
    <t>ИП1606002184</t>
  </si>
  <si>
    <t>ИП160600218400000</t>
  </si>
  <si>
    <t>422980 Республика Татарстан город Чистополь улица Урицкого дом 83   Помещение Н-2</t>
  </si>
  <si>
    <t>ИП Комаров Сергей Михайлович</t>
  </si>
  <si>
    <t>165200039686</t>
  </si>
  <si>
    <t>ИП1606005078</t>
  </si>
  <si>
    <t>ИП160600507800000</t>
  </si>
  <si>
    <t>422981 Республика Татарстан город Чистополь улица Энгельса дом 106   Помещение Н-6</t>
  </si>
  <si>
    <t>ИП160600507800001</t>
  </si>
  <si>
    <t>420107 Республика Татарстан город Казань улица Петербургская дом 9   помещение 1060</t>
  </si>
  <si>
    <t>ИП Шарипов Ибрагим Шарипович</t>
  </si>
  <si>
    <t>165207484566</t>
  </si>
  <si>
    <t>ИП1606032736</t>
  </si>
  <si>
    <t>ИП160603273600000</t>
  </si>
  <si>
    <t>422980 Республика Татарстан город Чистополь улица Урицкого дом 83   нежилое помещение 2</t>
  </si>
  <si>
    <t>ИП Комаров Константин Сергеевич</t>
  </si>
  <si>
    <t>165209424788</t>
  </si>
  <si>
    <t>ИП1606034793</t>
  </si>
  <si>
    <t>ИП160603479300000</t>
  </si>
  <si>
    <t>422000 Республика Татарстан город Арск площадь Советская дом 21</t>
  </si>
  <si>
    <t>ИП Шарафутдинов Наиль Гарафутдинович</t>
  </si>
  <si>
    <t>165400037196</t>
  </si>
  <si>
    <t>ИП1606031604</t>
  </si>
  <si>
    <t>ИП160603160400000</t>
  </si>
  <si>
    <t>422350 Республика Татарстан поселок городского типа Апастово улица Кооперативная дом 35   Павильон №7</t>
  </si>
  <si>
    <t>ИП160603160400001</t>
  </si>
  <si>
    <t>420066 Республика Татарстан город Казань улица Чистопольская дом 10/8   пом. 1053</t>
  </si>
  <si>
    <t>ИП Габидуллина Асия Равилевна</t>
  </si>
  <si>
    <t>165400642147</t>
  </si>
  <si>
    <t>ИП1606033472</t>
  </si>
  <si>
    <t>ИП160603347200000</t>
  </si>
  <si>
    <t>422550 Республика Татарстан город Зеленодольск улица Комсомольская дом 10</t>
  </si>
  <si>
    <t>ИП Сабирова Гузель Талгатовна</t>
  </si>
  <si>
    <t>165500446971</t>
  </si>
  <si>
    <t>ИП1806011573</t>
  </si>
  <si>
    <t>ИП180601157300003</t>
  </si>
  <si>
    <t>423606 Республика Татарстан город Елабуга улица Марджани здание 34</t>
  </si>
  <si>
    <t>ИП180601157300004</t>
  </si>
  <si>
    <t>423252 Республика Татарстан город Лениногорск улица Ленинградская дом 47   помещение 10</t>
  </si>
  <si>
    <t>ИП180601157300005</t>
  </si>
  <si>
    <t>420111 Республика Татарстан город Казань улица Мартына Межлаука дом 13А</t>
  </si>
  <si>
    <t>ИП180601157300007</t>
  </si>
  <si>
    <t>420030 Республика Татарстан город Казань улица Широкая дом 2   помещение 11</t>
  </si>
  <si>
    <t>ИП Мазур Ольга Наилевна</t>
  </si>
  <si>
    <t>165501952554</t>
  </si>
  <si>
    <t>ИП1606030319</t>
  </si>
  <si>
    <t>ИП160603031900000</t>
  </si>
  <si>
    <t>420059 Республика Татарстан город Казань улица Павлюхина дом 114</t>
  </si>
  <si>
    <t>ИП Зинатуллин Талгат Кадырзянович</t>
  </si>
  <si>
    <t>165505594959</t>
  </si>
  <si>
    <t>ИП1606005177</t>
  </si>
  <si>
    <t>ИП160600517700000</t>
  </si>
  <si>
    <t>420111 Республика Татарстан город Казань улица Профсоюзная дом 4   Помещение №1, №4, №4а</t>
  </si>
  <si>
    <t>ИП Миннахметова Лилия Заудатовна</t>
  </si>
  <si>
    <t>165506445420</t>
  </si>
  <si>
    <t>ИП1606011488</t>
  </si>
  <si>
    <t>ИП160601148800000</t>
  </si>
  <si>
    <t>420066 Республика Татарстан город Казань проспект Ибрагимова дом 56   помещение 11</t>
  </si>
  <si>
    <t>ИП160601148800003</t>
  </si>
  <si>
    <t>420087 Республика Татарстан город Казань улица Гвардейская 54 Л  1,2,3</t>
  </si>
  <si>
    <t>ИП Акопян Артур Владимирович</t>
  </si>
  <si>
    <t>165509770203</t>
  </si>
  <si>
    <t>ИП1606031455</t>
  </si>
  <si>
    <t>ИП160603145500000</t>
  </si>
  <si>
    <t>420133 Республика Татарстан город Казань улица Адоратского дом 12   помещение 1486</t>
  </si>
  <si>
    <t>ООО "ЮД СМАРАГД"</t>
  </si>
  <si>
    <t>1655148867</t>
  </si>
  <si>
    <t>ЮЛ1606017904</t>
  </si>
  <si>
    <t>ЮЛ160601790400001</t>
  </si>
  <si>
    <t>420111 Республика Татарстан город Казань улица Московская дом 43</t>
  </si>
  <si>
    <t>ООО "ЮП "АЛМАЗ"</t>
  </si>
  <si>
    <t>1655218659</t>
  </si>
  <si>
    <t>ЮЛ1606032402</t>
  </si>
  <si>
    <t>ЮЛ160603240200000</t>
  </si>
  <si>
    <t>420111 Республика Татарстан город Казань улица Островского дом 26   часть помещений 89 и 103</t>
  </si>
  <si>
    <t>ООО "ЖЕ ТЭМ-КАЗАНЬ"</t>
  </si>
  <si>
    <t>1655234481</t>
  </si>
  <si>
    <t>ЮЛ1606033158</t>
  </si>
  <si>
    <t>ЮЛ160603315800000</t>
  </si>
  <si>
    <t>420111 Республика Татарстан город Казань улица Мартына Межлаука дом 13  А</t>
  </si>
  <si>
    <t>ООО "СТИЛЬ"</t>
  </si>
  <si>
    <t>1655239641</t>
  </si>
  <si>
    <t>ЮЛ1606005169</t>
  </si>
  <si>
    <t>ЮЛ160600516900000</t>
  </si>
  <si>
    <t>420111 Республика Татарстан город Казань улица Саид-Галеева дом 6   офис 601</t>
  </si>
  <si>
    <t>ООО "ЗОЛОТАЯ РЫБКА"</t>
  </si>
  <si>
    <t>1655302413</t>
  </si>
  <si>
    <t>ЮЛ1606033475</t>
  </si>
  <si>
    <t>ЮЛ160603347500000</t>
  </si>
  <si>
    <t>421001 Республика Татарстан город Казань проспект Ямашева дом 93</t>
  </si>
  <si>
    <t>ЮЛ160603347500003</t>
  </si>
  <si>
    <t>420111 Республика Татарстан город Казань улица Чернышевского дом 33   помещения №10г,10д,10е</t>
  </si>
  <si>
    <t>ООО "ЮВЕЛИРНАЯ МАСТЕРСКАЯ ДАСАЕВА"</t>
  </si>
  <si>
    <t>1655406388</t>
  </si>
  <si>
    <t>ЮЛ1606000789</t>
  </si>
  <si>
    <t>ЮЛ160600078900000</t>
  </si>
  <si>
    <t>420066 Республика Татарстан город Казань улица Чистопольская дом 10/8   комната 29</t>
  </si>
  <si>
    <t>ООО "ЛОМБАРД ВИП"</t>
  </si>
  <si>
    <t>1655416918</t>
  </si>
  <si>
    <t>ЮЛ1606033824</t>
  </si>
  <si>
    <t>ЮЛ160603382400000</t>
  </si>
  <si>
    <t>420111 Республика Татарстан город Казань улица Московская дом 43 корпус 6  помещение 8</t>
  </si>
  <si>
    <t>ООО "ТД БАЛАНС"</t>
  </si>
  <si>
    <t>1655454825</t>
  </si>
  <si>
    <t>ЮЛ1606031482</t>
  </si>
  <si>
    <t>ЮЛ160603148200000</t>
  </si>
  <si>
    <t>420021 Республика Татарстан город Казань улица Галиаскара Камала дом 41   офис 104</t>
  </si>
  <si>
    <t>ООО "КАЙРОС"</t>
  </si>
  <si>
    <t>1655508333</t>
  </si>
  <si>
    <t>ЮЛ1606039744</t>
  </si>
  <si>
    <t>ЮЛ160603974400000</t>
  </si>
  <si>
    <t>420107 Республика Татарстан город Казань улица Туфана Миннуллина дом 14/56   помещение 7</t>
  </si>
  <si>
    <t>ООО "КАЗАНСКОЕ СЕРЕБРО"</t>
  </si>
  <si>
    <t>1656096932</t>
  </si>
  <si>
    <t>ЮЛ1606007944</t>
  </si>
  <si>
    <t>ЮЛ160600794400000</t>
  </si>
  <si>
    <t>420124 Республика Татарстан город Казань улица Чистопольская дом 16/15   помещение 1305</t>
  </si>
  <si>
    <t>ИП Шнейдман Анатолий Михайлович</t>
  </si>
  <si>
    <t>165700071896</t>
  </si>
  <si>
    <t>ИП1606006332</t>
  </si>
  <si>
    <t>ИП160600633200000</t>
  </si>
  <si>
    <t>420012 Республика Татарстан город Казань улица Бутлерова дом 29   помещения №№1, 1-а, 2-7</t>
  </si>
  <si>
    <t>ИП160600633200001</t>
  </si>
  <si>
    <t>420110 Республика Татарстан город Казань улица Рихарда Зорге дом 67   помещение Торговый зал</t>
  </si>
  <si>
    <t>ИП Шнейдман Элеонора Менделевна</t>
  </si>
  <si>
    <t>165700545987</t>
  </si>
  <si>
    <t>ИП1606031615</t>
  </si>
  <si>
    <t>ИП160603161500000</t>
  </si>
  <si>
    <t>ИП Шнейдман Евгений Анатольевич</t>
  </si>
  <si>
    <t>165711440432</t>
  </si>
  <si>
    <t>ИП1606005585</t>
  </si>
  <si>
    <t>ИП160600558500000</t>
  </si>
  <si>
    <t>420136 Республика Татарстан город Казань улица Маршала Чуйкова дом 40   помещение 1004</t>
  </si>
  <si>
    <t>ООО "ЛОМБАРД "ФИНАНСИСТ"</t>
  </si>
  <si>
    <t>1657126178</t>
  </si>
  <si>
    <t>ЮЛ1606013034</t>
  </si>
  <si>
    <t>ЮЛ160601303400000</t>
  </si>
  <si>
    <t>420137 Республика Татарстан город Казань улица Адоратского дом 28</t>
  </si>
  <si>
    <t>ЮЛ160601303400002</t>
  </si>
  <si>
    <t>420080 Республика Татарстан город Казань улица Волгоградская дом 2   помещения 1-10</t>
  </si>
  <si>
    <t>ЮЛ160601303400003</t>
  </si>
  <si>
    <t>420124 Республика Татарстан город Казань улица Мусина дом 29   помещения 37А,37Б</t>
  </si>
  <si>
    <t>ЮЛ160601303400005</t>
  </si>
  <si>
    <t>ИП Махмутова Суюмбика Рашатовна</t>
  </si>
  <si>
    <t>165719950763</t>
  </si>
  <si>
    <t>ИП7306032330</t>
  </si>
  <si>
    <t>ИП730603233000000</t>
  </si>
  <si>
    <t>420136 Республика Татарстан город Казань улица Маршала Чуйкова дом 39   помещение 1000/2</t>
  </si>
  <si>
    <t>ЮЛ160600260300000</t>
  </si>
  <si>
    <t>420202 Республика Татарстан город Казань улица Мартына Межлаука дом 13А   салон 1</t>
  </si>
  <si>
    <t>ИП Галлямов Ильшат Ильдарович</t>
  </si>
  <si>
    <t>165806363874</t>
  </si>
  <si>
    <t>ИП1606002009</t>
  </si>
  <si>
    <t>ИП160600200900000</t>
  </si>
  <si>
    <t>420202 Республика Татарстан город Казань улица Мартына Межлаука дом 13А   салон 2</t>
  </si>
  <si>
    <t>ИП160600200900001</t>
  </si>
  <si>
    <t>420057 Республика Татарстан город Казань проспект Ибрагимова дом 12</t>
  </si>
  <si>
    <t>ИП Губайдуллин Илья Владиславович</t>
  </si>
  <si>
    <t>165809363103</t>
  </si>
  <si>
    <t>ИП1806002302</t>
  </si>
  <si>
    <t>ИП180600230200000</t>
  </si>
  <si>
    <t>420039 Республика Татарстан город Казань улица Декабристов дом 191/93</t>
  </si>
  <si>
    <t>ИП180600230200001</t>
  </si>
  <si>
    <t>420034 Республика Татарстан город Казань улица Декабристов дом 131   помещение 1011</t>
  </si>
  <si>
    <t>ООО "ЮНИКОМ+"</t>
  </si>
  <si>
    <t>1658120203</t>
  </si>
  <si>
    <t>ЮЛ1606034254</t>
  </si>
  <si>
    <t>ЮЛ160603425400000</t>
  </si>
  <si>
    <t>420111 Республика Татарстан город Казань улица Баумана дом 22   1 этаж, помещения 41, 42, 42а, 43, часть помещений 29,30,31</t>
  </si>
  <si>
    <t>ИП Абдуллина Светлана Маратовна</t>
  </si>
  <si>
    <t>165913379999</t>
  </si>
  <si>
    <t>ИП1606032027</t>
  </si>
  <si>
    <t>ИП160603202700000</t>
  </si>
  <si>
    <t>420111 Республика Татарстан город Казань улица Баумана дом 15   1 этаж, нежилое помещение № 4</t>
  </si>
  <si>
    <t>ИП160603202700001</t>
  </si>
  <si>
    <t>420111 Республика Татарстан город Казань улица Баумана дом 70   1 этаж, часть нежилых помещений №5, № 8</t>
  </si>
  <si>
    <t>ИП160603202700002</t>
  </si>
  <si>
    <t>420021 Республика Татарстан город Казань улица Фатыха Карима дом 2/22   1 этаж, часть нежилого помещения № 18</t>
  </si>
  <si>
    <t>ИП160603202700003</t>
  </si>
  <si>
    <t>420111 Республика Татарстан город Казань улица Баумана дом 74   1 этаж, часть нежилого помещения № 11</t>
  </si>
  <si>
    <t>ИП160603202700004</t>
  </si>
  <si>
    <t>420111 Республика Татарстан город Казань Баумана 23/24   помещение 2Н, 1 этаж, часть помещения № 4</t>
  </si>
  <si>
    <t>ИП160603202700005</t>
  </si>
  <si>
    <t>420034 Республика Татарстан город Казань улица Декабристов дом 131   зал 4, место 8</t>
  </si>
  <si>
    <t>ООО "ДОБРОХОТ"</t>
  </si>
  <si>
    <t>1659218554</t>
  </si>
  <si>
    <t>ЮЛ1606019257</t>
  </si>
  <si>
    <t>ЮЛ160601925700000</t>
  </si>
  <si>
    <t>420124 Республика Татарстан город Казань проспект Ямашева дом 46/33   часть галереи 366</t>
  </si>
  <si>
    <t>ИП Мухаметгалиева Алевтина Викторовна</t>
  </si>
  <si>
    <t>166000388071</t>
  </si>
  <si>
    <t>ИП1606034604</t>
  </si>
  <si>
    <t>ИП160603460400000</t>
  </si>
  <si>
    <t>420107 Республика Татарстан город Казань улица Туфана Миннуллина дом 14/56</t>
  </si>
  <si>
    <t>ИП Козлов Игорь Геннадьевич</t>
  </si>
  <si>
    <t>166000978803</t>
  </si>
  <si>
    <t>ИП1606002328</t>
  </si>
  <si>
    <t>ИП160600232800000</t>
  </si>
  <si>
    <t>420034 Республика Татарстан город Казань улица Декабристов дом 131   помещение 1010</t>
  </si>
  <si>
    <t>ИП160600232800001</t>
  </si>
  <si>
    <t>420138 Республика Татарстан город Казань проспект Победы дом 50А   помещение 3</t>
  </si>
  <si>
    <t>ИП160600232800002</t>
  </si>
  <si>
    <t>422540 Республика Татарстан город Зеленодольск улица Татарстан дом 9</t>
  </si>
  <si>
    <t>ИП160600232800004</t>
  </si>
  <si>
    <t>420021 Республика Татарстан город Казань улица Каюма Насыри здание 20</t>
  </si>
  <si>
    <t>ИП160600232800005</t>
  </si>
  <si>
    <t>420107 Республика Татарстан город Казань улица Павлюхина дом 57 помещения 14,15</t>
  </si>
  <si>
    <t>ООО "ШЕРРИ ЛЕДИ"</t>
  </si>
  <si>
    <t>1660077636</t>
  </si>
  <si>
    <t>ЮЛ1606000678</t>
  </si>
  <si>
    <t>ЮЛ160600067800000</t>
  </si>
  <si>
    <t>420100 Республика Татарстан город Казань проспект Победы дом 141</t>
  </si>
  <si>
    <t>ООО "РИКС"</t>
  </si>
  <si>
    <t>1660212758</t>
  </si>
  <si>
    <t>ЮЛ1606001494</t>
  </si>
  <si>
    <t>ЮЛ160600149400000</t>
  </si>
  <si>
    <t>420059 Республика Татарстан город Казань улица Павлюхина здание 91   1 этаж,место 8 кв.м.</t>
  </si>
  <si>
    <t>ИП Зиннурова Айгуль Рафаэлевна</t>
  </si>
  <si>
    <t>166026356476</t>
  </si>
  <si>
    <t>ИП1606033594</t>
  </si>
  <si>
    <t>ИП160603359400000</t>
  </si>
  <si>
    <t>420061 Республика Татарстан город Казань улица Николая Ершова дом 1А</t>
  </si>
  <si>
    <t>ИП770100867900001</t>
  </si>
  <si>
    <t>420100 Республика Татарстан город Казань проспект Победы дом 141   505KSK-28</t>
  </si>
  <si>
    <t>ИП770100867900002</t>
  </si>
  <si>
    <t>420037 Республика Татарстан город Казань улица Симонова дом 15</t>
  </si>
  <si>
    <t>ИП Панкратова Оксана Сергеевна</t>
  </si>
  <si>
    <t>166102228694</t>
  </si>
  <si>
    <t>ИП1606033341</t>
  </si>
  <si>
    <t>ИП160603334100000</t>
  </si>
  <si>
    <t>420015 Республика Татарстан город Казань улица Малая Красная 11/1   1003</t>
  </si>
  <si>
    <t>ИП160603156900000</t>
  </si>
  <si>
    <t>420015 Республика Татарстан город Казань улица Гоголя дом 3А   помещение 1010</t>
  </si>
  <si>
    <t>ИП160603156900006</t>
  </si>
  <si>
    <t>420015 Республика Татарстан город Казань улица Малая Красная дом 3   помещение 1002</t>
  </si>
  <si>
    <t>ИП160603156900010</t>
  </si>
  <si>
    <t>420015 Республика Татарстан город Казань улица Малая Красная 11/1   2Н</t>
  </si>
  <si>
    <t>ИП160603156900011</t>
  </si>
  <si>
    <t>420021 Республика Татарстан город Казань улица Тази Гиззата дом 15 помещение 1 (18)</t>
  </si>
  <si>
    <t>ИП Приказчиков Олег Сергеевич</t>
  </si>
  <si>
    <t>166106129969</t>
  </si>
  <si>
    <t>ИП1606015196</t>
  </si>
  <si>
    <t>ИП160601519600000</t>
  </si>
  <si>
    <t>420061 Республика Татарстан город Казань улица Академика Губкина дом 2   помещение 1000</t>
  </si>
  <si>
    <t>ООО "ЛОМБАРД ОЛИМП"</t>
  </si>
  <si>
    <t>1685000191</t>
  </si>
  <si>
    <t>ЮЛ1606002001</t>
  </si>
  <si>
    <t>ЮЛ160600200100002</t>
  </si>
  <si>
    <t>420080 Республика Татарстан город Казань улица Волгоградская дом 1   помещение 1000</t>
  </si>
  <si>
    <t>ЮЛ160600200100003</t>
  </si>
  <si>
    <t>420140 Республика Татарстан город Казань улица Юлиуса Фучика дом 94   квартира 1007</t>
  </si>
  <si>
    <t>ЮЛ160600200100004</t>
  </si>
  <si>
    <t>420139 Республика Татарстан город Казань улица Рихарда Зорге дом 93   помещение 10</t>
  </si>
  <si>
    <t>ЮЛ160600200100005</t>
  </si>
  <si>
    <t>420136 Республика Татарстан город Казань улица Маршала Чуйкова дом 39   квартира 1001</t>
  </si>
  <si>
    <t>ЮЛ160600200100006</t>
  </si>
  <si>
    <t>420136 Республика Татарстан город Казань улица Маршала Чуйкова дом 40</t>
  </si>
  <si>
    <t>ЮЛ160600200100009</t>
  </si>
  <si>
    <t>420073 Республика Татарстан город Казань улица Аделя Кутуя дом 7   помещение 1100</t>
  </si>
  <si>
    <t>ЮЛ160600200100010</t>
  </si>
  <si>
    <t>420075 Республика Татарстан город Казань улица Мира дом 30   помещение 13</t>
  </si>
  <si>
    <t>ЮЛ160600200100011</t>
  </si>
  <si>
    <t>420100 Республика Татарстан город Казань улица Академика Сахарова дом 12   помещение 1008</t>
  </si>
  <si>
    <t>ЮЛ160600200100012</t>
  </si>
  <si>
    <t>420132 Республика Татарстан город Казань улица Маршала Чуйкова дом 69   помещение 1014</t>
  </si>
  <si>
    <t>ЮЛ160600200100013</t>
  </si>
  <si>
    <t>420033 Республика Татарстан город Казань улица Болотникова дом 7   помещение 1005</t>
  </si>
  <si>
    <t>ЮЛ160600200100015</t>
  </si>
  <si>
    <t>420110 Республика Татарстан город Казань улица Сафиуллина дом 20/1   помещение 1115</t>
  </si>
  <si>
    <t>ЮЛ160600200100016</t>
  </si>
  <si>
    <t>420044 Республика Татарстан город Казань улица Восстания дом 29   помещение 1033</t>
  </si>
  <si>
    <t>ЮЛ160600200100017</t>
  </si>
  <si>
    <t>420101 Республика Татарстан город Казань улица Хусаина Мавлютова здание 14д строение 2</t>
  </si>
  <si>
    <t>ЮЛ160600200100018</t>
  </si>
  <si>
    <t>420085 Республика Татарстан город Казань улица Беломорская дом 236   помещение 1111</t>
  </si>
  <si>
    <t>ЮЛ160600200100019</t>
  </si>
  <si>
    <t>420138 Республика Татарстан город Казань улица Рихарда Зорге дом 66   помещение 57</t>
  </si>
  <si>
    <t>ЮЛ160600200100020</t>
  </si>
  <si>
    <t>422550 Республика Татарстан город Зеленодольск улица Ленина дом 35   помещение 1004</t>
  </si>
  <si>
    <t>ЮЛ160600200100021</t>
  </si>
  <si>
    <t>422532 Республика Татарстан поселок городского типа Васильево улица Ленина здание 4</t>
  </si>
  <si>
    <t>ЮЛ160600200100022</t>
  </si>
  <si>
    <t>420141 Республика Татарстан город Казань улица Юлиуса Фучика дом 72   помещение 500</t>
  </si>
  <si>
    <t>ЮЛ160600200100023</t>
  </si>
  <si>
    <t>420021 Республика Татарстан город Казань улица Парижской Коммуны дом 25/39   помещение 1015</t>
  </si>
  <si>
    <t>ЮЛ160600200100024</t>
  </si>
  <si>
    <t>422230 Республика Татарстан город Агрыз улица К.Маркса здание 2А</t>
  </si>
  <si>
    <t>ИП Григорьевых Алсу Зульфатовна</t>
  </si>
  <si>
    <t>183210569762</t>
  </si>
  <si>
    <t>ИП1806007872</t>
  </si>
  <si>
    <t>ИП180600787200001</t>
  </si>
  <si>
    <t>422230 Республика Татарстан город Агрыз улица К.Маркса дом 16</t>
  </si>
  <si>
    <t>ИП180600787200002</t>
  </si>
  <si>
    <t>420087 Республика Татарстан город Казань улица Даурская дом 44В   помещение 1009</t>
  </si>
  <si>
    <t>ИП Масалев Алексей Сергеевич</t>
  </si>
  <si>
    <t>183800072589</t>
  </si>
  <si>
    <t>ИП1806038316</t>
  </si>
  <si>
    <t>ИП180603831600000</t>
  </si>
  <si>
    <t>ИП Барсумян Марина Григоровна</t>
  </si>
  <si>
    <t>232019873462</t>
  </si>
  <si>
    <t>ИП7701036094</t>
  </si>
  <si>
    <t>ИП770103609400000</t>
  </si>
  <si>
    <t>420059 Республика Татарстан город Казань улица Павлюхина 110</t>
  </si>
  <si>
    <t>ИП270900039700004</t>
  </si>
  <si>
    <t>420140 Республика Татарстан город Казань улица Юлиуса Фучика дом 90   помещение №62</t>
  </si>
  <si>
    <t>ИП Хакимьянова Милана Вячеславовна</t>
  </si>
  <si>
    <t>322400924001</t>
  </si>
  <si>
    <t>ИП1606034694</t>
  </si>
  <si>
    <t>ИП160603469400000</t>
  </si>
  <si>
    <t>420140 Республика Татарстан город Казань улица Юлиуса Фучика дом 90   помещение №86 - ТЦ Франт</t>
  </si>
  <si>
    <t>ИП210600048700000</t>
  </si>
  <si>
    <t>420059 Республика Татарстан город Казань улица Павлюхина здание 91   б/н на 1 этаже - ТЦ Казань Молл</t>
  </si>
  <si>
    <t>ИП210600048700003</t>
  </si>
  <si>
    <t>420107 Республика Татарстан город Казань улица Петербургская здание 1   часть помещения №130 - ТЦ Кольцо</t>
  </si>
  <si>
    <t>ИП210600048700004</t>
  </si>
  <si>
    <t>420100 Республика Татарстан город Казань проспект Победы дом 141   №505KSK-07 - ТЦ Мега</t>
  </si>
  <si>
    <t>ИП210600048700005</t>
  </si>
  <si>
    <t>420138 Республика Татарстан город Казань проспект Победы дом 91   помещение №130 - ТЦ Южный</t>
  </si>
  <si>
    <t>ИП210600048700006</t>
  </si>
  <si>
    <t>623570 Республика Татарстан город Нижнекамск улица Сююмбике дом 7а 1 -ый этаж  ТЦ Рамус Молл (ЯХОНТ)</t>
  </si>
  <si>
    <t>ИП160600113700000</t>
  </si>
  <si>
    <t>423578 Республика Татарстан город Нижнекамск улица Корабельная дом 44 1 -ый этаж  ТЦ Якорь</t>
  </si>
  <si>
    <t>ИП160600113700001</t>
  </si>
  <si>
    <t>423570 Республика Татарстан город Нижнекамск улица Баки Урманче здание 15 1-ый этаж  ТЦ Олимп</t>
  </si>
  <si>
    <t>ИП160600113700003</t>
  </si>
  <si>
    <t>423457 Республика Татарстан город Альметьевск улица Ленина дом 100 1 -ый этаж  помещение №133 - ТЦ Панорама (Драгоцентр)</t>
  </si>
  <si>
    <t>ИП160600113700004</t>
  </si>
  <si>
    <t>423803 Республика Татарстан город Набережные Челны улица им Маршала Жукова здание 4 1- ый этаж  помещение №34, №34а - ТЦ Алтын Ай</t>
  </si>
  <si>
    <t>ИП160600113700005</t>
  </si>
  <si>
    <t>423457 Республика Татарстан город Альметьевск улица Ленина дом 100 1 - ый этаж  помещение №27, №28 - ТЦ Панорама (Яхонт)</t>
  </si>
  <si>
    <t>ИП160600113700006</t>
  </si>
  <si>
    <t>423578 Республика Татарстан город Нижнекамск проспект Химиков дом 18 корпус 2  №2в - ТЦ Сити Молл</t>
  </si>
  <si>
    <t>ИП160600113700007</t>
  </si>
  <si>
    <t>423812 Республика Татарстан город Набережные Челны проспект Сююмбике дом 2/19   помещение №1.16 - ТЦ Омега (Драгоцентр)</t>
  </si>
  <si>
    <t>ИП160600113700008</t>
  </si>
  <si>
    <t>423812 Республика Татарстан город Набережные Челны проспект Сююмбике дом 2/19 1-ый этаж  ТЦ Омега (Яхонт)</t>
  </si>
  <si>
    <t>ИП160600113700009</t>
  </si>
  <si>
    <t>423570 Республика Татарстан город Нижнекамск улица Сююмбике здание 7А 1-ый этаж  ТЦ Рамус Молл (Яхонт Бриллиантовый)</t>
  </si>
  <si>
    <t>ИП160600113700010</t>
  </si>
  <si>
    <t>420140 Республика Татарстан город Казань улица Юлиуса Фучика дом 90а   помещение №238 на 2 этаже</t>
  </si>
  <si>
    <t>ИП Тишеновская Ольга Александровна</t>
  </si>
  <si>
    <t>434549119362</t>
  </si>
  <si>
    <t>ИП4306000558</t>
  </si>
  <si>
    <t>ИП430600055800000</t>
  </si>
  <si>
    <t>422545 Республика Татарстан город Зеленодольск улица Королева дом 1А пом 1  помещение №13, №14 ТЦ Мирный</t>
  </si>
  <si>
    <t>ИП Шишкина Наталья Александровна</t>
  </si>
  <si>
    <t>434549844057</t>
  </si>
  <si>
    <t>ИП1606001253</t>
  </si>
  <si>
    <t>ИП160600125300000</t>
  </si>
  <si>
    <t>422550 Республика Татарстан город Зеленодольск улица Энгельса здание 30   б/н ЗУМ</t>
  </si>
  <si>
    <t>ИП160600125300001</t>
  </si>
  <si>
    <t>420124 Республика Татарстан город Казань проспект Ямашева дом 46/33   часть галереи №366 -ТЦ Парк Хаус (Драгоцентр)</t>
  </si>
  <si>
    <t>ИП160600125300003</t>
  </si>
  <si>
    <t>420124 Республика Татарстан город Казань проспект Ямашева дом 46/33   часть галереи №366 - ТЦ Парк Хаус (Яхонт)</t>
  </si>
  <si>
    <t>ИП160600125300004</t>
  </si>
  <si>
    <t>420066 Республика Татарстан город Казань проспект Ибрагимова дом 56   помещение №197 - ТЦ Тандем (Драгоцентр)</t>
  </si>
  <si>
    <t>ИП160600125300005</t>
  </si>
  <si>
    <t>420066 Республика Татарстан город Казань проспект Ибрагимова дом 56   на 2-ом этаже - ТЦ Тандем (Яхонт)</t>
  </si>
  <si>
    <t>ИП160600125300006</t>
  </si>
  <si>
    <t>423578 Республика Татарстан город Нижнекамск проспект Химиков дом 36   помещение 9</t>
  </si>
  <si>
    <t>ЮЛ450700088900002</t>
  </si>
  <si>
    <t>423800 Республика Татарстан город Набережные Челны проспект им Мусы Джалиля дом 46Б</t>
  </si>
  <si>
    <t>ЮЛ450700088900003</t>
  </si>
  <si>
    <t>423802 Республика Татарстан город Набережные Челны проспект им Мусы Джалиля здание 96А</t>
  </si>
  <si>
    <t>ЮЛ450700088900004</t>
  </si>
  <si>
    <t>423575 Республика Татарстан город Нижнекамск проспект Строителей дом 18а</t>
  </si>
  <si>
    <t>ЮЛ450700088900005</t>
  </si>
  <si>
    <t>423584 Республика Татарстан город Нижнекамск улица Менделеева дом 35А корпус 2А  помещение 7</t>
  </si>
  <si>
    <t>ЮЛ450700088900006</t>
  </si>
  <si>
    <t>423822 Республика Татарстан город Набережные Челны проспект Набережночелнинский дом 80   помещение 41</t>
  </si>
  <si>
    <t>ЮЛ450700088900007</t>
  </si>
  <si>
    <t>423579 Республика Татарстан город Нижнекамск улица Гагарина здание 6</t>
  </si>
  <si>
    <t>ЮЛ450700088900008</t>
  </si>
  <si>
    <t>423826 Республика Татарстан город Набережные Челны улица Татарстан здание 18</t>
  </si>
  <si>
    <t>ЮЛ450700088900010</t>
  </si>
  <si>
    <t>423575 Республика Татарстан город Нижнекамск проспект Строителей дом 32   помещение 1003</t>
  </si>
  <si>
    <t>ЮЛ450700088900011</t>
  </si>
  <si>
    <t>423812 Республика Татарстан город Набережные Челны проспект Мира дом 33А   помещение 1001</t>
  </si>
  <si>
    <t>ЮЛ450700088900012</t>
  </si>
  <si>
    <t>423818 Республика Татарстан город Набережные Челны проспект Автозаводский дом 29   помещение 1017</t>
  </si>
  <si>
    <t>ЮЛ450700088900013</t>
  </si>
  <si>
    <t>423806 Республика Татарстан город Набережные Челны улица им Хади Такташа дом 22   помещение 119</t>
  </si>
  <si>
    <t>ЮЛ450700088900015</t>
  </si>
  <si>
    <t>423832 Республика Татарстан город Набережные Челны проспект Раиса Беляева дом 45А</t>
  </si>
  <si>
    <t>ЮЛ450700088900016</t>
  </si>
  <si>
    <t>423803 Республика Татарстан город Набережные Челны тракт Сармановский дом 64   помещение 1н</t>
  </si>
  <si>
    <t>ЮЛ450700088900017</t>
  </si>
  <si>
    <t>423826 Республика Татарстан город Набережные Челны проспект Сююмбике здание 81А</t>
  </si>
  <si>
    <t>ЮЛ450700088900018</t>
  </si>
  <si>
    <t>423822 Республика Татарстан город Набережные Челны проспект Московский дом 53</t>
  </si>
  <si>
    <t>ЮЛ450700088900019</t>
  </si>
  <si>
    <t>423812 Республика Татарстан город Набережные Челны проспект Московский дом 86   помещение 3</t>
  </si>
  <si>
    <t>ЮЛ450700088900020</t>
  </si>
  <si>
    <t>423571 Республика Татарстан город Нижнекамск проспект Мира дом 48   помещение 104, 105</t>
  </si>
  <si>
    <t>ЮЛ450700088900021</t>
  </si>
  <si>
    <t>423815 Республика Татарстан город Набережные Челны проспект им Вахитова здание 14Б</t>
  </si>
  <si>
    <t>ЮЛ450700088900022</t>
  </si>
  <si>
    <t>423578 Республика Татарстан город Нижнекамск проспект Мира здание 110   помещение 4</t>
  </si>
  <si>
    <t>ЮЛ450700088900023</t>
  </si>
  <si>
    <t>423823 Республика Татарстан город Набережные Челны проспект Сююмбике дом 53   помещение 1002</t>
  </si>
  <si>
    <t>ЮЛ450700088900024</t>
  </si>
  <si>
    <t>420140 Республика Татарстан город Казань улица Профсоюзная (Вознесенское) дом 1   6</t>
  </si>
  <si>
    <t>ЮЛ470300219500007</t>
  </si>
  <si>
    <t>420111 Республика Татарстан город Казань улица Пушкина дом 3   1-й этаж (№№ 30a, 306, 30, 31, 31a, 32-35, 75,76) инв. № 2536, лит.1, объект №1, часть № 6</t>
  </si>
  <si>
    <t>ИП500100445500014</t>
  </si>
  <si>
    <t>423822 Республика Татарстан город Набережные Челны проспект Мира дом 3</t>
  </si>
  <si>
    <t>ИП500100445500065</t>
  </si>
  <si>
    <t>ИП500100445500066</t>
  </si>
  <si>
    <t>420124 Республика Татарстан город Казань проспект Ямашева дом 46/33   Парк Хаус</t>
  </si>
  <si>
    <t>ИП500100445500097</t>
  </si>
  <si>
    <t>420100 Республика Татарстан город Казань проспект Победы дом 141   Мега помещение 505KSK-11</t>
  </si>
  <si>
    <t>ИП500100445500099</t>
  </si>
  <si>
    <t>420059 Республика Татарстан город Казань улица Павлюхина здание 91   К12 Казань Молл</t>
  </si>
  <si>
    <t>ИП500100445500114</t>
  </si>
  <si>
    <t>423252 Республика Татарстан город Лениногорск улица Ленинградская дом 53   помещение 2</t>
  </si>
  <si>
    <t>ИП500101774600007</t>
  </si>
  <si>
    <t>ИП500101774600009</t>
  </si>
  <si>
    <t>423575 Республика Татарстан город Нижнекамск проспект Строителей дом 30</t>
  </si>
  <si>
    <t>ИП440200426400000</t>
  </si>
  <si>
    <t>423740 Республика Татарстан село Актаныш проспект Мира дом 5</t>
  </si>
  <si>
    <t>ИП440200426400019</t>
  </si>
  <si>
    <t>423803 Республика Татарстан город Набережные Челны тракт Сармановский дом 60</t>
  </si>
  <si>
    <t>ИП440200426400020</t>
  </si>
  <si>
    <t>422980 Республика Татарстан город Чистополь улица Ленина дом 47</t>
  </si>
  <si>
    <t>ИП440200426400026</t>
  </si>
  <si>
    <t>420059 Республика Татарстан город Казань улица Павлюхина здание 91   помещение к2</t>
  </si>
  <si>
    <t>ЮЛ520603376600023</t>
  </si>
  <si>
    <t>420000 Республика Татарстан город Казань проспект Ибрагимова дом 56   помещение №197</t>
  </si>
  <si>
    <t>ЮЛ520603376600087</t>
  </si>
  <si>
    <t>423822 Республика Татарстан город Набережные Челны проспект Мира дом 3   часть помещения №13</t>
  </si>
  <si>
    <t>ЮЛ520603376600095</t>
  </si>
  <si>
    <t>420087 Республика Татарстан город Казань улица Даурская 44в   1009</t>
  </si>
  <si>
    <t>ИП Мишунин Дмитрий Андреевич</t>
  </si>
  <si>
    <t>540821739009</t>
  </si>
  <si>
    <t>ИП5408038146</t>
  </si>
  <si>
    <t>ИП540803814600000</t>
  </si>
  <si>
    <t>423930 Республика Татарстан город Бавлы улица С.Сайдашева дом 1А</t>
  </si>
  <si>
    <t>ИП560600681900003</t>
  </si>
  <si>
    <t>423040 Республика Татарстан город Нурлат улица Гиматдинова дом 71А</t>
  </si>
  <si>
    <t>ИП Филиппова Елена Васильевна</t>
  </si>
  <si>
    <t>564303094423</t>
  </si>
  <si>
    <t>ИП6306011155</t>
  </si>
  <si>
    <t>ИП630601115500004</t>
  </si>
  <si>
    <t>420140 Республика Татарстан город Казань улица Юлиуса Фучика дом 110   помещение 1100</t>
  </si>
  <si>
    <t>ЮЛ630600259300002</t>
  </si>
  <si>
    <t>420080 Республика Татарстан город Казань улица Волгоградская дом 3</t>
  </si>
  <si>
    <t>ЮЛ630600259300008</t>
  </si>
  <si>
    <t>423457 Республика Татарстан город Альметьевск улица Ленина дом 100   помещение №131</t>
  </si>
  <si>
    <t>ИП630601425400001</t>
  </si>
  <si>
    <t>423040 Республика Татарстан город Нурлат улица Г.Кариева дом 1Д</t>
  </si>
  <si>
    <t>ИП630601425400024</t>
  </si>
  <si>
    <t>423570 Республика Татарстан город Нижнекамск улица Сююмбике здание 7А</t>
  </si>
  <si>
    <t>ИП630601425400055</t>
  </si>
  <si>
    <t>420124 Республика Татарстан город Казань проспект Ямашева дом 46/33</t>
  </si>
  <si>
    <t>ИП630601425400061</t>
  </si>
  <si>
    <t>423812 Республика Татарстан город Набережные Челны проспект Сююмбике дом 2/19</t>
  </si>
  <si>
    <t>ИП630601425400077</t>
  </si>
  <si>
    <t>423602 Республика Татарстан город Елабуга шоссе Окружное здание 10</t>
  </si>
  <si>
    <t>ИП630601425400082</t>
  </si>
  <si>
    <t>ИП630601425400086</t>
  </si>
  <si>
    <t>423230 Республика Татарстан город Бугульма улица Советская дом 62</t>
  </si>
  <si>
    <t>ИП630601425400101</t>
  </si>
  <si>
    <t>ИП630601425400124</t>
  </si>
  <si>
    <t>422521 Республика Татарстан город Зеленодольск Королева 1а   1</t>
  </si>
  <si>
    <t>ИП630600717400000</t>
  </si>
  <si>
    <t>420029 Республика Татарстан город Казань улица Сибирский Тракт дом 9/5   квартира 1001</t>
  </si>
  <si>
    <t>ООО "ЛОМБАРД СТАТУС"</t>
  </si>
  <si>
    <t>6345030913</t>
  </si>
  <si>
    <t>ЮЛ6306002492</t>
  </si>
  <si>
    <t>ЮЛ630600249200003</t>
  </si>
  <si>
    <t>420033 Республика Татарстан город Казань улица Фрунзе дом 15   помещение 1009</t>
  </si>
  <si>
    <t>ЮЛ630600249200005</t>
  </si>
  <si>
    <t>420043 Республика Татарстан город Казань улица Достоевского дом 53</t>
  </si>
  <si>
    <t>ЮЛ630600249200007</t>
  </si>
  <si>
    <t>420124 Республика Татарстан город Казань улица Чистопольская дом 15   помещение 1002</t>
  </si>
  <si>
    <t>ЮЛ630600249200011</t>
  </si>
  <si>
    <t>420095 Республика Татарстан город Казань улица Восстания дом 61   помещение 1051</t>
  </si>
  <si>
    <t>ЮЛ630600249200013</t>
  </si>
  <si>
    <t>420127 Республика Татарстан город Казань улица Дементьева дом 27   квартира 1001</t>
  </si>
  <si>
    <t>ЮЛ630600249200014</t>
  </si>
  <si>
    <t>420075 Республика Татарстан город Казань улица Советская дом 20   помещение 1100</t>
  </si>
  <si>
    <t>ЮЛ630600249200016</t>
  </si>
  <si>
    <t>420078 Республика Татарстан город Казань улица Ильича дом 19/43   помещение 1131</t>
  </si>
  <si>
    <t>ЮЛ630600249200017</t>
  </si>
  <si>
    <t>420127 Республика Татарстан город Казань улица Ленинградская дом 22   квартира 1101</t>
  </si>
  <si>
    <t>ЮЛ630600249200018</t>
  </si>
  <si>
    <t>420032 Республика Татарстан город Казань улица Краснококшайская дом 127   помещение 1000</t>
  </si>
  <si>
    <t>ЮЛ630600249200019</t>
  </si>
  <si>
    <t>422550 Республика Татарстан город Зеленодольск улица Карла Маркса здание 39А   помещение 1002</t>
  </si>
  <si>
    <t>ЮЛ630600249200020</t>
  </si>
  <si>
    <t>420125 Республика Татарстан город Казань улица Азата Аббасова дом 7   помещение 1005</t>
  </si>
  <si>
    <t>ЮЛ630600249200021</t>
  </si>
  <si>
    <t>420034 Республика Татарстан город Казань улица Декабристов дом 129   квартира 1001</t>
  </si>
  <si>
    <t>ЮЛ630600249200022</t>
  </si>
  <si>
    <t>420039 Республика Татарстан город Казань улица Декабристов дом 164/91   помещение 28</t>
  </si>
  <si>
    <t>ЮЛ630600249200023</t>
  </si>
  <si>
    <t>420087 Республика Татарстан город Казань улица Даурская дом 40   помещение 1006</t>
  </si>
  <si>
    <t>ЮЛ630600249200025</t>
  </si>
  <si>
    <t>422545 Республика Татарстан город Зеленодольск улица Комарова дом 16   помещение 2</t>
  </si>
  <si>
    <t>ЮЛ630600249200027</t>
  </si>
  <si>
    <t>420078 Республика Татарстан город Казань улица Бирюзовая дом 19   помещение 1117</t>
  </si>
  <si>
    <t>ЮЛ630600249200028</t>
  </si>
  <si>
    <t>420127 Республика Татарстан город Казань улица Ленинградская дом 21   помещение 2</t>
  </si>
  <si>
    <t>ЮЛ630600249200031</t>
  </si>
  <si>
    <t>420076 Республика Татарстан город Казань улица Наиля Юсупова дом 6   помещение 1005</t>
  </si>
  <si>
    <t>ЮЛ630600249200032</t>
  </si>
  <si>
    <t>422701 Республика Татарстан село Высокая Гора улица Сельхозтехника дом 1   помещение 1</t>
  </si>
  <si>
    <t>ЮЛ630600249200033</t>
  </si>
  <si>
    <t>423930 Республика Татарстан город Бавлы улица Пионерская дом 13</t>
  </si>
  <si>
    <t>ООО "ЛОМБАРД ЗОЛОТО ПОВОЛЖЬЯ"</t>
  </si>
  <si>
    <t>6350029529</t>
  </si>
  <si>
    <t>ЮЛ6306032467</t>
  </si>
  <si>
    <t>ЮЛ630603246700000</t>
  </si>
  <si>
    <t>423230 Республика Татарстан город Бугульма улица Владимира Ленина дом 2/1</t>
  </si>
  <si>
    <t>ЮЛ630603246700004</t>
  </si>
  <si>
    <t>423237 Республика Татарстан город Бугульма улица Советская дом 81   помещение 1037</t>
  </si>
  <si>
    <t>ЮЛ630603246700005</t>
  </si>
  <si>
    <t>423237 Республика Татарстан город Бугульма улица Якупова дом 47</t>
  </si>
  <si>
    <t>ЮЛ630603246700006</t>
  </si>
  <si>
    <t>423236 Республика Татарстан город Бугульма улица Газинура Гафиатуллина дом 36   1033</t>
  </si>
  <si>
    <t>ЮЛ630603246700020</t>
  </si>
  <si>
    <t>420015 Республика Татарстан город Казань улица Галактионова дом 22   этаж 3, помещение 8</t>
  </si>
  <si>
    <t>ЮЛ660701304200001</t>
  </si>
  <si>
    <t>422840 Республика Татарстан город Болгар улица Вертынской дом 77Б</t>
  </si>
  <si>
    <t>ИП Ваганова Алена Аркадьевна</t>
  </si>
  <si>
    <t>732504051905</t>
  </si>
  <si>
    <t>ИП7306004882</t>
  </si>
  <si>
    <t>ИП730600488200002</t>
  </si>
  <si>
    <t>422430 Республика Татарстан город Буинск улица Космовского дом 79</t>
  </si>
  <si>
    <t>ИП Замолдинова Гузалия Миргасимовна</t>
  </si>
  <si>
    <t>732800759832</t>
  </si>
  <si>
    <t>ИП1606034329</t>
  </si>
  <si>
    <t>ИП160603432900000</t>
  </si>
  <si>
    <t>422370 Республика Татарстан город Тетюши улица Горького дом 24</t>
  </si>
  <si>
    <t>ИП160603432900002</t>
  </si>
  <si>
    <t>422430 Республика Татарстан город Буинск улица Р.Люксембург дом 142  Б</t>
  </si>
  <si>
    <t>ИП160603432900003</t>
  </si>
  <si>
    <t>422433 Республика Татарстан город Буинск улица Р.Люксембург дом 44</t>
  </si>
  <si>
    <t>ИП160603432900004</t>
  </si>
  <si>
    <t>422350 Республика Татарстан поселок городского типа Апастово улица Красноармейская дом 112</t>
  </si>
  <si>
    <t>ИП160603432900005</t>
  </si>
  <si>
    <t>422470 Республика Татарстан село Старое Дрожжаное улица С.Нафиева дом 23</t>
  </si>
  <si>
    <t>ИП160603432900006</t>
  </si>
  <si>
    <t>420021 Республика Татарстан город Казань улица Университетская/Баумана  дом 7/80</t>
  </si>
  <si>
    <t>ИП160603432900007</t>
  </si>
  <si>
    <t>422527 Республика Татарстан село Осиново улица Садовая дом 9</t>
  </si>
  <si>
    <t>ИП160603432900008</t>
  </si>
  <si>
    <t>422000 Республика Татарстан город Арск улица Большая здание 1  А</t>
  </si>
  <si>
    <t>ИП160603432900009</t>
  </si>
  <si>
    <t>422900 Республика Татарстан поселок городского типа Алексеевское улица Казакова дом 7  Б офис 36</t>
  </si>
  <si>
    <t>ИП160603432900010</t>
  </si>
  <si>
    <t>423520 Республика Татарстан город Заинск проспект Нефтяников дом 21а</t>
  </si>
  <si>
    <t>ИП Звоник Анна Васильевна</t>
  </si>
  <si>
    <t>753606518125</t>
  </si>
  <si>
    <t>ИП1606012623</t>
  </si>
  <si>
    <t>ИП160601262300000</t>
  </si>
  <si>
    <t>420059 Республика Татарстан город Казань улица Павлюхина здание 91   помещение № 75, 2 этаж</t>
  </si>
  <si>
    <t>ЮЛ770100278900008</t>
  </si>
  <si>
    <t>420061 Республика Татарстан город Казань улица Николая Ершова дом 1А   4 этаж, помещение 440</t>
  </si>
  <si>
    <t>ЮЛ770100301000004</t>
  </si>
  <si>
    <t>422000 Республика Татарстан город Арск площадь Советская здание 25А   этаж 1</t>
  </si>
  <si>
    <t>ИП770100417900019</t>
  </si>
  <si>
    <t>423520 Республика Татарстан город Заинск улица Баныкина дом 3   этаж 1</t>
  </si>
  <si>
    <t>ИП770100417900021</t>
  </si>
  <si>
    <t>423457 Республика Татарстан город Альметьевск улица Ленина дом 100   Помещение 130, этаж 1</t>
  </si>
  <si>
    <t>ЮЛ770101216600077</t>
  </si>
  <si>
    <t>423823 Республика Татарстан город Набережные Челны проспект Сююмбике здание 40А   помещение 32, этаж 1</t>
  </si>
  <si>
    <t>ЮЛ770101216600135</t>
  </si>
  <si>
    <t>423570 Республика Татарстан город Нижнекамск улица Сююмбике здание 7   помещение R-1-51, этаж 1</t>
  </si>
  <si>
    <t>ЮЛ770101216600140</t>
  </si>
  <si>
    <t>420087 Республика Татарстан город Казань улица Рихарда Зорге дом 11Б   нежилое помещение 99,100, этаж 1</t>
  </si>
  <si>
    <t>ЮЛ770101216600161</t>
  </si>
  <si>
    <t>420124 Республика Татарстан город Казань проспект Ямашева дом 46/33   помещения 313,313а,313б,313в,313г,313д,313,е,313ж,313з, этаж 1</t>
  </si>
  <si>
    <t>ЮЛ770101216600190</t>
  </si>
  <si>
    <t>420140 Республика Татарстан город Казань проспект Победы дом 91   помещение 28, этаж 1</t>
  </si>
  <si>
    <t>ЮЛ770101216600296</t>
  </si>
  <si>
    <t>420095 Республика Татарстан город Казань улица Кулахметова дом 28   этаж 1, помещение 37</t>
  </si>
  <si>
    <t>ЮЛ770101216600336</t>
  </si>
  <si>
    <t>422545 Республика Татарстан город Зеленодольск улица Королева дом 1А   пом. 2003, этаж 1,  часть нежилого помещения №16</t>
  </si>
  <si>
    <t>ЮЛ770101216600401</t>
  </si>
  <si>
    <t>423827 Республика Татарстан город Набережные Челны проспект Яшьлек дом 14  Литер А этаж 1, часть помещения №170</t>
  </si>
  <si>
    <t>ЮЛ770101216600476</t>
  </si>
  <si>
    <t>420107 Республика Татарстан город Казань улица Петербургская дом 9   этаж цокольный,  часть нежилого помещения  №1580</t>
  </si>
  <si>
    <t>ЮЛ770101216600508</t>
  </si>
  <si>
    <t>421001 Республика Татарстан город Казань проспект Ямашева дом 93   этаж 1</t>
  </si>
  <si>
    <t>ЮЛ770101216600509</t>
  </si>
  <si>
    <t>423822 Республика Татарстан город Набережные Челны проспект Мира дом 3   этаж 1, нежилое помещение №86</t>
  </si>
  <si>
    <t>ЮЛ770101216600535</t>
  </si>
  <si>
    <t>423812 Республика Татарстан город Набережные Челны проспект Сююмбике дом 2/19 помещение 1013  этаж 1, помещение № 1.47</t>
  </si>
  <si>
    <t>ЮЛ770101216600577</t>
  </si>
  <si>
    <t>420100 Республика Татарстан город Казань проспект Победы дом 141   нежилое помещение № 7018</t>
  </si>
  <si>
    <t>ЮЛ770101216600602</t>
  </si>
  <si>
    <t>423808 Республика Татарстан город Набережные Челны набережная им Габдуллы Тукая дом 2   этаж 1</t>
  </si>
  <si>
    <t>ЮЛ770101216600621</t>
  </si>
  <si>
    <t>423578 Республика Татарстан город Нижнекамск проспект Химиков дом 18 корпус 2  этаж 1, часть нежилого помещения Номер №16 (условный номер ТП - 1-16к)</t>
  </si>
  <si>
    <t>ЮЛ770101216600622</t>
  </si>
  <si>
    <t>423810 Республика Татарстан город Набережные Челны бульвар Энтузиастов дом 16   этаж 1</t>
  </si>
  <si>
    <t>ЮЛ770101216600628</t>
  </si>
  <si>
    <t>423403 Республика Татарстан город Альметьевск улица Ленина дом 126   этаж 1</t>
  </si>
  <si>
    <t>ЮЛ770101216600652</t>
  </si>
  <si>
    <t>420138 Республика Татарстан город Казань проспект Победы дом 50Б   этаж 1</t>
  </si>
  <si>
    <t>ЮЛ770101216600709</t>
  </si>
  <si>
    <t>422527 Республика Татарстан село Осиново улица Садовая дом 9   1 этаж, часть нежилого помещения</t>
  </si>
  <si>
    <t>ЮЛ770101216600756</t>
  </si>
  <si>
    <t>423803 Республика Татарстан город Набережные Челны улица им Маршала Жукова здание 4   1 этаж, часть нежилого помещения №30</t>
  </si>
  <si>
    <t>ЮЛ770101216600757</t>
  </si>
  <si>
    <t>420066 Республика Татарстан город Казань улица Чистопольская дом 11   этаж 1, часть помещения №88</t>
  </si>
  <si>
    <t>ЮЛ770101216600761</t>
  </si>
  <si>
    <t>423570 Республика Татарстан город Нижнекамск улица Баки Урманче дом 15   1 этаж, помещение</t>
  </si>
  <si>
    <t>ЮЛ770101216600766</t>
  </si>
  <si>
    <t>423832 Республика Татарстан город Набережные Челны проспект Чулман дом 89/57   этаж 2, нежилые помещения 115, 140, 141, 142, 143, 144, 139</t>
  </si>
  <si>
    <t>ЮЛ770101216600768</t>
  </si>
  <si>
    <t>421001 Республика Татарстан город Казань проспект Ямашева дом 97   1 этаж, часть нежилого помещения № 1015</t>
  </si>
  <si>
    <t>ЮЛ770101216600784</t>
  </si>
  <si>
    <t>420100 Республика Татарстан город Казань проспект Победы дом 141   помещение №М03 _1402</t>
  </si>
  <si>
    <t>ЮЛ770101216600838</t>
  </si>
  <si>
    <t>420066 Республика Татарстан город Казань проспект Ибрагимова дом 56   1 этаж, нежилое помещение № 192, 1208</t>
  </si>
  <si>
    <t>ЮЛ770101216600894</t>
  </si>
  <si>
    <t>420107 Республика Татарстан город Казань улица Петербургская дом 1   этаж 1, нежилое помещение № 118</t>
  </si>
  <si>
    <t>ЮЛ770101216600916</t>
  </si>
  <si>
    <t>423578 Республика Татарстан город Нижнекамск улица Корабельная дом 44   этаж 1, помещение 104</t>
  </si>
  <si>
    <t>ЮЛ770101216600965</t>
  </si>
  <si>
    <t>420138 Республика Татарстан город Казань улица Рихарда Зорге дом 66  литера М этаж 1, часть нежилого помещения №58</t>
  </si>
  <si>
    <t>ЮЛ770101216600969</t>
  </si>
  <si>
    <t>ИП Гумиров Фарид Фагемович</t>
  </si>
  <si>
    <t>772002367940</t>
  </si>
  <si>
    <t>ИП7701005591</t>
  </si>
  <si>
    <t>ИП770100559100000</t>
  </si>
  <si>
    <t>422060 Республика Татарстан поселок городского типа Богатые Сабы улица Г.Закирова дом 74   помещения №№109,110</t>
  </si>
  <si>
    <t>ИП770100559100001</t>
  </si>
  <si>
    <t>423600 Республика Татарстан город Елабуга проспект Мира дом 18   помещение 17-20</t>
  </si>
  <si>
    <t>ИП Максимова Ирина Викторовна</t>
  </si>
  <si>
    <t>772318703690</t>
  </si>
  <si>
    <t>ИП7701001988</t>
  </si>
  <si>
    <t>ИП770100198800000</t>
  </si>
  <si>
    <t>420066 Республика Татарстан город Казань проспект Ибрагимова дом 56</t>
  </si>
  <si>
    <t>ЮЛ770100419400065</t>
  </si>
  <si>
    <t>420107 Республика Татарстан город Казань улица Петербургская дом 1</t>
  </si>
  <si>
    <t>ЮЛ770100419400066</t>
  </si>
  <si>
    <t>ЮЛ770100419400068</t>
  </si>
  <si>
    <t>ЮЛ770100419400070</t>
  </si>
  <si>
    <t>ЮЛ770100419400179</t>
  </si>
  <si>
    <t>420059 Республика Татарстан город Казань улица Павлюхина здание 91</t>
  </si>
  <si>
    <t>ЮЛ770100419400218</t>
  </si>
  <si>
    <t>423812 Республика Татарстан город Набережные Челны проспект Сююмбике дом 2/19   этаж 1, часть помещения № 183б</t>
  </si>
  <si>
    <t>ЮЛ770100193500294</t>
  </si>
  <si>
    <t>423570 Республика Татарстан город Нижнекамск улица Баки Урманче дом 15   этаж 1</t>
  </si>
  <si>
    <t>ЮЛ770100193500296</t>
  </si>
  <si>
    <t>420124 Республика Татарстан город Казань проспект Ямашева дом 46/33   помещения 331з,331и, 1 (первый) этаж</t>
  </si>
  <si>
    <t>ЮЛ770100193500297</t>
  </si>
  <si>
    <t>420059 Республика Татарстан город Казань улица Павлюхина здание 91   этаж 1</t>
  </si>
  <si>
    <t>ЮЛ770100193500298</t>
  </si>
  <si>
    <t>420098 Республика Татарстан город Казань проспект Победы дом 91   1 этаж, помещение № 30</t>
  </si>
  <si>
    <t>ЮЛ770100193500299</t>
  </si>
  <si>
    <t>420100 Республика Татарстан город Казань проспект Победы дом 141   помещение № 2032</t>
  </si>
  <si>
    <t>ЮЛ770100193500300</t>
  </si>
  <si>
    <t>423457 Республика Татарстан город Альметьевск улица Ленина дом 100   этаж 1, помещение № 123</t>
  </si>
  <si>
    <t>ЮЛ770100193500488</t>
  </si>
  <si>
    <t>423823 Республика Татарстан город Набережные Челны проспект Сююмбике дом 40   нежилое  помещение № 30-31, этаж 1 (первый)</t>
  </si>
  <si>
    <t>ЮЛ770100193500567</t>
  </si>
  <si>
    <t>420087 Республика Татарстан город Казань улица Рихарда Зорге дом 11б   нежилое помещение (часть здания) № 101, этаж 1 (первый)</t>
  </si>
  <si>
    <t>ЮЛ770100193500639</t>
  </si>
  <si>
    <t>420111 Республика Татарстан город Казань улица Баумана дом 86   помещение 1000, этаж 1 (первый)</t>
  </si>
  <si>
    <t>ЮЛ770100193500679</t>
  </si>
  <si>
    <t>423827 Республика Татарстан город Набережные Челны проспект Яшьлек дом 14   помещение, этаж 1 (первый)</t>
  </si>
  <si>
    <t>ЮЛ770100193500791</t>
  </si>
  <si>
    <t>423252 Республика Татарстан город Лениногорск улица Ленинградская здание 41б   нежилое помещение № 27, этаж 1 (первый)</t>
  </si>
  <si>
    <t>ЮЛ770100193500874</t>
  </si>
  <si>
    <t>420087 Республика Татарстан город Казань улица Рихарда Зорге дом 11б   помещение № 101, этаж 1 (первый)</t>
  </si>
  <si>
    <t>ЮЛ770100193501019</t>
  </si>
  <si>
    <t>420061 Республика Татарстан город Казань улица Николая Ершова дом 62   помещение 27,28, 1 (первый) этаж</t>
  </si>
  <si>
    <t>ЮЛ770100193501037</t>
  </si>
  <si>
    <t>420017 Республика Татарстан территория Аэропорт (село Столбище)   Терминал 1А  помещение 178</t>
  </si>
  <si>
    <t>ЮЛ160600373100006</t>
  </si>
  <si>
    <t>420017 Республика Татарстан территория Аэропорт (село Столбище)   Терминал 1А  помещение 164</t>
  </si>
  <si>
    <t>ЮЛ160600373100008</t>
  </si>
  <si>
    <t>420124 Республика Татарстан город Казань улица Фатыха Амирхана дом 1а   помещение 63, 64</t>
  </si>
  <si>
    <t>ЮЛ160600373100015</t>
  </si>
  <si>
    <t>420017 Республика Татарстан территория Аэропорт   Бизнес Терминал  часть помещения №15</t>
  </si>
  <si>
    <t>ЮЛ160600373100018</t>
  </si>
  <si>
    <t>420139 Республика Татарстан город Казань улица Рихарда Зорге дом 93</t>
  </si>
  <si>
    <t>ЮЛ770103181900001</t>
  </si>
  <si>
    <t>ЮЛ770103181900006</t>
  </si>
  <si>
    <t>420080 Республика Татарстан город Казань улица Декабристов дом 150   комнаты №34,36,37,38,39</t>
  </si>
  <si>
    <t>ЮЛ780300131300255</t>
  </si>
  <si>
    <t>420139 Республика Татарстан город Казань улица Рихарда Зорге дом 95   часть помещения №53</t>
  </si>
  <si>
    <t>ЮЛ780300131300256</t>
  </si>
  <si>
    <t>420044 Республика Татарстан город Казань улица Восстания дом 29   пом. 1103</t>
  </si>
  <si>
    <t>ЮЛ780300328000227</t>
  </si>
  <si>
    <t>420087 Республика Татарстан город Казань улица Даурская дом 23   пом. 1007</t>
  </si>
  <si>
    <t>ЮЛ780300328000228</t>
  </si>
  <si>
    <t>420139 Республика Татарстан город Казань улица Рихарда Зорге дом 95</t>
  </si>
  <si>
    <t>ЮЛ780300323500006</t>
  </si>
  <si>
    <t>420043 Республика Татарстан город Казань улица Вишневского дом 51   помещение 1010</t>
  </si>
  <si>
    <t>ЮЛ780300323500008</t>
  </si>
  <si>
    <t>423451 Республика Татарстан город Альметьевск улица Герцена дом 3в</t>
  </si>
  <si>
    <t>ЮЛ780300323500010</t>
  </si>
  <si>
    <t>420111 Республика Татарстан город Казань улица Бурхана Шахиди дом 1/15</t>
  </si>
  <si>
    <t>ЮЛ780300323500089</t>
  </si>
  <si>
    <t>420039 Республика Татарстан город Казань улица Декабристов дом 187/42</t>
  </si>
  <si>
    <t>ЮЛ780300323500090</t>
  </si>
  <si>
    <t>420029 Республика Татарстан город Казань улица Сибирский Тракт дом 11  литера А помещения 22, 23, 24, 25</t>
  </si>
  <si>
    <t>ЮЛ780300323500091</t>
  </si>
  <si>
    <t>423815 Республика Татарстан город Набережные Челны проспект Московский дом 128А</t>
  </si>
  <si>
    <t>ЮЛ780300323500104</t>
  </si>
  <si>
    <t>ЮЛ780300323500105</t>
  </si>
  <si>
    <t>423822 Республика Татарстан город Набережные Челны проспект Мира дом 3   помещение 233</t>
  </si>
  <si>
    <t>ЮЛ780300323500116</t>
  </si>
  <si>
    <t>420107 Республика Татарстан город Казань улица Петербургская дом 1   часть помещения №19Б, являющееся частью помещения №1071</t>
  </si>
  <si>
    <t>ЮЛ780300308200228</t>
  </si>
  <si>
    <t>420140 Республика Татарстан город Казань проспект Победы дом 91</t>
  </si>
  <si>
    <t>ЮЛ780300308200229</t>
  </si>
  <si>
    <t>423823 Республика Татарстан город Набережные Челны проспект Сююмбике дом 51   помещение 3В, часть нежилого помещения 3Б, часть нежилого помещения 3</t>
  </si>
  <si>
    <t>ЮЛ780300308200410</t>
  </si>
  <si>
    <t>423584 Республика Татарстан город Нижнекамск улица Менделеева здание 31А корпус 1</t>
  </si>
  <si>
    <t>ЮЛ780300308200411</t>
  </si>
  <si>
    <t>423332 Республика Татарстан город Азнакаево улица Ленина дом 31</t>
  </si>
  <si>
    <t>ЮЛ780300308200548</t>
  </si>
  <si>
    <t>423457 Республика Татарстан город Альметьевск улица Ленина дом 100   часть нежилого помещения №110</t>
  </si>
  <si>
    <t>ЮЛ780300308200549</t>
  </si>
  <si>
    <t>423452 Республика Татарстан город Альметьевск улица Ленина дом 20   помещение 1001</t>
  </si>
  <si>
    <t>ЮЛ780300308200550</t>
  </si>
  <si>
    <t>422550 Республика Татарстан город Зеленодольск улица Комсомольская дом 20   часть комнаты 1</t>
  </si>
  <si>
    <t>ЮЛ780300308200558</t>
  </si>
  <si>
    <t>420111 Республика Татарстан город Казань улица Баумана дом 70   часть нежилых помещений на поэтажном плане: пом. 1-4</t>
  </si>
  <si>
    <t>ЮЛ780300308200560</t>
  </si>
  <si>
    <t>ЮЛ780300308200561</t>
  </si>
  <si>
    <t>423582 Республика Татарстан город Нижнекамск улица Гагарина дом 25</t>
  </si>
  <si>
    <t>ЮЛ780300308200580</t>
  </si>
  <si>
    <t>420139 Республика Татарстан город Казань улица Рихарда Зорге дом 95   часть нежилых помещений №53, №54, помещения №54а, помещения №55, помещения №56</t>
  </si>
  <si>
    <t>ЮЛ780300308200880</t>
  </si>
  <si>
    <t>423252 Республика Татарстан город Лениногорск улица Ленинградская дом 41А   часть торгового павильона</t>
  </si>
  <si>
    <t>ЮЛ780300308200886</t>
  </si>
  <si>
    <t>420080 Республика Татарстан город Казань улица Декабристов дом 150</t>
  </si>
  <si>
    <t>ЮЛ780300308200995</t>
  </si>
  <si>
    <t>420124 Республика Татарстан город Казань проспект Ямашева дом 46/33   часть нежилого помещения № 346, часть комнаты № 146а, комната 346аа, комната 346аб</t>
  </si>
  <si>
    <t>ЮЛ780300308201030</t>
  </si>
  <si>
    <t>420138 Республика Татарстан город Казань проспект Победы дом 91   помещение № 129</t>
  </si>
  <si>
    <t>ЮЛ780300308201164</t>
  </si>
  <si>
    <t>420066 Республика Татарстан город Казань проспект Ибрагимова дом 56   помещение с инвентарным номером 180</t>
  </si>
  <si>
    <t>ЮЛ780300308201230</t>
  </si>
  <si>
    <t>ЮЛ780300363500001</t>
  </si>
  <si>
    <t>420043 Республика Татарстан город Казань улица Вишневского дом 51</t>
  </si>
  <si>
    <t>ЮЛ780300363500109</t>
  </si>
  <si>
    <t>ЮЛ780300363500110</t>
  </si>
  <si>
    <t>420087 Республика Татарстан город Казань улица Даурская дом 40   помещение 1003</t>
  </si>
  <si>
    <t>ЮЛ780300363500112</t>
  </si>
  <si>
    <t>420039 Республика Татарстан город Казань улица Декабристов / улица Восстания дом 187/42</t>
  </si>
  <si>
    <t>ЮЛ780300363500113</t>
  </si>
  <si>
    <t>ЮЛ780300363500114</t>
  </si>
  <si>
    <t>420029 Республика Татарстан город Казань улица Сибирский Тракт дом 11</t>
  </si>
  <si>
    <t>ЮЛ780300363500115</t>
  </si>
  <si>
    <t>ЮЛ780300363500144</t>
  </si>
  <si>
    <t>ЮЛ780300363500145</t>
  </si>
  <si>
    <t>420021 Республика Татарстан город Казань улица Мартына Межлаука дом 16/21</t>
  </si>
  <si>
    <t>ЮЛ780300363500287</t>
  </si>
  <si>
    <t>423822 Республика Татарстан город Набережные Челны проспект Мира дом 3   часть помещения №233</t>
  </si>
  <si>
    <t>ЮЛ780300363500332</t>
  </si>
  <si>
    <t>420111 Республика Татарстан город Казань улица Университетская дом 7/80</t>
  </si>
  <si>
    <t>9714018320</t>
  </si>
  <si>
    <t>ЮЛ7701035792</t>
  </si>
  <si>
    <t>ЮЛ770103579200001</t>
  </si>
  <si>
    <t>420059 Республика Татарстан город Казань улица Павлюхина здание 91   этаж 2, помещение 113</t>
  </si>
  <si>
    <t>ЮЛ770100439200175</t>
  </si>
  <si>
    <t>420111 Республика Татарстан город Казань улица Чернышевского дом 30Б   офис 403</t>
  </si>
  <si>
    <t>ЮЛ770100029500009</t>
  </si>
  <si>
    <t>Республика Тыва</t>
  </si>
  <si>
    <t>667003 Республика Тыва город Кызыл улица Кечил-оола дом 9   пом. с 1 по 7</t>
  </si>
  <si>
    <t>ООО "ЭЛЕМЕНТ"</t>
  </si>
  <si>
    <t>1700011867</t>
  </si>
  <si>
    <t>ЮЛ1708038464</t>
  </si>
  <si>
    <t>ЮЛ170803846400000</t>
  </si>
  <si>
    <t>667000 Республика Тыва город Кызыл улица Кочетова дом 104   помещения с 1 по 6</t>
  </si>
  <si>
    <t>ИП Тунева Елена Генриховна</t>
  </si>
  <si>
    <t>170100005137</t>
  </si>
  <si>
    <t>ИП1708012162</t>
  </si>
  <si>
    <t>ИП170801216200000</t>
  </si>
  <si>
    <t>667000 Республика Тыва город Кызыл улица Красноармейская дом 137   78</t>
  </si>
  <si>
    <t>ИП Сулдум Саяна Валерьевна</t>
  </si>
  <si>
    <t>170100100140</t>
  </si>
  <si>
    <t>ИП1708016339</t>
  </si>
  <si>
    <t>ИП170801633900000</t>
  </si>
  <si>
    <t>667000 Республика Тыва город Кызыл улица Красноармейская дом 137   отдел 85</t>
  </si>
  <si>
    <t>ИП Хомушку Любовь Докпак-Ооловна</t>
  </si>
  <si>
    <t>170100146113</t>
  </si>
  <si>
    <t>ИП1708000563</t>
  </si>
  <si>
    <t>ИП170800056300000</t>
  </si>
  <si>
    <t>667000 Республика Тыва Кызыл Красноармейская 137</t>
  </si>
  <si>
    <t>ИП Саая Радислав Кок-Оолович</t>
  </si>
  <si>
    <t>170100209902</t>
  </si>
  <si>
    <t>ИП1708033913</t>
  </si>
  <si>
    <t>ИП170803391300000</t>
  </si>
  <si>
    <t>667000 Республика Тыва город Кызыл улица Тувинских Добровольцев дом 29   отдел 101</t>
  </si>
  <si>
    <t>ИП Носкова Ирина Николаевна</t>
  </si>
  <si>
    <t>170100584251</t>
  </si>
  <si>
    <t>ИП2408031343</t>
  </si>
  <si>
    <t>ИП240803134300000</t>
  </si>
  <si>
    <t>667000 Республика Тыва город Кызыл улица Красноармейская 137   отдел 89</t>
  </si>
  <si>
    <t>ИП Комбу Айнаа Хертековна</t>
  </si>
  <si>
    <t>170101159940</t>
  </si>
  <si>
    <t>ИП1708013005</t>
  </si>
  <si>
    <t>ИП170801300500000</t>
  </si>
  <si>
    <t>667005 Республика Тыва город Кызыл улица Кочетова дом 99</t>
  </si>
  <si>
    <t>ИП Елсукова Людмила Александровна</t>
  </si>
  <si>
    <t>170101407431</t>
  </si>
  <si>
    <t>ИП1708010231</t>
  </si>
  <si>
    <t>ИП170801023100000</t>
  </si>
  <si>
    <t>667000 Республика Тыва город Кызыл улица Красноармейская дом 137   павильон 57</t>
  </si>
  <si>
    <t>ИП Данзурун Нонна Хемеревна</t>
  </si>
  <si>
    <t>170102095150</t>
  </si>
  <si>
    <t>ИП1708013449</t>
  </si>
  <si>
    <t>ИП170801344900000</t>
  </si>
  <si>
    <t>667000 Республика Тыва город Кызыл улица Красноармейская дом 168   квартира 22</t>
  </si>
  <si>
    <t>ИП170801344900002</t>
  </si>
  <si>
    <t>667000 Республика Тыва город Кызыл улица Красноармейская дом 137   2 этаж, Отдел 88</t>
  </si>
  <si>
    <t>ИП Ооржак Руслана Сылдысовна</t>
  </si>
  <si>
    <t>170103706028</t>
  </si>
  <si>
    <t>ИП1708002108</t>
  </si>
  <si>
    <t>ИП170800210800000</t>
  </si>
  <si>
    <t>667005 Республика Тыва город Кызыл улица Кочетова дом 100   Магазин Жемчуг, бывшая квартира 19</t>
  </si>
  <si>
    <t>ИП Севээн Отчугаш Хеймер-Оолович</t>
  </si>
  <si>
    <t>170103783760</t>
  </si>
  <si>
    <t>ИП1708033897</t>
  </si>
  <si>
    <t>ИП170803389700000</t>
  </si>
  <si>
    <t>667000 Республика Тыва город Кызыл улица Красноармейская дом 135  Литер М № 1,1а</t>
  </si>
  <si>
    <t>ИП Тенсина Оксана Анатольевна</t>
  </si>
  <si>
    <t>170104008259</t>
  </si>
  <si>
    <t>ИП1708014690</t>
  </si>
  <si>
    <t>ИП170801469000000</t>
  </si>
  <si>
    <t>66700 Республика Тыва Город Кызыл Улица Кочетова Дом 6    Помещение 1,2,3,4</t>
  </si>
  <si>
    <t>ИП170801469000001</t>
  </si>
  <si>
    <t>667000 Республика Тыва город Кызыл улица Ленина дом 43   этаж 1, помещение с 1 по 4</t>
  </si>
  <si>
    <t>ИП Артына Елена Хеверовна</t>
  </si>
  <si>
    <t>170104015471</t>
  </si>
  <si>
    <t>ИП1708019647</t>
  </si>
  <si>
    <t>ИП170801964700000</t>
  </si>
  <si>
    <t>667000 Республика Тыва Город Кызыл, Республика Тыва Мира  13 4а</t>
  </si>
  <si>
    <t>ИП Олчей Оюмаа Яковлевна</t>
  </si>
  <si>
    <t>170107355645</t>
  </si>
  <si>
    <t>ИП1708010212</t>
  </si>
  <si>
    <t>ИП170801021200000</t>
  </si>
  <si>
    <t>667000 Республика Тыва город Кызыл улица Ленина дом 43   помещение 3</t>
  </si>
  <si>
    <t>ИП Чаш-Оол Ян Эдуардович</t>
  </si>
  <si>
    <t>170108807164</t>
  </si>
  <si>
    <t>ИП1708035735</t>
  </si>
  <si>
    <t>ИП170803573500000</t>
  </si>
  <si>
    <t>667010 Республика Тыва Кызыл Московская 24   помещение 3</t>
  </si>
  <si>
    <t>ИП КУУЛАР А. А.</t>
  </si>
  <si>
    <t>170112181994</t>
  </si>
  <si>
    <t>ИП1708038538</t>
  </si>
  <si>
    <t>ИП170803853800000</t>
  </si>
  <si>
    <t>667000 Республика Тыва город Кызыл улица Тувинских Добровольцев здание 24</t>
  </si>
  <si>
    <t>ИП Чамзы Анита Алексеевна</t>
  </si>
  <si>
    <t>170113424537</t>
  </si>
  <si>
    <t>ИП1708035984</t>
  </si>
  <si>
    <t>ИП170803598400000</t>
  </si>
  <si>
    <t>667000 Республика Тыва город Кызыл улица Красноармейская дом 137   88А</t>
  </si>
  <si>
    <t>ИП Шагаалан Чаяна Сагитовна</t>
  </si>
  <si>
    <t>171100507650</t>
  </si>
  <si>
    <t>ИП1708034456</t>
  </si>
  <si>
    <t>ИП170803445600000</t>
  </si>
  <si>
    <t>667000 Республика Тыва город Кызыл улица Комсомольская дом 33   помещение 9</t>
  </si>
  <si>
    <t>ИП Хертек Аяс Кан-Оолович</t>
  </si>
  <si>
    <t>171702320473</t>
  </si>
  <si>
    <t>ИП1708016455</t>
  </si>
  <si>
    <t>ИП170801645500000</t>
  </si>
  <si>
    <t>668360 Республика Тыва Самагалтай село Кунаа улица 57 дом</t>
  </si>
  <si>
    <t>ИП170801645500001</t>
  </si>
  <si>
    <t>668110 Республика Тыва Чадан город Чургуй-оола улица 15б дом</t>
  </si>
  <si>
    <t>ИП170801645500002</t>
  </si>
  <si>
    <t>668050 Республика Тыва город Ак-Довурак Юбилейная 7   7</t>
  </si>
  <si>
    <t>ИП170801645500003</t>
  </si>
  <si>
    <t>668051 Республика Тыва Ак-Довурак Юбилейная 19</t>
  </si>
  <si>
    <t>ИП КАНДАН Ж. Н.</t>
  </si>
  <si>
    <t>171800754817</t>
  </si>
  <si>
    <t>ИП1708040190</t>
  </si>
  <si>
    <t>ИП170804019000000</t>
  </si>
  <si>
    <t>667000 Республика Тыва город Кызыл улица Красноармейская  дом 137</t>
  </si>
  <si>
    <t>ИП Кандан А.С.</t>
  </si>
  <si>
    <t>171800877209</t>
  </si>
  <si>
    <t>ИП1708018667</t>
  </si>
  <si>
    <t>ИП170801866700000</t>
  </si>
  <si>
    <t>667000 Республика Тыва город Кызыл улица Кочетова дом 49</t>
  </si>
  <si>
    <t>ИП170801529100001</t>
  </si>
  <si>
    <t>667000 Республика Тыва город Кызыл улица Чульдума дом 31   8</t>
  </si>
  <si>
    <t>ИП Кужугет Виктория Вячеславовна</t>
  </si>
  <si>
    <t>701718387429</t>
  </si>
  <si>
    <t>ИП1708000028</t>
  </si>
  <si>
    <t>ИП170800002800000</t>
  </si>
  <si>
    <t>667000 Республика Тыва город Кызыл улица Тувинских Добровольцев дом 26   нежилое помещение с 1 по 6, этаж 1 (первый)</t>
  </si>
  <si>
    <t>ЮЛ770100193500716</t>
  </si>
  <si>
    <t>667000 Республика Тыва город Кызыл улица Тувинских Добровольцев дом 26</t>
  </si>
  <si>
    <t>ЮЛ780300131300454</t>
  </si>
  <si>
    <t>ЮЛ780300308200930</t>
  </si>
  <si>
    <t>Республика Хакасия</t>
  </si>
  <si>
    <t>655000 Республика Хакасия город Абакан Торосова 7 Б/1  3Н</t>
  </si>
  <si>
    <t>ИП190800848400005</t>
  </si>
  <si>
    <t>655700 Республика Хакасия село Аскиз улица Первомайская дом 3</t>
  </si>
  <si>
    <t>ИП190800848400006</t>
  </si>
  <si>
    <t>665000 Республика Хакасия город Абакан улица Пушкина дом 127 литер АА2  часть комнаты 5, помещение А2</t>
  </si>
  <si>
    <t>ИП Шафран Андрей Павлович</t>
  </si>
  <si>
    <t>165001086272</t>
  </si>
  <si>
    <t>ИП1908007878</t>
  </si>
  <si>
    <t>ИП190800787800003</t>
  </si>
  <si>
    <t>655617 Республика Хакасия город Саяногорск Интернациональный микрорайон дом 6 литер А</t>
  </si>
  <si>
    <t>ИП190800787800004</t>
  </si>
  <si>
    <t>656603 Республика Хакасия город Саяногорск улица Шушенская 18</t>
  </si>
  <si>
    <t>ИП190800787800006</t>
  </si>
  <si>
    <t>655017 Республика Хакасия город Абакан улица Щетинкина дом 61   помещение 149Н</t>
  </si>
  <si>
    <t>ИП190800787800007</t>
  </si>
  <si>
    <t>655158 Республика Хакасия Черногорск Космонавтов 20   24Н,8,9,10,11</t>
  </si>
  <si>
    <t>ООО "ЛОМБАРД "ЮВЕЛИРНЫЙ"</t>
  </si>
  <si>
    <t>1900003775</t>
  </si>
  <si>
    <t>ЮЛ1908038463</t>
  </si>
  <si>
    <t>ЮЛ190803846300000</t>
  </si>
  <si>
    <t>655017 Республика Хакасия город Абакан улица Тараса Шевченко дом 59а</t>
  </si>
  <si>
    <t>1901056900</t>
  </si>
  <si>
    <t>ЮЛ1908008471</t>
  </si>
  <si>
    <t>ЮЛ190800847100000</t>
  </si>
  <si>
    <t>655017 Республика Хакасия город Абакан улица Ивана Ярыгина дом 32   помещение 77н</t>
  </si>
  <si>
    <t>ИП Мазуров Дмитрий Александрович</t>
  </si>
  <si>
    <t>190107706688</t>
  </si>
  <si>
    <t>ИП1908032211</t>
  </si>
  <si>
    <t>ИП190803221100000</t>
  </si>
  <si>
    <t>655100 Республика Хакасия рабочий поселок Усть-Абакан переулок Советский дом 2</t>
  </si>
  <si>
    <t>ИП190803221100001</t>
  </si>
  <si>
    <t>655011 Республика Хакасия город Абакан улица Пирятинская дом 16-а</t>
  </si>
  <si>
    <t>ИП190803221100002</t>
  </si>
  <si>
    <t>655111 Республика Хакасия город Сорск улица Кирова дом 25   помещение 1н</t>
  </si>
  <si>
    <t>ООО "ЛОМБАРД-ГАРАНТ"</t>
  </si>
  <si>
    <t>1901093355</t>
  </si>
  <si>
    <t>ЮЛ1908013563</t>
  </si>
  <si>
    <t>ЮЛ190801356300004</t>
  </si>
  <si>
    <t>655000 Республика Хакасия город Абакан улица Тельмана дом 98А   помещение 1</t>
  </si>
  <si>
    <t>ИП190800258300002</t>
  </si>
  <si>
    <t>655017 Республика Хакасия город Абакан улица Тараса Шевченко дом 64   помещение 67 "Н"</t>
  </si>
  <si>
    <t>ИП Шахматова Ксения Юрьевна</t>
  </si>
  <si>
    <t>190119238145</t>
  </si>
  <si>
    <t>ИП1908014525</t>
  </si>
  <si>
    <t>ИП190801452500000</t>
  </si>
  <si>
    <t>655016 Республика Хакасия город Абакан улица Торосова дом 17   помещение 32Н</t>
  </si>
  <si>
    <t>ИП190803730900000</t>
  </si>
  <si>
    <t>655603 Республика Хакасия город Саяногорск мкр Заводской  дом 41    пом 534Н</t>
  </si>
  <si>
    <t>ИП Попков Михаил Георгиевич</t>
  </si>
  <si>
    <t>190200074306</t>
  </si>
  <si>
    <t>ИП1908009237</t>
  </si>
  <si>
    <t>ИП190800923700000</t>
  </si>
  <si>
    <t>655017 Республика Хакасия город Абакан улица Пушкина дом 99  Литера А6</t>
  </si>
  <si>
    <t>ИП190800842600000</t>
  </si>
  <si>
    <t>655017 Республика Хакасия Город Абакан Улица Вяткина Дом 20</t>
  </si>
  <si>
    <t>ИП190800842600002</t>
  </si>
  <si>
    <t>655017 Республика Хакасия Город Абакан Улица Крылова Дом 66Б</t>
  </si>
  <si>
    <t>ИП190800842600003</t>
  </si>
  <si>
    <t>655010 Республика Хакасия Город Абакан Улица Торговая Дом 3</t>
  </si>
  <si>
    <t>ИП190800842600005</t>
  </si>
  <si>
    <t>655603 Республика Хакасия город Саяногорск Заводской микрорайон дом 57   помещение 61Н</t>
  </si>
  <si>
    <t>ИП Белоусова Нина Иосифовна</t>
  </si>
  <si>
    <t>190200631148</t>
  </si>
  <si>
    <t>ИП1908014726</t>
  </si>
  <si>
    <t>ИП190801472600000</t>
  </si>
  <si>
    <t>655000 Республика Хакасия город Саяногорск Советский микрорайон 38   Нежилое помещение 32 Н</t>
  </si>
  <si>
    <t>ИП Лукина Олеся Анатольевна</t>
  </si>
  <si>
    <t>190204525905</t>
  </si>
  <si>
    <t>ИП1908015539</t>
  </si>
  <si>
    <t>ИП190801553900000</t>
  </si>
  <si>
    <t>655158 Республика Хакасия город Черногорск улица Юбилейная дом 16 073Н</t>
  </si>
  <si>
    <t>1903022254</t>
  </si>
  <si>
    <t>ЮЛ1908012264</t>
  </si>
  <si>
    <t>ЮЛ190801226400000</t>
  </si>
  <si>
    <t>655158 Республика Хакасия город Черногорск проспект Космонавтов дом 18 корпус 2  44н</t>
  </si>
  <si>
    <t>ИП Онанко Игорь Александрович</t>
  </si>
  <si>
    <t>190303066307</t>
  </si>
  <si>
    <t>ИП1908012146</t>
  </si>
  <si>
    <t>ИП190801214600000</t>
  </si>
  <si>
    <t>655750 Республика Хакасия город Абаза улица Лазо дом 2   помещение 99Н</t>
  </si>
  <si>
    <t>ИП Пеньдяк Ольга Викторовна</t>
  </si>
  <si>
    <t>190900028200</t>
  </si>
  <si>
    <t>ИП1908015478</t>
  </si>
  <si>
    <t>ИП190801547800000</t>
  </si>
  <si>
    <t>655111 Республика Хакасия город Сорск улица Кирова дом 17А   офис 4Н</t>
  </si>
  <si>
    <t>ИП Василькова Людмила Алексеевна</t>
  </si>
  <si>
    <t>191001366578</t>
  </si>
  <si>
    <t>ИП1908010359</t>
  </si>
  <si>
    <t>ИП190801035900000</t>
  </si>
  <si>
    <t>655200 Республика Хакасия село Шира улица Октябрьская дом 98</t>
  </si>
  <si>
    <t>ПО "НИКА"</t>
  </si>
  <si>
    <t>1911005647</t>
  </si>
  <si>
    <t>ЮЛ1908010099</t>
  </si>
  <si>
    <t>ЮЛ190801009900000</t>
  </si>
  <si>
    <t>655017 Республика Хакасия город Абакан улица Щетинкина дом 61   помещение 148н</t>
  </si>
  <si>
    <t>ИП240800069600005</t>
  </si>
  <si>
    <t>655012 Республика Хакасия город Абакан улица Пушкина дом 99</t>
  </si>
  <si>
    <t>ИП240800069600006</t>
  </si>
  <si>
    <t>655150 Республика Хакасия город Черногорск улица Юбилейная дом 24а</t>
  </si>
  <si>
    <t>ИП240800069600007</t>
  </si>
  <si>
    <t>655017 Республика Хакасия город Абакан улица Щетинкина дом 61   помещение 136Н</t>
  </si>
  <si>
    <t>ИП190800918500001</t>
  </si>
  <si>
    <t>655158 Республика Хакасия город Черногорск улица Дзержинского дом 13А</t>
  </si>
  <si>
    <t>ИП190800918500002</t>
  </si>
  <si>
    <t>655000 Республика Хакасия город Абакан Тараса шевченко 63</t>
  </si>
  <si>
    <t>ИП190800918500003</t>
  </si>
  <si>
    <t>655017 Республика Хакасия город Абакан проспект Ленина дом 88</t>
  </si>
  <si>
    <t>ЮЛ240800578400002</t>
  </si>
  <si>
    <t>655602 Республика Хакасия город Саяногорск Заводской микрорайон дом 41   помещение 371Н</t>
  </si>
  <si>
    <t>ИП170801529100000</t>
  </si>
  <si>
    <t>655158 Республика Хакасия город Черногорск улица Дзержинского дом 24   помещение 34Н</t>
  </si>
  <si>
    <t>ИП170801529100006</t>
  </si>
  <si>
    <t>655004 Республика Хакасия город Абакан улица Некрасова дом 31 строение 1  помещение 3Н</t>
  </si>
  <si>
    <t>ЮЛ770101216600305</t>
  </si>
  <si>
    <t>655603 Республика Хакасия город Саяногорск улица Шушенская дом 18   этаж 1, часть нежилого помещения № 83</t>
  </si>
  <si>
    <t>ЮЛ770101216600631</t>
  </si>
  <si>
    <t>655004 Республика Хакасия город Абакан улица Некрасова дом 31 строение 1  помещение 3Н, первый этаж</t>
  </si>
  <si>
    <t>ЮЛ770100193500304</t>
  </si>
  <si>
    <t>655603 Республика Хакасия город Саяногорск улица Шушенская дом 18   помещение 2Н, этаж 1 (первый)</t>
  </si>
  <si>
    <t>ЮЛ770100193500624</t>
  </si>
  <si>
    <t>655017 Республика Хакасия город Абакан улица Щетинкина дом 59   помещение 201Н, этаж 1 (первый)</t>
  </si>
  <si>
    <t>ЮЛ770100193500691</t>
  </si>
  <si>
    <t>ЮЛ770100193501143</t>
  </si>
  <si>
    <t>655017 Республика Хакасия г. Абакан ул. Хакасская 55</t>
  </si>
  <si>
    <t>ЮЛ780300131300095</t>
  </si>
  <si>
    <t>655004 Республика Хакасия город Абакан улица Некрасова 31  лит. А</t>
  </si>
  <si>
    <t>ЮЛ780300131300216</t>
  </si>
  <si>
    <t>655017 Республика Хакасия город Абакан улица Щетинкина дом 22</t>
  </si>
  <si>
    <t>ЮЛ780300308200023</t>
  </si>
  <si>
    <t>655603 Республика Хакасия город Саяногорск улица Шушенская дом 18   помещение 2Н</t>
  </si>
  <si>
    <t>ЮЛ780300308200355</t>
  </si>
  <si>
    <t>655017 Республика Хакасия город Абакан улица Хакасская дом 55</t>
  </si>
  <si>
    <t>ЮЛ780300308200904</t>
  </si>
  <si>
    <t>655004 Республика Хакасия город Абакан улица Некрасова дом 31 лит. а</t>
  </si>
  <si>
    <t>ЮЛ780300308201065</t>
  </si>
  <si>
    <t>Ростовская область</t>
  </si>
  <si>
    <t>344069 Ростовская область город Ростов-на-Дону улица Таганрогская дом 145</t>
  </si>
  <si>
    <t>ИП020603403600001</t>
  </si>
  <si>
    <t>347360 Ростовская область город Волгодонск Энтузиастов  42 б</t>
  </si>
  <si>
    <t>ИП020603403600006</t>
  </si>
  <si>
    <t>347900 Ростовская область город Таганрог Чехова 320 1 а</t>
  </si>
  <si>
    <t>ИП020603403600007</t>
  </si>
  <si>
    <t>344082 Ростовская область город Ростов-на-Дону переулок Братский дом 37  литер А</t>
  </si>
  <si>
    <t>ИП610400007100034</t>
  </si>
  <si>
    <t>344002 Ростовская область город Ростов-на-Дону проспект Буденновский дом 26/57  литера а</t>
  </si>
  <si>
    <t>ИП230400618900045</t>
  </si>
  <si>
    <t>347930 Ростовская область город Таганрог площадь Мира дом 7   помещение 77</t>
  </si>
  <si>
    <t>ИП230400618900056</t>
  </si>
  <si>
    <t>344000 Ростовская область город Ростов-на-Дону улица Города Волос дом 70 1 этаж литер Б часть комнаты №67а-68и-69и-70и</t>
  </si>
  <si>
    <t>ИП Минеева Ольга Борисовна</t>
  </si>
  <si>
    <t>231302331319</t>
  </si>
  <si>
    <t>ИП6104003205</t>
  </si>
  <si>
    <t>ИП610400320500000</t>
  </si>
  <si>
    <t>347460 Ростовская область поселок Зимовники переулок Центральный дом 21</t>
  </si>
  <si>
    <t>ИП Ярова Ирина Анатольевна</t>
  </si>
  <si>
    <t>231803646768</t>
  </si>
  <si>
    <t>ИП2304004791</t>
  </si>
  <si>
    <t>ИП230400479100000</t>
  </si>
  <si>
    <t>344002 Ростовская область город Ростов-на-Дону улица Пойменная дом 1   помещение 67</t>
  </si>
  <si>
    <t>ИП Максименко Наталья Сергеевна</t>
  </si>
  <si>
    <t>233802252210</t>
  </si>
  <si>
    <t>ИП6104040029</t>
  </si>
  <si>
    <t>ИП610404002900000</t>
  </si>
  <si>
    <t>347570 Ростовская область село Песчанокопское улица Первой Конной Армии дом 2-в</t>
  </si>
  <si>
    <t>ИП Аветисянц Артур Рафикович</t>
  </si>
  <si>
    <t>262100051824</t>
  </si>
  <si>
    <t>ИП2605004063</t>
  </si>
  <si>
    <t>ИП260500406300005</t>
  </si>
  <si>
    <t>344068 Ростовская область город Ростов-на-Дону проспект Михаила Нагибина дом 32д/2   комната 6</t>
  </si>
  <si>
    <t>ИП500101205300002</t>
  </si>
  <si>
    <t>344049 Ростовская область город Ростов-на-Дону улица Жданова дом 14</t>
  </si>
  <si>
    <t>ИП340400993200015</t>
  </si>
  <si>
    <t>344049 Ростовская область город Ростов-на-Дону улица Еременко владение 89Б</t>
  </si>
  <si>
    <t>ИП340400993200016</t>
  </si>
  <si>
    <t>344068 Ростовская область город Ростов-на-Дону улица Ларина дом 43/2</t>
  </si>
  <si>
    <t>ИП340400993200017</t>
  </si>
  <si>
    <t>344068 Ростовская область город Ростов-на-Дону проспект Михаила Нагибина дом 32Е  литера "Х9" первый этаж, комнаты №18-18а</t>
  </si>
  <si>
    <t>ИП780301493800000</t>
  </si>
  <si>
    <t>344068 Ростовская область город Ростов-на-Дону проспект Михаила Нагибина дом 32ж  литер "АК" первый этаж, комната №171эи</t>
  </si>
  <si>
    <t>ИП780301493800005</t>
  </si>
  <si>
    <t>ЮЛ340400964300009</t>
  </si>
  <si>
    <t>ЮЛ340400964300013</t>
  </si>
  <si>
    <t>ЮЛ340400964300014</t>
  </si>
  <si>
    <t>344068 Ростовская область город Ростов-на-Дону проспект Михаила Нагибина дом 32Ж</t>
  </si>
  <si>
    <t>ЮЛ340400976100008</t>
  </si>
  <si>
    <t>346789 Ростовская область город Азов улица Ленина 81</t>
  </si>
  <si>
    <t>ИП Грибов Дмитрий Александрович</t>
  </si>
  <si>
    <t>402507115170</t>
  </si>
  <si>
    <t>ИП6104019169</t>
  </si>
  <si>
    <t>ИП610401916900000</t>
  </si>
  <si>
    <t>346500 Ростовская область город Шахты проспект Победа Революции дом 95  литер ч.А 1 этаж</t>
  </si>
  <si>
    <t>ЮЛ480100215000018</t>
  </si>
  <si>
    <t>346421 Ростовская область город Новочеркасск улица Ященко А.А.  дом 1А   помещение №6</t>
  </si>
  <si>
    <t>ЮЛ480100215000041</t>
  </si>
  <si>
    <t>344103 Ростовская область город Ростов-на-Дону улица Малиновского дом 25   этаж 2, помещение 111</t>
  </si>
  <si>
    <t>ЮЛ500100649400007</t>
  </si>
  <si>
    <t>344002 Ростовская область город Ростов-на-Дону улица Пойменная дом 1м   этаж 1, помещение № 21-008.</t>
  </si>
  <si>
    <t>ЮЛ500100649400023</t>
  </si>
  <si>
    <t>344068 Ростовская область город Ростов-на-Дону проспект Михаила Нагибина дом 32ж  литера АК этаж 1, комнаты № 171х, № 171ц.</t>
  </si>
  <si>
    <t>ЮЛ500100649400031</t>
  </si>
  <si>
    <t>346720 Ростовская область город Аксай проспект Аксайский дом 23   помещение 3102</t>
  </si>
  <si>
    <t>ЮЛ500100649400038</t>
  </si>
  <si>
    <t>344006 Ростовская область город Ростов-на-Дону улица Большая Садовая дом 89   помещения 1-го этажа (№ 8,9,10,11,12,13, 14) и помещения подвала (№ 29,30)</t>
  </si>
  <si>
    <t>ИП500100445500018</t>
  </si>
  <si>
    <t>344103 Ростовская область город Ростов-на-Дону улица Малиновского здание 25</t>
  </si>
  <si>
    <t>ИП500100445500055</t>
  </si>
  <si>
    <t>344068 Ростовская область город Ростов-на-Дону улица Омская здание 2б   ТРК Горизонт</t>
  </si>
  <si>
    <t>ИП500100445500104</t>
  </si>
  <si>
    <t>ИП520600807800007</t>
  </si>
  <si>
    <t>344049 Ростовская область город Ростов-на-Дону улица Малиновского здание 25   помещение № 152</t>
  </si>
  <si>
    <t>ИП520600807800024</t>
  </si>
  <si>
    <t>347930 Ростовская область город Таганрог площадь Мира дом 7   помещение № 66 литера м</t>
  </si>
  <si>
    <t>ИП520600807800026</t>
  </si>
  <si>
    <t>346400 Ростовская область город Новочеркасск улица Ященко А.А дом 1А строение 1  ком. 17, 18, 19</t>
  </si>
  <si>
    <t>ЮЛ520603376600049</t>
  </si>
  <si>
    <t>344015 Ростовская область город Ростов-на-Дону улица Зорге дом 33</t>
  </si>
  <si>
    <t>ИП Чифликян Левон Левонович</t>
  </si>
  <si>
    <t>610205618150</t>
  </si>
  <si>
    <t>ИП6104032202</t>
  </si>
  <si>
    <t>ИП610403220200000</t>
  </si>
  <si>
    <t>344090 Ростовская область город Ростов-на-Дону улица Малиновского дом 25 часть нежилого Помещения №152 А 2ой этаж</t>
  </si>
  <si>
    <t>ИП Чифликян Нарине Алексановна</t>
  </si>
  <si>
    <t>610205618224</t>
  </si>
  <si>
    <t>ИП6104004128</t>
  </si>
  <si>
    <t>ИП610400412800000</t>
  </si>
  <si>
    <t>344015 Ростовская область город Ростов-на-Дону улица Зорге дом 33 часть комнаты №1 этаж 1</t>
  </si>
  <si>
    <t>ИП610400412800002</t>
  </si>
  <si>
    <t>346610 Ростовская область станица Багаевская улица Подройкина здание 16</t>
  </si>
  <si>
    <t>ИП Бердзенашвили Алим Дамирхан Оглы</t>
  </si>
  <si>
    <t>610303468249</t>
  </si>
  <si>
    <t>ИП6104040344</t>
  </si>
  <si>
    <t>ИП610404034400000</t>
  </si>
  <si>
    <t>344023 Ростовская область город Ростов-на-Дону пр-т М. Нагибина дом 32Ж   ком.170-191-194-195</t>
  </si>
  <si>
    <t>ИП Богданова Ольга Анатольевна</t>
  </si>
  <si>
    <t>610304255229</t>
  </si>
  <si>
    <t>ИП6104036135</t>
  </si>
  <si>
    <t>ИП610403613500000</t>
  </si>
  <si>
    <t>344002 Ростовская область город Ростов-на-Дону проспект Ворошиловский дом 75   Литер А магазин "Art-Jeweller"</t>
  </si>
  <si>
    <t>ИП Орехова Нина Викторовна</t>
  </si>
  <si>
    <t>610601019344</t>
  </si>
  <si>
    <t>ИП6104039671</t>
  </si>
  <si>
    <t>ИП610403967100000</t>
  </si>
  <si>
    <t>347780 Ростовская область поселок Веселый Комсомольский 48  а</t>
  </si>
  <si>
    <t>ИП Коноба Игорь Михайлович</t>
  </si>
  <si>
    <t>610602585720</t>
  </si>
  <si>
    <t>ИП6104008573</t>
  </si>
  <si>
    <t>ИП610400857300000</t>
  </si>
  <si>
    <t>347210 Ростовская область город Морозовск улица Луначарского дом 11</t>
  </si>
  <si>
    <t>ИП Скворцов Франциско Алексеевич</t>
  </si>
  <si>
    <t>610700087401</t>
  </si>
  <si>
    <t>ИП6104001479</t>
  </si>
  <si>
    <t>ИП610400147900001</t>
  </si>
  <si>
    <t>347382 Ростовская область город Волгодонск проспект Строителей дом 25</t>
  </si>
  <si>
    <t>ИП610400147900003</t>
  </si>
  <si>
    <t>347382 Ростовская область город Волгодонск проспект Строителей дом 21   комнаты 41, 42</t>
  </si>
  <si>
    <t>ИП610400147900004</t>
  </si>
  <si>
    <t>347382 Ростовская область город Волгодонск проспект Строителей дом 21   комнаты 2, 3, 4, 5</t>
  </si>
  <si>
    <t>ИП610400147900005</t>
  </si>
  <si>
    <t>347371 Ростовская область город Волгодонск улица Весенняя дом 56</t>
  </si>
  <si>
    <t>ИП610400147900007</t>
  </si>
  <si>
    <t>347360 Ростовская область город Волгодонск улица Морская дом 86   помещение III (магазин)</t>
  </si>
  <si>
    <t>ИП610400147900008</t>
  </si>
  <si>
    <t>347760 Ростовская область поселок Целина 7-я линия 35 дом</t>
  </si>
  <si>
    <t>ИП Порохня Вероника Павловна</t>
  </si>
  <si>
    <t>610900008911</t>
  </si>
  <si>
    <t>ИП6104002688</t>
  </si>
  <si>
    <t>ИП610400268800000</t>
  </si>
  <si>
    <t>347660 Ростовская область станица Егорлыкская улица Ворошилова 73</t>
  </si>
  <si>
    <t>ИП Казачкова Ольга Васильевна</t>
  </si>
  <si>
    <t>610900024335</t>
  </si>
  <si>
    <t>ИП6104000795</t>
  </si>
  <si>
    <t>ИП610400079500000</t>
  </si>
  <si>
    <t>347430 Ростовская область село Заветное улица Ломоносова дом 32</t>
  </si>
  <si>
    <t>ИП Зинченко Ольга Николаевна</t>
  </si>
  <si>
    <t>611000029004</t>
  </si>
  <si>
    <t>ИП6104037111</t>
  </si>
  <si>
    <t>ИП610403711100000</t>
  </si>
  <si>
    <t>347740 Ростовская область город Зерноград улица им Ленина дом 30/16</t>
  </si>
  <si>
    <t>ИП Гудко Ольга Анатольевна</t>
  </si>
  <si>
    <t>611100215188</t>
  </si>
  <si>
    <t>ИП6104018992</t>
  </si>
  <si>
    <t>ИП610401899200000</t>
  </si>
  <si>
    <t>347740 Ростовская область город Зерноград улица Социалистическая дом 18/12 строение 1</t>
  </si>
  <si>
    <t>ИП610401899200002</t>
  </si>
  <si>
    <t>347740 Ростовская область город Зерноград улица К.Маркса дом 26/27</t>
  </si>
  <si>
    <t>ИП610401899200003</t>
  </si>
  <si>
    <t>347740 Ростовская область город Зерноград улица Специалистов дом 58/28</t>
  </si>
  <si>
    <t>ИП Мироненко Елена Александровна</t>
  </si>
  <si>
    <t>611101241046</t>
  </si>
  <si>
    <t>ИП6104005652</t>
  </si>
  <si>
    <t>ИП610400565200000</t>
  </si>
  <si>
    <t>344006 Ростовская область город Ростов-на-Дону проспект Соколова дом 30</t>
  </si>
  <si>
    <t>ИП Бояркина Нина Владимировна</t>
  </si>
  <si>
    <t>611392310990</t>
  </si>
  <si>
    <t>ИП6104032409</t>
  </si>
  <si>
    <t>ИП610403240900000</t>
  </si>
  <si>
    <t>346550 Ростовская область рабочий поселок Усть-Донецкий улица Строителей дом 84   помещение 14</t>
  </si>
  <si>
    <t>ИП Белоусов Геннадий Владимирович</t>
  </si>
  <si>
    <t>611392705564</t>
  </si>
  <si>
    <t>ИП6104007735</t>
  </si>
  <si>
    <t>ИП610400773500000</t>
  </si>
  <si>
    <t>347250 Ростовская область город Константиновск улица Коммунистическая дом 96-в</t>
  </si>
  <si>
    <t>ИП Бычков Валерий Михайлович</t>
  </si>
  <si>
    <t>611602264301</t>
  </si>
  <si>
    <t>ИП6104008301</t>
  </si>
  <si>
    <t>ИП610400830100000</t>
  </si>
  <si>
    <t>347630 Ростовская область город Сальск улица Коломийцева дом 38 - - -</t>
  </si>
  <si>
    <t>ИП Маилова Шафига Шамильевна</t>
  </si>
  <si>
    <t>611803836319</t>
  </si>
  <si>
    <t>ИП6104000021</t>
  </si>
  <si>
    <t>ИП610400002100000</t>
  </si>
  <si>
    <t>346940 Ростовская область село Куйбышево улица Театральная дом 67а</t>
  </si>
  <si>
    <t>ИП Джереджа Светлана Владимировна</t>
  </si>
  <si>
    <t>611901830604</t>
  </si>
  <si>
    <t>ИП6104040934</t>
  </si>
  <si>
    <t>ИП610404093400000</t>
  </si>
  <si>
    <t>347879 Ростовская область город Гуково улица Шахтерская дом 52</t>
  </si>
  <si>
    <t>ИП Бычкова Ольга Анатольевна</t>
  </si>
  <si>
    <t>612100193296</t>
  </si>
  <si>
    <t>ИП6104009542</t>
  </si>
  <si>
    <t>ИП610400954200000</t>
  </si>
  <si>
    <t>347140 Ростовская область станица Обливская улица Кузнецова дом 77А</t>
  </si>
  <si>
    <t>ИП610400954200001</t>
  </si>
  <si>
    <t>347879 Ростовская область город Гуково улица Комсомольская дом 46   помещение 1</t>
  </si>
  <si>
    <t>ИП610400954200002</t>
  </si>
  <si>
    <t>346918 Ростовская область Новошахтинск проспект Ленина дом 7 помещение 4</t>
  </si>
  <si>
    <t>ИП610400829500000</t>
  </si>
  <si>
    <t>347210 Ростовская область город Морозовск улица Подтелкова дом 11А</t>
  </si>
  <si>
    <t>ИП610400829500001</t>
  </si>
  <si>
    <t>347809 Ростовская область город Каменск-Шахтинский улица Ворошилова дом 18</t>
  </si>
  <si>
    <t>ИП610400829500004</t>
  </si>
  <si>
    <t>346350 Ростовская область город Красный Сулин улица Победы дом 17</t>
  </si>
  <si>
    <t>ИП610400829500007</t>
  </si>
  <si>
    <t>347881 Ростовская область город Гуково улица Карла Маркса дом 58</t>
  </si>
  <si>
    <t>ИП610400829500008</t>
  </si>
  <si>
    <t>346312 Ростовская область город Зверево улица Обухова дом 35</t>
  </si>
  <si>
    <t>ИП610400829500009</t>
  </si>
  <si>
    <t>346918 Ростовская область город Новошахтинск улица Базарная дом 26/4</t>
  </si>
  <si>
    <t>ИП610400829500011</t>
  </si>
  <si>
    <t>346270 Ростовская область станица Вешенская переулок Розы Люксембург  Дом 11 Литер А</t>
  </si>
  <si>
    <t>ИП Кружилин Владимир Иванович</t>
  </si>
  <si>
    <t>612100466828</t>
  </si>
  <si>
    <t>ИП6104002675</t>
  </si>
  <si>
    <t>ИП610400267500000</t>
  </si>
  <si>
    <t>346170 Ростовская область станица Казанская улица Тимирязева дом 69 Литер В</t>
  </si>
  <si>
    <t>ИП610400267500001</t>
  </si>
  <si>
    <t>346720 Ростовская область город Аксай проспект Ленина дом 18</t>
  </si>
  <si>
    <t>ИП Нужденко Ирина Александровна</t>
  </si>
  <si>
    <t>612103312174</t>
  </si>
  <si>
    <t>ИП6104008574</t>
  </si>
  <si>
    <t>ИП610400857400000</t>
  </si>
  <si>
    <t>346350 Ростовская область город Красный Сулин улица Фурманова дом 2 А строение 7 Ж</t>
  </si>
  <si>
    <t>ИП610400857400003</t>
  </si>
  <si>
    <t>347042 Ростовская область город Белая Калитва улица Калинина дом 5   3</t>
  </si>
  <si>
    <t>ИП610400857400004</t>
  </si>
  <si>
    <t>347210 Ростовская область город Морозовск Подтелкова дом 5В</t>
  </si>
  <si>
    <t>ИП610400857400005</t>
  </si>
  <si>
    <t>ИП Бычков Егор Анатольевич</t>
  </si>
  <si>
    <t>612189182083</t>
  </si>
  <si>
    <t>ИП6104034821</t>
  </si>
  <si>
    <t>ИП610403482100000</t>
  </si>
  <si>
    <t>346800 Ростовская область село Чалтырь улица Ростовская здание 108   помещение 12</t>
  </si>
  <si>
    <t>ИП Осканян Татьяна Хачатуровна</t>
  </si>
  <si>
    <t>612200572812</t>
  </si>
  <si>
    <t>ИП6104006722</t>
  </si>
  <si>
    <t>ИП610400672200000</t>
  </si>
  <si>
    <t>346800 Ростовская область село Чалтырь улица Ростовская дом 42а - - -</t>
  </si>
  <si>
    <t>ИП Назаретян Маргарита Каспаровна</t>
  </si>
  <si>
    <t>612201541197</t>
  </si>
  <si>
    <t>ИП6104000942</t>
  </si>
  <si>
    <t>ИП610400094200000</t>
  </si>
  <si>
    <t>347140 Ростовская область станица Обливская улица Ленина дом 17В   этаж 1</t>
  </si>
  <si>
    <t>ИП Сафронов Андрей Васильевич</t>
  </si>
  <si>
    <t>612400010546</t>
  </si>
  <si>
    <t>ИП6104031656</t>
  </si>
  <si>
    <t>ИП610403165600000</t>
  </si>
  <si>
    <t>347140 Ростовская область станица Обливская улица Кузнецова дом 71</t>
  </si>
  <si>
    <t>ИП Чернованова Марина Петровна</t>
  </si>
  <si>
    <t>612401343298</t>
  </si>
  <si>
    <t>ИП6104012765</t>
  </si>
  <si>
    <t>ИП610401276500000</t>
  </si>
  <si>
    <t>347510 Ростовская область поселок Орловский улица М.Горького дом 40А строение 18</t>
  </si>
  <si>
    <t>ИП Кныш Галина Ивановна</t>
  </si>
  <si>
    <t>612600101913</t>
  </si>
  <si>
    <t>ИП6104011263</t>
  </si>
  <si>
    <t>ИП610401126300000</t>
  </si>
  <si>
    <t>344092 Ростовская область город Ростов-на-Дону проспект Космонавтов здание 2/2 ч.п. 20в-21в-22в литер Б</t>
  </si>
  <si>
    <t>ИП Безверхова Татьяна Анатольевна</t>
  </si>
  <si>
    <t>612603051957</t>
  </si>
  <si>
    <t>ИП6104014772</t>
  </si>
  <si>
    <t>ИП610401477200000</t>
  </si>
  <si>
    <t>344000 Ростовская область город Ростов-на-Дону ул.Пойменная дом 1</t>
  </si>
  <si>
    <t>ИП Меликян Арарат Сережаевич</t>
  </si>
  <si>
    <t>612603500218</t>
  </si>
  <si>
    <t>ИП6104014318</t>
  </si>
  <si>
    <t>ИП610401431800000</t>
  </si>
  <si>
    <t>344000 Ростовская область город Ростов-на-Дону улица Социалистическая  дом 105/42  Литера А офис 2</t>
  </si>
  <si>
    <t>ИП Харитонова Инна Михайловна</t>
  </si>
  <si>
    <t>612800142755</t>
  </si>
  <si>
    <t>ИП6104038736</t>
  </si>
  <si>
    <t>ИП610403873600000</t>
  </si>
  <si>
    <t>346918 Ростовская область город Новошахтинск улица Базарная дом 33 литер А</t>
  </si>
  <si>
    <t>ИП Бесчастный Евгений Николаевич</t>
  </si>
  <si>
    <t>613000300605</t>
  </si>
  <si>
    <t>ИП6104002840</t>
  </si>
  <si>
    <t>ИП610400284000000</t>
  </si>
  <si>
    <t>346918 Ростовская область город Новошахтинск улица Базарная дом 26  помещение 5</t>
  </si>
  <si>
    <t>ИП610400284000001</t>
  </si>
  <si>
    <t>346630 Ростовская область город Семикаракорск переулок 5 дом 21а</t>
  </si>
  <si>
    <t>ИП Болгова Альбина Евгеньевна</t>
  </si>
  <si>
    <t>613200066293</t>
  </si>
  <si>
    <t>ИП6104009546</t>
  </si>
  <si>
    <t>ИП610400954600000</t>
  </si>
  <si>
    <t>346630 Ростовская область город Семикаракорск переулок 5-й дом 23 - - -</t>
  </si>
  <si>
    <t>ИП Савостин Дмитрий Александрович</t>
  </si>
  <si>
    <t>613205084747</t>
  </si>
  <si>
    <t>ИП6104006698</t>
  </si>
  <si>
    <t>ИП610400669800000</t>
  </si>
  <si>
    <t>347060 Ростовская область станица Тацинская улица Ленина дом 66</t>
  </si>
  <si>
    <t>ИП Кальчук Николай Владимирович</t>
  </si>
  <si>
    <t>613401549460</t>
  </si>
  <si>
    <t>ИП6104001668</t>
  </si>
  <si>
    <t>ИП610400166800000</t>
  </si>
  <si>
    <t>347320 Ростовская область город Цимлянск улица Советская 27</t>
  </si>
  <si>
    <t>ИП Каге Т.В.</t>
  </si>
  <si>
    <t>613700264053</t>
  </si>
  <si>
    <t>ИП6104009362</t>
  </si>
  <si>
    <t>ИП610400936200000</t>
  </si>
  <si>
    <t>347360 Ростовская область город Волгодонск улица 50 лет СССР дом 25   помещение № 4</t>
  </si>
  <si>
    <t>ООО "ЛОМБАРД "СРОЧНЫЙ"</t>
  </si>
  <si>
    <t>6137009653</t>
  </si>
  <si>
    <t>ЮЛ6104008753</t>
  </si>
  <si>
    <t>ЮЛ610400875300000</t>
  </si>
  <si>
    <t>347320 Ростовская область город Цимлянск  ул Советская дом 23</t>
  </si>
  <si>
    <t>ИП Елфимова Екатерина Сергеевна</t>
  </si>
  <si>
    <t>613701237207</t>
  </si>
  <si>
    <t>ИП6104009734</t>
  </si>
  <si>
    <t>ИП610400973400000</t>
  </si>
  <si>
    <t>346000 Ростовская область поселок Чертково улица Петровского дом 26 - - комнаты 3, 3а, 3б, 4, 4а</t>
  </si>
  <si>
    <t>ИП Гулина Ольга Сергеевна</t>
  </si>
  <si>
    <t>613803838542</t>
  </si>
  <si>
    <t>ИП6104001324</t>
  </si>
  <si>
    <t>ИП610400132400000</t>
  </si>
  <si>
    <t>346270 Ростовская область станица Вешенская улица Пансионатовская дом 7</t>
  </si>
  <si>
    <t>ИП Мажаров Сергей Александрович</t>
  </si>
  <si>
    <t>613900063019</t>
  </si>
  <si>
    <t>ИП6104000083</t>
  </si>
  <si>
    <t>ИП610400008300000</t>
  </si>
  <si>
    <t>346780 Ростовская область город Азов улица Чехова дом 20</t>
  </si>
  <si>
    <t>ИП Миллер Нина Федоровна</t>
  </si>
  <si>
    <t>614000364030</t>
  </si>
  <si>
    <t>ИП6104005402</t>
  </si>
  <si>
    <t>ИП610400540200000</t>
  </si>
  <si>
    <t>346780 Ростовская область город Азов улица Мира дом 19/31   офис 26.26а</t>
  </si>
  <si>
    <t>ИП Ахмедов Замир Мужабдинович</t>
  </si>
  <si>
    <t>614000388739</t>
  </si>
  <si>
    <t>ИП6104005393</t>
  </si>
  <si>
    <t>ИП610400539300000</t>
  </si>
  <si>
    <t>346780 Ростовская область город Азов переулок Красноармейский дом 80</t>
  </si>
  <si>
    <t>ИП Луценко Инна Викторовна</t>
  </si>
  <si>
    <t>614005967659</t>
  </si>
  <si>
    <t>ИП6104007337</t>
  </si>
  <si>
    <t>ИП610400733700000</t>
  </si>
  <si>
    <t>344010 Ростовская область город Ростов-на-Дону улица Города Волос дом 6  литера Б комната 31,32,33,34,36,39,40,41,43,44 этаж 12</t>
  </si>
  <si>
    <t>ИП Брель Марина Евгеньевна</t>
  </si>
  <si>
    <t>614006524667</t>
  </si>
  <si>
    <t>ИП6104017659</t>
  </si>
  <si>
    <t>ИП610401765900000</t>
  </si>
  <si>
    <t>346780 Ростовская область город Азов бульвар Петровский дом 5а   2 этаж, часть комнаты №206</t>
  </si>
  <si>
    <t>ИП Брель Денис Евгеньевич</t>
  </si>
  <si>
    <t>614006524730</t>
  </si>
  <si>
    <t>ИП6104038728</t>
  </si>
  <si>
    <t>ИП610403872800000</t>
  </si>
  <si>
    <t>346880 Ростовская область город Батайск улица Кирова дом 1</t>
  </si>
  <si>
    <t>ИП Гагацева Татьяна Юрьевна</t>
  </si>
  <si>
    <t>614100126590</t>
  </si>
  <si>
    <t>ИП6104012257</t>
  </si>
  <si>
    <t>ИП610401225700000</t>
  </si>
  <si>
    <t>346885 Ростовская область город Батайск улица Половинко здание 39</t>
  </si>
  <si>
    <t>ООО "ЛУННЫЙ СВЕТ"</t>
  </si>
  <si>
    <t>6141021942</t>
  </si>
  <si>
    <t>ЮЛ6104000332</t>
  </si>
  <si>
    <t>ЮЛ610400033200000</t>
  </si>
  <si>
    <t>344007 Ростовская область город Ростов-на-Дону улица Большая Садовая дом 46  Литер А Магазин №1</t>
  </si>
  <si>
    <t>ИП Гаспарян Анжела Кареновна</t>
  </si>
  <si>
    <t>614104920281</t>
  </si>
  <si>
    <t>ИП6104002761</t>
  </si>
  <si>
    <t>ИП610400276100000</t>
  </si>
  <si>
    <t>344092 Ростовская область город Ростов-на-Дону проспект Космонавтов дом 2/2</t>
  </si>
  <si>
    <t>ИП610400276100002</t>
  </si>
  <si>
    <t>344068 Ростовская область город Ростов-на-Дону улица Омская дом 2б  литера "Х" часть комнаты № 1-2-25е</t>
  </si>
  <si>
    <t>ИП Кравченко Людмила Ивановна</t>
  </si>
  <si>
    <t>614106378900</t>
  </si>
  <si>
    <t>ИП6104001866</t>
  </si>
  <si>
    <t>ИП610400186600000</t>
  </si>
  <si>
    <t>344082 Ростовская область город Ростов-на-Дону переулок Братский дом 37  литер А помещение 5</t>
  </si>
  <si>
    <t>ИП610401294100000</t>
  </si>
  <si>
    <t>344065 Ростовская область город Ростов-на-Дону улица Орская дом 12в  литера я ком. 1,2,3,4,5,6,7,8,9,10</t>
  </si>
  <si>
    <t>ИП Кирин Сергей Александрович</t>
  </si>
  <si>
    <t>614108866645</t>
  </si>
  <si>
    <t>ИП6104038985</t>
  </si>
  <si>
    <t>ИП610403898500000</t>
  </si>
  <si>
    <t>347380 Ростовская область город Волгодонск проспект Курчатова дом 18  литера Б</t>
  </si>
  <si>
    <t>ИП Гоголева Раиса Петровна</t>
  </si>
  <si>
    <t>614300532905</t>
  </si>
  <si>
    <t>ИП6104009676</t>
  </si>
  <si>
    <t>ИП610400967600000</t>
  </si>
  <si>
    <t>347370 Ростовская область город Волгодонск улица Ленина дом 103   Ювелирный салон "Даймонд"</t>
  </si>
  <si>
    <t>ИП Фомина Елена Васильевна</t>
  </si>
  <si>
    <t>614301117073</t>
  </si>
  <si>
    <t>ИП6104006474</t>
  </si>
  <si>
    <t>ИП610400647400000</t>
  </si>
  <si>
    <t>347360 Ростовская область город Волгодонск улица Ленина дом 47   Универмаг 1 этаж</t>
  </si>
  <si>
    <t>ИП610400647400001</t>
  </si>
  <si>
    <t>347382 Ростовская область город Волгодонск проспект Строителей дом 21   "Торговый центр"</t>
  </si>
  <si>
    <t>ИП610400647400002</t>
  </si>
  <si>
    <t>347360 Ростовская область город Волгодонск улица Ленина дом 50</t>
  </si>
  <si>
    <t>ООО "ЛОМБАРД ДАУРИЯ"</t>
  </si>
  <si>
    <t>6143036849</t>
  </si>
  <si>
    <t>ЮЛ6104000869</t>
  </si>
  <si>
    <t>ЮЛ610400086900000</t>
  </si>
  <si>
    <t>347382 Ростовская область город Волгодонск проспект Строителей дом 21</t>
  </si>
  <si>
    <t>ЮЛ610400086900001</t>
  </si>
  <si>
    <t>347381 Ростовская область город Волгодонск улица Морская дом 116/22</t>
  </si>
  <si>
    <t>ЮЛ610400086900002</t>
  </si>
  <si>
    <t>347380 Ростовская область город Волгодонск улица Дружбы дом 14</t>
  </si>
  <si>
    <t>ЮЛ610400086900003</t>
  </si>
  <si>
    <t>347383 Ростовская область город Волгодонск улица Академика Королева дом 6</t>
  </si>
  <si>
    <t>ЮЛ610400086900004</t>
  </si>
  <si>
    <t>347371 Ростовская область город Волгодонск проспект Строителей дом 2</t>
  </si>
  <si>
    <t>ЮЛ610400086900005</t>
  </si>
  <si>
    <t>347386 Ростовская область город Волгодонск улица Гагарина дом 42/9 строение 2  офис 5</t>
  </si>
  <si>
    <t>ЮЛ610400086900006</t>
  </si>
  <si>
    <t>347375 Ростовская область город Волгодонск улица Энтузиастов дом 42/8   помещение IV</t>
  </si>
  <si>
    <t>ЮЛ610400086900007</t>
  </si>
  <si>
    <t>ООО "ДАУРИЯ"</t>
  </si>
  <si>
    <t>6143068093</t>
  </si>
  <si>
    <t>ЮЛ6104000867</t>
  </si>
  <si>
    <t>ЮЛ610400086700000</t>
  </si>
  <si>
    <t>347371 Ростовская область город Волгодонск улица Весенняя дом 56   помещение 8</t>
  </si>
  <si>
    <t>ЮЛ610400086700001</t>
  </si>
  <si>
    <t>344010 Ростовская область город Ростов-на-Дону улица Петренко 3   113</t>
  </si>
  <si>
    <t>ИП Куличенко Екатерина Андреевна</t>
  </si>
  <si>
    <t>614307848471</t>
  </si>
  <si>
    <t>ИП6104018061</t>
  </si>
  <si>
    <t>ИП610401806100000</t>
  </si>
  <si>
    <t>346630 Ростовская область город Семикаракорск Ленина 134</t>
  </si>
  <si>
    <t>ИП Бирюкова Инна Александровна</t>
  </si>
  <si>
    <t>614309509996</t>
  </si>
  <si>
    <t>ИП6104035547</t>
  </si>
  <si>
    <t>ИП610403554700000</t>
  </si>
  <si>
    <t>ИП Моисеенко Людмила Ивановна</t>
  </si>
  <si>
    <t>614314999552</t>
  </si>
  <si>
    <t>ИП6104031179</t>
  </si>
  <si>
    <t>ИП610403117900000</t>
  </si>
  <si>
    <t>ИП Гоголев Давид Игоревич</t>
  </si>
  <si>
    <t>614320037391</t>
  </si>
  <si>
    <t>ИП6104032423</t>
  </si>
  <si>
    <t>ИП610403242300000</t>
  </si>
  <si>
    <t>347871 Ростовская область город Гуково улица Карла Маркса дом 90 - - -</t>
  </si>
  <si>
    <t>ИП Новойдарская Надежда Ивановна</t>
  </si>
  <si>
    <t>614400140820</t>
  </si>
  <si>
    <t>ИП6104000023</t>
  </si>
  <si>
    <t>ИП610400002300000</t>
  </si>
  <si>
    <t>347871 Ростовская область город Гуково улица Мира дом 33  Литер Аа</t>
  </si>
  <si>
    <t>ООО "ЛОМБАРД ЛЮЭ"</t>
  </si>
  <si>
    <t>6144006558</t>
  </si>
  <si>
    <t>ЮЛ6104006704</t>
  </si>
  <si>
    <t>ЮЛ610400670400000</t>
  </si>
  <si>
    <t>347871 Ростовская область город Гуково улица Карла Маркса дом 90</t>
  </si>
  <si>
    <t>ИП Щипцова Нина Алексеевна</t>
  </si>
  <si>
    <t>614402954688</t>
  </si>
  <si>
    <t>ИП6104009039</t>
  </si>
  <si>
    <t>ИП610400903900000</t>
  </si>
  <si>
    <t>347880 Ростовская область город Гуково улица Криничная дом 48   помещение 1</t>
  </si>
  <si>
    <t>ИП Новойдарская Ольга Анатольевна</t>
  </si>
  <si>
    <t>614406224820</t>
  </si>
  <si>
    <t>ИП6104000135</t>
  </si>
  <si>
    <t>ИП610400013500000</t>
  </si>
  <si>
    <t>346330 Ростовская область город Донецк улица Максима Горького 52   8</t>
  </si>
  <si>
    <t>ООО "ЗВК"</t>
  </si>
  <si>
    <t>6145007716</t>
  </si>
  <si>
    <t>ЮЛ6104031593</t>
  </si>
  <si>
    <t>ЮЛ610403159300000</t>
  </si>
  <si>
    <t>346330 Ростовская область город Донецк проспект Ленина дом 18А</t>
  </si>
  <si>
    <t>ИП Сахаров Александр Витальевич</t>
  </si>
  <si>
    <t>614503234100</t>
  </si>
  <si>
    <t>ИП6104030029</t>
  </si>
  <si>
    <t>ИП610403002900000</t>
  </si>
  <si>
    <t>346312 Ростовская область город Зверево улица Обухова дом 7</t>
  </si>
  <si>
    <t>6146002005</t>
  </si>
  <si>
    <t>ЮЛ6104001889</t>
  </si>
  <si>
    <t>ЮЛ610400188900000</t>
  </si>
  <si>
    <t>347879 Ростовская область город Гуково улица Комсомольская дом 40   квартира 2</t>
  </si>
  <si>
    <t>ЮЛ610400188900001</t>
  </si>
  <si>
    <t>346132 Ростовская область город Миллерово улица 3 Интернационала дом 70В строение 3  этаж 1</t>
  </si>
  <si>
    <t>ИП Репкина Татьяна Юрьевна</t>
  </si>
  <si>
    <t>614601209952</t>
  </si>
  <si>
    <t>ИП6104013777</t>
  </si>
  <si>
    <t>ИП610401377700000</t>
  </si>
  <si>
    <t>347809 Ростовская область город Каменск-Шахтинский проспект Карла Маркса дом 85</t>
  </si>
  <si>
    <t>ИП Техова Елена Александровна</t>
  </si>
  <si>
    <t>614703121351</t>
  </si>
  <si>
    <t>ИП6104003189</t>
  </si>
  <si>
    <t>ИП610400318900000</t>
  </si>
  <si>
    <t>347809 Ростовская область город Каменск-Шахтинский проспект Карла Маркса дом 64   комната 10</t>
  </si>
  <si>
    <t>ООО "ЛОМБАРД "СЕВЕРНОЕ СИЯНИЕ"</t>
  </si>
  <si>
    <t>6147042586</t>
  </si>
  <si>
    <t>ЮЛ6104036962</t>
  </si>
  <si>
    <t>ЮЛ610403696200000</t>
  </si>
  <si>
    <t>347800 Ростовская область город Каменск-Шахтинский проспект Карла Маркса дом 81</t>
  </si>
  <si>
    <t>ИП Зайцева Светлана Викторовна</t>
  </si>
  <si>
    <t>614705090500</t>
  </si>
  <si>
    <t>ИП6104009912</t>
  </si>
  <si>
    <t>ИП610400991200000</t>
  </si>
  <si>
    <t>346610 Ростовская область станица Багаевская улица Подройкина дом 32</t>
  </si>
  <si>
    <t>ИП610400976300003</t>
  </si>
  <si>
    <t>347810 Ростовская область город Каменск-Шахтинский проспект Карла Маркса дом 75   помещение 1,2</t>
  </si>
  <si>
    <t>ИП610400976300006</t>
  </si>
  <si>
    <t>347740 Ростовская область город Зерноград улица им К.Маркса дом 21   помещение 3</t>
  </si>
  <si>
    <t>ИП610400976300007</t>
  </si>
  <si>
    <t>347630 Ростовская область город Сальск улица Пушкина дом 8А</t>
  </si>
  <si>
    <t>ИП610400976300008</t>
  </si>
  <si>
    <t>347042 Ростовская область город Белая Калитва улица Калинина дом 9/2   помещение 2</t>
  </si>
  <si>
    <t>ИП610400976300009</t>
  </si>
  <si>
    <t>346350 Ростовская область город Красный Сулин улица Ворошилова 1 Б</t>
  </si>
  <si>
    <t>ИП Пугачев Александр Владимирович</t>
  </si>
  <si>
    <t>614805596530</t>
  </si>
  <si>
    <t>ИП6104012728</t>
  </si>
  <si>
    <t>ИП610401272800000</t>
  </si>
  <si>
    <t>346132 Ростовская область город Миллерово улица Российская здание 57</t>
  </si>
  <si>
    <t>ИП Михелев Александр Владимирович</t>
  </si>
  <si>
    <t>614900094724</t>
  </si>
  <si>
    <t>ИП6104019867</t>
  </si>
  <si>
    <t>ИП610401986700000</t>
  </si>
  <si>
    <t>346130 Ростовская область город Миллерово Улица 3-го Интернационала Дом 21 Корпус А</t>
  </si>
  <si>
    <t>ИП Соломка Юрий Владимирович</t>
  </si>
  <si>
    <t>614900244881</t>
  </si>
  <si>
    <t>ИП6104003200</t>
  </si>
  <si>
    <t>ИП610400320000000</t>
  </si>
  <si>
    <t>346130 Ростовская область город Миллерово улица 3 Интернационала дом 21А</t>
  </si>
  <si>
    <t>ИП Соломка Илья Юрьевич</t>
  </si>
  <si>
    <t>614904987775</t>
  </si>
  <si>
    <t>ИП6104008279</t>
  </si>
  <si>
    <t>ИП610400827900000</t>
  </si>
  <si>
    <t>346130 Ростовская область город Миллерово улица Ленина дом 2</t>
  </si>
  <si>
    <t>ИП Капустин Иван Алексеевич</t>
  </si>
  <si>
    <t>614906673206</t>
  </si>
  <si>
    <t>ИП6104013774</t>
  </si>
  <si>
    <t>ИП610401377400000</t>
  </si>
  <si>
    <t>33346428 Ростовская область город Новочеркасск проспект Баклановский дом 33</t>
  </si>
  <si>
    <t>ИП Потехин Алексей Геннадьевич</t>
  </si>
  <si>
    <t>615001278307</t>
  </si>
  <si>
    <t>ИП6104006673</t>
  </si>
  <si>
    <t>ИП610400667300000</t>
  </si>
  <si>
    <t>346400 Ростовская область город Новочеркасск улица Энергетическая дом 19  Литер А комната 22,23,24</t>
  </si>
  <si>
    <t>6150051950</t>
  </si>
  <si>
    <t>ЮЛ6104017375</t>
  </si>
  <si>
    <t>ЮЛ610401737500000</t>
  </si>
  <si>
    <t>347760 Ростовская область поселок Целина улица Калинина здание 18/6 XXX литер Ф XXX</t>
  </si>
  <si>
    <t>ИП Ершенко Ирина Николаевна</t>
  </si>
  <si>
    <t>615006368385</t>
  </si>
  <si>
    <t>ИП6104006536</t>
  </si>
  <si>
    <t>ИП610400653600000</t>
  </si>
  <si>
    <t>347760 Ростовская область поселок Целина улица 7-я линия дом 92 ХХХ ХХХ ХХХ</t>
  </si>
  <si>
    <t>ИП610400653600001</t>
  </si>
  <si>
    <t>346400 Ростовская область город Новочеркасск проспект Платовский  дом 59 А</t>
  </si>
  <si>
    <t>ИП Мирошник Лилия Викторовна</t>
  </si>
  <si>
    <t>615007653681</t>
  </si>
  <si>
    <t>ИП6104011322</t>
  </si>
  <si>
    <t>ИП610401132200000</t>
  </si>
  <si>
    <t>346400 Ростовская область город Новочеркасск проспект Платовский дом 128  А</t>
  </si>
  <si>
    <t>ИП Греков Евгений Андреевич</t>
  </si>
  <si>
    <t>615010480100</t>
  </si>
  <si>
    <t>ИП6104033359</t>
  </si>
  <si>
    <t>ИП610403335900000</t>
  </si>
  <si>
    <t>346400 Ростовская область город Новочеркасск улица Машиностроителей дом 4   павильон №71</t>
  </si>
  <si>
    <t>ИП Захарьева Людмила Анатольевна</t>
  </si>
  <si>
    <t>615015040551</t>
  </si>
  <si>
    <t>ИП6104031063</t>
  </si>
  <si>
    <t>ИП610403106300000</t>
  </si>
  <si>
    <t>346400 Ростовская область город Новочеркасск проспект Платовский дом 71   офис 53</t>
  </si>
  <si>
    <t>ИП Берняков Николай Сергеевич</t>
  </si>
  <si>
    <t>615016790236</t>
  </si>
  <si>
    <t>ИП6104007785</t>
  </si>
  <si>
    <t>ИП610400778500000</t>
  </si>
  <si>
    <t>344038 Ростовская область город Ростов-на-Дону проспект Михаила Нагибина Дом 14а   Офис 104</t>
  </si>
  <si>
    <t>ИП Иванов Дмитрий Дмитриевич</t>
  </si>
  <si>
    <t>615107567891</t>
  </si>
  <si>
    <t>ИП6104009896</t>
  </si>
  <si>
    <t>ИП610400989600000</t>
  </si>
  <si>
    <t>344068 Ростовская область город Ростов-на-Дону улица Омская дом 2Б   1-2-25е</t>
  </si>
  <si>
    <t>ИП610400989600001</t>
  </si>
  <si>
    <t>346720 Ростовская область город Аксай проспект Аксайский дом 32   518KSK-04</t>
  </si>
  <si>
    <t>ИП610400989600003</t>
  </si>
  <si>
    <t>347630 Ростовская область город Сальск улица Ворошилова дом 16</t>
  </si>
  <si>
    <t>ИП Русу С.И.</t>
  </si>
  <si>
    <t>615300006238</t>
  </si>
  <si>
    <t>ИП6104004814</t>
  </si>
  <si>
    <t>ИП610400481400000</t>
  </si>
  <si>
    <t>347630 Ростовская область город Сальск улица Кирова дом 51А</t>
  </si>
  <si>
    <t>ИП Лысак Ирина Владимировна</t>
  </si>
  <si>
    <t>615300218313</t>
  </si>
  <si>
    <t>ИП6104001373</t>
  </si>
  <si>
    <t>ИП610400137300000</t>
  </si>
  <si>
    <t>347631 Ростовская область Город Сальск Улица Дзержинского Дом 62</t>
  </si>
  <si>
    <t>ИП Ващенко Людмила Николаевна</t>
  </si>
  <si>
    <t>615301179353</t>
  </si>
  <si>
    <t>ИП6104001653</t>
  </si>
  <si>
    <t>ИП610400165300000</t>
  </si>
  <si>
    <t>347610 Ростовская область город Сальск улица Кирова дом 53   помещение №11</t>
  </si>
  <si>
    <t>ИП Пляка Наталья Васильевна</t>
  </si>
  <si>
    <t>615301461649</t>
  </si>
  <si>
    <t>ИП6104014189</t>
  </si>
  <si>
    <t>ИП610401418900000</t>
  </si>
  <si>
    <t>347632 Ростовская область Сальск Станиславского  103 В-В3</t>
  </si>
  <si>
    <t>ИП Бедрик Татьяна Валерьевна</t>
  </si>
  <si>
    <t>615302205239</t>
  </si>
  <si>
    <t>ИП6104009524</t>
  </si>
  <si>
    <t>ИП610400952400000</t>
  </si>
  <si>
    <t>347630 Ростовская область город Сальск улица Московская дом 20 - - помещение 4А</t>
  </si>
  <si>
    <t>ИП Соколовская Светлана Владимировна</t>
  </si>
  <si>
    <t>615303915432</t>
  </si>
  <si>
    <t>ИП6104003701</t>
  </si>
  <si>
    <t>ИП610400370100000</t>
  </si>
  <si>
    <t>347630 Ростовская область город Сальск улица Московская дом 20   квартира 4</t>
  </si>
  <si>
    <t>ИП Рыбас Наталья Валерьевна</t>
  </si>
  <si>
    <t>615303916490</t>
  </si>
  <si>
    <t>ИП6104006563</t>
  </si>
  <si>
    <t>ИП610400656300000</t>
  </si>
  <si>
    <t>347631 Ростовская область город Сальск улица Дзержинского дом 64</t>
  </si>
  <si>
    <t>ИП Скрынникова И.А.</t>
  </si>
  <si>
    <t>615305546149</t>
  </si>
  <si>
    <t>ИП6104003677</t>
  </si>
  <si>
    <t>ИП610400367700000</t>
  </si>
  <si>
    <t>347760 Ростовская область поселок Целина улица Калинина домовладение 14</t>
  </si>
  <si>
    <t>ИП610400367700001</t>
  </si>
  <si>
    <t>347630 Ростовская область город Сальск улица Кирова дом 53 - - -</t>
  </si>
  <si>
    <t>ИП610400021700000</t>
  </si>
  <si>
    <t>347900 Ростовская область город Таганрог переулок Гоголевский дом 4 корпус А литер 21</t>
  </si>
  <si>
    <t>ИП Пополитова Алла Николаевна</t>
  </si>
  <si>
    <t>615400276630</t>
  </si>
  <si>
    <t>ИП6104006630</t>
  </si>
  <si>
    <t>ИП610400663000001</t>
  </si>
  <si>
    <t>347933 Ростовская область город Таганрог улица Чучева здание 38 помещение 1</t>
  </si>
  <si>
    <t>ИП610400663000003</t>
  </si>
  <si>
    <t>347900 Ростовская область город Таганрог улица Чехова дом 320 помещение 6</t>
  </si>
  <si>
    <t>ИП610400663000004</t>
  </si>
  <si>
    <t>347900 Ростовская область город Таганрог переулок Гоголевский дом 29  литер В комната № 53а; литер В6 комната № 35, 36</t>
  </si>
  <si>
    <t>ИП610400663000005</t>
  </si>
  <si>
    <t>346918 Ростовская область город Новошахтинск улица Базарная 33А   помещение 1</t>
  </si>
  <si>
    <t>ИП610400663000006</t>
  </si>
  <si>
    <t>347900 Ростовская область город Таганрог улица Петровская дом 51  Литер А</t>
  </si>
  <si>
    <t>ИП610400663000007</t>
  </si>
  <si>
    <t>347928 Ростовская область город Таганрог улица Москатова дом 10/1</t>
  </si>
  <si>
    <t>ИП610400663000008</t>
  </si>
  <si>
    <t>347930 Ростовская область город Таганрог площадь Мира дом 7</t>
  </si>
  <si>
    <t>ИП610400663000009</t>
  </si>
  <si>
    <t>347900 Ростовская область город Таганрог переулок Гоголевский 25</t>
  </si>
  <si>
    <t>ИП Буданова Марина Александровна</t>
  </si>
  <si>
    <t>615400357060</t>
  </si>
  <si>
    <t>ИП6104007293</t>
  </si>
  <si>
    <t>ИП610400729300000</t>
  </si>
  <si>
    <t>347900 Ростовская область город Таганрог улица Чехова дом 124А ------- ------ -----</t>
  </si>
  <si>
    <t>ИП Жидиков Игорь Владимирович</t>
  </si>
  <si>
    <t>615400380239</t>
  </si>
  <si>
    <t>ИП6104006248</t>
  </si>
  <si>
    <t>ИП610400624800000</t>
  </si>
  <si>
    <t>347900 Ростовская область город Таганрог улица Петровская дом 64 ----- ----- -----</t>
  </si>
  <si>
    <t>ИП610400624800001</t>
  </si>
  <si>
    <t>347904 Ростовская область город Таганрог переулок Вокзальный дом 1</t>
  </si>
  <si>
    <t>ИП610400070400000</t>
  </si>
  <si>
    <t>347927 Ростовская область город Таганрог улица Чехова дом 307-А</t>
  </si>
  <si>
    <t>ООО "ЮЖНЫЙ ЛОМБАРД"</t>
  </si>
  <si>
    <t>6154069878</t>
  </si>
  <si>
    <t>ЮЛ6104006660</t>
  </si>
  <si>
    <t>ЮЛ610400666000000</t>
  </si>
  <si>
    <t>344004 Ростовская область город Ростов-на-Дону проспект Стачки дом 18/27</t>
  </si>
  <si>
    <t>ЮЛ610400666000007</t>
  </si>
  <si>
    <t>347900 Ростовская область город Таганрог улица Александровская дом 73</t>
  </si>
  <si>
    <t>ЮЛ610400666000014</t>
  </si>
  <si>
    <t>347904 Ростовская область город Таганрог переулок Клубный дом 6</t>
  </si>
  <si>
    <t>ООО ЛОМБАРД "ЗОЛОТОЕ КОЛЬЦО"</t>
  </si>
  <si>
    <t>6154076258</t>
  </si>
  <si>
    <t>ЮЛ6104008340</t>
  </si>
  <si>
    <t>ЮЛ610400834000000</t>
  </si>
  <si>
    <t>347630 Ростовская область Сальск Ленина 13</t>
  </si>
  <si>
    <t>ИП Русу Галина Анатольевна</t>
  </si>
  <si>
    <t>615407661422</t>
  </si>
  <si>
    <t>ИП6104008306</t>
  </si>
  <si>
    <t>ИП610400830600000</t>
  </si>
  <si>
    <t>347900 Ростовская область город Таганрог улица Петровская дом 65</t>
  </si>
  <si>
    <t>ООО "БРИЛЛИАНТ"</t>
  </si>
  <si>
    <t>6154077389</t>
  </si>
  <si>
    <t>ЮЛ6104009750</t>
  </si>
  <si>
    <t>ЮЛ610400975000000</t>
  </si>
  <si>
    <t>347927 Ростовская область Таганрог город Поляковское Шоссе дом 17</t>
  </si>
  <si>
    <t>ООО "ГРИФОН"</t>
  </si>
  <si>
    <t>6154096952</t>
  </si>
  <si>
    <t>ЮЛ6104000133</t>
  </si>
  <si>
    <t>ЮЛ610400013300000</t>
  </si>
  <si>
    <t>6154125667</t>
  </si>
  <si>
    <t>ЮЛ6104009593</t>
  </si>
  <si>
    <t>ЮЛ610400959300000</t>
  </si>
  <si>
    <t>347927 Ростовская область город Таганрог улица Поляковское Шоссе дом 5-В   1,2,3,4,5,6,7,8,9,10,11,12,13,14,15,16,17</t>
  </si>
  <si>
    <t>ООО "ГОЛДИНО"</t>
  </si>
  <si>
    <t>6154147847</t>
  </si>
  <si>
    <t>ЮЛ6104003890</t>
  </si>
  <si>
    <t>ЮЛ610400389000000</t>
  </si>
  <si>
    <t>347931 Ростовская область город Таганрог улица Дзержинского дом 161 корпус 4  комната 13</t>
  </si>
  <si>
    <t>ООО "ЛОМБАРД "ИНВЕСТ"</t>
  </si>
  <si>
    <t>6154161249</t>
  </si>
  <si>
    <t>ЮЛ6104000991</t>
  </si>
  <si>
    <t>ЮЛ610400099100000</t>
  </si>
  <si>
    <t>346970 Ростовская область поселок Матвеев Курган Гагарина 10</t>
  </si>
  <si>
    <t>ИП Кузьмина Татьяна Георгиевна</t>
  </si>
  <si>
    <t>615418089736</t>
  </si>
  <si>
    <t>ИП6104032916</t>
  </si>
  <si>
    <t>ИП610403291600000</t>
  </si>
  <si>
    <t>346970 Ростовская область поселок Матвеев Курган улица Южная дом 47В   помещение 2</t>
  </si>
  <si>
    <t>ИП Джереджа Антон Николаевич</t>
  </si>
  <si>
    <t>615419077807</t>
  </si>
  <si>
    <t>ИП6104012361</t>
  </si>
  <si>
    <t>ИП610401236100000</t>
  </si>
  <si>
    <t>347900 Ростовская область город Таганрог переулок Гоголевский дом 2 корпус 1</t>
  </si>
  <si>
    <t>ИП Чернышова Елена Сергеевна</t>
  </si>
  <si>
    <t>615420187138</t>
  </si>
  <si>
    <t>ИП6104005392</t>
  </si>
  <si>
    <t>ИП610400539200000</t>
  </si>
  <si>
    <t>344002 Ростовская область город Ростов-на-Дону улица Серафимовича дом 57</t>
  </si>
  <si>
    <t>ИП Царева Виктория Олеговна</t>
  </si>
  <si>
    <t>615422696290</t>
  </si>
  <si>
    <t>ИП6104017822</t>
  </si>
  <si>
    <t>ИП610401782200000</t>
  </si>
  <si>
    <t>347904 Ростовская область город Таганрог улица Петровская дом 109</t>
  </si>
  <si>
    <t>ИП Алексеев Сергей Николаевич</t>
  </si>
  <si>
    <t>615428845117</t>
  </si>
  <si>
    <t>ИП6104000790</t>
  </si>
  <si>
    <t>ИП610400079000000</t>
  </si>
  <si>
    <t>ООО "ЦИРКОН-Т"</t>
  </si>
  <si>
    <t>6154566333</t>
  </si>
  <si>
    <t>ЮЛ6104008299</t>
  </si>
  <si>
    <t>ЮЛ610400829900000</t>
  </si>
  <si>
    <t>347900 Ростовская область город Таганрог улица Александровская/переулок Гоголевский дом 98/21</t>
  </si>
  <si>
    <t>ИП Зуйкова Алина Игоревна</t>
  </si>
  <si>
    <t>615491845802</t>
  </si>
  <si>
    <t>ИП7701031724</t>
  </si>
  <si>
    <t>ИП770103172400000</t>
  </si>
  <si>
    <t>347900 Ростовская область город Таганрог улица Александровская/переулок Гоголевский дом 89/23</t>
  </si>
  <si>
    <t>ИП770103172400001</t>
  </si>
  <si>
    <t>347904 Ростовская область город Таганрог улица Фрунзе дом 92</t>
  </si>
  <si>
    <t>ИП Елшанкина Мария Владимировна</t>
  </si>
  <si>
    <t>615493523470</t>
  </si>
  <si>
    <t>ИП6104033984</t>
  </si>
  <si>
    <t>ИП610403398400000</t>
  </si>
  <si>
    <t>346500 Ростовская область город Шахты проспект Победа Революции владение 103 павильон № 9-10-11</t>
  </si>
  <si>
    <t>ИП Заикина Наталья Николаевна</t>
  </si>
  <si>
    <t>615500108389</t>
  </si>
  <si>
    <t>ИП6104008369</t>
  </si>
  <si>
    <t>ИП610400836900000</t>
  </si>
  <si>
    <t>346500 Ростовская область город Шахты улица Советская дом 143  ч.А,А1,а9,а8 10,10в,10д,10е,11,13а,10г,10а,10б,19,20, этаж: 1</t>
  </si>
  <si>
    <t>ИП610400043700000</t>
  </si>
  <si>
    <t>346500 Ростовская область город Шахты улица Шевченко дом 123</t>
  </si>
  <si>
    <t>ИП Измаилова Светлана Сергеевна</t>
  </si>
  <si>
    <t>615500660832</t>
  </si>
  <si>
    <t>ИП6104000490</t>
  </si>
  <si>
    <t>ИП610400049000000</t>
  </si>
  <si>
    <t>346500 Ростовская область город Шахты улица Шевченко дом 119</t>
  </si>
  <si>
    <t>ИП Сазонов Максим Владимирович</t>
  </si>
  <si>
    <t>615502101928</t>
  </si>
  <si>
    <t>ИП6104032738</t>
  </si>
  <si>
    <t>ИП610403273800000</t>
  </si>
  <si>
    <t>346500 Ростовская область город Шахты проспект Победа Революции дом 99</t>
  </si>
  <si>
    <t>ИП Сазонова Любовь Ивановна</t>
  </si>
  <si>
    <t>615504375709</t>
  </si>
  <si>
    <t>ИП6104007089</t>
  </si>
  <si>
    <t>ИП610400708900000</t>
  </si>
  <si>
    <t>344082 Ростовская область город Ростов-на-Дону улица Социалистическая дом 18/25   офис 23</t>
  </si>
  <si>
    <t>ИП Михайленко Анастасия Валерьевна</t>
  </si>
  <si>
    <t>615522669701</t>
  </si>
  <si>
    <t>ИП6104012246</t>
  </si>
  <si>
    <t>ИП610401224600000</t>
  </si>
  <si>
    <t>346500 Ростовская область Шахты Советская  122</t>
  </si>
  <si>
    <t>ИП Сморкалова Мария Николаевна</t>
  </si>
  <si>
    <t>615526656534</t>
  </si>
  <si>
    <t>ИП6104002383</t>
  </si>
  <si>
    <t>ИП610400238300000</t>
  </si>
  <si>
    <t>344082 Ростовская область город Ростов-на-Дону проспект Буденновский дом 49/97  А</t>
  </si>
  <si>
    <t>ИП610403242200000</t>
  </si>
  <si>
    <t>344091 Ростовская область город Ростов-на-Дону проспект Коммунистический дом 32/3   комната №8</t>
  </si>
  <si>
    <t>ИП Маркосян Эдуард Андраникович</t>
  </si>
  <si>
    <t>616100271551</t>
  </si>
  <si>
    <t>ИП6104009472</t>
  </si>
  <si>
    <t>ИП610400947200001</t>
  </si>
  <si>
    <t>344002 Ростовская область город Ростов-на-Дону улица Большая Садовая дом 46  Литер А</t>
  </si>
  <si>
    <t>ИП Барычев Олег Владимирович</t>
  </si>
  <si>
    <t>616100284624</t>
  </si>
  <si>
    <t>ИП6104003813</t>
  </si>
  <si>
    <t>ИП610400381300000</t>
  </si>
  <si>
    <t>34402 Ростовская область город Ростов-на-Дону проспект Ворошиловский дом 77/155-157   комната 1</t>
  </si>
  <si>
    <t>ИП Горюнов Вадим Валерьевич</t>
  </si>
  <si>
    <t>616100338573</t>
  </si>
  <si>
    <t>ИП6104039943</t>
  </si>
  <si>
    <t>ИП610403994300000</t>
  </si>
  <si>
    <t>344068 Ростовская область город Ростов-на-Дону проспект Михаила Нагибина дом 32е   29а, 33а, 28-30-34-39-40-48-49-50-51-52-53-54-55-56-57-58-59-60-61-62-63</t>
  </si>
  <si>
    <t>ИП610403994300001</t>
  </si>
  <si>
    <t>344006 Ростовская область город Ростов-на-Дону улица Большая Садовая дом 110   5-4, 6, 6а, 6б, 7, 7б, 8, 16, 20, 21, 22, 23</t>
  </si>
  <si>
    <t>ИП610403994300002</t>
  </si>
  <si>
    <t>ООО "СЕРЕБРЯНЫЙ СЛОНЪ Р-Н-Д"</t>
  </si>
  <si>
    <t>6161065105</t>
  </si>
  <si>
    <t>ЮЛ6104005368</t>
  </si>
  <si>
    <t>ЮЛ610400536800000</t>
  </si>
  <si>
    <t>344113 Ростовская область город Ростов-на-Дону проспект Королева дом 23а   помещение 1-2-5-4А</t>
  </si>
  <si>
    <t>ООО "ДОН ЛОМБАРД"</t>
  </si>
  <si>
    <t>6161086440</t>
  </si>
  <si>
    <t>ЮЛ6104003346</t>
  </si>
  <si>
    <t>ЮЛ610400334600001</t>
  </si>
  <si>
    <t>344068 Ростовская область город Ростов-на-Дону проспект Михаила Нагибина дом 40   офис 105, 310</t>
  </si>
  <si>
    <t>6161096336</t>
  </si>
  <si>
    <t>ЮЛ6104002275</t>
  </si>
  <si>
    <t>ЮЛ610400227500000</t>
  </si>
  <si>
    <t>344002 Ростовская область город Ростов-на-Дону улица Большая Садовая дом 46  литер А</t>
  </si>
  <si>
    <t>ИП Козлова Елена Викторовна</t>
  </si>
  <si>
    <t>616110548996</t>
  </si>
  <si>
    <t>ИП6104000941</t>
  </si>
  <si>
    <t>ИП610400094100000</t>
  </si>
  <si>
    <t>344010 Ростовская область город Ростов-на-Дону проспект Соколова дом 78  литер А офис 4</t>
  </si>
  <si>
    <t>ИП Никулин Антон Викторович</t>
  </si>
  <si>
    <t>616113985546</t>
  </si>
  <si>
    <t>ИП6104000202</t>
  </si>
  <si>
    <t>ИП610400020200000</t>
  </si>
  <si>
    <t>344002 Ростовская область Г. Ростов-на-Дону улица Пойменная дом 1</t>
  </si>
  <si>
    <t>ИП Колпащикова Елена Борисовна</t>
  </si>
  <si>
    <t>616116525787</t>
  </si>
  <si>
    <t>ИП6104037580</t>
  </si>
  <si>
    <t>ИП610403758000000</t>
  </si>
  <si>
    <t>344092 Ростовская область город Ростов-на-Дону проспект Космонавтов 2/2  Литер Б комната 20В</t>
  </si>
  <si>
    <t>ИП Меликян Сергей Араратович</t>
  </si>
  <si>
    <t>616119935781</t>
  </si>
  <si>
    <t>ИП6104038357</t>
  </si>
  <si>
    <t>ИП610403835700000</t>
  </si>
  <si>
    <t>346630 Ростовская область город Семикаракорск улица Ленина дом 112   офис 7</t>
  </si>
  <si>
    <t>ИП Костина Инна Александровна</t>
  </si>
  <si>
    <t>616132889100</t>
  </si>
  <si>
    <t>ИП6104005378</t>
  </si>
  <si>
    <t>ИП610400537800000</t>
  </si>
  <si>
    <t>347660 Ростовская область станица Егорлыкская улица Ленина дом 82  литер А комнаты 18А,18Б,18В,15А,16А</t>
  </si>
  <si>
    <t>ИП Войсковая Елена Владимировна</t>
  </si>
  <si>
    <t>616200249711</t>
  </si>
  <si>
    <t>ИП6104003698</t>
  </si>
  <si>
    <t>ИП610400369800000</t>
  </si>
  <si>
    <t>344006 Ростовская область город Ростов-на-Дону улица Станиславского дом 99/22   нежилое помещение бывш.кв.18</t>
  </si>
  <si>
    <t>ИП Тюрина Ольга Николаевна</t>
  </si>
  <si>
    <t>616201726029</t>
  </si>
  <si>
    <t>ИП6104001666</t>
  </si>
  <si>
    <t>ИП610400166600000</t>
  </si>
  <si>
    <t>344002 Ростовская область город Ростов-на-Дону улица Большая Садовая дом 57/48</t>
  </si>
  <si>
    <t>ИП Шамарова Ирина Владимировна</t>
  </si>
  <si>
    <t>616204530578</t>
  </si>
  <si>
    <t>ИП6104003252</t>
  </si>
  <si>
    <t>ИП610400325200000</t>
  </si>
  <si>
    <t>346500 Ростовская область город Шахты улица Советская дом 122 магазин"Светилень"</t>
  </si>
  <si>
    <t>ИП Ковалева Любовь Георгиевна</t>
  </si>
  <si>
    <t>616205173671</t>
  </si>
  <si>
    <t>ИП6104039893</t>
  </si>
  <si>
    <t>ИП610403989300000</t>
  </si>
  <si>
    <t>344002 Ростовская область город Ростов-на-Дону улица Станиславского дом 112</t>
  </si>
  <si>
    <t>ИП Рыгалов Владимир Анатольевич</t>
  </si>
  <si>
    <t>616206432417</t>
  </si>
  <si>
    <t>ИП6104009351</t>
  </si>
  <si>
    <t>ИП610400935100000</t>
  </si>
  <si>
    <t>344002 Ростовская область город Ростов-на-Дону улица Пойменная дом 1м   помещение № 21-013</t>
  </si>
  <si>
    <t>ИП Селезнева Екатерина Сергеевна</t>
  </si>
  <si>
    <t>616207819713</t>
  </si>
  <si>
    <t>ИП6104000417</t>
  </si>
  <si>
    <t>ИП610400041700000</t>
  </si>
  <si>
    <t>344002 Ростовская область город Ростов-на-Дону улица Пойменная дом 1м   помещение №21-013</t>
  </si>
  <si>
    <t>ИП610400041700001</t>
  </si>
  <si>
    <t>344068 Ростовская область город Ростов-на-Дону улица Омская здание 2б   помещение 1</t>
  </si>
  <si>
    <t>ИП610400041700003</t>
  </si>
  <si>
    <t>344003 Ростовская область город Ростов-на-Дону улица Лермонтовская дом 109  Литер А комната 2-3</t>
  </si>
  <si>
    <t>ИП Тараник Юлия Эдуардовна</t>
  </si>
  <si>
    <t>616270738804</t>
  </si>
  <si>
    <t>ИП6104030427</t>
  </si>
  <si>
    <t>ИП610403042700000</t>
  </si>
  <si>
    <t>344002 Ростовская область город Ростов-на-Дону улица Станиславского Дом 65   бывшие квартиры 3, 6а, 6б</t>
  </si>
  <si>
    <t>ИП Смирнова Татьяна Александровна</t>
  </si>
  <si>
    <t>616302662967</t>
  </si>
  <si>
    <t>ИП6104009356</t>
  </si>
  <si>
    <t>ИП610400935600000</t>
  </si>
  <si>
    <t>344006 Ростовская область город Ростов-на-Дону проспект Чехова дом 37/29   комната 17-18-18А-19</t>
  </si>
  <si>
    <t>ООО "ДОНСКОЙ ЧАСОВОЙ ЛОМБАРД"</t>
  </si>
  <si>
    <t>6163141464</t>
  </si>
  <si>
    <t>ЮЛ6104007381</t>
  </si>
  <si>
    <t>ЮЛ610400738100000</t>
  </si>
  <si>
    <t>347700 Ростовская область станица Кагальницкая переулок Кольцовский дом 53   комната 7-8</t>
  </si>
  <si>
    <t>ЮЛ610400738100001</t>
  </si>
  <si>
    <t>347740 Ростовская область город Зерноград улица им Чкалова дом 33А</t>
  </si>
  <si>
    <t>ЮЛ610400738100003</t>
  </si>
  <si>
    <t>344002 Ростовская область город Ростов-на-Дону проспект Ворошиловский дом 73А</t>
  </si>
  <si>
    <t>ООО "ФОТИНИЯ+"</t>
  </si>
  <si>
    <t>6163154294</t>
  </si>
  <si>
    <t>ЮЛ6104000001</t>
  </si>
  <si>
    <t>ЮЛ610400000100000</t>
  </si>
  <si>
    <t>344002 Ростовская область Ростов-на-Дону Красноармейская 170 11  2И</t>
  </si>
  <si>
    <t>ООО "МАДЖЕСТИ"</t>
  </si>
  <si>
    <t>6163235271</t>
  </si>
  <si>
    <t>ЮЛ6104039453</t>
  </si>
  <si>
    <t>ЮЛ610403945300000</t>
  </si>
  <si>
    <t>344037 Ростовская область город Ростов-на-Дону площадь Толстого дом 13А Х Х Х</t>
  </si>
  <si>
    <t>ИП Кучеренко Елена Юрьевна</t>
  </si>
  <si>
    <t>616400230450</t>
  </si>
  <si>
    <t>ИП6104009556</t>
  </si>
  <si>
    <t>ИП610400955600000</t>
  </si>
  <si>
    <t>344091 Ростовская область город Ростов-на-Дону проспект Коммунистический дом 32/3 Х Х 6</t>
  </si>
  <si>
    <t>ИП610400955600001</t>
  </si>
  <si>
    <t>344012 Ростовская область город Ростов-на-Дону улица Фрунзе 7/34</t>
  </si>
  <si>
    <t>ИП Арутюнов Альберт Ашотович</t>
  </si>
  <si>
    <t>616400289817</t>
  </si>
  <si>
    <t>ИП6104001496</t>
  </si>
  <si>
    <t>ИП610400149600000</t>
  </si>
  <si>
    <t>344002 Ростовская область город Ростов-на-Дону улица Пушкинская дом 91/70 - - -</t>
  </si>
  <si>
    <t>ООО "ФИРМА" АКАНТ"</t>
  </si>
  <si>
    <t>6164008553</t>
  </si>
  <si>
    <t>ЮЛ6104000042</t>
  </si>
  <si>
    <t>ЮЛ610400004200000</t>
  </si>
  <si>
    <t>344092 Ростовская область город Ростов-на-Дону улица Волкова здание 9б  Литер А часть комнаты №2</t>
  </si>
  <si>
    <t>ООО "ФИРМА КОРОНА"</t>
  </si>
  <si>
    <t>6164021508</t>
  </si>
  <si>
    <t>ЮЛ6104007378</t>
  </si>
  <si>
    <t>ЮЛ610400737800000</t>
  </si>
  <si>
    <t>344002 Ростовская область город Ростов-на-Дону пр-т Буденновский/Тургеневская дом 5/26  литер А помещение 17-18</t>
  </si>
  <si>
    <t>ЮЛ610400155100002</t>
  </si>
  <si>
    <t>344002 Ростовская область город Ростов-на-Дону переулок Соборный 22/58/55   помещение 1-2</t>
  </si>
  <si>
    <t>ЮЛ610400155100004</t>
  </si>
  <si>
    <t>344002 Ростовская область город Ростов-на-Дону проспект Буденновский дом 3  литер А помещение 1-8</t>
  </si>
  <si>
    <t>ЮЛ610400155100006</t>
  </si>
  <si>
    <t>344068 Ростовская область город Ростов-на-Дону Улица Красноармейская дом 33  Литер Д часть комнаты 47-56, согласно п. 1.1 договора № 15/22)</t>
  </si>
  <si>
    <t>ИП Буштырева Анна Витальевна</t>
  </si>
  <si>
    <t>616405648160</t>
  </si>
  <si>
    <t>ИП6104012089</t>
  </si>
  <si>
    <t>ИП610401208900000</t>
  </si>
  <si>
    <t>344068 Ростовская область город Ростов-на-Дону Проспект М.Нагибина дом 32 корпус "И"</t>
  </si>
  <si>
    <t>ООО "СИРИУС-К"</t>
  </si>
  <si>
    <t>6164067005</t>
  </si>
  <si>
    <t>ЮЛ6104007019</t>
  </si>
  <si>
    <t>ЮЛ610400701900001</t>
  </si>
  <si>
    <t>344006 Ростовская область город Ростов-на-Дону проспект Чехова дом 35/30  А</t>
  </si>
  <si>
    <t>ЮЛ610400701900003</t>
  </si>
  <si>
    <t>344002 Ростовская область город Ростов-на-Дону улица Московская дом 43/13   кв19а литер А</t>
  </si>
  <si>
    <t>ООО "ГУДДА"</t>
  </si>
  <si>
    <t>6164108205</t>
  </si>
  <si>
    <t>ЮЛ6104003597</t>
  </si>
  <si>
    <t>ЮЛ610400359700000</t>
  </si>
  <si>
    <t>344019 Ростовская область город Ростов-на-Дону площадь Карла Маркса дом 26  Литер А комн. №35</t>
  </si>
  <si>
    <t>ЮЛ610400359700002</t>
  </si>
  <si>
    <t>346400 Ростовская область город Новочеркасск улица Московская дом 1/90</t>
  </si>
  <si>
    <t>ЮЛ610400359700003</t>
  </si>
  <si>
    <t>344006 Ростовская область город Ростов-на-Дону улица Большая Садовая дом 71/16  А</t>
  </si>
  <si>
    <t>ЮЛ610400359700004</t>
  </si>
  <si>
    <t>344091 Ростовская область город Ростов-на-Дону проспект Коммунистический дом 30</t>
  </si>
  <si>
    <t>ЮЛ610400359700005</t>
  </si>
  <si>
    <t>346500 Ростовская область город Шахты переулок Красный Шахтер дом 78б</t>
  </si>
  <si>
    <t>ЮЛ610400359700006</t>
  </si>
  <si>
    <t>344002 Ростовская область город Ростов-на-Дону улица Московская дом 43/13  А комната 19А</t>
  </si>
  <si>
    <t>ЮЛ610400359700007</t>
  </si>
  <si>
    <t>344092 Ростовская область город Ростов-на-Дону проспект Космонавтов дом 11/12  Литер В комн.14Д</t>
  </si>
  <si>
    <t>ЮЛ610400359700008</t>
  </si>
  <si>
    <t>344045 Ростовская область город Ростов-на-Дону улица Миронова дом 4А   бывш. кв 154</t>
  </si>
  <si>
    <t>ЮЛ610400359700009</t>
  </si>
  <si>
    <t>347900 Ростовская область город Таганрог улица Москатова дом 10-1  А</t>
  </si>
  <si>
    <t>ЮЛ610400359700011</t>
  </si>
  <si>
    <t>347900 Ростовская область город Таганрог улица Чехова дом 320-Б</t>
  </si>
  <si>
    <t>ЮЛ610400359700012</t>
  </si>
  <si>
    <t>344015 Ростовская область город Ростов-на-Дону улица Зорге дом 31  Литер А</t>
  </si>
  <si>
    <t>ЮЛ610400359700013</t>
  </si>
  <si>
    <t>344065 Ростовская область город Ростов-на-Дону переулок Днепровский дом 105/98  литера А  Этаж 1</t>
  </si>
  <si>
    <t>ЮЛ610400359700014</t>
  </si>
  <si>
    <t>344114 Ростовская область город Ростов-на-Дону проспект Королева дом 27б  А этаж 1</t>
  </si>
  <si>
    <t>ЮЛ610400359700015</t>
  </si>
  <si>
    <t>346880 Ростовская область город Батайск ул.Кирова/Энгельса дом 18/184</t>
  </si>
  <si>
    <t>ЮЛ610400359700016</t>
  </si>
  <si>
    <t>346782 Ростовская область город Азов улица Мира дом 24</t>
  </si>
  <si>
    <t>ЮЛ610400359700017</t>
  </si>
  <si>
    <t>347805 Ростовская область город Каменск-Шахтинский улица Ворошилова дом 21</t>
  </si>
  <si>
    <t>ЮЛ610400359700018</t>
  </si>
  <si>
    <t>344010 Ростовская область город Ростов-на-Дону улица Петренко дом 1   пом.№78</t>
  </si>
  <si>
    <t>ЮЛ610400359700019</t>
  </si>
  <si>
    <t>346500 Ростовская область город Шахты проспект Победа Революции дом 126</t>
  </si>
  <si>
    <t>ЮЛ610400359700020</t>
  </si>
  <si>
    <t>344082 Ростовская область город Ростов-на-Дону переулок Доломановский Дом 11   офис 22</t>
  </si>
  <si>
    <t>ООО "ЮТД МАЙ"</t>
  </si>
  <si>
    <t>6164113903</t>
  </si>
  <si>
    <t>ЮЛ6104007083</t>
  </si>
  <si>
    <t>ЮЛ610400708300000</t>
  </si>
  <si>
    <t>344011 Ростовская область  город  Ростов-на-Дону  улица Красноармейская дом 7/97   комната 35</t>
  </si>
  <si>
    <t>ООО "КАРАТ61-ЛОМБАРД"</t>
  </si>
  <si>
    <t>6164135872</t>
  </si>
  <si>
    <t>ЮЛ6104016113</t>
  </si>
  <si>
    <t>ЮЛ610401611300000</t>
  </si>
  <si>
    <t>344038 Ростовская область город Ростов-на-Дону проспект Ленина дом 84а   комната 1,1а,2,3,4,4а</t>
  </si>
  <si>
    <t>ЮЛ610401611300001</t>
  </si>
  <si>
    <t>344002 Ростовская область город Ростов-на-Дону проспект Буденновский дом 52/111   комната 19а,20,21,24,25,26,27</t>
  </si>
  <si>
    <t>ЮЛ610401611300003</t>
  </si>
  <si>
    <t>344037 Ростовская область город Ростов-на-Дону улица 20-я линия дом 1-3/13</t>
  </si>
  <si>
    <t>ЮЛ610401611300004</t>
  </si>
  <si>
    <t>344079 Ростовская область город Ростов-на-Дону улица Шеболдаева дом 15</t>
  </si>
  <si>
    <t>ЮЛ610401611300005</t>
  </si>
  <si>
    <t>344022 Ростовская область город Ростов-на-Дону улица Красноармейская дом 278/58   быв. кв 109</t>
  </si>
  <si>
    <t>ООО "ЛОМБАРД ДАЙМОНД"</t>
  </si>
  <si>
    <t>6164140456</t>
  </si>
  <si>
    <t>ЮЛ6104034127</t>
  </si>
  <si>
    <t>ЮЛ610403412700001</t>
  </si>
  <si>
    <t>344002 Ростовская область город Ростов-на-Дону улица Большая Садовая дом 38</t>
  </si>
  <si>
    <t>ООО "ГРАФ"</t>
  </si>
  <si>
    <t>6164142453</t>
  </si>
  <si>
    <t>ЮЛ6104035600</t>
  </si>
  <si>
    <t>ЮЛ610403560000000</t>
  </si>
  <si>
    <t>344002 Ростовская область Город Ростов-на-Дону Улица Пойменная Дом 1   Комната 8</t>
  </si>
  <si>
    <t>ЮЛ610403560000001</t>
  </si>
  <si>
    <t>344090 Ростовская область Город Ростов-на-Дону Улица Малиновского Дом 25</t>
  </si>
  <si>
    <t>ЮЛ610403560000002</t>
  </si>
  <si>
    <t>344002 Ростовская область город Ростов-на-Дону Проспект Михаила Нагибина Дом 32 Ж Литера АК</t>
  </si>
  <si>
    <t>ЮЛ610403560000003</t>
  </si>
  <si>
    <t>344002 Ростовская область город Ростов-на-Дону проспект Ворошиловский 75 124</t>
  </si>
  <si>
    <t>ЮЛ610403560000004</t>
  </si>
  <si>
    <t>346610 Ростовская область станица Багаевская улица Подройкина дом18   1 этаж</t>
  </si>
  <si>
    <t>ООО "МОНАРХ ЮГ"</t>
  </si>
  <si>
    <t>6164240500</t>
  </si>
  <si>
    <t>ЮЛ6104013057</t>
  </si>
  <si>
    <t>ЮЛ610401305700001</t>
  </si>
  <si>
    <t>346940 Ростовская область село Куйбышево улица Куйбышевская дом 2</t>
  </si>
  <si>
    <t>ЮЛ610401305700002</t>
  </si>
  <si>
    <t>344002 Ростовская область город Ростов-на-Дону улица Московская дом 43/13  А комната 19а</t>
  </si>
  <si>
    <t>ООО "ЛОМБАРД ГУДДА"</t>
  </si>
  <si>
    <t>6164260760</t>
  </si>
  <si>
    <t>ЮЛ6104008323</t>
  </si>
  <si>
    <t>ЮЛ610400832300000</t>
  </si>
  <si>
    <t>344111 Ростовская область город Ростов-на-Дону проспект 40-летия Победы дом 85</t>
  </si>
  <si>
    <t>ЮЛ610400832300002</t>
  </si>
  <si>
    <t>344045 Ростовская область город Ростов-на-Дону улица Миронова дом 4А   квартира 154 (бывшая)</t>
  </si>
  <si>
    <t>ЮЛ610400832300003</t>
  </si>
  <si>
    <t>344092 Ростовская область город Ростов-на-Дону проспект Космонавтов дом 11/12  В  помещение №13а, №14,14д,16в,</t>
  </si>
  <si>
    <t>ЮЛ610400832300004</t>
  </si>
  <si>
    <t>344019 Ростовская область город Ростов-на-Дону площадь Карла Маркса дом 26  Литера А, литера Б комнаты №1-4, 5-12, в литере А,  комнаты № 7- 7а в литере Б</t>
  </si>
  <si>
    <t>ЮЛ610400832300005</t>
  </si>
  <si>
    <t>346400 Ростовская область город Новочеркасск улица Московская / переулок Платовский дом 1/90  АД комнаты №№ 1,2,3,4,5</t>
  </si>
  <si>
    <t>ЮЛ610400832300006</t>
  </si>
  <si>
    <t>344006 Ростовская область город Ростов-на-Дону улица Большая Садовая дом 71/16  А комнаты №№7, 7а,7б,7в,7г,8-8а,9,9а,9б,  на 1 этаже №№1-1а-1а-2-3-4-5, 6, 7-8, 7а, 7б, 19а, 18-19</t>
  </si>
  <si>
    <t>ЮЛ610400832300007</t>
  </si>
  <si>
    <t>ЮЛ610400832300008</t>
  </si>
  <si>
    <t>346500 Ростовская область город Шахты переулок Красный Шахтер владение 78б</t>
  </si>
  <si>
    <t>ЮЛ610400832300009</t>
  </si>
  <si>
    <t>347900 Ростовская область город Таганрог улица Москатова дом 10/1  1 этаж</t>
  </si>
  <si>
    <t>ЮЛ610400832300010</t>
  </si>
  <si>
    <t>ЮЛ610400832300011</t>
  </si>
  <si>
    <t>344015 Ростовская область город Ростов-на-Дону улица Зорге дом 31   комнаты № 51,76,58,56в,56г,59б-56б,59в,59-60,61, часть комнаты 56а-59а-61а-62в, в подвале 1 здания</t>
  </si>
  <si>
    <t>ЮЛ610400832300012</t>
  </si>
  <si>
    <t>344065 Ростовская область город Ростов-на-Дону переулок Днепровский дом 105/98  литер А бывшая квартира 4 , комнаты №№ 19, 20, 21, 22-23-24-25-26-27</t>
  </si>
  <si>
    <t>ЮЛ610400832300013</t>
  </si>
  <si>
    <t>344114 Ростовская область город Ростов-на-Дону проспект Королева дом 27б  А бывшая кв.2 , (1-5, 2-3-4, 6, 7, 8)</t>
  </si>
  <si>
    <t>ЮЛ610400832300014</t>
  </si>
  <si>
    <t>346880 Ростовская область город Батайск ул.Кирова/Энгельса 18/184   1 этаж, помещения на поэтажном плане  №№1, 2, 3, 4, 5, 6, 15</t>
  </si>
  <si>
    <t>ЮЛ610400832300015</t>
  </si>
  <si>
    <t>ЮЛ610400832300016</t>
  </si>
  <si>
    <t>347800 Ростовская область город Каменск-Шахтинский улица Ворошилова дом 21   нежилое помещение VII (комнаты 1,2,3,4)</t>
  </si>
  <si>
    <t>ЮЛ610400832300017</t>
  </si>
  <si>
    <t>344010 Ростовская область город Ростов-на-Дону улица Петренко дом 1</t>
  </si>
  <si>
    <t>ЮЛ610400832300018</t>
  </si>
  <si>
    <t>344002 Ростовская область г.Шахты улица Победы Революции дом 126</t>
  </si>
  <si>
    <t>ЮЛ610400832300019</t>
  </si>
  <si>
    <t>344004 Ростовская область город Ростов-на-Дону проспект Стачки дом 20  литера а комната 27,30,28,29</t>
  </si>
  <si>
    <t>ООО "ЛОМБАРД-КРИСТАЛЛ"</t>
  </si>
  <si>
    <t>6164264719</t>
  </si>
  <si>
    <t>ЮЛ6104009930</t>
  </si>
  <si>
    <t>ЮЛ610400993000002</t>
  </si>
  <si>
    <t>344090 Ростовская область город Ростов-на-Дону проспект Стачки дом 190/16</t>
  </si>
  <si>
    <t>ЮЛ610400993000003</t>
  </si>
  <si>
    <t>344018 Ростовская область город Ростов-на-Дону проспект Буденновский дом 96</t>
  </si>
  <si>
    <t>ЮЛ610400993000005</t>
  </si>
  <si>
    <t>344002 Ростовская область город Ростов-на-Дону проспект Ворошиловский дом 77/157   № 7,8,7а-9</t>
  </si>
  <si>
    <t>ЮЛ610400993000007</t>
  </si>
  <si>
    <t>344007 Ростовская область город Ростов-на-Дону улица Большая Садовая дом 40</t>
  </si>
  <si>
    <t>6164291744</t>
  </si>
  <si>
    <t>ЮЛ6104012500</t>
  </si>
  <si>
    <t>ЮЛ610401250000000</t>
  </si>
  <si>
    <t>347542 Ростовская область город Пролетарск улица Ленина дом 112</t>
  </si>
  <si>
    <t>ИП Амо Карделия Карленовна</t>
  </si>
  <si>
    <t>616483612154</t>
  </si>
  <si>
    <t>ИП6104034106</t>
  </si>
  <si>
    <t>ИП610403410600000</t>
  </si>
  <si>
    <t>344000 Ростовская область город Ростов-на-Дону Большая Садовая 46</t>
  </si>
  <si>
    <t>ИП Новикова Ирина Витальевна</t>
  </si>
  <si>
    <t>616500372160</t>
  </si>
  <si>
    <t>ИП6104009355</t>
  </si>
  <si>
    <t>ИП610400935500000</t>
  </si>
  <si>
    <t>344023 Ростовская область Город Ростов-на-Дону Улица Страны Советов Дом № 19   Офис 300</t>
  </si>
  <si>
    <t>ИП Орехов Иван Викторович</t>
  </si>
  <si>
    <t>616500465706</t>
  </si>
  <si>
    <t>ИП6104000780</t>
  </si>
  <si>
    <t>ИП610400078000000</t>
  </si>
  <si>
    <t>344000 Ростовская область Город Ростов-на-Дону Проспект Ворошиловский Дом № 75  Литер А комнаты № 124-125-126, 127, 129-130</t>
  </si>
  <si>
    <t>ИП610400078000001</t>
  </si>
  <si>
    <t>344002 Ростовская область Ростов-на-Дону улица Большая Садовая дом 46  литера А №20-21-22-24-25-26а-27-40</t>
  </si>
  <si>
    <t>ИП Фарманян Сергей Арамаисович</t>
  </si>
  <si>
    <t>616502773914</t>
  </si>
  <si>
    <t>ИП6104035850</t>
  </si>
  <si>
    <t>ИП610403585000000</t>
  </si>
  <si>
    <t>347120 Ростовская область станица Милютинская улица Октябрьская дом 60</t>
  </si>
  <si>
    <t>ИП Золотовская Татьяна Савельевна</t>
  </si>
  <si>
    <t>616503169007</t>
  </si>
  <si>
    <t>ИП6104008360</t>
  </si>
  <si>
    <t>ИП610400836000000</t>
  </si>
  <si>
    <t>344113 Ростовская область город Ростов-на-Дону проспект Королева здание 10/4 - - помещение 38-43</t>
  </si>
  <si>
    <t>ИП Терентьева Татьяна Анатольевна</t>
  </si>
  <si>
    <t>616504064568</t>
  </si>
  <si>
    <t>ИП6104000302</t>
  </si>
  <si>
    <t>ИП610400030200000</t>
  </si>
  <si>
    <t>344002 Ростовская область город Ростов-на-Дону проспект Буденновский дом 12 ---  ---</t>
  </si>
  <si>
    <t>ИП Романникова Светлана Георгиевна</t>
  </si>
  <si>
    <t>616504778026</t>
  </si>
  <si>
    <t>ИП6104006998</t>
  </si>
  <si>
    <t>ИП610400699800000</t>
  </si>
  <si>
    <t>344092 Ростовская область город Ростов-на-Дону улица Большая Садовая  дом 46  литера А</t>
  </si>
  <si>
    <t>ИП Пономарева Н.Г</t>
  </si>
  <si>
    <t>616506899594</t>
  </si>
  <si>
    <t>ИП6104006607</t>
  </si>
  <si>
    <t>ИП610400660700000</t>
  </si>
  <si>
    <t>344091 Ростовская область город Ростов-на-Дону проспект Коммунистический  дом 32 Помещение №2</t>
  </si>
  <si>
    <t>ИП610400660700001</t>
  </si>
  <si>
    <t>344000 Ростовская область город Ростов-на-Дону улица 18 линия дом 8  литер К офис 307</t>
  </si>
  <si>
    <t>ИП Седов Владислав Александрович</t>
  </si>
  <si>
    <t>616506985370</t>
  </si>
  <si>
    <t>ИП6104030153</t>
  </si>
  <si>
    <t>ИП610403015300000</t>
  </si>
  <si>
    <t>344103 Ростовская область город Ростов-на-Дону улица Малиновского дом 25   офис 152</t>
  </si>
  <si>
    <t>ИП Самарская Екатерина Александровна</t>
  </si>
  <si>
    <t>616508276098</t>
  </si>
  <si>
    <t>ИП6104003572</t>
  </si>
  <si>
    <t>ИП610400357200000</t>
  </si>
  <si>
    <t>344016 Ростовская область город Ростов-на-Дону улица Таганрогская дом 151 ТК "Военвед"   торговое место № ТМ-01</t>
  </si>
  <si>
    <t>ИП Чертова Юлия Алексеевна</t>
  </si>
  <si>
    <t>616508705702</t>
  </si>
  <si>
    <t>ИП6104000022</t>
  </si>
  <si>
    <t>ИП610400002200000</t>
  </si>
  <si>
    <t>344018 Ростовская область город Ростов-на-Дону улица Текучева здание 234   помещение 815</t>
  </si>
  <si>
    <t>ИП Карапетян Давид Борикович</t>
  </si>
  <si>
    <t>616508728805</t>
  </si>
  <si>
    <t>ИП6104000767</t>
  </si>
  <si>
    <t>ИП610400076700000</t>
  </si>
  <si>
    <t>344068 Ростовская область город Ростов-на-Дону проспект Михаила Нагибина дом 32Е   комната 15, 15а, 17</t>
  </si>
  <si>
    <t>ИП610400076700003</t>
  </si>
  <si>
    <t>346720 Ростовская область город Аксай проспект Аксайский дом 23   помещение 6040</t>
  </si>
  <si>
    <t>ИП610400076700004</t>
  </si>
  <si>
    <t>344068 Ростовская область город Ростов-на-Дону проспект Михаила Нагибина дом 32Е  Х9 комнаты 36, 3а-3в, 3-3аа</t>
  </si>
  <si>
    <t>ИП610400076700005</t>
  </si>
  <si>
    <t>3440000 Ростовская область город Ростов-на-Дону проспект Михаила Нагибина 32е  АИ 21-14</t>
  </si>
  <si>
    <t>ИП610400076700008</t>
  </si>
  <si>
    <t>344022 Ростовская область город Ростов-на-Дону Большая Садовая 121   помещение № 89а</t>
  </si>
  <si>
    <t>ИП610400076700010</t>
  </si>
  <si>
    <t>344090 Ростовская область город Ростов-на-Дону улица Малиновского дом 25   Помещение 122</t>
  </si>
  <si>
    <t>ИП610400076700011</t>
  </si>
  <si>
    <t>344082 Ростовская область город Ростов-на-Дону улица Московская дом 47/42</t>
  </si>
  <si>
    <t>ИП610400962100000</t>
  </si>
  <si>
    <t>344092 Ростовская область город Ростов-на-Дону проспект Космонавтов дом 6/13</t>
  </si>
  <si>
    <t>ИП610400962100001</t>
  </si>
  <si>
    <t>344038 Ростовская область город Ростов-на-Дону проспект Михаила Нагибина дом 17</t>
  </si>
  <si>
    <t>ИП610400962100008</t>
  </si>
  <si>
    <t>346513 Ростовская область город Шахты переулок Шишкина дом 162  Д</t>
  </si>
  <si>
    <t>ИП610400962100012</t>
  </si>
  <si>
    <t>344113 Ростовская область город Ростов-на-Дону проспект Космонавтов здание 19А/28Ж</t>
  </si>
  <si>
    <t>ИП610400962100014</t>
  </si>
  <si>
    <t>344002 Ростовская область Город Ростов-на-Дону Улица Большая Садовая  Дом 38 Корпус 23  Офис магазин№1</t>
  </si>
  <si>
    <t>ИП Пилипец Марина Владимировна</t>
  </si>
  <si>
    <t>616510019108</t>
  </si>
  <si>
    <t>ИП6104030741</t>
  </si>
  <si>
    <t>ИП610403074100000</t>
  </si>
  <si>
    <t>344001 Ростовская область город Ростов-на-Дону улица Профсоюзная здание 134   304</t>
  </si>
  <si>
    <t>ИП Бережной Денис Витальевич</t>
  </si>
  <si>
    <t>616511945327</t>
  </si>
  <si>
    <t>ИП6104010309</t>
  </si>
  <si>
    <t>ИП610401030900000</t>
  </si>
  <si>
    <t>344006 Ростовская область город Ростов-на-Дону проспект Соколова дом 21/19  А бывшая квартира 122</t>
  </si>
  <si>
    <t>ИП Кириллов Валентин Викторович</t>
  </si>
  <si>
    <t>616512610980</t>
  </si>
  <si>
    <t>ИП6104006510</t>
  </si>
  <si>
    <t>ИП610400651000000</t>
  </si>
  <si>
    <t>344068 Ростовская область Ростов-на-Дону  пр. Михаила Нагибина д. 32Ж  лит АК  к. 170-191-194-195 1 этаж</t>
  </si>
  <si>
    <t>ИП Ненахова Дарья Вадимовна</t>
  </si>
  <si>
    <t>616516974307</t>
  </si>
  <si>
    <t>ИП6104001586</t>
  </si>
  <si>
    <t>ИП610400158600000</t>
  </si>
  <si>
    <t>344000 Ростовская область город Ростов-на-Дону проспект Михаила Нагибина дом 32ж   офис</t>
  </si>
  <si>
    <t>ИП Седракян Феликс Каренович</t>
  </si>
  <si>
    <t>616518073160</t>
  </si>
  <si>
    <t>ИП6104007429</t>
  </si>
  <si>
    <t>ИП610400742900000</t>
  </si>
  <si>
    <t>ИП610400742900001</t>
  </si>
  <si>
    <t>344068 Ростовская область город Ростов-на-Дону проспект Михаила Нагибина дом 32ж</t>
  </si>
  <si>
    <t>ИП610400742900002</t>
  </si>
  <si>
    <t>346720 Ростовская область город Аксай проспект Аксайский дом 23</t>
  </si>
  <si>
    <t>ИП610400742900003</t>
  </si>
  <si>
    <t>344068 Ростовская область город Ростов-на-Дону проспект Михаила Нагибина дом 32ж  АК ювелирный магазин "Нефрит"</t>
  </si>
  <si>
    <t>ИП610400742900004</t>
  </si>
  <si>
    <t>344000 Ростовская область город Ростов-на-Дону Пойменная 1 м пом 21-009.1</t>
  </si>
  <si>
    <t>ИП610400742900005</t>
  </si>
  <si>
    <t>344003 Ростовская область город Ростов-на-Дону улица Лермонтовская дом 109  Литер А</t>
  </si>
  <si>
    <t>ООО "ИНТЕРНЕТ-МАГАЗИН"</t>
  </si>
  <si>
    <t>6165204222</t>
  </si>
  <si>
    <t>ЮЛ6104000406</t>
  </si>
  <si>
    <t>ЮЛ610400040600000</t>
  </si>
  <si>
    <t>344103 Ростовская область город Ростов-на-Дону улица Малиновского дом 25   Помещения 152</t>
  </si>
  <si>
    <t>ООО "БС ЗОЛОТО"</t>
  </si>
  <si>
    <t>6165235252</t>
  </si>
  <si>
    <t>ЮЛ6104034690</t>
  </si>
  <si>
    <t>ЮЛ610403469000002</t>
  </si>
  <si>
    <t>344018 Ростовская область город Ростов-на-Дону переулок Соборный здание 96 помещение 1  офис 17</t>
  </si>
  <si>
    <t>ООО "ГЕМОТВЕТ"</t>
  </si>
  <si>
    <t>6165243077</t>
  </si>
  <si>
    <t>ЮЛ6104039924</t>
  </si>
  <si>
    <t>ЮЛ610403992400000</t>
  </si>
  <si>
    <t>344038 Ростовская область город Ростов-на-Дону проспект Михаила Нагибина здание 14а  Литер А Комната №38</t>
  </si>
  <si>
    <t>ООО "НОВАДАТА"</t>
  </si>
  <si>
    <t>6165243207</t>
  </si>
  <si>
    <t>ЮЛ6104040026</t>
  </si>
  <si>
    <t>ЮЛ610404002600000</t>
  </si>
  <si>
    <t>344092 Ростовская область город Ростов-на-Дону улица Добровольского дом 15</t>
  </si>
  <si>
    <t>ИП Трещев Виктор Сергеевич</t>
  </si>
  <si>
    <t>616600313190</t>
  </si>
  <si>
    <t>ИП6104030503</t>
  </si>
  <si>
    <t>ИП610403050300000</t>
  </si>
  <si>
    <t>344045 Ростовская область город Ростов-на-Дону улица Миронова дом 4А   Магазин 1</t>
  </si>
  <si>
    <t>ИП610403050300001</t>
  </si>
  <si>
    <t>344114 Ростовская область город Ростов-на-Дону улица Беляева дом 28/60</t>
  </si>
  <si>
    <t>ИП610403050300002</t>
  </si>
  <si>
    <t>344022 Ростовская область город Ростов-на-Дону улица Максима Горького дом 220/112</t>
  </si>
  <si>
    <t>ИП610403050300003</t>
  </si>
  <si>
    <t>344045 Ростовская область город Ростов-на-Дону улица Миронова дом 4А   магазин 2</t>
  </si>
  <si>
    <t>ИП610403050300004</t>
  </si>
  <si>
    <t>ИП610403050300005</t>
  </si>
  <si>
    <t>344006 Ростовская область город Ростов-на-Дону проспект Ворошиловский здание 12</t>
  </si>
  <si>
    <t>ИП610403050300006</t>
  </si>
  <si>
    <t>344018 Ростовская область город Ростов-на-Дону улица Мечникова дом 130</t>
  </si>
  <si>
    <t>ИП610403050300007</t>
  </si>
  <si>
    <t>344091 Ростовская область город Ростов-на-Дону улица 2-я Краснодарская дом 145а</t>
  </si>
  <si>
    <t>ИП610403050300008</t>
  </si>
  <si>
    <t>344000 Ростовская область город Ростов-на-Дону Большая Садовая 82-84/46   1-2-2а,55</t>
  </si>
  <si>
    <t>ИП610403050300009</t>
  </si>
  <si>
    <t>344006 Ростовская область город Ростов-на-Дону проспект Чехова дом 35/30 Литер А  23-25б</t>
  </si>
  <si>
    <t>ИП Купчик Вадим Витальевич</t>
  </si>
  <si>
    <t>616600550384</t>
  </si>
  <si>
    <t>ИП6104006165</t>
  </si>
  <si>
    <t>ИП610400616500000</t>
  </si>
  <si>
    <t>ИП Савченко Дарья Олеговна</t>
  </si>
  <si>
    <t>616601867144</t>
  </si>
  <si>
    <t>ИП6104000798</t>
  </si>
  <si>
    <t>ИП610400079800000</t>
  </si>
  <si>
    <t>344002 Ростовская область город Ростов-на-Дону улица Большая Садовая дом 46  а комната 20-21-22-24-25-26а-27-40</t>
  </si>
  <si>
    <t>ИП Афанасьева Елена Николаевна</t>
  </si>
  <si>
    <t>616601948428</t>
  </si>
  <si>
    <t>ИП6104007670</t>
  </si>
  <si>
    <t>ИП610400767000000</t>
  </si>
  <si>
    <t>344029 Ростовская область город Ростов-на-Дону проспект Сельмаш дом 98/11   комната 9ф</t>
  </si>
  <si>
    <t>ИП610400767000002</t>
  </si>
  <si>
    <t>344065 Ростовская область город Ростов-на-Дону улица 50-летия Ростсельмаша здание 2а - - офис 906, 907, 908, 909, 909а</t>
  </si>
  <si>
    <t>ИП Мазницын Олег Владимирович</t>
  </si>
  <si>
    <t>616604021790</t>
  </si>
  <si>
    <t>ИП6104000144</t>
  </si>
  <si>
    <t>ИП610400014400000</t>
  </si>
  <si>
    <t>344065 Ростовская область город Ростов-на-Дону улица Орская дом 12г</t>
  </si>
  <si>
    <t>ИП Лактионов Алексей Александрович</t>
  </si>
  <si>
    <t>616609771525</t>
  </si>
  <si>
    <t>ИП6104005398</t>
  </si>
  <si>
    <t>ИП610400539800000</t>
  </si>
  <si>
    <t>344045 Ростовская область город Ростов-на-Дону улица Думенко дом 3/2   1 этаж</t>
  </si>
  <si>
    <t>ИП Артемова Елена Андреевна</t>
  </si>
  <si>
    <t>616613479001</t>
  </si>
  <si>
    <t>ИП6104008280</t>
  </si>
  <si>
    <t>ИП610400828000000</t>
  </si>
  <si>
    <t>346643 Ростовская область поселок Верхнетемерницкий улица Обсерваторная дом 13</t>
  </si>
  <si>
    <t>ИП610400828000001</t>
  </si>
  <si>
    <t>344038 Ростовская область город Ростов-на-Дону проспект Михаила Нагибина дом 17  Литер А часть пом.№2, 1 этаж</t>
  </si>
  <si>
    <t>ИП610400828000003</t>
  </si>
  <si>
    <t>344000 Ростовская область город Ростов-на-Дону улица Города Волос здание 70  Б 85</t>
  </si>
  <si>
    <t>ИП Маркосян Андраник Эдуардович</t>
  </si>
  <si>
    <t>616617018940</t>
  </si>
  <si>
    <t>ИП6104037910</t>
  </si>
  <si>
    <t>ИП610403791000000</t>
  </si>
  <si>
    <t>344000 Ростовская область Ростов-на-Дону Пойменная 1</t>
  </si>
  <si>
    <t>ИП Зуенко Татьяна Борисовна</t>
  </si>
  <si>
    <t>616701544860</t>
  </si>
  <si>
    <t>ИП6104013168</t>
  </si>
  <si>
    <t>ИП610401316800000</t>
  </si>
  <si>
    <t>344017 Ростовская область Ростов-на-Дону площадь Толстого 6А   ТЦ "ПЛОЩАДЬ" ,2 Этаж , комната №IX</t>
  </si>
  <si>
    <t>ИП Шморгунова Эльвира Гаджимурадовна</t>
  </si>
  <si>
    <t>616702647219</t>
  </si>
  <si>
    <t>ИП6104009908</t>
  </si>
  <si>
    <t>ИП610400990800000</t>
  </si>
  <si>
    <t>344019 Ростовская область город Ростов-на-Дону улица Советская дом 48</t>
  </si>
  <si>
    <t>ИП Гафизова Татьяна Сулимановна</t>
  </si>
  <si>
    <t>616708464162</t>
  </si>
  <si>
    <t>ИП6104002702</t>
  </si>
  <si>
    <t>ИП610400270200000</t>
  </si>
  <si>
    <t>344003 Ростовская область город Ростов-на-Дону проспект Ворошиловский дом 89/80 ------ А ------</t>
  </si>
  <si>
    <t>ИП Хачатрян Кристина Гендриковна</t>
  </si>
  <si>
    <t>616709940907</t>
  </si>
  <si>
    <t>ИП6104014246</t>
  </si>
  <si>
    <t>ИП610401424600000</t>
  </si>
  <si>
    <t>344019 Ростовская область город Ростов-на-Дону улица 18-я линия дом 36</t>
  </si>
  <si>
    <t>ООО "БРИЛЛИАНТЫ - ЮГА"</t>
  </si>
  <si>
    <t>6167110153</t>
  </si>
  <si>
    <t>ЮЛ6104008572</t>
  </si>
  <si>
    <t>ЮЛ610400857200000</t>
  </si>
  <si>
    <t>344018 Ростовская область город Ростов-на-Дону улица Текучева дом 234   офис 906</t>
  </si>
  <si>
    <t>ИП Тадевосян Гарегин Рудикович</t>
  </si>
  <si>
    <t>616713705536</t>
  </si>
  <si>
    <t>ИП6104012426</t>
  </si>
  <si>
    <t>ИП610401242600000</t>
  </si>
  <si>
    <t>344090 Ростовская область город Ростов-на-Дону Доватора 267</t>
  </si>
  <si>
    <t>ИП610401242600001</t>
  </si>
  <si>
    <t>344018 Ростовская область город Ростов-на-Дону улица Мечникова дом 140  А 6д-6к</t>
  </si>
  <si>
    <t>ИП Хачатурян Артур Каренович</t>
  </si>
  <si>
    <t>616800333394</t>
  </si>
  <si>
    <t>ИП6104000307</t>
  </si>
  <si>
    <t>ИП610400030700000</t>
  </si>
  <si>
    <t>344006 Ростовская область Ростов-на-Дону Чехова 51  пом Н 1</t>
  </si>
  <si>
    <t>ИП Михайлова Ольга Игоревна</t>
  </si>
  <si>
    <t>616801110263</t>
  </si>
  <si>
    <t>ИП6104037882</t>
  </si>
  <si>
    <t>ИП610403788200000</t>
  </si>
  <si>
    <t>344068 Ростовская область город Ростов-на-Дону проспект Михаила Нагибина здание 32и</t>
  </si>
  <si>
    <t>ИП610403788200001</t>
  </si>
  <si>
    <t>344038 Ростовская область город Ростов-на-Дону проспект Ленина дом 91 - - комната 46</t>
  </si>
  <si>
    <t>ИП Шевченко Светлана Анатольевна</t>
  </si>
  <si>
    <t>616803046207</t>
  </si>
  <si>
    <t>ИП6104000020</t>
  </si>
  <si>
    <t>ИП610400002000000</t>
  </si>
  <si>
    <t>344011 Ростовская область город Ростов-на-Дону переулок Доломановский дом 55а</t>
  </si>
  <si>
    <t>ИП Овод Светлана Михайловна</t>
  </si>
  <si>
    <t>616810576460</t>
  </si>
  <si>
    <t>ИП6104033840</t>
  </si>
  <si>
    <t>ИП610403384000000</t>
  </si>
  <si>
    <t>346885 Ростовская область город Батайск переулок Дачный дом 14</t>
  </si>
  <si>
    <t>ИП Белоус Игорь Владимирович</t>
  </si>
  <si>
    <t>616811008389</t>
  </si>
  <si>
    <t>ИП6104000346</t>
  </si>
  <si>
    <t>ИП610400034600000</t>
  </si>
  <si>
    <t>344090 Ростовская область город Ростов-на-Дону проспект Стачки дом 190/16   Магазин "Самоцвет"</t>
  </si>
  <si>
    <t>ИП610400034600001</t>
  </si>
  <si>
    <t>346880 Ростовская область город Батайск улица Кирова дом 7 - - офис 5</t>
  </si>
  <si>
    <t>ИП Баталина Виктория Николаевна</t>
  </si>
  <si>
    <t>616821169360</t>
  </si>
  <si>
    <t>ИП6104000777</t>
  </si>
  <si>
    <t>ИП610400077700000</t>
  </si>
  <si>
    <t>344116 Ростовская область город Ростов-на-Дону пр. Стачки 25</t>
  </si>
  <si>
    <t>ИП Стрелкова Виктория Сергеевна</t>
  </si>
  <si>
    <t>616831011608</t>
  </si>
  <si>
    <t>ИП6104006680</t>
  </si>
  <si>
    <t>ИП610400668000000</t>
  </si>
  <si>
    <t>ИП630601425400067</t>
  </si>
  <si>
    <t>344002 Ростовская область город Ростов-на-Дону улица Пойменная дом 1м</t>
  </si>
  <si>
    <t>ИП630601425400095</t>
  </si>
  <si>
    <t>ИП630601425400102</t>
  </si>
  <si>
    <t>347939 Ростовская область город Таганрог улица Чехова дом 320 корпус 1</t>
  </si>
  <si>
    <t>ЮЛ630603373600031</t>
  </si>
  <si>
    <t>347902 Ростовская область город Таганрог улица Свободы дом 22</t>
  </si>
  <si>
    <t>ЮЛ630603373600039</t>
  </si>
  <si>
    <t>346431 Ростовская область город Новочеркасск улица Калинина дом 102Б</t>
  </si>
  <si>
    <t>ЮЛ630603373600041</t>
  </si>
  <si>
    <t>344015 Ростовская область город Ростов-на-Дону улица Еременко дом 58/1</t>
  </si>
  <si>
    <t>ЮЛ630603373600043</t>
  </si>
  <si>
    <t>344016 Ростовская область город Ростов-на-Дону улица Таганрогская дом 118</t>
  </si>
  <si>
    <t>ЮЛ630603373600044</t>
  </si>
  <si>
    <t>347370 Ростовская область город Волгодонск улица Морская дом 114   помещение Xlll</t>
  </si>
  <si>
    <t>ЮЛ630603373600051</t>
  </si>
  <si>
    <t>346421 Ростовская область город Новочеркасск проспект Баклановский дом 154</t>
  </si>
  <si>
    <t>ЮЛ630603373600055</t>
  </si>
  <si>
    <t>346410 Ростовская область город Новочеркасск проспект Ермака дом 86</t>
  </si>
  <si>
    <t>ЮЛ630603373600062</t>
  </si>
  <si>
    <t>347375 Ростовская область город Волгодонск улица Энтузиастов дом 42б</t>
  </si>
  <si>
    <t>ЮЛ630603373600063</t>
  </si>
  <si>
    <t>344113 Ростовская область город Ростов-на-Дону улица Добровольского дом 18/22</t>
  </si>
  <si>
    <t>ЮЛ630603373600069</t>
  </si>
  <si>
    <t>347382 Ростовская область город Волгодонск проспект Строителей 16</t>
  </si>
  <si>
    <t>ЮЛ630603373600076</t>
  </si>
  <si>
    <t>344065 Ростовская область город Ростов-на-Дону переулок Днепровский дом 105/98</t>
  </si>
  <si>
    <t>ЮЛ630603037200081</t>
  </si>
  <si>
    <t>344091 Ростовская область город Ростов-на-Дону проспект Коммунистический дом 46</t>
  </si>
  <si>
    <t>ЮЛ630603037200083</t>
  </si>
  <si>
    <t>344018 Ростовская область город Ростов-на-Дону улица Текучева дом 234   помещение 1 этаж 9</t>
  </si>
  <si>
    <t>ИП Айрапетян Арарат Эдуардович</t>
  </si>
  <si>
    <t>644920143070</t>
  </si>
  <si>
    <t>ИП6104006258</t>
  </si>
  <si>
    <t>ИП610400625800000</t>
  </si>
  <si>
    <t>344002 Ростовская область город Ростов-на-Дону улица Социалистическая дом 74  литера а этаж 10, офис 1008</t>
  </si>
  <si>
    <t>ЮЛ660701304200012</t>
  </si>
  <si>
    <t>344038 Ростовская область город Ростов-на-Дону проспект Михаила Нагибина 14а   39</t>
  </si>
  <si>
    <t>ИП Шапошников Игорь Александрович</t>
  </si>
  <si>
    <t>740800342833</t>
  </si>
  <si>
    <t>ИП6104009501</t>
  </si>
  <si>
    <t>ИП610400950100000</t>
  </si>
  <si>
    <t>344092 Ростовская область город Ростов-на-Дону проспект Космонавтов здание 2/2</t>
  </si>
  <si>
    <t>ИП610400950100001</t>
  </si>
  <si>
    <t>344015 Ростовская область город Ростов-на-Дону улица Зорге дом 33   1 этаж</t>
  </si>
  <si>
    <t>ИП610400950100002</t>
  </si>
  <si>
    <t>344116 Ростовская область город ростов-на-Дону улица Малиновского дом 25   152</t>
  </si>
  <si>
    <t>ИП Андрян М. А.</t>
  </si>
  <si>
    <t>745216536101</t>
  </si>
  <si>
    <t>ИП6104012395</t>
  </si>
  <si>
    <t>ИП610401239500000</t>
  </si>
  <si>
    <t>344068 Ростовская область город Ростов-на-Дону проспект Михаила Нагибина здание 32ж  АК Часть комнаты №170-191-194-195</t>
  </si>
  <si>
    <t>ИП770103671300004</t>
  </si>
  <si>
    <t>344049 Ростовская область город Ростов-на-Дону улица Малиновского дом 25   помещение 112</t>
  </si>
  <si>
    <t>ЮЛ760201190700049</t>
  </si>
  <si>
    <t>344068 Ростовская область город Ростов-на-Дону проспект Михаила Нагибина дом 32ж   комната 171л и часть комнаты 171 м</t>
  </si>
  <si>
    <t>ЮЛ760201190700080</t>
  </si>
  <si>
    <t>347805 Ростовская область город Каменск-Шахтинский улица Ворошилова дом 22   часть нежилого помещения 2, 1 (первый) этаж</t>
  </si>
  <si>
    <t>ЮЛ770100201500464</t>
  </si>
  <si>
    <t>346880 Ростовская область город Батайск улица М.Горького дом 133  литер б комната № 9б-9г,31, 1 этаж</t>
  </si>
  <si>
    <t>ЮЛ770100201500519</t>
  </si>
  <si>
    <t>347042 Ростовская область город Белая Калитва улица Калинина дом 2</t>
  </si>
  <si>
    <t>ЮЛ770100201500528</t>
  </si>
  <si>
    <t>344091 Ростовская область город Ростов-на-Дону проспект Коммунистический дом 31</t>
  </si>
  <si>
    <t>ЮЛ770100201500569</t>
  </si>
  <si>
    <t>344065 Ростовская область город Ростов-на-Дону улица Вятская дом 98А</t>
  </si>
  <si>
    <t>ЮЛ770100201500571</t>
  </si>
  <si>
    <t>344092 Ростовская область город Ростов-на-Дону улица Волкова дом 12/11  литер ББ1 помещение 29а,29б,29в-29т,29у-29ф, 1 этаж</t>
  </si>
  <si>
    <t>ЮЛ770100201500574</t>
  </si>
  <si>
    <t>344029 Ростовская область город Ростов-на-Дону улица Сержантова дом 10/100</t>
  </si>
  <si>
    <t>ЮЛ770100201500575</t>
  </si>
  <si>
    <t>347900 Ростовская область город Таганрог переулок Гоголевский/улица Октябрьская дом 17/дом 15</t>
  </si>
  <si>
    <t>ЮЛ770100201500578</t>
  </si>
  <si>
    <t>347928 Ростовская область город Таганрог улица Москатова здание 10-1</t>
  </si>
  <si>
    <t>ЮЛ770100201500586</t>
  </si>
  <si>
    <t>346500 Ростовская область город Шахты проспект Победа Революции здание 128к   комнаты 2-8, 1 (первый) этаж</t>
  </si>
  <si>
    <t>ЮЛ770100201500591</t>
  </si>
  <si>
    <t>346787 Ростовская область город Азов улица Мира дом 26/1</t>
  </si>
  <si>
    <t>ЮЛ770100201500705</t>
  </si>
  <si>
    <t>346880 Ростовская область город Батайск улица Энгельса дом 225   2 этаж (второй)</t>
  </si>
  <si>
    <t>ЮЛ770100201500710</t>
  </si>
  <si>
    <t>344082 Ростовская область город Ростов-на-Дону улица Пушкинская дом 32   этаж 1, помещение № 3, 4, 5, 8, 8А, 8б, 8в</t>
  </si>
  <si>
    <t>ЮЛ770100623000003</t>
  </si>
  <si>
    <t>344068 Ростовская область город Ростов-на-Дону проспект Михаила Нагибина дом 32 д/2  Часть комнаты №25 на втором этаже комплекса</t>
  </si>
  <si>
    <t>ЮЛ770100264000031</t>
  </si>
  <si>
    <t>347900 Ростовская область город Таганрог улица Чехова дом 114/29   этаж 1</t>
  </si>
  <si>
    <t>ЮЛ770101216600183</t>
  </si>
  <si>
    <t>344049 Ростовская область город Ростов-на-Дону улица Малиновского здание 25   помещение 90, этаж 2</t>
  </si>
  <si>
    <t>ЮЛ770101216600252</t>
  </si>
  <si>
    <t>344002 Ростовская область город Ростов-на-Дону улица Пойменная дом 1м   помещение  21-031, этаж 1</t>
  </si>
  <si>
    <t>ЮЛ770101216600253</t>
  </si>
  <si>
    <t>344015 Ростовская область город Ростов-на-Дону улица Зорге дом 33   помещение 1-53, этаж 1</t>
  </si>
  <si>
    <t>ЮЛ770101216600254</t>
  </si>
  <si>
    <t>347930 Ростовская область город Таганрог площадь Мира дом 7   помещение 67, этаж 1</t>
  </si>
  <si>
    <t>ЮЛ770101216600261</t>
  </si>
  <si>
    <t>344113 Ростовская область город Ростов-на-Дону проспект Космонавтов дом 19А/28Ж   помещение 047.1, 047.2, этаж цокольный</t>
  </si>
  <si>
    <t>ЮЛ770101216600297</t>
  </si>
  <si>
    <t>347371 Ростовская область город Волгодонск улица Весенняя дом 56   помещение 34 (часть), этаж 1</t>
  </si>
  <si>
    <t>ЮЛ770101216600322</t>
  </si>
  <si>
    <t>346500 Ростовская область город Шахты переулок Красный Шахтер дом 78   этаж 1</t>
  </si>
  <si>
    <t>ЮЛ770101216600429</t>
  </si>
  <si>
    <t>346787 Ростовская область город Азов улица Ленина дом 72   этаж 1</t>
  </si>
  <si>
    <t>ЮЛ770101216600431</t>
  </si>
  <si>
    <t>346880 Ростовская область город Батайск улица Кирова дом 13Б   этаж 1</t>
  </si>
  <si>
    <t>ЮЛ770101216600432</t>
  </si>
  <si>
    <t>346918 Ростовская область город Новошахтинск улица Садовая дом 32   этаж 1</t>
  </si>
  <si>
    <t>ЮЛ770101216600526</t>
  </si>
  <si>
    <t>344103 Ростовская область город Ростов-на-Дону улица Малиновского здание 23д   этаж 1, нежилое помещение № 11</t>
  </si>
  <si>
    <t>ЮЛ770101216600629</t>
  </si>
  <si>
    <t>344038 Ростовская область город Ростов-на-Дону проспект Михаила Нагибина дом 17  Литер А этаж 1, часть комнаты №6</t>
  </si>
  <si>
    <t>ЮЛ770101216600673</t>
  </si>
  <si>
    <t>344113 Ростовская область город Ростов-на-Дону бульвар Комарова дом 24а   этаж 1, нежилое помещение №91</t>
  </si>
  <si>
    <t>ЮЛ770101216600674</t>
  </si>
  <si>
    <t>347630 Ростовская область город Сальск улица Ворошилова дом 3   этаж 1</t>
  </si>
  <si>
    <t>ЮЛ770101216600710</t>
  </si>
  <si>
    <t>344092 Ростовская область город Ростов-на-Дону проспект Космонавтов здание 2/2  Литер Б этаж 1, комната № 2м</t>
  </si>
  <si>
    <t>ЮЛ770101216600733</t>
  </si>
  <si>
    <t>347900 Ростовская область город Таганрог улица Петровская дом 91   1 этаж, часть нежилого помещения</t>
  </si>
  <si>
    <t>ЮЛ770101216600749</t>
  </si>
  <si>
    <t>344082 Ростовская область город Ростов-на-Дону, Ленинский район проспект Буденновский дом 49/97   этаж 1, часть комнаты №4</t>
  </si>
  <si>
    <t>ЮЛ770101216600799</t>
  </si>
  <si>
    <t>346414 Ростовская область город Новочеркасск улица Гагарина дом 2  литера Б этаж 1, часть нежилого помещения</t>
  </si>
  <si>
    <t>ЮЛ770101216600800</t>
  </si>
  <si>
    <t>344002 Ростовская область город Ростов-на-Дону улица Большая Садовая дом 52-56   52-56/23/39-43, часть нежилого помещения</t>
  </si>
  <si>
    <t>ЮЛ770101216600858</t>
  </si>
  <si>
    <t>344049 Ростовская область город Ростов-на-Дону улица Доватора дом 267   1 этаж, часть нежилого помещения</t>
  </si>
  <si>
    <t>ЮЛ770101216600866</t>
  </si>
  <si>
    <t>346421 Ростовская область город Новочеркасск улица Ященко А.А. дом 1А   1 этаж, нежилое помещение № 68</t>
  </si>
  <si>
    <t>ЮЛ770101216600886</t>
  </si>
  <si>
    <t>344091 Ростовская область город Ростов-на-Дону проспект Коммунистический дом 32   1 этаж, нежилое помещение №7</t>
  </si>
  <si>
    <t>ЮЛ770101216600911</t>
  </si>
  <si>
    <t>346513 Ростовская область город Шахты переулок Шишкина дом 162   этаж 1, часть нежилого помещения № 97</t>
  </si>
  <si>
    <t>ЮЛ770101216600934</t>
  </si>
  <si>
    <t>344049 Ростовская область город Ростов-на-Дону проспект Маршала Жукова здание 35/8   этаж 1 , помещения №5-6</t>
  </si>
  <si>
    <t>ЮЛ770101216600952</t>
  </si>
  <si>
    <t>346900 Ростовская область город Новошахтинск улица Харьковская дом 201   этаж 1, объект 1/47</t>
  </si>
  <si>
    <t>ЮЛ770101216600963</t>
  </si>
  <si>
    <t>344018 Ростовская область город Ростов-на-Дону улица Текучева здание 139/94   этаж 14,  нежилое помещение №12 к,л,м</t>
  </si>
  <si>
    <t>ЮЛ770100167700009</t>
  </si>
  <si>
    <t>346500 Ростовская область город Шахты переулок Красный Шахтер дом 123в</t>
  </si>
  <si>
    <t>ЮЛ770103164400070</t>
  </si>
  <si>
    <t>344068 Ростовская область город Ростов-на-Дону Проспект Михаила Нагибина Дом 32и   нежилое помещение комната № 50 и часть комнаты № 49 на 1-м этаже Здания Литер "БЖ"</t>
  </si>
  <si>
    <t>ИП770101587900000</t>
  </si>
  <si>
    <t>347871 Ростовская область город Гуково улица Мира дом 36</t>
  </si>
  <si>
    <t>ЮЛ770101324600032</t>
  </si>
  <si>
    <t>347939 Ростовская область город Таганрог улица Чехова дом 320-В</t>
  </si>
  <si>
    <t>ЮЛ770101324600033</t>
  </si>
  <si>
    <t>347045 Ростовская область город Белая Калитва улица Энгельса дом 19/16   помещение 8</t>
  </si>
  <si>
    <t>ЮЛ770101324600040</t>
  </si>
  <si>
    <t>346330 Ростовская область город Донецк переулок Гагарина дом 33</t>
  </si>
  <si>
    <t>ЮЛ770101324600047</t>
  </si>
  <si>
    <t>344068 Ростовская область город Ростов-на-Дону проспект Михаила Нагибина дом 32Е</t>
  </si>
  <si>
    <t>ЮЛ770100419400075</t>
  </si>
  <si>
    <t>344002 Ростовская область город Ростов-на-Дону улица Пойменная дом 1М</t>
  </si>
  <si>
    <t>ЮЛ770100419400078</t>
  </si>
  <si>
    <t>344002 Ростовская область город Ростов-на-Дону улица Пушкинская дом 119</t>
  </si>
  <si>
    <t>ЮЛ770100419400181</t>
  </si>
  <si>
    <t>ЮЛ770100419400186</t>
  </si>
  <si>
    <t>344103 Ростовская область город Ростов-на-Дону улица Малиновского дом 25</t>
  </si>
  <si>
    <t>ЮЛ770100419400195</t>
  </si>
  <si>
    <t>344068 Ростовская область город Ростов-на-Дону проспект Михаила Нагибина здание 32ж   комната №200-201а</t>
  </si>
  <si>
    <t>ЮЛ770100219100003</t>
  </si>
  <si>
    <t>347045 Ростовская область город Белая Калитва улица Энгельса дом 19/16   квартира 8</t>
  </si>
  <si>
    <t>ЮЛ770101248500025</t>
  </si>
  <si>
    <t>346918 Ростовская область город Новошахтинск улица Базарная здание 20</t>
  </si>
  <si>
    <t>ЮЛ770101248500069</t>
  </si>
  <si>
    <t>347871 Ростовская область город Гуково улица Мира дом 36   Помещение 15</t>
  </si>
  <si>
    <t>ЮЛ770101248500075</t>
  </si>
  <si>
    <t>346720 Ростовская область город Аксай Аксайский проспект дом 23   помещение 5034, 5036м</t>
  </si>
  <si>
    <t>ЮЛ770100193500227</t>
  </si>
  <si>
    <t>346787 Ростовская область город Азов улица Ленина дом 72   часть помещения 6, первый этаж</t>
  </si>
  <si>
    <t>ЮЛ770100193500228</t>
  </si>
  <si>
    <t>346880 Ростовская область город Батайск улица Кирова дом 15   офис 1</t>
  </si>
  <si>
    <t>ЮЛ770100193500229</t>
  </si>
  <si>
    <t>347382 Ростовская область город Волгодонск проспект Строителей дом 21   часть помещения 15, часть помещения  2</t>
  </si>
  <si>
    <t>ЮЛ770100193500230</t>
  </si>
  <si>
    <t>346400 Ростовская область город Новочеркасск улица Московская дом 5/21   помещения 27-41 на 1 этаже, помещения 1-4 на 2 этаже</t>
  </si>
  <si>
    <t>ЮЛ770100193500231</t>
  </si>
  <si>
    <t>347900 Ростовская область город Таганрог переулок Гоголевский / улица Чехова дом 29/114   комнаты 33, 37, 37а, 38</t>
  </si>
  <si>
    <t>ЮЛ770100193500232</t>
  </si>
  <si>
    <t>346500 Ростовская область город Шахты улица Шевченко дом 125</t>
  </si>
  <si>
    <t>ЮЛ770100193500233</t>
  </si>
  <si>
    <t>344092 Ростовская область город Ростов-на-Дону проспект Космонавтов здание 19а/28ж   цокольный этаж, помещения 032, 033, часть помещения 034</t>
  </si>
  <si>
    <t>ЮЛ770100193500234</t>
  </si>
  <si>
    <t>344002 Ростовская область город Ростов-на-Дону улица Шаумяна дом 35/50   комната 15, часть комнаты 3-4-9-10а-10-11-13</t>
  </si>
  <si>
    <t>ЮЛ770100193500235</t>
  </si>
  <si>
    <t>344002 Ростовская область город Ростов-на-Дону улица Пойменная дом 1   помещение 1.30б</t>
  </si>
  <si>
    <t>ЮЛ770100193500236</t>
  </si>
  <si>
    <t>344015 Ростовская область город Ростов-на-Дону улица Зорге дом 33   1 (первый) этаж, комнаты 39, 39а</t>
  </si>
  <si>
    <t>ЮЛ770100193500237</t>
  </si>
  <si>
    <t>344068 Ростовская область город Ростов-на-Дону проспект Михаила Нагибина здание 32ж  литер "АК" цокольный этаж, комната № 25-52а, комната 53, комната 53а, часть комнаты № 25, 26, 27, 28, 29, 30, 31, 32, 33, 34, 35, 36, 37, 38, 39, 40, 41, 42, 43, 44, 45, 46, 47, 48, 49, 50, 52</t>
  </si>
  <si>
    <t>ЮЛ770100193500491</t>
  </si>
  <si>
    <t>347930 Ростовская область город Таганрог площадь Мира дом 7   помещение № 71, этаж 1 (первый)</t>
  </si>
  <si>
    <t>ЮЛ770100193500547</t>
  </si>
  <si>
    <t>344049 Ростовская область город Ростов-на-Дону улица Малиновского дом 25   помещение 38, 2 (второй) этаж</t>
  </si>
  <si>
    <t>ЮЛ770100193500573</t>
  </si>
  <si>
    <t>344038 Ростовская область город Ростов-на-Дону проспект Михаила Нагибина дом 17   часть комнаты № 6, литер А, этаж 1 (первый)</t>
  </si>
  <si>
    <t>ЮЛ770100193500625</t>
  </si>
  <si>
    <t>344092 Ростовская область город Ростов-на-Дону проспект Космонавтов здание 2/2   часть нежилого помещения: комната №23б-23г, комната №23, комната 23а-23в, этаж 1 (первый)</t>
  </si>
  <si>
    <t>ЮЛ770100193500636</t>
  </si>
  <si>
    <t>346421 Ростовская область город Новочеркасск улица Ященко А.А. дом 1А   часть здания в границах помещения № 3, этаж 1 (первый)</t>
  </si>
  <si>
    <t>ЮЛ770100193500674</t>
  </si>
  <si>
    <t>346918 Ростовская область город Новошахтинск улица Базарная дом 26   этаж 1 (первый)</t>
  </si>
  <si>
    <t>ЮЛ770100193500689</t>
  </si>
  <si>
    <t>347809 Ростовская область город Каменск-Шахтинский проспект Карла Маркса дом 85   этаж 1 (первый),  этаж 2 (второй)</t>
  </si>
  <si>
    <t>ЮЛ770100193500700</t>
  </si>
  <si>
    <t>347371 Ростовская область город Волгодонск улица Весенняя дом 56   часть нежилого помещения № 88, этаж 1 (первый)</t>
  </si>
  <si>
    <t>ЮЛ770100193500708</t>
  </si>
  <si>
    <t>344019 Ростовская область город Ростов-на-Дону площадь Карла Маркса дом 28/2   этаж 1 (первый)</t>
  </si>
  <si>
    <t>ЮЛ770100193500729</t>
  </si>
  <si>
    <t>346330 Ростовская область город Донецк улица Максима Горького здание 72   помещение 1, этаж 1 (первый)</t>
  </si>
  <si>
    <t>ЮЛ770100193500846</t>
  </si>
  <si>
    <t>347942 Ростовская область город Таганрог переулок 1-й Новый/улица 3-я Линия дом 2   часть помещения 4, 9, 9а, первый этаж</t>
  </si>
  <si>
    <t>ЮЛ770100193500863</t>
  </si>
  <si>
    <t>347805 Ростовская область город Каменск-Шахтинский улица Ворошилова дом 22   помещение 2, этаж 1 (первый)</t>
  </si>
  <si>
    <t>ЮЛ770100193500878</t>
  </si>
  <si>
    <t>346880 Ростовская область город Батайск улица Энгельса дом 225</t>
  </si>
  <si>
    <t>ЮЛ770100193500880</t>
  </si>
  <si>
    <t>ЮЛ770100193500897</t>
  </si>
  <si>
    <t>344092 Ростовская область город Ростов-на-Дону улица Волкова дом 12/11   часть помещений 29а, 29б, 29в-29т, 29у-29ф, 1 (первый) этаж</t>
  </si>
  <si>
    <t>ЮЛ770100193500913</t>
  </si>
  <si>
    <t>ЮЛ770100193500915</t>
  </si>
  <si>
    <t>347922 Ростовская область город Таганрог улица Чехова дом 320/3</t>
  </si>
  <si>
    <t>ЮЛ770100193500929</t>
  </si>
  <si>
    <t>ЮЛ770100193500933</t>
  </si>
  <si>
    <t>347939 Ростовская область город Таганрог улица Сергея Шило дом 200-ж</t>
  </si>
  <si>
    <t>ЮЛ770100193500934</t>
  </si>
  <si>
    <t>ЮЛ770100193500940</t>
  </si>
  <si>
    <t>347935 Ростовская область город Таганрог улица Кузнечная/ переулок Гоголевский дом 1/18</t>
  </si>
  <si>
    <t>ЮЛ770100193500952</t>
  </si>
  <si>
    <t>347820 Ростовская область город Каменск-Шахтинский улица Советская дом 36</t>
  </si>
  <si>
    <t>ЮЛ770100193500953</t>
  </si>
  <si>
    <t>347913 Ростовская область город Таганрог улица Транспортная д 48-6</t>
  </si>
  <si>
    <t>ЮЛ770100193500960</t>
  </si>
  <si>
    <t>ЮЛ770100193500975</t>
  </si>
  <si>
    <t>ЮЛ770100193500977</t>
  </si>
  <si>
    <t>347900 Ростовская область город Таганрог улица Петровская дом 98</t>
  </si>
  <si>
    <t>ЮЛ770100193500981</t>
  </si>
  <si>
    <t>ЮЛ770100193500987</t>
  </si>
  <si>
    <t>ЮЛ770100193500990</t>
  </si>
  <si>
    <t>344038 Ростовская область город Ростов-на-Дону проспект Ленина дом 111</t>
  </si>
  <si>
    <t>ЮЛ770100193500993</t>
  </si>
  <si>
    <t>346720 Ростовская область город Аксай проспект Ленина дом 18   помещение 18</t>
  </si>
  <si>
    <t>ЮЛ770100193500997</t>
  </si>
  <si>
    <t>346880 Ростовская область город Батайск улица Максима Горького здание 133  литер Б комнаты 9б-9г,31, 1 (первый) этаж</t>
  </si>
  <si>
    <t>ЮЛ770100193501009</t>
  </si>
  <si>
    <t>346782 Ростовская область город Азов улица Мира дом 26/1</t>
  </si>
  <si>
    <t>ЮЛ770100193501052</t>
  </si>
  <si>
    <t>347630 Ростовская область город Сальск улица Кирова дом 9</t>
  </si>
  <si>
    <t>ЮЛ770100193501054</t>
  </si>
  <si>
    <t>347879 Ростовская область город Гуково улица Шахтерская дом 50</t>
  </si>
  <si>
    <t>ЮЛ770100193501057</t>
  </si>
  <si>
    <t>346132 Ростовская область город Миллерово улица Льва Толстого дом 44</t>
  </si>
  <si>
    <t>ЮЛ770100193501060</t>
  </si>
  <si>
    <t>344004 Ростовская область город Ростов-на-Дону проспект Стачки дом 18/27   комнаты 1,2,3</t>
  </si>
  <si>
    <t>ЮЛ770100193501091</t>
  </si>
  <si>
    <t>344068 Ростовская область город Ростов-на-Дону проспект Михаила Нагибина дом 32е   комната 12о-1в-12ка,комната 12п-1г-12кб,комната 12ф-1и-12кд, 1 (первый) этаж</t>
  </si>
  <si>
    <t>ЮЛ770100193501094</t>
  </si>
  <si>
    <t>347900 Ростовская область город Таганрог переулок Гоголевский/улица Фрунзе дом 9/дом 73</t>
  </si>
  <si>
    <t>ЮЛ770100193501112</t>
  </si>
  <si>
    <t>344003 Ростовская область город Ростов-на-Дону улица Мечникова дом 144</t>
  </si>
  <si>
    <t>ЮЛ770100193501113</t>
  </si>
  <si>
    <t>344002 Ростовская область город Ростов-на-Дону улица Большая Садовая дом 52-56</t>
  </si>
  <si>
    <t>ЮЛ780300131300024</t>
  </si>
  <si>
    <t>344029 Ростовская область город Ростов-на-Дону улица Сержантова дом 10/100   помещения 61-(62-63) и 30, 31, 32, 33</t>
  </si>
  <si>
    <t>ЮЛ780300131300027</t>
  </si>
  <si>
    <t>344091 Ростовская область город Ростов-на-Дону проспект Коммунистический дом №32  литер А</t>
  </si>
  <si>
    <t>ЮЛ780300131300040</t>
  </si>
  <si>
    <t>344015 Ростовская область город Ростов-на-Дону улица Зорге дом 33   часть комнаты №55-57</t>
  </si>
  <si>
    <t>ЮЛ780300131300041</t>
  </si>
  <si>
    <t>347210 Ростовская область город Морозовск улица Подтелкова дом 1а   помещение 3</t>
  </si>
  <si>
    <t>ЮЛ780300131300334</t>
  </si>
  <si>
    <t>346787 Ростовская область город Азов улица Мира 24   помещение № 1</t>
  </si>
  <si>
    <t>ЮЛ780300131300337</t>
  </si>
  <si>
    <t>346880 Ростовская область город Батайск улица Кирова дом №3   часть нежилых помещений №№ 2,3,4</t>
  </si>
  <si>
    <t>ЮЛ780300131300339</t>
  </si>
  <si>
    <t>346880 Ростовская область город Батайск улица Кирова дом 7/3  Литер "3" часть комнаты №1</t>
  </si>
  <si>
    <t>ЮЛ780300131300340</t>
  </si>
  <si>
    <t>346880 Ростовская область город Батайск улица М.Горького дом № 133/15</t>
  </si>
  <si>
    <t>ЮЛ780300131300341</t>
  </si>
  <si>
    <t>347880 Ростовская область город Гуково улица Шахтерская дом №55 В  Литер А</t>
  </si>
  <si>
    <t>ЮЛ780300131300345</t>
  </si>
  <si>
    <t>346330 Ростовская область город Донецк улица М. Горького дом 70-д  Литер А инвентарный номер 3221</t>
  </si>
  <si>
    <t>ЮЛ780300131300346</t>
  </si>
  <si>
    <t>347924 Ростовская область город Таганрог улица Москатова дом 10-1   часть комнаты №1</t>
  </si>
  <si>
    <t>ЮЛ780300131300347</t>
  </si>
  <si>
    <t>347800 Ростовская область город Каменск-Шахтинский улица Ворошилова в северном направлении от жилого дома №20</t>
  </si>
  <si>
    <t>ЮЛ780300131300366</t>
  </si>
  <si>
    <t>346132 Ростовская область город Миллерово улица Российская дом 59  литер А часть помещения 2</t>
  </si>
  <si>
    <t>ЮЛ780300131300367</t>
  </si>
  <si>
    <t>346918 Ростовская область город Новошахтинск улица Базарная дом №29   нежилые помещения № 7,8,9, часть нежилых помещений № 6 и № 11</t>
  </si>
  <si>
    <t>ЮЛ780300131300370</t>
  </si>
  <si>
    <t>346500 Ростовская область город Шахты проспект Победа Революции дом №120   часть комнаты № 29</t>
  </si>
  <si>
    <t>ЮЛ780300131300374</t>
  </si>
  <si>
    <t>344092 Ростовская область город Ростов-на-Дону проспект Космонавтов 2/2  Литер "Б" часть помещения №82, часть помещения №2б-6-7-8-9-10</t>
  </si>
  <si>
    <t>ЮЛ780300131300376</t>
  </si>
  <si>
    <t>347250 Ростовская область город Константиновск улица Комарова дом 47-Г   часть торгового павильона (магазин «Перекресток»), часть нежилого помещения 1</t>
  </si>
  <si>
    <t>ЮЛ780300131300627</t>
  </si>
  <si>
    <t>346130 Ростовская область город Миллерово улица Ленина здание 19</t>
  </si>
  <si>
    <t>ИП Кравцов Дмитрий Юрьевич</t>
  </si>
  <si>
    <t>780616322608</t>
  </si>
  <si>
    <t>ИП6104009728</t>
  </si>
  <si>
    <t>ИП610400972800000</t>
  </si>
  <si>
    <t>346132 Ростовская область город Миллерово улица 3 Интернационала домовладение 27</t>
  </si>
  <si>
    <t>ИП610400972800002</t>
  </si>
  <si>
    <t>346200 Ростовская область слобода Кашары улица Ленина дом 59   5,6а,66,7,9,13,14</t>
  </si>
  <si>
    <t>ИП610400972800003</t>
  </si>
  <si>
    <t>346050 Ростовская область поселок Тарасовский улица Лермонтова дом 43</t>
  </si>
  <si>
    <t>ИП610400972800004</t>
  </si>
  <si>
    <t>347850 Ростовская область рабочий поселок Глубокий улица Артема дом 203</t>
  </si>
  <si>
    <t>ИП610400972800006</t>
  </si>
  <si>
    <t>347900 Ростовская область город Таганрог ул. Чехова/ пер. Гоголевский 114/29</t>
  </si>
  <si>
    <t>ЮЛ780300328000185</t>
  </si>
  <si>
    <t>346527 Ростовская область город Шахты улица Индустриальная дом 7Д   помещение № 22</t>
  </si>
  <si>
    <t>ЮЛ780300328000186</t>
  </si>
  <si>
    <t>347250 Ростовская область город Константиновск улица Комарова дом 47-Г   часть нежилого помещения № 1а,1б, 1, 2</t>
  </si>
  <si>
    <t>ЮЛ780300331800020</t>
  </si>
  <si>
    <t>346720 Ростовская область город Аксай проспект Аксайский дом 23   помещение 4024</t>
  </si>
  <si>
    <t>ИП Скрябин Александр Николаевич</t>
  </si>
  <si>
    <t>781117090632</t>
  </si>
  <si>
    <t>ИП7803033053</t>
  </si>
  <si>
    <t>ИП780303305300001</t>
  </si>
  <si>
    <t>346720 Ростовская область город Аксай проспект Аксайский дом 23   помещение 2024</t>
  </si>
  <si>
    <t>ИП780303305300002</t>
  </si>
  <si>
    <t>346500 Ростовская область город Шахты проспект Победа Революции владение 99Е</t>
  </si>
  <si>
    <t>ЮЛ780300308200093</t>
  </si>
  <si>
    <t>347879 Ростовская область город Гуково улица Шахтерская дом 55В</t>
  </si>
  <si>
    <t>ЮЛ780300308200121</t>
  </si>
  <si>
    <t>347210 Ростовская область город Морозовск улица Подтелкова дом 1А   помещение 3</t>
  </si>
  <si>
    <t>ЮЛ780300308200128</t>
  </si>
  <si>
    <t>344064 Ростовская область город Ростов-на-Дону улица Немировича-Данченко дом 78/3  литер "А" часть нежилого помещения 20-25-24а-27а</t>
  </si>
  <si>
    <t>ЮЛ780300308200193</t>
  </si>
  <si>
    <t>347900 Ростовская область город Таганрог улица Чехова дом 114  литер В часть помещения №34</t>
  </si>
  <si>
    <t>ЮЛ780300308200197</t>
  </si>
  <si>
    <t>ЮЛ780300308200258</t>
  </si>
  <si>
    <t>344000 Ростовская область город Ростов-на-Дону, Советский район улица Малиновского дом 25   часть нежилого помещения №156</t>
  </si>
  <si>
    <t>ЮЛ780300308200268</t>
  </si>
  <si>
    <t>346720 Ростовская область город Аксай проспект Аксайский дом №23   площади № 518KSK-17</t>
  </si>
  <si>
    <t>ЮЛ780300308200318</t>
  </si>
  <si>
    <t>346312 Ростовская область город Зверево улица Обухова дом 35   помещения 1, 1а, 11а, 12б, 12в</t>
  </si>
  <si>
    <t>ЮЛ780300308200523</t>
  </si>
  <si>
    <t>347250 Ростовская область город Константиновск улица Комарова дом 47Г   помещение 1,2,5</t>
  </si>
  <si>
    <t>ЮЛ780300308200527</t>
  </si>
  <si>
    <t>346900 Ростовская область город Новошахтинск улица Харьковская дом 201</t>
  </si>
  <si>
    <t>ЮЛ780300308200531</t>
  </si>
  <si>
    <t>347540 Ростовская область город Пролетарск улица Ленина дом 112   часть помещения 13</t>
  </si>
  <si>
    <t>ЮЛ780300308200532</t>
  </si>
  <si>
    <t>344103 Ростовская область город Ростов-на-Дону улица Доватора владение 267</t>
  </si>
  <si>
    <t>ЮЛ780300308200534</t>
  </si>
  <si>
    <t>344068 Ростовская область город Ростов-на-Дону проспект Михаила Нагибина дом 32ж   помещения 170-191-194-195</t>
  </si>
  <si>
    <t>ЮЛ780300308200535</t>
  </si>
  <si>
    <t>346630 Ростовская область город Семикаракорск улица Ленина дом 130   часть нежилого помещения 2</t>
  </si>
  <si>
    <t>ЮЛ780300308200537</t>
  </si>
  <si>
    <t>347916 Ростовская область город Таганрог улица 2-я Советская дом 74-а, 74-б</t>
  </si>
  <si>
    <t>ЮЛ780300308200540</t>
  </si>
  <si>
    <t>346527 Ростовская область город Шахты улица Индустриальная здание 7д   помещение №22</t>
  </si>
  <si>
    <t>ЮЛ780300308200546</t>
  </si>
  <si>
    <t>347900 Ростовская область город Таганрог улица Чехова/ переулок Гоголевский 114/29</t>
  </si>
  <si>
    <t>ЮЛ780300308200591</t>
  </si>
  <si>
    <t>346880 Ростовская область город Батайск улица Кирова дом №3   часть помещения № 2, помещения №3, №4</t>
  </si>
  <si>
    <t>ЮЛ780300308200655</t>
  </si>
  <si>
    <t>347930 Ростовская область город Таганрог площадь Мира дом № 7   часть нежилого помещения № 35</t>
  </si>
  <si>
    <t>ЮЛ780300308200659</t>
  </si>
  <si>
    <t>ЮЛ780300308200730</t>
  </si>
  <si>
    <t>346780 Ростовская область город Азов улица Мира дом 47/1   часть нежилого помещения №2,3,3а,4/2,4/1,4-8</t>
  </si>
  <si>
    <t>ЮЛ780300308200741</t>
  </si>
  <si>
    <t>346782 Ростовская область город Азов улица Мира дом 24   помещение 1</t>
  </si>
  <si>
    <t>ЮЛ780300308200749</t>
  </si>
  <si>
    <t>344015 Ростовская область город Ростов-на-Дону улица Зорге дом 33   часть нежилых помещений №55, 56, 57</t>
  </si>
  <si>
    <t>ЮЛ780300308200785</t>
  </si>
  <si>
    <t>346410 Ростовская область город Новочеркасск улица Московская дом 10/20   часть нежилого помещения, часть комнаты №1,2,3,4,5,6,7</t>
  </si>
  <si>
    <t>ЮЛ780300308200818</t>
  </si>
  <si>
    <t>346330 Ростовская область город Донецк улица Максима Горького дом 70-Д Литер А</t>
  </si>
  <si>
    <t>ЮЛ780300308200820</t>
  </si>
  <si>
    <t>344037 Ростовская область город Ростов-на-Дону площадь Карла Маркса дом №9 литер АА1</t>
  </si>
  <si>
    <t>ЮЛ780300308200823</t>
  </si>
  <si>
    <t>347371 Ростовская область город Волгодонск улица Весенняя дом 56 литер А.п/А инв №8414   часть нежилого помещения №2</t>
  </si>
  <si>
    <t>ЮЛ780300308200827</t>
  </si>
  <si>
    <t>347381 Ростовская область город Волгодонск улица 30 лет Победы дом 24</t>
  </si>
  <si>
    <t>ЮЛ780300308200828</t>
  </si>
  <si>
    <t>344002 Ростовская область город Ростов-на-Дону улица Большая Садовая дом 52-56   часть комнат №№43-35, 46,48,49,50,62,63,63А, 63Б</t>
  </si>
  <si>
    <t>ЮЛ780300308200832</t>
  </si>
  <si>
    <t>347042 Ростовская область город Белая Калитва улица Калинина дом 4   часть нежилого здания (часть помещений №1,2)</t>
  </si>
  <si>
    <t>ЮЛ780300308200843</t>
  </si>
  <si>
    <t>344038 Ростовская область город Ростов-на-Дону проспект Ленина дом 101/22 Литер "А"   часть нежилого помещения (комнаты №108х, 26-27-33-34-36-37, помещение №28а, 29,30, 31)</t>
  </si>
  <si>
    <t>ЮЛ780300308200848</t>
  </si>
  <si>
    <t>346350 Ростовская область город Красный Сулин улица Ворошилова дом 1а   часть нежилого помещения (№1,10,11)</t>
  </si>
  <si>
    <t>ЮЛ780300308200858</t>
  </si>
  <si>
    <t>346918 Ростовская область город Новошахтинск улица Базарная д 29   часть нежилых помещений № 6,7,8,9,11</t>
  </si>
  <si>
    <t>ЮЛ780300308200859</t>
  </si>
  <si>
    <t>346880 Ростовская область город Батайск улица Кирова д. 7/3 литер "З"   часть нежилых помещений №1,4,8,9</t>
  </si>
  <si>
    <t>ЮЛ780300308200860</t>
  </si>
  <si>
    <t>346132 Ростовская область город Миллерово улица Российская дом 59</t>
  </si>
  <si>
    <t>ЮЛ780300308200867</t>
  </si>
  <si>
    <t>346500 Ростовская область город Шахты проспект Победа Революции дом 120   часть нежилого помещения: комнаты №№3.4, 4а, 24-28, 29,29х,29хх, 29ххх</t>
  </si>
  <si>
    <t>ЮЛ780300308200873</t>
  </si>
  <si>
    <t>347382 Ростовская область город Волгодонск проспект Строителей дом 25   часть нежилого помещения №28, 29,30,52</t>
  </si>
  <si>
    <t>ЮЛ780300308200888</t>
  </si>
  <si>
    <t>344019 Ростовская область город Ростов-на-Дону площадь Карла Маркса дом №24 Литер А   часть нежилого помещения комната №26</t>
  </si>
  <si>
    <t>ЮЛ780300308200892</t>
  </si>
  <si>
    <t>344002 Ростовская область город Ростов-на-Дону улица Большая Садовая дом 88   часть нежилого помещения 23-24-25-26 и помещение 2-2б-2в-2г-2ж-2л-2м-2н-2о-2з-5-10-11-12б-12-5а</t>
  </si>
  <si>
    <t>ЮЛ780300308200902</t>
  </si>
  <si>
    <t>344029 Ростовская область город Ростов-на-Дону улица Сержантова дом 10/100   часть нежилого помещения № 58, 58а, 59-59б, (59а) а, (59а)б, 60, 61-(62-63)а, (62-63)б, (62-63)в, (62-63)г</t>
  </si>
  <si>
    <t>ЮЛ780300308200913</t>
  </si>
  <si>
    <t>347805 Ростовская область город Каменск-Шахтинский улица Ворошилова в северном направлении от жилого дома № 20</t>
  </si>
  <si>
    <t>ЮЛ780300308200962</t>
  </si>
  <si>
    <t>346410 Ростовская область город Новочеркасск улица Красноармейская дом 22/28   часть комнат 1,2,3,4,5,6,7,8,11,12</t>
  </si>
  <si>
    <t>ЮЛ780300308200964</t>
  </si>
  <si>
    <t>347630 Ростовская область город Сальск улица Пушкина дом 13</t>
  </si>
  <si>
    <t>ЮЛ780300308200976</t>
  </si>
  <si>
    <t>344092 Ростовская область город Ростов-на-Дону проспект Космонавтов дом 2\2   часть комнат № 11ад-14ад-14аад-15аад-23аад, 11аж-14аж-14ааж-15ааж-23ааж</t>
  </si>
  <si>
    <t>ЮЛ780300308200979</t>
  </si>
  <si>
    <t>344113 Ростовская область город Ростов-на-Дону проспект Космонавтов здание 19А/28Ж   часть нежилого помещения №047.3</t>
  </si>
  <si>
    <t>ЮЛ780300308200983</t>
  </si>
  <si>
    <t>344092 Ростовская область город Ростов-на-Дону проспект Космонавтов дом 2/2   часть нежилого помещения №№ 82, 2б-6-7-8-9-10</t>
  </si>
  <si>
    <t>ЮЛ780300308200989</t>
  </si>
  <si>
    <t>344116 Ростовская область город Ростов-на-Дону проспект Стачки дом 25</t>
  </si>
  <si>
    <t>ЮЛ780300308200996</t>
  </si>
  <si>
    <t>344002 Ростовская область город Ростов-на-Дону улица Большая Садовая дом 66/37 Литер А   часть нежилого помещения № 1-2-3-3а, 4-5-6, 8-8а</t>
  </si>
  <si>
    <t>ЮЛ780300308201054</t>
  </si>
  <si>
    <t>344113 Ростовская область город Ростов-на-Дону бульвар Комарова дом 24а</t>
  </si>
  <si>
    <t>ЮЛ780300308201072</t>
  </si>
  <si>
    <t>344103 Ростовская область город Ростов-на-Дону улица Малиновского дом 23д</t>
  </si>
  <si>
    <t>ЮЛ780300308201074</t>
  </si>
  <si>
    <t>344091 Ростовская область город Ростов-на-Дону проспект Коммунистический дом 32</t>
  </si>
  <si>
    <t>ЮЛ780300308201075</t>
  </si>
  <si>
    <t>344068 Ростовская область город Ростов-на-Дону проспект Михаила Нагибина дом 32д/2   часть комнаты № 25</t>
  </si>
  <si>
    <t>ЮЛ780300308201131</t>
  </si>
  <si>
    <t>344068 Ростовская область город Ростов-на-Дону проспект Михаила Нагибина дом 32ж   комната №199, №199а, №199б</t>
  </si>
  <si>
    <t>ЮЛ780300308201168</t>
  </si>
  <si>
    <t>347900 Ростовская область город Таганрог пер. Гоголевский/ул. Кузнечная дом 16/2   лит "А", комнаты 8;8а, лит "п/а", комнаты 2-3</t>
  </si>
  <si>
    <t>ЮЛ780300308201244</t>
  </si>
  <si>
    <t>347930 Ростовская область город Таганрог площадь Мира дом 7   помещение 73</t>
  </si>
  <si>
    <t>ЮЛ780301261200054</t>
  </si>
  <si>
    <t>344018 Ростовская область город Ростов-на-Дону улица Текучева здание 139/94   этаж 16, помещение 12 Е</t>
  </si>
  <si>
    <t>ЮЛ900403653600001</t>
  </si>
  <si>
    <t>347927 Ростовская область город Таганрог улица Поляковское Шоссе дом 12  XVII</t>
  </si>
  <si>
    <t>ИП Кутыгин Дмитрий Михайлович</t>
  </si>
  <si>
    <t>920357852872</t>
  </si>
  <si>
    <t>ИП8304006210</t>
  </si>
  <si>
    <t>ИП830400621000000</t>
  </si>
  <si>
    <t>346720 Ростовская область город Аксай проспект Аксайский дом 23   Помещение №А9 на 1 этаже Торговой Галереи</t>
  </si>
  <si>
    <t>ЮЛ770100439200105</t>
  </si>
  <si>
    <t>347805 Ростовская область город Каменск-Шахтинский улица Ворошилова дом 21   нежилое помещение №13 на 1-ом этаже</t>
  </si>
  <si>
    <t>ЮЛ770100439200106</t>
  </si>
  <si>
    <t>346919 Ростовская область город Новошахтинск улица Ленина дом 18   нежилое помещение , комната №1 на 1 этаже, Литера Г</t>
  </si>
  <si>
    <t>ЮЛ770100439200108</t>
  </si>
  <si>
    <t>344006 Ростовская область город Ростов-на-Дону проспект Ворошиловский дом 30   нежилые помещения комнаты №1,2,3,14,15,15а,15в,4 и 5 Литер А на первом этаже здания</t>
  </si>
  <si>
    <t>ЮЛ770100439200109</t>
  </si>
  <si>
    <t>344002 Ростовская область город Ростов-на-Дону улица Пойменная дом 1М   Помещение №21-019 на 1 этаже в Здании ТК</t>
  </si>
  <si>
    <t>ЮЛ770100439200110</t>
  </si>
  <si>
    <t>344038 Ростовская область город Ростов-на-Дону проспект Михаила Нагибина дом 17   на 1 этаже, Литер А, часть комнаты №6</t>
  </si>
  <si>
    <t>ЮЛ770100439200111</t>
  </si>
  <si>
    <t>344029 Ростовская область город Ростов-на-Дону проспект Сельмаш дом 98А/11  литера А комнаты на первом этаже №№19е, 19д,19г, 19в</t>
  </si>
  <si>
    <t>ЮЛ770100439200112</t>
  </si>
  <si>
    <t>344068 Ростовская область город Ростов-на-Дону проспект Михаила Нагибина дом 32ж  литера "АК" 1 этаж, нежилое помещение комнаты №169а-169в</t>
  </si>
  <si>
    <t>ЮЛ770100439200216</t>
  </si>
  <si>
    <t>344018 Ростовская область город Ростов-на-Дону улица Текучева дом 234   помещение 6</t>
  </si>
  <si>
    <t>ЮЛ770100029500005</t>
  </si>
  <si>
    <t>ЮЛ770100418900078</t>
  </si>
  <si>
    <t>344068 Ростовская область город Ростов-на-Дону проспект Михаила Нагибина дом 32е   комната 12о-1в-12ка, комната 12п-1г-12кб, часть комнаты 12ф-1и-12кд, 1 (первый) этаж</t>
  </si>
  <si>
    <t>ЮЛ770104000500014</t>
  </si>
  <si>
    <t>Рязанская область</t>
  </si>
  <si>
    <t>391170 Рязанская область рабочий поселок Старожилово улица Денисова дом 2</t>
  </si>
  <si>
    <t>ИП Минаева Галина Петровна</t>
  </si>
  <si>
    <t>132100415340</t>
  </si>
  <si>
    <t>ИП6201000742</t>
  </si>
  <si>
    <t>ИП620100074200000</t>
  </si>
  <si>
    <t>390037 Рязанская область город Рязань улица Советской Армии дом 9а   ч помещ №1</t>
  </si>
  <si>
    <t>ИП350300414400005</t>
  </si>
  <si>
    <t>390000 Рязанская область город Рязань улица Соборная дом 15а   помещ Н 11</t>
  </si>
  <si>
    <t>ИП350300414400017</t>
  </si>
  <si>
    <t>390044 Рязанская область город Рязань шоссе Московское дом 21   ч помещ К 1-7</t>
  </si>
  <si>
    <t>ИП350300414400018</t>
  </si>
  <si>
    <t>390013 Рязанская область город Рязань шоссе Московское дом 21   помещение №128, этаж 1</t>
  </si>
  <si>
    <t>ЮЛ480100215000007</t>
  </si>
  <si>
    <t>390013 Рязанская область город Рязань проспект Первомайский дом 70 корпус 1  помещение II-1</t>
  </si>
  <si>
    <t>ЮЛ480100215000042</t>
  </si>
  <si>
    <t>390013 Рязанская область город Рязань шоссе Московское дом 21   1 этаж, часть помещения К1-8</t>
  </si>
  <si>
    <t>ИП500100445500034</t>
  </si>
  <si>
    <t>391500 Рязанская область рабочий поселок Шилово улица Советская дом 18</t>
  </si>
  <si>
    <t>ИП Стародубов Александр Анатольевич</t>
  </si>
  <si>
    <t>501104737490</t>
  </si>
  <si>
    <t>ИП6201036660</t>
  </si>
  <si>
    <t>ИП620103666000000</t>
  </si>
  <si>
    <t>390006 Рязанская область город Рязань шоссе Солотчинское дом 11  А</t>
  </si>
  <si>
    <t>ИП620103666000001</t>
  </si>
  <si>
    <t>391870 Рязанская область рабочий поселок Сараи улица Ленина дом 192</t>
  </si>
  <si>
    <t>ИП Наумов Алексей Александрович</t>
  </si>
  <si>
    <t>504011954225</t>
  </si>
  <si>
    <t>ИП5001020128</t>
  </si>
  <si>
    <t>ИП500102012800000</t>
  </si>
  <si>
    <t>390013 Рязанская область город Рязань шоссе Московское дом 5а</t>
  </si>
  <si>
    <t>ИП500100205700001</t>
  </si>
  <si>
    <t>390005 Рязанская область город Рязань улица  Татарская дом 21   помещение Н5, офис 514</t>
  </si>
  <si>
    <t>ООО "ПРОДРЕСУРС"</t>
  </si>
  <si>
    <t>6202005348</t>
  </si>
  <si>
    <t>ЮЛ6201008843</t>
  </si>
  <si>
    <t>ЮЛ620100884300000</t>
  </si>
  <si>
    <t>391500 Рязанская область поселок  Шилово улица Советская дом 18</t>
  </si>
  <si>
    <t>ИП Стародубова Лидия Михайловна</t>
  </si>
  <si>
    <t>620500025732</t>
  </si>
  <si>
    <t>ИП6201006934</t>
  </si>
  <si>
    <t>ИП620100693400000</t>
  </si>
  <si>
    <t>390006 Рязанская область город Рязань шоссе Солотчинское дом 11</t>
  </si>
  <si>
    <t>ИП620100693400001</t>
  </si>
  <si>
    <t>391160 Рязанская область город Новомичуринск улица Волкова дом 14  литера А</t>
  </si>
  <si>
    <t>ИП620100693400002</t>
  </si>
  <si>
    <t>391001 Рязанская область рабочий поселок Тума улица Ленина дом 110   помещение Н2</t>
  </si>
  <si>
    <t>ООО "НАДЕЖДА"</t>
  </si>
  <si>
    <t>6205006043</t>
  </si>
  <si>
    <t>ЮЛ6201007365</t>
  </si>
  <si>
    <t>ЮЛ620100736500000</t>
  </si>
  <si>
    <t>391710 Рязанская область город Михайлов площадь Ленина 10А   помещение Н1</t>
  </si>
  <si>
    <t>ИП Киселько Виктор Владимирович</t>
  </si>
  <si>
    <t>620800045923</t>
  </si>
  <si>
    <t>ИП6201006016</t>
  </si>
  <si>
    <t>ИП620100601600000</t>
  </si>
  <si>
    <t>391160 Рязанская область город Новомичуринск улица Волкова дом 13  Литера Ан 2/1</t>
  </si>
  <si>
    <t>ИП Хусаинов Дмитрий Равилевич</t>
  </si>
  <si>
    <t>621102366679</t>
  </si>
  <si>
    <t>ИП6201000388</t>
  </si>
  <si>
    <t>ИП620100038800000</t>
  </si>
  <si>
    <t>391200 Рязанская область город Кораблино улица Октябрьская дом 1</t>
  </si>
  <si>
    <t>ИП620100038800001</t>
  </si>
  <si>
    <t>391110 Рязанская область Рыбное Почтовая 1   помещение H-2</t>
  </si>
  <si>
    <t>РЫБНОВСКОЕ РАЙПО</t>
  </si>
  <si>
    <t>6213004635</t>
  </si>
  <si>
    <t>ЮЛ6201040660</t>
  </si>
  <si>
    <t>ЮЛ620104066000000</t>
  </si>
  <si>
    <t>391964 Рязанская область город Ряжск улица Дзержинского  дом 5</t>
  </si>
  <si>
    <t>ИП Семенов Алексей Валерьевич</t>
  </si>
  <si>
    <t>621403054384</t>
  </si>
  <si>
    <t>ИП6201009260</t>
  </si>
  <si>
    <t>ИП620100926000000</t>
  </si>
  <si>
    <t>390023 Рязанская область город Рязань площадь Театральная дом 4</t>
  </si>
  <si>
    <t>ИП Шпилев Андрей Алексеевич</t>
  </si>
  <si>
    <t>621504602171</t>
  </si>
  <si>
    <t>ИП6201006363</t>
  </si>
  <si>
    <t>ИП620100636300000</t>
  </si>
  <si>
    <t>ИП Шпилева Юлия Алексеевна</t>
  </si>
  <si>
    <t>621504659604</t>
  </si>
  <si>
    <t>ИП6201002229</t>
  </si>
  <si>
    <t>ИП620100222900000</t>
  </si>
  <si>
    <t>391964 Рязанская область город Ряжск площадь Советская дом 15А   помещение 0011767, этаж 1</t>
  </si>
  <si>
    <t>ИП Андросова Любовь Анатольевна</t>
  </si>
  <si>
    <t>621600462135</t>
  </si>
  <si>
    <t>ИП6201003660</t>
  </si>
  <si>
    <t>ИП620100366000000</t>
  </si>
  <si>
    <t>ИП Семушкина Екатерина Николаевна</t>
  </si>
  <si>
    <t>621723309987</t>
  </si>
  <si>
    <t>ИП6201018654</t>
  </si>
  <si>
    <t>ИП620101865400000</t>
  </si>
  <si>
    <t>391050 Рязанская область город Спасск-Рязанский улица Войкова дом 56</t>
  </si>
  <si>
    <t>ИП Гречихина Татьяна Юрьевна</t>
  </si>
  <si>
    <t>622000019413</t>
  </si>
  <si>
    <t>ИП6201013087</t>
  </si>
  <si>
    <t>ИП620101308700000</t>
  </si>
  <si>
    <t>390013 Рязанская область город Рязань проспект Первомайский дом 37   помещение Н18</t>
  </si>
  <si>
    <t>ИП Агальцова Нина Ивановна</t>
  </si>
  <si>
    <t>622701560003</t>
  </si>
  <si>
    <t>ИП7701005822</t>
  </si>
  <si>
    <t>ИП770100582200000</t>
  </si>
  <si>
    <t>390006 Рязанская область город Рязань улица Свободы дом 14-16   помещение Н1</t>
  </si>
  <si>
    <t>ИП770100582200001</t>
  </si>
  <si>
    <t>390035 Рязанская область город Рязань улица Гагарина дом 164   этаж 1, зал 3, торговое место № 13</t>
  </si>
  <si>
    <t>ИП770100582200003</t>
  </si>
  <si>
    <t>390013 Рязанская область город Рязань шоссе Московское дом 21   помещение 178</t>
  </si>
  <si>
    <t>ИП770100582200004</t>
  </si>
  <si>
    <t>390013 Рязанская область город Рязань проспект Первомайский дом 47/1   помещение Н3</t>
  </si>
  <si>
    <t>ИП770100582200005</t>
  </si>
  <si>
    <t>390044 Рязанская область город Рязань шоссе Московское дом 51/2   помещение Н22</t>
  </si>
  <si>
    <t>ИП770100582200007</t>
  </si>
  <si>
    <t>390037 Рязанская область город Рязань улица Новоселов  строение 26Г</t>
  </si>
  <si>
    <t>ИП770100582200008</t>
  </si>
  <si>
    <t>390000 Рязанская область город Рязань улица Павлова дом 17   помещение Н2</t>
  </si>
  <si>
    <t>ИП Богданов Валерий Васильевич</t>
  </si>
  <si>
    <t>622800023200</t>
  </si>
  <si>
    <t>ИП6201000405</t>
  </si>
  <si>
    <t>ИП620100040500000</t>
  </si>
  <si>
    <t>391200 Рязанская область город Кораблино улица Школьная дом 10 строение 2</t>
  </si>
  <si>
    <t>ИП620100040500001</t>
  </si>
  <si>
    <t>390013 Рязанская область город Рязань улица Вокзальная дом 101   помещение Н6</t>
  </si>
  <si>
    <t>ИП620100040500002</t>
  </si>
  <si>
    <t>391710 Рязанская область город Михайлов улица Пролетарская дом 1</t>
  </si>
  <si>
    <t>ИП620100040500003</t>
  </si>
  <si>
    <t>391170 Рязанская область рабочий поселок Старожилово улица Денисова дом 1А</t>
  </si>
  <si>
    <t>ИП620100040500004</t>
  </si>
  <si>
    <t>391964 Рязанская область город Ряжск улица М.Горького дом 8</t>
  </si>
  <si>
    <t>ИП620100040500005</t>
  </si>
  <si>
    <t>391110 Рязанская область город Рыбное улица Почтовая дом 1</t>
  </si>
  <si>
    <t>ИП620100040500006</t>
  </si>
  <si>
    <t>390013 Рязанская область город Рязань проспект Первомайский дом 35г</t>
  </si>
  <si>
    <t>ИП Лапшин Евгений Борисович</t>
  </si>
  <si>
    <t>622800101917</t>
  </si>
  <si>
    <t>ИП6201002405</t>
  </si>
  <si>
    <t>ИП620100240500000</t>
  </si>
  <si>
    <t>390023 Рязанская область город Рязань улица Есенина дом 37/2</t>
  </si>
  <si>
    <t>ИП620100240500006</t>
  </si>
  <si>
    <t>390037 Рязанская область город Рязань улица Новоселов дом 21а</t>
  </si>
  <si>
    <t>ИП620100240500007</t>
  </si>
  <si>
    <t>390000 Рязанская область город Рязань улица Ленина дом 21</t>
  </si>
  <si>
    <t>ИП620100240500008</t>
  </si>
  <si>
    <t>390013 Рязанская область город Рязань проспект Первомайский дом 47/1</t>
  </si>
  <si>
    <t>ИП620100240500009</t>
  </si>
  <si>
    <t>390047 Рязанская область город Рязань шоссе Куйбышевское дом 31в  е</t>
  </si>
  <si>
    <t>ИП Соколова Валентина Ивановна</t>
  </si>
  <si>
    <t>622800412704</t>
  </si>
  <si>
    <t>ИП6201000380</t>
  </si>
  <si>
    <t>ИП620100038000000</t>
  </si>
  <si>
    <t>390035 Рязанская область город Рязань улица Гагарина дом 71А</t>
  </si>
  <si>
    <t>ИП620100038000001</t>
  </si>
  <si>
    <t>390013 Рязанская область город Рязань проспект Первомайский дом 47/1   помещение Н3 (часть)</t>
  </si>
  <si>
    <t>ООО "ЛОМБАРД-ЛИДЕР"</t>
  </si>
  <si>
    <t>6229059742</t>
  </si>
  <si>
    <t>ЮЛ6201001946</t>
  </si>
  <si>
    <t>ЮЛ620100194600004</t>
  </si>
  <si>
    <t>390044 Рязанская область город Рязань улица Великанова дом 19   помещение Н1</t>
  </si>
  <si>
    <t>ООО "ЛОМБАРД "ЗОЛОТОЙ КЛЮЧИК"</t>
  </si>
  <si>
    <t>6229098766</t>
  </si>
  <si>
    <t>ЮЛ6201019303</t>
  </si>
  <si>
    <t>ЮЛ620101930300000</t>
  </si>
  <si>
    <t>390037 Рязанская область Рязань улица Новоселов дом 17  __________________ нежилое помещение Н6</t>
  </si>
  <si>
    <t>ИП Лушина Ирина Валерьевна</t>
  </si>
  <si>
    <t>623000561402</t>
  </si>
  <si>
    <t>ИП6201001701</t>
  </si>
  <si>
    <t>ИП620100170100000</t>
  </si>
  <si>
    <t>390013 Рязанская область город Рязань шоссе Московское дом 5а   помещение на 1 этаже</t>
  </si>
  <si>
    <t>ИП Фофанов Константин Николаевич</t>
  </si>
  <si>
    <t>623000919568</t>
  </si>
  <si>
    <t>ИП6201002042</t>
  </si>
  <si>
    <t>ИП620100204200000</t>
  </si>
  <si>
    <t>390000 Рязанская область город Рязань улица Кудрявцева дом 39  литера А помещение Н1</t>
  </si>
  <si>
    <t>ИП620100530500000</t>
  </si>
  <si>
    <t>390046 Рязанская область город Рязань улица Маяковского дом 41  литера А</t>
  </si>
  <si>
    <t>ООО "ИЗДАТЕЛЬСТВО "ЗЕРНА"</t>
  </si>
  <si>
    <t>6230033234</t>
  </si>
  <si>
    <t>ЮЛ6201001187</t>
  </si>
  <si>
    <t>ЮЛ620100118700000</t>
  </si>
  <si>
    <t>390039 Рязанская область город Рязань улица Интернациональная дом 22А  литера А помещение Н26</t>
  </si>
  <si>
    <t>ООО "ЛОМБАРД "ГОЛД ФИШ"</t>
  </si>
  <si>
    <t>6230092423</t>
  </si>
  <si>
    <t>ЮЛ6201000312</t>
  </si>
  <si>
    <t>ЮЛ620100031200001</t>
  </si>
  <si>
    <t>390044 Рязанская область город Рязань шоссе Московское дом 51/2  литера А часть нежилого помещения Н17</t>
  </si>
  <si>
    <t>ЮЛ620100031200002</t>
  </si>
  <si>
    <t>390023 Рязанская область город Рязань площадь Театральная дом 1   часть нежилого помещения Н6</t>
  </si>
  <si>
    <t>ЮЛ620100031200003</t>
  </si>
  <si>
    <t>390035 Рязанская область город Рязань улица Гагарина дом 71А  Литера А 2 этаж</t>
  </si>
  <si>
    <t>ЮЛ620100031200004</t>
  </si>
  <si>
    <t>390037 Рязанская область город Рязань улица Новоселов строение 17В   торговое место № 107</t>
  </si>
  <si>
    <t>ЮЛ620100031200005</t>
  </si>
  <si>
    <t>390011 Рязанская область город Рязань шоссе Куйбышевское дом 15/12   помещение Н3</t>
  </si>
  <si>
    <t>ЮЛ620100031200006</t>
  </si>
  <si>
    <t>390023 Рязанская область город Рязань улица Циолковского дом 2/6</t>
  </si>
  <si>
    <t>ИП Журина Нина Михайловна</t>
  </si>
  <si>
    <t>623010747205</t>
  </si>
  <si>
    <t>ИП6201010432</t>
  </si>
  <si>
    <t>ИП620101043200000</t>
  </si>
  <si>
    <t>390013 Рязанская область город Рязань улица Вокзальная дом 51А</t>
  </si>
  <si>
    <t>ИП620101043200001</t>
  </si>
  <si>
    <t>391803 Рязанская область город Скопин микрорайон Автозаводской дом 20А   этаж 1</t>
  </si>
  <si>
    <t>ИП Ларина Ангелина Ивановна</t>
  </si>
  <si>
    <t>623100024803</t>
  </si>
  <si>
    <t>ИП6201005949</t>
  </si>
  <si>
    <t>ИП620100594900000</t>
  </si>
  <si>
    <t>391160 Рязанская область город Новомичуринск улица Волкова дом 18В</t>
  </si>
  <si>
    <t>ИП620100594900001</t>
  </si>
  <si>
    <t>390035 Рязанская область город Рязань улица Гоголя дом 42</t>
  </si>
  <si>
    <t>ИП Мамишева Ольга Викторовна</t>
  </si>
  <si>
    <t>623104697408</t>
  </si>
  <si>
    <t>ИП6201015400</t>
  </si>
  <si>
    <t>ИП620101540000000</t>
  </si>
  <si>
    <t>391434 Рязанская область город Сасово проспект Свободы дом 21   1 этаж</t>
  </si>
  <si>
    <t>ИП ДЕМИДОВА Е. Н.</t>
  </si>
  <si>
    <t>623106540201</t>
  </si>
  <si>
    <t>ИП6201037083</t>
  </si>
  <si>
    <t>ИП620103708300000</t>
  </si>
  <si>
    <t>ИП Ульянкин Денис Сергеевич</t>
  </si>
  <si>
    <t>623107313709</t>
  </si>
  <si>
    <t>ИП6201015195</t>
  </si>
  <si>
    <t>ИП620101519500000</t>
  </si>
  <si>
    <t>391434 Рязанская область город Сасово Микрорайон Южный дом 24 ТЦ 26</t>
  </si>
  <si>
    <t>ИП Авдеев Борис Александрович</t>
  </si>
  <si>
    <t>623200014213</t>
  </si>
  <si>
    <t>ИП6201018495</t>
  </si>
  <si>
    <t>ИП620101849500000</t>
  </si>
  <si>
    <t>ИП Богданова Элина Валерьевна</t>
  </si>
  <si>
    <t>623401480912</t>
  </si>
  <si>
    <t>ИП6201032034</t>
  </si>
  <si>
    <t>ИП620103203400000</t>
  </si>
  <si>
    <t>390013 Рязанская область город Рязань улица Вокзальная  дом 101  литера А помещение Н6</t>
  </si>
  <si>
    <t>ООО "ЛОМБАРД-КЛАССИКА"</t>
  </si>
  <si>
    <t>6234058913</t>
  </si>
  <si>
    <t>ЮЛ6201002265</t>
  </si>
  <si>
    <t>ЮЛ620100226500000</t>
  </si>
  <si>
    <t>391960 Рязанская область город Ряжск Улица Максима Горького Дом 8</t>
  </si>
  <si>
    <t>ЮЛ620100226500004</t>
  </si>
  <si>
    <t>ЮЛ620100226500005</t>
  </si>
  <si>
    <t>390013 Рязанская область город Рязань проспект Первомайский дом 70 корпус 1  помещение №34</t>
  </si>
  <si>
    <t>ИП630601425400007</t>
  </si>
  <si>
    <t>390020 Рязанская область город Рязань шоссе Московское дом 65а</t>
  </si>
  <si>
    <t>ИП630601425400110</t>
  </si>
  <si>
    <t>390027 Рязанская область город Рязань шоссе Касимовское дом 15 корпус 2  квартира Н71</t>
  </si>
  <si>
    <t>ООО "ЛОМБАРД АТЛАНТИДА"</t>
  </si>
  <si>
    <t>6382099663</t>
  </si>
  <si>
    <t>ЮЛ6306037514</t>
  </si>
  <si>
    <t>ЮЛ630603751400001</t>
  </si>
  <si>
    <t>390006 Рязанская область город Рязань улица Грибоедова дом 14   помещение Н5</t>
  </si>
  <si>
    <t>ЮЛ630603751400002</t>
  </si>
  <si>
    <t>390013 Рязанская область город Рязань проспект Первомайский дом 66   помещение Н18</t>
  </si>
  <si>
    <t>ЮЛ630603751400003</t>
  </si>
  <si>
    <t>390035 Рязанская область город Рязань улица Гагарина дом 75   помещение Н5</t>
  </si>
  <si>
    <t>ЮЛ630603751400004</t>
  </si>
  <si>
    <t>390005 Рязанская область город Рязань улица Дзержинского дом 33   помещение Н2</t>
  </si>
  <si>
    <t>ЮЛ630603751400005</t>
  </si>
  <si>
    <t>390037 Рязанская область город Рязань улица Новоселов дом 21а   помещение Н9</t>
  </si>
  <si>
    <t>ЮЛ630603751400006</t>
  </si>
  <si>
    <t>390039 Рязанская область город Рязань улица Интернациональная дом 8/29</t>
  </si>
  <si>
    <t>ЮЛ630603751400007</t>
  </si>
  <si>
    <t>390023 Рязанская область город Рязань улица Есенина дом 70А</t>
  </si>
  <si>
    <t>ЮЛ630603751400008</t>
  </si>
  <si>
    <t>ЮЛ630603751400009</t>
  </si>
  <si>
    <t>390010 Рязанская область город Рязань улица Октябрьская дом 29а</t>
  </si>
  <si>
    <t>ЮЛ630603751400010</t>
  </si>
  <si>
    <t>390013 Рязанская область город Рязань проспект Первомайский дом 70 корпус 1  помещение № 23</t>
  </si>
  <si>
    <t>ИП710100775300003</t>
  </si>
  <si>
    <t>390044 Рязанская область город Рязань Московское шоссе дом 21   этаж 1, Помещение № 183</t>
  </si>
  <si>
    <t>ИП710100775300005</t>
  </si>
  <si>
    <t>390044 Рязанская область город Рязань шоссе Московское дом 65а   помещение 302</t>
  </si>
  <si>
    <t>ИП770100417900018</t>
  </si>
  <si>
    <t>390044 Рязанская область город Рязань шоссе Московское дом 21   помещение 118, этаж 1</t>
  </si>
  <si>
    <t>ЮЛ770101216600213</t>
  </si>
  <si>
    <t>390006 Рязанская область город Рязань шоссе Солотчинское дом 11  Литера А этаж 1, помещение Н1, часть комнаты 13</t>
  </si>
  <si>
    <t>ЮЛ770101216600357</t>
  </si>
  <si>
    <t>390013 Рязанская область город Рязань проспект Первомайский дом 70 корпус 1  помещение II-1, этаж 1 , помещение №35</t>
  </si>
  <si>
    <t>ЮЛ770101216600475</t>
  </si>
  <si>
    <t>390000 Рязанская область город Рязань улица Соборная дом 15а   помещение Н11, этаж 1, часть нежилого помещения  №17</t>
  </si>
  <si>
    <t>ЮЛ770101216600495</t>
  </si>
  <si>
    <t>390020 Рязанская область город Рязань шоссе Московское дом 65а   этаж 1, часть помещения № 299</t>
  </si>
  <si>
    <t>ЮЛ770101216600585</t>
  </si>
  <si>
    <t>391434 Рязанская область город Сасово проспект Свободы дом 21   1 этаж, нежилое помещение</t>
  </si>
  <si>
    <t>ЮЛ770101216600822</t>
  </si>
  <si>
    <t>390037 Рязанская область город Рязань улица Советской Армии дом 9а   1 этаж, часть нежилого помещения № 82</t>
  </si>
  <si>
    <t>ЮЛ770101216600874</t>
  </si>
  <si>
    <t>390044 Рязанская область город Рязань шоссе Московское дом 21</t>
  </si>
  <si>
    <t>ЮЛ770100419400014</t>
  </si>
  <si>
    <t>390044 Рязанская область город Рязань шоссе Московское дом 65а   первый этаж, часть помещения 126</t>
  </si>
  <si>
    <t>ЮЛ770100193500238</t>
  </si>
  <si>
    <t>390044 Рязанская область город Рязань Московское шоссе дом 21   первый этаж, помещение 133, часть помещения 134</t>
  </si>
  <si>
    <t>ЮЛ770100193500239</t>
  </si>
  <si>
    <t>390013 Рязанская область город Рязань проспект Первомайский дом 70 корпус 1  этаж 1, II-1 помещение, помещение 25</t>
  </si>
  <si>
    <t>ЮЛ770100193500240</t>
  </si>
  <si>
    <t>390006 Рязанская область город Рязань Солотчинское шоссе дом 11   второй этаж, часть помещения Н8, часть комнаты 19</t>
  </si>
  <si>
    <t>ЮЛ770100193500241</t>
  </si>
  <si>
    <t>391300 Рязанская область город Касимов улица Советская дом 13   помещение, этаж 1 (перый)</t>
  </si>
  <si>
    <t>ЮЛ770100193500613</t>
  </si>
  <si>
    <t>391500 Рязанская область рабочий поселок Шилово улица Советская дом 15</t>
  </si>
  <si>
    <t>ИП Храмова Наталья Викторовна</t>
  </si>
  <si>
    <t>773771275126</t>
  </si>
  <si>
    <t>ИП6201019026</t>
  </si>
  <si>
    <t>ИП620101902600000</t>
  </si>
  <si>
    <t>391160 Рязанская область город Новомичуринск проспект Энергетиков дом 12А</t>
  </si>
  <si>
    <t>ИП620101902600002</t>
  </si>
  <si>
    <t>391502 Рязанская область рабочий поселок Шилово улица Индустриальная Дом 25 А   1 этаж</t>
  </si>
  <si>
    <t>ИП620101902600003</t>
  </si>
  <si>
    <t>391539 Рязанская область рабочий поселок Лесной улица Комсомольская  здание 3</t>
  </si>
  <si>
    <t>ИП620101902600004</t>
  </si>
  <si>
    <t>390013 Рязанская область город Рязань Первомайский проспект дом 66  лит. А часть нежилого помещения 9Н</t>
  </si>
  <si>
    <t>ЮЛ780300131300043</t>
  </si>
  <si>
    <t>390035 Рязанская область город Рязань улица Гагарина дом 75   помещение 7Н, комнаты 1,2</t>
  </si>
  <si>
    <t>ЮЛ780300323500155</t>
  </si>
  <si>
    <t>390013 Рязанская область город Рязань проспект Первомайский дом 7   помещение Н1 комнаты 1-7</t>
  </si>
  <si>
    <t>ЮЛ780300323500156</t>
  </si>
  <si>
    <t>390013 Рязанская область город Рязань проспект Первомайский дом 66   помещение Н9 лит А</t>
  </si>
  <si>
    <t>ЮЛ780300308200453</t>
  </si>
  <si>
    <t>391434 Рязанская область город Сасово микрорайон Северный дом 12б   часть комнаты №1</t>
  </si>
  <si>
    <t>ЮЛ780300308200455</t>
  </si>
  <si>
    <t>390037 Рязанская область город Рязань улица Советской Армии дом 9а</t>
  </si>
  <si>
    <t>ЮЛ780300308200581</t>
  </si>
  <si>
    <t>390507 Рязанская область Дядьковское сельское поселение, село Дядьково улица им. Булгаковой Н.А. дом 1   часть комнаты №174, комната № 175</t>
  </si>
  <si>
    <t>ЮЛ780300308200668</t>
  </si>
  <si>
    <t>391300 Рязанская область город Касимов улица Советская д 11   нежилые помещения №№9,10, часть нежилого помещения №12</t>
  </si>
  <si>
    <t>ЮЛ780300308200896</t>
  </si>
  <si>
    <t>390006 Рязанская область город Рязань шоссе Солотчинское дом 11   часть нежилого помещения Н8 часть помещения № 25</t>
  </si>
  <si>
    <t>ЮЛ780300308201123</t>
  </si>
  <si>
    <t>390020 Рязанская область город Рязань шоссе Московское дом 65а   помещение №147</t>
  </si>
  <si>
    <t>ЮЛ780300308201185</t>
  </si>
  <si>
    <t>390013 Рязанская область город Рязань шоссе Московское дом 21   помещение №124</t>
  </si>
  <si>
    <t>ЮЛ780300308201195</t>
  </si>
  <si>
    <t>390035 Рязанская область город Рязань улица Гагарина дом 75</t>
  </si>
  <si>
    <t>ЮЛ780300363500035</t>
  </si>
  <si>
    <t>390013 Рязанская область город Рязань проспект Первомайский дом 7   помещения Н1, комнаты 1-7</t>
  </si>
  <si>
    <t>ЮЛ780300363500198</t>
  </si>
  <si>
    <t>390013 Рязанская область город Рязань шоссе Московское дом 21   помещение 181</t>
  </si>
  <si>
    <t>ЮЛ780301261200053</t>
  </si>
  <si>
    <t>390013 Рязанская область город Рязань проспект Первомайский дом 70 корпус 1  помещение 29</t>
  </si>
  <si>
    <t>ЮЛ780301261200067</t>
  </si>
  <si>
    <t>390013 Рязанская область город Рязань проспект Первомайский дом 66   помещение Н3</t>
  </si>
  <si>
    <t>ЮЛ770103800100003</t>
  </si>
  <si>
    <t>390044 Рязанская область город Рязань шоссе Московское дом 21   нежилое помещение №205 на первом этаже ТРЦ</t>
  </si>
  <si>
    <t>ЮЛ770100439200113</t>
  </si>
  <si>
    <t>Самарская область</t>
  </si>
  <si>
    <t>446200 Самарская область город Новокуйбышевск Дзержинского 29</t>
  </si>
  <si>
    <t>ИП020603403600003</t>
  </si>
  <si>
    <t>443100 Самарская область город Самара улица Самарская дом 200А</t>
  </si>
  <si>
    <t>ИП160603156900008</t>
  </si>
  <si>
    <t>446001 Самарская область город Сызрань улица Советская дом 18</t>
  </si>
  <si>
    <t>ООО "ЛОМБАРД АЛЬФА"</t>
  </si>
  <si>
    <t>1686006559</t>
  </si>
  <si>
    <t>ЮЛ1606002482</t>
  </si>
  <si>
    <t>ЮЛ160600248200002</t>
  </si>
  <si>
    <t>446026 Самарская область город Сызрань улица Московская дом 6   квартира 39</t>
  </si>
  <si>
    <t>ЮЛ160600248200003</t>
  </si>
  <si>
    <t>446031 Самарская область город Сызрань проспект 50 лет Октября дом 54   помещение 3</t>
  </si>
  <si>
    <t>ЮЛ160600248200004</t>
  </si>
  <si>
    <t>446020 Самарская область город Сызрань улица Комарова дом 12   квартира 5</t>
  </si>
  <si>
    <t>ЮЛ160600248200008</t>
  </si>
  <si>
    <t>446010 Самарская область город Сызрань улица Гоголя дом 34   квартира 33</t>
  </si>
  <si>
    <t>ЮЛ160600248200009</t>
  </si>
  <si>
    <t>446031 Самарская область город Сызрань проспект 50 лет Октября дом 54   помещение 1</t>
  </si>
  <si>
    <t>ЮЛ160600248200010</t>
  </si>
  <si>
    <t>446013 Самарская область город Сызрань улица Интернациональная дом 20</t>
  </si>
  <si>
    <t>ЮЛ160600248200012</t>
  </si>
  <si>
    <t>446009 Самарская область город Сызрань улица Лазо дом 22   помещение 22</t>
  </si>
  <si>
    <t>ЮЛ160600248200013</t>
  </si>
  <si>
    <t>443066 Самарская область город Самара улица 22 Партсъезда дом 34</t>
  </si>
  <si>
    <t>ИП520600153500001</t>
  </si>
  <si>
    <t>443099 Самарская область город Самара улица Фрунзе/улица Ленинградская дом 93 / дом 42</t>
  </si>
  <si>
    <t>ИП520600153500002</t>
  </si>
  <si>
    <t>445030 Самарская область город Тольятти улица Победы дом 40</t>
  </si>
  <si>
    <t>ИП520600153500008</t>
  </si>
  <si>
    <t>443901 Самарская область Город Самара аэропорт Самара (Курумоч) имени С.П. Королева Дом 9</t>
  </si>
  <si>
    <t>ООО "ОЛИМПИНВЕСТ"</t>
  </si>
  <si>
    <t>2320163664</t>
  </si>
  <si>
    <t>ЮЛ2304034754</t>
  </si>
  <si>
    <t>ЮЛ230403475400000</t>
  </si>
  <si>
    <t>443070 Самарская область город Самара улица Аэродромная дом 47А</t>
  </si>
  <si>
    <t>ИП Альмяшева Светлана Петровна</t>
  </si>
  <si>
    <t>343501994200</t>
  </si>
  <si>
    <t>ИП6306010774</t>
  </si>
  <si>
    <t>ИП630601077400000</t>
  </si>
  <si>
    <t>443070 Самарская область город Самара улица Аэродромная дом 47А   5</t>
  </si>
  <si>
    <t>ИП630601077400001</t>
  </si>
  <si>
    <t>443045 Самарская область город Самара улица Дыбенко дом 30   помещение 352</t>
  </si>
  <si>
    <t>ЮЛ500100602500029</t>
  </si>
  <si>
    <t>443085 Самарская область город Самара шоссе Южное здание 5   комната 268, 1 этаж</t>
  </si>
  <si>
    <t>ЮЛ500100602500052</t>
  </si>
  <si>
    <t>445004 Самарская область город Тольятти шоссе Автозаводское дом 6   помещение 243</t>
  </si>
  <si>
    <t>ЮЛ500100602500056</t>
  </si>
  <si>
    <t>443080 Самарская область город Самара проезд 4-й дом 57</t>
  </si>
  <si>
    <t>ИП350300596400002</t>
  </si>
  <si>
    <t>443077 Самарская область город Самара проспект Кирова владение 147</t>
  </si>
  <si>
    <t>ИП350300596400003</t>
  </si>
  <si>
    <t>445011 Самарская область город Тольятти улица Карла Маркса владение 57</t>
  </si>
  <si>
    <t>ИП350300596400020</t>
  </si>
  <si>
    <t>445047 Самарская область город Тольятти улица Льва Яшина владение 14</t>
  </si>
  <si>
    <t>ИП350300596400021</t>
  </si>
  <si>
    <t>445054 Самарская область город Тольятти улица Баныкина владение 74</t>
  </si>
  <si>
    <t>ИП350300596400022</t>
  </si>
  <si>
    <t>445039 Самарская область город Тольятти улица Дзержинского владение 21</t>
  </si>
  <si>
    <t>ИП350300596400023</t>
  </si>
  <si>
    <t>445028 Самарская область город Тольятти улица Революционная владение 52А</t>
  </si>
  <si>
    <t>ИП350300596400028</t>
  </si>
  <si>
    <t>443095 Самарская область город Самара шоссе Московское здание 205</t>
  </si>
  <si>
    <t>ИП350300596400042</t>
  </si>
  <si>
    <t>445030 Самарская область город Тольятти улица 40 лет Победы дом 47   2 этаж, помещение б/н (2000)</t>
  </si>
  <si>
    <t>ИП Горюнов Виталий Сергеевич</t>
  </si>
  <si>
    <t>441402883428</t>
  </si>
  <si>
    <t>ИП6306039743</t>
  </si>
  <si>
    <t>ИП630603974300000</t>
  </si>
  <si>
    <t>446001 Самарская область город Сызрань улица Советская дом 11-13</t>
  </si>
  <si>
    <t>ЮЛ480100215000010</t>
  </si>
  <si>
    <t>443013 Самарская область город Самара шоссе Московское дом 5</t>
  </si>
  <si>
    <t>ИП500100445500067</t>
  </si>
  <si>
    <t>443045 Самарская область город Самара улица Дыбенко дом 30</t>
  </si>
  <si>
    <t>ИП500100445500071</t>
  </si>
  <si>
    <t>443085 Самарская область город Самара шоссе Южное дом 5</t>
  </si>
  <si>
    <t>ИП500100445500073</t>
  </si>
  <si>
    <t>445004 Самарская область город Тольятти шоссе Автозаводское владение 6</t>
  </si>
  <si>
    <t>ИП500100445500083</t>
  </si>
  <si>
    <t>443099 Самарская область город Самара улица Куйбышева дом 68/70</t>
  </si>
  <si>
    <t>ИП500100445500093</t>
  </si>
  <si>
    <t>445028 Самарская область город Тольятти улица Революционная 52А</t>
  </si>
  <si>
    <t>ИП440200426400023</t>
  </si>
  <si>
    <t>443085 Самарская область город Самара шоссе Южное здание 5</t>
  </si>
  <si>
    <t>ИП440200426400030</t>
  </si>
  <si>
    <t>ИП440200426400032</t>
  </si>
  <si>
    <t>ИП440200426400034</t>
  </si>
  <si>
    <t>443077 Самарская область город Самара проспект Кирова 147</t>
  </si>
  <si>
    <t>ИП520603280500004</t>
  </si>
  <si>
    <t>443070 Самарская область город Самара улица Аэродромная дом 47А   этаж 1</t>
  </si>
  <si>
    <t>ИП520600807800023</t>
  </si>
  <si>
    <t>443000 Самарская область город Самара улица Дыбенко дом 30</t>
  </si>
  <si>
    <t>ИП520600807800035</t>
  </si>
  <si>
    <t>445028 Самарская область город Тольятти улица Революционная владение 52а   часть комнаты № 33</t>
  </si>
  <si>
    <t>ИП Андрианова Татьяна Олеговна</t>
  </si>
  <si>
    <t>525706061106</t>
  </si>
  <si>
    <t>ИП5206001329</t>
  </si>
  <si>
    <t>ИП520600132900000</t>
  </si>
  <si>
    <t>445000 Самарская область город Тольятти шоссе Автозаводское  дом 6   помещение №243</t>
  </si>
  <si>
    <t>ЮЛ520603376600116</t>
  </si>
  <si>
    <t>443000 Самарская область город Самара 24-й километр Московского шоссе дом 5</t>
  </si>
  <si>
    <t>ЮЛ520603376600164</t>
  </si>
  <si>
    <t>ИП520601790200057</t>
  </si>
  <si>
    <t>446300 Самарская область город Отрадный улица Отрадная дом 19   этаж 1 квартира 111</t>
  </si>
  <si>
    <t>ИП Соломоненко Иван Валерьевич</t>
  </si>
  <si>
    <t>560203189339</t>
  </si>
  <si>
    <t>ИП6306017668</t>
  </si>
  <si>
    <t>ИП630601766800000</t>
  </si>
  <si>
    <t>443101 Самарская область город Самара тракт Пугачевский дом 19А</t>
  </si>
  <si>
    <t>ИП630601115500000</t>
  </si>
  <si>
    <t>446960 Самарская область железнодорожная станция Клявлино улица Северная дом 70</t>
  </si>
  <si>
    <t>ИП630601115500003</t>
  </si>
  <si>
    <t>443070 Самарская область город Самара улица Аэродромная здание 47 корпус 1 литера А офис</t>
  </si>
  <si>
    <t>ИП Лысенкова Марина Алексеевна</t>
  </si>
  <si>
    <t>631100698410</t>
  </si>
  <si>
    <t>ИП6306002307</t>
  </si>
  <si>
    <t>ИП630600230700000</t>
  </si>
  <si>
    <t>443122 Самарская область Самара Силина 7   80</t>
  </si>
  <si>
    <t>ИП Проживина Людмила Алексеевна</t>
  </si>
  <si>
    <t>631200685729</t>
  </si>
  <si>
    <t>ИП6306031332</t>
  </si>
  <si>
    <t>ИП630603133200000</t>
  </si>
  <si>
    <t>443041 Самарская область город Самара улица Самарская дом 131</t>
  </si>
  <si>
    <t>ИП Собко Ольга Сергеевна</t>
  </si>
  <si>
    <t>631200711344</t>
  </si>
  <si>
    <t>ИП6306034971</t>
  </si>
  <si>
    <t>ИП630603497100000</t>
  </si>
  <si>
    <t>443111 Самарская область город Самара шоссе Московское дом 81Б</t>
  </si>
  <si>
    <t>ИП630603497100001</t>
  </si>
  <si>
    <t>445057 Самарская область город Тольятти улица Юбилейная здание 40</t>
  </si>
  <si>
    <t>ИП630603497100002</t>
  </si>
  <si>
    <t>443026 Самарская область город Самара улица Красногвардейская дом 14</t>
  </si>
  <si>
    <t>ИП Ишкина Светлана Николаевна</t>
  </si>
  <si>
    <t>631201004669</t>
  </si>
  <si>
    <t>ИП6306008623</t>
  </si>
  <si>
    <t>ИП630600862300000</t>
  </si>
  <si>
    <t>443080 Самарская область Самара 4-ый проезд 57</t>
  </si>
  <si>
    <t>ИП Мязина Галина Васильевна</t>
  </si>
  <si>
    <t>631201992793</t>
  </si>
  <si>
    <t>ИП6306031969</t>
  </si>
  <si>
    <t>ИП630603196900000</t>
  </si>
  <si>
    <t>443035 Самарская область город Самара проспект Кирова дом 104   комната 38-39</t>
  </si>
  <si>
    <t>ООО "ЛОМБАРД "ПОТРЕБКРЕДИТ"</t>
  </si>
  <si>
    <t>6312023847</t>
  </si>
  <si>
    <t>ЮЛ6306005450</t>
  </si>
  <si>
    <t>ЮЛ630600545000000</t>
  </si>
  <si>
    <t>446910 Самарская область железнодорожная станция Шентала улица Вокзальная дом 43</t>
  </si>
  <si>
    <t>ООО "ЯНВАРЬ"</t>
  </si>
  <si>
    <t>6312118263</t>
  </si>
  <si>
    <t>ЮЛ6306017935</t>
  </si>
  <si>
    <t>ЮЛ630601793500000</t>
  </si>
  <si>
    <t>443035 Самарская область город Самара улица Ставропольская дом 202   8</t>
  </si>
  <si>
    <t>ООО "ЮК "ДОЛЬЧЕ ВИТА"</t>
  </si>
  <si>
    <t>6312156068</t>
  </si>
  <si>
    <t>ЮЛ6306033827</t>
  </si>
  <si>
    <t>ЮЛ630603382700000</t>
  </si>
  <si>
    <t>443045 Самарская область город Самара улица  Революционная дом 70е   кабинет 22</t>
  </si>
  <si>
    <t>ИП Соколова Светлана Дмитриевна</t>
  </si>
  <si>
    <t>631215905737</t>
  </si>
  <si>
    <t>ИП6306011659</t>
  </si>
  <si>
    <t>ИП630601165900000</t>
  </si>
  <si>
    <t>443124 Самарская область город Самара улица Солнечная дом 1   1</t>
  </si>
  <si>
    <t>ООО "ЛОМБАРД "КОШЕЛЁКЪ"</t>
  </si>
  <si>
    <t>6312173391</t>
  </si>
  <si>
    <t>ЮЛ6306034945</t>
  </si>
  <si>
    <t>ЮЛ630603494500017</t>
  </si>
  <si>
    <t>443090 Самарская область город Самара улица Ставропольская дом 3   офис 511</t>
  </si>
  <si>
    <t>ИП Проживин Алексей Владимирович</t>
  </si>
  <si>
    <t>631222450199</t>
  </si>
  <si>
    <t>ИП6306039052</t>
  </si>
  <si>
    <t>ИП630603905200000</t>
  </si>
  <si>
    <t>443087 Самарская область город Самара проспект Кирова дом 210</t>
  </si>
  <si>
    <t>ИП Корчагина Нина Петровна</t>
  </si>
  <si>
    <t>631231923067</t>
  </si>
  <si>
    <t>ИП6306041070</t>
  </si>
  <si>
    <t>ИП630604107000000</t>
  </si>
  <si>
    <t>ИП630600994200000</t>
  </si>
  <si>
    <t>443068 Самарская область город Самара улица Ново-Садовая дом 160м   1этаж, помещение №165,167</t>
  </si>
  <si>
    <t>ИП Мирончева Ирина Анатольевна</t>
  </si>
  <si>
    <t>631306314026</t>
  </si>
  <si>
    <t>ИП6306033462</t>
  </si>
  <si>
    <t>ИП630603346200000</t>
  </si>
  <si>
    <t>443070 Самарская область город Самара улица Аэродромная дом 47А   часть комнаты 18</t>
  </si>
  <si>
    <t>ИП Паршина Марина Александровна</t>
  </si>
  <si>
    <t>631400075784</t>
  </si>
  <si>
    <t>ИП6306001570</t>
  </si>
  <si>
    <t>ИП630600157000000</t>
  </si>
  <si>
    <t>443099 Самарская область город Самара улица Венцека дом 41</t>
  </si>
  <si>
    <t>ИП Назарова Эльмира Халыгкулиевна</t>
  </si>
  <si>
    <t>631401252901</t>
  </si>
  <si>
    <t>ИП6306000693</t>
  </si>
  <si>
    <t>ИП630600069300000</t>
  </si>
  <si>
    <t>446300 Самарская область город Отрадный улица Отрадная дом 21</t>
  </si>
  <si>
    <t>ИП Киселев Анатолий Владимирович</t>
  </si>
  <si>
    <t>631500099690</t>
  </si>
  <si>
    <t>ИП6306002186</t>
  </si>
  <si>
    <t>ИП630600218600000</t>
  </si>
  <si>
    <t>443001 Самарская область город Самара улица Ульяновская дом 18   секция 111</t>
  </si>
  <si>
    <t>ИП Короткова Ирина Владимировна</t>
  </si>
  <si>
    <t>631500137258</t>
  </si>
  <si>
    <t>ИП6306033203</t>
  </si>
  <si>
    <t>ИП630603320300000</t>
  </si>
  <si>
    <t>443000 Самарская область город Самара улица Ульяновская/ улица Садовая/улица Самарская дом 18/дом 208/дом 199</t>
  </si>
  <si>
    <t>ИП630600877000002</t>
  </si>
  <si>
    <t>ИП Усачев Александр Владимирович</t>
  </si>
  <si>
    <t>631501909186</t>
  </si>
  <si>
    <t>ИП6306009210</t>
  </si>
  <si>
    <t>ИП630600921000002</t>
  </si>
  <si>
    <t>443001 Самарская область Самара Ульяновская  18</t>
  </si>
  <si>
    <t>ИП Глушков Владимир Николаевич</t>
  </si>
  <si>
    <t>631503289403</t>
  </si>
  <si>
    <t>ИП6306007596</t>
  </si>
  <si>
    <t>ИП630600759600000</t>
  </si>
  <si>
    <t>443099 Самарская область Самара Фрунзе 96</t>
  </si>
  <si>
    <t>ИП Сигаль Михаил Валерьевич</t>
  </si>
  <si>
    <t>631504787779</t>
  </si>
  <si>
    <t>ИП6306008134</t>
  </si>
  <si>
    <t>ИП630600813400000</t>
  </si>
  <si>
    <t>446200 Самарская область город Новокуйбышевск Кутузова 27   1</t>
  </si>
  <si>
    <t>ИП Жигаева Юлия Валерьевна</t>
  </si>
  <si>
    <t>631551947613</t>
  </si>
  <si>
    <t>ИП6306014320</t>
  </si>
  <si>
    <t>ИП630601432000000</t>
  </si>
  <si>
    <t>443117 Самарская область город Самара улица Бобруйская дом 89</t>
  </si>
  <si>
    <t>ИП Хайбуллова Гузель Рафисовна</t>
  </si>
  <si>
    <t>631601264397</t>
  </si>
  <si>
    <t>ИП6306034837</t>
  </si>
  <si>
    <t>ИП630603483700000</t>
  </si>
  <si>
    <t>443084 Самарская область город Самара шоссе Московское дом 163Б</t>
  </si>
  <si>
    <t>ИП Александрова Елена Николаевна</t>
  </si>
  <si>
    <t>631601328410</t>
  </si>
  <si>
    <t>ИП6306003223</t>
  </si>
  <si>
    <t>ИП630600322300000</t>
  </si>
  <si>
    <t>443110 Самарская область город Самара улица Ново-Садовая дом 21</t>
  </si>
  <si>
    <t>ООО "САЛОН "АЛЯСКА"</t>
  </si>
  <si>
    <t>6316090121</t>
  </si>
  <si>
    <t>ЮЛ6306008186</t>
  </si>
  <si>
    <t>ЮЛ630600818600000</t>
  </si>
  <si>
    <t>443079 Самарская область город Самара улица Гагарина дом 42   н.2</t>
  </si>
  <si>
    <t>ООО "ЛОМБАРД "ЭКСПРЕСС-КРЕДИТ"</t>
  </si>
  <si>
    <t>6316119613</t>
  </si>
  <si>
    <t>ЮЛ6306005944</t>
  </si>
  <si>
    <t>ЮЛ630600594400000</t>
  </si>
  <si>
    <t>443096 Самарская область город Самара улица Полевая дом 86</t>
  </si>
  <si>
    <t>ЮЛ630600594400001</t>
  </si>
  <si>
    <t>443100 Самарская область город Самара улица Полевая дом 52</t>
  </si>
  <si>
    <t>ООО "ЮВЕЛИРНЫЙ ДОМ ВЕРСАЛЬ"</t>
  </si>
  <si>
    <t>6316225555</t>
  </si>
  <si>
    <t>ЮЛ6306032470</t>
  </si>
  <si>
    <t>ЮЛ630603247000000</t>
  </si>
  <si>
    <t>443001 Самарская область город Самара улица Ульяновская/Садовая/Самарская дом 18/208/199   Офис 133</t>
  </si>
  <si>
    <t>ЮЛ630603247000001</t>
  </si>
  <si>
    <t>443010 Самарская область город Самара улица Некрасовская дом 62  Н2 офис 13</t>
  </si>
  <si>
    <t>ИП КАТКОВ Д. И.</t>
  </si>
  <si>
    <t>631625761831</t>
  </si>
  <si>
    <t>ИП6306038051</t>
  </si>
  <si>
    <t>ИП630603805100000</t>
  </si>
  <si>
    <t>446302 Самарская область город Отрадный улица Гайдара дом 53</t>
  </si>
  <si>
    <t>ЮЛ630603235300001</t>
  </si>
  <si>
    <t>446208 Самарская область город Новокуйбышевск улица Гагарина дом 15</t>
  </si>
  <si>
    <t>ЮЛ630603235300004</t>
  </si>
  <si>
    <t>443028 Самарская область город Самара квартал 5-й дом 2</t>
  </si>
  <si>
    <t>ЮЛ630603235300005</t>
  </si>
  <si>
    <t>446304 Самарская область город Отрадный улица Первомайская дом 27</t>
  </si>
  <si>
    <t>ЮЛ630603235300006</t>
  </si>
  <si>
    <t>446660 Самарская область село Борское улица Кустарная домовладение 6</t>
  </si>
  <si>
    <t>ЮЛ630603235300007</t>
  </si>
  <si>
    <t>446452 Самарская область город Похвистнево улица Строителей дом 5-83</t>
  </si>
  <si>
    <t>ЮЛ630603235300008</t>
  </si>
  <si>
    <t>443902 Самарская область город Самара улица Труда дом 4</t>
  </si>
  <si>
    <t>ЮЛ630603235300010</t>
  </si>
  <si>
    <t>443124 Самарская область город Самара просека 5-я дом 101А</t>
  </si>
  <si>
    <t>ЮЛ630603235300011</t>
  </si>
  <si>
    <t>443048 Самарская область город Самара квартал 1 дом 9</t>
  </si>
  <si>
    <t>ЮЛ630603235300012</t>
  </si>
  <si>
    <t>446394 Самарская область зона (массив) Жилгородок (пгт Волжский)  дом 29</t>
  </si>
  <si>
    <t>ЮЛ630603235300013</t>
  </si>
  <si>
    <t>446630 Самарская область село Богатое улица Строителей здание 74</t>
  </si>
  <si>
    <t>ЮЛ630603235300015</t>
  </si>
  <si>
    <t>446351 Самарская область село Кинель-Черкассы улица Московская дом 2б</t>
  </si>
  <si>
    <t>ЮЛ630603235300016</t>
  </si>
  <si>
    <t>443028 Самарская область город Самара улица Николая Баженова дом 6   помещение 164</t>
  </si>
  <si>
    <t>ООО "ЛОМБАРД ЮКОН"</t>
  </si>
  <si>
    <t>6316285787</t>
  </si>
  <si>
    <t>ЮЛ6306036316</t>
  </si>
  <si>
    <t>ЮЛ630603631600000</t>
  </si>
  <si>
    <t>446430 Самарская область город Кинель улица Маяковского здание 77/6</t>
  </si>
  <si>
    <t>ЮЛ630603631600001</t>
  </si>
  <si>
    <t>443076 Самарская область город Самара улица Аэродромная дом 53А</t>
  </si>
  <si>
    <t>ЮЛ630603631600002</t>
  </si>
  <si>
    <t>443026 Самарская область город Самара улица Сергея Лазо дом 24а</t>
  </si>
  <si>
    <t>ЮЛ630603631600003</t>
  </si>
  <si>
    <t>443075 Самарская область город Самара бульвар Ивана Финютина дом 11   квартира 104</t>
  </si>
  <si>
    <t>ЮЛ630603631600004</t>
  </si>
  <si>
    <t>443547 Самарская область микрорайон Южный город (поселок Придорожный) улица Николаевский проспект дом 27</t>
  </si>
  <si>
    <t>ЮЛ630603631600005</t>
  </si>
  <si>
    <t>443075 Самарская область город Самара бульвар Ивана Финютина дом 47   квартира 61</t>
  </si>
  <si>
    <t>ЮЛ630603631600006</t>
  </si>
  <si>
    <t>443109 Самарская область город Самара шоссе Зубчаниновское дом 151   помещение 2</t>
  </si>
  <si>
    <t>ЮЛ630603631600007</t>
  </si>
  <si>
    <t>443065 Самарская область город Самара улица Бакинская дом 40   комната 86</t>
  </si>
  <si>
    <t>ЮЛ630603631600008</t>
  </si>
  <si>
    <t>443528 Самарская область поселок городского типа Стройкерамика улица Анетты Басс дом 4 строение 3  помещение 9</t>
  </si>
  <si>
    <t>ЮЛ630603631600009</t>
  </si>
  <si>
    <t>443099 Самарская область город Самара улица Куйбышева дом 72   помещение подвал</t>
  </si>
  <si>
    <t>ООО ФИРМА "ОНИКС-1"</t>
  </si>
  <si>
    <t>6317025823</t>
  </si>
  <si>
    <t>ЮЛ6306003126</t>
  </si>
  <si>
    <t>ЮЛ630600312600000</t>
  </si>
  <si>
    <t>443013 Самарская область город Самара шоссе Московское дом 3   офис 201г</t>
  </si>
  <si>
    <t>ЮЛ630600259300000</t>
  </si>
  <si>
    <t>443010 Самарская область город Самара улица Фрунзе дом 126</t>
  </si>
  <si>
    <t>ООО "БОННФАКТОРИ"</t>
  </si>
  <si>
    <t>6317159908</t>
  </si>
  <si>
    <t>ЮЛ6306030426</t>
  </si>
  <si>
    <t>ЮЛ630603042600002</t>
  </si>
  <si>
    <t>443013 Самарская область город Самара улица Киевская дом 1Г   306</t>
  </si>
  <si>
    <t>ООО "ПАРУС"</t>
  </si>
  <si>
    <t>6317162386</t>
  </si>
  <si>
    <t>ЮЛ6306032774</t>
  </si>
  <si>
    <t>ЮЛ630603277400000</t>
  </si>
  <si>
    <t>446600 Самарская область город Нефтегорск улица Нефтяников дом 28А</t>
  </si>
  <si>
    <t>ИП630603381400010</t>
  </si>
  <si>
    <t>443031 Самарская область город Самара улица Солнечная дом 60</t>
  </si>
  <si>
    <t>ИП630601425400000</t>
  </si>
  <si>
    <t>443070 Самарская область город Самара улица Аэродромная дом 47А   часть комнаты 6,часть комнаты 7</t>
  </si>
  <si>
    <t>ИП630601425400008</t>
  </si>
  <si>
    <t>445028 Самарская область город Тольятти улица Революционная дом 52а</t>
  </si>
  <si>
    <t>ИП630601425400020</t>
  </si>
  <si>
    <t>446351 Самарская область село Кинель-Черкассы улица Молодогвардейская дом  68</t>
  </si>
  <si>
    <t>ИП630601425400035</t>
  </si>
  <si>
    <t>446305 Самарская область город Отрадный улица Сабирзянова дом 24</t>
  </si>
  <si>
    <t>ИП630601425400044</t>
  </si>
  <si>
    <t>446300 Самарская область город Отрадный улица Отрадная дом 19   квартира 66</t>
  </si>
  <si>
    <t>ИП630601425400051</t>
  </si>
  <si>
    <t>446031 Самарская область город Сызрань проспект 50 лет Октября дом 54А</t>
  </si>
  <si>
    <t>ИП630601425400080</t>
  </si>
  <si>
    <t>443095 Самарская область город Самара шоссе Московское здание 205   12</t>
  </si>
  <si>
    <t>ИП630601425400083</t>
  </si>
  <si>
    <t>443085 Самарская область город Самара шоссе Южное здание 5   72</t>
  </si>
  <si>
    <t>ИП630601425400084</t>
  </si>
  <si>
    <t>443045 Самарская область город Самара улица Дыбенко дом 30  литера б 23</t>
  </si>
  <si>
    <t>ИП630601425400087</t>
  </si>
  <si>
    <t>443077 Самарская область город Самара проспект Кирова владение 147   138</t>
  </si>
  <si>
    <t>ИП630601425400092</t>
  </si>
  <si>
    <t>446430 Самарская область город Кинель улица Чехова домовладение 5   3</t>
  </si>
  <si>
    <t>ИП630601425400093</t>
  </si>
  <si>
    <t>446031 Самарская область город Сызрань проспект 50 лет Октября    помещение 2</t>
  </si>
  <si>
    <t>ИП630601425400112</t>
  </si>
  <si>
    <t>446305 Самарская область город Отрадный улица Сабирзянова дом 24   помещение 2</t>
  </si>
  <si>
    <t>ИП630601425400119</t>
  </si>
  <si>
    <t>446026 Самарская область город Сызрань улица Московская дом 6   помещение 2</t>
  </si>
  <si>
    <t>ИП630601425400122</t>
  </si>
  <si>
    <t>446026 Самарская область город Сызрань улица Московская дом 6</t>
  </si>
  <si>
    <t>ИП630601425400123</t>
  </si>
  <si>
    <t>ИП Хаустов Андрей Васильевич</t>
  </si>
  <si>
    <t>631804521667</t>
  </si>
  <si>
    <t>ИП6306032725</t>
  </si>
  <si>
    <t>ИП630603272500000</t>
  </si>
  <si>
    <t>ИП630603272500001</t>
  </si>
  <si>
    <t>443096 Самарская область город Самара улица Мичурина дом 52   офис 24/а</t>
  </si>
  <si>
    <t>ИП Данельская Марина Анатольевна</t>
  </si>
  <si>
    <t>631806432412</t>
  </si>
  <si>
    <t>ИП6306036031</t>
  </si>
  <si>
    <t>ИП630603603100000</t>
  </si>
  <si>
    <t>443022 Самарская область город Самара шоссе Заводское дом 111   офис 423</t>
  </si>
  <si>
    <t>ООО "ЛОМБАРД ГРАНД"</t>
  </si>
  <si>
    <t>6318067544</t>
  </si>
  <si>
    <t>ЮЛ6306001891</t>
  </si>
  <si>
    <t>ЮЛ630600189100000</t>
  </si>
  <si>
    <t>443009 Самарская область город Самара улица Победы дом 101А</t>
  </si>
  <si>
    <t>ЮЛ630600189100005</t>
  </si>
  <si>
    <t>443051 Самарская область город Самара проспект Металлургов дом 86</t>
  </si>
  <si>
    <t>ЮЛ630600189100006</t>
  </si>
  <si>
    <t>443528 Самарская область поселок городского типа Стройкерамика улица Академика Дмитрия Козлова дом 15</t>
  </si>
  <si>
    <t>ЮЛ630600189100007</t>
  </si>
  <si>
    <t>443100 Самарская область город Самара улица Ново-Садовая дом 1   комната 30</t>
  </si>
  <si>
    <t>ЮЛ630600189100008</t>
  </si>
  <si>
    <t>446103 Самарская область город Чапаевск улица Ленина дом 98</t>
  </si>
  <si>
    <t>ЮЛ630600189100009</t>
  </si>
  <si>
    <t>443065 Самарская область город Самара тракт Пугачевский дом 74</t>
  </si>
  <si>
    <t>ЮЛ630600189100010</t>
  </si>
  <si>
    <t>443080 Самарская область город Самара улица Антонова-Овсеенко дом 10</t>
  </si>
  <si>
    <t>ЮЛ630600189100011</t>
  </si>
  <si>
    <t>443087 Самарская область город Самара проспект Кирова дом 304а   комната 15</t>
  </si>
  <si>
    <t>ЮЛ630600189100012</t>
  </si>
  <si>
    <t>443058 Самарская область город Самара улица 22 Партсъезда дом 20А</t>
  </si>
  <si>
    <t>ЮЛ630600189100013</t>
  </si>
  <si>
    <t>443031 Самарская область город Самара улица Демократическая дом 11А</t>
  </si>
  <si>
    <t>ЮЛ630600189100014</t>
  </si>
  <si>
    <t>443099 Самарская область город Самара улица Ленинградская дом 63</t>
  </si>
  <si>
    <t>ЮЛ630600189100015</t>
  </si>
  <si>
    <t>443077 Самарская область город Самара улица Победы дом 134   помещение 4а</t>
  </si>
  <si>
    <t>ЮЛ630600189100016</t>
  </si>
  <si>
    <t>443091 Самарская область город Самара улица Стара Загора дом 257</t>
  </si>
  <si>
    <t>ЮЛ630600189100017</t>
  </si>
  <si>
    <t>443035 Самарская область город Самара проспект Кирова дом 201   помещение н5</t>
  </si>
  <si>
    <t>ЮЛ630600189100018</t>
  </si>
  <si>
    <t>446450 Самарская область город Похвистнево улица Революционная дом 6</t>
  </si>
  <si>
    <t>ИП630600633500001</t>
  </si>
  <si>
    <t>446552 Самарская область поселок городского типа Суходол улица Школьная дом 1д</t>
  </si>
  <si>
    <t>ИП630600633500002</t>
  </si>
  <si>
    <t>ИП630600633500003</t>
  </si>
  <si>
    <t>446100 Самарская область город Чапаевск улица Железнодорожная здание 33А</t>
  </si>
  <si>
    <t>ИП630600633500004</t>
  </si>
  <si>
    <t>ИП630600633500005</t>
  </si>
  <si>
    <t>446450 Самарская область город Похвистнево улица Андрея Васильева дом 8</t>
  </si>
  <si>
    <t>ИП630600633500006</t>
  </si>
  <si>
    <t>446103 Самарская область город Чапаевск улица Запорожская дом 18А</t>
  </si>
  <si>
    <t>ИП630600633500009</t>
  </si>
  <si>
    <t>446430 Самарская область город Кинель улица Маяковского дом 84а</t>
  </si>
  <si>
    <t>ИП630600633500011</t>
  </si>
  <si>
    <t>446452 Самарская область город Похвистнево улица Мира здание 1А</t>
  </si>
  <si>
    <t>ИП630600633500012</t>
  </si>
  <si>
    <t>443083 Самарская область город Самара улица Победы дом 18   пом. н5</t>
  </si>
  <si>
    <t>ООО "ЛОМБАРД "КРЕДИТ-СЕРВИС"</t>
  </si>
  <si>
    <t>6318135530</t>
  </si>
  <si>
    <t>ЮЛ6306006268</t>
  </si>
  <si>
    <t>ЮЛ630600626800000</t>
  </si>
  <si>
    <t>443084 Самарская область Город Самара Улица Московское шоссе 163Б   нежилое помещение № 24</t>
  </si>
  <si>
    <t>ИП Кияев Александр Викторович</t>
  </si>
  <si>
    <t>631813958414</t>
  </si>
  <si>
    <t>ИП6306000138</t>
  </si>
  <si>
    <t>ИП630600013800000</t>
  </si>
  <si>
    <t>443030 Самарская область город Самара улица Вилоновская дом 138   Нежилое помещение №122</t>
  </si>
  <si>
    <t>ИП630600013800001</t>
  </si>
  <si>
    <t>443083 Самарская область город Самара переулок Безымянный 1-й дом 7А   офис 1,3,4</t>
  </si>
  <si>
    <t>ООО "ОРЛОВ И К"</t>
  </si>
  <si>
    <t>6318144485</t>
  </si>
  <si>
    <t>ЮЛ6306034593</t>
  </si>
  <si>
    <t>ЮЛ630603459300000</t>
  </si>
  <si>
    <t>443031 Самарская область город Самара улица Солнечная дом 60   офис 402</t>
  </si>
  <si>
    <t>ООО "НАШЕ ЗОЛОТО"</t>
  </si>
  <si>
    <t>6318157212</t>
  </si>
  <si>
    <t>ЮЛ6306009848</t>
  </si>
  <si>
    <t>ЮЛ630600984800000</t>
  </si>
  <si>
    <t>ИП Денисова Зинаида Михайловна</t>
  </si>
  <si>
    <t>631900177199</t>
  </si>
  <si>
    <t>ИП6306003683</t>
  </si>
  <si>
    <t>ИП630600368300000</t>
  </si>
  <si>
    <t>443001 Самарская область город Самара улица Ульяновская/Садовая /Самарская дом 18/208/199</t>
  </si>
  <si>
    <t>ИП Клюяшкин Владимир Валентинович</t>
  </si>
  <si>
    <t>631900242190</t>
  </si>
  <si>
    <t>ИП6306002490</t>
  </si>
  <si>
    <t>ИП630600249000000</t>
  </si>
  <si>
    <t>446552 Самарская область поселок городского типа Суходол улица Школьная здание 1В</t>
  </si>
  <si>
    <t>ИП630600550300004</t>
  </si>
  <si>
    <t>446540 Самарская область село Сергиевск улица К.Маркса здание 45</t>
  </si>
  <si>
    <t>ИП630600550300008</t>
  </si>
  <si>
    <t>443000 Самарская область город Самара Ново Садовая 387</t>
  </si>
  <si>
    <t>ИП630600550300018</t>
  </si>
  <si>
    <t>443070 Самарская область город Самара улица Дыбенко дом 30</t>
  </si>
  <si>
    <t>ИП Волкова Наталья Николаевна</t>
  </si>
  <si>
    <t>631901339163</t>
  </si>
  <si>
    <t>ИП6306006243</t>
  </si>
  <si>
    <t>ИП630600624300000</t>
  </si>
  <si>
    <t>443048 Самарская область город Самара квартал 2 24</t>
  </si>
  <si>
    <t>ИП Обухова Галина Викторовна</t>
  </si>
  <si>
    <t>631906941710</t>
  </si>
  <si>
    <t>ИП6306001686</t>
  </si>
  <si>
    <t>ИП630600168600000</t>
  </si>
  <si>
    <t>ООО "МАЙЯ"</t>
  </si>
  <si>
    <t>6319078796</t>
  </si>
  <si>
    <t>ЮЛ6306007940</t>
  </si>
  <si>
    <t>ЮЛ630600794000000</t>
  </si>
  <si>
    <t>443011 Самарская область город Самара улица Ново-Садовая дом 305А   часть комнаты 12</t>
  </si>
  <si>
    <t>ИП Жулина Наталья Викторовна</t>
  </si>
  <si>
    <t>631909296345</t>
  </si>
  <si>
    <t>ИП6306001720</t>
  </si>
  <si>
    <t>ИП630600172000000</t>
  </si>
  <si>
    <t>446103 Самарская область город Чапаевск улица Черняховского дом 20А</t>
  </si>
  <si>
    <t>ИП Веселова Ольга Анатольевна</t>
  </si>
  <si>
    <t>631922141020</t>
  </si>
  <si>
    <t>ИП6306032278</t>
  </si>
  <si>
    <t>ИП630603227800000</t>
  </si>
  <si>
    <t>446115 Самарская область город Чапаевск улица Ленина дом 92</t>
  </si>
  <si>
    <t>ИП630603227800001</t>
  </si>
  <si>
    <t>443099 Самарская область Самара ЛЕНИНГРАДСКАЯ 64</t>
  </si>
  <si>
    <t>ИП Полковников Алексей Владимирович</t>
  </si>
  <si>
    <t>631922510238</t>
  </si>
  <si>
    <t>ИП6306040528</t>
  </si>
  <si>
    <t>ИП630604052800000</t>
  </si>
  <si>
    <t>443095 Самарская область город Самара улица Георгия Димитрова дом 1А   секция А9</t>
  </si>
  <si>
    <t>ИП Гусева Елена Викторовна</t>
  </si>
  <si>
    <t>631926411291</t>
  </si>
  <si>
    <t>ИП6306011742</t>
  </si>
  <si>
    <t>ИП630601174200000</t>
  </si>
  <si>
    <t>443080 Самарская область город Самара улица Четвертый проезд дом 57   часть комнаты 1</t>
  </si>
  <si>
    <t>ИП Калугина Инна Валерьевна</t>
  </si>
  <si>
    <t>631927270484</t>
  </si>
  <si>
    <t>ИП6306000280</t>
  </si>
  <si>
    <t>ИП630600028000000</t>
  </si>
  <si>
    <t>446204 Самарская область город Новокуйбышевск проспект Победы дом 1Ж</t>
  </si>
  <si>
    <t>ИП630600729900000</t>
  </si>
  <si>
    <t>446200 Самарская область город Новокуйбышевск проспект Победы здание 1Ж</t>
  </si>
  <si>
    <t>ИП630600729900009</t>
  </si>
  <si>
    <t>446013 Самарская область город Сызрань улица Интернациональная дом 28</t>
  </si>
  <si>
    <t>ЮЛ630603373600000</t>
  </si>
  <si>
    <t>446010 Самарская область город Сызрань шоссе Ульяновское дом 15</t>
  </si>
  <si>
    <t>ЮЛ630603373600004</t>
  </si>
  <si>
    <t>446208 Самарская область город Новокуйбышевск улица Миронова дом 18   помещение Н1</t>
  </si>
  <si>
    <t>ЮЛ630603373600029</t>
  </si>
  <si>
    <t>446204 Самарская область город Новокуйбышевск улица Дзержинского дом 29</t>
  </si>
  <si>
    <t>ЮЛ630603373600046</t>
  </si>
  <si>
    <t>445044 Самарская область город Тольятти улица Дзержинского дом 38   помещение 432</t>
  </si>
  <si>
    <t>ООО "ЛОМБАРД НИКА"</t>
  </si>
  <si>
    <t>6320062014</t>
  </si>
  <si>
    <t>ЮЛ6306030120</t>
  </si>
  <si>
    <t>ЮЛ630603012000000</t>
  </si>
  <si>
    <t>445010 Самарская область город Тольятти улица Ленинградская дом 58   помещение 1003</t>
  </si>
  <si>
    <t>ЮЛ630603012000005</t>
  </si>
  <si>
    <t>445026 Самарская область город Тольятти улица Революционная дом 11</t>
  </si>
  <si>
    <t>ЮЛ630603012000010</t>
  </si>
  <si>
    <t>445047 Самарская область город Тольятти улица Льва Яшина владение 6</t>
  </si>
  <si>
    <t>ЮЛ630603012000012</t>
  </si>
  <si>
    <t>445036 Самарская область город Тольятти улица Юбилейная владение 5а</t>
  </si>
  <si>
    <t>ЮЛ630603012000014</t>
  </si>
  <si>
    <t>445044 Самарская область город Тольятти улица Дзержинского владение 46</t>
  </si>
  <si>
    <t>ЮЛ630603012000016</t>
  </si>
  <si>
    <t>445028 Самарская область город Тольятти улица Революционная дом 64</t>
  </si>
  <si>
    <t>ЮЛ630603012000017</t>
  </si>
  <si>
    <t>445026 Самарская область город Тольятти улица Революционная дом 52</t>
  </si>
  <si>
    <t>ЮЛ630603012000018</t>
  </si>
  <si>
    <t>445036 Самарская область город Тольятти улица Юбилейная владение 9б</t>
  </si>
  <si>
    <t>ЮЛ630603012000021</t>
  </si>
  <si>
    <t>445030 Самарская область город Тольятти улица Тополиная владение 24а</t>
  </si>
  <si>
    <t>ЮЛ630603012000022</t>
  </si>
  <si>
    <t>445027 Самарская область город Тольятти улица Фрунзе владение 23</t>
  </si>
  <si>
    <t>ЮЛ630603012000024</t>
  </si>
  <si>
    <t>445040 Самарская область город Тольятти проспект Степана Разина владение 31А   помещение 3</t>
  </si>
  <si>
    <t>ЮЛ630603012000026</t>
  </si>
  <si>
    <t>445028 Самарская область город Тольятти улица Революционная владение 52а   секция 122 комната 278</t>
  </si>
  <si>
    <t>ЮЛ630603012000027</t>
  </si>
  <si>
    <t>445037 Самарская область город Тольятти улица Фрунзе дом 14б   офис 427</t>
  </si>
  <si>
    <t>ЮЛ630600190100000</t>
  </si>
  <si>
    <t>445028 Самарская область город Тольятти улица Революционная владение 52а   секция 121</t>
  </si>
  <si>
    <t>ООО "КЛЕВЕР"</t>
  </si>
  <si>
    <t>6320076112</t>
  </si>
  <si>
    <t>ЮЛ6306035844</t>
  </si>
  <si>
    <t>ЮЛ630603584400000</t>
  </si>
  <si>
    <t>445039 Самарская область город Тольятти улица 40 лет Победы дом 96   ком. 16</t>
  </si>
  <si>
    <t>ООО "МАРКЕТ-М"</t>
  </si>
  <si>
    <t>6320084307</t>
  </si>
  <si>
    <t>ЮЛ6306038302</t>
  </si>
  <si>
    <t>ЮЛ630603830200000</t>
  </si>
  <si>
    <t>445039 Самарская область город Тольятти улица Автостроителей владение 96</t>
  </si>
  <si>
    <t>ИП Старовойтенко Татьяна Юрьевна</t>
  </si>
  <si>
    <t>632100189782</t>
  </si>
  <si>
    <t>ИП6306035991</t>
  </si>
  <si>
    <t>ИП630603599100000</t>
  </si>
  <si>
    <t>445030 Самарская область город Тольятти улица Дзержинского владение 16а</t>
  </si>
  <si>
    <t>ИП630603599100001</t>
  </si>
  <si>
    <t>445000 Самарская область Тольятти Революционная 52А   120Д</t>
  </si>
  <si>
    <t>ИП Овсянников Владимир Иванович</t>
  </si>
  <si>
    <t>632100501786</t>
  </si>
  <si>
    <t>ИП6306034005</t>
  </si>
  <si>
    <t>ИП630603400500000</t>
  </si>
  <si>
    <t>445056 Самарская область город Тольятти улица 40 лет Победы здание 33</t>
  </si>
  <si>
    <t>ИП630603400500001</t>
  </si>
  <si>
    <t>445039 Самарская область Тольятти Революционная 52А   секция113А</t>
  </si>
  <si>
    <t>ИП630603400500002</t>
  </si>
  <si>
    <t>445000 Самарская область Тольятти улица Революционная 52А   секция 113Б</t>
  </si>
  <si>
    <t>ИП630603400500003</t>
  </si>
  <si>
    <t>445030 Самарская область город Тольятти улица Дзержинского 38А   4</t>
  </si>
  <si>
    <t>ИП630603400500004</t>
  </si>
  <si>
    <t>445000 Самарская область город Тольятти Дзержинского 21   100С</t>
  </si>
  <si>
    <t>ИП630603400500005</t>
  </si>
  <si>
    <t>445056 Самарская область город Тольятти улица 40 лет Победы дом 47   б/н</t>
  </si>
  <si>
    <t>ИП Клюева Елена Валерьевна</t>
  </si>
  <si>
    <t>632100927006</t>
  </si>
  <si>
    <t>ИП6306000383</t>
  </si>
  <si>
    <t>ИП630600038300000</t>
  </si>
  <si>
    <t>ИП Новиков Олег Юрьевич</t>
  </si>
  <si>
    <t>632103681865</t>
  </si>
  <si>
    <t>ИП6306000872</t>
  </si>
  <si>
    <t>ИП630600087200000</t>
  </si>
  <si>
    <t>445042 Самарская область город Тольятти улица Дзержинского дом 27а</t>
  </si>
  <si>
    <t>ИП Быков Андрей Вячеславович</t>
  </si>
  <si>
    <t>632105180007</t>
  </si>
  <si>
    <t>ИП6306010111</t>
  </si>
  <si>
    <t>ИП630601011100000</t>
  </si>
  <si>
    <t>445359 Самарская область город Жигулевск проспект Молодежный дом 59   Рубин</t>
  </si>
  <si>
    <t>ИП Лихотина Светлана Васильевна</t>
  </si>
  <si>
    <t>632108911953</t>
  </si>
  <si>
    <t>ИП6306011136</t>
  </si>
  <si>
    <t>ИП630601113600000</t>
  </si>
  <si>
    <t>445044 Самарская область город Тольятти бульвар Космонавтов Дом 3А   офис 157</t>
  </si>
  <si>
    <t>ИП Панферова Наталья Федоровна</t>
  </si>
  <si>
    <t>632115751605</t>
  </si>
  <si>
    <t>ИП6306017082</t>
  </si>
  <si>
    <t>ИП630601708200000</t>
  </si>
  <si>
    <t>445040 Самарская область город Тольятти Туполева 17  а 208</t>
  </si>
  <si>
    <t>ИП Мягкова Светлана Юрьевна</t>
  </si>
  <si>
    <t>632126054420</t>
  </si>
  <si>
    <t>ИП6306000653</t>
  </si>
  <si>
    <t>ИП630600065300000</t>
  </si>
  <si>
    <t>445040 Самарская область город Тольятти проспект Ленинский дом 14а   секция №36</t>
  </si>
  <si>
    <t>ИП Кузнецов Валерий Владимирович</t>
  </si>
  <si>
    <t>632131049143</t>
  </si>
  <si>
    <t>ИП6306001100</t>
  </si>
  <si>
    <t>ИП630600110000000</t>
  </si>
  <si>
    <t>445043 Самарская область город Тольятти улица Окраинная дом 10  Литер А10/ ЛитерА комната № 7,8,9,10,11,12 часть пом. №29,1,2,3,4,30,2,5</t>
  </si>
  <si>
    <t>ООО "ХОКО"</t>
  </si>
  <si>
    <t>6321318653</t>
  </si>
  <si>
    <t>ЮЛ6306006528</t>
  </si>
  <si>
    <t>ЮЛ630600652800000</t>
  </si>
  <si>
    <t>445032 Самарская область город Тольятти улица Дзержинского владение 98   офис 370</t>
  </si>
  <si>
    <t>6321334373</t>
  </si>
  <si>
    <t>ЮЛ6306006196</t>
  </si>
  <si>
    <t>ЮЛ630600619600000</t>
  </si>
  <si>
    <t>445021 Самарская область город Тольятти бульвар Ленина дом 15А</t>
  </si>
  <si>
    <t>ИП630600581600000</t>
  </si>
  <si>
    <t>443028 Самарская область город Самара улица Московского шоссе 24 км дом 5   пом.487</t>
  </si>
  <si>
    <t>ИП630600581600001</t>
  </si>
  <si>
    <t>445000 Самарская область город Тольятти улица Баныкина дом 74   пом.49</t>
  </si>
  <si>
    <t>ИП630600581600002</t>
  </si>
  <si>
    <t>445000 Самарская область город Тольятти улица Баныкина дом 74   пом.60,62</t>
  </si>
  <si>
    <t>ИП630600581600003</t>
  </si>
  <si>
    <t>443095 Самарская область город Самара Московское шоссе здание 205</t>
  </si>
  <si>
    <t>ИП630600581600004</t>
  </si>
  <si>
    <t>445000 Самарская область город Тольятти шоссе Автозаводское дом 6   пом.151, 151А</t>
  </si>
  <si>
    <t>ИП630600581600005</t>
  </si>
  <si>
    <t>445028 Самарская область город Тольятти улица Революционная владение 52а   секция 123/1</t>
  </si>
  <si>
    <t>ИП630600581600006</t>
  </si>
  <si>
    <t>ИП630600581600008</t>
  </si>
  <si>
    <t>445039 Самарская область город Тольятти улица Дзержинского владение 21   секция100/2</t>
  </si>
  <si>
    <t>ИП630600581600009</t>
  </si>
  <si>
    <t>445047 Самарская область город Тольятти улица Льва Яшина дом 14</t>
  </si>
  <si>
    <t>ИП630600581600010</t>
  </si>
  <si>
    <t>445004 Самарская область город Тольятти шоссе Автозаводское владение 6   243 МЗ</t>
  </si>
  <si>
    <t>ИП630600581600011</t>
  </si>
  <si>
    <t>445004 Самарская область город Тольятти шоссе Автозаводское владение 6   243 Злато</t>
  </si>
  <si>
    <t>ИП630600581600012</t>
  </si>
  <si>
    <t>443000 Самарская область город Самара Московского шоссе №5   пом.517 KSK-08</t>
  </si>
  <si>
    <t>ИП630600581600013</t>
  </si>
  <si>
    <t>ИП630600581600016</t>
  </si>
  <si>
    <t>443085 Самарская область город Самара шоссе Южное 5   ком 709</t>
  </si>
  <si>
    <t>ИП630600581600017</t>
  </si>
  <si>
    <t>443070 Самарская область город Самара улица Аэродромная дом 47</t>
  </si>
  <si>
    <t>ИП630600581600019</t>
  </si>
  <si>
    <t>445000 Самарская область город Тольятти улица Дзержинского 21   секция 100/1</t>
  </si>
  <si>
    <t>ИП630600581600021</t>
  </si>
  <si>
    <t>445028 Самарская область город Тольятти улица Революционная дом 52А   282А</t>
  </si>
  <si>
    <t>ИП630600581600022</t>
  </si>
  <si>
    <t>445351 Самарская область город Жигулевск шоссе Московское здание 18   помещение №10.6</t>
  </si>
  <si>
    <t>ИП630600581600023</t>
  </si>
  <si>
    <t>445047 Самарская область город Тольятти улица Льва Яшина дом 14   помещение 2</t>
  </si>
  <si>
    <t>ИП630600581600024</t>
  </si>
  <si>
    <t>445032 Самарская область город Тольятти улица Революционная владение 20</t>
  </si>
  <si>
    <t>ООО "ТИАРА"</t>
  </si>
  <si>
    <t>6321343868</t>
  </si>
  <si>
    <t>ЮЛ6306032729</t>
  </si>
  <si>
    <t>ЮЛ630603272900000</t>
  </si>
  <si>
    <t>445032 Самарская область город Тольятти бульвар Кулибина дом 6а   офис 7</t>
  </si>
  <si>
    <t>ООО "РЕСУРСТЕХНО"</t>
  </si>
  <si>
    <t>6321358769</t>
  </si>
  <si>
    <t>ЮЛ6306019444</t>
  </si>
  <si>
    <t>ЮЛ630601944400000</t>
  </si>
  <si>
    <t>445028 Самарская область город Тольятти улица Революционная дом 52А   секция 121</t>
  </si>
  <si>
    <t>ООО "ГРАНАТ"</t>
  </si>
  <si>
    <t>6321414830</t>
  </si>
  <si>
    <t>ЮЛ6306001696</t>
  </si>
  <si>
    <t>ЮЛ630600169600000</t>
  </si>
  <si>
    <t>445028 Самарская область город Тольятти улица Революционная дом 52А</t>
  </si>
  <si>
    <t>ЮЛ630600169600001</t>
  </si>
  <si>
    <t>ЮЛ630600169600002</t>
  </si>
  <si>
    <t>445045 Самарская область город Тольятти улица Лизы Чайкиной дом 85   помещение 178,179,180,181,182,183</t>
  </si>
  <si>
    <t>ООО "МАГИЯ КАРАТА"</t>
  </si>
  <si>
    <t>6321465087</t>
  </si>
  <si>
    <t>ЮЛ6306038309</t>
  </si>
  <si>
    <t>ЮЛ630603830900002</t>
  </si>
  <si>
    <t>ЮЛ630603830900003</t>
  </si>
  <si>
    <t>ИП Ивлев Андрей Алексеевич</t>
  </si>
  <si>
    <t>632200616692</t>
  </si>
  <si>
    <t>ИП6306040070</t>
  </si>
  <si>
    <t>ИП630604007000000</t>
  </si>
  <si>
    <t>445359 Самарская область город Жигулевск проспект Молодежный дом 59</t>
  </si>
  <si>
    <t>ИП Салихов Ринад Шихабович</t>
  </si>
  <si>
    <t>632200686259</t>
  </si>
  <si>
    <t>ИП6306032816</t>
  </si>
  <si>
    <t>ИП630603281600000</t>
  </si>
  <si>
    <t>445012 Самарская область город Тольятти улица Коммунистическая дом 53   21, 21а, 21б , 21в , 22</t>
  </si>
  <si>
    <t>ИП Гусева Наталья Олеговна</t>
  </si>
  <si>
    <t>632200869380</t>
  </si>
  <si>
    <t>ИП6306015729</t>
  </si>
  <si>
    <t>ИП630601572900000</t>
  </si>
  <si>
    <t>445007 Самарская область город Тольятти улица Новозаводская 2   ком. 306</t>
  </si>
  <si>
    <t>ООО "СИГМА"</t>
  </si>
  <si>
    <t>6324054310</t>
  </si>
  <si>
    <t>ЮЛ6306001248</t>
  </si>
  <si>
    <t>ЮЛ630600124800000</t>
  </si>
  <si>
    <t>446029 Самарская область город Сызрань Лазо 10</t>
  </si>
  <si>
    <t>ИП Чибисова Снежана Анатольевна</t>
  </si>
  <si>
    <t>632500425434</t>
  </si>
  <si>
    <t>ИП7701005656</t>
  </si>
  <si>
    <t>ИП770100565600000</t>
  </si>
  <si>
    <t>446026 Самарская область город Сызрань улица Красная дом 12</t>
  </si>
  <si>
    <t>ИП Кулагин Юрий Анатольевич</t>
  </si>
  <si>
    <t>632500853782</t>
  </si>
  <si>
    <t>ИП6306033391</t>
  </si>
  <si>
    <t>ИП630603339100000</t>
  </si>
  <si>
    <t>446010 Самарская область город Сызрань шоссе Ульяновское дом 38</t>
  </si>
  <si>
    <t>ИП630603339100001</t>
  </si>
  <si>
    <t>446026 Самарская область город Сызрань улица Московская дом 10</t>
  </si>
  <si>
    <t>ИП Почаевская Наталья Александровна</t>
  </si>
  <si>
    <t>632500926180</t>
  </si>
  <si>
    <t>ИП6306034364</t>
  </si>
  <si>
    <t>ИП630603436400000</t>
  </si>
  <si>
    <t>446001 Самарская область город Сызрань улица Советская 32</t>
  </si>
  <si>
    <t>ООО "ЛОМБАРД ЗЕМСКИЙ ПЛЮС"</t>
  </si>
  <si>
    <t>6325046601</t>
  </si>
  <si>
    <t>ЮЛ6306012448</t>
  </si>
  <si>
    <t>ЮЛ630601244800000</t>
  </si>
  <si>
    <t>ИП Кусмарёва Людмила Геннадьевна</t>
  </si>
  <si>
    <t>632510369443</t>
  </si>
  <si>
    <t>ИП6306035866</t>
  </si>
  <si>
    <t>ИП630603586600000</t>
  </si>
  <si>
    <t>446031 Самарская область город Сызрань проспект 50 лет Октября дом 54А   1 этаж, часть к-ты №100</t>
  </si>
  <si>
    <t>ИП Кусмарёв Виталий Борисович</t>
  </si>
  <si>
    <t>632511371244</t>
  </si>
  <si>
    <t>ИП6306034400</t>
  </si>
  <si>
    <t>ИП630603440000000</t>
  </si>
  <si>
    <t>446001 Самарская область город Сызрань улица Верхнепионерская дом 43 А</t>
  </si>
  <si>
    <t>ИП Шалимова Екатерина Александровна</t>
  </si>
  <si>
    <t>632514770409</t>
  </si>
  <si>
    <t>ИП7701037554</t>
  </si>
  <si>
    <t>ИП770103755400000</t>
  </si>
  <si>
    <t>446206 Самарская область город Новокуйбышевск улица Островского дом 21   офис Н9</t>
  </si>
  <si>
    <t>ИП Петрунина Елена Александровна</t>
  </si>
  <si>
    <t>633002473099</t>
  </si>
  <si>
    <t>ИП6306001058</t>
  </si>
  <si>
    <t>ИП630600105800000</t>
  </si>
  <si>
    <t>446208 Самарская область город Новокуйбышевск улица Миронова дом 21   офис Н15</t>
  </si>
  <si>
    <t>ИП630600105800001</t>
  </si>
  <si>
    <t>443099 Самарская область город Самара улица Молодогвардейская дом 98   1 этаж, комнаты № 43,44,56</t>
  </si>
  <si>
    <t>ИП Аюпова Дарья Олеговна</t>
  </si>
  <si>
    <t>633011455642</t>
  </si>
  <si>
    <t>ИП6306040903</t>
  </si>
  <si>
    <t>ИП630604090300000</t>
  </si>
  <si>
    <t>446100 Самарская область город Чапаевск улица Пионерская дом 11</t>
  </si>
  <si>
    <t>ИП Евсеева Людмила Вячеславовна</t>
  </si>
  <si>
    <t>633500201732</t>
  </si>
  <si>
    <t>ИП6306005303</t>
  </si>
  <si>
    <t>ИП630600530300000</t>
  </si>
  <si>
    <t>446115 Самарская область город Чапаевск улица Запорожская дом 14А</t>
  </si>
  <si>
    <t>ИП630600530300001</t>
  </si>
  <si>
    <t>445590 Самарская область село Хворостянка улица Первомайская дом 4   помещение 3</t>
  </si>
  <si>
    <t>ИП630600530300002</t>
  </si>
  <si>
    <t>ИП Хомяков Олег Геннадьевич</t>
  </si>
  <si>
    <t>633510295955</t>
  </si>
  <si>
    <t>ИП6306032287</t>
  </si>
  <si>
    <t>ИП630603228700000</t>
  </si>
  <si>
    <t>446250 Самарская область поселок городского типа Безенчук улица Мамистова дом 32</t>
  </si>
  <si>
    <t>ИП630603228700001</t>
  </si>
  <si>
    <t>446115 Самарская область город Чапаевск улица Ленина дом 109</t>
  </si>
  <si>
    <t>ИП Юрченко Зоя Борисовна</t>
  </si>
  <si>
    <t>633510759935</t>
  </si>
  <si>
    <t>ИП6306035208</t>
  </si>
  <si>
    <t>ИП630603520800000</t>
  </si>
  <si>
    <t>446115 Самарская область город Чапаевск улица Ярославская дом 18</t>
  </si>
  <si>
    <t>ИП Маслова Марина Александровна</t>
  </si>
  <si>
    <t>633511348409</t>
  </si>
  <si>
    <t>ИП6306006160</t>
  </si>
  <si>
    <t>ИП630600616000000</t>
  </si>
  <si>
    <t>ИП Курникова Елена Владиславовна</t>
  </si>
  <si>
    <t>633516177411</t>
  </si>
  <si>
    <t>ИП6306002524</t>
  </si>
  <si>
    <t>ИП630600252400000</t>
  </si>
  <si>
    <t>446300 Самарская область город Отрадный улица Советская дом 95А</t>
  </si>
  <si>
    <t>6340007477</t>
  </si>
  <si>
    <t>ЮЛ6306010296</t>
  </si>
  <si>
    <t>ЮЛ630601029600000</t>
  </si>
  <si>
    <t>446302 Самарская область город Отрадный улица Пионерская дом 10   квартира 2</t>
  </si>
  <si>
    <t>ЮЛ630601029600001</t>
  </si>
  <si>
    <t>445359 Самарская область город Жигулевск улица микрорайон В-1 дом 19</t>
  </si>
  <si>
    <t>ИП Карпеев Владимир Александрович</t>
  </si>
  <si>
    <t>634500397318</t>
  </si>
  <si>
    <t>ИП6306033332</t>
  </si>
  <si>
    <t>ИП630603333200000</t>
  </si>
  <si>
    <t>445359 Самарская область город Жигулевск улица Морквашинская владение 55А   помещение 213</t>
  </si>
  <si>
    <t>ЮЛ630600249200000</t>
  </si>
  <si>
    <t>446600 Самарская область город Нефтегорск улица Нефтяников дом 23   этаж 1 часть комнаты № 5</t>
  </si>
  <si>
    <t>ЮЛ630603246700007</t>
  </si>
  <si>
    <t>446430 Самарская область город Кинель улица Маяковского дом 64   квартира 3а</t>
  </si>
  <si>
    <t>ЮЛ630603246700008</t>
  </si>
  <si>
    <t>446436 Самарская область город Кинель улица Октябрьская дом 66   комната №6</t>
  </si>
  <si>
    <t>ЮЛ630603246700009</t>
  </si>
  <si>
    <t>443042 Самарская область город Самара улица Белорусская дом 131   этаж 1</t>
  </si>
  <si>
    <t>ЮЛ630603246700010</t>
  </si>
  <si>
    <t>443101 Самарская область город Самара тракт Пугачевский дом 19   квартира 123</t>
  </si>
  <si>
    <t>ЮЛ630603246700011</t>
  </si>
  <si>
    <t>443528 Самарская область поселок городского типа Стройкерамика улица Дружбы дом 3</t>
  </si>
  <si>
    <t>ЮЛ630603246700012</t>
  </si>
  <si>
    <t>446300 Самарская область город Отрадный улица Советская дом 93   Этаж Цокольный помещения 30-31</t>
  </si>
  <si>
    <t>ЮЛ630603246700013</t>
  </si>
  <si>
    <t>446115 Самарская область город Чапаевск улица Ленина дом 88-2   1 этаж</t>
  </si>
  <si>
    <t>ЮЛ630603246700014</t>
  </si>
  <si>
    <t>446115 Самарская область город Чапаевск улица Ленина дом 107   квартира 22</t>
  </si>
  <si>
    <t>ЮЛ630603246700015</t>
  </si>
  <si>
    <t>446441 Самарская область город Кинель, поселок городского типа Алексеевка улица Невская дом 31   1 этаж</t>
  </si>
  <si>
    <t>ЮЛ630603246700016</t>
  </si>
  <si>
    <t>446552 Самарская область поселок городского типа Суходол улица Победы здание 5   этаж 1</t>
  </si>
  <si>
    <t>ЮЛ630603246700017</t>
  </si>
  <si>
    <t>446116 Самарская область город Чапаевск улица Орджоникидзе здание 11А</t>
  </si>
  <si>
    <t>ЮЛ630603246700018</t>
  </si>
  <si>
    <t>446022 Самарская область город Сызрань улица Локомобильная дом 48</t>
  </si>
  <si>
    <t>ЮЛ630603246700019</t>
  </si>
  <si>
    <t>446180 Самарская область село Большая Глушица Советская 40</t>
  </si>
  <si>
    <t>ИП Белоусова Ирина Валентиновна</t>
  </si>
  <si>
    <t>636400998100</t>
  </si>
  <si>
    <t>ИП6306011314</t>
  </si>
  <si>
    <t>ИП630601131400000</t>
  </si>
  <si>
    <t>446800 Самарская область село Кошки улица 60 лет Октября дом 25   офис 1</t>
  </si>
  <si>
    <t>ИП Меркулова Наталья Викторовна</t>
  </si>
  <si>
    <t>637401028971</t>
  </si>
  <si>
    <t>ИП6306006218</t>
  </si>
  <si>
    <t>ИП630600621800000</t>
  </si>
  <si>
    <t>446370 Самарская область село Красный Яр улица Комсомольская 86   8Б</t>
  </si>
  <si>
    <t>ИП Балькин Сергей Михайлович</t>
  </si>
  <si>
    <t>637600842127</t>
  </si>
  <si>
    <t>ИП6306032162</t>
  </si>
  <si>
    <t>ИП630603216200000</t>
  </si>
  <si>
    <t>446160 Самарская область село Пестравка улица Коммунистическая владение 52</t>
  </si>
  <si>
    <t>ИП Крылова Валентина Александровна</t>
  </si>
  <si>
    <t>637800009650</t>
  </si>
  <si>
    <t>ИП6306032447</t>
  </si>
  <si>
    <t>ИП630603244700000</t>
  </si>
  <si>
    <t>445030 Самарская область город Тольятти улица 40 лет Победы владение 50   комната 23,25</t>
  </si>
  <si>
    <t>6382077691</t>
  </si>
  <si>
    <t>ЮЛ6306000866</t>
  </si>
  <si>
    <t>ЮЛ630600086600000</t>
  </si>
  <si>
    <t>443042 Самарская область город Самара улица Белорусская дом 108</t>
  </si>
  <si>
    <t>ООО "ЛОМБАРД СИРИУС"</t>
  </si>
  <si>
    <t>6382093510</t>
  </si>
  <si>
    <t>ЮЛ6306033003</t>
  </si>
  <si>
    <t>ЮЛ630603300300000</t>
  </si>
  <si>
    <t>446206 Самарская область город Новокуйбышевск улица Пирогова дом 16</t>
  </si>
  <si>
    <t>ЮЛ630603300300001</t>
  </si>
  <si>
    <t>443100 Самарская область город Самара улица Полевая дом 70</t>
  </si>
  <si>
    <t>ЮЛ630603300300002</t>
  </si>
  <si>
    <t>443023 Самарская область город Самара улица Промышленности дом 291</t>
  </si>
  <si>
    <t>ЮЛ630603300300003</t>
  </si>
  <si>
    <t>443079 Самарская область город Самара улица Гагарина дом 32   квартира 1</t>
  </si>
  <si>
    <t>ЮЛ630603300300004</t>
  </si>
  <si>
    <t>443083 Самарская область город Самара улица Победы дом 2   квартира н4</t>
  </si>
  <si>
    <t>ЮЛ630603300300005</t>
  </si>
  <si>
    <t>443077 Самарская область город Самара улица Победы дом 122</t>
  </si>
  <si>
    <t>ЮЛ630603300300006</t>
  </si>
  <si>
    <t>443122 Самарская область город Самара улица Георгия Димитрова дом 89</t>
  </si>
  <si>
    <t>ЮЛ630603300300007</t>
  </si>
  <si>
    <t>443009 Самарская область город Самара улица Победы дом 105   помещение н5</t>
  </si>
  <si>
    <t>ЮЛ630603300300008</t>
  </si>
  <si>
    <t>443106 Самарская область город Самара проспект Карла Маркса здание 510Р</t>
  </si>
  <si>
    <t>ЮЛ630603300300009</t>
  </si>
  <si>
    <t>443081 Самарская область город Самара улица Стара Загора дом 135</t>
  </si>
  <si>
    <t>ЮЛ630603300300010</t>
  </si>
  <si>
    <t>443051 Самарская область город Самара проспект Металлургов дом 77</t>
  </si>
  <si>
    <t>ЮЛ630603300300011</t>
  </si>
  <si>
    <t>446218 Самарская область город Новокуйбышевск проспект Победы дом 29</t>
  </si>
  <si>
    <t>ЮЛ630603300300012</t>
  </si>
  <si>
    <t>443082 Самарская область город Самара улица Пензенская дом 56</t>
  </si>
  <si>
    <t>ЮЛ630603300300013</t>
  </si>
  <si>
    <t>443086 Самарская область город Самара улица Революционная дом 87</t>
  </si>
  <si>
    <t>ЮЛ630603300300014</t>
  </si>
  <si>
    <t>445009 Самарская область город Тольятти улица Горького владение 65   офис 2/17</t>
  </si>
  <si>
    <t>ЮЛ630603516800000</t>
  </si>
  <si>
    <t>445011 Самарская область город Тольятти улица Советская дом 54   комната 3</t>
  </si>
  <si>
    <t>ООО "ЛОМБАРД ЗЕНИТ"</t>
  </si>
  <si>
    <t>6382094802</t>
  </si>
  <si>
    <t>ЮЛ6306033987</t>
  </si>
  <si>
    <t>ЮЛ630603398700000</t>
  </si>
  <si>
    <t>443077 Самарская область город Самара улица Победы дом 132   этаж 1</t>
  </si>
  <si>
    <t>ЮЛ630603398700001</t>
  </si>
  <si>
    <t>445022 Самарская область город Тольятти улица Ленина здание 55</t>
  </si>
  <si>
    <t>ООО "ЛОМБАРД ФОРУМ"</t>
  </si>
  <si>
    <t>6382095531</t>
  </si>
  <si>
    <t>ЮЛ6306035373</t>
  </si>
  <si>
    <t>ЮЛ630603537300001</t>
  </si>
  <si>
    <t>445056 Самарская область город Тольятти улица 40 лет Победы дом 43Д   помещение 5Н</t>
  </si>
  <si>
    <t>ЮЛ630603537300002</t>
  </si>
  <si>
    <t>445015 Самарская область город Тольятти улица Шлюзовая дом 19   комната 5</t>
  </si>
  <si>
    <t>ЮЛ630603537300003</t>
  </si>
  <si>
    <t>445004 Самарская область город Тольятти бульвар 50 лет Октября дом 1</t>
  </si>
  <si>
    <t>ЮЛ630603537300004</t>
  </si>
  <si>
    <t>445012 Самарская область город Тольятти улица Матросова дом 26А</t>
  </si>
  <si>
    <t>ЮЛ630603537300006</t>
  </si>
  <si>
    <t>445054 Самарская область город Тольятти улица Мира дом 127</t>
  </si>
  <si>
    <t>ЮЛ630603537300007</t>
  </si>
  <si>
    <t>445009 Самарская область город Тольятти улица Победы дом 13</t>
  </si>
  <si>
    <t>ЮЛ630603537300008</t>
  </si>
  <si>
    <t>445041 Самарская область город Тольятти улица Куйбышева дом 32   помещения 11-17</t>
  </si>
  <si>
    <t>ООО ЛОМБАРД "АЛЕСЯ"</t>
  </si>
  <si>
    <t>6382101295</t>
  </si>
  <si>
    <t>ЮЛ6306036766</t>
  </si>
  <si>
    <t>ЮЛ630603676600000</t>
  </si>
  <si>
    <t>443080 Самарская область город Самара шоссе Московское дом 41   этаж 1</t>
  </si>
  <si>
    <t>ЮЛ660701304200011</t>
  </si>
  <si>
    <t>ИП Толочманов Илья Олегович</t>
  </si>
  <si>
    <t>732591086683</t>
  </si>
  <si>
    <t>ИП7306040193</t>
  </si>
  <si>
    <t>ИП730604019300000</t>
  </si>
  <si>
    <t>446029 Самарская область город Сызрань улица Лазо дом 10   1</t>
  </si>
  <si>
    <t>ИП Глебова Яна Владимировна</t>
  </si>
  <si>
    <t>770474830540</t>
  </si>
  <si>
    <t>ИП6306003747</t>
  </si>
  <si>
    <t>ИП630600374700000</t>
  </si>
  <si>
    <t>443099 Самарская область город Самара улица Ленинградская дом 2</t>
  </si>
  <si>
    <t>ЮЛ770100623000001</t>
  </si>
  <si>
    <t>443030 Самарская область город Самара улица Красноармейская дом 131   комната 1-34, этаж 1</t>
  </si>
  <si>
    <t>ЮЛ770101216600111</t>
  </si>
  <si>
    <t>443095 Самарская область город Самара шоссе Московское дом 205   часть комнаты 20, этаж 1</t>
  </si>
  <si>
    <t>ЮЛ770101216600160</t>
  </si>
  <si>
    <t>443085 Самарская область город Самара шоссе Южное дом 5   комната 267, этаж 1</t>
  </si>
  <si>
    <t>ЮЛ770101216600174</t>
  </si>
  <si>
    <t>443045 Самарская область город Самара улица Дыбенко дом 30   нежилое помещение 288, этаж 1</t>
  </si>
  <si>
    <t>ЮЛ770101216600184</t>
  </si>
  <si>
    <t>443070 Самарская область город Самара улица Аэродромная здание 47   часть комнаты 6, этаж 2</t>
  </si>
  <si>
    <t>ЮЛ770101216600192</t>
  </si>
  <si>
    <t>443077 Самарская область город Самара проспект Кирова владение 147   часть комнаты 1, комната  106, этаж 1</t>
  </si>
  <si>
    <t>ЮЛ770101216600255</t>
  </si>
  <si>
    <t>443072 Самарская область город Самара Московское шоссе ( 18 км.) дом 25А   этаж 1</t>
  </si>
  <si>
    <t>ЮЛ770101216600354</t>
  </si>
  <si>
    <t>446100 Самарская область город Чапаевск улица Железнодорожная дом  33А   этаж 1 , секция 48</t>
  </si>
  <si>
    <t>ЮЛ770101216600358</t>
  </si>
  <si>
    <t>443111 Самарская область город Самара шоссе Московское дом 81Б   этаж 1, часть комнаты № 1</t>
  </si>
  <si>
    <t>ЮЛ770101216600394</t>
  </si>
  <si>
    <t>443068 Самарская область город Самара улица Ново-Садовая дом 160м   этаж 1, часть нежилого помещения модуль №11-809</t>
  </si>
  <si>
    <t>ЮЛ770101216600480</t>
  </si>
  <si>
    <t>443032 Самарская область город Самара улица Казачья здание 36   этаж 1, часть нежилого здания (комната № 83)</t>
  </si>
  <si>
    <t>ЮЛ770101216600617</t>
  </si>
  <si>
    <t>446200 Самарская область город Новокуйбышевск проспект Победы здание 1Ж   помещение H12, этаж 1, комната № 90 (часть) (секция № 103)</t>
  </si>
  <si>
    <t>ЮЛ770101216600654</t>
  </si>
  <si>
    <t>443087 Самарская область город Самара шоссе Московское дом 185а   этаж 1</t>
  </si>
  <si>
    <t>ЮЛ770101216600706</t>
  </si>
  <si>
    <t>443068 Самарская область город Самара улица Ново-Садовая дом 160м   1 этаж, часть нежилого помещения №115</t>
  </si>
  <si>
    <t>ЮЛ770101216600879</t>
  </si>
  <si>
    <t>ЮЛ770100419400094</t>
  </si>
  <si>
    <t>443068 Самарская область город Самара улица Ново-Садовая дом 160м</t>
  </si>
  <si>
    <t>ЮЛ770100419400095</t>
  </si>
  <si>
    <t>ЮЛ770100419400099</t>
  </si>
  <si>
    <t>ЮЛ770100419400101</t>
  </si>
  <si>
    <t>443028 Самарская область поселок Красный Пахарь 24 км трассы М5</t>
  </si>
  <si>
    <t>ЮЛ770100419400103</t>
  </si>
  <si>
    <t>ЮЛ770100419400104</t>
  </si>
  <si>
    <t>443077 Самарская область город Самара проспект Кирова дом 147</t>
  </si>
  <si>
    <t>ЮЛ770100419400198</t>
  </si>
  <si>
    <t>443030 Самарская область город Самара улица Красноармейская дом 131   1 этаж</t>
  </si>
  <si>
    <t>ЮЛ770100193500016</t>
  </si>
  <si>
    <t>443077 Самарская область город Самара проспект Кирова дом 147   1 этаж, часть комнаты 151</t>
  </si>
  <si>
    <t>ЮЛ770100193500017</t>
  </si>
  <si>
    <t>443028 Самарская область город Самара 24 км Московского шоссе дом 5   2 (второй) этаж, помещение 4070</t>
  </si>
  <si>
    <t>ЮЛ770100193500018</t>
  </si>
  <si>
    <t>443085 Самарская область город Самара шоссе Южное дом 5   1 этаж, комната 265</t>
  </si>
  <si>
    <t>ЮЛ770100193500019</t>
  </si>
  <si>
    <t>445028 Самарская область город Тольятти улица Революционная дом 52а   1 этаж, комната № 290а</t>
  </si>
  <si>
    <t>ЮЛ770100193500021</t>
  </si>
  <si>
    <t>445004 Самарская область город Тольятти Автозаводское шоссе дом 6   этаж 1, помещения 79, 81</t>
  </si>
  <si>
    <t>ЮЛ770100193500242</t>
  </si>
  <si>
    <t>443068 Самарская область город Самара улица Ново-Садовая дом 160м   первый этаж,  помещение 1-012.1</t>
  </si>
  <si>
    <t>ЮЛ770100193500490</t>
  </si>
  <si>
    <t>443045 Самарская область город Самара улица Дыбенко дом 30   часть помещения № 351, помещение № 355, 1 (первый) этаж</t>
  </si>
  <si>
    <t>ЮЛ770100193500498</t>
  </si>
  <si>
    <t>446204 Самарская область город Новокуйбышевск проспект Победы дом 1ж   помещение Н14, этаж 1 (первый)</t>
  </si>
  <si>
    <t>ЮЛ770100193500549</t>
  </si>
  <si>
    <t>446031 Самарская область город Сызрань проспект 50 лет Октября    павильон, секция 1</t>
  </si>
  <si>
    <t>ЮЛ770100193500574</t>
  </si>
  <si>
    <t>443072 Самарская область город Самара 18 км Московского шоссе дом 25А   1 этаж</t>
  </si>
  <si>
    <t>ЮЛ770100193500589</t>
  </si>
  <si>
    <t>445054 Самарская область город Тольятти улица Баныкина дом 74   помещение № 107, этаж 1 (первый)</t>
  </si>
  <si>
    <t>ЮЛ770100193500652</t>
  </si>
  <si>
    <t>443095 Самарская область город Самара шоссе Московское здание 205   нежилое помещение часть комнаты № 7, этаж 1 (первый)</t>
  </si>
  <si>
    <t>ЮЛ770100193500755</t>
  </si>
  <si>
    <t>446100 Самарская область город Чапаевск улица Железнодорожная здание 33А   секция № 17, этаж 1 (первый)</t>
  </si>
  <si>
    <t>ЮЛ770100193500813</t>
  </si>
  <si>
    <t>443070 Самарская область город Самара улица Аэродромная дом 47   часть комнаты 7, 2 (второй) этаж</t>
  </si>
  <si>
    <t>ЮЛ770100193500862</t>
  </si>
  <si>
    <t>446001 Самарская область город Сызрань улица Советская дом 30</t>
  </si>
  <si>
    <t>ЮЛ770100193501048</t>
  </si>
  <si>
    <t>443077 Самарская область город Самара проспект Кирова дом 147   1 этаж, комната 152, часть комнаты 153</t>
  </si>
  <si>
    <t>ЮЛ770100193501115</t>
  </si>
  <si>
    <t>443085 Самарская область город Самара шоссе Южное дом 5   комната 209, 1 (первый) этаж</t>
  </si>
  <si>
    <t>ЮЛ770100193501128</t>
  </si>
  <si>
    <t>443045 Самарская область город Самара улица Дыбенко дом 30  литера Б помещение 59, 1 (первый) этаж</t>
  </si>
  <si>
    <t>ЮЛ770100193501146</t>
  </si>
  <si>
    <t>443045 Самарская область город Самара улица Дыбенко дом 30  литера б помещение 24</t>
  </si>
  <si>
    <t>ЮЛ770101798100002</t>
  </si>
  <si>
    <t>443092 Самарская область город Самара улица Победы дом 123</t>
  </si>
  <si>
    <t>ЮЛ780300323500002</t>
  </si>
  <si>
    <t>443099 Самарская область город Самара улица Ленинградская /улица Куйбышева дом 27/ дом 97   помещения 11, 12</t>
  </si>
  <si>
    <t>ЮЛ780300323500007</t>
  </si>
  <si>
    <t>443069 Самарская область город Самара улица Аэродромная дом 40Б   помещение 1 (часть)</t>
  </si>
  <si>
    <t>ЮЛ780300323500157</t>
  </si>
  <si>
    <t>445011 Самарская область город Тольятти улица Карла Маркса дом 61  Литера АА1 помещение 8, 9, 10, 11, 12</t>
  </si>
  <si>
    <t>ЮЛ780300323500169</t>
  </si>
  <si>
    <t>443080 Самарская область город Самара проезд 4-й дом 57   секция 1.110/1</t>
  </si>
  <si>
    <t>ЮЛ780300323500223</t>
  </si>
  <si>
    <t>443077 Самарская область город Самара Кировский район, проспект Кирова дом 147</t>
  </si>
  <si>
    <t>ЮЛ780300308200133</t>
  </si>
  <si>
    <t>443070 Самарская область город Самара улица Аэродромная здание 47   часть нежилого помещение №5 блока В</t>
  </si>
  <si>
    <t>ЮЛ780300308200291</t>
  </si>
  <si>
    <t>443028 Самарская область город Самара, Красноглинский район 24 км Московского шоссе дом №5   помещение 517KSK-47</t>
  </si>
  <si>
    <t>ЮЛ780300308200398</t>
  </si>
  <si>
    <t>443085 Самарская область город Самара, Куйбышевский район шоссе Южное дом 5   часть нежилого помещения (комн. 389)</t>
  </si>
  <si>
    <t>ЮЛ780300308200418</t>
  </si>
  <si>
    <t>446436 Самарская область город Кинель улица Октябрьская дом 61А   часть нежилого помещения №11 на первом этаже Литер А</t>
  </si>
  <si>
    <t>ЮЛ780300308200564</t>
  </si>
  <si>
    <t>446001 Самарская область город Сызрань улица Советская дом 4   часть нежилого помещения №1, нежилые помещения №2,№3, №20</t>
  </si>
  <si>
    <t>ЮЛ780300308200752</t>
  </si>
  <si>
    <t>443092 Самарская область город Самара улица Победы дом 121   часть нежилого помещения №16, нежилое помещение № 32</t>
  </si>
  <si>
    <t>ЮЛ780300308200754</t>
  </si>
  <si>
    <t>ЮЛ780300308201078</t>
  </si>
  <si>
    <t>445028 Самарская область город Тольятти улица Революционная дом 52а   нежилое помещение (торговая площадь секция 101) состоящее из: комн.№183д, комн.№183е, комн.№183ж, комн.№183и, комн.№183к</t>
  </si>
  <si>
    <t>ЮЛ780300308201166</t>
  </si>
  <si>
    <t>443069 Самарская область город Самара улица Аэродромная дом 40Б</t>
  </si>
  <si>
    <t>ЮЛ780300363500202</t>
  </si>
  <si>
    <t>443099 Самарская область город Самара улица Ленинградская /Улица Куйбышева дом 27/97   помещения 11, 12</t>
  </si>
  <si>
    <t>ЮЛ780300363500204</t>
  </si>
  <si>
    <t>443051 Самарская область город Самара проспект Металлургов/улица Марии Авейде дом 77/31   помещения 85-88, 90</t>
  </si>
  <si>
    <t>ЮЛ780300363500205</t>
  </si>
  <si>
    <t>ЮЛ780300363500206</t>
  </si>
  <si>
    <t>445011 Самарская область город Тольятти улица Карла Маркса дом 61</t>
  </si>
  <si>
    <t>ЮЛ780300363500222</t>
  </si>
  <si>
    <t>ЮЛ780300363500338</t>
  </si>
  <si>
    <t>ОБЩЕСТВО С ОГРАНИЧЕННОЙ ОТВЕТСТВЕННОСТЬЮ "ЗОЛОТАЯ СФЕРА"</t>
  </si>
  <si>
    <t>9705183920</t>
  </si>
  <si>
    <t>ЮЛ7701032154</t>
  </si>
  <si>
    <t>ЮЛ770103215400001</t>
  </si>
  <si>
    <t>ЮЛ770103215400002</t>
  </si>
  <si>
    <t>443087 Самарская область город Самара проспект Кирова дом 304а</t>
  </si>
  <si>
    <t>ЮЛ770103215400003</t>
  </si>
  <si>
    <t>ЮЛ770103215400005</t>
  </si>
  <si>
    <t>ЮЛ770103215400006</t>
  </si>
  <si>
    <t>ЮЛ770103215400007</t>
  </si>
  <si>
    <t>443077 Самарская область город Самара улица Победы дом 132</t>
  </si>
  <si>
    <t>ЮЛ770103215400009</t>
  </si>
  <si>
    <t>ЮЛ770103215400010</t>
  </si>
  <si>
    <t>445028 Самарская область город Тольятти улица Революционная владение 52а   секция 122 (комната 278) этаж 1, часть комнаты 33, этаж 1</t>
  </si>
  <si>
    <t>ЮЛ770103215400013</t>
  </si>
  <si>
    <t>446000 Самарская область город Сызрань улица Советская дом 18</t>
  </si>
  <si>
    <t>9705222739</t>
  </si>
  <si>
    <t>ЮЛ7701037205</t>
  </si>
  <si>
    <t>ЮЛ770103720500001</t>
  </si>
  <si>
    <t>443070 Самарская область город Самара улица Аэродромная дом 47-А   нежилое помещение, секции №201,202,203 на втором этаже ТРК "Аврора"</t>
  </si>
  <si>
    <t>ЮЛ770100439200114</t>
  </si>
  <si>
    <t>443070 Самарская область город Самара Московское шоссе здание 205   комн. №46 на 1 этаже здания</t>
  </si>
  <si>
    <t>ЮЛ770100439200115</t>
  </si>
  <si>
    <t>443077 Самарская область город Самара проспект Кирова дом 147   1 этаж, комната №141</t>
  </si>
  <si>
    <t>ЮЛ770100439200116</t>
  </si>
  <si>
    <t>443099 Самарская область город Самара улица Чапаевская/улица Ленинградская дом 104/ дом 54   нежилое помещение на1 этаже</t>
  </si>
  <si>
    <t>ЮЛ770100439200117</t>
  </si>
  <si>
    <t>443045 Самарская область город Самара улица Дыбенко дом 30   1 этаже ТРК "Космопорт": часть помещений №303,  №308,№309, №312, помещения №311, №313, №314</t>
  </si>
  <si>
    <t>ЮЛ770100439200118</t>
  </si>
  <si>
    <t>445004 Самарская область город Тольятти шоссе Автозаводское дом 6   1 этаж, помещение №66</t>
  </si>
  <si>
    <t>ЮЛ770100439200119</t>
  </si>
  <si>
    <t>Санкт-Петербург</t>
  </si>
  <si>
    <t>191002 город Санкт-Петербург улица Большая Московская дом 1-3  литера А помещение 34н</t>
  </si>
  <si>
    <t>ИП780301291200000</t>
  </si>
  <si>
    <t>197341 город Санкт-Петербург проспект Коломяжский дом 17 корпус 2 литера А</t>
  </si>
  <si>
    <t>ИП780301291200021</t>
  </si>
  <si>
    <t>194100 город Санкт-Петербург проспект Полюстровский дом 84  литера А</t>
  </si>
  <si>
    <t>ИП780301291200025</t>
  </si>
  <si>
    <t>190000 город Санкт-Петербург Лиговский проспект дом 30  Литера А часть комнаты 669 помещение 1-Н</t>
  </si>
  <si>
    <t>ИП780301291200026</t>
  </si>
  <si>
    <t>193168 город Санкт-Петербург улица Дыбенко дом 24 корпус 1 ю</t>
  </si>
  <si>
    <t>ИП020603403600009</t>
  </si>
  <si>
    <t>191002 город Санкт-Петербург проспект Владимирский дом 19</t>
  </si>
  <si>
    <t>ЮЛ050500827400001</t>
  </si>
  <si>
    <t>197349 город Санкт-Петербург проспект Комендантский дом 9 корпус 2 литера А</t>
  </si>
  <si>
    <t>ЮЛ050500827400002</t>
  </si>
  <si>
    <t>197198 город Санкт-Петербург улица Введенская дом 21    помещение 5H</t>
  </si>
  <si>
    <t>100485364770</t>
  </si>
  <si>
    <t>ИП7803011782</t>
  </si>
  <si>
    <t>ИП780301178200000</t>
  </si>
  <si>
    <t>196105 город Санкт-Петербург проспект Московский дом 137 Б   помещение ЛК№1</t>
  </si>
  <si>
    <t>ИП100303804400000</t>
  </si>
  <si>
    <t>198216 город Санкт-Петербург бульвар Новаторов дом 11 А корпус 2   часть от части №14 нежилого помещения 1-Н</t>
  </si>
  <si>
    <t>ИП100303804400004</t>
  </si>
  <si>
    <t>191317 город Санкт-Петербург площадь Александра Невского дом 2  литер е 33-Н</t>
  </si>
  <si>
    <t>ИП Исакова Елена Алексеевна</t>
  </si>
  <si>
    <t>112100153476</t>
  </si>
  <si>
    <t>ИП1103005059</t>
  </si>
  <si>
    <t>ИП110300505900000</t>
  </si>
  <si>
    <t>192007 город Санкт-Петербург улица Боровая дом 116  литера В Лот Б.30.В.02.317.4</t>
  </si>
  <si>
    <t>ИП Ижик Ирина Олеговна</t>
  </si>
  <si>
    <t>143410743028</t>
  </si>
  <si>
    <t>ИП4703036039</t>
  </si>
  <si>
    <t>ИП470303603900000</t>
  </si>
  <si>
    <t>196244 город Санкт-Петербург проспект Космонавтов дом 14   помещение 94</t>
  </si>
  <si>
    <t>ИП Кутепов Сергей Николаевич</t>
  </si>
  <si>
    <t>143500260160</t>
  </si>
  <si>
    <t>ИП7803014914</t>
  </si>
  <si>
    <t>ИП780301491400000</t>
  </si>
  <si>
    <t>197136 город Санкт-Петербург проспект Большой П.С. дом 70-72  литера А пом. 3-Н(часть)</t>
  </si>
  <si>
    <t>ИП780301491400002</t>
  </si>
  <si>
    <t>191144 город Санкт-Петербург Суворовский проспект 37  А пом. 4-Н</t>
  </si>
  <si>
    <t>ИП780301140600002</t>
  </si>
  <si>
    <t>191186 город Санкт-Петербург улица Миллионная дом 5  литера А</t>
  </si>
  <si>
    <t>ИП160603156900003</t>
  </si>
  <si>
    <t>199004 город Санкт-Петербург линия Кадетская В.О. дом 5 корпус 2 литер Д литер Д часть помещения 1-Н: помещение №544, №545, №546</t>
  </si>
  <si>
    <t>ИП Бармина Татьяна Юрьевна</t>
  </si>
  <si>
    <t>182101964312</t>
  </si>
  <si>
    <t>ИП7803038900</t>
  </si>
  <si>
    <t>ИП780303890000000</t>
  </si>
  <si>
    <t>192029 город Санкт-Петербург проспект Обуховской Обороны дом 105  литера А помещение 209</t>
  </si>
  <si>
    <t>ИП Седусова Екатерина Николаевна</t>
  </si>
  <si>
    <t>182811116035</t>
  </si>
  <si>
    <t>ИП7803040064</t>
  </si>
  <si>
    <t>ИП780304006400000</t>
  </si>
  <si>
    <t>195197 город Санкт-Петербург проспект Полюстровский дом 28 строение 8  39.3В</t>
  </si>
  <si>
    <t>ИП Филина Ксения Андреевна</t>
  </si>
  <si>
    <t>182907770908</t>
  </si>
  <si>
    <t>ИП7803036141</t>
  </si>
  <si>
    <t>ИП780303614100000</t>
  </si>
  <si>
    <t>192283 город Санкт-Петербург улица Купчинская дом 24  литера А помещение 40н</t>
  </si>
  <si>
    <t>ИП Дармокрик Роман Русланович</t>
  </si>
  <si>
    <t>190701070856</t>
  </si>
  <si>
    <t>ИП1908032228</t>
  </si>
  <si>
    <t>ИП190803222800001</t>
  </si>
  <si>
    <t>191186 город Санкт-Петербург улица Большая Конюшенная дом 9   помещение №22 (14-н)</t>
  </si>
  <si>
    <t>ИП Пауль Ульяна Викторовна</t>
  </si>
  <si>
    <t>191005294324</t>
  </si>
  <si>
    <t>ИП7803039590</t>
  </si>
  <si>
    <t>ИП780303959000000</t>
  </si>
  <si>
    <t>192007 город Санкт-Петербург боровая 116  А лот Б.2А.В.03.122.3</t>
  </si>
  <si>
    <t>ИП Чумакина Полина Владиславовна</t>
  </si>
  <si>
    <t>222334621633</t>
  </si>
  <si>
    <t>ИП2208038789</t>
  </si>
  <si>
    <t>ИП220803878900000</t>
  </si>
  <si>
    <t>199178 город Санкт-Петербург линия 5-я В.О. 68 2 В 9-Н</t>
  </si>
  <si>
    <t>ИП Шляхова Юлия Валерьевна</t>
  </si>
  <si>
    <t>222505457802</t>
  </si>
  <si>
    <t>ИП7803039383</t>
  </si>
  <si>
    <t>ИП780303938300000</t>
  </si>
  <si>
    <t>199106 город Санкт-Петербург линия Кожевенная дом 40  литера Б помещение 1-Н</t>
  </si>
  <si>
    <t>ИП Платонов Владимир Игоревич</t>
  </si>
  <si>
    <t>225902728042</t>
  </si>
  <si>
    <t>ИП2208040135</t>
  </si>
  <si>
    <t>ИП220804013500000</t>
  </si>
  <si>
    <t>191123 город Санкт-Петербург улица Шпалерная дом 30  литер А офис 4, пом. 10Н</t>
  </si>
  <si>
    <t>ИП Колганова Сталина Эдуардовна</t>
  </si>
  <si>
    <t>230307330677</t>
  </si>
  <si>
    <t>ИП7803001265</t>
  </si>
  <si>
    <t>ИП780300126500000</t>
  </si>
  <si>
    <t>194356 город Санкт-Петербург шоссе Выборгское дом 5 корпус 1 Литера А Помещение 2Н</t>
  </si>
  <si>
    <t>ИП Поленов Геннадий Анатольевич</t>
  </si>
  <si>
    <t>232000140944</t>
  </si>
  <si>
    <t>ИП7803003124</t>
  </si>
  <si>
    <t>ИП780300312400000</t>
  </si>
  <si>
    <t>195277 город Санкт-Петербург проспект Большой Сампсониевский дом 38-40  литера А 38Н</t>
  </si>
  <si>
    <t>ИП780300312400001</t>
  </si>
  <si>
    <t>194356 город Санкт-Петербург проспект Энгельса дом 124 корпус 1  А 78Н</t>
  </si>
  <si>
    <t>ИП780300312400002</t>
  </si>
  <si>
    <t>191065 город Санкт-Петербург улица Малая Морская дом 6  А 6Н</t>
  </si>
  <si>
    <t>ИП780300312400003</t>
  </si>
  <si>
    <t>199004 город Санкт-Петербург линия 7-я В.О. дом 28   15Н</t>
  </si>
  <si>
    <t>ИП780300312400004</t>
  </si>
  <si>
    <t>191123 город Санкт-Петербург улица Захарьевская дом 27  литера А 12Н</t>
  </si>
  <si>
    <t>ИП780300312400005</t>
  </si>
  <si>
    <t>195220 город Санкт-Петербург Проспект Науки д.17 корпус 1  часть помещения К 6/1</t>
  </si>
  <si>
    <t>ИП Лобчук Виктория Петровна</t>
  </si>
  <si>
    <t>235201788498</t>
  </si>
  <si>
    <t>ИП7803037611</t>
  </si>
  <si>
    <t>ИП780303761100000</t>
  </si>
  <si>
    <t>191040 город Санкт-Петербург проспект Лиговский дом 30  литера А помещение 1-Н, часть помещения 337</t>
  </si>
  <si>
    <t>ИП240800441300003</t>
  </si>
  <si>
    <t>198095 город Санкт-Петербург улица Трефолева дом 4 корпус 1 литера А офис 304</t>
  </si>
  <si>
    <t>ИП Чумаченко Анатолий Викторович</t>
  </si>
  <si>
    <t>245722180754</t>
  </si>
  <si>
    <t>ИП7803018059</t>
  </si>
  <si>
    <t>ИП780301805900000</t>
  </si>
  <si>
    <t>198095 город Санкт-Петербург площадь Стачек 7  А</t>
  </si>
  <si>
    <t>ИП250900919000007</t>
  </si>
  <si>
    <t>192238 город Санкт-Петербург улица Бухарестская дом 90  литера А помещение №7.1.П</t>
  </si>
  <si>
    <t>ИП Анисимова Галина Геннадьевна</t>
  </si>
  <si>
    <t>250600041856</t>
  </si>
  <si>
    <t>ИП7803033221</t>
  </si>
  <si>
    <t>ИП780303322100000</t>
  </si>
  <si>
    <t>191119 город Санкт-Петербург улица Разъезжая дом 44  литера И офис 15В</t>
  </si>
  <si>
    <t>ИП Богданова Яна Андреевна</t>
  </si>
  <si>
    <t>252200398703</t>
  </si>
  <si>
    <t>ИП7803001897</t>
  </si>
  <si>
    <t>ИП780300189700000</t>
  </si>
  <si>
    <t>198328 город Санкт-Петербург проспект Кузнецова дом 21  литера А помещение 16-н</t>
  </si>
  <si>
    <t>ИП Белолипецкая Зайтуна Ирековна</t>
  </si>
  <si>
    <t>253600019895</t>
  </si>
  <si>
    <t>ИП7803040348</t>
  </si>
  <si>
    <t>ИП780304034800000</t>
  </si>
  <si>
    <t>196070 город Санкт-Петербург улица Варшавская дом 48   помещение 10Н</t>
  </si>
  <si>
    <t>ИП Ефимова Ольга Андреевна</t>
  </si>
  <si>
    <t>253609382101</t>
  </si>
  <si>
    <t>ИП7803014070</t>
  </si>
  <si>
    <t>ИП780301407000000</t>
  </si>
  <si>
    <t>196006 город Санкт-Петербург улица Рощинская дом 24  литера А помещение 2Н-13Н/16Н/17Н, конм. 148, 149, 150, 151, 152, 153, 154</t>
  </si>
  <si>
    <t>ИП780301407000001</t>
  </si>
  <si>
    <t>197101 город Санкт-Петербург улица Кронверкская дом 12  литера А помещение 14-н</t>
  </si>
  <si>
    <t>ИП Ковалев Андрей Владимирович</t>
  </si>
  <si>
    <t>270394446600</t>
  </si>
  <si>
    <t>ИП4703040767</t>
  </si>
  <si>
    <t>ИП470304076700000</t>
  </si>
  <si>
    <t>192148 Санкт-Петербург проспект Елизарова дом 34  Литера Б № части пом. 105 №ПИБ 2-Н</t>
  </si>
  <si>
    <t>ИП Аксенов В. А.</t>
  </si>
  <si>
    <t>272508430550</t>
  </si>
  <si>
    <t>ИП7803013616</t>
  </si>
  <si>
    <t>ИП780301361600000</t>
  </si>
  <si>
    <t>191186 город Санкт-Петербург проспект Невский дом 35  литер а помещение 1Н</t>
  </si>
  <si>
    <t>ЮЛ290300958900007</t>
  </si>
  <si>
    <t>196240 город Санкт-Петербург шоссе Пулковское дом 25 корпус 1  А</t>
  </si>
  <si>
    <t>ИП300400971200004</t>
  </si>
  <si>
    <t>197342 город Санкт-Петербург улица Сердобольская дом 64 корпус 1   литер А помещение 42-Н, комната № 16</t>
  </si>
  <si>
    <t>ИП Мищенко Олег Николаевич</t>
  </si>
  <si>
    <t>320300035485</t>
  </si>
  <si>
    <t>ИП4703004690</t>
  </si>
  <si>
    <t>ИП470300469000000</t>
  </si>
  <si>
    <t>194044 город Санкт-Петербург улица Выборгская дом 8  литера А 226</t>
  </si>
  <si>
    <t>ИП Лейкина Вера Владиславовна</t>
  </si>
  <si>
    <t>340895958419</t>
  </si>
  <si>
    <t>ИП4703036531</t>
  </si>
  <si>
    <t>ИП470303653100000</t>
  </si>
  <si>
    <t>193168 город Санкт-Петербург проспект Большевиков дом 17  литера Ч помещение 34Н</t>
  </si>
  <si>
    <t>ООО "ТК ОНЛАЙН"</t>
  </si>
  <si>
    <t>3528219082</t>
  </si>
  <si>
    <t>ЮЛ7803005531</t>
  </si>
  <si>
    <t>ЮЛ780300553100000</t>
  </si>
  <si>
    <t>191023 город Санкт-Петербург улица Гороховая дом 34  литера А помещение 18-Н</t>
  </si>
  <si>
    <t>ИП360101170800006</t>
  </si>
  <si>
    <t>195279 город Санкт-Петербург проспект Индустриальный дом 31  литера А 2 этаж, часть помещения №1-Н, согласно внутренней нумерации помещение №18</t>
  </si>
  <si>
    <t>370264335309</t>
  </si>
  <si>
    <t>ИП7803037911</t>
  </si>
  <si>
    <t>ИП780303791100000</t>
  </si>
  <si>
    <t>193091 город Санкт-Петербург набережная Октябрьская дом 10 корпус 1 стр 1  пом.10-Н</t>
  </si>
  <si>
    <t>ИП Клигман Диана Дмитриевна</t>
  </si>
  <si>
    <t>380505354219</t>
  </si>
  <si>
    <t>ИП7803008191</t>
  </si>
  <si>
    <t>ИП780300819100000</t>
  </si>
  <si>
    <t>191036 город Санкт-Петербург проспект Невский дом 122  литера А № 1-Н</t>
  </si>
  <si>
    <t>ИП390300762100009</t>
  </si>
  <si>
    <t>191186 город Санкт-Петербург набережная Канала Грибоедова дом 18-20  литера А помещение 32-Н</t>
  </si>
  <si>
    <t>ЮЛ390300814700011</t>
  </si>
  <si>
    <t>196135 город Санкт-Петербург улица Типанова дом 21  литера А</t>
  </si>
  <si>
    <t>ИП Федотова Ольга Николаевна</t>
  </si>
  <si>
    <t>401600477327</t>
  </si>
  <si>
    <t>ИП7803011910</t>
  </si>
  <si>
    <t>ИП780301191000000</t>
  </si>
  <si>
    <t>191024 город Санкт-Петербург Невский проспект дом 158  Литера А Помещение 8-Н</t>
  </si>
  <si>
    <t>ИП Горлатов Дмитрий Александрович</t>
  </si>
  <si>
    <t>410550780746</t>
  </si>
  <si>
    <t>ИП4109038582</t>
  </si>
  <si>
    <t>ИП410903858200000</t>
  </si>
  <si>
    <t>196601 город Пушкин улица Московская дом 25  литера А</t>
  </si>
  <si>
    <t>ИП Христов Виктор Александрович</t>
  </si>
  <si>
    <t>421810661830</t>
  </si>
  <si>
    <t>ИП7803035760</t>
  </si>
  <si>
    <t>ИП780303576000000</t>
  </si>
  <si>
    <t>197374 город Санкт-Петербург Торфяная дорога 2 1 А помещение № 103</t>
  </si>
  <si>
    <t>ИП440203088100001</t>
  </si>
  <si>
    <t>195279 город Санкт-Петербург проспект Индустриальный дом 24  литера А помещение №1-08а</t>
  </si>
  <si>
    <t>ИП440200694500009</t>
  </si>
  <si>
    <t>196655 город Колпино улица Октябрьская дом 8  литера А</t>
  </si>
  <si>
    <t>ИП440200694500011</t>
  </si>
  <si>
    <t>193313 город Санкт-Петербург улица Коллонтай дом 3  литера Б нежилое помещение №1-Н</t>
  </si>
  <si>
    <t>ИП440200694500012</t>
  </si>
  <si>
    <t>192177 город Санкт-Петербург улица Прибрежная дом 20  А</t>
  </si>
  <si>
    <t>ИП350300414400003</t>
  </si>
  <si>
    <t>193168 город Санкт-Петербург проспект Большевиков дом 18 корпус 2  А часть помещ. 8-Н</t>
  </si>
  <si>
    <t>ИП350300414400004</t>
  </si>
  <si>
    <t>196105 город Санкт-Петербург проспект Московский дом 137  литер Б ч помещ ЛК 1</t>
  </si>
  <si>
    <t>ИП350300414400013</t>
  </si>
  <si>
    <t>198095 город Санкт-Петербург площадь Стачек дом 9 строение 1  ч помещ 1-ЛК</t>
  </si>
  <si>
    <t>ИП350300414400028</t>
  </si>
  <si>
    <t>190000 город Санкт-Петербург Ленинский проспект 49 строение 1</t>
  </si>
  <si>
    <t>ИП350300414400031</t>
  </si>
  <si>
    <t>198322 город Санкт-Петербург шоссе Петергофское дом 51  литера А</t>
  </si>
  <si>
    <t>ИП350300414400032</t>
  </si>
  <si>
    <t>195279 город Санкт-Петербург проспект Индустриальный дом 24  литера А</t>
  </si>
  <si>
    <t>ИП350300414400033</t>
  </si>
  <si>
    <t>191040 город Санкт-Петербург проспект Лиговский дом 55/4  литера А помещение 43-Н</t>
  </si>
  <si>
    <t>ЮЛ440200000800002</t>
  </si>
  <si>
    <t>197110 город Санкт-Петербург проспект Чкаловский дом 16  литера Б пом.1-Н</t>
  </si>
  <si>
    <t>ИП Шевченко Андрей Сергеевич</t>
  </si>
  <si>
    <t>441501163283</t>
  </si>
  <si>
    <t>ИП7803037457</t>
  </si>
  <si>
    <t>ИП780303745700000</t>
  </si>
  <si>
    <t>199155 город Санкт-Петербург улица Уральская дом 17 корпус 6 И 1 этаж, помещение 1-Н</t>
  </si>
  <si>
    <t>ИП Абрамов Алексей Александрович</t>
  </si>
  <si>
    <t>441501470510</t>
  </si>
  <si>
    <t>ИП7602034832</t>
  </si>
  <si>
    <t>ИП760203483200000</t>
  </si>
  <si>
    <t>191028 город Санкт-Петербург проспект Литейный дом 26  литера А помещение 50-Н (офис №224)</t>
  </si>
  <si>
    <t>ИП Кузнецова Татьяна Львовна</t>
  </si>
  <si>
    <t>444400305917</t>
  </si>
  <si>
    <t>ИП4402000837</t>
  </si>
  <si>
    <t>ИП440200083700000</t>
  </si>
  <si>
    <t>190031 город Санкт-Петербург проспект Вознесенский дом 18  литера А помещение 2Н</t>
  </si>
  <si>
    <t>ИП470301507200000</t>
  </si>
  <si>
    <t>198095 город Санкт-Петербург улица Трефолева дом 11  литера л офис 5-н</t>
  </si>
  <si>
    <t>ИП Николаева Наталья Павловна</t>
  </si>
  <si>
    <t>463223319109</t>
  </si>
  <si>
    <t>ИП7803000292</t>
  </si>
  <si>
    <t>ИП780300029200000</t>
  </si>
  <si>
    <t>197022 город Санкт-Петербург проспект Аптекарский дом 5 строение 1  помещение 60Н</t>
  </si>
  <si>
    <t>ИП Симонян Диана Арменаковна</t>
  </si>
  <si>
    <t>470203277187</t>
  </si>
  <si>
    <t>ИП7701039126</t>
  </si>
  <si>
    <t>ИП770103912600000</t>
  </si>
  <si>
    <t>197374 город Санкт-Петербург улица Савушкина дом 126  А 94-Н</t>
  </si>
  <si>
    <t>ИП Симонян Ншан Арменакович</t>
  </si>
  <si>
    <t>470203277250</t>
  </si>
  <si>
    <t>ИП7803015973</t>
  </si>
  <si>
    <t>ИП780301597300000</t>
  </si>
  <si>
    <t>196135 город Санкт-Петербург улица Типанова дом 21  А</t>
  </si>
  <si>
    <t>ИП780301597300003</t>
  </si>
  <si>
    <t>191186 город Санкт-Петербург проспект Невский дом 44  А 16</t>
  </si>
  <si>
    <t>ИП780301597300004</t>
  </si>
  <si>
    <t>194356 город Санкт-Петербург шоссе Выборгское дом 13  А 17Н</t>
  </si>
  <si>
    <t>ИП780301597300005</t>
  </si>
  <si>
    <t>190000 город Санкт-Петербург Блохина дом 20/7  литера А помещение 8Н</t>
  </si>
  <si>
    <t>ИП Багирян Владислав Григорьевич</t>
  </si>
  <si>
    <t>470300294460</t>
  </si>
  <si>
    <t>ИП7803010292</t>
  </si>
  <si>
    <t>ИП780301029200000</t>
  </si>
  <si>
    <t>197022 город Санкт-Петербург улица Академика Павлова дом 5  литера В 1H-62H, 1ЛК-6ЛК</t>
  </si>
  <si>
    <t>ИП780301029200001</t>
  </si>
  <si>
    <t>195257 город Санкт-Петербург проспект Гражданский дом 76  литера А помещение 11-Н</t>
  </si>
  <si>
    <t>ИП Борзенко Наталия Александровна</t>
  </si>
  <si>
    <t>470307525282</t>
  </si>
  <si>
    <t>ИП7803035818</t>
  </si>
  <si>
    <t>ИП780303581800000</t>
  </si>
  <si>
    <t>195197 город Санкт-Петербург улица Минеральная дом 13  литер А помещение 13Н</t>
  </si>
  <si>
    <t>ИП Межавитина Юлия Андреевна</t>
  </si>
  <si>
    <t>470309692708</t>
  </si>
  <si>
    <t>ИП7803039853</t>
  </si>
  <si>
    <t>ИП780303985300000</t>
  </si>
  <si>
    <t>191024 город Санкт-Петербург проспект Невский дом 139  А помещение 7-Н</t>
  </si>
  <si>
    <t>ИП Верницкая Ирина Петровна</t>
  </si>
  <si>
    <t>470314094260</t>
  </si>
  <si>
    <t>ИП7803015659</t>
  </si>
  <si>
    <t>ИП780301565900000</t>
  </si>
  <si>
    <t>190098 город Санкт-Петербург бульвар Конногвардейский дом 5  литера А пом. 163-Н</t>
  </si>
  <si>
    <t>ИП Мамедов Эльнур Зияддин Оглы</t>
  </si>
  <si>
    <t>470323245035</t>
  </si>
  <si>
    <t>ИП7803040704</t>
  </si>
  <si>
    <t>ИП780304070400000</t>
  </si>
  <si>
    <t>ИП Борзенко Юлия Борисовна</t>
  </si>
  <si>
    <t>470379430248</t>
  </si>
  <si>
    <t>ИП7803036966</t>
  </si>
  <si>
    <t>ИП780303696600000</t>
  </si>
  <si>
    <t>192029 город Санкт-Петербург улица Бабушкина дом 8 корпус 2</t>
  </si>
  <si>
    <t>ИП Ботова Виктория Григорьевна</t>
  </si>
  <si>
    <t>470407084151</t>
  </si>
  <si>
    <t>ИП4703019945</t>
  </si>
  <si>
    <t>ИП470301994500000</t>
  </si>
  <si>
    <t>191036 город Санкт-Петербург проспект Лиговский дом 37  литера А помещение 1-Н, офис 1, комната 1А</t>
  </si>
  <si>
    <t>ЮЛ470300219500001</t>
  </si>
  <si>
    <t>197198 город Санкт-Петербург проспект Большой П.С. дом 26/2  литера А помещение 4-Н</t>
  </si>
  <si>
    <t>ИП Казанцев Дмитрий Владимирович</t>
  </si>
  <si>
    <t>470515733822</t>
  </si>
  <si>
    <t>ИП4703036497</t>
  </si>
  <si>
    <t>ИП470303649700000</t>
  </si>
  <si>
    <t>196105 город Санкт-Петербург проспект Московский дом 166  литера А помещение 5-Н</t>
  </si>
  <si>
    <t>ИП470303649700003</t>
  </si>
  <si>
    <t>191024 город Санкт-Петербург проспект Невский дом 162  литера А помещение 4 Н</t>
  </si>
  <si>
    <t>ИП470303649700004</t>
  </si>
  <si>
    <t>191186 город Санкт-Петербург проспект Невский дом 22-24  литера А помещение 66-Н</t>
  </si>
  <si>
    <t>ИП470303649700005</t>
  </si>
  <si>
    <t>190000 город Санкт-Петербург улица Маяковского дом 50  Лит. А бывш. кв. 14</t>
  </si>
  <si>
    <t>ИП470303649700008</t>
  </si>
  <si>
    <t>194356 город Санкт-Петербург шоссе Выборгское дом 13  литера А часть нежилого помещения 65H, офис №2</t>
  </si>
  <si>
    <t>ООО "АРТ-ОМ"</t>
  </si>
  <si>
    <t>4706054774</t>
  </si>
  <si>
    <t>ЮЛ4703032223</t>
  </si>
  <si>
    <t>ЮЛ470303222300000</t>
  </si>
  <si>
    <t>192241 город Санкт-Петербург проспект Славы дом 52 корпус 1 Литера А</t>
  </si>
  <si>
    <t>ИП Каракуркчи Евгения Александровна</t>
  </si>
  <si>
    <t>470606258300</t>
  </si>
  <si>
    <t>ИП7803003991</t>
  </si>
  <si>
    <t>ИП780300399100000</t>
  </si>
  <si>
    <t>195426 город Санкт-Петербург проспект Индустриальный дом 11 корпус 1 литера А  часть неж.пом. 1-Н(пом.№12),модуль11</t>
  </si>
  <si>
    <t>ООО "ЛОМБАРД ЗВЕЗДА"</t>
  </si>
  <si>
    <t>4706083140</t>
  </si>
  <si>
    <t>ЮЛ4703038218</t>
  </si>
  <si>
    <t>ЮЛ470303821800000</t>
  </si>
  <si>
    <t>195213 город Санкт-Петербург проспект Заневский дом 67 корпус 2 литера В</t>
  </si>
  <si>
    <t>ЮЛ470300543800001</t>
  </si>
  <si>
    <t>190121 город Санкт-Петербург Набережная Канала Грибоедова дом 166 строение 2  комната 104</t>
  </si>
  <si>
    <t>ИП Жмудь Дмитрий Александрович</t>
  </si>
  <si>
    <t>471203950206</t>
  </si>
  <si>
    <t>ИП7803004701</t>
  </si>
  <si>
    <t>ИП780300470100000</t>
  </si>
  <si>
    <t>191317 город Санкт-Петербург площадь Александра Невского дом 2  литера Е часть нежилого пом.5-Н (в рамках части 3)</t>
  </si>
  <si>
    <t>ИП780300470100002</t>
  </si>
  <si>
    <t>191036 город Санкт-Петербург проспект Лиговский дом 10/118  литера А 1 этаж, помещ. 220-Н</t>
  </si>
  <si>
    <t>ИП780300470100005</t>
  </si>
  <si>
    <t>198510 город Петергоф проспект Санкт-Петербургский дом 34   помещение 186</t>
  </si>
  <si>
    <t>ИП780300470100006</t>
  </si>
  <si>
    <t>195067 город Санкт-Петербург улица Маршала Тухачевского дом 27 корпус 2 литера А, 1 этаж</t>
  </si>
  <si>
    <t>ИП780300470100007</t>
  </si>
  <si>
    <t>197760 город Кронштадт проспект Ленина дом 16  литера А</t>
  </si>
  <si>
    <t>ИП Смирнов Сергей Валентинович</t>
  </si>
  <si>
    <t>471205117423</t>
  </si>
  <si>
    <t>ИП7803011507</t>
  </si>
  <si>
    <t>ИП780301150700000</t>
  </si>
  <si>
    <t>197374 город Санкт-Петербург улица Савушкина дом 131  лит. А помещение 1Н офис 11</t>
  </si>
  <si>
    <t>ИП Васильева Лариса Владимировна</t>
  </si>
  <si>
    <t>471400291506</t>
  </si>
  <si>
    <t>ИП7803004083</t>
  </si>
  <si>
    <t>ИП780300408300000</t>
  </si>
  <si>
    <t>192288 город Санкт-Петербург проспект Науки дом 21 корпус 1 литера А помещение 4Н</t>
  </si>
  <si>
    <t>ИП Кондратова Нина Вячеславовна</t>
  </si>
  <si>
    <t>471400940140</t>
  </si>
  <si>
    <t>ИП7803004103</t>
  </si>
  <si>
    <t>ИП780300410300000</t>
  </si>
  <si>
    <t>191119 город Санкт-Петербург улица Звенигородская дом 1 корпус 2 литера А часть нежилого помещения №26-Н</t>
  </si>
  <si>
    <t>ИП780300410300001</t>
  </si>
  <si>
    <t>197101 город Санкт-Петербург улица Мира Дом 3  Литера А 5 этаж, часть помещения</t>
  </si>
  <si>
    <t>ИП Иванова Дарья Александровна</t>
  </si>
  <si>
    <t>471423485145</t>
  </si>
  <si>
    <t>ИП7803033489</t>
  </si>
  <si>
    <t>ИП780303348900000</t>
  </si>
  <si>
    <t>197372 город Санкт-Петербург проспект Комендантский дом 12 корпус 1  Литера а помещение 2Н</t>
  </si>
  <si>
    <t>ИП Салин Вальтер Валентинович</t>
  </si>
  <si>
    <t>471600002085</t>
  </si>
  <si>
    <t>ИП4703005427</t>
  </si>
  <si>
    <t>ИП470300542700000</t>
  </si>
  <si>
    <t>198335 город Санкт-Петербург проспект Ленинский дом 49 строение 1  помещение 1-Н</t>
  </si>
  <si>
    <t>ИП Романов Константин Владимирович</t>
  </si>
  <si>
    <t>471614199931</t>
  </si>
  <si>
    <t>ИП4703037194</t>
  </si>
  <si>
    <t>ИП470303719400000</t>
  </si>
  <si>
    <t>196628 город Санкт-Петербург, пос. Шушары, территория Славянка улица Ростовская дом 20 строение 1  помещение 4-Н</t>
  </si>
  <si>
    <t>ИП470303187300001</t>
  </si>
  <si>
    <t>196634 город Санкт-Петербург шоссе Колпинское дом 32 строение 1  пом 137</t>
  </si>
  <si>
    <t>ИП470303187300002</t>
  </si>
  <si>
    <t>194291 город Санкт-Петербург проспект Просвещения дом 43 строение 1  часть нежилого помещения 223Н</t>
  </si>
  <si>
    <t>ИП470303187300004</t>
  </si>
  <si>
    <t>190031 город Санкт-Петербург улица Ефимова дом 2  литера А часть помещения 1-Н - пом.№224-226</t>
  </si>
  <si>
    <t>ЮЛ480100215000044</t>
  </si>
  <si>
    <t>191025 город Санкт-Петербург улица Стремянная дом 21/5  литера А помещение 1-Н, комната 4</t>
  </si>
  <si>
    <t>ЮЛ500100408700002</t>
  </si>
  <si>
    <t>196140 город Санкт-Петербург шоссе Пулковское дом 60 корпус 1, строение 4  помещение U124</t>
  </si>
  <si>
    <t>ЮЛ500100649400017</t>
  </si>
  <si>
    <t>194100 город Санкт-Петербург проспект Полюстровский дом 84  литера А этаж 2, часть помещения № 321 нежилого помещения 1-Н.</t>
  </si>
  <si>
    <t>ЮЛ500100649400019</t>
  </si>
  <si>
    <t>195220 город Санкт-Петербург проспект Гражданский дом 41 корпус 2  литера Б этаж 1, часть № 70 помещения 1Н(торгового комплекса "Б" и "В").</t>
  </si>
  <si>
    <t>ЮЛ500100649400025</t>
  </si>
  <si>
    <t>197341 город Санкт-Петербург проспект Коломяжский дом 17 корпус 2 литера А  этаж 1, части от частей № 13 и № 2 нежилого помещения 4-Н.</t>
  </si>
  <si>
    <t>ЮЛ500100649400042</t>
  </si>
  <si>
    <t>191040 город Санкт-Петербург проспект Лиговский дом 30  литера А этаж 1, помещение № 285 часть помещения 1-Н.</t>
  </si>
  <si>
    <t>ЮЛ500100649400047</t>
  </si>
  <si>
    <t>193313 город Санкт-Петербург улица Коллонтай дом 3  литера Б этаж 1, часть № 82 часть здания 17 (чз17), часть помещения 1-Н.</t>
  </si>
  <si>
    <t>ЮЛ500100649400051</t>
  </si>
  <si>
    <t>196244 город Санкт-Петербург проспект Космонавтов дом 14  литера А этаж 1, помещение S78, часть помещения № 593, 594 помещения 1-Н.</t>
  </si>
  <si>
    <t>ЮЛ500100649400064</t>
  </si>
  <si>
    <t>191002 город Санкт-Петербург проспект Владимирский дом 19  литера А часть нежилого помещения 4-Н (номер 229)</t>
  </si>
  <si>
    <t>ИП Галкина Евгения Геннадьевна</t>
  </si>
  <si>
    <t>500510219957</t>
  </si>
  <si>
    <t>ИП7803038367</t>
  </si>
  <si>
    <t>ИП780303836700000</t>
  </si>
  <si>
    <t>191036 город Санкт-Петербург проспект Лиговский дом 10/118  Литера А Литера А помещения 219-Н (чп. № 63-65, № 70, № 71а)</t>
  </si>
  <si>
    <t>ИП500100445500002</t>
  </si>
  <si>
    <t>194100 город Санкт-Петербург проспект Полюстровский дом 84</t>
  </si>
  <si>
    <t>ИП500100445500070</t>
  </si>
  <si>
    <t>196158 город Санкт-Петербург улица Ленсовета дом 97  литера А</t>
  </si>
  <si>
    <t>ИП500100445500082</t>
  </si>
  <si>
    <t>191040 город Санкт-Петербург проспект Лиговский дом 30  литера А Сваровски</t>
  </si>
  <si>
    <t>ИП500100445500122</t>
  </si>
  <si>
    <t>197110 город Санкт-Петербург улица Большая Зеленина дом 23  литера Б</t>
  </si>
  <si>
    <t>ИП Горячева Анна Андреевна</t>
  </si>
  <si>
    <t>501102944290</t>
  </si>
  <si>
    <t>ИП7803035878</t>
  </si>
  <si>
    <t>ИП780303587800000</t>
  </si>
  <si>
    <t>197229 город Санкт-Петербург проспект Лахтинский дом 85  литера В</t>
  </si>
  <si>
    <t>ИП Стародубцева Татьяна Александровна</t>
  </si>
  <si>
    <t>503124211652</t>
  </si>
  <si>
    <t>ИП5001037991</t>
  </si>
  <si>
    <t>ИП500103799100000</t>
  </si>
  <si>
    <t>191186 город Санкт-Петербург улица Большая Конюшенная дом 21-23  литер А этаж 1, часть помещения 121б</t>
  </si>
  <si>
    <t>ЮЛ500100279300006</t>
  </si>
  <si>
    <t>191186 город Санкт-Петербург улица Михайловская дом 1/7  литер А этаж 1, помещение № 1-Н, комната 5</t>
  </si>
  <si>
    <t>ЮЛ500100279300007</t>
  </si>
  <si>
    <t>191167 город Санкт-Петербург проспект Невский дом 190 Часть здания 1Н(1-28), 3Н Литер А 1 Этаж</t>
  </si>
  <si>
    <t>ЮЛ500101580700007</t>
  </si>
  <si>
    <t>190031 город Санкт-Петербург улица Ефимова дом 3  литера С помещение 7Н, комната № 555</t>
  </si>
  <si>
    <t>ИП770103269300002</t>
  </si>
  <si>
    <t>196240 город Санкт-Петербург Пулковское шоссе дом 25 корпус 1 Литер А помещение 1-23</t>
  </si>
  <si>
    <t>ИП770101401000000</t>
  </si>
  <si>
    <t>196240 город Санкт-Петербург  Пулковское шоссе  дом 25 корпус 1 литер А помещение 3Н, часть 504</t>
  </si>
  <si>
    <t>ИП770101401000002</t>
  </si>
  <si>
    <t>197110 город Санкт-Петербург проспект Чкаловский дом 15  литера А 4к201</t>
  </si>
  <si>
    <t>ИП Сущик Анна Федоровна</t>
  </si>
  <si>
    <t>519045608500</t>
  </si>
  <si>
    <t>ИП5103037666</t>
  </si>
  <si>
    <t>ИП510303766600000</t>
  </si>
  <si>
    <t>198206 город Санкт-Петербург шоссе Петергофское дом 51  литер а помещение 2-8к</t>
  </si>
  <si>
    <t>ЮЛ520603376600028</t>
  </si>
  <si>
    <t>196240 город Санкт-Петербург шоссе Пулковское дом 25 корпус 1 литер а</t>
  </si>
  <si>
    <t>ЮЛ520603376600029</t>
  </si>
  <si>
    <t>190000 город Санкт-Петербург улица Ефимова дом 2  литера А помещение №157</t>
  </si>
  <si>
    <t>ЮЛ520603376600068</t>
  </si>
  <si>
    <t>190000 город Санкт-Петербург Брантовская дорога дом 3</t>
  </si>
  <si>
    <t>ЮЛ520603376600071</t>
  </si>
  <si>
    <t>190000 город Санкт-Петербург проспект Коломяжского  дом 17 корпус 2 литера А помещение №1-Н</t>
  </si>
  <si>
    <t>ЮЛ520603376600082</t>
  </si>
  <si>
    <t>190000 город Санкт-Петербург улица Пражская дом 48/50  литера А помещение 1-Н</t>
  </si>
  <si>
    <t>ЮЛ520603376600143</t>
  </si>
  <si>
    <t>191186 город Санкт-Петербург улица Большая Конюшенная дом 19/8  литера А помещение 8-н</t>
  </si>
  <si>
    <t>5259156886</t>
  </si>
  <si>
    <t>ЮЛ5206037211</t>
  </si>
  <si>
    <t>ЮЛ520603721100001</t>
  </si>
  <si>
    <t>196140 город Санкт-Петербург шоссе Пулковское дом 60 корпус 1 строение 5  учётный номер части здания 78:42:0015103:3195/19</t>
  </si>
  <si>
    <t>ООО "ЧЕТВЕРТОЕ ИЗМЕРЕНИЕ"</t>
  </si>
  <si>
    <t>5260494840</t>
  </si>
  <si>
    <t>ЮЛ5206038738</t>
  </si>
  <si>
    <t>ЮЛ520603873800001</t>
  </si>
  <si>
    <t>197101 город Санкт-Петербург улица Кронверкская 12  А 14-Н</t>
  </si>
  <si>
    <t>ИП Чернова Екатерина Олеговна</t>
  </si>
  <si>
    <t>526204383503</t>
  </si>
  <si>
    <t>ИП7803001581</t>
  </si>
  <si>
    <t>ИП780300158100000</t>
  </si>
  <si>
    <t>191023 город Санкт-Петербург набережная Реки Фонтанки дом 59  литера А помещение 4-Н офис 120</t>
  </si>
  <si>
    <t>ИП Орлов Игорь Анатольевич</t>
  </si>
  <si>
    <t>532103700900</t>
  </si>
  <si>
    <t>ИП4703009805</t>
  </si>
  <si>
    <t>ИП470300980500000</t>
  </si>
  <si>
    <t>190020 город Санкт-Петербург набережная Обводного канала дом 134_136_138  литера ВМ помещение 13Н</t>
  </si>
  <si>
    <t>ИП Мясников Михаил Юрьевич</t>
  </si>
  <si>
    <t>540716805527</t>
  </si>
  <si>
    <t>ИП5408020305</t>
  </si>
  <si>
    <t>ИП540802030500000</t>
  </si>
  <si>
    <t>192007 город Санкт-Петербург набережная Обводного канала дом 64 корпус 2 литера А  помещение 27н,офис 23, рабочее место 7</t>
  </si>
  <si>
    <t>ИП Федосеенко Евгения Сергеевна</t>
  </si>
  <si>
    <t>561507439920</t>
  </si>
  <si>
    <t>ИП7803037892</t>
  </si>
  <si>
    <t>ИП780303789200000</t>
  </si>
  <si>
    <t>191014 город Санкт-Петербург улица Маяковского дом 17  литера А помещение 39-Н</t>
  </si>
  <si>
    <t>ИП Левченкова Александра Анатольевна</t>
  </si>
  <si>
    <t>563503502371</t>
  </si>
  <si>
    <t>ИП5606040798</t>
  </si>
  <si>
    <t>ИП560604079800000</t>
  </si>
  <si>
    <t>194214 город Санкт-Петербург шоссе Выборгское дом 22  Литер А</t>
  </si>
  <si>
    <t>ИП Валяуга Дмитрий Викторович</t>
  </si>
  <si>
    <t>564802174441</t>
  </si>
  <si>
    <t>ИП7803038799</t>
  </si>
  <si>
    <t>ИП780303879900000</t>
  </si>
  <si>
    <t>192102 город Санкт-Петербург улица Бухарестская дом 1  литера А 711</t>
  </si>
  <si>
    <t>ИП Суслов Константин Сергеевич</t>
  </si>
  <si>
    <t>594101445974</t>
  </si>
  <si>
    <t>ИП7803036971</t>
  </si>
  <si>
    <t>ИП780303697100000</t>
  </si>
  <si>
    <t>197101 город Санкт-Петербург проспект Каменноостровский дом 4  литера А помещение 10-Н</t>
  </si>
  <si>
    <t>ИП Дерябин Максим Александрович</t>
  </si>
  <si>
    <t>601000820442</t>
  </si>
  <si>
    <t>ИП4703006443</t>
  </si>
  <si>
    <t>ИП470300644300000</t>
  </si>
  <si>
    <t>196142 город Санкт-Петербург улица Пулковская Дом 2 Корпус 1 Литер А Помещение 35-Н</t>
  </si>
  <si>
    <t>ИП Горгуленко Анна Васильевна</t>
  </si>
  <si>
    <t>601703079115</t>
  </si>
  <si>
    <t>ИП7803035182</t>
  </si>
  <si>
    <t>ИП780303518200000</t>
  </si>
  <si>
    <t>197110 город Санкт-Петербург проспект Чкаловский дом 15 корпус №1 литера А помещение 405</t>
  </si>
  <si>
    <t>ИП Голодникова Кристина Игоревна</t>
  </si>
  <si>
    <t>602718351855</t>
  </si>
  <si>
    <t>ИП6003036496</t>
  </si>
  <si>
    <t>ИП600303649600000</t>
  </si>
  <si>
    <t>191002 город Санкт-Петербург улица Марата дом 33  литера А помещение 3н</t>
  </si>
  <si>
    <t>ИП Лысюк Татьяна Викторовна</t>
  </si>
  <si>
    <t>602722636148</t>
  </si>
  <si>
    <t>ИП6003018405</t>
  </si>
  <si>
    <t>ИП600301840500000</t>
  </si>
  <si>
    <t>192102 город Санкт-Петербург улица Фучика дом 2  литера А торговое место КА67</t>
  </si>
  <si>
    <t>ИП610400426600013</t>
  </si>
  <si>
    <t>192007 город Санкт-Петербург улица Боровая дом 116  литер В Б.2А.В.03.122.2</t>
  </si>
  <si>
    <t>ИП Драчев Роман Викторович</t>
  </si>
  <si>
    <t>614407945239</t>
  </si>
  <si>
    <t>ИП7803007664</t>
  </si>
  <si>
    <t>ИП780300766400000</t>
  </si>
  <si>
    <t>192238 город Санкт-Петербург улица Белы Куна дом 20 корпус 1 литера А помещение 12Н</t>
  </si>
  <si>
    <t>ЮЛ630603373600012</t>
  </si>
  <si>
    <t>193168 город Санкт-Петербург улица Дыбенко дом 24 корпус 1 литера Ю  помещение 37н</t>
  </si>
  <si>
    <t>ЮЛ630603373600077</t>
  </si>
  <si>
    <t>197342 город Санкт-Петербург набережная Чёрной речки дом 47 строение 1  помещение 4-Н (номера частей: 341, 342</t>
  </si>
  <si>
    <t>ИП Саакян Ара Рубенович</t>
  </si>
  <si>
    <t>632119076278</t>
  </si>
  <si>
    <t>ИП7803039036</t>
  </si>
  <si>
    <t>ИП780303903600000</t>
  </si>
  <si>
    <t>196142 город Санкт-Петербург улица Звёздная дом 8  литера А помещение 18-н</t>
  </si>
  <si>
    <t>ЮЛ780300825400002</t>
  </si>
  <si>
    <t>198217 город Санкт-Петербург бульвар Новаторов дом 75  литера А помещение 4н</t>
  </si>
  <si>
    <t>ЮЛ780300825400003</t>
  </si>
  <si>
    <t>194358 город Санкт-Петербург улица Есенина дом 32 корпус 1 литера А  помещение 3-н</t>
  </si>
  <si>
    <t>ЮЛ780300825400004</t>
  </si>
  <si>
    <t>193168 город Санкт-Петербург улица Дыбенко дом 20 корпус 1 литера С  помещение 9н</t>
  </si>
  <si>
    <t>ЮЛ780300825400005</t>
  </si>
  <si>
    <t>192029 город Санкт-Петербург проспект Елизарова дом 15  литера А помещение 11н</t>
  </si>
  <si>
    <t>ЮЛ780300825400006</t>
  </si>
  <si>
    <t>199155 город Санкт-Петербург улица Наличная дом 49  литера А помещение 34-н</t>
  </si>
  <si>
    <t>ЮЛ780300825400007</t>
  </si>
  <si>
    <t>197227 город Санкт-Петербург проспект Испытателей дом 6 корпус 1 литера А  помещение 42-н</t>
  </si>
  <si>
    <t>ЮЛ780300825400008</t>
  </si>
  <si>
    <t>192238 город Санкт-Петербург улица Белы Куна дом 8  литера А помещение 28н</t>
  </si>
  <si>
    <t>ЮЛ780300825400009</t>
  </si>
  <si>
    <t>190031 город Санкт-Петербург проспект Московский дом 4  литера А помещение 2-н</t>
  </si>
  <si>
    <t>ЮЛ780300825400010</t>
  </si>
  <si>
    <t>197372 город Санкт-Петербург улица Ильюшина дом 1 корпус 1 литера А  помещение 39-н</t>
  </si>
  <si>
    <t>ЮЛ780300825400011</t>
  </si>
  <si>
    <t>192281 город Санкт-Петербург улица Ярослава Гашека дом 4 корпус 1 литера А  помещение 52н</t>
  </si>
  <si>
    <t>ЮЛ780300825400012</t>
  </si>
  <si>
    <t>191023 город Санкт-Петербург улица Садовая дом 32/1  литера А часть помещения 10-н</t>
  </si>
  <si>
    <t>ЮЛ780300825400013</t>
  </si>
  <si>
    <t>195267 город Санкт-Петербург проспект Просвещения дом 87 корпус 1 литера А  помещение 52-н</t>
  </si>
  <si>
    <t>ЮЛ780300825400015</t>
  </si>
  <si>
    <t>190031 город Санкт-Петербург проспект Московский дом 4  литера А помещение 3-Н</t>
  </si>
  <si>
    <t>ЮЛ780300825400016</t>
  </si>
  <si>
    <t>194358 город Санкт-Петербург проспект Просвещения дом 15  литера А помещение 74-н</t>
  </si>
  <si>
    <t>ЮЛ780300825400017</t>
  </si>
  <si>
    <t>191036 город Санкт-Петербург проспект Лиговский дом 10/118  А 2134</t>
  </si>
  <si>
    <t>ИП Бобков Роман Алексеевич</t>
  </si>
  <si>
    <t>645209306961</t>
  </si>
  <si>
    <t>ИП6406039408</t>
  </si>
  <si>
    <t>ИП640603940800000</t>
  </si>
  <si>
    <t>194021 город Санкт-Петербург новороссийская  53  литер а 5,6</t>
  </si>
  <si>
    <t>ИП Агафонова Ксения Дмитриевна</t>
  </si>
  <si>
    <t>661708061007</t>
  </si>
  <si>
    <t>ИП4703013942</t>
  </si>
  <si>
    <t>ИП470301394200001</t>
  </si>
  <si>
    <t>194021 город Санкт-Петербург улица Новороссийская дом 53  литера А 8,9</t>
  </si>
  <si>
    <t>ИП470301394200002</t>
  </si>
  <si>
    <t>199226 город Санкт-Петербург проезд Галерный дом 5  литера А помещение 38-Н, офис 2</t>
  </si>
  <si>
    <t>ИП Селищева Виктория Андреевна</t>
  </si>
  <si>
    <t>663004664404</t>
  </si>
  <si>
    <t>ИП7803001364</t>
  </si>
  <si>
    <t>ИП780300136400000</t>
  </si>
  <si>
    <t>191186 город Санкт-Петербург улица Большая Морская дом 14  литера А помещение 147-Н</t>
  </si>
  <si>
    <t>ЮЛ660700213800002</t>
  </si>
  <si>
    <t>191024 город Санкт-Петербург проспект Невский дом 135  литера А помещение 10-Н</t>
  </si>
  <si>
    <t>ЮЛ660701304200010</t>
  </si>
  <si>
    <t>190000 город Санкт-Петербург улица Большая Морская дом 39  литера Б этаж 1, часть нежилого помещения 1-Н, комнаты 8, 9; 10, 11, 12</t>
  </si>
  <si>
    <t>ЮЛ670100207100005</t>
  </si>
  <si>
    <t>190031 город Санкт-Петербург улица Гороховая дом 47 строение 2  часть нежилого помещения 47-Н (ч.п. 53) офис 504</t>
  </si>
  <si>
    <t>ИП Маркова Зоя Сергеевна</t>
  </si>
  <si>
    <t>701741520069</t>
  </si>
  <si>
    <t>ИП7803035089</t>
  </si>
  <si>
    <t>ИП780303508900000</t>
  </si>
  <si>
    <t>197136 город Санкт-Петербург набережная Реки Карповки дом 30   0</t>
  </si>
  <si>
    <t>ИП Курохтина Татьяна Валерьевна</t>
  </si>
  <si>
    <t>702408321028</t>
  </si>
  <si>
    <t>ИП7008017399</t>
  </si>
  <si>
    <t>ИП700801739900000</t>
  </si>
  <si>
    <t>197374 город Санкт-Петербург Липовая аллея дом 9  литера А, 7 этаж часть нежилого помещения 23Н, часть комнаты №717А, рабочее место 2</t>
  </si>
  <si>
    <t>ИП Чижова Лина Васильевна</t>
  </si>
  <si>
    <t>710303357943</t>
  </si>
  <si>
    <t>ИП4703037623</t>
  </si>
  <si>
    <t>ИП470303762300000</t>
  </si>
  <si>
    <t>197706 город Сестрорецк улица Володарского дом 20</t>
  </si>
  <si>
    <t>ИП Чижов Виктор Владимирович</t>
  </si>
  <si>
    <t>710703182800</t>
  </si>
  <si>
    <t>ИП4703002142</t>
  </si>
  <si>
    <t>ИП470300214200000</t>
  </si>
  <si>
    <t>196006 город Санкт-Петербург улица Заставская дом 15  литера В часть нежил.пом.5-н, части комн. №1, №10</t>
  </si>
  <si>
    <t>ИП Румянцев Виталий Александрович</t>
  </si>
  <si>
    <t>711107189540</t>
  </si>
  <si>
    <t>ИП7803003236</t>
  </si>
  <si>
    <t>ИП780300323600000</t>
  </si>
  <si>
    <t>190031 город Санкт-Петербург улица Гражданская дом 18  литера А помещение  9Н</t>
  </si>
  <si>
    <t>ИП500101079300002</t>
  </si>
  <si>
    <t>199106 город Санкт-Петербург линия Кожевенная дом 34  литера А помещение 458</t>
  </si>
  <si>
    <t>ИП780303947400000</t>
  </si>
  <si>
    <t>192029 город Санкт-Петербург проспект Большой Смоленский дом 10  литера А 32-Н</t>
  </si>
  <si>
    <t>ИП Расько-Тюрин Илья Дмитриевич</t>
  </si>
  <si>
    <t>741110352019</t>
  </si>
  <si>
    <t>ИП7407018329</t>
  </si>
  <si>
    <t>ИП740701832900000</t>
  </si>
  <si>
    <t>194021 Санкт-Петербург Новороссийская 53  А</t>
  </si>
  <si>
    <t>ИП Пижова Ольга Вячеславовна</t>
  </si>
  <si>
    <t>742210457560</t>
  </si>
  <si>
    <t>ИП7407012067</t>
  </si>
  <si>
    <t>ИП740701206700000</t>
  </si>
  <si>
    <t>197198 город Санкт-Петербург улица Шамшева 10   1-н</t>
  </si>
  <si>
    <t>ИП Чистова Елена Владимировна</t>
  </si>
  <si>
    <t>742303789777</t>
  </si>
  <si>
    <t>ИП7407016264</t>
  </si>
  <si>
    <t>ИП740701626400000</t>
  </si>
  <si>
    <t>190068 город Санкт-Петербург переулок Пирогова дом 18  литера А 106</t>
  </si>
  <si>
    <t>ИП Реховская Оксана Николаевна</t>
  </si>
  <si>
    <t>753615031017</t>
  </si>
  <si>
    <t>ИП7509039025</t>
  </si>
  <si>
    <t>ИП750903902500000</t>
  </si>
  <si>
    <t>191025 город Санкт-Петербург улица Маяковского дом 2/94  литера А часть помещения 7-Н</t>
  </si>
  <si>
    <t>ЮЛ760201041800009</t>
  </si>
  <si>
    <t>192071 город Санкт-Петербург улица Будапештская дом 46  литера А помещение 8-Н</t>
  </si>
  <si>
    <t>ЮЛ770100201500589</t>
  </si>
  <si>
    <t>191186 город Санкт-Петербург улица Итальянская дом 15   3 этаж помещение №21-Н</t>
  </si>
  <si>
    <t>ЮЛ770101888500009</t>
  </si>
  <si>
    <t>197101 город Санкт-Петербург проспект Большой П.С. дом 57/1  литера А помещение 15-Н</t>
  </si>
  <si>
    <t>ИП770101789300004</t>
  </si>
  <si>
    <t>190031 город Санкт-Петербург набережная Реки Мойки дом 73  литера А</t>
  </si>
  <si>
    <t>ЮЛ770100278900006</t>
  </si>
  <si>
    <t>191181 город Санкт-Петербург улица Большая Морская дом 10  литера А помещение 7-Н, 1 этаж помещения №№ 1,2,3,4,6; Этаж 2 помещения №№ 7, 8, 9, 10, 11, 12, 13, 14, 15, 16, 17, 18, 19, 20, 21</t>
  </si>
  <si>
    <t>ЮЛ770100623000004</t>
  </si>
  <si>
    <t>191025 город Санкт-Петербург проспект Невский дом 114-116  литера А К1-6</t>
  </si>
  <si>
    <t>ЮЛ770100264000016</t>
  </si>
  <si>
    <t>196240 город Санкт-Петербург шоссе Пулковское дом 25 корпус 1 литера А  1 этаж</t>
  </si>
  <si>
    <t>ЮЛ770100264000018</t>
  </si>
  <si>
    <t>197136 город Санкт-Петербург проспект Большой П.С. дом 58  Литера А помещение 2-3</t>
  </si>
  <si>
    <t>ЮЛ770101185400001</t>
  </si>
  <si>
    <t>191014 город Санкт-Петербург улица Восстания дом 25  литера А помещение 8Н</t>
  </si>
  <si>
    <t>ЮЛ770100551800004</t>
  </si>
  <si>
    <t>191186 город Санкт-Петербург улица Большая Морская дом 23/12  литера А  этаж 1, помещение 12-Н</t>
  </si>
  <si>
    <t>ЮЛ770100301000002</t>
  </si>
  <si>
    <t>191025 город Санкт-Петербург проспект Невский дом 114-16 литер А Литера А пом 1Н №71,72,73</t>
  </si>
  <si>
    <t>ЮЛ770101500300002</t>
  </si>
  <si>
    <t>197198 город Санкт-Петербург проспект Большой П.С. дом 19  Литера А пом 4-Н</t>
  </si>
  <si>
    <t>ЮЛ770101500300008</t>
  </si>
  <si>
    <t>192102 город Санкт-Петербург улица Бухарестская дом 30  литера А помещение 8</t>
  </si>
  <si>
    <t>ИП770100417900022</t>
  </si>
  <si>
    <t>196655 город Колпино улица Октябрьская дом 8  литера А помещение на 2 этаже</t>
  </si>
  <si>
    <t>ИП770100417900053</t>
  </si>
  <si>
    <t>195027 город Санкт-Петербург дорога Брантовская дом 3   часть помещения 395, 396, этаж 1</t>
  </si>
  <si>
    <t>ЮЛ770101216600004</t>
  </si>
  <si>
    <t>196244 город Санкт-Петербург проспект Космонавтов дом 14  литер А помещение S084, этаж 1</t>
  </si>
  <si>
    <t>ЮЛ770101216600007</t>
  </si>
  <si>
    <t>194358 город Санкт-Петербург проспект Энгельса дом 154  литер А часть комнаты 106 (секция 1-9), этаж 1</t>
  </si>
  <si>
    <t>ЮЛ770101216600027</t>
  </si>
  <si>
    <t>196240 город Санкт-Петербург шоссе Пулковское дом 25 корпус 1 Литер А часть 285 помещения 3Н, этаж 1</t>
  </si>
  <si>
    <t>ЮЛ770101216600043</t>
  </si>
  <si>
    <t>190031 город Санкт-Петербург улица Ефимова дом 2  литер А часть помещения 173, 186  нежилого помещения 1-Н, этаж 1</t>
  </si>
  <si>
    <t>ЮЛ770101216600044</t>
  </si>
  <si>
    <t>192241 город Санкт-Петербург улица Пражская дом 48/50  Литер А часть 101, 102, 103 нежилого помещения 1-Н, этаж 1</t>
  </si>
  <si>
    <t>ЮЛ770101216600046</t>
  </si>
  <si>
    <t>198302 город Санкт-Петербург проспект Стачек дом 99  литер А помещения 177, 178, часть помещения 1Н, этаж 1</t>
  </si>
  <si>
    <t>ЮЛ770101216600052</t>
  </si>
  <si>
    <t>193313 город Санкт-Петербург улица Коллонтай дом 3  литер Б 123, 124 части помещения 1-Н, этаж 1</t>
  </si>
  <si>
    <t>ЮЛ770101216600071</t>
  </si>
  <si>
    <t>197372 город Санкт-Петербург площадь Комендантская дом 1  Литер А помещение 288 часть помещения 1-Н, этаж 1 подземный</t>
  </si>
  <si>
    <t>ЮЛ770101216600104</t>
  </si>
  <si>
    <t>196158 город Санкт-Петербург улица Ленсовета дом 97  литер А часть помещения 68 части помещения  1-Н, этаж 1</t>
  </si>
  <si>
    <t>ЮЛ770101216600117</t>
  </si>
  <si>
    <t>195112 город Санкт-Петербург проспект Заневский дом 67 корпус 2 литер А, помещения 193-194 части помещения  1-Н, этаж 1</t>
  </si>
  <si>
    <t>ЮЛ770101216600119</t>
  </si>
  <si>
    <t>197341 город Санкт-Петербург проспект Коломяжский дом 17 корпус 2 литер А часть помещения 86 части помещения 1-Н, этаж 1</t>
  </si>
  <si>
    <t>ЮЛ770101216600120</t>
  </si>
  <si>
    <t>194100 город Санкт-Петербург проспект Полюстровский дом 84  литер А помещение 306 часть нежилого помещения 1-Н, этаж 2</t>
  </si>
  <si>
    <t>ЮЛ770101216600125</t>
  </si>
  <si>
    <t>192177 город Санкт-Петербург участок ж.д. "ул. Юннатов-ст.Рыбацкое" пом. 3-Н, 5-Н, 6-Н, 7-Н, 8-Н, 9-Н, 11-Н, 12-Н, 1ЛК, 4ЛК, 6ЛК, 7ЛК, 8ЛК  Литер Е часть помещения № 21 и № 22, помещения 3-Н, этаж 1</t>
  </si>
  <si>
    <t>ЮЛ770101216600129</t>
  </si>
  <si>
    <t>197373 город Санкт-Петербург улица Долгоозёрная дом 14 Корпус 2  литер А часть  помещения 22,  23, этаж 1</t>
  </si>
  <si>
    <t>ЮЛ770101216600258</t>
  </si>
  <si>
    <t>195279 город Санкт-Петербург проспект Индустриальный дом 24  литера А помещение 1-30а, комната 203, часть комнаты 202, этаж 1</t>
  </si>
  <si>
    <t>ЮЛ770101216600259</t>
  </si>
  <si>
    <t>191025 город Санкт-Петербург проспект Невский дом 114-116  литера А помещение 1105а, этаж 1</t>
  </si>
  <si>
    <t>ЮЛ770101216600291</t>
  </si>
  <si>
    <t>196105 город Санкт-Петербург проспект Московский дом 137  литера Б этаж 1, помещение 16-Н</t>
  </si>
  <si>
    <t>ЮЛ770101216600362</t>
  </si>
  <si>
    <t>191040 город Санкт-Петербург проспект Лиговский дом 30  литера А этаж 1, помещение 1-Н, часть части помещения  № 366, часть части помещения № 494</t>
  </si>
  <si>
    <t>ЮЛ770101216600417</t>
  </si>
  <si>
    <t>197082 город Санкт-Петербург проспект Богатырский дом 42  литера А этаж 1, часть нежилого Помещения № 01/8</t>
  </si>
  <si>
    <t>ЮЛ770101216600439</t>
  </si>
  <si>
    <t>194355 город Санкт-Петербург шоссе Выборгское дом 15  литера А часть нежилого помещения 217-Н, этаж 1 , часть помещения №3</t>
  </si>
  <si>
    <t>ЮЛ770101216600442</t>
  </si>
  <si>
    <t>198205 город Санкт-Петербург улица Партизана Германа дом 2  Литера  А помещение 1-Н, 4-Н, часть нежилого Помещения № 24/15 (часть) (галереи)</t>
  </si>
  <si>
    <t>ЮЛ770101216600444</t>
  </si>
  <si>
    <t>197349 город Санкт-Петербург улица Байконурская дом 14  литера А этаж 1, часть помещения 1Н, помещения №168-171</t>
  </si>
  <si>
    <t>ЮЛ770101216600445</t>
  </si>
  <si>
    <t>198322 город Санкт-Петербург шоссе Петергофское дом 51  литера А помещение I-Н, часть помещений 197,198, 643, 644, 667</t>
  </si>
  <si>
    <t>ЮЛ770101216600447</t>
  </si>
  <si>
    <t>192281 город Санкт-Петербург площадь Балканская дом 5  литера В этаж 1,  пом. № 40 помещения 1-Н, помещение 5-Н, 6-Н</t>
  </si>
  <si>
    <t>ЮЛ770101216600449</t>
  </si>
  <si>
    <t>196211 город Санкт-Петербург улица Типанова дом 27/39  литера А часть нежилого помещение 23-Н,  этаж 1 ,часть помещения № 1</t>
  </si>
  <si>
    <t>ЮЛ770101216600451</t>
  </si>
  <si>
    <t>194355 город Санкт-Петербург шоссе Выборгское дом 19 корпус 1 литера А  этаж 1, часть нежилого помещения №34/4</t>
  </si>
  <si>
    <t>ЮЛ770101216600461</t>
  </si>
  <si>
    <t>195276 город Санкт-Петербург проспект Культуры дом 41   этаж 1, часть помещения №2</t>
  </si>
  <si>
    <t>ЮЛ770101216600539</t>
  </si>
  <si>
    <t>192102 город Санкт-Петербург улица Фучика дом 2  литера А этаж 1, часть нежилого помещения 1-Н, в составе части нежилого помещения №142</t>
  </si>
  <si>
    <t>ЮЛ770101216600594</t>
  </si>
  <si>
    <t>194356 город Санкт-Петербург проспект Энгельса дом 120  литера А этаж 1, часть нежилого помещение 1-H, в составе части нежилого помещения 109</t>
  </si>
  <si>
    <t>ЮЛ770101216600613</t>
  </si>
  <si>
    <t>193232 город Санкт-Петербург проспект Большевиков дом 27  литера А этаж 1, часть нежилого помещения: место МОП 073 в комнате ЛК-1</t>
  </si>
  <si>
    <t>ЮЛ770101216600634</t>
  </si>
  <si>
    <t>195297 город Санкт-Петербург проспект Просвещения дом 80 корпус 1 строение 1  этаж 1, часть помещения №8Н</t>
  </si>
  <si>
    <t>ЮЛ770101216600636</t>
  </si>
  <si>
    <t>199155 город Санкт-Петербург улица Уральская дом 29 корпус 1 литера А  этаж 1, объект 1/9</t>
  </si>
  <si>
    <t>ЮЛ770101216600703</t>
  </si>
  <si>
    <t>198324 город Красное Село проспект Ленина дом 51  литера А этаж 2, часть помещения №41 (секция №2.12)</t>
  </si>
  <si>
    <t>ЮЛ770101216600711</t>
  </si>
  <si>
    <t>197229 город Санкт-Петербург проспект Лахтинский дом 85  литера В 1 этаж, пом 011</t>
  </si>
  <si>
    <t>ЮЛ770101216600716</t>
  </si>
  <si>
    <t>196628 город Санкт-Петербург, поселок Шушары улица Ростовская дом 20 строение 1  этаж 1, пом 4-Н</t>
  </si>
  <si>
    <t>ЮЛ770101216600723</t>
  </si>
  <si>
    <t>197374 город Санкт-Петербург улица Савушкина дом 116  литера А 1 этаж, неж. пом 124</t>
  </si>
  <si>
    <t>ЮЛ770101216600726</t>
  </si>
  <si>
    <t>198332 город Санкт-Петербург проспект Маршала Жукова дом 31 корпус 1 литера А  1 этаж, пом 60</t>
  </si>
  <si>
    <t>ЮЛ770101216600727</t>
  </si>
  <si>
    <t>196240 город Санкт-Петербург шоссе Пулковское дом 17 корпус 2  Литера А этаж 1, часть нежилого помещения № 2 (часть галереи)</t>
  </si>
  <si>
    <t>ЮЛ770101216600730</t>
  </si>
  <si>
    <t>197374 город Санкт-Петербург проспект Приморский дом 72  литера А этаж 1, часть нежилого помещения  № 26-H, а именно ч.п. № 1 (часть)</t>
  </si>
  <si>
    <t>ЮЛ770101216600741</t>
  </si>
  <si>
    <t>199106 город Санкт-Петербург проспект Большой В.О. дом 68  литера А 1 этаж, часть помещения №2</t>
  </si>
  <si>
    <t>ЮЛ770101216600764</t>
  </si>
  <si>
    <t>191025 город Санкт-Петербург проспект Невский дом 57  литера А 1 этаж, нежилое помещение № 3-Н</t>
  </si>
  <si>
    <t>ЮЛ770101216600775</t>
  </si>
  <si>
    <t>196233 город Санкт-Петербург проспект Космонавтов дом 45  литера А 1 этаж, часть нежилого помещения №136</t>
  </si>
  <si>
    <t>ЮЛ770101216600779</t>
  </si>
  <si>
    <t>194358 город Санкт-Петербург, поселок Парголово улица Михаила Дудина дом 6 корпус 1 строение 1  1 этаж, нежилое помещение № 10</t>
  </si>
  <si>
    <t>ЮЛ770101216600780</t>
  </si>
  <si>
    <t>194291 город Санкт-Петербург, муниципальный округ №15 проспект Просвещения дом 43 строение 1  1 этаж, часть нежилого помещения № 223Н</t>
  </si>
  <si>
    <t>ЮЛ770101216600843</t>
  </si>
  <si>
    <t>195113 город Санкт-Петербург, муниципальный округ Полюстрово проспект Маршака дом 12 корпус 1 строение 1  1 этаж, часть нежилого помещения №15-Н</t>
  </si>
  <si>
    <t>ЮЛ770101216600860</t>
  </si>
  <si>
    <t>191040 город Санкт-Петербург проспект Лиговский дом 30  литера А 1 этаж, нежилое помещение № 1Н, части части 326, 327, 328</t>
  </si>
  <si>
    <t>ЮЛ770101216600884</t>
  </si>
  <si>
    <t>195274 город Санкт-Петербург проспект Культуры дом 1  литера А 1 этаж, часть №408 нежилого помещения 1-Н</t>
  </si>
  <si>
    <t>ЮЛ770101216600901</t>
  </si>
  <si>
    <t>197760 город Кронштадт проспект Ленина дом 16  литера А 1 этаж, нежилое помещение</t>
  </si>
  <si>
    <t>ЮЛ770101216600910</t>
  </si>
  <si>
    <t>197374 город Санкт-Петербург дорога Торфяная дом 7  литера В пом 2Н, 3Н, 4Н, 5Н, 6Н, 7Н, 8Н, 9Н, 10Н, 11Н, 12Н, 13Н, 14Н, этаж 2, часть нежилого помещения 7Н, торговый зал № 29</t>
  </si>
  <si>
    <t>ЮЛ770101216600927</t>
  </si>
  <si>
    <t>192283 город Санкт-Петербург улица Бухарестская дом 89  литера А помещение 1-Н,2-Н,3-Н,4- Н,5-Н,11-Н,1ЛК,2ЛК, этаж 1, часть нежилого помещения №1</t>
  </si>
  <si>
    <t>ЮЛ770101216600928</t>
  </si>
  <si>
    <t>198335 город Санкт-Петербург проспект Ленинский дом 49 строение 1  этаж 1</t>
  </si>
  <si>
    <t>ЮЛ770101216600929</t>
  </si>
  <si>
    <t>198095 город Санкт-Петербург площадь Стачек дом 9 строение 1  часть нежилого помещения 25-Н,26-Н,27-Н,28-Н,29-Н, этаж 1, ч.п.1, ч.п.2 нежилого помещения №25-Н</t>
  </si>
  <si>
    <t>ЮЛ770101216600938</t>
  </si>
  <si>
    <t>195279 город Санкт-Петербург проспект Индустриальный дом 31  литера А цокольный этаж,  часть помещения №1-Н, согласно внутренней нумерации помещение № 15</t>
  </si>
  <si>
    <t>ЮЛ770101216600939</t>
  </si>
  <si>
    <t>192007 город Санкт-Петербург проспект Лиговский дом 153  литера А этаж 2, ч.п. 34 помещения 7-Н</t>
  </si>
  <si>
    <t>ЮЛ770101216600940</t>
  </si>
  <si>
    <t>197373 город Санкт-Петербург улица Планерная дом 59  литера А этаж 1, часть нежилого помещения №2</t>
  </si>
  <si>
    <t>ЮЛ770101216600962</t>
  </si>
  <si>
    <t>192242 город Санкт-Петербург улица Белы Куна дом 3  литера А этаж 1, часть помещения 18-Н, помещение № 22</t>
  </si>
  <si>
    <t>ЮЛ770101216600964</t>
  </si>
  <si>
    <t>192171 город Санкт-Петербург улица Бабушкина дом 40 строение 1  этаж 1, помещение 1Н, Ч.П. 64</t>
  </si>
  <si>
    <t>ЮЛ770101216600970</t>
  </si>
  <si>
    <t>198205 город Санкт-Петербург шоссе Таллинское дом 159  литера А объект 1/6</t>
  </si>
  <si>
    <t>ЮЛ770101216600971</t>
  </si>
  <si>
    <t>198412 город Ломоносов улица Михайловская дом 40/7 строение 1  этаж 1, островок 32</t>
  </si>
  <si>
    <t>ЮЛ770101216600978</t>
  </si>
  <si>
    <t>195298 город Санкт-Петербург проспект Индустриальный дом 25  литера А чать нежилого помещения инв. №3</t>
  </si>
  <si>
    <t>ЮЛ770101216600986</t>
  </si>
  <si>
    <t>197348 город Санкт-Петербург проспект Коломяжский дом 22 строение 1 Литера А этаж 1, помещение 1-18</t>
  </si>
  <si>
    <t>ЮЛ770101216600994</t>
  </si>
  <si>
    <t>196084 город Санкт-Петербург улица Смоленская дом 9  литера А часть пом. 14-Н, 15-Н, комн. 28-30 (офис 410)</t>
  </si>
  <si>
    <t>ЮЛ770100167700010</t>
  </si>
  <si>
    <t>191186 город Санкт-Петербург проспект Невский дом 129  литера Б помещение 2-н</t>
  </si>
  <si>
    <t>ИП Мусатов Александр Александрович</t>
  </si>
  <si>
    <t>772013931727</t>
  </si>
  <si>
    <t>ИП7701032004</t>
  </si>
  <si>
    <t>ИП770103200400002</t>
  </si>
  <si>
    <t>191186 город Санкт-Петербург проспект Невский дом 48  литер А помещение №197</t>
  </si>
  <si>
    <t>ЮЛ770100419400113</t>
  </si>
  <si>
    <t>194100 город Санкт-Петербург проспект Полюстровский дом 84  литер А помещение №306</t>
  </si>
  <si>
    <t>ЮЛ770100419400116</t>
  </si>
  <si>
    <t>198206 город Санкт-Петербург шоссе Петергофское дом 51  литер а помещение 1-Н</t>
  </si>
  <si>
    <t>ЮЛ770100419400117</t>
  </si>
  <si>
    <t>193313 город Санкт-Петербург улица Коллонтай дом 3  литер Б помещение 1Н</t>
  </si>
  <si>
    <t>ЮЛ770100419400120</t>
  </si>
  <si>
    <t>191040 город Санкт-Петербург проспект Лиговский дом 30  литер А</t>
  </si>
  <si>
    <t>ЮЛ770100419400122</t>
  </si>
  <si>
    <t>198216 город Санкт-Петербург бульвар Новаторов дом 11 корпус 2  литер А</t>
  </si>
  <si>
    <t>ЮЛ770100419400123</t>
  </si>
  <si>
    <t>197341 город Санкт-Петербург проспект Коломяжский дом 17 корпус 2 литер а</t>
  </si>
  <si>
    <t>ЮЛ770100419400124</t>
  </si>
  <si>
    <t>196244 город Санкт-Петербург проспект Космонавтов дом 14  литер б</t>
  </si>
  <si>
    <t>ЮЛ770100419400210</t>
  </si>
  <si>
    <t>191025 город Санкт-Петербург проспект Невский дом 114-116  литер А</t>
  </si>
  <si>
    <t>ЮЛ770100419400215</t>
  </si>
  <si>
    <t>195027 город Санкт-Петербург дорога Брантовская дом 3</t>
  </si>
  <si>
    <t>ЮЛ770100419400222</t>
  </si>
  <si>
    <t>194358 город Санкт-Петербург проспект Энгельса дом 154  литера А комната №41</t>
  </si>
  <si>
    <t>ЮЛ770100419400233</t>
  </si>
  <si>
    <t>197136 город Санкт-Петербург проспект Большой П.С. дом 70-72  литера А помещение 4-н</t>
  </si>
  <si>
    <t>ЮЛ770100419400248</t>
  </si>
  <si>
    <t>197348 город Санкт-Петербург проспект Коломяжский дом 22 строение 1</t>
  </si>
  <si>
    <t>ЮЛ770100419400250</t>
  </si>
  <si>
    <t>196244 город Санкт-Петербург проспект Космонавтов дом 14  литера Б часть помещения №22 помещения 1-Н</t>
  </si>
  <si>
    <t>ЮЛ770100219100005</t>
  </si>
  <si>
    <t>198322 город Санкт-Петербург шоссе Петергофское дом 51, литера А  А пом. №1-Н</t>
  </si>
  <si>
    <t>ЮЛ770100219100009</t>
  </si>
  <si>
    <t>ЮЛ770100219100010</t>
  </si>
  <si>
    <t>194358 город Санкт-Петербург проспект Энгельса дом 154  литера А помещение 20Н</t>
  </si>
  <si>
    <t>ЮЛ770100219100012</t>
  </si>
  <si>
    <t>197198 город Санкт-Петербург проспект Большой П.С. дом 26  литера А помещение 2Н</t>
  </si>
  <si>
    <t>ИП Филиппова Елена Александровна</t>
  </si>
  <si>
    <t>772814775484</t>
  </si>
  <si>
    <t>ИП7701012843</t>
  </si>
  <si>
    <t>ИП770101284300000</t>
  </si>
  <si>
    <t>198206 город Санкт-Петербург шоссе Петергофское дом 51  литера А помещение 1-Н, часть помещения 189, 660, 661, 1 этаж</t>
  </si>
  <si>
    <t>ЮЛ770100193500143</t>
  </si>
  <si>
    <t>195274 город Санкт-Петербург проспект Культуры дом 1  литер А часть 399 помещения 1-Н, 1 (первый) этаж</t>
  </si>
  <si>
    <t>ЮЛ770100193500145</t>
  </si>
  <si>
    <t>195027 город Санкт-Петербург дорога Брантовская дом 3   помещение 1-Н, часть помещения 350</t>
  </si>
  <si>
    <t>ЮЛ770100193500148</t>
  </si>
  <si>
    <t>196244 город Санкт-Петербург проспект Космонавтов дом 14   помещение А25</t>
  </si>
  <si>
    <t>ЮЛ770100193500150</t>
  </si>
  <si>
    <t>197341 город Санкт-Петербург проспект Коломяжский дом 17 корпус 2 литера А 3 (третий) этаж, часть от части помещения  № 186 помещения 1-Н</t>
  </si>
  <si>
    <t>ЮЛ770100193500151</t>
  </si>
  <si>
    <t>196158 город Санкт-Петербург улица Ленсовета дом 97  литера А 1 (первый) этаж, часть помещения 114, помещение 124 части помещения 1-Н</t>
  </si>
  <si>
    <t>ЮЛ770100193500154</t>
  </si>
  <si>
    <t>198302 город Санкт-Петербург проспект Стачек дом 99  литера А часть помещений 232-234 части помещения 1Н, 1 (первый) этаж</t>
  </si>
  <si>
    <t>ЮЛ770100193500155</t>
  </si>
  <si>
    <t>193313 город Санкт-Петербург улица Коллонтай дом 3   этаж 1,  часть помещения 90 помещения 1-Н</t>
  </si>
  <si>
    <t>ЮЛ770100193500156</t>
  </si>
  <si>
    <t>196603 город Санкт-Петербург, город Пушкин улица Полковая дом 1/25  литер А помещение 103</t>
  </si>
  <si>
    <t>ЮЛ770100193500158</t>
  </si>
  <si>
    <t>196653 город Санкт-Петербург, город Колпино улица Пролетарская дом 36  литера А  часть помещения  8-Н, 1 (первый) этаж</t>
  </si>
  <si>
    <t>ЮЛ770100193500159</t>
  </si>
  <si>
    <t>190031 город Санкт-Петербург улица Ефимова дом 3  литер С часть помещения № 7-Н, часть помещений № 57, 568, 569, 570</t>
  </si>
  <si>
    <t>ЮЛ770100193500379</t>
  </si>
  <si>
    <t>195220 город Санкт-Петербург проспект Гражданский дом 41 корпус 2 литера Б часть помещения № 117</t>
  </si>
  <si>
    <t>ЮЛ770100193500380</t>
  </si>
  <si>
    <t>195112 город Санкт-Петербург проспект Заневский дом 67 корпус 3 литера А помещение 2 и часть помещения 1 части помещения 5-Н, 2 (второй) этаж</t>
  </si>
  <si>
    <t>ЮЛ770100193500381</t>
  </si>
  <si>
    <t>194358 город Санкт-Петербург проспект Энгельса дом 154  литер А  часть комнаты № 2</t>
  </si>
  <si>
    <t>ЮЛ770100193500382</t>
  </si>
  <si>
    <t>191186 город Санкт-Петербург улица Малая Морская дом 4/1  литера А часть помещения 6-Н, часть помещения 7-Н, часть помещения 37, помещения 38,39,40,41,42,43,44,45,46, часть помещения 56, 2 (второй) этаж</t>
  </si>
  <si>
    <t>ЮЛ770100193500383</t>
  </si>
  <si>
    <t>192281 город Санкт-Петербург Балканская площадь дом 5  литер Д часть помещения 1, помещения 2, 3, 4, 5, 6, 7, 8 части помещения 1-Н, 1 (первый) этаж</t>
  </si>
  <si>
    <t>ЮЛ770100193500384</t>
  </si>
  <si>
    <t>196655 город Санкт-Петербург, город Колпино улица Октябрьская дом 8  литера А</t>
  </si>
  <si>
    <t>ЮЛ770100193500385</t>
  </si>
  <si>
    <t>196105 город Санкт-Петербург проспект Московский дом 137  литера Б  помещение № 23-Н</t>
  </si>
  <si>
    <t>ЮЛ770100193500386</t>
  </si>
  <si>
    <t>195279 город Санкт-Петербург проспект Индустриальный дом 24  Литера А</t>
  </si>
  <si>
    <t>ЮЛ770100193500387</t>
  </si>
  <si>
    <t>197374 город Санкт-Петербург дорога Торфяная дом 7  литера В часть помещения 7Н, часть помещения 18, второй этаж</t>
  </si>
  <si>
    <t>ЮЛ770100193500411</t>
  </si>
  <si>
    <t>197372 город Санкт-Петербург площадь Комендантская дом 1  литер А часть помещения № 282</t>
  </si>
  <si>
    <t>ЮЛ770100193500412</t>
  </si>
  <si>
    <t>192241 город Санкт-Петербург улица Пражская дом 48/50  литера А часть 94,95,96,97,98,99,100 помещения 1-Н, 1 (первый) этаж</t>
  </si>
  <si>
    <t>ЮЛ770100193500413</t>
  </si>
  <si>
    <t>194356 город Санкт-Петербург проспект Энгельса дом 120  литера А часть помещения 1-Н, помещение № 108, 1 (первый) этаж</t>
  </si>
  <si>
    <t>ЮЛ770100193500414</t>
  </si>
  <si>
    <t>192102 город Санкт-Петербург улица Фучика дом 2  литер А помещение № 1-Н</t>
  </si>
  <si>
    <t>ЮЛ770100193500415</t>
  </si>
  <si>
    <t>193168 город Санкт-Петербург проспект Большевиков дом 18  литера А помещение 65 части помещения 1-Н, первый этаж</t>
  </si>
  <si>
    <t>ЮЛ770100193500486</t>
  </si>
  <si>
    <t>194358 город Санкт-Петербург улица Михаила Дудина дом 6 строение 1, корпус 1  помещение № 8, этаж 1 (первый)</t>
  </si>
  <si>
    <t>ЮЛ770100193500555</t>
  </si>
  <si>
    <t>191025 город Санкт-Петербург проспект Невский дом 114-116 литера А  часть помещения 1Н № 59, этаж 1 (первый)</t>
  </si>
  <si>
    <t>ЮЛ770100193500560</t>
  </si>
  <si>
    <t>192238 город Санкт-Петербург улица Белы Куна дом 3  литера А помещение 38 части помещения 18-Н, 1 (первый) этаж</t>
  </si>
  <si>
    <t>ЮЛ770100193500575</t>
  </si>
  <si>
    <t>195297 город Санкт-Петербург проспект Просвещения дом 80 корпус 1 стр 1  часть нежилого помещения № 14Н, 15Н, 16Н, 17Н, часть части помещения №14Н, этаж 1 (первый)</t>
  </si>
  <si>
    <t>ЮЛ770100193500590</t>
  </si>
  <si>
    <t>196240 город Санкт-Петербург шоссе Пулковское дом 25 корпус 1 литер А нежилое помещение частью № 357 помещения 3Н, этаж 1 (первый)</t>
  </si>
  <si>
    <t>ЮЛ770100193500605</t>
  </si>
  <si>
    <t>192177 город Санкт-Петербург улица Прибрежная дом 18  литер А часть нежилого помещения № 41-Н, этаж 1 (первый)</t>
  </si>
  <si>
    <t>ЮЛ770100193500620</t>
  </si>
  <si>
    <t>198095 город Санкт-Петербург площадь Стачек дом 9 строение 1  часть помещения 1 помещения 32-Н, 1 (первый) этаж</t>
  </si>
  <si>
    <t>ЮЛ770100193500658</t>
  </si>
  <si>
    <t>194100 город Санкт-Петербург проспект Полюстровский дом 81  литер А часть № 322, часть № 323, часть № 324, входящие в состав нежилого помещения 1-Н, этаж 2 (второй)</t>
  </si>
  <si>
    <t>ЮЛ770100193500727</t>
  </si>
  <si>
    <t>194356 город Санкт-Петербург проспект Просвещения дом 19  литера А помещение 1-Н, 2-Н, 3-Н, 5-Н, 12-Н, 13-Н,  14-Н, 17-Н, 18-Н, этажи цокольные 1-2-3-4 (первый, второй, третий, четвертый)</t>
  </si>
  <si>
    <t>ЮЛ770100193500748</t>
  </si>
  <si>
    <t>198216 город Санкт-Петербург бульвар Новаторов дом 11 корпус 2 литера А  часть № 14 нежилого помещения 1-Н,  этаж 1 (первый)</t>
  </si>
  <si>
    <t>ЮЛ770100193500762</t>
  </si>
  <si>
    <t>197341 город Санкт-Петербург проспект Коломяжский дом 17 корпус 2 литера А часть 70 помещения 1-Н, 1 (первый) этаж</t>
  </si>
  <si>
    <t>ЮЛ770100193500806</t>
  </si>
  <si>
    <t>192071 город Санкт-Петербург улица Будапештская дом 46  литера А часть помещения 8-Н</t>
  </si>
  <si>
    <t>ЮЛ770100193500946</t>
  </si>
  <si>
    <t>192171 город Санкт-Петербург улица Бабушкина дом 40 строение 1  часть помещения 1-Н № 47, этаж 1 (первый)</t>
  </si>
  <si>
    <t>ЮЛ770100193500995</t>
  </si>
  <si>
    <t>197374 город Санкт-Петербург улица Савушкина дом 141  литера А часть части помещения 185 части помещения 1Н, первый этаж</t>
  </si>
  <si>
    <t>ЮЛ770100193501026</t>
  </si>
  <si>
    <t>198320 город Красное Село проспект Ленина дом 61 корпус 2 литера А  помещение 5-Н</t>
  </si>
  <si>
    <t>ЮЛ770100193501033</t>
  </si>
  <si>
    <t>191040 город Санкт-Петербург улица Пушкинская дом 2/79  литера А помещение 1-Н</t>
  </si>
  <si>
    <t>ЮЛ770100193501038</t>
  </si>
  <si>
    <t>191040 город Санкт-Петербург проспект Лиговский дом 30  литера А помещение 1-Н, часть помещения 313, часть части помещения 316, часть части помещения 317, часть части помещения 349, 1 (первый) этаж</t>
  </si>
  <si>
    <t>ЮЛ770100193501039</t>
  </si>
  <si>
    <t>198322 город Санкт-Петербург шоссе Петергофское дом 51  литера А помещение 1-Н, часть помещения 141,175, этаж 1</t>
  </si>
  <si>
    <t>ЮЛ770100193501070</t>
  </si>
  <si>
    <t>191040 город Санкт-Петербург проспект Лиговский дом 30  литера А помещение 1-Н, помещение 375, помещение 376, 1 (первый) этаж</t>
  </si>
  <si>
    <t>ЮЛ770100193501126</t>
  </si>
  <si>
    <t>197372 город Санкт-Петербург площадь Комендантская дом 1  литера А помещение 3 части помещения 1-Н, 1 (первый) этаж</t>
  </si>
  <si>
    <t>ЮЛ770100193501147</t>
  </si>
  <si>
    <t>192242 город Санкт-Петербург улица Белы Куна дом 2 корпус 1 литера А помещение 17Н</t>
  </si>
  <si>
    <t>ЮЛ770100273400015</t>
  </si>
  <si>
    <t>194356 город Санкт-Петербург проспект Просвещения дом 19  литер А этаж цокольный, часть помещения 1-Н, помещение № 13</t>
  </si>
  <si>
    <t>ЮЛ770100273400037</t>
  </si>
  <si>
    <t>195277 город Санкт-Петербург набережная Выборгская дом 29  литера А помещение 11-Н, оф 415, 416</t>
  </si>
  <si>
    <t>ЮЛ160600373100000</t>
  </si>
  <si>
    <t>190020 город Санкт-Петербург проспект Лермонтовский дом 43/1 помещение №1-Н литера А часть комнаты 2</t>
  </si>
  <si>
    <t>ЮЛ160600373100013</t>
  </si>
  <si>
    <t>199178 город Санкт-Петербург Большой проспект Васильевского острова Дом 63/17  Литер А Помещение №15-Н</t>
  </si>
  <si>
    <t>ИП Пекун Александр Дмитриевич</t>
  </si>
  <si>
    <t>774309027601</t>
  </si>
  <si>
    <t>ИП7701000825</t>
  </si>
  <si>
    <t>ИП770100082500000</t>
  </si>
  <si>
    <t>197198 город Санкт-Петербург улица Большая Пушкарская Дом 2  Литера А Помещение №6-Н</t>
  </si>
  <si>
    <t>ИП770100082500001</t>
  </si>
  <si>
    <t>198095 город Санкт-Петербург площадь Стачек дом 9  Литера А</t>
  </si>
  <si>
    <t>ИП Селиверстов Сергей Анатольевич</t>
  </si>
  <si>
    <t>780100001826</t>
  </si>
  <si>
    <t>ИП7803014132</t>
  </si>
  <si>
    <t>ИП780301413200003</t>
  </si>
  <si>
    <t>199034 город Санкт-Петербург набережная Университетская 7-9-11  А</t>
  </si>
  <si>
    <t>САНКТ-ПЕТЕРБУРГСКИЙ ГОСУДАРСТВЕННЫЙ УНИВЕРСИТЕТ, САНКТ-ПЕТЕРБУРГСКИЙ УНИВЕРСИТЕТ ИЛИ СПБГУ</t>
  </si>
  <si>
    <t>7801002274</t>
  </si>
  <si>
    <t>ЮЛ7803030747</t>
  </si>
  <si>
    <t>ЮЛ780303074700000</t>
  </si>
  <si>
    <t>192029 город Санкт-Петербург проспект Обуховской обороны дом 105 Литер А  Помещение № 224, 2- ой этаж</t>
  </si>
  <si>
    <t>ИП470303001900000</t>
  </si>
  <si>
    <t>197348 город Санкт-Петербург Коломяжский проспект Дом 10  лит.АУ второй этаж помещение №50</t>
  </si>
  <si>
    <t>ИП780300359000000</t>
  </si>
  <si>
    <t>191186 город Санкт-Петербург проспект Невский дом 35 литер А  в помещении 1Н, (часть 62)</t>
  </si>
  <si>
    <t>ИП780300359000011</t>
  </si>
  <si>
    <t>190000 город Санкт-Петербург проспект Коломяжский дом17 корпус 2 литер А часть помещения № 218 (4-Н)</t>
  </si>
  <si>
    <t>ИП780300359000025</t>
  </si>
  <si>
    <t>190000 город Санкт-Петербург проспект Полюстровский дом 84  литер А часть от части помещения №306 (согласно нумерации Арендодателя место №К48) 6 кв.м. входящую в состав нежилого помещения 1Н</t>
  </si>
  <si>
    <t>ИП780300359000028</t>
  </si>
  <si>
    <t>190031 Город Санкт-Петербург Переулок Спасский Дом 11 Корпус 1   Литер А Помещение 21-Н, первый этаж</t>
  </si>
  <si>
    <t>ИП780300136300000</t>
  </si>
  <si>
    <t>195297 Город Санкт-Петербург проспект Светлановский Дом 109 Корпус 1  Литер А Помещение 20Н, этаж №1</t>
  </si>
  <si>
    <t>ИП780300136300001</t>
  </si>
  <si>
    <t>193230 Город Санкт-Петербург проспект Дальневосточный Дом 12 Корпус 2 Строение 1  Помещение №98-Н, второй этаж</t>
  </si>
  <si>
    <t>ИП780300136300003</t>
  </si>
  <si>
    <t>197136 город Санкт-Петербург проспект Большой П.С. 58  литера А Помещение № 2-1, второй этаж</t>
  </si>
  <si>
    <t>ИП780300136300004</t>
  </si>
  <si>
    <t>198322 город Санкт-Петербург проспект Героев дом 35 строение 1  Помещение 8-Н</t>
  </si>
  <si>
    <t>ИП780300136300009</t>
  </si>
  <si>
    <t>191123 город Санкт-Петербург улица Чайковского дом 22  Литер А Помещение 12-Н, Кабинет 1</t>
  </si>
  <si>
    <t>ИП780300136300010</t>
  </si>
  <si>
    <t>192281 город Санкт-Петербург улица Ярослава Гашека дом 6  литера А Нежилое помещение, первый этаж</t>
  </si>
  <si>
    <t>ИП780300136300011</t>
  </si>
  <si>
    <t>192241 город Санкт-Петербург улица Пражская дом 48/50  литера А часть №75,76 нежилого помещения 1-Н</t>
  </si>
  <si>
    <t>ИП780300136300015</t>
  </si>
  <si>
    <t>197372 город Санкт-Петербург проспект Авиаконструкторов дом 5 корпус 2  Часть секции № 1</t>
  </si>
  <si>
    <t>ИП780300136300016</t>
  </si>
  <si>
    <t>192241 город Санкт-Петербург улица Пражская дом 48/50  литера А №172</t>
  </si>
  <si>
    <t>ИП780300136300017</t>
  </si>
  <si>
    <t>195030 город Санкт-Петербург улица Электропультовцев 7  Л часть нежилого помещения  7-Н, 8-Н</t>
  </si>
  <si>
    <t>ИП780300136300018</t>
  </si>
  <si>
    <t>199106 Санкт-Петербург улица Шкиперский проток дом 14 корпус 8 литера Д помещения № 46, 135-138</t>
  </si>
  <si>
    <t>ИП Зоричева Ольга Александровна</t>
  </si>
  <si>
    <t>780105891202</t>
  </si>
  <si>
    <t>ИП7803013715</t>
  </si>
  <si>
    <t>ИП780301371500000</t>
  </si>
  <si>
    <t>199004 город Санкт-Петербург линия 6-я В.О. дом 3/10  литера А пом.1Н</t>
  </si>
  <si>
    <t>ИП Хэ Минвэй</t>
  </si>
  <si>
    <t>780111179949</t>
  </si>
  <si>
    <t>ИП7803036132</t>
  </si>
  <si>
    <t>ИП780303613200000</t>
  </si>
  <si>
    <t>199004 Санкт-Петебург  линия 6-я, В.О. 23  А 11Н</t>
  </si>
  <si>
    <t>ООО "ЯНУС"</t>
  </si>
  <si>
    <t>7801132403</t>
  </si>
  <si>
    <t>ЮЛ7803009616</t>
  </si>
  <si>
    <t>ЮЛ780300961600000</t>
  </si>
  <si>
    <t>197183 город Санкт-Петербург улица Сабировская дом 37  литер Д Помещение 142, 143, 144</t>
  </si>
  <si>
    <t>ООО "ВЕГА"</t>
  </si>
  <si>
    <t>7801247517</t>
  </si>
  <si>
    <t>ЮЛ7803005866</t>
  </si>
  <si>
    <t>ЮЛ780300586600000</t>
  </si>
  <si>
    <t>190005 город Санкт-Петербург набережная Обводного канала дом 118  литера С часть помещения 42, является частью помещения 1-Н</t>
  </si>
  <si>
    <t>ЮЛ780300112800007</t>
  </si>
  <si>
    <t>194100 город Санкт-Петербург проспект Полюстровский дом 84   ч.ч. пом. 306</t>
  </si>
  <si>
    <t>ООО "ЛАВКА СЧАСТЬЯ"</t>
  </si>
  <si>
    <t>7801279854</t>
  </si>
  <si>
    <t>ЮЛ7803030785</t>
  </si>
  <si>
    <t>ЮЛ780303078500007</t>
  </si>
  <si>
    <t>191040 город Санкт-Петербург проспект Лиговский дом 30  литера А Часть комнаты 349 помещения 1-Н</t>
  </si>
  <si>
    <t>ЮЛ780303078500010</t>
  </si>
  <si>
    <t>191186 город Санкт-Петербург проспект Невский дом 22-24  литера А пом. 42Н</t>
  </si>
  <si>
    <t>ЮЛ780303078500011</t>
  </si>
  <si>
    <t>190031 город Санкт-Петербург улица Большая Морская дом 39  литера А ч.п. 2-Н (комн. 138, 139)</t>
  </si>
  <si>
    <t>ЮЛ780303078500013</t>
  </si>
  <si>
    <t>191186 город Санкт-Петербург проспект Невский дом 48  литера А часть нежилых по помещений 99, 100, 101 (часть помещения 1-Н)</t>
  </si>
  <si>
    <t>ЮЛ780303078500015</t>
  </si>
  <si>
    <t>ЮЛ780303078500017</t>
  </si>
  <si>
    <t>191011 город Санкт-Петербург проспект Невский 32-34  А ч.п. 72 Н комнаты 1-11; 14-18</t>
  </si>
  <si>
    <t>ЮЛ780300204700000</t>
  </si>
  <si>
    <t>197374 город Санкт-Петербург улица Савушкина дом 126  литер А нежилое помещение 99-Н на 1этаже</t>
  </si>
  <si>
    <t>ИП Воблый Валентин Алексеевич</t>
  </si>
  <si>
    <t>780150536464</t>
  </si>
  <si>
    <t>ИП7803008836</t>
  </si>
  <si>
    <t>ИП780300883600000</t>
  </si>
  <si>
    <t>197198 город Санкт-Петербург проспект Большой П.С. дом 29А  литера Б помещ.1-Н</t>
  </si>
  <si>
    <t>ООО "ПЛАТИНОВАЯ ЛАБОРАТОРИЯ"</t>
  </si>
  <si>
    <t>7801549370</t>
  </si>
  <si>
    <t>ЮЛ7803006541</t>
  </si>
  <si>
    <t>ЮЛ780300654100000</t>
  </si>
  <si>
    <t>199178 город Санкт-Петербург набережная Реки Смоленки дом 17 корпус 2 Литер М комната 3-м</t>
  </si>
  <si>
    <t>ООО "ПРОФЮВЕЛИР"</t>
  </si>
  <si>
    <t>7801550810</t>
  </si>
  <si>
    <t>ЮЛ7803017620</t>
  </si>
  <si>
    <t>ЮЛ780301762000000</t>
  </si>
  <si>
    <t>199034 город Санкт-Петербург линия 6-я В.О. дом 1/25  литер А офис 18/пом.13Н</t>
  </si>
  <si>
    <t>ООО "ТРОЙСКИЙ СТАНДАРТ"</t>
  </si>
  <si>
    <t>7801566986</t>
  </si>
  <si>
    <t>ЮЛ7803008796</t>
  </si>
  <si>
    <t>ЮЛ780300879600000</t>
  </si>
  <si>
    <t>193318 город Санкт-Петербург улица Ворошилова дом 6  литера "М" ком. №ПЛ-211/8</t>
  </si>
  <si>
    <t>ИП780300226000000</t>
  </si>
  <si>
    <t>197046 город Санкт-Петербург улица Мичуринская дом 1  литер а помещение 41Н</t>
  </si>
  <si>
    <t>ИП Александрова Татьяна Михайловна</t>
  </si>
  <si>
    <t>780160542724</t>
  </si>
  <si>
    <t>ИП7803012710</t>
  </si>
  <si>
    <t>ИП780301271000000</t>
  </si>
  <si>
    <t>190068 город Санкт-Петербург набережная Канала Грибоедова дом 119-121  литера А 11-Н</t>
  </si>
  <si>
    <t>ИП780301271000001</t>
  </si>
  <si>
    <t>199406 город Санкт-Петербург проспект Малый В.О. 88 2 А</t>
  </si>
  <si>
    <t>ИП Кузьмина Юлия Викторовна</t>
  </si>
  <si>
    <t>780162084903</t>
  </si>
  <si>
    <t>ИП7803008228</t>
  </si>
  <si>
    <t>ИП780300822800000</t>
  </si>
  <si>
    <t>195009 город Санкт-Петербург проспект Кондратьевский дом 2  литер м помещение 3Н</t>
  </si>
  <si>
    <t>ИП Чечин Павел Сергеевич</t>
  </si>
  <si>
    <t>780162223297</t>
  </si>
  <si>
    <t>ИП7803015374</t>
  </si>
  <si>
    <t>ИП780301537400000</t>
  </si>
  <si>
    <t>199397 город Санкт-Петербург набережная Новосмоленская дом 1  литера 3 пом.1-Н, 19-Н</t>
  </si>
  <si>
    <t>ООО "ЭКСПО-ТРЕЙД"</t>
  </si>
  <si>
    <t>7801674068</t>
  </si>
  <si>
    <t>ЮЛ7803030889</t>
  </si>
  <si>
    <t>ЮЛ780303088900000</t>
  </si>
  <si>
    <t>191023 город Санкт-Петербург набережная Реки Фонтанки дом 43 - литера А помещение 6-Н</t>
  </si>
  <si>
    <t>ООО "КРУГ"</t>
  </si>
  <si>
    <t>7801697259</t>
  </si>
  <si>
    <t>ЮЛ7803011127</t>
  </si>
  <si>
    <t>ЮЛ780301112700003</t>
  </si>
  <si>
    <t>199034 город Санкт-Петербург линия 5-я В.О. дом 2/19  А  этаж 1, пом.1Н</t>
  </si>
  <si>
    <t>ООО "ВИТА"</t>
  </si>
  <si>
    <t>7801709063</t>
  </si>
  <si>
    <t>ЮЛ7803034211</t>
  </si>
  <si>
    <t>ЮЛ780303421100000</t>
  </si>
  <si>
    <t>197760 город Кронштадт улица Коммунистическая дом 3   помещение 6-Н</t>
  </si>
  <si>
    <t>ЮЛ780303421100001</t>
  </si>
  <si>
    <t>199178 город Санкт-Петербург линия 19-я В.О. дом 34 1 Б 106</t>
  </si>
  <si>
    <t>ООО "ХЭНДС РЕМЕМБЕР"</t>
  </si>
  <si>
    <t>7801719488</t>
  </si>
  <si>
    <t>ЮЛ7803036486</t>
  </si>
  <si>
    <t>ЮЛ780303648600000</t>
  </si>
  <si>
    <t>199106 город Санкт-Петербург, вн.тер.г.муниципальный округ Гавань улица Шкиперский проток дом 14 корпус 8  литера Д 156,157</t>
  </si>
  <si>
    <t>ООО "РУССКИЕ"</t>
  </si>
  <si>
    <t>7801723371</t>
  </si>
  <si>
    <t>ЮЛ7803034965</t>
  </si>
  <si>
    <t>ЮЛ780303496500000</t>
  </si>
  <si>
    <t>199034 город Санкт-Петербург набережная Университетская дом 5  литера Б помещение 2-Н (ком.№№1,2,5-19)</t>
  </si>
  <si>
    <t>ООО "АРТ ОСТРОВ"</t>
  </si>
  <si>
    <t>7801728059</t>
  </si>
  <si>
    <t>ЮЛ7803040710</t>
  </si>
  <si>
    <t>ЮЛ780304071000000</t>
  </si>
  <si>
    <t>199106 город Санкт-Петербург линия Кожевенная дом 34  литера А помещение 458-464,467-471,777</t>
  </si>
  <si>
    <t>ООО "МОЗИ ДЖЕЙ ГОЛД"</t>
  </si>
  <si>
    <t>7801733210</t>
  </si>
  <si>
    <t>ЮЛ7803036817</t>
  </si>
  <si>
    <t>ЮЛ780303681700001</t>
  </si>
  <si>
    <t>195009 город Санкт-Петербург улица Комсомола дом 16  литера А помещение 10-н</t>
  </si>
  <si>
    <t>ООО "ГОЛД-СКУПКА"</t>
  </si>
  <si>
    <t>7801735634</t>
  </si>
  <si>
    <t>ЮЛ7803037614</t>
  </si>
  <si>
    <t>ЮЛ780303761400001</t>
  </si>
  <si>
    <t>194354 город Санкт-Петербург проспект Луначарского дом 60 корпус 1 литера Д  помещение 6-н, 1 этаж</t>
  </si>
  <si>
    <t>ЮЛ780303761400002</t>
  </si>
  <si>
    <t>198216 город Санкт-Петербург проспект Ленинский дом 127  литера А помещение 23н</t>
  </si>
  <si>
    <t>ЮЛ780303761400003</t>
  </si>
  <si>
    <t>192177 город Санкт-Петербург проспект Шлиссельбургский дом 11  литера А помещение 3-н</t>
  </si>
  <si>
    <t>ЮЛ780303761400005</t>
  </si>
  <si>
    <t>190000 город Санкт-Петербург Морская набережная 15  А № 30-Н/04</t>
  </si>
  <si>
    <t>ООО "СН"</t>
  </si>
  <si>
    <t>7801735708</t>
  </si>
  <si>
    <t>ЮЛ7803039911</t>
  </si>
  <si>
    <t>ЮЛ780303991100000</t>
  </si>
  <si>
    <t>199058 город Санкт-Петербург улица Кораблестроителей дом 30  литера А помещение 41-Н</t>
  </si>
  <si>
    <t>ООО "УРАНГОЛД"</t>
  </si>
  <si>
    <t>7801735916</t>
  </si>
  <si>
    <t>ЮЛ7803037604</t>
  </si>
  <si>
    <t>ЮЛ780303760400000</t>
  </si>
  <si>
    <t>199106 город Санкт-Петербург улица Кораблестроителей дом 12 корпус 2  А помещение 2Н</t>
  </si>
  <si>
    <t>ИП Колоницкий Филипп Александрович</t>
  </si>
  <si>
    <t>780201579934</t>
  </si>
  <si>
    <t>ИП7803003849</t>
  </si>
  <si>
    <t>ИП780300384900000</t>
  </si>
  <si>
    <t>192171 Санкт-Петербург Проспект Обуховской Обороны дом 151  литера  Ж  помещения 2-ого этажа в/о 1-5/А-Д</t>
  </si>
  <si>
    <t>ООО "МАСТЕРСКИЕ ЮРИЯ ФЕДОРОВА"</t>
  </si>
  <si>
    <t>7802199947</t>
  </si>
  <si>
    <t>ЮЛ7803011511</t>
  </si>
  <si>
    <t>ЮЛ780301151100000</t>
  </si>
  <si>
    <t>191167 город Санкт-Петербург улица Херсонская дом 39  литера А помещение 4-Н</t>
  </si>
  <si>
    <t>ИП Цветкова Юлия Викторовна</t>
  </si>
  <si>
    <t>780220911062</t>
  </si>
  <si>
    <t>ИП7803011500</t>
  </si>
  <si>
    <t>ИП780301150000000</t>
  </si>
  <si>
    <t>194044 город Санкт-Петербург переулок Зеленков дом 7а  литер В неж. пом. 5-Н 35,37,38,41,42,44-68,70</t>
  </si>
  <si>
    <t>ООО "ЗАВОД "КАСТ"</t>
  </si>
  <si>
    <t>7802212299</t>
  </si>
  <si>
    <t>ЮЛ7803005431</t>
  </si>
  <si>
    <t>ЮЛ780300543100000</t>
  </si>
  <si>
    <t>197374 город Санкт-Петербург дорога Торфяная дом 7  литер Б часть пом. 2-Н №3 (124) 1 этаж</t>
  </si>
  <si>
    <t>ООО "ГАРОЛЬД"</t>
  </si>
  <si>
    <t>7802219880</t>
  </si>
  <si>
    <t>ЮЛ7803006353</t>
  </si>
  <si>
    <t>ЮЛ780300635300000</t>
  </si>
  <si>
    <t>191025 город Санкт-Петербург проспект Невский дом 114-116  литера А ч.п. 1-Н №60</t>
  </si>
  <si>
    <t>ЮЛ780300635300001</t>
  </si>
  <si>
    <t>196244 город Санкт-Петербург проспект Космонавтов дом 14  литера А ч. п. №579,580,581 П. 1-Н</t>
  </si>
  <si>
    <t>ЮЛ780300635300003</t>
  </si>
  <si>
    <t>191025 город Санкт-Петербург Маяковского дом 1/96  литера а ч. п. 2н</t>
  </si>
  <si>
    <t>ЮЛ780300635300004</t>
  </si>
  <si>
    <t>191186 город Санкт-Петербург проспект Невский дом 35  литера А 1-Н /часть помещения 70</t>
  </si>
  <si>
    <t>ЮЛ780300099300001</t>
  </si>
  <si>
    <t>199155 город Санкт-Петербург улица Одоевского Дом 31  Литера А</t>
  </si>
  <si>
    <t>ИП780301531600000</t>
  </si>
  <si>
    <t>195220 город Санкт-Петербург проспект Гражданский дом 41 корпус 2  литера Б часть от части № 1 нежилого помещения 1Н</t>
  </si>
  <si>
    <t>ИП780301531600002</t>
  </si>
  <si>
    <t>195027 город Санкт-Петербург проспект Металлистов дом 7  Литера А блок №3</t>
  </si>
  <si>
    <t>ИП780303215800000</t>
  </si>
  <si>
    <t>191186 город Санкт-Петербург улица Большая Конюшенная дом 17  литера А помещение 19Н</t>
  </si>
  <si>
    <t>ИП780303215800002</t>
  </si>
  <si>
    <t>195277 город Санкт-Петербург набережная Пироговская дом 17 корпус 1 литера А  помещение 1-Н №4</t>
  </si>
  <si>
    <t>ИП Битаров Павел Тамерланович</t>
  </si>
  <si>
    <t>780243798060</t>
  </si>
  <si>
    <t>ИП7803035982</t>
  </si>
  <si>
    <t>ИП780303598200000</t>
  </si>
  <si>
    <t>192171 город Санкт-Петербург проспект Обуховской Обороны дом 127а  литер А офис 1-Н, часть помещения №31</t>
  </si>
  <si>
    <t>ИП ЖАКЕНОВА А. И.</t>
  </si>
  <si>
    <t>780245163796</t>
  </si>
  <si>
    <t>ИП7803037224</t>
  </si>
  <si>
    <t>ИП780303722400000</t>
  </si>
  <si>
    <t>197341 город Санкт-Петербург шоссе Фермское дом 20 корпус 1 литер А</t>
  </si>
  <si>
    <t>ИП Дугинов Никита Андреевич</t>
  </si>
  <si>
    <t>780247097193</t>
  </si>
  <si>
    <t>ИП7803014530</t>
  </si>
  <si>
    <t>ИП780301453000000</t>
  </si>
  <si>
    <t>194100 город Санкт-Петербург улица Кантемировская дом 5 корпус 6 литер А пом. 5-Н, кабинет 72</t>
  </si>
  <si>
    <t>ООО "СЮЗ БРИЛЛИАНТЫ ПЕТЕРБУРГА"</t>
  </si>
  <si>
    <t>7802634036</t>
  </si>
  <si>
    <t>ЮЛ7803006441</t>
  </si>
  <si>
    <t>ЮЛ780300644100000</t>
  </si>
  <si>
    <t>194100 город Санкт-Петербург улица Кантемировская дом 5 корпус 8  комната 104</t>
  </si>
  <si>
    <t>ЮЛ780301232700000</t>
  </si>
  <si>
    <t>196240 город Санкт-Петербург шоссе Пулковское 25 1 А 3н</t>
  </si>
  <si>
    <t>ЮЛ780301232700011</t>
  </si>
  <si>
    <t>194291 город Санкт-Петербург проспект Просвещения 43 строение 1  помещ.28, помещ. 223Н</t>
  </si>
  <si>
    <t>ЮЛ780301232700012</t>
  </si>
  <si>
    <t>194356 город Санкт-Петербург проспект Энгельса дом 134 корпус 3 литера А помещение 32Н</t>
  </si>
  <si>
    <t>ООО "ЭНГЕЛЬСА ЮК"</t>
  </si>
  <si>
    <t>7802834878</t>
  </si>
  <si>
    <t>ЮЛ7803002891</t>
  </si>
  <si>
    <t>ЮЛ780300289100000</t>
  </si>
  <si>
    <t>193079 город Санкт-Петербург вн.тер.г. муниципальный округ Народный улица Новосёлов дом 8 - Литера А офис 666</t>
  </si>
  <si>
    <t>ООО "ЭСТЕТИКА"</t>
  </si>
  <si>
    <t>7802884893</t>
  </si>
  <si>
    <t>ЮЛ7803003756</t>
  </si>
  <si>
    <t>ЮЛ780300375600000</t>
  </si>
  <si>
    <t>197198 город Санкт-Петербург проспект Большой П.С. дом 2/1  литера А пом. 9-Н, комната №2</t>
  </si>
  <si>
    <t>7802939060</t>
  </si>
  <si>
    <t>ЮЛ7803034033</t>
  </si>
  <si>
    <t>ЮЛ780303403300000</t>
  </si>
  <si>
    <t>194363 поселок Парголово улица Заречная дом 37  ЛИТЕРА А ПОМЕЩЕНИЕ 22Н ЧАСТЬ №1</t>
  </si>
  <si>
    <t>7802941044</t>
  </si>
  <si>
    <t>ЮЛ7803034359</t>
  </si>
  <si>
    <t>ЮЛ780303435900000</t>
  </si>
  <si>
    <t>197348 город Санкт-Петербург проспект Коломяжский дом 10  литера бл</t>
  </si>
  <si>
    <t>ООО "МОМО ГОЛД"</t>
  </si>
  <si>
    <t>7802965503</t>
  </si>
  <si>
    <t>ЮЛ7803039969</t>
  </si>
  <si>
    <t>ЮЛ780303996900000</t>
  </si>
  <si>
    <t>192281 город Санкт-Петербург площадь Балканская Дом 5  Я 1-Н пом.9</t>
  </si>
  <si>
    <t>ИП Менис Сергей Константинович</t>
  </si>
  <si>
    <t>780405033773</t>
  </si>
  <si>
    <t>ИП7803003580</t>
  </si>
  <si>
    <t>ИП780300358000000</t>
  </si>
  <si>
    <t>198095 город Санкт-Петербург улица Швецова дом 41 2 литера А 203</t>
  </si>
  <si>
    <t>ИП Кузнецов Алексей Александрович</t>
  </si>
  <si>
    <t>780416231304</t>
  </si>
  <si>
    <t>ИП7803037789</t>
  </si>
  <si>
    <t>ИП780303778900000</t>
  </si>
  <si>
    <t>191002 город Санкт-Петербург улица Рубинштейна дом 15-17  литера А пом. 73 Н</t>
  </si>
  <si>
    <t>ООО "СЧАСТЬЕ НА РУБИНШТЕЙНА"</t>
  </si>
  <si>
    <t>7804208643</t>
  </si>
  <si>
    <t>ЮЛ7803020381</t>
  </si>
  <si>
    <t>ЮЛ780302038100000</t>
  </si>
  <si>
    <t>191181 город Санкт-Петербург улица Большая Морская дом 7  литера А помещение 8-н</t>
  </si>
  <si>
    <t>ИП Шепетенко Елена Николаевна</t>
  </si>
  <si>
    <t>780430359384</t>
  </si>
  <si>
    <t>ИП7803040940</t>
  </si>
  <si>
    <t>ИП780304094000000</t>
  </si>
  <si>
    <t>195220 город Санкт-Петербург проспект Гражданский дом 36  литера А помещение 26Н</t>
  </si>
  <si>
    <t>ООО "ЮВЕЛИР-КАРАТ" НА ГРАЖДАНСКОМ"</t>
  </si>
  <si>
    <t>7804325812</t>
  </si>
  <si>
    <t>ЮЛ7803004108</t>
  </si>
  <si>
    <t>ЮЛ780300410800000</t>
  </si>
  <si>
    <t>194356 город Санкт-Петербург проспект Энгельса дом 134 корпус 3 А 32Н</t>
  </si>
  <si>
    <t>ООО "ЮВЕЛИР-КАРАТ "ГРАНД"</t>
  </si>
  <si>
    <t>7804350713</t>
  </si>
  <si>
    <t>ЮЛ7803002368</t>
  </si>
  <si>
    <t>ЮЛ780300236800000</t>
  </si>
  <si>
    <t>195009 город Санкт-Петербург проспект Кондратьевский дом 2  литер Ж пом. 3Н</t>
  </si>
  <si>
    <t>ООО "ГРАНТ"</t>
  </si>
  <si>
    <t>7804358423</t>
  </si>
  <si>
    <t>ЮЛ7803005893</t>
  </si>
  <si>
    <t>ЮЛ780300589300000</t>
  </si>
  <si>
    <t>197046 город Санкт-Петербург улица Куйбышева дом 22  литера А помещение 14Н</t>
  </si>
  <si>
    <t>ИП Калашникова Маргарита Александровна</t>
  </si>
  <si>
    <t>780436487336</t>
  </si>
  <si>
    <t>ИП7803032719</t>
  </si>
  <si>
    <t>ИП780303271900000</t>
  </si>
  <si>
    <t>195112 город Санкт-Петербург проспект Новочеркасский дом 1  литера Е нежилое помещение/комнаты 94-96, расположенные в помещении 1-Н</t>
  </si>
  <si>
    <t>ИП Цибизов Леонид Вадимович</t>
  </si>
  <si>
    <t>780440955918</t>
  </si>
  <si>
    <t>ИП4703039133</t>
  </si>
  <si>
    <t>ИП470303913300000</t>
  </si>
  <si>
    <t>195271 город Санкт-Петербург улица Бестужевская дом 10  литер а пом. 9Н,К128-145,132А,145В-Д</t>
  </si>
  <si>
    <t>ООО "НЕВСКИЙ - СПБ"</t>
  </si>
  <si>
    <t>7804434191</t>
  </si>
  <si>
    <t>ЮЛ7803001370</t>
  </si>
  <si>
    <t>ЮЛ780300137000000</t>
  </si>
  <si>
    <t>195265 город Санкт-Петербург проспект Гражданский дом 113 корпус 3 литера А помещение 15Н</t>
  </si>
  <si>
    <t>ООО "ЮВЕЛИР-КАРАТ" ГРАЖДАНСКИЙ 2"</t>
  </si>
  <si>
    <t>7804463548</t>
  </si>
  <si>
    <t>ЮЛ7803005449</t>
  </si>
  <si>
    <t>ЮЛ780300544900000</t>
  </si>
  <si>
    <t>197374 город Санкт-Петербург Савушкина 124 1 А 6Н</t>
  </si>
  <si>
    <t>ЮЛ780300544900001</t>
  </si>
  <si>
    <t>197046 город Санкт-Петербург Каменноостровский проспект  дом 9/2  литера А пом. 6Н офис 3</t>
  </si>
  <si>
    <t>ООО "БАРТЭ ГОЛД"</t>
  </si>
  <si>
    <t>7804513781</t>
  </si>
  <si>
    <t>ЮЛ7803004231</t>
  </si>
  <si>
    <t>ЮЛ780300423100000</t>
  </si>
  <si>
    <t>195197 город Санкт-Петербург улица Жукова дом 18 корпус 309 литер Д помещение 14Н (№93)</t>
  </si>
  <si>
    <t>ООО "ТПК ЛЕОНА"</t>
  </si>
  <si>
    <t>7804515490</t>
  </si>
  <si>
    <t>ЮЛ7803009679</t>
  </si>
  <si>
    <t>ЮЛ780300967900000</t>
  </si>
  <si>
    <t>192019 город Санкт-Петербург улица Смоляная дом 11 корпус 2 литера А  помещение 1-Н №№42-44, 60-62,</t>
  </si>
  <si>
    <t>ООО "ИМПЕРИЯ ПЕТЕРБУРГ"</t>
  </si>
  <si>
    <t>7804566409</t>
  </si>
  <si>
    <t>ЮЛ7803016176</t>
  </si>
  <si>
    <t>ЮЛ780301617600000</t>
  </si>
  <si>
    <t>195197 город Санкт-Петербург улица Жукова дом 18  литера Д пом. 17Н-126</t>
  </si>
  <si>
    <t>ООО "САДКО"</t>
  </si>
  <si>
    <t>7804621360</t>
  </si>
  <si>
    <t>ЮЛ7803004222</t>
  </si>
  <si>
    <t>ЮЛ780300422200000</t>
  </si>
  <si>
    <t>195197 город Санкт-Петербург улица Жукова дом 18 корпус 301 лит. Д  пом. 17Н-101</t>
  </si>
  <si>
    <t>ООО "ДИЛАЙТ"</t>
  </si>
  <si>
    <t>7804626947</t>
  </si>
  <si>
    <t>ЮЛ7803004225</t>
  </si>
  <si>
    <t>ЮЛ780300422500000</t>
  </si>
  <si>
    <t>195257 город Санкт-Петербург проспект Гражданский дом 100 строение 2  помещение 2</t>
  </si>
  <si>
    <t>ООО "ЮД "АННА НОВА"</t>
  </si>
  <si>
    <t>7804676225</t>
  </si>
  <si>
    <t>ЮЛ7803035402</t>
  </si>
  <si>
    <t>ЮЛ780303540200000</t>
  </si>
  <si>
    <t>192236 город Санкт-Петербург улица Софийская дом 33 корпус 1  литер А 7Н (часть нежилого помещения), 2 этаж</t>
  </si>
  <si>
    <t>ЮЛ780301491200003</t>
  </si>
  <si>
    <t>192212 город Санкт-Петербург проспект Славы дом 4  литера А 35-Н (часть нежилого помещения)</t>
  </si>
  <si>
    <t>ЮЛ780301491200005</t>
  </si>
  <si>
    <t>192238 город Санкт-Петербург улица Бухарестская дом 72 корпус 1  литера А часть неж.пом. 4-Н</t>
  </si>
  <si>
    <t>ЮЛ780301491200008</t>
  </si>
  <si>
    <t>193232 город Санкт-Петербург проспект Большевиков дом 21  литера Р помещение 30-Н</t>
  </si>
  <si>
    <t>ЮЛ780301491200009</t>
  </si>
  <si>
    <t>198188 город Санкт-Петербург улица Васи Алексеева дом 1  литера А помещение 1Н, пом. 8</t>
  </si>
  <si>
    <t>ЮЛ780301491200010</t>
  </si>
  <si>
    <t>198260 город Санкт-Петербург проспект Ветеранов дом 76  литера А помещение 2Н</t>
  </si>
  <si>
    <t>ООО "ЮКС"</t>
  </si>
  <si>
    <t>7804707995</t>
  </si>
  <si>
    <t>ЮЛ7803036652</t>
  </si>
  <si>
    <t>ЮЛ780303665200002</t>
  </si>
  <si>
    <t>194356 город Санкт-Петербург проспект Энгельса дом 134 корпус 3  литера А помещение 32Н</t>
  </si>
  <si>
    <t>ЮЛ780303665200003</t>
  </si>
  <si>
    <t>ЮЛ780303665200004</t>
  </si>
  <si>
    <t>ЮЛ780303665200005</t>
  </si>
  <si>
    <t>190000 город Санкт-Петербург Кондратьевский проспект дом 2  литера Ж помещения №№13,14</t>
  </si>
  <si>
    <t>7804716333</t>
  </si>
  <si>
    <t>ЮЛ7803040365</t>
  </si>
  <si>
    <t>ЮЛ780304036500000</t>
  </si>
  <si>
    <t>195009 город Санкт-Петербург проспект Кондратьевский дом 2 корпус 4 А 1Н№15, 5Н335, 7Н№24, 7Н№23,7Н№22, 7Н№19</t>
  </si>
  <si>
    <t>ИП Михайлов Сергей Анатольевич</t>
  </si>
  <si>
    <t>780500993156</t>
  </si>
  <si>
    <t>ИП7803014206</t>
  </si>
  <si>
    <t>ИП780301420600000</t>
  </si>
  <si>
    <t>198152 город Санкт-Петербург проспект Стачек дом 74/1  литера А помещение 61-Н</t>
  </si>
  <si>
    <t>АО "Объединенный ломбард"</t>
  </si>
  <si>
    <t>7805033097</t>
  </si>
  <si>
    <t>ЮЛ7803003806</t>
  </si>
  <si>
    <t>ЮЛ780300380600000</t>
  </si>
  <si>
    <t>192283 город Санкт-Петербург улица Купчинская 32 1 Д 6Н</t>
  </si>
  <si>
    <t>ЮЛ780300380600001</t>
  </si>
  <si>
    <t>190031 город Санкт-Петербург переулок Спасский дом 4  А 15Н</t>
  </si>
  <si>
    <t>ЮЛ780300380600002</t>
  </si>
  <si>
    <t>196128 город Санкт-Петербург площадь Чернышевского дом 5  А 6Н</t>
  </si>
  <si>
    <t>ЮЛ780300380600003</t>
  </si>
  <si>
    <t>197110 город Санкт-Петербург улица Большая Зеленина дом 15  А 9Н</t>
  </si>
  <si>
    <t>ЮЛ780300380600004</t>
  </si>
  <si>
    <t>193232 город Санкт-Петербург улица Дыбенко дом 23 корпус 1 Ф 2Н</t>
  </si>
  <si>
    <t>ЮЛ780300380600005</t>
  </si>
  <si>
    <t>197372 город Санкт-Петербург улица Ильюшина дом 1 корпус 1 А 17Н</t>
  </si>
  <si>
    <t>ЮЛ780300380600006</t>
  </si>
  <si>
    <t>198217 город Санкт-Петербург бульвар Новаторов дом 116  А 16Н</t>
  </si>
  <si>
    <t>ЮЛ780300380600007</t>
  </si>
  <si>
    <t>195027 город Санкт-Петербург проспект Большеохтинский дом 25/5  А 6Н</t>
  </si>
  <si>
    <t>ЮЛ780300380600008</t>
  </si>
  <si>
    <t>198216 город Санкт-Петербург бульвар Новаторов дом 13  А 12Н</t>
  </si>
  <si>
    <t>ЮЛ780300380600009</t>
  </si>
  <si>
    <t>196601 город Пушкин бульвар Октябрьский дом 41  А 3Н, 7Н</t>
  </si>
  <si>
    <t>ЮЛ780300380600011</t>
  </si>
  <si>
    <t>194156 город Санкт-Петербург проспект Энгельса дом 16 корпус 2 А 4Н</t>
  </si>
  <si>
    <t>ЮЛ780300380600012</t>
  </si>
  <si>
    <t>199004 город Санкт-Петербург линия 6-я В.О. дом 25  литер А цокольный этаж</t>
  </si>
  <si>
    <t>ЮЛ780300380600013</t>
  </si>
  <si>
    <t>194352 город Санкт-Петербург проспект Просвещения дом 54  литер А 5Н</t>
  </si>
  <si>
    <t>ЮЛ780300380600014</t>
  </si>
  <si>
    <t>196142 город Санкт-Петербург улица Ленсовета дом 80  литера А помещение 16Н</t>
  </si>
  <si>
    <t>ЮЛ780300380600015</t>
  </si>
  <si>
    <t>190020 город Санкт-Петербург набережная Обводного канала дом 134_136_138 корпус 40 (АВ)  офис 40/5/5</t>
  </si>
  <si>
    <t>ИП Толстикова Светлана Федоровна</t>
  </si>
  <si>
    <t>780512762072</t>
  </si>
  <si>
    <t>ИП7803005239</t>
  </si>
  <si>
    <t>ИП780300523900000</t>
  </si>
  <si>
    <t>190005 город Санкт-Петербург Переулок Декабристов Дом 7 - Литера Н Пом 8,10,11,15,16,17</t>
  </si>
  <si>
    <t>ИП Зелинская Елена Сергеевна</t>
  </si>
  <si>
    <t>780520315134</t>
  </si>
  <si>
    <t>ИП7803037176</t>
  </si>
  <si>
    <t>ИП780303717600000</t>
  </si>
  <si>
    <t>191186 Город Санкт-Петербург Набережная Канала Грибоедова Дом 18-20 Литера А  Помещение № 33Н</t>
  </si>
  <si>
    <t>ИП Ульянова Светлана Викторовна</t>
  </si>
  <si>
    <t>780523833078</t>
  </si>
  <si>
    <t>ИП7803038143</t>
  </si>
  <si>
    <t>ИП780303814300000</t>
  </si>
  <si>
    <t>197374 город Санкт-Петербург улица Савушкина дом 118  литер А помещение 21-н</t>
  </si>
  <si>
    <t>ИП Красавцева Светлана Николаевна</t>
  </si>
  <si>
    <t>780525121118</t>
  </si>
  <si>
    <t>ИП7803003304</t>
  </si>
  <si>
    <t>ИП780300330400000</t>
  </si>
  <si>
    <t>190031 город Санкт-Петербург улица Гражданская дом 13-15  А</t>
  </si>
  <si>
    <t>ИП Смирнова Марина Борисовна</t>
  </si>
  <si>
    <t>780525198865</t>
  </si>
  <si>
    <t>ИП7803016055</t>
  </si>
  <si>
    <t>ИП780301605500000</t>
  </si>
  <si>
    <t>194292 город Санкт-Петербург переулок 3-й Верхний дом 6 корпус 3 литера А</t>
  </si>
  <si>
    <t>ИП Борисов Дмитрий Николаевич</t>
  </si>
  <si>
    <t>780525206805</t>
  </si>
  <si>
    <t>ИП7803039732</t>
  </si>
  <si>
    <t>ИП780303973200000</t>
  </si>
  <si>
    <t>191002 город Санкт-Петербург переулок Щербаков дом 12  литера А часть помещения №99, офис 501В и 501А, 5 этаж, помещение 1-Н</t>
  </si>
  <si>
    <t>ИП Зарубина Вероника Михайловна</t>
  </si>
  <si>
    <t>780530308337</t>
  </si>
  <si>
    <t>ИП7803037739</t>
  </si>
  <si>
    <t>ИП780303773900000</t>
  </si>
  <si>
    <t>198302 город Санкт-Петербург улица Маршала Казакова дом 1 корпус 1 Б офис 36</t>
  </si>
  <si>
    <t>ИП Ершов Никита Антонович</t>
  </si>
  <si>
    <t>780533872238</t>
  </si>
  <si>
    <t>ИП7803040274</t>
  </si>
  <si>
    <t>ИП780304027400000</t>
  </si>
  <si>
    <t>194044 г.Санкт-Петербург ул. Менделеевская д.2 литера А  4-Н помещение 31 (офис 211)</t>
  </si>
  <si>
    <t>ИП Иванова Юлия Сергеевна</t>
  </si>
  <si>
    <t>780537118649</t>
  </si>
  <si>
    <t>ИП7803034787</t>
  </si>
  <si>
    <t>ИП780303478700000</t>
  </si>
  <si>
    <t>198207 город Санкт-Петербург проспект Ленинский дом 123А  Литер Б</t>
  </si>
  <si>
    <t>ООО "ЮВЕЛИР-КАРАТ" НА ЛЕНИНСКОМ"</t>
  </si>
  <si>
    <t>7805383736</t>
  </si>
  <si>
    <t>ЮЛ7803004034</t>
  </si>
  <si>
    <t>ЮЛ780300403400000</t>
  </si>
  <si>
    <t>195027 город Санкт-Петербург дорога Брантовская дом 3   помещение 1-Н, 672, 673</t>
  </si>
  <si>
    <t>ЮЛ780300403400001</t>
  </si>
  <si>
    <t>198260 город Санкт-Петербург проспект Ветеранов дом 76  литер а помещение 2Н</t>
  </si>
  <si>
    <t>ООО "ЮВЕЛИР-КАРАТ" НА ВЕТЕРАНОВ"</t>
  </si>
  <si>
    <t>7805518599</t>
  </si>
  <si>
    <t>ЮЛ7803005526</t>
  </si>
  <si>
    <t>ЮЛ780300552600000</t>
  </si>
  <si>
    <t>199397 город Санкт-Петербург улица Наличная дом 40 корпус 1 литер А пом. 28Н</t>
  </si>
  <si>
    <t>ЮЛ780300131300172</t>
  </si>
  <si>
    <t>193232 город Санкт-Петербург улица Дыбенко дом 27 корпус 1 лит. Х пом. 9Н</t>
  </si>
  <si>
    <t>ЮЛ780300131300173</t>
  </si>
  <si>
    <t>198320 город Красное Село проспект Ленина дом 57  лит. А пом. 1Н</t>
  </si>
  <si>
    <t>ЮЛ780300131300175</t>
  </si>
  <si>
    <t>199106 город Санкт-Петербург улица Гаванская дом №44  лит. А пом. 4Н</t>
  </si>
  <si>
    <t>ЮЛ780300131300176</t>
  </si>
  <si>
    <t>194356 город Санкт-Петербург проспект Энгельса дом 138 корпус 2  пом. 15-Н</t>
  </si>
  <si>
    <t>ЮЛ780300131300177</t>
  </si>
  <si>
    <t>195267 город Санкт-Петербург проспект Гражданский дом 114 корп. 1  лит. А пом.48Н</t>
  </si>
  <si>
    <t>ЮЛ780300131300202</t>
  </si>
  <si>
    <t>198217 город Санкт-Петербург бульвар Новаторов дом 108  лит.А пом.4Н</t>
  </si>
  <si>
    <t>ЮЛ780300131300206</t>
  </si>
  <si>
    <t>195298 город Санкт-Петербург проспект Наставников дом 24 корпус 1  литера А пом. 1-Н</t>
  </si>
  <si>
    <t>ЮЛ780300131300208</t>
  </si>
  <si>
    <t>192171 город Санкт-Петербург улица Бабушкина дом 71/8  лит. А помещение 11Н</t>
  </si>
  <si>
    <t>ЮЛ780300131300244</t>
  </si>
  <si>
    <t>192177 город Санкт-Петербург улица Прибрежная дом 20  литера А</t>
  </si>
  <si>
    <t>ЮЛ780300131300245</t>
  </si>
  <si>
    <t>193168 город Санкт-Петербург улица Дыбенко дом 20 корп. 1 лит. С пом. 23Н</t>
  </si>
  <si>
    <t>ЮЛ780300131300246</t>
  </si>
  <si>
    <t>196655 город Колпино улица Тазаева дом 5   пом. 6-Н</t>
  </si>
  <si>
    <t>ЮЛ780300131300247</t>
  </si>
  <si>
    <t>190031 город Санкт-Петербург улица Гороховая дом 45  лит. А пом. 43Н</t>
  </si>
  <si>
    <t>ЮЛ780300131300249</t>
  </si>
  <si>
    <t>190031 город Санкт-Петербург переулок Спасский дом 14/35  лит. А пом. 5Н</t>
  </si>
  <si>
    <t>ЮЛ780300131300250</t>
  </si>
  <si>
    <t>191119 город Санкт-Петербург улица Марата дом 2/73-75  Лит. А часть нежилого помещения 3-Н</t>
  </si>
  <si>
    <t>ЮЛ780300131300267</t>
  </si>
  <si>
    <t>192286 город Санкт-Петербург улица Димитрова дом 18</t>
  </si>
  <si>
    <t>ЮЛ780300131300458</t>
  </si>
  <si>
    <t>197372 город Санкт-Петербург улица Стародеревенская дом 34 корпус 2 литера А</t>
  </si>
  <si>
    <t>ЮЛ780300131300460</t>
  </si>
  <si>
    <t>195257 город Санкт-Петербург проспект Гражданский дом 68  лит А пом.7Н</t>
  </si>
  <si>
    <t>ЮЛ780300131300559</t>
  </si>
  <si>
    <t>196066 город Санкт-Петербург Московский пр. дом 216  лит А часть помещения 27 Н</t>
  </si>
  <si>
    <t>ЮЛ780300131300564</t>
  </si>
  <si>
    <t>193091 город Санкт-Петербург набережная Октябрьская дом 10 корпус 1 строение 1  помещение 12-Н, офис 7/2</t>
  </si>
  <si>
    <t>ООО "ЮВЕЛИРНЫЙ ЗАВОД "СЕВЕРИКА"</t>
  </si>
  <si>
    <t>7805713261</t>
  </si>
  <si>
    <t>ЮЛ7803008682</t>
  </si>
  <si>
    <t>ЮЛ780300868200000</t>
  </si>
  <si>
    <t>195112 город Санкт-Петербург Карла Фаберже площадь 8   Д</t>
  </si>
  <si>
    <t>АО "РУССКИЕ САМОЦВЕТЫ"</t>
  </si>
  <si>
    <t>7806007100</t>
  </si>
  <si>
    <t>ЮЛ7803007496</t>
  </si>
  <si>
    <t>ЮЛ780300749600000</t>
  </si>
  <si>
    <t>195197 город Санкт-Петербург улица Жукова дом 18 Корпус 308 литера Д 2-й этаж, помещение 9Н (часть №79-85)</t>
  </si>
  <si>
    <t>ИП Быстров Андрей Викторович</t>
  </si>
  <si>
    <t>780600893701</t>
  </si>
  <si>
    <t>ИП7803000906</t>
  </si>
  <si>
    <t>ИП780300090600000</t>
  </si>
  <si>
    <t>195112 город Санкт-Петербург проспект Малоохтинский дом 16 корпус 1  литер А помещение 1Н офис 24</t>
  </si>
  <si>
    <t>ООО "ПЕТРОИНВЕСТ"</t>
  </si>
  <si>
    <t>7806061668</t>
  </si>
  <si>
    <t>ЮЛ7803012661</t>
  </si>
  <si>
    <t>ЮЛ780301266100000</t>
  </si>
  <si>
    <t>195279 Санкт-Петербург Индустриальный проспект 70  литера А 8-Н офис 12</t>
  </si>
  <si>
    <t>ИП Шеверенкова Елена Александровна</t>
  </si>
  <si>
    <t>780615496305</t>
  </si>
  <si>
    <t>ИП7803013672</t>
  </si>
  <si>
    <t>ИП780301367200000</t>
  </si>
  <si>
    <t>197760 город Кронштадт улица Макаровская дом 2  литера Щ</t>
  </si>
  <si>
    <t>ИП Чекушина Екатерина Вячеславовна</t>
  </si>
  <si>
    <t>780619527040</t>
  </si>
  <si>
    <t>ИП7803039261</t>
  </si>
  <si>
    <t>ИП780303926100000</t>
  </si>
  <si>
    <t>192029 город Санкт-Петербург проспект Большой Смоленский дом 10  литер А помещение №34-Н (к9,10,13-15)</t>
  </si>
  <si>
    <t>ИП Коваленко Дмитрий Александрович</t>
  </si>
  <si>
    <t>780623624198</t>
  </si>
  <si>
    <t>ИП7803002431</t>
  </si>
  <si>
    <t>ИП780300243100000</t>
  </si>
  <si>
    <t>191123 город Санкт-Петербург улица Рылеева дом 33  А 6-Н</t>
  </si>
  <si>
    <t>ИП780300243100001</t>
  </si>
  <si>
    <t>196140 город Санкт-Петербург шоссе Пулковское дом 41  литер А часть пом.1-Н ч.ч.п. 239</t>
  </si>
  <si>
    <t>ИП Филиппова Анна Григорьевна</t>
  </si>
  <si>
    <t>780624419674</t>
  </si>
  <si>
    <t>ИП7803005259</t>
  </si>
  <si>
    <t>ИП780300525900000</t>
  </si>
  <si>
    <t>198095 город Санкт-Петербург площадь Стачек дом 9 строение 1 литера а ч.п.1, ч.п.2 нежилого помещения № 27-Н</t>
  </si>
  <si>
    <t>ЮЛ780300328000126</t>
  </si>
  <si>
    <t>198302 город Санкт-Петербург проспект Стачек дом 99  лит. А 1Н, 2Н, 3Н, 4Н, 5Н, 6Н, 7Н, 9Н, 10Н, 11Н, 12Н, 13Н, 14Н, 15Н, 16Н, 18Н, 20Н, 21Н, 22Н, ЛК1, ЛК2, ЛК3, ЛК10, ЛК11, ЛК12 а именно помещение № 211, помещение № 212, являющиеся частью помещения 1Н</t>
  </si>
  <si>
    <t>ЮЛ780300328000127</t>
  </si>
  <si>
    <t>192242 город Санкт-Петербург улица Белы Куна дом 3  лит. А часть помещения №16, являющиеся частью помещения № 18-Н</t>
  </si>
  <si>
    <t>ЮЛ780300328000131</t>
  </si>
  <si>
    <t>192281 город Санкт-Петербург площадь Балканская дом 5  литер В часть пом. №31,35, пом.№32-34, являющиеся частью пом.1-Н,часть пом. № 2,3, являющиеся частью пом.8-Н</t>
  </si>
  <si>
    <t>ЮЛ780300328000132</t>
  </si>
  <si>
    <t>192071 город Санкт-Петербург улица Будапештская дом 46  литера А пом. 4-Н</t>
  </si>
  <si>
    <t>ЮЛ780300328000189</t>
  </si>
  <si>
    <t>192102 город Санкт-Петербург улица Фучика дом 2  литера А часть нежилого помещения 1-Н, в составе части 141</t>
  </si>
  <si>
    <t>ЮЛ780300328000190</t>
  </si>
  <si>
    <t>198412 город Ломоносов улица Михайловская дом 40/7 строение 1</t>
  </si>
  <si>
    <t>ЮЛ780300328000191</t>
  </si>
  <si>
    <t>195279 город Санкт-Петербург проспект Индустриальный дом 24  лит.А помещение с условным №1-11, состоящее из комнаты  №181</t>
  </si>
  <si>
    <t>ЮЛ780300328000249</t>
  </si>
  <si>
    <t>190068 город Санкт-Петербург набережная Канала Грибоедова дом 99  литера А 3 этаж, помещ. 7, 8, 6, 3</t>
  </si>
  <si>
    <t>ИП780301502700000</t>
  </si>
  <si>
    <t>197198 город Санкт-Петербург проспект Большой П.С. дом 28/1  литера А помещения 3-Н,15-Н</t>
  </si>
  <si>
    <t>ИП780301502700010</t>
  </si>
  <si>
    <t>195197 город Санкт-Петербург улица Жукова дом 18  литер Д 9Н(часть №71), 14Н(часть №95,часть №96.2,часть №96.3,часть №97,часть №99.2,часть №100,часть №101), 17Н(часть №29,часть №30,часть №31)</t>
  </si>
  <si>
    <t>ООО "ХМА"</t>
  </si>
  <si>
    <t>7806325409</t>
  </si>
  <si>
    <t>ЮЛ7803003625</t>
  </si>
  <si>
    <t>ЮЛ780300362500000</t>
  </si>
  <si>
    <t>191167 город Санкт-Петербург улица Атаманская дом 3/6 7 литер ю 5-Н №55,69,70</t>
  </si>
  <si>
    <t>ИП Цинкович Артём Сергеевич</t>
  </si>
  <si>
    <t>780634155903</t>
  </si>
  <si>
    <t>ИП7803016228</t>
  </si>
  <si>
    <t>ИП780301622800000</t>
  </si>
  <si>
    <t>195112 город Санкт-Петербург площадь Карла Фаберже дом 8  литер Б Пом 30-Н комн 34 оф 720</t>
  </si>
  <si>
    <t>ООО "ДАН"</t>
  </si>
  <si>
    <t>7806354336</t>
  </si>
  <si>
    <t>ЮЛ7803010215</t>
  </si>
  <si>
    <t>ЮЛ780301021500000</t>
  </si>
  <si>
    <t>195112 город Санкт-Петербург площадь Карла Фаберже дом 8  литера А помещение №2-н,комнаты №36,37; помещение №5-н,комната №10.</t>
  </si>
  <si>
    <t>ЮЛ780300868000000</t>
  </si>
  <si>
    <t>191186 Санкт-Петербург улица Михайловская дом 1 корпус 7 литера С помещение 1-Н, комната №195</t>
  </si>
  <si>
    <t>ЮЛ780300868000005</t>
  </si>
  <si>
    <t>197372 Санкт-Петербург Комендантский проспект дом 16 корпус 1 литера Б часть нежилого помещения 14-Н</t>
  </si>
  <si>
    <t>ЮЛ780300868000006</t>
  </si>
  <si>
    <t>191025 Санкт-Петербург Невский проспект дом 114-116  литера А часть помещения 1Н №61</t>
  </si>
  <si>
    <t>ЮЛ780300868000008</t>
  </si>
  <si>
    <t>196244 город Санкт-Петербург проспект Космонавтов дом 14  литера А часть помещения № 349 Помещение 1-Н</t>
  </si>
  <si>
    <t>ЮЛ780300868000011</t>
  </si>
  <si>
    <t>194358 город Санкт-Петербург проспект Энгельса дом 154  литера А пом. №30, пом. №31</t>
  </si>
  <si>
    <t>ЮЛ780300868000024</t>
  </si>
  <si>
    <t>197341 город Санкт-Петербург проспект Коломяжский дом 17 корпус 2 литера А  помещение 1-н</t>
  </si>
  <si>
    <t>ЮЛ780300868000025</t>
  </si>
  <si>
    <t>194100 город Санкт-Петербург проспект Полюстровский дом 84  литера А часть №325 нежилого помещения 1-Н</t>
  </si>
  <si>
    <t>ЮЛ780300868000026</t>
  </si>
  <si>
    <t>197101 город Санкт-Петербург проспект Большой П.С. дом 57/1  литера А помещение 3-Н</t>
  </si>
  <si>
    <t>ЮЛ780300868000028</t>
  </si>
  <si>
    <t>195112 город Санкт-Петербург проспект Малоохтинский дом 16 корпус 1 литер А помещение 1-Н офис 19</t>
  </si>
  <si>
    <t>ООО "ИНВЕСТИЦИИ В ЗОЛОТО"</t>
  </si>
  <si>
    <t>7806445960</t>
  </si>
  <si>
    <t>ЮЛ7803012876</t>
  </si>
  <si>
    <t>ЮЛ780301287600000</t>
  </si>
  <si>
    <t>195112 город Санкт-Петербург проспект Новочеркасский дом 1  литер К помещение 72-77</t>
  </si>
  <si>
    <t>ООО "ТЭМАРИ"</t>
  </si>
  <si>
    <t>7806528670</t>
  </si>
  <si>
    <t>ЮЛ7803002743</t>
  </si>
  <si>
    <t>ЮЛ780300274300000</t>
  </si>
  <si>
    <t>197082 город Санкт-Петербург улица Яхтенная 34 1  37-Н</t>
  </si>
  <si>
    <t>ООО "ЮК СПБ"</t>
  </si>
  <si>
    <t>7806537604</t>
  </si>
  <si>
    <t>ЮЛ7803005317</t>
  </si>
  <si>
    <t>ЮЛ780300531700000</t>
  </si>
  <si>
    <t>191025 город Санкт-Петербург проспект Невский дом 114-116  литера А помещения 68, 69, 70, 71, 72</t>
  </si>
  <si>
    <t>ЮЛ780301246700000</t>
  </si>
  <si>
    <t>191023 город Санкт-Петербург улица Садовая дом 22/2  литера А помещение 60-Н</t>
  </si>
  <si>
    <t>ЮЛ780301246700003</t>
  </si>
  <si>
    <t>194100 город Санкт-Петербург проспект Полюстровский дом 84  литера А помещение 307</t>
  </si>
  <si>
    <t>ЮЛ780301246700007</t>
  </si>
  <si>
    <t>198322 город Санкт-Петербург шоссе Петергофское дом 51  литера А помещение 139</t>
  </si>
  <si>
    <t>ЮЛ780301246700008</t>
  </si>
  <si>
    <t>195248 город Санкт-Петербург проспект Ириновский дом 2  литера А пом 1Н, комната № 407</t>
  </si>
  <si>
    <t>ООО "СИЛЬВЕРСОЛТ"</t>
  </si>
  <si>
    <t>7806589641</t>
  </si>
  <si>
    <t>ЮЛ7803004639</t>
  </si>
  <si>
    <t>ЮЛ780300463900000</t>
  </si>
  <si>
    <t>195009 город Санкт-Петербург улица Боткинская дом 3 корпус 1 литера А  часть комнаты 63</t>
  </si>
  <si>
    <t>ООО ЛОМБАРД "ПОЗ"</t>
  </si>
  <si>
    <t>7806612932</t>
  </si>
  <si>
    <t>ЮЛ7803036588</t>
  </si>
  <si>
    <t>ЮЛ780303658800001</t>
  </si>
  <si>
    <t>ООО "ЗОЛОТОЙ МЕДВЕДЬ"</t>
  </si>
  <si>
    <t>7806619511</t>
  </si>
  <si>
    <t>ЮЛ7803037452</t>
  </si>
  <si>
    <t>ЮЛ780303745200000</t>
  </si>
  <si>
    <t>196601 город Пушкин переулок Лицейский дом 5  литера А пом. 1-Н</t>
  </si>
  <si>
    <t>ИП Михалкина Ольга Алексеевна</t>
  </si>
  <si>
    <t>780700529640</t>
  </si>
  <si>
    <t>ИП7803031968</t>
  </si>
  <si>
    <t>ИП780303196800000</t>
  </si>
  <si>
    <t>194214 город Санкт-Петербург проспект Энгельса 33 1 А 01-Н, 1-ый этаж</t>
  </si>
  <si>
    <t>ИП Фишер Светлана Евгеньевна</t>
  </si>
  <si>
    <t>780703984407</t>
  </si>
  <si>
    <t>ИП7803014164</t>
  </si>
  <si>
    <t>ИП780301416400000</t>
  </si>
  <si>
    <t>197136 город Санкт-Петербург проспект Большой П.С. 58  А 1-Н</t>
  </si>
  <si>
    <t>ИП780301416400001</t>
  </si>
  <si>
    <t>194355 город Санкт-Петербург шоссе Выборгское дом 15  А</t>
  </si>
  <si>
    <t>ИП780301416400003</t>
  </si>
  <si>
    <t>191167 город Санкт-Петербург проспект Невский дом 176  литер а помещение 11-Н ком. 7</t>
  </si>
  <si>
    <t>ИП Стрельников Михаил Петрович</t>
  </si>
  <si>
    <t>780707774954</t>
  </si>
  <si>
    <t>ИП7803007173</t>
  </si>
  <si>
    <t>ИП780300717300000</t>
  </si>
  <si>
    <t>197227 Санкт-Петербург Комендантский проспект 9 2 А помещение 13Н офис 47 т</t>
  </si>
  <si>
    <t>ООО "АВИНЬОН"</t>
  </si>
  <si>
    <t>7807117225</t>
  </si>
  <si>
    <t>ЮЛ7803013903</t>
  </si>
  <si>
    <t>ЮЛ780301390300000</t>
  </si>
  <si>
    <t>190000 город Санкт-Петербург улица Рубинштейна дом 6  литер А помещение 9Н</t>
  </si>
  <si>
    <t>ИП Галустян Тигран Артюшевич</t>
  </si>
  <si>
    <t>780724760912</t>
  </si>
  <si>
    <t>ИП7803004873</t>
  </si>
  <si>
    <t>ИП780300487300000</t>
  </si>
  <si>
    <t>191167 город Санкт-Петербург улица Атаманская дом 3/6 корпус 7 литер ю помещение 5Н №53,67,68</t>
  </si>
  <si>
    <t>ИП Толстова Елена Сергеевна</t>
  </si>
  <si>
    <t>780724900253</t>
  </si>
  <si>
    <t>ИП7803016295</t>
  </si>
  <si>
    <t>ИП780301629500000</t>
  </si>
  <si>
    <t>198516 вн.тер.г. город Петергоф проспект Санкт-Петербургский дом 60  литера М помещение 16</t>
  </si>
  <si>
    <t>ООО "ИМПЕРАТОРСКАЯ ПЕТЕРГОФСКАЯ ФАБРИКА"</t>
  </si>
  <si>
    <t>7807260560</t>
  </si>
  <si>
    <t>ЮЛ7803031726</t>
  </si>
  <si>
    <t>ЮЛ780303172600000</t>
  </si>
  <si>
    <t>190031 город Санкт-Петербург набережная Реки Мойки дом 73  литера А помещ. 1-Н №7</t>
  </si>
  <si>
    <t>ЮЛ780303172600001</t>
  </si>
  <si>
    <t>190005 город Санкт-Петербург набережная Обводного канала дом 118 корпус 12 литера ЧА здание модельного цеха №2</t>
  </si>
  <si>
    <t>ИП Евгеньев Антон Валентинович</t>
  </si>
  <si>
    <t>780730276450</t>
  </si>
  <si>
    <t>ИП7803037088</t>
  </si>
  <si>
    <t>ИП780303708800000</t>
  </si>
  <si>
    <t>196066 город Санкт-Петербург проспект Московский дом 216  литер А пом.22Н</t>
  </si>
  <si>
    <t>ЮЛ780300331800126</t>
  </si>
  <si>
    <t>195257 город Санкт-Петербург проспект Гражданский дом 68  лит. А пом.7Н</t>
  </si>
  <si>
    <t>ЮЛ780300331800130</t>
  </si>
  <si>
    <t>198302 город Санкт-Петербург проспект Стачек дом 90 литера А  часть нежилого помещения 25-Н</t>
  </si>
  <si>
    <t>ЮЛ780300331800143</t>
  </si>
  <si>
    <t>191040 г. Санкт-Петербург пр. Лиговский д. 41/83   часть нежилого помещения, лит. А, пом. 7-Н</t>
  </si>
  <si>
    <t>ЮЛ780300331800152</t>
  </si>
  <si>
    <t>190068 город Санкт-Петербург улица Садовая дом 47  литер А Пом 3 магазин "Агат"</t>
  </si>
  <si>
    <t>ЮЛ780300179700001</t>
  </si>
  <si>
    <t>199397 город Санкт-Петербург набережная Новосмоленская дом 1  литер И пом 3-Н магазин "Аквамарин"</t>
  </si>
  <si>
    <t>ЮЛ780300179700002</t>
  </si>
  <si>
    <t>198260 город Санкт-Петербург проспект Ветеранов дом 87  литер А Пом 17Н магазин "Алмаз"</t>
  </si>
  <si>
    <t>ЮЛ780300179700003</t>
  </si>
  <si>
    <t>197136 город Санкт-Петербург улица Ленина дом 11/64  Литера А Пом 3Н магазин "Аметист"</t>
  </si>
  <si>
    <t>ЮЛ780300179700004</t>
  </si>
  <si>
    <t>191025 город Санкт-Петербург проспект Невский дом 69  литер А пом 3Н магазин "Бирюза"</t>
  </si>
  <si>
    <t>ЮЛ780300179700005</t>
  </si>
  <si>
    <t>194214 город Санкт-Петербург шоссе Выборгское дом 13  литер А пом 24Н магазин "Оникс"</t>
  </si>
  <si>
    <t>ЮЛ780300179700011</t>
  </si>
  <si>
    <t>197371 город Санкт-Петербург проспект Комендантский дом 13 корпус 1 Литер А пом 12Н магазин "Циркон"</t>
  </si>
  <si>
    <t>ЮЛ780300179700017</t>
  </si>
  <si>
    <t>193231 город Санкт-Петербург проспект Большевиков дом 2  литер А пом 2Н магазин "Чароит"</t>
  </si>
  <si>
    <t>ЮЛ780300179700019</t>
  </si>
  <si>
    <t>192238 город Санкт-Петербург улица Бухарестская дом 72 корпус 1 Литер А Пом 20 Н магазин "Гранат"</t>
  </si>
  <si>
    <t>ЮЛ780300179700025</t>
  </si>
  <si>
    <t>192239 город Санкт-Петербург проспект Славы дом 5  литер А Пом 5Н, 8Н магазин "Жемчуг"</t>
  </si>
  <si>
    <t>ЮЛ780300179700026</t>
  </si>
  <si>
    <t>196105 город Санкт-Петербург проспект Московский дом 184  литер А Пом 1 Н магазин "Изумруд"</t>
  </si>
  <si>
    <t>ЮЛ780300179700027</t>
  </si>
  <si>
    <t>192131 город Санкт-Петербург улица Ивановская дом 26  литер а Пом. 9Н магазин "Искорка"</t>
  </si>
  <si>
    <t>ЮЛ780300179700028</t>
  </si>
  <si>
    <t>191186 город Санкт-Петербург проспект Невский дом 32-34  литер А пом 10Н  магазин "Кристалл"</t>
  </si>
  <si>
    <t>ЮЛ780300179700030</t>
  </si>
  <si>
    <t>191119 город Санкт-Петербург проспект Лиговский дом 96  литер А Пом 4Н магазин "Малахит"</t>
  </si>
  <si>
    <t>ЮЛ780300179700031</t>
  </si>
  <si>
    <t>198096 город Санкт-Петербург проспект Стачек дом 69  литер А пом. 26Н магазин "Рубин"</t>
  </si>
  <si>
    <t>ЮЛ780300179700032</t>
  </si>
  <si>
    <t>199004 город Санкт-Петербург проспект Средний В.О. дом 28/29  литера А Пом 2Н магазин "Яшма"</t>
  </si>
  <si>
    <t>ЮЛ780300179700034</t>
  </si>
  <si>
    <t>191186 город Санкт-Петербург улица Большая Морская дом 24  литера а помещение 1-Н "Яхонт"</t>
  </si>
  <si>
    <t>ЮЛ780300179700036</t>
  </si>
  <si>
    <t>197136 город Санкт-Петербург улица Ленина 13  литер А помещение 2Н</t>
  </si>
  <si>
    <t>ООО "ФИРМА АНТИКС"</t>
  </si>
  <si>
    <t>7808034846</t>
  </si>
  <si>
    <t>ЮЛ7803001305</t>
  </si>
  <si>
    <t>ЮЛ780300130500000</t>
  </si>
  <si>
    <t>197374 город Санкт-Петербург улица Савушкина дом 141   Помещение №330</t>
  </si>
  <si>
    <t>ИП Антонов В.А.</t>
  </si>
  <si>
    <t>781000200636</t>
  </si>
  <si>
    <t>ИП7803003630</t>
  </si>
  <si>
    <t>ИП780300363000000</t>
  </si>
  <si>
    <t>193168 город Санкт-Петербург проспект Большевиков Дм 18   Помещение 73</t>
  </si>
  <si>
    <t>ИП780300363000001</t>
  </si>
  <si>
    <t>197372 город Санкт-Петербург Площадь Комендантская Дом 1</t>
  </si>
  <si>
    <t>ИП780300363000002</t>
  </si>
  <si>
    <t>198095 Санкт-Петербург Калинина 57  А 1-Н, пом 25, каб 08</t>
  </si>
  <si>
    <t>ИП САВОСТЬЯНОВ М. Ф.</t>
  </si>
  <si>
    <t>781000436631</t>
  </si>
  <si>
    <t>ИП7803037603</t>
  </si>
  <si>
    <t>ИП780303760300000</t>
  </si>
  <si>
    <t>192288 город Санкт-Петербург улица Бухарестская дом 32  литер А Пом. 89,ч.пом.12-Н (4-72)</t>
  </si>
  <si>
    <t>ИП Кощеев Максим Игоревич</t>
  </si>
  <si>
    <t>781004219645</t>
  </si>
  <si>
    <t>ИП7803014722</t>
  </si>
  <si>
    <t>ИП780301472200000</t>
  </si>
  <si>
    <t>192102 город Санкт-Петербург улица Салова дом 57 корпус 3 литер А</t>
  </si>
  <si>
    <t>ИП Зыков Вадим Андреевич</t>
  </si>
  <si>
    <t>781006279978</t>
  </si>
  <si>
    <t>ИП7803037800</t>
  </si>
  <si>
    <t>ИП780303780000000</t>
  </si>
  <si>
    <t>196247 город Санкт-Петербург проспект Ленинский дом 153   пом.262Н</t>
  </si>
  <si>
    <t>ООО "АДВАЙЗЕР"</t>
  </si>
  <si>
    <t>7810071813</t>
  </si>
  <si>
    <t>ЮЛ7803000549</t>
  </si>
  <si>
    <t>ЮЛ780300054900000</t>
  </si>
  <si>
    <t>196135 город Санкт-Петербург улица Ленсовета дом 22  А пом.31Н</t>
  </si>
  <si>
    <t>7810097297</t>
  </si>
  <si>
    <t>ЮЛ7803010375</t>
  </si>
  <si>
    <t>ЮЛ780301037500000</t>
  </si>
  <si>
    <t>196105 город Санкт-Петербург улица Решетникова дом 15  А помещение 14-Н, офис №10</t>
  </si>
  <si>
    <t>ИП Лукин Игорь Кириллович</t>
  </si>
  <si>
    <t>781011152159</t>
  </si>
  <si>
    <t>ИП7803035527</t>
  </si>
  <si>
    <t>ИП780303552700000</t>
  </si>
  <si>
    <t>197198 город Санкт-Петербург проспект Большой П.С. дом 26/2  литера А помещение 4Н</t>
  </si>
  <si>
    <t>ИП Старовойтова Алина Сергеевна</t>
  </si>
  <si>
    <t>781015953784</t>
  </si>
  <si>
    <t>ИП7803000964</t>
  </si>
  <si>
    <t>ИП780300096400000</t>
  </si>
  <si>
    <t>196143 город Санкт-Петербург улица Орджоникидзе дом 17  литера А помещение 1-Н</t>
  </si>
  <si>
    <t>ИП Павловская Дарья Алексеевна</t>
  </si>
  <si>
    <t>781019328020</t>
  </si>
  <si>
    <t>ИП7803035950</t>
  </si>
  <si>
    <t>ИП780303595000000</t>
  </si>
  <si>
    <t>198217 город Санкт-Петербург бульвар Новаторов 102  А 6Н</t>
  </si>
  <si>
    <t>ИП Борисова Елена Викторовна</t>
  </si>
  <si>
    <t>781020183731</t>
  </si>
  <si>
    <t>ИП7803032698</t>
  </si>
  <si>
    <t>ИП780303269800000</t>
  </si>
  <si>
    <t>191186 город Санкт-Петербург проспект Невский дом 22-24  литер А помещение 13-Н</t>
  </si>
  <si>
    <t>ИП Сасонко Михаил Григорьевич</t>
  </si>
  <si>
    <t>781020729594</t>
  </si>
  <si>
    <t>ИП7803005613</t>
  </si>
  <si>
    <t>ИП780300561300000</t>
  </si>
  <si>
    <t>191186 город Санкт-Петербург проспект Невский дом 44   часть пом. 1-Н, пл. 60 кв.м</t>
  </si>
  <si>
    <t>ИП780300561300001</t>
  </si>
  <si>
    <t>191186 город Санкт-Петербург проспект Невский дом 44   часть пом. 1-Н, пл. 22,6кв.м</t>
  </si>
  <si>
    <t>ИП780300561300002</t>
  </si>
  <si>
    <t>191186 город Санкт-Петербург проспект Невский дом 44   часть пом. 1-Н, пл 80 кв.м.</t>
  </si>
  <si>
    <t>ИП780300561300003</t>
  </si>
  <si>
    <t>197198 город Санкт-Петербург проспект Большой П.С. дом 31   Помещение 4-Н</t>
  </si>
  <si>
    <t>ИП780300561300004</t>
  </si>
  <si>
    <t>191186 город Санкт-Петербург проспект Невский дом 48   часть пом. 204, часть пом. 1Н</t>
  </si>
  <si>
    <t>ИП780300561300005</t>
  </si>
  <si>
    <t>191186 город Санкт-Петербург улица Михайловская дом 1/7   Пом 1-Н (комн. 124, 125)</t>
  </si>
  <si>
    <t>ИП780300561300008</t>
  </si>
  <si>
    <t>197198 город Санкт-Петербург улица Ижорская дом 13/39  литер А помещение 6Н</t>
  </si>
  <si>
    <t>ООО "ЛОМБАРД "ПРЕСТИЖ"</t>
  </si>
  <si>
    <t>7810243050</t>
  </si>
  <si>
    <t>ЮЛ7803003873</t>
  </si>
  <si>
    <t>ЮЛ780300387300000</t>
  </si>
  <si>
    <t>198328 город Санкт-Петербург улица Маршала Захарова дом 21  литер Ж помещение 6, 7</t>
  </si>
  <si>
    <t>ЮЛ780300387300001</t>
  </si>
  <si>
    <t>191186 город Санкт-Петербург проспект Невский дом 35  литера А 1-Н часть помещения 13, 17, 34</t>
  </si>
  <si>
    <t>7810341315</t>
  </si>
  <si>
    <t>ЮЛ7803005619</t>
  </si>
  <si>
    <t>ЮЛ780300561900000</t>
  </si>
  <si>
    <t>195271 город Санкт-Петербург проспект Мечникова дом 19  литер А помещение 12Н, офис 240а</t>
  </si>
  <si>
    <t>7810348261</t>
  </si>
  <si>
    <t>ЮЛ7803009498</t>
  </si>
  <si>
    <t>ЮЛ780300949800000</t>
  </si>
  <si>
    <t>196143 город Санкт-Петербург улица Орджоникидзе дом 42  литер а №1Н/426,427,428,434,435 8 этаж</t>
  </si>
  <si>
    <t>ООО "ЮК "АРИНА"</t>
  </si>
  <si>
    <t>7810487924</t>
  </si>
  <si>
    <t>ЮЛ7803000297</t>
  </si>
  <si>
    <t>ЮЛ780300029700000</t>
  </si>
  <si>
    <t>191002 город Санкт-Петербург улица Большая Московская дом 1-3  литер А помещение 32Н</t>
  </si>
  <si>
    <t>ООО "МИЕ &amp; МИЕСТИЛО"</t>
  </si>
  <si>
    <t>7810557441</t>
  </si>
  <si>
    <t>ЮЛ7803003293</t>
  </si>
  <si>
    <t>ЮЛ780300329300000</t>
  </si>
  <si>
    <t>192102 город Санкт-Петербург улица Салова дом 27  литера В1 помещение 7,8,10,11</t>
  </si>
  <si>
    <t>ЗАО "ФАКТОРИЯ Ф"</t>
  </si>
  <si>
    <t>7810563491</t>
  </si>
  <si>
    <t>ЮЛ7803015818</t>
  </si>
  <si>
    <t>ЮЛ780301581800000</t>
  </si>
  <si>
    <t>197375 Санкт-Петербург Вербная улица дом 27  литера А помещение 19-Н/офис 712</t>
  </si>
  <si>
    <t>ООО "ГОРА"</t>
  </si>
  <si>
    <t>7810713362</t>
  </si>
  <si>
    <t>ЮЛ7803004747</t>
  </si>
  <si>
    <t>ЮЛ780300474700000</t>
  </si>
  <si>
    <t>196066 город Санкт-Петербург проспект Московский дом 195  литера А помещение 41Н офис 1</t>
  </si>
  <si>
    <t>ООО "ЛОМБАРД СОЗВЕЗДИЕ"</t>
  </si>
  <si>
    <t>7810716885</t>
  </si>
  <si>
    <t>ЮЛ7803003775</t>
  </si>
  <si>
    <t>ЮЛ780300377500000</t>
  </si>
  <si>
    <t>196158 город Санкт-Петербург улица Пулковская дом 19  литера А помещение 10-Н офис 1</t>
  </si>
  <si>
    <t>ЮЛ780300377500001</t>
  </si>
  <si>
    <t>191123 город Санкт-Петербург улица Кирочная дом 19  литера А помещение 9-Н офис 1 (подвал)</t>
  </si>
  <si>
    <t>ЮЛ780300377500002</t>
  </si>
  <si>
    <t>197371 город Санкт-Петербург улица Уточкина дом 2 корпус 1 А помещение 22-Н офис 1</t>
  </si>
  <si>
    <t>ЮЛ780300377500003</t>
  </si>
  <si>
    <t>193168 город Санкт-Петербург улица Дыбенко дом 24 корпус 1 литера Ю помещение 2-Н офис 1</t>
  </si>
  <si>
    <t>ЮЛ780300377500004</t>
  </si>
  <si>
    <t>194017 город Санкт-Петербург улица Енотаевская дом 14  Литера А помещение 1-Н, офис 1</t>
  </si>
  <si>
    <t>ЮЛ780300377500005</t>
  </si>
  <si>
    <t>198332 город Санкт-Петербург улица Десантников 15   16-Н</t>
  </si>
  <si>
    <t>ООО "ДРЕВО АМБЕР"</t>
  </si>
  <si>
    <t>7810738102</t>
  </si>
  <si>
    <t>ЮЛ7803009438</t>
  </si>
  <si>
    <t>ЮЛ780300943800000</t>
  </si>
  <si>
    <t>196140 город Санкт-Петербург ПУЛКОВСКОЕ ШОССЕ дом 41  ЛИТЕР А часть помещения 1-Н</t>
  </si>
  <si>
    <t>ООО "РЕГСТАЭР-СП"</t>
  </si>
  <si>
    <t>7810751537</t>
  </si>
  <si>
    <t>ЮЛ7803010708</t>
  </si>
  <si>
    <t>ЮЛ780301070800000</t>
  </si>
  <si>
    <t>191011 Санкт-Петербург Михайловская дом 1/7  Литер А</t>
  </si>
  <si>
    <t>ООО "РИЛОН"</t>
  </si>
  <si>
    <t>7810757070</t>
  </si>
  <si>
    <t>ЮЛ7803014603</t>
  </si>
  <si>
    <t>ЮЛ780301460300000</t>
  </si>
  <si>
    <t>196006 город Санкт-Петербург улица Заставская дом 15  литера В часть нежилого помещения 5-Н часть комнаты №1</t>
  </si>
  <si>
    <t>ООО "ЮВЕЛИРНАЯ АКАДЕМИЯ"</t>
  </si>
  <si>
    <t>7810759367</t>
  </si>
  <si>
    <t>ЮЛ7803040953</t>
  </si>
  <si>
    <t>ЮЛ780304095300000</t>
  </si>
  <si>
    <t>196006 Санкт-Петербург Коли Томчака 24 2 А 1-Н</t>
  </si>
  <si>
    <t>ООО "78ЛАБ"</t>
  </si>
  <si>
    <t>7810799296</t>
  </si>
  <si>
    <t>ЮЛ7803005847</t>
  </si>
  <si>
    <t>ЮЛ780300584700000</t>
  </si>
  <si>
    <t>196601 город Пушкин Оранжерейная 61  А пом 5Н</t>
  </si>
  <si>
    <t>ООО "ЮВЕЛИР-КАРАТ ПУШКИН"</t>
  </si>
  <si>
    <t>7810809258</t>
  </si>
  <si>
    <t>ЮЛ7803003905</t>
  </si>
  <si>
    <t>ЮЛ780300390500000</t>
  </si>
  <si>
    <t>192288 город Санкт-Петербург Бухарестская 118 1 А 3Н</t>
  </si>
  <si>
    <t>ЮЛ780300390500001</t>
  </si>
  <si>
    <t>197198 город Санкт-Петербург проспект Добролюбова дом 5/1  А 3Н</t>
  </si>
  <si>
    <t>ООО "АЙРОНБАЙ"</t>
  </si>
  <si>
    <t>7810941545</t>
  </si>
  <si>
    <t>ЮЛ7803040384</t>
  </si>
  <si>
    <t>ЮЛ780304038400000</t>
  </si>
  <si>
    <t>196066 Г.Санкт-Петербург ПР-КТ МОСКОВСКИЙ дом 183-185  А ПОМЕЩ. 388-Н</t>
  </si>
  <si>
    <t>ООО "АЛЬФА ТРЕЙД"</t>
  </si>
  <si>
    <t>7810967938</t>
  </si>
  <si>
    <t>ЮЛ7803032145</t>
  </si>
  <si>
    <t>ЮЛ780303214500000</t>
  </si>
  <si>
    <t>1196158 город Санкт-Петербург улица Ленсовета 97  Литер А помещение 1-Н 179</t>
  </si>
  <si>
    <t>ООО "ЮК КОНТИНЕНТ"</t>
  </si>
  <si>
    <t>7810986070</t>
  </si>
  <si>
    <t>ЮЛ7803007304</t>
  </si>
  <si>
    <t>ЮЛ780300730400000</t>
  </si>
  <si>
    <t>196142 город Санкт-Петербург улица Звёздная дом 8  литера А помещение 12-н</t>
  </si>
  <si>
    <t>ЮЛ780300730400001</t>
  </si>
  <si>
    <t>195027 город Санкт-Петербург улица Пугачёва дом 5-7  литера А помещение 168, 169</t>
  </si>
  <si>
    <t>ИП Ершов Антон Сергеевич</t>
  </si>
  <si>
    <t>781117171916</t>
  </si>
  <si>
    <t>ИП7803038812</t>
  </si>
  <si>
    <t>ИП780303881200000</t>
  </si>
  <si>
    <t>195112 город Санкт-Петербург проспект Заневский дом 42 строение 1  помещение 10 Н</t>
  </si>
  <si>
    <t>ООО "ЮК СПБ 2"</t>
  </si>
  <si>
    <t>7811181449</t>
  </si>
  <si>
    <t>ЮЛ7803006656</t>
  </si>
  <si>
    <t>ЮЛ780300665600000</t>
  </si>
  <si>
    <t>197198 город Санкт-Петербург проспект Большой П.С. 26/2  А пом.4-Н</t>
  </si>
  <si>
    <t>ИП Аверьянова Виктория Евгеньевна</t>
  </si>
  <si>
    <t>781124258822</t>
  </si>
  <si>
    <t>ИП7803040995</t>
  </si>
  <si>
    <t>ИП780304099500000</t>
  </si>
  <si>
    <t>191024 город Санкт-Петербург проспект Невский 162  А пом.4Н</t>
  </si>
  <si>
    <t>ИП780304099500001</t>
  </si>
  <si>
    <t>191014 город Санкт-Петербург улица Маяковского 50  А</t>
  </si>
  <si>
    <t>ИП780304099500002</t>
  </si>
  <si>
    <t>191186 город Санкт-Петербург проспект Невский 22-24  А пом.66-Н</t>
  </si>
  <si>
    <t>ИП780304099500003</t>
  </si>
  <si>
    <t>196105 город Санкт-Петербург проспект Московский дом 166  литера А пом.5-Н</t>
  </si>
  <si>
    <t>ИП780304099500004</t>
  </si>
  <si>
    <t>198412 город Ломоносов проспект Дворцовый дом 59  литера А помещение 1-Н</t>
  </si>
  <si>
    <t>ИП780300718300000</t>
  </si>
  <si>
    <t>198412 город Ломоносов проспект Ораниенбаумский дом 39  литера Б часть нежилого помещения 1Н, 2Н</t>
  </si>
  <si>
    <t>ИП780300718300006</t>
  </si>
  <si>
    <t>190000 город Санкт-Петербург Кузнечный переулок 17/2   помещение7</t>
  </si>
  <si>
    <t>ИП Фоломкина Галина Яковлевна</t>
  </si>
  <si>
    <t>781135008461</t>
  </si>
  <si>
    <t>ИП7803017862</t>
  </si>
  <si>
    <t>ИП780301786200000</t>
  </si>
  <si>
    <t>190000 город Санкт-Петербург Коломенская 1/15  А помещение 5-Н комната 2</t>
  </si>
  <si>
    <t>ИП780301786200001</t>
  </si>
  <si>
    <t>190000 город Санкт-Петербург Садовая  51/2  литер А</t>
  </si>
  <si>
    <t>ИП780301786200002</t>
  </si>
  <si>
    <t>193312 город Санкт-Петербург улица Коллонтай дом 41  литера Д пом. 2Н, 6Н, офис №36</t>
  </si>
  <si>
    <t>ИП Левченко Ольга Борисовна</t>
  </si>
  <si>
    <t>781135457668</t>
  </si>
  <si>
    <t>ИП7803032617</t>
  </si>
  <si>
    <t>ИП780303261700000</t>
  </si>
  <si>
    <t>191186 город Санкт-Петербург площадь Дворцовая 6-8  А 219</t>
  </si>
  <si>
    <t>ИП Кузина Елена Владимировна</t>
  </si>
  <si>
    <t>781136636250</t>
  </si>
  <si>
    <t>ИП7803031835</t>
  </si>
  <si>
    <t>ИП780303183500000</t>
  </si>
  <si>
    <t>192102 Санкт-Петербург Бухарестская  32  А пом. №1 (номер помещения по внутренней нумерации 4-74). являющееся частью помещения 14-Н</t>
  </si>
  <si>
    <t>ИП Проничев Родион Алексеевич</t>
  </si>
  <si>
    <t>781138291724</t>
  </si>
  <si>
    <t>ИП7803040191</t>
  </si>
  <si>
    <t>ИП780304019100000</t>
  </si>
  <si>
    <t>190031 город Санкт-Петербург улица Ефимова 3  Литер С Часть пом. 7Н, ч.п. 495, 514, 99</t>
  </si>
  <si>
    <t>ИП780303259200002</t>
  </si>
  <si>
    <t>190000 город Санкт-Петербург Большой проспект, П-С 47</t>
  </si>
  <si>
    <t>ИП780300322800001</t>
  </si>
  <si>
    <t>190031 город Санкт-Петербург улица Гороховая дом 49  литера А</t>
  </si>
  <si>
    <t>ИП780300322800003</t>
  </si>
  <si>
    <t>192102 город Санкт-Петербург улица Салова 57 5 а часть 6-Н</t>
  </si>
  <si>
    <t>ИП Лисютина Александра Евгеньевна</t>
  </si>
  <si>
    <t>781143140248</t>
  </si>
  <si>
    <t>ИП7803032425</t>
  </si>
  <si>
    <t>ИП780303242500000</t>
  </si>
  <si>
    <t>191002 город Санкт-Петербург проспект Владимирский дом 15  литера А помещение 36-Н</t>
  </si>
  <si>
    <t>ООО "ЛОМБАРД "ДОВЕРИЕ"</t>
  </si>
  <si>
    <t>7811439881</t>
  </si>
  <si>
    <t>ЮЛ7803002432</t>
  </si>
  <si>
    <t>ЮЛ780300243200000</t>
  </si>
  <si>
    <t>195257 город Санкт-Петербург проспект Гражданский дом 43 корпус 1 литера А помещение 2Н</t>
  </si>
  <si>
    <t>ЮЛ780300243200005</t>
  </si>
  <si>
    <t>195257 город Санкт-Петербург проспект Гражданский дом 43 корпус 1 Литер А Помещение 2 Н</t>
  </si>
  <si>
    <t>7811451085</t>
  </si>
  <si>
    <t>ЮЛ7803004461</t>
  </si>
  <si>
    <t>ЮЛ780300446100002</t>
  </si>
  <si>
    <t>193168 город Санкт-Петербург проспект Большевиков 17  ч 34Н</t>
  </si>
  <si>
    <t>ООО "ЮВЕЛИР-КАРАТ" НА БОЛЬШЕВИКОВ"</t>
  </si>
  <si>
    <t>7811467247</t>
  </si>
  <si>
    <t>ЮЛ7803004118</t>
  </si>
  <si>
    <t>ЮЛ780300411800000</t>
  </si>
  <si>
    <t>193312 город Санкт-Петербург улица Коллонтай дом 31 корпус 2  помещение10Н</t>
  </si>
  <si>
    <t>ЮЛ780300411800001</t>
  </si>
  <si>
    <t>195030 Санкт-Петербург проспект Наставников дом 43 корпус 1 литера А помещение 18Н №2</t>
  </si>
  <si>
    <t>ЮЛ780300411800002</t>
  </si>
  <si>
    <t>192029 город Санкт-Петербург проспект Обуховской Обороны дом 51  литера К части 11-12 помещения 6-Н</t>
  </si>
  <si>
    <t>ИП Волкова Полина Дмитриевна</t>
  </si>
  <si>
    <t>781146808950</t>
  </si>
  <si>
    <t>ИП7803002295</t>
  </si>
  <si>
    <t>ИП780300229500000</t>
  </si>
  <si>
    <t>192076 город Санкт-Петербург Шлиссельбургский пр дом 24 корпус 1 литер А пом 28Н</t>
  </si>
  <si>
    <t>ООО "ЮК РЫБАЦКОЕ"</t>
  </si>
  <si>
    <t>7811535722</t>
  </si>
  <si>
    <t>ЮЛ7803010600</t>
  </si>
  <si>
    <t>ЮЛ780301060000000</t>
  </si>
  <si>
    <t>195221 город Санкт-Петербург улица Жукова дом 1 строение 1  офис 8-Н</t>
  </si>
  <si>
    <t>ООО "ДИАМДОР"</t>
  </si>
  <si>
    <t>7811632490</t>
  </si>
  <si>
    <t>ЮЛ7803016154</t>
  </si>
  <si>
    <t>ЮЛ780301615400000</t>
  </si>
  <si>
    <t>193312 Санкт-Петербург Коллонтай 31 2  помещение 10H</t>
  </si>
  <si>
    <t>ООО "ЮК ТРЦ 2"</t>
  </si>
  <si>
    <t>7811642587</t>
  </si>
  <si>
    <t>ЮЛ7803010589</t>
  </si>
  <si>
    <t>ЮЛ780301058900000</t>
  </si>
  <si>
    <t>193318 город Санкт-Петербург проспект Пятилеток дом 2  литера А помещение 32Н,33Н,34Н,35Н,36Н,37Н,39Н,40Н</t>
  </si>
  <si>
    <t>ООО "КАРЕЛЬСКАЯ ИКОНА"</t>
  </si>
  <si>
    <t>7811749925</t>
  </si>
  <si>
    <t>ЮЛ7803002485</t>
  </si>
  <si>
    <t>ЮЛ780300248500001</t>
  </si>
  <si>
    <t>193318 город Санкт-Петербург проспект Пятилеток дом 2  литера А помещение 5-Н</t>
  </si>
  <si>
    <t>ЮЛ780300248500002</t>
  </si>
  <si>
    <t>197374 город Санкт-Петербург улица Мебельная дом 12 корпус 1 литера Б часть помещений 5-Н и 8Н</t>
  </si>
  <si>
    <t>ЮЛ780300323500000</t>
  </si>
  <si>
    <t>196653 город Колпино улица Пролетарская дом 15  литера А помещение 5-Н</t>
  </si>
  <si>
    <t>ЮЛ780300323500130</t>
  </si>
  <si>
    <t>196655 город Колпино улица Тазаева дом 5   помещение 5-Н</t>
  </si>
  <si>
    <t>ЮЛ780300323500131</t>
  </si>
  <si>
    <t>192171 город Санкт-Петербург улица Бабушкина дом 71/8   помещение 28-Н</t>
  </si>
  <si>
    <t>ЮЛ780300323500132</t>
  </si>
  <si>
    <t>193231 город Санкт-Петербург проспект Большевиков дом 1  литера А помещения  8Н, 9Н</t>
  </si>
  <si>
    <t>ЮЛ780300323500134</t>
  </si>
  <si>
    <t>195257 город Санкт-Петербург проспект Гражданский дом 68  литер А помещения  5-Н, 6Н</t>
  </si>
  <si>
    <t>ЮЛ780300323500135</t>
  </si>
  <si>
    <t>195267 город Санкт-Петербург проспект Гражданский дом 114 корпус 1 литера А помещение 30-Н</t>
  </si>
  <si>
    <t>ЮЛ780300323500136</t>
  </si>
  <si>
    <t>192281 город Санкт-Петербург улица Димитрова - железнодорожная станция "Купчино"    секции 7, 8, 9</t>
  </si>
  <si>
    <t>ЮЛ780300323500137</t>
  </si>
  <si>
    <t>192029 город Санкт-Петербург проспект Елизарова дом 12   помещение 44</t>
  </si>
  <si>
    <t>ЮЛ780300323500138</t>
  </si>
  <si>
    <t>195112 город Санкт-Петербург проспект Заневский дом 67 корпус 2 литера Б помещение 1-Н</t>
  </si>
  <si>
    <t>ЮЛ780300323500139</t>
  </si>
  <si>
    <t>196142 город Санкт-Петербург улица Звёздная дом 8  литера А</t>
  </si>
  <si>
    <t>ЮЛ780300323500140</t>
  </si>
  <si>
    <t>194100 город Санкт-Петербург улица Кантемировская дом 27  литера М помещение 7Н</t>
  </si>
  <si>
    <t>ЮЛ780300323500141</t>
  </si>
  <si>
    <t>192177 город Санкт-Петербург улица Караваевская дом 24 корпус 1  помещение 12-Н</t>
  </si>
  <si>
    <t>ЮЛ780300323500142</t>
  </si>
  <si>
    <t>195009 город Санкт-Петербург улица Комсомола дом 16  литер А помещение 7Н</t>
  </si>
  <si>
    <t>ЮЛ780300323500143</t>
  </si>
  <si>
    <t>195426 город Санкт-Петербург проспект Косыгина дом 23 корпус 1 литера А помещение 9-Н</t>
  </si>
  <si>
    <t>ЮЛ780300323500144</t>
  </si>
  <si>
    <t>195274 город Санкт-Петербург проспект Культуры дом 1  литера А помещения 417, 418, 419</t>
  </si>
  <si>
    <t>ЮЛ780300323500145</t>
  </si>
  <si>
    <t>196158 город Санкт-Петербург улица Ленсовета дом 93  литера А помещение 16Н</t>
  </si>
  <si>
    <t>ЮЛ780300323500146</t>
  </si>
  <si>
    <t>196084 город Санкт-Петербург проспект Московский дом 74  литер А помещение 1-Н</t>
  </si>
  <si>
    <t>ЮЛ780300323500147</t>
  </si>
  <si>
    <t>196105 город Санкт-Петербург проспект Московский дом 172  Литера А помещение 35Н</t>
  </si>
  <si>
    <t>ЮЛ780300323500148</t>
  </si>
  <si>
    <t>198217 город Санкт-Петербург бульвар Новаторов дом 112  литера А помещение 5Н</t>
  </si>
  <si>
    <t>ЮЛ780300323500153</t>
  </si>
  <si>
    <t>195112 город Санкт-Петербург проспект Новочеркасский дом 28/19  Литера А помещение 26Н</t>
  </si>
  <si>
    <t>ЮЛ780300323500154</t>
  </si>
  <si>
    <t>195267 город Санкт-Петербург проспект Просвещения дом 84 корпус 1 Литера А помещение 57Н</t>
  </si>
  <si>
    <t>ЮЛ780300323500160</t>
  </si>
  <si>
    <t>191119 город Санкт-Петербург улица Разъезжая дом 43/1  литер А помещение 1-Н</t>
  </si>
  <si>
    <t>ЮЛ780300323500161</t>
  </si>
  <si>
    <t>197372 город Санкт-Петербург улица Стародеревенская дом 36  литер А помещение 3103</t>
  </si>
  <si>
    <t>ЮЛ780300323500162</t>
  </si>
  <si>
    <t>194017 город Санкт-Петербург проспект Удельный дом 25  Литера В помещение 9Н</t>
  </si>
  <si>
    <t>ЮЛ780300323500164</t>
  </si>
  <si>
    <t>194354 город Санкт-Петербург проспект Энгельса дом 111 корпус 1 литера А помещение 48-Н</t>
  </si>
  <si>
    <t>ЮЛ780300323500165</t>
  </si>
  <si>
    <t>194356 город Санкт-Петербург проспект Энгельса дом 138 корпус 2 литера А помещение 13Н</t>
  </si>
  <si>
    <t>ЮЛ780300323500166</t>
  </si>
  <si>
    <t>198320 город Красное Село проспект Ленина дом 61 корпус 1 литера А</t>
  </si>
  <si>
    <t>ЮЛ780300323500171</t>
  </si>
  <si>
    <t>197760 город Кронштадт проспект Ленина дом 16  Литера А</t>
  </si>
  <si>
    <t>ЮЛ780300323500172</t>
  </si>
  <si>
    <t>198516 город Петергоф проспект Санкт-Петербургский дом 49/9  литер А помещение 1-Н</t>
  </si>
  <si>
    <t>ЮЛ780300323500173</t>
  </si>
  <si>
    <t>199004 город Санкт-Петербург линия 6-я Васильевского Острова дом 27  литера А помещение 2-Н</t>
  </si>
  <si>
    <t>ЮЛ780300323500174</t>
  </si>
  <si>
    <t>191002 город Санкт-Петербург улица Большая Московская дом 1-3  литера А</t>
  </si>
  <si>
    <t>ЮЛ780300323500175</t>
  </si>
  <si>
    <t>192071 город Санкт-Петербург улица Будапештская дом 46  литера А помещение 2Н</t>
  </si>
  <si>
    <t>ЮЛ780300323500190</t>
  </si>
  <si>
    <t>198261 город Санкт-Петербург проспект Ветеранов дом 97  литер А помещение 6Н</t>
  </si>
  <si>
    <t>ЮЛ780300323500191</t>
  </si>
  <si>
    <t>190031 город Санкт-Петербург улица Гороховая дом 41  литера А помещение 15Н</t>
  </si>
  <si>
    <t>ЮЛ780300323500192</t>
  </si>
  <si>
    <t>191123 город Санкт-Петербург улица Кирочная дом 19  литера А помещение 2-Н</t>
  </si>
  <si>
    <t>ЮЛ780300323500193</t>
  </si>
  <si>
    <t>197348 город Санкт-Петербург проспект Коломяжский дом 15 корпус 2 литера А помещение 27-Н</t>
  </si>
  <si>
    <t>ЮЛ780300323500194</t>
  </si>
  <si>
    <t>197372 город Санкт-Петербург проспект Комендантский дом 12 корпус 1  помещение 3-Н</t>
  </si>
  <si>
    <t>ЮЛ780300323500195</t>
  </si>
  <si>
    <t>195197 город Санкт-Петербург проспект Кондратьевский дом 49  литера А помещение 3Н</t>
  </si>
  <si>
    <t>ЮЛ780300323500196</t>
  </si>
  <si>
    <t>191036 город Санкт-Петербург улица Восстания дом 1  литер Б помещение 4Н</t>
  </si>
  <si>
    <t>ЮЛ780300323500211</t>
  </si>
  <si>
    <t>193232 город Санкт-Петербург улица Дыбенко дом 27 корпус 1 литера Х помещение 5-Н</t>
  </si>
  <si>
    <t>ЮЛ780300323500212</t>
  </si>
  <si>
    <t>190031 город Санкт-Петербург проспект Московский дом 2/6  литера А помещение 8Н</t>
  </si>
  <si>
    <t>ЮЛ780300323500213</t>
  </si>
  <si>
    <t>198216 город Санкт-Петербург бульвар Новаторов дом 11 корпус 2 литера А помещение №107</t>
  </si>
  <si>
    <t>ЮЛ780300323500214</t>
  </si>
  <si>
    <t>191023 город Санкт-Петербург переулок Мучной дом 9/27  литера А помещение 8-Н</t>
  </si>
  <si>
    <t>ЮЛ780300323500217</t>
  </si>
  <si>
    <t>192281 город Санкт-Петербург площадь Балканская дом 5  литера В часть помещения 1-Н,  пом.№23.24</t>
  </si>
  <si>
    <t>ЮЛ780300323500218</t>
  </si>
  <si>
    <t>195279 город Санкт-Петербург проспект Индустриальный дом 27  литера А помещение 76-Н</t>
  </si>
  <si>
    <t>ЮЛ780300323500219</t>
  </si>
  <si>
    <t>193231 город Санкт-Петербург проспект Большевиков дом 1  литера А помещение 1-Н (помещения 1-4)</t>
  </si>
  <si>
    <t>ЮЛ780300323500220</t>
  </si>
  <si>
    <t>194358 город Санкт-Петербург проспект Просвещения дом 36/141  литера А помещение 17-Н</t>
  </si>
  <si>
    <t>ЮЛ780300323500222</t>
  </si>
  <si>
    <t>191040 город Санкт-Петербург проспект Лиговский дом 84/2  литера А часть помещения 3-Н (комнаты №№1, 10-13)</t>
  </si>
  <si>
    <t>ЮЛ780300323500224</t>
  </si>
  <si>
    <t>196066 город Санкт-Петербург проспект Московский дом 197  литера А помещение 15-Н</t>
  </si>
  <si>
    <t>ЮЛ780300323500225</t>
  </si>
  <si>
    <t>197101 город Санкт-Петербург проспект Каменноостровский дом 13/2  литера А  помещение 6-н</t>
  </si>
  <si>
    <t>ООО "НУМИЗМАТИЧЕСКОЕ ОБЩЕСТВО НЕРАЗМЕННЫЙ РУБЛЬ"</t>
  </si>
  <si>
    <t>7811804894</t>
  </si>
  <si>
    <t>ЮЛ7803039118</t>
  </si>
  <si>
    <t>ЮЛ780303911800000</t>
  </si>
  <si>
    <t>199004 город Санкт-Петербург Средний проспект Васильевского острова дом 19  литера А помещение 11-Н, помещение 12-Н</t>
  </si>
  <si>
    <t>ИП Королев Сергей Валерьевич</t>
  </si>
  <si>
    <t>781300071332</t>
  </si>
  <si>
    <t>ИП4703011241</t>
  </si>
  <si>
    <t>ИП470301124100000</t>
  </si>
  <si>
    <t>197101 город Санкт-Петербург Каменноостровский проспект дом 6  литера А помещение 1-Н</t>
  </si>
  <si>
    <t>ИП470301124100003</t>
  </si>
  <si>
    <t>197022 город Санкт-Петербург Каменноостровский проспект дом 47  литера А помещение 10-Н</t>
  </si>
  <si>
    <t>ИП470301124100004</t>
  </si>
  <si>
    <t>191025 город Санкт-Петербург Марата улица дом 16  литера А помещение 2-Н</t>
  </si>
  <si>
    <t>ИП470301124100005</t>
  </si>
  <si>
    <t>191036 город Санкт-Петербург Невский проспект  дом 120  литера А помещение 20-Н</t>
  </si>
  <si>
    <t>ИП470301124100006</t>
  </si>
  <si>
    <t>190031 город Санкт-Петербург переулок Гривцова 13/11  А помещение 4Н</t>
  </si>
  <si>
    <t>ИП470301124100008</t>
  </si>
  <si>
    <t>191023 город Санкт-Петербург проспект Невский 60  А помещение 1-Н</t>
  </si>
  <si>
    <t>ИП470301124100009</t>
  </si>
  <si>
    <t>190961 город Санкт-Петербург улица Восстания 11  А помещение 3Н</t>
  </si>
  <si>
    <t>ИП470301124100011</t>
  </si>
  <si>
    <t>191186 город Санкт-Петербург Невский проспект дом 20  литера А помещение 7-Н</t>
  </si>
  <si>
    <t>ИП Лукис Вадим Васильевич</t>
  </si>
  <si>
    <t>781300099024</t>
  </si>
  <si>
    <t>ИП7803008910</t>
  </si>
  <si>
    <t>ИП780300891000000</t>
  </si>
  <si>
    <t>194044 город Санкт-Петербург набережная Пироговская дом 5/2  Литера А помещение 24-Н</t>
  </si>
  <si>
    <t>ИП780300891000004</t>
  </si>
  <si>
    <t>191186 город Санкт-Петербург проспект Невский дом 35  литер А торг. сек. пом. 1Н, ч. пом. 25</t>
  </si>
  <si>
    <t>ИП Бернатович Галина Ивановна</t>
  </si>
  <si>
    <t>781300440798</t>
  </si>
  <si>
    <t>ИП7803012188</t>
  </si>
  <si>
    <t>ИП780301218800000</t>
  </si>
  <si>
    <t>191186 город Санкт-Петербург проспект Невский дом 35  литера А помещение 1Н (часть помещения 63)</t>
  </si>
  <si>
    <t>ИП780301218800003</t>
  </si>
  <si>
    <t>191186 город Санкт-Петербург проспект Невский дом 32-34  литера А помещение 40н</t>
  </si>
  <si>
    <t>ИП780301218800004</t>
  </si>
  <si>
    <t>191025 город Санкт-Петербург проспект Невский дом 114-116  литера А</t>
  </si>
  <si>
    <t>ИП780301218800005</t>
  </si>
  <si>
    <t>190020 город Санкт-Петербург набережная Обводного канала дом 223-225  литера Х</t>
  </si>
  <si>
    <t>ИП Радзивилл Елизавета Георгиевна</t>
  </si>
  <si>
    <t>781301003800</t>
  </si>
  <si>
    <t>ИП7803013305</t>
  </si>
  <si>
    <t>ИП780301330500000</t>
  </si>
  <si>
    <t>191025 город Санкт-Петербург улица Маяковского Дом 6  Литера А помещ.4-Н</t>
  </si>
  <si>
    <t>7813014267</t>
  </si>
  <si>
    <t>ЮЛ7803014308</t>
  </si>
  <si>
    <t>ЮЛ780301430800000</t>
  </si>
  <si>
    <t>191186 город Санкт-Петербург проспект Невский Дом 44  Литера А помещение 1Н</t>
  </si>
  <si>
    <t>ЮЛ780301430800002</t>
  </si>
  <si>
    <t>197110 город Санкт-Петербург Чкаловский проспект дом 15  литера А помещение № 1к506</t>
  </si>
  <si>
    <t>ИП Новикова Юлия Геннадьевна</t>
  </si>
  <si>
    <t>781312321883</t>
  </si>
  <si>
    <t>ИП7803030575</t>
  </si>
  <si>
    <t>ИП780303057500000</t>
  </si>
  <si>
    <t>197136 город Санкт-Петербург улица Гатчинская дом 11  А 7-H</t>
  </si>
  <si>
    <t>ООО "СОКОЛОВ"</t>
  </si>
  <si>
    <t>7813134236</t>
  </si>
  <si>
    <t>ЮЛ7803008225</t>
  </si>
  <si>
    <t>ЮЛ780300822500000</t>
  </si>
  <si>
    <t>191186 город Санкт-Петербург проспект Невский дом 35  литера А/1-Н/ Офис  76</t>
  </si>
  <si>
    <t>ООО "ТОРГОВЫЙ ДОМ "СЕВЗАПЮВЕЛИРПРОМ"</t>
  </si>
  <si>
    <t>7813191001</t>
  </si>
  <si>
    <t>ЮЛ7803014653</t>
  </si>
  <si>
    <t>ЮЛ780301465300001</t>
  </si>
  <si>
    <t>197136 город Санкт-Петербург проспект Большой П.С. дом 88  литера А помещение 2н</t>
  </si>
  <si>
    <t>ООО "СЧАСТЬЕ НА ПЕТРОГРАДКЕ"</t>
  </si>
  <si>
    <t>7813219779</t>
  </si>
  <si>
    <t>ЮЛ7803001108</t>
  </si>
  <si>
    <t>ЮЛ780300110800000</t>
  </si>
  <si>
    <t>191186 город Санкт-Петербург улица Итальянская дом 17  литера А помещение 6Н офис 5</t>
  </si>
  <si>
    <t>ООО "СЭВЕН ЭНДЖЕЛС"</t>
  </si>
  <si>
    <t>7813223856</t>
  </si>
  <si>
    <t>ЮЛ7803030632</t>
  </si>
  <si>
    <t>ЮЛ780303063200000</t>
  </si>
  <si>
    <t>199226 город Санкт-Петербург улица Кораблестроителей дом 14  литера А помещение 7-Н</t>
  </si>
  <si>
    <t>ООО "НЕФРИТ"</t>
  </si>
  <si>
    <t>7813228639</t>
  </si>
  <si>
    <t>ЮЛ7803020312</t>
  </si>
  <si>
    <t>ЮЛ780302031200000</t>
  </si>
  <si>
    <t>197046 город Санкт-Петербург улица Мичуринская дом 1  литер А помещение 45-Н</t>
  </si>
  <si>
    <t>ООО "ЦК"</t>
  </si>
  <si>
    <t>7813237619</t>
  </si>
  <si>
    <t>ЮЛ7803020130</t>
  </si>
  <si>
    <t>ЮЛ780302013000000</t>
  </si>
  <si>
    <t>196240 город Санкт-Петербург площадь Победы дом 1   помещение 2-Н</t>
  </si>
  <si>
    <t>ЮЛ780302013000001</t>
  </si>
  <si>
    <t>197101 город Санкт-Петербург улица Ленина 8  литера А помещение 3-Н</t>
  </si>
  <si>
    <t>ООО "ЛАБОРАТОРИЯ"</t>
  </si>
  <si>
    <t>7813245257</t>
  </si>
  <si>
    <t>ЮЛ7803011846</t>
  </si>
  <si>
    <t>ЮЛ780301184600000</t>
  </si>
  <si>
    <t>197046 Санкт-Петербург Петропавловская Крепость 6  A</t>
  </si>
  <si>
    <t>ЮЛ780300767800002</t>
  </si>
  <si>
    <t>197110 Санкт-Петербург город Корпусная улица дом 3 строение 1  помещение 18Н</t>
  </si>
  <si>
    <t>ООО "ПАРЮРА"</t>
  </si>
  <si>
    <t>7813297424</t>
  </si>
  <si>
    <t>ЮЛ7803005979</t>
  </si>
  <si>
    <t>ЮЛ780300597900000</t>
  </si>
  <si>
    <t>197101 город Санкт-Петербург улица Большая Монетная дом 23  литер а Помещение 1-н</t>
  </si>
  <si>
    <t>7813391868</t>
  </si>
  <si>
    <t>ЮЛ7803012939</t>
  </si>
  <si>
    <t>ЮЛ780301293900000</t>
  </si>
  <si>
    <t>191167 город Санкт-Петербург улица Атаманская дом 3/6 корпус 10 литер У помещение 1-Н №303,304,305,306</t>
  </si>
  <si>
    <t>ООО "АЛЬТАИР-ВДВ"</t>
  </si>
  <si>
    <t>7813407959</t>
  </si>
  <si>
    <t>ЮЛ7803004127</t>
  </si>
  <si>
    <t>ЮЛ780300412700000</t>
  </si>
  <si>
    <t>192102 город Санкт-Петербург улица Бухарестская участок 50 (у дома 23 корпус 1)   помещение торговой секции №3</t>
  </si>
  <si>
    <t>ООО "ДАРЛИНГ"</t>
  </si>
  <si>
    <t>7813428211</t>
  </si>
  <si>
    <t>ЮЛ7803014014</t>
  </si>
  <si>
    <t>ЮЛ780301401400000</t>
  </si>
  <si>
    <t>197101 город Санкт-Петербург улица Сытнинская дом 14  литера А помещение 6-Н</t>
  </si>
  <si>
    <t>ООО "ВЕСНА"</t>
  </si>
  <si>
    <t>7813452126</t>
  </si>
  <si>
    <t>ЮЛ7803006548</t>
  </si>
  <si>
    <t>ЮЛ780300654800000</t>
  </si>
  <si>
    <t>198328 город Санкт-Петербург улица Маршала Захарова дом 17 корпус 1  литера А помещение 18-Н</t>
  </si>
  <si>
    <t>ЮЛ780300654800001</t>
  </si>
  <si>
    <t>197198 город Санкт-Петербург проспект Большой П.С. дом 6-8  литер а помещение 1Н</t>
  </si>
  <si>
    <t>ООО "ЗОЛОТАЯ БОГИНЯ"</t>
  </si>
  <si>
    <t>7813469000</t>
  </si>
  <si>
    <t>ЮЛ7803007499</t>
  </si>
  <si>
    <t>ЮЛ780300749900000</t>
  </si>
  <si>
    <t>197101 город Санкт-Петербург улица Рентгена дом 1  А часть н.п 2-Н, пом. 1-6</t>
  </si>
  <si>
    <t>ООО "АРТ НЕВА СПБ"</t>
  </si>
  <si>
    <t>7813556238</t>
  </si>
  <si>
    <t>ЮЛ7803009560</t>
  </si>
  <si>
    <t>ЮЛ780300956000000</t>
  </si>
  <si>
    <t>197101 город Санкт-Петербург улица Большая Монетная дом 23  литера а помещение 1-Н</t>
  </si>
  <si>
    <t>ЮЛ780301492400000</t>
  </si>
  <si>
    <t>196608 город Пушкин площадь Привокзальная дом 4 Литера А  помещение 9-Н (часть)</t>
  </si>
  <si>
    <t>ЮЛ780300632700001</t>
  </si>
  <si>
    <t>198320 город Красное Село улица Массальского дом 4   помещение Г08</t>
  </si>
  <si>
    <t>ЮЛ780300632700002</t>
  </si>
  <si>
    <t>198516 город Петергоф проспект Санкт-Петербургский дом 60 Литера Ф  II-108, II-109 (часть)</t>
  </si>
  <si>
    <t>ЮЛ780300632700003</t>
  </si>
  <si>
    <t>198412 город Ломоносов улица Красноармейская дом 19 Литера А  часть 1-Н (комн. 31)</t>
  </si>
  <si>
    <t>ЮЛ780300632700004</t>
  </si>
  <si>
    <t>196653 город Колпино улица Пролетарская дом 36 Литера А  помещение 8-Н (часть)</t>
  </si>
  <si>
    <t>ЮЛ780300632700005</t>
  </si>
  <si>
    <t>196655 город Колпино улица Октябрьская дом 8 Литера А  11а</t>
  </si>
  <si>
    <t>ЮЛ780300632700006</t>
  </si>
  <si>
    <t>196641 поселок Металлострой улица Полевая дом 12 Литера А  помещение 2-14-1 (часть 15-Н)</t>
  </si>
  <si>
    <t>ЮЛ780300632700009</t>
  </si>
  <si>
    <t>197046 город Санкт-Петербург набережная Петроградская дом 34  литер Б помещение 508</t>
  </si>
  <si>
    <t>ООО "ФИТ"</t>
  </si>
  <si>
    <t>7813604795</t>
  </si>
  <si>
    <t>ЮЛ7803001738</t>
  </si>
  <si>
    <t>ЮЛ780300173800000</t>
  </si>
  <si>
    <t>191186 город Санкт-Петербург набережная Реки Мойки 40  A пом 12-Н №5 офис 402 часть 2</t>
  </si>
  <si>
    <t>ООО "МАЙЯ ДЖЕМСТОНС"</t>
  </si>
  <si>
    <t>7813614360</t>
  </si>
  <si>
    <t>ЮЛ7803016312</t>
  </si>
  <si>
    <t>ЮЛ780301631200000</t>
  </si>
  <si>
    <t>ЮЛ780301905700000</t>
  </si>
  <si>
    <t>197110 город Санкт-Петербург улица Рюхина дом 12  литера А пом.8Н, каб.2</t>
  </si>
  <si>
    <t>ООО "ЛОМБАРД ОПТИМУМ"</t>
  </si>
  <si>
    <t>7813661553</t>
  </si>
  <si>
    <t>ЮЛ7803030215</t>
  </si>
  <si>
    <t>ЮЛ780303021500000</t>
  </si>
  <si>
    <t>191181 город Санкт-Петербург Невский проспект дом 48  литера А ЧАСТЬ ПОМЕЩЕНИЯ №83 ПОМ.1-Н</t>
  </si>
  <si>
    <t>ООО "ЮВЕЛИРНЫЙ ДОМ "ЯНИС ЧАМАЛИДИ"</t>
  </si>
  <si>
    <t>7813663222</t>
  </si>
  <si>
    <t>ЮЛ7803030659</t>
  </si>
  <si>
    <t>ЮЛ780303065900001</t>
  </si>
  <si>
    <t>197101 город Санкт-Петербург улица Кронверкская дом 21  литера А пом. 225</t>
  </si>
  <si>
    <t>ООО ЮД "СИМБИОЗ"</t>
  </si>
  <si>
    <t>7813669954</t>
  </si>
  <si>
    <t>ЮЛ7803033196</t>
  </si>
  <si>
    <t>ЮЛ780303319600000</t>
  </si>
  <si>
    <t>191119 город Санкт-Петербург улица Звенигородская дом 7 корпус 2 строение 1  помещение 4-Н этаж 1</t>
  </si>
  <si>
    <t>ООО "БИКАРАТ"</t>
  </si>
  <si>
    <t>7813672280</t>
  </si>
  <si>
    <t>ЮЛ7803034206</t>
  </si>
  <si>
    <t>ЮЛ780303420600000</t>
  </si>
  <si>
    <t>191186 город Санкт-Петербург проспект Невский 35  А 1-Н/часть помещения 25</t>
  </si>
  <si>
    <t>ИП Пенькова Ирина Анатольевна</t>
  </si>
  <si>
    <t>781407921470</t>
  </si>
  <si>
    <t>ИП7803008570</t>
  </si>
  <si>
    <t>ИП780300857000002</t>
  </si>
  <si>
    <t>191123 город Санкт-Петербург улица Рылеева 10  А пом. 7-Н, офис1</t>
  </si>
  <si>
    <t>ИП780300857000004</t>
  </si>
  <si>
    <t>197348 город Санкт-Петербург проспект Богатырский дом 12 литера б б помещение 4Н офис219</t>
  </si>
  <si>
    <t>ИП Стеклова Ольга Викторовна</t>
  </si>
  <si>
    <t>781408009763</t>
  </si>
  <si>
    <t>ИП7803013529</t>
  </si>
  <si>
    <t>ИП780301352900000</t>
  </si>
  <si>
    <t>195009 город Санкт-Петербург улица Академика Лебедева Дом 7-9  Литера А Помещение 1-Н</t>
  </si>
  <si>
    <t>ИП Романовская Анна Вадимовна</t>
  </si>
  <si>
    <t>781415970907</t>
  </si>
  <si>
    <t>ИП7803004226</t>
  </si>
  <si>
    <t>ИП780300422600000</t>
  </si>
  <si>
    <t>197183 город Санкт-Петербург улица Академика Крылова дом 4  литер а этаж 1, помещение 34</t>
  </si>
  <si>
    <t>ИП Воробьев Вадим Сергеевич</t>
  </si>
  <si>
    <t>781419188909</t>
  </si>
  <si>
    <t>ИП7803014658</t>
  </si>
  <si>
    <t>ИП780301465800000</t>
  </si>
  <si>
    <t>197228 город Санкт-Петербург проспект Юнтоловский дом 45 корпус 2 стр 1  5 Н</t>
  </si>
  <si>
    <t>ИП Мальцева Светлана Александровна</t>
  </si>
  <si>
    <t>781423225007</t>
  </si>
  <si>
    <t>ИП7803040331</t>
  </si>
  <si>
    <t>ИП780304033100000</t>
  </si>
  <si>
    <t>197046 город Санкт-Петербург набережная Петровская дом 4  литера А помещение 1-н</t>
  </si>
  <si>
    <t>ИП Беляева Ксения Кирилловна</t>
  </si>
  <si>
    <t>781428074873</t>
  </si>
  <si>
    <t>ИП7803033905</t>
  </si>
  <si>
    <t>ИП780303390500000</t>
  </si>
  <si>
    <t>195220 город Санкт-Петербург проспект Гражданский дом 41 корпус 2 литера Б помещение 1-Н, часть от №58</t>
  </si>
  <si>
    <t>ИП Бекренев Михаил Леонидович</t>
  </si>
  <si>
    <t>781429836690</t>
  </si>
  <si>
    <t>ИП7803004899</t>
  </si>
  <si>
    <t>ИП780300489900002</t>
  </si>
  <si>
    <t>198188 город Санкт-Петербург улица Васи Алексеева дом 6  литер А часть №69 помещения 1-Н</t>
  </si>
  <si>
    <t>ИП780300489900004</t>
  </si>
  <si>
    <t>196244 город Санкт-Петербург проспект Космонавтов дом 14  литера А пом. 1-Н, части помещений 348 и 473</t>
  </si>
  <si>
    <t>ИП780300489900005</t>
  </si>
  <si>
    <t>196601 город Пушкин переулок Лицейский дом 1/4   помещение 5 Н</t>
  </si>
  <si>
    <t>ИП Плескачевская Елена Михайловна</t>
  </si>
  <si>
    <t>781430258388</t>
  </si>
  <si>
    <t>ИП7803032058</t>
  </si>
  <si>
    <t>ИП780303205800000</t>
  </si>
  <si>
    <t>191002 город Санкт-Петербург улица Большая Московская 1-3  Б 1Н</t>
  </si>
  <si>
    <t>ИП Жирнов Игорь</t>
  </si>
  <si>
    <t>781430981847</t>
  </si>
  <si>
    <t>ИП7803040210</t>
  </si>
  <si>
    <t>ИП780304021000000</t>
  </si>
  <si>
    <t>197341 город Санкт-Петербург аллея Поликарпова 2   61Н</t>
  </si>
  <si>
    <t>ИП780304021000002</t>
  </si>
  <si>
    <t>197342 город Санкт-Петербург набережная Черной речки дом 47 строение 1, 2  помещение 4Н</t>
  </si>
  <si>
    <t>ООО "ДИАМИДА"</t>
  </si>
  <si>
    <t>7814311640</t>
  </si>
  <si>
    <t>ЮЛ7803000351</t>
  </si>
  <si>
    <t>ЮЛ780300035100000</t>
  </si>
  <si>
    <t>197348 город Санкт-Петербург проспект Коломяжский дом 10   помещение 33н</t>
  </si>
  <si>
    <t>ИП Филимонова Елизавета Петровна</t>
  </si>
  <si>
    <t>781434094892</t>
  </si>
  <si>
    <t>ИП7803001646</t>
  </si>
  <si>
    <t>ИП780300164600000</t>
  </si>
  <si>
    <t>197348 город Санкт-Петербург проспект Коломяжский дом 10 литера АУ  помещение 46</t>
  </si>
  <si>
    <t>ИП Кирьянова Екатерина Антоновна</t>
  </si>
  <si>
    <t>781434095840</t>
  </si>
  <si>
    <t>ИП7803036736</t>
  </si>
  <si>
    <t>ИП780303673600000</t>
  </si>
  <si>
    <t>197101 город Санкт-Петербург проспект Каменноостровский дом 13/2  литера А часть помещения 6-н</t>
  </si>
  <si>
    <t>ИП Харлов Евгений Владимирович</t>
  </si>
  <si>
    <t>781438713335</t>
  </si>
  <si>
    <t>ИП7803011149</t>
  </si>
  <si>
    <t>ИП780301114900000</t>
  </si>
  <si>
    <t>197349 город Санкт-Петербург проспект Испытателей дом 39  литера А С-2-32</t>
  </si>
  <si>
    <t>ИП Швед Елизавета Геннадьевна</t>
  </si>
  <si>
    <t>781439350726</t>
  </si>
  <si>
    <t>ИП7803038388</t>
  </si>
  <si>
    <t>ИП780303838800000</t>
  </si>
  <si>
    <t>197345 город Санкт-Петербург переулок Лыжный дом 8 корпус 1 Литера А помещение 17Н каб.1</t>
  </si>
  <si>
    <t>ИП Целух Вероника Юрьевна</t>
  </si>
  <si>
    <t>781441101702</t>
  </si>
  <si>
    <t>ИП7803036264</t>
  </si>
  <si>
    <t>ИП780303626400000</t>
  </si>
  <si>
    <t>197374 город Санкт-Петербург Улица Савушкина Дом 124 Корпус 1 Литера А</t>
  </si>
  <si>
    <t>ООО "ЮВЕЛИР-КАРАТ" НА САВУШКИНА"</t>
  </si>
  <si>
    <t>7814450562</t>
  </si>
  <si>
    <t>ЮЛ7803005453</t>
  </si>
  <si>
    <t>ЮЛ780300545300000</t>
  </si>
  <si>
    <t>197374 город Санкт-Петербург улица Савушкина дом 124 корпус 1 литера А 47Н</t>
  </si>
  <si>
    <t>ООО "ЛОМБАРД "ЗОЛОТНИК"</t>
  </si>
  <si>
    <t>7814504112</t>
  </si>
  <si>
    <t>ЮЛ7803000449</t>
  </si>
  <si>
    <t>ЮЛ780300044900000</t>
  </si>
  <si>
    <t>191186 город Санкт-Петербург улица Казанская дом 7 Литер В  пом. 8Н, к. 8</t>
  </si>
  <si>
    <t>ИП Леон Юлия Викторовна</t>
  </si>
  <si>
    <t>781452420806</t>
  </si>
  <si>
    <t>ИП7803037201</t>
  </si>
  <si>
    <t>ИП780303720100000</t>
  </si>
  <si>
    <t>197227 город Санкт-Петербург площадь Комендантская 8  А 27-Н</t>
  </si>
  <si>
    <t>ООО "КОМЕНДАНТСКИЙ ЮВЕЛИР-КАРАТ"</t>
  </si>
  <si>
    <t>7814546909</t>
  </si>
  <si>
    <t>ЮЛ7803004830</t>
  </si>
  <si>
    <t>ЮЛ780300483000000</t>
  </si>
  <si>
    <t>194214 город Санкт-Петербург шоссе Выборгское дом 13  литера а помещение 16н</t>
  </si>
  <si>
    <t>ООО "АНДИ"</t>
  </si>
  <si>
    <t>7814555526</t>
  </si>
  <si>
    <t>ЮЛ7803018131</t>
  </si>
  <si>
    <t>ЮЛ780301813100000</t>
  </si>
  <si>
    <t>197760 город Кронштадт проспект Ленина дом 24  литер А помещение 4Н</t>
  </si>
  <si>
    <t>ЮЛ780300308200017</t>
  </si>
  <si>
    <t>192071 город Санкт-Петербург улица Будапештская дом 46  литера А помещение 4-Н</t>
  </si>
  <si>
    <t>ЮЛ780300308200088</t>
  </si>
  <si>
    <t>192102 город Санкт-Петербург улица Фучика дом 2  литер А часть нежилого помещения 1-Н в составе части 141</t>
  </si>
  <si>
    <t>ЮЛ780300308200089</t>
  </si>
  <si>
    <t>193168 город Санкт-Петербург проспект Большевиков дом 18 корпус 2 литер а  часть нежилого помещения №11,44, часть  помещения № 2, помещения 4-Н</t>
  </si>
  <si>
    <t>ЮЛ780300308200105</t>
  </si>
  <si>
    <t>195279 город Санкт-Петербург проспект Индустриальный дом 27  литер а помещение 70-Н</t>
  </si>
  <si>
    <t>ЮЛ780300308200107</t>
  </si>
  <si>
    <t>195298 город Санкт-Петербург проспект Наставников дом 24 корпус 1 литер а  помещение 1-Н</t>
  </si>
  <si>
    <t>ЮЛ780300308200110</t>
  </si>
  <si>
    <t>198217 город Санкт-Петербург бульвар Новаторов дом 108  литер а помещение 4Н</t>
  </si>
  <si>
    <t>ЮЛ780300308200111</t>
  </si>
  <si>
    <t>198095 город Санкт-Петербург площадь Стачек дом 9 строение 1  а именно ч.п.1, ч.п.2,  помещения 27-Н</t>
  </si>
  <si>
    <t>ЮЛ780300308200112</t>
  </si>
  <si>
    <t>198302 город Санкт-Петербург проспект Стачек дом 99 литер А, 1Н, 2Н, 3Н, 4Н, 5Н, 6Н, 7Н, 9Н, 10Н, 11Н, 12Н, 13Н, 14Н, 15Н, 16Н, 18Н, 20Н, 21Н, 22Н, ЛК1, ЛК2, ЛК3, ЛК10, ЛК11, ЛК12  а именно: помещение №214, помещение, №213, являющиеся частью помещения 1Н</t>
  </si>
  <si>
    <t>ЮЛ780300308200113</t>
  </si>
  <si>
    <t>194017 город Санкт-Петербург проспект Энгельса дом 111 корпус 1 литер а  помещение 22Н</t>
  </si>
  <si>
    <t>ЮЛ780300308200114</t>
  </si>
  <si>
    <t>196653 город Колпино улица Пролетарская дом 36  лит. А часть нежилого помещения 7-Н, 8-Н, 11-Н, 12-Н</t>
  </si>
  <si>
    <t>ЮЛ780300308200118</t>
  </si>
  <si>
    <t>193313 город Санкт-Петербург улица Коллонтай дом 3  литер Б часть от части №15 нежилого помещения 1-Н</t>
  </si>
  <si>
    <t>ЮЛ780300308200147</t>
  </si>
  <si>
    <t>197373 город Санкт-Петербург улица Планерная дом 59  литер а часть нежилых помещений 162-163</t>
  </si>
  <si>
    <t>ЮЛ780300308200155</t>
  </si>
  <si>
    <t>198096 город Санкт-Петербург проспект Стачек дом 90  литер а помещение 2-Н</t>
  </si>
  <si>
    <t>ЮЛ780300308200195</t>
  </si>
  <si>
    <t>196634 город Санкт-Петербург улица Ростовская дом 20 строение 1  часть 53 нежилого помещения 4-Н</t>
  </si>
  <si>
    <t>ЮЛ780300308200246</t>
  </si>
  <si>
    <t>195220 город Санкт-Петербург проспект Гражданский дом 41  литер А часть помещения 143 помещения 1-Н</t>
  </si>
  <si>
    <t>ЮЛ780300308200307</t>
  </si>
  <si>
    <t>192177 город Санкт-Петербург участок ж.д. "ул. Юннатов - станция Рыбацкое"   Литера Е помещение 3-Н, 5-Н, 6-Н, 7-Н, 8-Н, 9-Н, 11-Н, 12-Н, 1ЛК, 4ЛК, 6ЛК, 7ЛК, 8ЛК, часть от части №1 нежилого помещения 3-Н</t>
  </si>
  <si>
    <t>ЮЛ780300308200317</t>
  </si>
  <si>
    <t>197372 город Санкт-Петербург улица Стародеревенская дом 34 корпус 2 литера а</t>
  </si>
  <si>
    <t>ЮЛ780300308200329</t>
  </si>
  <si>
    <t>199406 город Санкт-Петербург улица Гаванская дом 44  литера А помещение 4-Н</t>
  </si>
  <si>
    <t>ЮЛ780300308200384</t>
  </si>
  <si>
    <t>ЮЛ780300308200385</t>
  </si>
  <si>
    <t>195274 город Санкт-Петербург проспект Культуры дом 1   часть помещения 1-Н</t>
  </si>
  <si>
    <t>ЮЛ780300308200387</t>
  </si>
  <si>
    <t>198188 город Санкт-Петербург улица Васи Алексеева дом 4 строение 1  часть помещения №35, являющуюся частью помещения 1-Н</t>
  </si>
  <si>
    <t>ЮЛ780300308200589</t>
  </si>
  <si>
    <t>195279 город Санкт-Петербург проспект Индустриальный дом 24  литера А помещение с условным номером №1-11 на 1 этаже Здания, состоящее из комнаты №181</t>
  </si>
  <si>
    <t>ЮЛ780300308200594</t>
  </si>
  <si>
    <t>198206 город Санкт-Петербург шоссе Петергофское дом 51  литера А помещение 1-15К</t>
  </si>
  <si>
    <t>ЮЛ780300308200605</t>
  </si>
  <si>
    <t>196240 город Санкт-Петербург шоссе Пулковское дом 25 корпус 1 литера А часть нежилого помещения, расположенного на 1 этаже Здания</t>
  </si>
  <si>
    <t>ЮЛ780300308200612</t>
  </si>
  <si>
    <t>195297 город Санкт-Петербург, внутригородское муниципальное образование Санкт-Петербурга муниципальный округ Прометей проспект Просвещения дом 80 корпус 1 стр 1  помещение 15Н</t>
  </si>
  <si>
    <t>ЮЛ780300308200617</t>
  </si>
  <si>
    <t>193168 город Санкт-Петербург проспект Большевиков дом 18  литера А пом. № 66, являющееся частью помещения 1-Н</t>
  </si>
  <si>
    <t>ЮЛ780300308200650</t>
  </si>
  <si>
    <t>191167 город Санкт-Петербург площадь Александра Невского дом 2  литера Е пом 33Н,34Н,46Н,47Н,3ЛК,6ЛК,8ЛК (часть нежилого помещения 33Н)</t>
  </si>
  <si>
    <t>ЮЛ780300308200661</t>
  </si>
  <si>
    <t>198302 город Санкт-Петербург улица Маршала Казакова дом 7 лит.А  часть торгового места № 30</t>
  </si>
  <si>
    <t>ЮЛ780300308200692</t>
  </si>
  <si>
    <t>191025 г. Санкт-Петербург Невский пр. д. 114-116  литера А часть от части помещения 1Н (Часть от части помещения № 134)</t>
  </si>
  <si>
    <t>ЮЛ780300308200727</t>
  </si>
  <si>
    <t>191025 город Санкт-Петербург улица Марата дом 2/73-75, лит.А   литера А часть нежилого помещение 3-Н (а именно: пом. 1, пом. № 2-6)</t>
  </si>
  <si>
    <t>ЮЛ780300308200731</t>
  </si>
  <si>
    <t>198261 город Санкт-Петербург проспект Ветеранов дом 103 литера А   пом 8-н</t>
  </si>
  <si>
    <t>ЮЛ780300308200765</t>
  </si>
  <si>
    <t>191036 город Санкт-Петербург улица Восстания дом 1 литера Т  литера Т помещение 7-Н помещения №6,11,12 и часть помещения №10</t>
  </si>
  <si>
    <t>ЮЛ780300308200776</t>
  </si>
  <si>
    <t>195267 город Санкт-Петербург проспект Гражданский дом 114 корпус 1  часть нежилого помещения 48Н, а именно комнаты 1-6,8-17</t>
  </si>
  <si>
    <t>ЮЛ780300308200780</t>
  </si>
  <si>
    <t>198320 город Красное Село проспект Ленина дом 57 литера А  литера А часть помещения 1Н</t>
  </si>
  <si>
    <t>ЮЛ780300308200791</t>
  </si>
  <si>
    <t>193232 город Санкт-Петербург улица Дыбенко дом 27 корпус 1 литера Х   помещение 9н</t>
  </si>
  <si>
    <t>ЮЛ780300308200793</t>
  </si>
  <si>
    <t>195267 город Санкт-Петербург проспект Просвещения дом 84 корпус 1 литера А   пом 57Н, часть комнаты №2</t>
  </si>
  <si>
    <t>ЮЛ780300308200794</t>
  </si>
  <si>
    <t>195257 город Санкт-Петербург проспект Гражданский дом 68 лит А   пом. 7Н часть нежилого помещения</t>
  </si>
  <si>
    <t>ЮЛ780300308200795</t>
  </si>
  <si>
    <t>199397 город Санкт-Петербург улица Наличная дом 40  корпус 1 литера А   пом 28Н</t>
  </si>
  <si>
    <t>ЮЛ780300308200801</t>
  </si>
  <si>
    <t>190031 город Санкт-Петербург переулок Спасский дом 14/35  литера А часть нежилого помещения 5н</t>
  </si>
  <si>
    <t>ЮЛ780300308200833</t>
  </si>
  <si>
    <t>194356 город Санкт-Петербург проспект Энгельса дом 138 корпус 2  часть нежилого помещения 15-н</t>
  </si>
  <si>
    <t>ЮЛ780300308200834</t>
  </si>
  <si>
    <t>190031 город Санкт-Петербург улица Гороховая дом 45 литера А   пом. 43-Н</t>
  </si>
  <si>
    <t>ЮЛ780300308200875</t>
  </si>
  <si>
    <t>196655 город Колпино улица Тазаева дом 5   часть нежилого помещения 6-Н</t>
  </si>
  <si>
    <t>ЮЛ780300308200897</t>
  </si>
  <si>
    <t>196066 город Санкт-Петербург проспект Московский дом 216 лит. А   часть нежилого помещения 27Н</t>
  </si>
  <si>
    <t>ЮЛ780300308200898</t>
  </si>
  <si>
    <t>192174 город Санкт-Петербург улица Бабушкина дом 78/1 литер А   помещение 11Н</t>
  </si>
  <si>
    <t>ЮЛ780300308201009</t>
  </si>
  <si>
    <t>198412 город Ломоносов улица Михайловская дом 40/1 стр.1</t>
  </si>
  <si>
    <t>ЮЛ780300308201022</t>
  </si>
  <si>
    <t>192281 город Санкт-Петербург площадь Балканская дом 5 литер В   часть здания торгового павильона № 8, а именно часть пом. №31,35, пом. №32-34, являющиеся частью пом. 1Н, часть пом. №2,3, являющиеся частью пом. 8-Н</t>
  </si>
  <si>
    <t>ЮЛ780300308201026</t>
  </si>
  <si>
    <t>195213 город Санкт-Петербург проспект Заневский дом 67 корпус 2 литера А  пом.№221, часть помещения № 205 являющиеся частью помещения 1Н</t>
  </si>
  <si>
    <t>ЮЛ780300308201028</t>
  </si>
  <si>
    <t>192242 город Санкт-Петербург улица Белы Куна дом 3 литера А   часть помещения №16 являющуюся часть ю помещения 18-Н</t>
  </si>
  <si>
    <t>ЮЛ780300308201029</t>
  </si>
  <si>
    <t>191040 город Санкт-Петербург проспект Лиговский дом 41/83 литера А   часть нежилого помещения 7-Н</t>
  </si>
  <si>
    <t>ЮЛ780300308201055</t>
  </si>
  <si>
    <t>192177 город Санкт-Петербург улица Прибрежная дом 20 литера А</t>
  </si>
  <si>
    <t>ЮЛ780300308201068</t>
  </si>
  <si>
    <t>194100 город Санкт-Петербург проспект Полюстровский дом 84  литера А часть от части № 306 (внутренняя нумерация место К59)</t>
  </si>
  <si>
    <t>ЮЛ780300308201092</t>
  </si>
  <si>
    <t>196158 город Санкт-Петербург улица Ленсовета дом 97  литера А пом.№166 являющееся частью помещения 1-Н</t>
  </si>
  <si>
    <t>ЮЛ780300308201137</t>
  </si>
  <si>
    <t>194358 город Санкт-Петербург проспект Энгельса дом 154  литера А часть нежилого помещения 20Н, а именно помещения №169, № 170</t>
  </si>
  <si>
    <t>ЮЛ780300308201171</t>
  </si>
  <si>
    <t>195027 город Санкт-Петербург дорога Брантовская дом 3 строение 1Н  часть помещения 626</t>
  </si>
  <si>
    <t>ЮЛ780300308201176</t>
  </si>
  <si>
    <t>190031 город Санкт-Петербург улица Ефимова 3  С 7Н-ч.п.№ 495, 514, 99</t>
  </si>
  <si>
    <t>ЮЛ780300308201179</t>
  </si>
  <si>
    <t>191040 город Санкт-Петербург проспект Лиговский дом 30  литера А помещение А (№ помещения 1-Н № части помещения 280), помещение В (№ помещение 1-Н № части помещения 450)</t>
  </si>
  <si>
    <t>ЮЛ780300308201184</t>
  </si>
  <si>
    <t>197348 город Санкт-Петербург проспект Коломяжский дом 22  литера А нежилое помещение условный номер 1-29</t>
  </si>
  <si>
    <t>ЮЛ780300308201231</t>
  </si>
  <si>
    <t>197349 город Санкт-Петербург проспект Испытателей дом 39  литера А помещение С-2-32</t>
  </si>
  <si>
    <t>ИП Лебедев Виталий Олегович</t>
  </si>
  <si>
    <t>781456714420</t>
  </si>
  <si>
    <t>ИП7803040063</t>
  </si>
  <si>
    <t>ИП780304006300000</t>
  </si>
  <si>
    <t>197374 город Санкт-Петербург улица Мебельная дом 12 корпус 1 Б помещения 5-Н, 8Н</t>
  </si>
  <si>
    <t>ЮЛ780300379600000</t>
  </si>
  <si>
    <t>199004 город Санкт-Петербург линия 6-я В.О. дом 27  литера А помещение 2-Н</t>
  </si>
  <si>
    <t>ЮЛ780300379600001</t>
  </si>
  <si>
    <t>192171 город Санкт-Петербург улица Бабушкина дом 71/8   помещение 24Н</t>
  </si>
  <si>
    <t>ЮЛ780300379600002</t>
  </si>
  <si>
    <t>195112 город Санкт-Петербург проспект Заневский дом 67 корпус 2 литера Б помещение 1Н</t>
  </si>
  <si>
    <t>ЮЛ780300379600003</t>
  </si>
  <si>
    <t>197348 город Санкт-Петербург проспект Коломяжский дом 15 корпус 2 литера А помещение 27Н</t>
  </si>
  <si>
    <t>ЮЛ780300379600004</t>
  </si>
  <si>
    <t>ЮЛ780300379600015</t>
  </si>
  <si>
    <t>192281 город Санкт-Петербург участок железной дороги улица Димитрова - станция "Купчино"    секции № 7, 8, 9</t>
  </si>
  <si>
    <t>ЮЛ780300379600039</t>
  </si>
  <si>
    <t>ЮЛ780300379600040</t>
  </si>
  <si>
    <t>192029 город Санкт-Петербург проспект Елизарова дом 12  литера А бывшая квартира  44</t>
  </si>
  <si>
    <t>ЮЛ780300379600041</t>
  </si>
  <si>
    <t>196142 город Санкт-Петербург улица Звёздная дом 8  литера А помещение 11Н</t>
  </si>
  <si>
    <t>ЮЛ780300379600043</t>
  </si>
  <si>
    <t>194017 город Санкт-Петербург проспект Удельный дом 25  литера В помещение 9-Н</t>
  </si>
  <si>
    <t>ЮЛ780300379600049</t>
  </si>
  <si>
    <t>ЮЛ780300379600051</t>
  </si>
  <si>
    <t>ЮЛ780300379600052</t>
  </si>
  <si>
    <t>ЮЛ780300379600070</t>
  </si>
  <si>
    <t>196653 город Колпино улица Пролетарская дом 15  Литера А помещение 5-Н</t>
  </si>
  <si>
    <t>ЮЛ780300379600071</t>
  </si>
  <si>
    <t>198320 город Красное Село проспект Ленина дом 61 корпус 2 Литера А помещение 1Н</t>
  </si>
  <si>
    <t>ЮЛ780300379600073</t>
  </si>
  <si>
    <t>ЮЛ780300379600074</t>
  </si>
  <si>
    <t>192238 город Санкт-Петербург улица Белы Куна дом 8  Литера А помещение 31Н</t>
  </si>
  <si>
    <t>ЮЛ780300379600076</t>
  </si>
  <si>
    <t>191002 город Санкт-Петербург улица Большая Московская дом 1-3  Литера А часть  помещения 11-Н</t>
  </si>
  <si>
    <t>ЮЛ780300379600077</t>
  </si>
  <si>
    <t>193231 город Санкт-Петербург проспект Большевиков дом 1  Литера А помещение 8-Н</t>
  </si>
  <si>
    <t>ЮЛ780300379600078</t>
  </si>
  <si>
    <t>192071 город Санкт-Петербург улица Будапештская дом 46  Литера А помещение 2-Н</t>
  </si>
  <si>
    <t>ЮЛ780300379600080</t>
  </si>
  <si>
    <t>198261 город Санкт-Петербург проспект Ветеранов дом 97  литер А помещение 7-Н</t>
  </si>
  <si>
    <t>ЮЛ780300379600081</t>
  </si>
  <si>
    <t>ЮЛ780300379600082</t>
  </si>
  <si>
    <t>ЮЛ780300379600083</t>
  </si>
  <si>
    <t>195257 город Санкт-Петербург проспект Гражданский дом 68  литер А помещение 6Н</t>
  </si>
  <si>
    <t>ЮЛ780300379600084</t>
  </si>
  <si>
    <t>195267 город Санкт-Петербург проспект Гражданский дом 114 корпус 1 литера А помещения 28Н, 30Н</t>
  </si>
  <si>
    <t>ЮЛ780300379600085</t>
  </si>
  <si>
    <t>194100 город Санкт-Петербург улица Кантемировская дом 27  литер М помещение 7Н</t>
  </si>
  <si>
    <t>ЮЛ780300379600086</t>
  </si>
  <si>
    <t>ЮЛ780300379600087</t>
  </si>
  <si>
    <t>ЮЛ780300379600088</t>
  </si>
  <si>
    <t>ЮЛ780300379600090</t>
  </si>
  <si>
    <t>ЮЛ780300379600091</t>
  </si>
  <si>
    <t>195426 город Санкт-Петербург проспект Косыгина дом 23 корпус 1 литера А</t>
  </si>
  <si>
    <t>ЮЛ780300379600092</t>
  </si>
  <si>
    <t>195274 город Санкт-Петербург проспект Культуры дом 1  литер А помещения 417, 418, 419</t>
  </si>
  <si>
    <t>ЮЛ780300379600093</t>
  </si>
  <si>
    <t>196158 город Санкт-Петербург улица Ленсовета дом 93  литера А помещение 7Н</t>
  </si>
  <si>
    <t>ЮЛ780300379600094</t>
  </si>
  <si>
    <t>ЮЛ780300379600095</t>
  </si>
  <si>
    <t>196084 город Санкт-Петербург проспект Московский дом 74  литер А</t>
  </si>
  <si>
    <t>ЮЛ780300379600096</t>
  </si>
  <si>
    <t>196105 город Санкт-Петербург проспект Московский дом 172  литера А помещение 37-Н</t>
  </si>
  <si>
    <t>ЮЛ780300379600097</t>
  </si>
  <si>
    <t>ЮЛ780300379600100</t>
  </si>
  <si>
    <t>198217 город Санкт-Петербург бульвар Новаторов дом 112  литера А помещение 1-Н</t>
  </si>
  <si>
    <t>ЮЛ780300379600104</t>
  </si>
  <si>
    <t>ЮЛ780300379600105</t>
  </si>
  <si>
    <t>194358 город Санкт-Петербург проспект Просвещения дом 36/141  литер А помещение 7Н</t>
  </si>
  <si>
    <t>ЮЛ780300379600107</t>
  </si>
  <si>
    <t>195267 город Санкт-Петербург проспект Просвещения дом 84 корпус 1 литера А помещение 51-Н, часть комнаты №2№2</t>
  </si>
  <si>
    <t>ЮЛ780300379600108</t>
  </si>
  <si>
    <t>ЮЛ780300379600109</t>
  </si>
  <si>
    <t>197372 город Санкт-Петербург улица Стародеревенская дом 36  литер А помещение 26-1</t>
  </si>
  <si>
    <t>ЮЛ780300379600110</t>
  </si>
  <si>
    <t>195197 город Санкт-Петербург проспект Кондратьевский дом 49  литера А</t>
  </si>
  <si>
    <t>ЮЛ780300379600112</t>
  </si>
  <si>
    <t>198216 город Санкт-Петербург бульвар Новаторов дом 11 корпус 2 литера А помещение 107</t>
  </si>
  <si>
    <t>ЮЛ780300379600114</t>
  </si>
  <si>
    <t>192281 город Санкт-Петербург площадь Балканская дом 5  литера В помещения №23.24</t>
  </si>
  <si>
    <t>ЮЛ780300379600121</t>
  </si>
  <si>
    <t>ЮЛ780300379600122</t>
  </si>
  <si>
    <t>193231 город Санкт-Петербург проспект Большевиков дом 1  литера А помещение 1-Н</t>
  </si>
  <si>
    <t>ЮЛ780300379600126</t>
  </si>
  <si>
    <t>194354 город Санкт-Петербург проспект Энгельса дом 111 корпус 1 литера А  помещение 7Н</t>
  </si>
  <si>
    <t>ЮЛ780300379600129</t>
  </si>
  <si>
    <t>ЮЛ780300379600130</t>
  </si>
  <si>
    <t>198261 город Санкт-Петербург проспект Ветеранов дом 101 корпус 1, литера А   часть помещения 11-Н</t>
  </si>
  <si>
    <t>ЮЛ780300379600133</t>
  </si>
  <si>
    <t>191040 город Санкт-Петербург проспект Лиговский дом 84/2  литера А помещение 3-Н</t>
  </si>
  <si>
    <t>ЮЛ780300379600134</t>
  </si>
  <si>
    <t>ЮЛ780300379600143</t>
  </si>
  <si>
    <t>197374 город Санкт-Петербург улица Мебельная дом 12 корпус 1 литера Б помещение 5-Н</t>
  </si>
  <si>
    <t>ЮЛ780300363500000</t>
  </si>
  <si>
    <t>194354 город Санкт-Петербург проспект Энгельса дом 111 корпус 1 литера А  помещение 7-Н</t>
  </si>
  <si>
    <t>ЮЛ780300363500345</t>
  </si>
  <si>
    <t>193232 город Санкт-Петербург улица Дыбенко дом 27 корпус 1 литера Х  помещение 5-Н</t>
  </si>
  <si>
    <t>ЮЛ780300363500346</t>
  </si>
  <si>
    <t>191036 город Санкт-Петербург улица Восстания дом 1  литера Б помещение 4Н</t>
  </si>
  <si>
    <t>ЮЛ780300363500347</t>
  </si>
  <si>
    <t>ЮЛ780300363500350</t>
  </si>
  <si>
    <t>192171 город Санкт-Петербург улица Бабушкина дом 71/8  литера А помещение 28-Н</t>
  </si>
  <si>
    <t>ЮЛ780300363500351</t>
  </si>
  <si>
    <t>191002 город Санкт-Петербург улица Большая Московская дом 1-3  литера А помещение 11-Н</t>
  </si>
  <si>
    <t>ЮЛ780300363500352</t>
  </si>
  <si>
    <t>194356 город Санкт-Петербург проспект Энгельса дом 138 корпус 2  литера А помещение 13Н</t>
  </si>
  <si>
    <t>ЮЛ780300363500353</t>
  </si>
  <si>
    <t>ЮЛ780300363500354</t>
  </si>
  <si>
    <t>195112 город Санкт-Петербург проспект Новочеркасский дом 28/19  литера А помещение 26Н</t>
  </si>
  <si>
    <t>ЮЛ780300363500356</t>
  </si>
  <si>
    <t>192281 город Санкт-Петербург площадь Балканская дом 5  литера В помещение 1-Н (помещения 23,24)</t>
  </si>
  <si>
    <t>ЮЛ780300363500357</t>
  </si>
  <si>
    <t>ЮЛ780300363500358</t>
  </si>
  <si>
    <t>195257 город Санкт-Петербург проспект Гражданский дом 68  литера А помещение 6Н</t>
  </si>
  <si>
    <t>ЮЛ780300363500359</t>
  </si>
  <si>
    <t>ЮЛ780300363500360</t>
  </si>
  <si>
    <t>198516 город Петергоф проспект Санкт-Петербургский дом 49/9  литера А помещение 1-Н</t>
  </si>
  <si>
    <t>ЮЛ780300363500361</t>
  </si>
  <si>
    <t>192029 город Санкт-Петербург проспект Елизарова дом 12</t>
  </si>
  <si>
    <t>ЮЛ780300363500362</t>
  </si>
  <si>
    <t>ЮЛ780300363500363</t>
  </si>
  <si>
    <t>ЮЛ780300363500364</t>
  </si>
  <si>
    <t>ЮЛ780300363500365</t>
  </si>
  <si>
    <t>195213 город Санкт-Петербург проспект Заневский дом 67 корпус 2 литера Б  помещение 1-Н</t>
  </si>
  <si>
    <t>ЮЛ780300363500366</t>
  </si>
  <si>
    <t>190000 город Санкт-Петербург В.О. Средний проспект 86  А помещение 21Н комната 66 р.м. 1</t>
  </si>
  <si>
    <t>7814690934</t>
  </si>
  <si>
    <t>ЮЛ7803013596</t>
  </si>
  <si>
    <t>ЮЛ780301359600000</t>
  </si>
  <si>
    <t>197046 город Санкт-Петербург набережная Петровская 4  А 22Н</t>
  </si>
  <si>
    <t>ЮЛ780301359600001</t>
  </si>
  <si>
    <t>191119 город Санкт-Петербург улица Боровая дом 32  Литера А часть помещения 78-Н</t>
  </si>
  <si>
    <t>ООО "Номер семь"</t>
  </si>
  <si>
    <t>7814719206</t>
  </si>
  <si>
    <t>ЮЛ7803006064</t>
  </si>
  <si>
    <t>ЮЛ780300606400000</t>
  </si>
  <si>
    <t>197374 город Санкт-Петербург улица Савушкина дом 131  А 1Н</t>
  </si>
  <si>
    <t>ООО "МАТВЕЕВ И КО"</t>
  </si>
  <si>
    <t>7814728521</t>
  </si>
  <si>
    <t>ЮЛ7803008489</t>
  </si>
  <si>
    <t>ЮЛ780300848900000</t>
  </si>
  <si>
    <t>191040 город Санкт-Петербург проспект Лиговский дом 50  литера Р пом 7-H, офис 136</t>
  </si>
  <si>
    <t>ООО "ЗВЕЗДА ВСЕЛЕННОЙ"</t>
  </si>
  <si>
    <t>7814761800</t>
  </si>
  <si>
    <t>ЮЛ7803014609</t>
  </si>
  <si>
    <t>ЮЛ780301460900000</t>
  </si>
  <si>
    <t>197183 город Санкт-Петербург аллея Липовая дом 9  литера А часть нежилого помещения 23Н часть комнаты 717А, рабочее место 1</t>
  </si>
  <si>
    <t>ООО "ТД ГРАЦИЯ"</t>
  </si>
  <si>
    <t>7814792647</t>
  </si>
  <si>
    <t>ЮЛ7803002822</t>
  </si>
  <si>
    <t>ЮЛ780300282200000</t>
  </si>
  <si>
    <t>197342 город Санкт-Петербург улица Сердобольская дом 65  литер А Помещение 10-Н</t>
  </si>
  <si>
    <t>ООО "КОНРОС"</t>
  </si>
  <si>
    <t>7814792862</t>
  </si>
  <si>
    <t>ЮЛ7803006042</t>
  </si>
  <si>
    <t>ЮЛ780300604200000</t>
  </si>
  <si>
    <t>191144 город Санкт-Петербург улица Новгородская дом 13  литера Л ч.п. 84-93, помещения 1-Н</t>
  </si>
  <si>
    <t>ООО "МИЕ АТЕЛЬЕ"</t>
  </si>
  <si>
    <t>7814836260</t>
  </si>
  <si>
    <t>ЮЛ7803037393</t>
  </si>
  <si>
    <t>ЮЛ780303739300000</t>
  </si>
  <si>
    <t>191186 город Санкт-Петербург проспект Невский дом 48  А</t>
  </si>
  <si>
    <t>ИП Сонден Елена Протагеновна</t>
  </si>
  <si>
    <t>781490311477</t>
  </si>
  <si>
    <t>ИП7803016118</t>
  </si>
  <si>
    <t>ИП780301611800000</t>
  </si>
  <si>
    <t>196105 город Санкт-Петербург проспект Витебский дом 11  литера А</t>
  </si>
  <si>
    <t>ИП780300084400000</t>
  </si>
  <si>
    <t>191025 город Санкт-Петербург проспект Невский дом 55  А пом. 48-59</t>
  </si>
  <si>
    <t>ИП780300084400001</t>
  </si>
  <si>
    <t>192281 город Санкт-Петербург площадь Балканская дом 5 Я  литера Я № 10 ч.п. 1Н</t>
  </si>
  <si>
    <t>ИП780300084400002</t>
  </si>
  <si>
    <t>192281 город Санкт-Петербург площадь Балканская дом 5 Ю  литера Ю ч.п. № 4 помещения 1Н</t>
  </si>
  <si>
    <t>ИП780300084400004</t>
  </si>
  <si>
    <t>194100 город Санкт-Петербург проспект Полюстровский дом 84  литера А часть от части № 306</t>
  </si>
  <si>
    <t>ИП780300084400005</t>
  </si>
  <si>
    <t>193168 город Санкт-Петербург проспект Большевиков дом 18  литера А ч.п. № 104</t>
  </si>
  <si>
    <t>ИП780300084400007</t>
  </si>
  <si>
    <t>198322 город Санкт-Петербург шоссе Петергофское дом 51  литера А торговое место 1-6К</t>
  </si>
  <si>
    <t>ИП780300084400008</t>
  </si>
  <si>
    <t>194358 город Санкт-Петербург проспект Энгельса дом 154  литера А помещения № 135, 136</t>
  </si>
  <si>
    <t>ИП780300084400009</t>
  </si>
  <si>
    <t>196066 город Санкт-Петербург проспект Московский 183-185 Б  литера А 388Н</t>
  </si>
  <si>
    <t>ИП Лукичева Сюзанна Геннадьевна</t>
  </si>
  <si>
    <t>781605310627</t>
  </si>
  <si>
    <t>ИП7803039262</t>
  </si>
  <si>
    <t>ИП780303926200000</t>
  </si>
  <si>
    <t>194358 город Санкт-Петербург проспект Энгельса дом 154  литера А 20-Н</t>
  </si>
  <si>
    <t>ИП Киргиря Денис Юрьевич</t>
  </si>
  <si>
    <t>781615705222</t>
  </si>
  <si>
    <t>ИП4703014267</t>
  </si>
  <si>
    <t>ИП470301426700000</t>
  </si>
  <si>
    <t>196066 город Санкт-Петербург проспект Московский дом 183-185  литера А помещение 388н</t>
  </si>
  <si>
    <t>ООО Альфа</t>
  </si>
  <si>
    <t>7816283638</t>
  </si>
  <si>
    <t>ЮЛ7803000652</t>
  </si>
  <si>
    <t>ЮЛ780300065200000</t>
  </si>
  <si>
    <t>195274 город Санкт-Петербург проспект Культуры дом 1  литера А</t>
  </si>
  <si>
    <t>ЮЛ780300065200001</t>
  </si>
  <si>
    <t>192236 город Санкт-Петербург улица Софийская дом 14 4В Литер А часть помещения/офис 22-Н/605</t>
  </si>
  <si>
    <t>ЮЛ780301261200000</t>
  </si>
  <si>
    <t>190000 город Санкт-Петербург Петергофское шоссе Д. 51  А помещение 1.06</t>
  </si>
  <si>
    <t>ЮЛ780301261200027</t>
  </si>
  <si>
    <t>196653 город Колпино улица Пролетарская дом 36  литера А помещение 8-Н</t>
  </si>
  <si>
    <t>ЮЛ780301261200031</t>
  </si>
  <si>
    <t>196655 город Колпино улица Октябрьская дом 8  литера А нежилое помещение (место 21)</t>
  </si>
  <si>
    <t>ЮЛ780301261200034</t>
  </si>
  <si>
    <t>190031 город Санкт-Петербург улица Ефимова дом 3  литера С нежилое помещение № 7Н</t>
  </si>
  <si>
    <t>ЮЛ780301261200040</t>
  </si>
  <si>
    <t>190068 город Санкт-Петербург улица Декабристов дом 28  литер б помещение 18Н</t>
  </si>
  <si>
    <t>ООО "МАТРЁШКА РУС"</t>
  </si>
  <si>
    <t>7816584096</t>
  </si>
  <si>
    <t>ЮЛ7803017371</t>
  </si>
  <si>
    <t>ЮЛ780301737100000</t>
  </si>
  <si>
    <t>191186 город Санкт-Петербург проспект Невский дом 48  литер А помещение 1Н</t>
  </si>
  <si>
    <t>ЮЛ780301737100001</t>
  </si>
  <si>
    <t>197720 город Зеленогорск улица Гаванная дом 1  литера А помещение 2-Н</t>
  </si>
  <si>
    <t>ЮЛ780301737100010</t>
  </si>
  <si>
    <t>199004 город Санкт-Петербург переулок Биржевой дом 4</t>
  </si>
  <si>
    <t>ЮЛ780301737100012</t>
  </si>
  <si>
    <t>192238 город Санкт-Петербург улица Бухарестская дом 80  литера А помещение 3Н</t>
  </si>
  <si>
    <t>ООО "ЮК МЕЖДУНАРОДНАЯ"</t>
  </si>
  <si>
    <t>7816595725</t>
  </si>
  <si>
    <t>ЮЛ7803005476</t>
  </si>
  <si>
    <t>ЮЛ780300547600000</t>
  </si>
  <si>
    <t>192102 город Санкт-Петербург набережная Реки Волковки дом 9  литер А помещение 4-Н, часть комнаты №310</t>
  </si>
  <si>
    <t>ООО "АРТ-КЛАСС"</t>
  </si>
  <si>
    <t>7816719593</t>
  </si>
  <si>
    <t>ЮЛ7803004101</t>
  </si>
  <si>
    <t>ЮЛ780300410100000</t>
  </si>
  <si>
    <t>198217 город Санкт-Петербург проспект Ветеранов дом 36 корпус 2 литера А  15-Н</t>
  </si>
  <si>
    <t>ООО "АУРУМ-2Т"</t>
  </si>
  <si>
    <t>7816727428</t>
  </si>
  <si>
    <t>ЮЛ7803002041</t>
  </si>
  <si>
    <t>ЮЛ780300204100000</t>
  </si>
  <si>
    <t>196655 город Колпино улица Октябрьская дом 8   секция 3б</t>
  </si>
  <si>
    <t>ИП Абрамова Ирина Сергеевна</t>
  </si>
  <si>
    <t>781700147794</t>
  </si>
  <si>
    <t>ИП7803036160</t>
  </si>
  <si>
    <t>ИП780303616000000</t>
  </si>
  <si>
    <t>192177 город Санкт-Петербург улица Караваевская 23  А 5Н (внутренняя нумерация 413)</t>
  </si>
  <si>
    <t>ИП Шудрик Оксана Николаевна</t>
  </si>
  <si>
    <t>781709261269</t>
  </si>
  <si>
    <t>ИП7803016182</t>
  </si>
  <si>
    <t>ИП780301618200000</t>
  </si>
  <si>
    <t>194044 город Санкт-Петербург переулок Евпаторийский дом 3 корпус 1 литера Ж пом. 1-Н; - ком. 42</t>
  </si>
  <si>
    <t>ИП Морозов Евгений Алексеевич</t>
  </si>
  <si>
    <t>781710949211</t>
  </si>
  <si>
    <t>ИП7803036337</t>
  </si>
  <si>
    <t>ИП780303633700000</t>
  </si>
  <si>
    <t>196650 город КОЛПИНО ФИНЛЯНДСКАЯ 27  Литера В помещение 16Н</t>
  </si>
  <si>
    <t>ООО "57"</t>
  </si>
  <si>
    <t>7817141883</t>
  </si>
  <si>
    <t>ЮЛ7803038446</t>
  </si>
  <si>
    <t>ЮЛ780303844600000</t>
  </si>
  <si>
    <t>196653 город Колпино улица Пролетарская дом 15  литера а помещение 3Н</t>
  </si>
  <si>
    <t>ООО "ЮВЕЛИР-КАРАТ" В КОЛПИНО"</t>
  </si>
  <si>
    <t>7817324372</t>
  </si>
  <si>
    <t>ЮЛ7803005444</t>
  </si>
  <si>
    <t>ЮЛ780300544400000</t>
  </si>
  <si>
    <t>197760 город Кронштадт проспект Ленина дом 16  Литера А Помещение 10 кв.м</t>
  </si>
  <si>
    <t>ИП Самелюк Валерия Александровна</t>
  </si>
  <si>
    <t>781803116501</t>
  </si>
  <si>
    <t>ИП7803008532</t>
  </si>
  <si>
    <t>ИП780300853200001</t>
  </si>
  <si>
    <t>192102 город Санкт-Петербург улица Бухарестская дом 30  Литера А офис 81/2Н</t>
  </si>
  <si>
    <t>ИП Королева Лариса Николаевна</t>
  </si>
  <si>
    <t>781900537209</t>
  </si>
  <si>
    <t>ИП7803034700</t>
  </si>
  <si>
    <t>ИП780303470000000</t>
  </si>
  <si>
    <t>198516 город Петергоф проспект Санкт-Петербургский Дом 60  Литера Ю Помещение 1-Н</t>
  </si>
  <si>
    <t>ООО "ЧАСОВОЙ МИР"</t>
  </si>
  <si>
    <t>7819023525</t>
  </si>
  <si>
    <t>ЮЛ7803014777</t>
  </si>
  <si>
    <t>ЮЛ780301477700000</t>
  </si>
  <si>
    <t>196084 город Санкт-Петербург набережная Обводного канала дом 80  литер А 23</t>
  </si>
  <si>
    <t>ИП Боровикова Надежда Леопольдовна</t>
  </si>
  <si>
    <t>781907001664</t>
  </si>
  <si>
    <t>ИП7803014203</t>
  </si>
  <si>
    <t>ИП780301420300000</t>
  </si>
  <si>
    <t>196601 город Пушкин переулок Лицейский дом 5  литер а помещение 1Н</t>
  </si>
  <si>
    <t>ИП Васильев Сергей Георгиевич</t>
  </si>
  <si>
    <t>782000080063</t>
  </si>
  <si>
    <t>ИП7803013393</t>
  </si>
  <si>
    <t>ИП780301339300000</t>
  </si>
  <si>
    <t>196601 город Пушкин переулок Лицейский 7  А 1-Н пом. 34, 40</t>
  </si>
  <si>
    <t>ИП Зюкин Алексей Николаевич</t>
  </si>
  <si>
    <t>782000107999</t>
  </si>
  <si>
    <t>ИП7803014605</t>
  </si>
  <si>
    <t>ИП780301460500000</t>
  </si>
  <si>
    <t>197183 город Санкт-Петербург улица Сабировская 37  литер Д помещение 1-Н к.152</t>
  </si>
  <si>
    <t>ООО "ЦИРКОН С"</t>
  </si>
  <si>
    <t>7820015166</t>
  </si>
  <si>
    <t>ЮЛ7803002810</t>
  </si>
  <si>
    <t>ЮЛ780300281000000</t>
  </si>
  <si>
    <t>191002 город Санкт-Петербург проспект Владимирский 19  А Часть неж.пом 2-Н, 3-Н, 4-Н, 6-Н пом.95,96</t>
  </si>
  <si>
    <t>ЮЛ780300281000001</t>
  </si>
  <si>
    <t>197342 город Санкт-Петербург Торжковская дом 5  Литера А часть пом. 15-Н,27-Н, комн. №90,91, офис 503</t>
  </si>
  <si>
    <t>ИП Федотова Наталья Сергеевна</t>
  </si>
  <si>
    <t>782001799968</t>
  </si>
  <si>
    <t>ИП7803011909</t>
  </si>
  <si>
    <t>ИП780301190900000</t>
  </si>
  <si>
    <t>190031 город Санкт-Петербург улица Ефимова дом 3  литер С</t>
  </si>
  <si>
    <t>ИП780301190900002</t>
  </si>
  <si>
    <t>193313 город Санкт-Петербург улица Коллонтай дом 3  литер Б</t>
  </si>
  <si>
    <t>ИП780301190900003</t>
  </si>
  <si>
    <t>196233 город Санкт-Петербург проспект Космонавтов дом 45  Литер А</t>
  </si>
  <si>
    <t>ИП780301190900004</t>
  </si>
  <si>
    <t>197373 город Санкт-Петербург улица Долгоозёрная дом 14 корпус 2 А строение 1</t>
  </si>
  <si>
    <t>ИП780301190900005</t>
  </si>
  <si>
    <t>196601 город Пушкин улица Садовая 9  А ПОМ.1-Н;25;26</t>
  </si>
  <si>
    <t>ООО "ЦАРСКОСЕЛЬСКАЯ КОЛЛЕКЦИЯ"</t>
  </si>
  <si>
    <t>7820035821</t>
  </si>
  <si>
    <t>ЮЛ7803012111</t>
  </si>
  <si>
    <t>ЮЛ780301211100001</t>
  </si>
  <si>
    <t>196601 город Пушкин САДОВАЯ 9  А ПОМ.1-Н;172</t>
  </si>
  <si>
    <t>ЮЛ780301211100002</t>
  </si>
  <si>
    <t>196143 город Санкт-Петербург улица Орджоникидзе дом 42  литера А помещение 1Н/250</t>
  </si>
  <si>
    <t>ООО "АРГО"</t>
  </si>
  <si>
    <t>7820301618</t>
  </si>
  <si>
    <t>ЮЛ7803003167</t>
  </si>
  <si>
    <t>ЮЛ780300316700002</t>
  </si>
  <si>
    <t>191186 город Санкт-Петербург улица Большая Конюшенная дом 2  Литер А помещение 10-Н</t>
  </si>
  <si>
    <t>ИП Федорова Жанна Евгеньевна</t>
  </si>
  <si>
    <t>782064856305</t>
  </si>
  <si>
    <t>ИП7803008936</t>
  </si>
  <si>
    <t>ИП780300893600000</t>
  </si>
  <si>
    <t>190031 город Санкт-Петербург улица Малая Морская дом 19  литера А помещение 3н</t>
  </si>
  <si>
    <t>ИП780300893600004</t>
  </si>
  <si>
    <t>191186 город Санкт-Петербург набережная Реки Мойки дом 12</t>
  </si>
  <si>
    <t>ВСЕРОССИЙСКИЙ МУЗЕЙ А.С. ПУШКИНА</t>
  </si>
  <si>
    <t>7825046513</t>
  </si>
  <si>
    <t>ЮЛ7803019478</t>
  </si>
  <si>
    <t>ЮЛ780301947800000</t>
  </si>
  <si>
    <t>191014 город Санкт-Петербург улица Восстания дом 16  литер а Помещение 6Н</t>
  </si>
  <si>
    <t>ИП Юминова Ольга Олеговна</t>
  </si>
  <si>
    <t>782510249052</t>
  </si>
  <si>
    <t>ИП7803012776</t>
  </si>
  <si>
    <t>ИП780301277600000</t>
  </si>
  <si>
    <t>196653 город Колпино проспект Ленина дом 24/8  литера А помещение 5-Н</t>
  </si>
  <si>
    <t>ИП780301277600001</t>
  </si>
  <si>
    <t>193318 город Санкт-Петербург проспект Пятилеток дом 2  А пом. 5-Н</t>
  </si>
  <si>
    <t>ИП Ивашкевич Сергей Иванович</t>
  </si>
  <si>
    <t>782511558590</t>
  </si>
  <si>
    <t>ИП7803040703</t>
  </si>
  <si>
    <t>ИП780304070300000</t>
  </si>
  <si>
    <t>199106 Санкт-Петербург 19 линия В.О. 32 6 Л 2Н, 3Н</t>
  </si>
  <si>
    <t>ООО "АКИМОВ"</t>
  </si>
  <si>
    <t>7825120661</t>
  </si>
  <si>
    <t>ЮЛ7803003856</t>
  </si>
  <si>
    <t>ЮЛ780300385600000</t>
  </si>
  <si>
    <t>191002 город Санкт-Петербург улица Марата дом 51  литера А часть помещения № 201</t>
  </si>
  <si>
    <t>ИП Никитина Зоя Сергеевна</t>
  </si>
  <si>
    <t>782512424454</t>
  </si>
  <si>
    <t>ИП7803030711</t>
  </si>
  <si>
    <t>ИП780303071100000</t>
  </si>
  <si>
    <t>ИП Цибульская Елена Александровна</t>
  </si>
  <si>
    <t>782513455536</t>
  </si>
  <si>
    <t>ИП7803006669</t>
  </si>
  <si>
    <t>ИП780300666900000</t>
  </si>
  <si>
    <t>191025 город Санкт-Петербург улица Стремянная дом 2/4  литера А помещение 2-Н</t>
  </si>
  <si>
    <t>ООО "СОКРОВИЩА ПЕТЕРБУРГА"</t>
  </si>
  <si>
    <t>7825428262</t>
  </si>
  <si>
    <t>ЮЛ7803018947</t>
  </si>
  <si>
    <t>ЮЛ780301894700000</t>
  </si>
  <si>
    <t>191144 город Санкт-Петербург улица Моисеенко дом 22 часть пом.6-Н Лит. Д помещение 10</t>
  </si>
  <si>
    <t>ЗАО "ГРИНГОР"</t>
  </si>
  <si>
    <t>7825471035</t>
  </si>
  <si>
    <t>ЮЛ7803000994</t>
  </si>
  <si>
    <t>ЮЛ780300099400000</t>
  </si>
  <si>
    <t>191036 город Санкт-Петербург улица 8-я Советская дом 15/24  Литер А цоколь, часть помещения 2-Н</t>
  </si>
  <si>
    <t>ООО "САНКТ-ПЕТЕРБУРГСКИЙ ГОРОДСКОЙ ЛОМБАРД"</t>
  </si>
  <si>
    <t>7825478792</t>
  </si>
  <si>
    <t>ЮЛ7803003645</t>
  </si>
  <si>
    <t>ЮЛ780300364500001</t>
  </si>
  <si>
    <t>191002 город Санкт-Петербург проспект Владимирский дом 17  Литер А 1 эт. часть пом 6-Н (1-9)</t>
  </si>
  <si>
    <t>ЮЛ780300364500010</t>
  </si>
  <si>
    <t>191040 город Санкт-Петербург проспект Лиговский дом 41/83  литер А 1 эт, 5Н ч.п.3, 4, 5, 6, 9, 10</t>
  </si>
  <si>
    <t>ЮЛ780300364500011</t>
  </si>
  <si>
    <t>191025 город Санкт-Петербург проспект Владимирский дом 3  литера А помещение 4Н</t>
  </si>
  <si>
    <t>ООО "АНТИК"</t>
  </si>
  <si>
    <t>7825504308</t>
  </si>
  <si>
    <t>ЮЛ7803002727</t>
  </si>
  <si>
    <t>ЮЛ780300272700000</t>
  </si>
  <si>
    <t>198035 город Санкт-Петербург улица Степана Разина дом 9  литера Б помещение 5-Н</t>
  </si>
  <si>
    <t>ООО "БАЛТ-СЕРВИС"</t>
  </si>
  <si>
    <t>7825706470</t>
  </si>
  <si>
    <t>ЮЛ7803012163</t>
  </si>
  <si>
    <t>ЮЛ780301216300000</t>
  </si>
  <si>
    <t>190068 город Санкт-Петербург улица Декабристов дом 28  Б помещение 18Н</t>
  </si>
  <si>
    <t>ИП Ларченко Виталий Владимирович</t>
  </si>
  <si>
    <t>782571525729</t>
  </si>
  <si>
    <t>ИП7803037130</t>
  </si>
  <si>
    <t>ИП780303713000000</t>
  </si>
  <si>
    <t>196140 город Санкт-Петербург шоссе Пулковское дом 41  литер А Часть помещения 1Н (ч.ч.п. 799)</t>
  </si>
  <si>
    <t>ИП Филиппова Лариса Яковлевна</t>
  </si>
  <si>
    <t>782600082016</t>
  </si>
  <si>
    <t>ИП7803010221</t>
  </si>
  <si>
    <t>ИП780301022100000</t>
  </si>
  <si>
    <t>196128 город Санкт-Петербург улица Варшавская дом 5а  литер Б офис 204</t>
  </si>
  <si>
    <t>ИП Иессе Георгий Львович</t>
  </si>
  <si>
    <t>782600161606</t>
  </si>
  <si>
    <t>ИП7803010243</t>
  </si>
  <si>
    <t>ИП780301024300000</t>
  </si>
  <si>
    <t>197720 город Зеленогорск улица Вокзальная дом 7  литера Б № 114</t>
  </si>
  <si>
    <t>ИП Бодрова Татьяна Олеговна</t>
  </si>
  <si>
    <t>782700656715</t>
  </si>
  <si>
    <t>ИП7803000546</t>
  </si>
  <si>
    <t>ИП780300054600000</t>
  </si>
  <si>
    <t>197198 город Санкт-Петербург пр. Большой П.С., дом 13/4  А  помещение 4 - Н</t>
  </si>
  <si>
    <t>ИП Крылова Надежда Прокопьевна</t>
  </si>
  <si>
    <t>782704578232</t>
  </si>
  <si>
    <t>ИП4703004408</t>
  </si>
  <si>
    <t>ИП470300440800000</t>
  </si>
  <si>
    <t>191186 город Санкт-Петербург проспект Невский дом 35</t>
  </si>
  <si>
    <t>АО "БОЛЬШОЙ ГОСТИНЫЙ ДВОР"</t>
  </si>
  <si>
    <t>7830001892</t>
  </si>
  <si>
    <t>ЮЛ7803003641</t>
  </si>
  <si>
    <t>ЮЛ780300364100000</t>
  </si>
  <si>
    <t>190031 город Санкт-Петербург улица Большая Морская дом 39  литера Б комн. 42</t>
  </si>
  <si>
    <t>ООО "СЧАСТЬЕ У ИСААКИЯ"</t>
  </si>
  <si>
    <t>7838037033</t>
  </si>
  <si>
    <t>ЮЛ7803001401</t>
  </si>
  <si>
    <t>ЮЛ780300140100000</t>
  </si>
  <si>
    <t>190031 город Санкт-Петербург проспект Московский дом 2/6  литер А помещение 75-Н</t>
  </si>
  <si>
    <t>ООО "АДМИРАЛТЕЙСКИЙ ЛОМБАРД"</t>
  </si>
  <si>
    <t>7838084971</t>
  </si>
  <si>
    <t>ЮЛ7803003699</t>
  </si>
  <si>
    <t>ЮЛ780300369900000</t>
  </si>
  <si>
    <t>195112 город Санкт-Петербург проспект Заневский дом 42 строение 1  помещение 6-н, первый этаж</t>
  </si>
  <si>
    <t>ООО "АРТ-СПЕЙС"</t>
  </si>
  <si>
    <t>7838085358</t>
  </si>
  <si>
    <t>ЮЛ7803008921</t>
  </si>
  <si>
    <t>ЮЛ780300892100000</t>
  </si>
  <si>
    <t>196070 город Санкт-Петербург площадь Чернышевского дом 2   пом. 11-Н</t>
  </si>
  <si>
    <t>ООО "ЛЮКС-ТОРГ"</t>
  </si>
  <si>
    <t>7838112964</t>
  </si>
  <si>
    <t>ЮЛ7803035079</t>
  </si>
  <si>
    <t>ЮЛ780303507900001</t>
  </si>
  <si>
    <t>194354 город Санкт-Петербург проспект Энгельса дом 113 корпус 1 литера А</t>
  </si>
  <si>
    <t>ЮЛ780303507900002</t>
  </si>
  <si>
    <t>190005 город Санкт-Петербург проспект Лермонтовский 4  А пом. 6-Н</t>
  </si>
  <si>
    <t>ЮЛ780303507900003</t>
  </si>
  <si>
    <t>190031 город Санкт-Петербург улица Малая Морская дом 18 строение 1  пом.1Н офис 217</t>
  </si>
  <si>
    <t>ООО "НЮД"</t>
  </si>
  <si>
    <t>7838113573</t>
  </si>
  <si>
    <t>ЮЛ7803034302</t>
  </si>
  <si>
    <t>ЮЛ780303430200000</t>
  </si>
  <si>
    <t>190031 город Санкт-Петербург улица Ефимова дом 1/4  литера А подв./ч. помещ.31-Н/6</t>
  </si>
  <si>
    <t>ООО "ПЕРСПЕКТИВНЫЙ ЛОМБАРД"</t>
  </si>
  <si>
    <t>7838120637</t>
  </si>
  <si>
    <t>ЮЛ7803036869</t>
  </si>
  <si>
    <t>ЮЛ780303686900000</t>
  </si>
  <si>
    <t>194363 город Санкт-Петербург пос. Парголово улица Фёдора Абрамова дом 8  литера А помещение 198-н</t>
  </si>
  <si>
    <t>ЮЛ780303686900001</t>
  </si>
  <si>
    <t>193313 город Санкт-Петербург проспект Большевиков дом 9 корпус 1  литера А 2-Н</t>
  </si>
  <si>
    <t>ООО "ТОЧКА СБЫТА 1"</t>
  </si>
  <si>
    <t>7838123148</t>
  </si>
  <si>
    <t>ЮЛ7803040608</t>
  </si>
  <si>
    <t>ЮЛ780304060800000</t>
  </si>
  <si>
    <t>198216 город Санкт-Петербург проспект Ленинский дом 130/6  литера А помещение 23н, часть помещения №3</t>
  </si>
  <si>
    <t>ЮЛ780304060800001</t>
  </si>
  <si>
    <t>197136 город Санкт-Петербург улица Барочная дом 12  литера Б пом. 16</t>
  </si>
  <si>
    <t>ООО "ЮВЕЛИРНЫЙ ДОМ "ВЕРУМ"</t>
  </si>
  <si>
    <t>7838130120</t>
  </si>
  <si>
    <t>ЮЛ7803039523</t>
  </si>
  <si>
    <t>ЮЛ780303952300000</t>
  </si>
  <si>
    <t>190121 Санкт-Петербург Галерная 32  Литера А 2-Н</t>
  </si>
  <si>
    <t>ООО "ЮВЕЛИРНЫЙ ДОМ "ЕЛЕНА ЦВЕТКОВА"</t>
  </si>
  <si>
    <t>7838378033</t>
  </si>
  <si>
    <t>ЮЛ7803008141</t>
  </si>
  <si>
    <t>ЮЛ780300814100000</t>
  </si>
  <si>
    <t>191025 город Санкт-Петербург улица Стремянная дом 21/5  литера А помещение 29</t>
  </si>
  <si>
    <t>ООО "СЕРЕБРЯНЫЙ СЛОНЪ СПБ"</t>
  </si>
  <si>
    <t>7838439448</t>
  </si>
  <si>
    <t>ЮЛ7803003581</t>
  </si>
  <si>
    <t>ЮЛ780300358100000</t>
  </si>
  <si>
    <t>191186 город Санкт-Петербург проспект Невский дом 22-24  литер А помещение 113-Н</t>
  </si>
  <si>
    <t>ООО "ЧАСОВОЙ ЛОМБАРД "ПЕРСПЕКТИВА-СПБ"</t>
  </si>
  <si>
    <t>7838478704</t>
  </si>
  <si>
    <t>ЮЛ7803010689</t>
  </si>
  <si>
    <t>ЮЛ780301068900000</t>
  </si>
  <si>
    <t>190000 город Санкт-Петербург Бульвар Новаторов Дом11 Корпус 2 Литера А часть от части №14 нежилого помещения1-Н расположенное на 1 этаже</t>
  </si>
  <si>
    <t>ИП780303664800004</t>
  </si>
  <si>
    <t>190000 город Санкт-Петербург площадь Стачек дом 9 строение 1  ч.п. 1 нежилого помещения№24-Н, расположенная на 1 (Первом) этаже</t>
  </si>
  <si>
    <t>ИП780303664800006</t>
  </si>
  <si>
    <t>190000 город Санкт-Петербург Участок ж.д."ул.Юнатов- станция Рыбацкое"   лит.Е часть от части №2 площадью 6(шесть)кв.м. нежилого помещения7-Н на 2 9втором)этаже</t>
  </si>
  <si>
    <t>ИП780303664800007</t>
  </si>
  <si>
    <t>190000 город Санкт-Петербург Заневский проспект дом 67 корп.2 лит.А помещение №205, являющейся частью помещения1-Н</t>
  </si>
  <si>
    <t>ИП780303664800009</t>
  </si>
  <si>
    <t>190000 город Санкт-Петербург улица Савушкина дом 141  лит.А ч.пом. №513, являющаяся частью пом.1 -Н, на площади шесть кв.м. на втором этаже</t>
  </si>
  <si>
    <t>ИП780303664800010</t>
  </si>
  <si>
    <t>190000 город Санкт-Петербург проспект Стачек  дом 99  лит.А 8 (восемь) кв.м. в части части помещения №74 , являющейся частью помещения 1-Н расположенного на 1 ( первом) этаже</t>
  </si>
  <si>
    <t>ИП780303664800011</t>
  </si>
  <si>
    <t>190000 город Санкт-Петербург улица Долгоозерная дом 14 корпус2 лит А часть от части №173 площадью 8 (восемь) кв.м, входящую в состав нежилого помещения 1-Н  расположенное на первом этаже в нежилом здании</t>
  </si>
  <si>
    <t>ИП780303664800014</t>
  </si>
  <si>
    <t>190000 город Санкт-Петербург Брантовская дорога дом 3 строение 2  Торговое место 1-13К ,1 этаж</t>
  </si>
  <si>
    <t>ИП780303664800015</t>
  </si>
  <si>
    <t>191023 город Санкт-Петербург улица Садовая дом 28-30 корпус 15  литера к15 Пом. 16Н-21Н, офис 4-6А</t>
  </si>
  <si>
    <t>ИП Фомичев Николай Эдуардович</t>
  </si>
  <si>
    <t>783901358358</t>
  </si>
  <si>
    <t>ИП7803039657</t>
  </si>
  <si>
    <t>ИП780303965700000</t>
  </si>
  <si>
    <t>195257 город Санкт-Петербург проспект Гражданский дом 43 корпус 1 литера А помещение 2 Н</t>
  </si>
  <si>
    <t>ООО "ЛОМБАРД "ДОВЕРИЕ СПБ"</t>
  </si>
  <si>
    <t>7839064061</t>
  </si>
  <si>
    <t>ЮЛ7803002351</t>
  </si>
  <si>
    <t>ЮЛ780300235100002</t>
  </si>
  <si>
    <t>191002 город Санкт-Петербург проспект Владимирский дом 15  Литера А помещение 36Н</t>
  </si>
  <si>
    <t>ЮЛ780300235100003</t>
  </si>
  <si>
    <t>198332 город Санкт-Петербург город Петергоф проспект Санкт-Петербургский дом 60  литер И</t>
  </si>
  <si>
    <t>ООО "ЮНИОН ТРЕЙД"</t>
  </si>
  <si>
    <t>7839099353</t>
  </si>
  <si>
    <t>ЮЛ7803012609</t>
  </si>
  <si>
    <t>ЮЛ780301260900001</t>
  </si>
  <si>
    <t>198332 город Санкт-Петербург проспект Маршала Жукова дом 31 корпус 1 литер А</t>
  </si>
  <si>
    <t>ЮЛ780301260900003</t>
  </si>
  <si>
    <t>190031 город Санкт-Петербург переулок Спасский дом 11/1  литера А помещ. 21-Н, кабинет 3</t>
  </si>
  <si>
    <t>ООО "ТЦ "МОСКОВСКИЙ"</t>
  </si>
  <si>
    <t>7839323319</t>
  </si>
  <si>
    <t>ЮЛ7803001368</t>
  </si>
  <si>
    <t>ЮЛ780300136800000</t>
  </si>
  <si>
    <t>197198 город Санкт-Петербург улица Саблинская дом 13-15  литер А помещение 5Н</t>
  </si>
  <si>
    <t>ООО "ИФК "ПИК"</t>
  </si>
  <si>
    <t>7839334631</t>
  </si>
  <si>
    <t>ЮЛ7803013676</t>
  </si>
  <si>
    <t>ЮЛ780301367600000</t>
  </si>
  <si>
    <t>190020 город Санкт-Петербург набережная Обводного канала дом 134-136-138 корпус 104, литер А  помещение 6Н, комната 14</t>
  </si>
  <si>
    <t>7839383460</t>
  </si>
  <si>
    <t>ЮЛ7803000574</t>
  </si>
  <si>
    <t>ЮЛ780300057400000</t>
  </si>
  <si>
    <t>190000 город Санкт-Петербург улица Малая Морская дом 12  литера А помещение 20Н</t>
  </si>
  <si>
    <t>ООО "ДИАМАНТ"</t>
  </si>
  <si>
    <t>7839455241</t>
  </si>
  <si>
    <t>ЮЛ7803003146</t>
  </si>
  <si>
    <t>ЮЛ780300314600000</t>
  </si>
  <si>
    <t>195257 город Санкт-Петербург проспект Гражданский дом 43 корпус 1 Литер А помещение 4-Н</t>
  </si>
  <si>
    <t>ООО "ЛОМБАРД "ДОВЕРИЕ-СТИЛЬ"</t>
  </si>
  <si>
    <t>7839459334</t>
  </si>
  <si>
    <t>ЮЛ7803003169</t>
  </si>
  <si>
    <t>ЮЛ780300316900003</t>
  </si>
  <si>
    <t>191002 город Санкт-Петербург проспект Владимирский дом 15  литера А помещение 36Н</t>
  </si>
  <si>
    <t>ЮЛ780300316900005</t>
  </si>
  <si>
    <t>191002 город Санкт-Петербург проспект Владимирский дом 19  литера А помещение 101 часть 2-Н</t>
  </si>
  <si>
    <t>ООО "ДЕЙМ"</t>
  </si>
  <si>
    <t>7839475745</t>
  </si>
  <si>
    <t>ЮЛ7803015671</t>
  </si>
  <si>
    <t>ЮЛ780301567100000</t>
  </si>
  <si>
    <t>191186 город Санкт-Петербург проспект Невский дом 44, Лит."А"  А помещение 1-Н</t>
  </si>
  <si>
    <t>ООО "АСТЕРИЯ"</t>
  </si>
  <si>
    <t>7840006561</t>
  </si>
  <si>
    <t>ЮЛ7803020378</t>
  </si>
  <si>
    <t>ЮЛ780302037800000</t>
  </si>
  <si>
    <t>191119 город Санкт-Петербург проспект Лиговский дом 93   помещение 12Н</t>
  </si>
  <si>
    <t>ООО "ЧАСОВОЙ ВИП ЛОМБАРД-СПБ"</t>
  </si>
  <si>
    <t>7840035562</t>
  </si>
  <si>
    <t>ЮЛ7803014162</t>
  </si>
  <si>
    <t>ЮЛ780301416200000</t>
  </si>
  <si>
    <t>198096 город Санкт-Петербург проспект Стачек дом 69  литера А помещение 34Н</t>
  </si>
  <si>
    <t>7840081544</t>
  </si>
  <si>
    <t>ЮЛ7803009684</t>
  </si>
  <si>
    <t>ЮЛ780300968400000</t>
  </si>
  <si>
    <t>193168 город Санкт-Петербург проспект Большевиков дом 10 корпус 1 литера А</t>
  </si>
  <si>
    <t>ЮЛ780300968400005</t>
  </si>
  <si>
    <t>198096 город Санкт-Петербург проспект Стачек дом 69  литера А помещение 34-Н</t>
  </si>
  <si>
    <t>ООО "ЛОМБАРД "РАБИНОВИЧ"</t>
  </si>
  <si>
    <t>7840092585</t>
  </si>
  <si>
    <t>ЮЛ7803007504</t>
  </si>
  <si>
    <t>ЮЛ780300750400000</t>
  </si>
  <si>
    <t>194354 город Санкт-Петербург улица Есенина дом 12 корпус 1 литер А помещение 28-Н</t>
  </si>
  <si>
    <t>ЮЛ780300750400001</t>
  </si>
  <si>
    <t>195221 город Санкт-Петербург проспект Металлистов дом 65  литер А помещение 1-Н</t>
  </si>
  <si>
    <t>ЮЛ780300750400003</t>
  </si>
  <si>
    <t>199155 город Санкт-Петербург улица Наличная дом 49  литер А помещение 35Н</t>
  </si>
  <si>
    <t>ЮЛ780300750400004</t>
  </si>
  <si>
    <t>ЮЛ780300750400005</t>
  </si>
  <si>
    <t>191023 ГОРОД САНКТ-ПЕТЕРБУРГ НАБ РЕКИ ФОНТАНКИ 21  ЛИТЕРА А ПОМЕЩ. 18-Н</t>
  </si>
  <si>
    <t>ООО "ЛЕНЗЛАТО"</t>
  </si>
  <si>
    <t>7840103452</t>
  </si>
  <si>
    <t>ЮЛ7803032090</t>
  </si>
  <si>
    <t>ЮЛ780303209000000</t>
  </si>
  <si>
    <t>191186 город Санкт-Петербург ПР-КТ НЕВСКИЙ  Д.48 ЛИТЕРА А  ПОМЕЩ.1Н, ПОМЕЩЕНИЕ 18</t>
  </si>
  <si>
    <t>ООО "РЕТРО АНТИК"</t>
  </si>
  <si>
    <t>7840104255</t>
  </si>
  <si>
    <t>ЮЛ7803033258</t>
  </si>
  <si>
    <t>ЮЛ780303325800000</t>
  </si>
  <si>
    <t>194358 город Санкт-Петербург проспект Просвещения дом 36/141  литер А помещение 16Н</t>
  </si>
  <si>
    <t>ЮЛ780300880400001</t>
  </si>
  <si>
    <t>190121 город Санкт-Петербург улица Декабристов дом 42  литера А помещение 1.2 рабочее место 2</t>
  </si>
  <si>
    <t>ООО "СЕВЕРНЫЙ СВЕТ"</t>
  </si>
  <si>
    <t>7840446675</t>
  </si>
  <si>
    <t>ЮЛ7803014274</t>
  </si>
  <si>
    <t>ЮЛ780301427400000</t>
  </si>
  <si>
    <t>191186 город Санкт-Петербург Садовая 7-9-11  литера А пом.3-Н, 8-Н</t>
  </si>
  <si>
    <t>ООО "ЛАБОРАТОРИЯ ТВОРЧЕСТВА"</t>
  </si>
  <si>
    <t>7841028744</t>
  </si>
  <si>
    <t>ЮЛ7803013727</t>
  </si>
  <si>
    <t>ЮЛ780301372700000</t>
  </si>
  <si>
    <t>194356 город Санкт-Петербург шоссе Выборгское дом 13  литера А</t>
  </si>
  <si>
    <t>ЮЛ780301372700001</t>
  </si>
  <si>
    <t>191186 город Санкт-Петербург улица Итальянская дом 17  литера а помещение 6Н, №1-4</t>
  </si>
  <si>
    <t>ООО "СУПЕРФУДЫ"</t>
  </si>
  <si>
    <t>7841056727</t>
  </si>
  <si>
    <t>ЮЛ7803038312</t>
  </si>
  <si>
    <t>ЮЛ780303831200000</t>
  </si>
  <si>
    <t>191025 город Санкт-Петербург проспект Невский дом 90-92  литер Б помещение 40Н</t>
  </si>
  <si>
    <t>ООО "БУРЖУА"</t>
  </si>
  <si>
    <t>7841074613</t>
  </si>
  <si>
    <t>ЮЛ7803015958</t>
  </si>
  <si>
    <t>ЮЛ780301595800000</t>
  </si>
  <si>
    <t>190020 город Санкт-Петербург Лифляндская 6  М помещение 27Н, оф. 2002, рабочее место №1</t>
  </si>
  <si>
    <t>ООО "СОВРЕМЕННЫЕ ЮВЕЛИРНЫЕ РЕШЕНИЯ"</t>
  </si>
  <si>
    <t>7841077068</t>
  </si>
  <si>
    <t>ЮЛ7803008849</t>
  </si>
  <si>
    <t>ЮЛ780300884900000</t>
  </si>
  <si>
    <t>191186 город Санкт-Петербург улица Итальянская дом 11  литер А помещение 2-Н, 8-Н</t>
  </si>
  <si>
    <t>ООО "СЕВЕРНАЯ ПАЛЬМИРА"</t>
  </si>
  <si>
    <t>7841083424</t>
  </si>
  <si>
    <t>ЮЛ7803008893</t>
  </si>
  <si>
    <t>ЮЛ780300889300000</t>
  </si>
  <si>
    <t>191014 город Санкт-Петербург улица Восстания дом 16  литер а пом 6Н</t>
  </si>
  <si>
    <t>ООО "ЛОМБАРД ФУРШТАТ ПОВОЛЖЬЕ"</t>
  </si>
  <si>
    <t>7841087524</t>
  </si>
  <si>
    <t>ЮЛ7803012779</t>
  </si>
  <si>
    <t>ЮЛ780301277900000</t>
  </si>
  <si>
    <t>196653 город Колпино улица Пролетарская дом 9/28  литер А пом. 10-Н</t>
  </si>
  <si>
    <t>ООО "ФУРШТАТ ГРУПП"</t>
  </si>
  <si>
    <t>7841087732</t>
  </si>
  <si>
    <t>ЮЛ7803017323</t>
  </si>
  <si>
    <t>ЮЛ780301732300000</t>
  </si>
  <si>
    <t>191025 город Санкт-Петербург проспект Владимирский дом 1/47  литера Б помещ. 29-Н</t>
  </si>
  <si>
    <t>ЮЛ780301732300001</t>
  </si>
  <si>
    <t>190031 город Санкт-Петербург Набережная канала Грибоедова дом 56-58  Литер А часть помещения 27-Н, часть офиса 38</t>
  </si>
  <si>
    <t>ООО "СЕНТИНЕРИ"</t>
  </si>
  <si>
    <t>7841303856</t>
  </si>
  <si>
    <t>ЮЛ7803013684</t>
  </si>
  <si>
    <t>ЮЛ780301368400000</t>
  </si>
  <si>
    <t>191024 город Санкт-Петербург Невский проспект дом 137  Литер А 9Н</t>
  </si>
  <si>
    <t>ЮЛ780301368400001</t>
  </si>
  <si>
    <t>191023 город Санкт-Петербург улица Малая Садовая 3/54  А 11Н</t>
  </si>
  <si>
    <t>ООО "ПЕТЕРБУРГ"</t>
  </si>
  <si>
    <t>7841422765</t>
  </si>
  <si>
    <t>ЮЛ7803010651</t>
  </si>
  <si>
    <t>ЮЛ780301065100000</t>
  </si>
  <si>
    <t>191167 город Санкт-Петербург улица Атаманская 3/6 10 У пом. 14-Н №134, пом. 1-Н №320-327</t>
  </si>
  <si>
    <t>ООО "ТДС"</t>
  </si>
  <si>
    <t>7842030175</t>
  </si>
  <si>
    <t>ЮЛ7803009575</t>
  </si>
  <si>
    <t>ЮЛ780300957500000</t>
  </si>
  <si>
    <t>191167 город Санкт-Петербург проспект Невский дом 153  литера А 19Н</t>
  </si>
  <si>
    <t>ООО "БАРНИУС"</t>
  </si>
  <si>
    <t>7842096384</t>
  </si>
  <si>
    <t>ЮЛ7803020376</t>
  </si>
  <si>
    <t>ЮЛ780302037600000</t>
  </si>
  <si>
    <t>191167 город Санкт-Петербург набережная Обводного канала дом 5  А</t>
  </si>
  <si>
    <t>ООО "НЕВСКИЙ ОБРАЗ"</t>
  </si>
  <si>
    <t>7842116721</t>
  </si>
  <si>
    <t>ЮЛ7803005975</t>
  </si>
  <si>
    <t>ЮЛ780300597500000</t>
  </si>
  <si>
    <t>191167 город Санкт-Петербург улица Атаманская дом 3/6 10 У помещение 1-Н №319</t>
  </si>
  <si>
    <t>ООО "СИЛЬВЕР24"</t>
  </si>
  <si>
    <t>7842137383</t>
  </si>
  <si>
    <t>ЮЛ7803004096</t>
  </si>
  <si>
    <t>ЮЛ780300409600000</t>
  </si>
  <si>
    <t>197374 город Санкт-Петербург улица Савушкина 126  А 86-Н</t>
  </si>
  <si>
    <t>ООО "АММА ДЖЕВЕЛРИ"</t>
  </si>
  <si>
    <t>7842140509</t>
  </si>
  <si>
    <t>ЮЛ7803015238</t>
  </si>
  <si>
    <t>ЮЛ780301523800001</t>
  </si>
  <si>
    <t>191025 город Санкт-Петербург проспект Невский дом 88  литер Б 55-Н</t>
  </si>
  <si>
    <t>ООО "РНС"</t>
  </si>
  <si>
    <t>7842157710</t>
  </si>
  <si>
    <t>ЮЛ7803019585</t>
  </si>
  <si>
    <t>ЮЛ780301958500000</t>
  </si>
  <si>
    <t>198412 город Ломоносов проспект Ораниенбаумский дом 39  литер Б помещение 1-Н, 2-Н</t>
  </si>
  <si>
    <t>ЮЛ780301146700001</t>
  </si>
  <si>
    <t>198504 город Петергоф улица Чебышевская дом 14 корпус 1 литер А помещение 4-Н, 6-Н, 7-Н</t>
  </si>
  <si>
    <t>ЮЛ780301146700003</t>
  </si>
  <si>
    <t>ЮЛ780301146700014</t>
  </si>
  <si>
    <t>191024 город Санкт-Петербург проспект Невский дом 148  литера А помещение 12-Н, 1 этаж</t>
  </si>
  <si>
    <t>ООО "ФИЛАТОВ И КОМПАНИЯ"</t>
  </si>
  <si>
    <t>7842217342</t>
  </si>
  <si>
    <t>ЮЛ7803034966</t>
  </si>
  <si>
    <t>ЮЛ780303496600000</t>
  </si>
  <si>
    <t>191014 Санкт-Петербург проспект Лиговский 17  А помещение 4-Н, офис 2</t>
  </si>
  <si>
    <t>ООО "СОНОРО"</t>
  </si>
  <si>
    <t>7842230992</t>
  </si>
  <si>
    <t>ЮЛ7803040195</t>
  </si>
  <si>
    <t>ЮЛ780304019500000</t>
  </si>
  <si>
    <t>192102 город Санкт-Петербург улица Бухарестская дом 1  литер а офис 711</t>
  </si>
  <si>
    <t>ООО "СИМУРГ"</t>
  </si>
  <si>
    <t>7842452674</t>
  </si>
  <si>
    <t>ЮЛ7803003595</t>
  </si>
  <si>
    <t>ЮЛ780300359500000</t>
  </si>
  <si>
    <t>192212 Санкт-Петербург Будапештская 33  А 10Н, офис №27</t>
  </si>
  <si>
    <t>ИП МАНАНКОВА Ю. В.</t>
  </si>
  <si>
    <t>784290190615</t>
  </si>
  <si>
    <t>ИП7803040117</t>
  </si>
  <si>
    <t>ИП780304011700000</t>
  </si>
  <si>
    <t>191144 Санкт-Петербург 10-я Советская 8 стр.1  пом. 26-Н</t>
  </si>
  <si>
    <t>Индивидуальный предприниматель КАПИТОНОВА НАДЕЖДА НИКОЛАЕВНА</t>
  </si>
  <si>
    <t>784300297092</t>
  </si>
  <si>
    <t>ИП7803036419</t>
  </si>
  <si>
    <t>ИП780303641900000</t>
  </si>
  <si>
    <t>191040 город Санкт-Петербург проспект Лиговский дом 30  литера А</t>
  </si>
  <si>
    <t>ИП410901097600003</t>
  </si>
  <si>
    <t>191123 город Санкт-Петербург улица Чайковского дом 54  литера А помещение 15-Н</t>
  </si>
  <si>
    <t>ИП820400991100012</t>
  </si>
  <si>
    <t>197101 город Санкт-Петербург проспект Большой П.С. дом 57/1  литера А</t>
  </si>
  <si>
    <t>ЮЛ770101527400002</t>
  </si>
  <si>
    <t>191181 город Санкт-Петербург улица Большая Морская дом 10  литера А помещение 7-Н</t>
  </si>
  <si>
    <t>ЮЛ770103167400003</t>
  </si>
  <si>
    <t>191011 город Санкт-Петербург улица Итальянская дом 15  литер Б литер Б, этаж 4, помещение № 25-Н</t>
  </si>
  <si>
    <t>ЮЛ770103198500003</t>
  </si>
  <si>
    <t>191186 город Санкт-Петербург улица Итальянская дом 15  литера Б помещение 1-Н</t>
  </si>
  <si>
    <t>ЮЛ770103198500004</t>
  </si>
  <si>
    <t>190000 город Санкт-Петербург улица Московский проспект дом 4  литера А помещение З-Н</t>
  </si>
  <si>
    <t>ЮЛ770103720500002</t>
  </si>
  <si>
    <t>190031 город Санкт-Петербург проспект Московский дом 2/6  литера А помещение 8н</t>
  </si>
  <si>
    <t>ЮЛ770103800100014</t>
  </si>
  <si>
    <t>191040 город Санкт-Петербург проспект Лиговский Дом 30 этаж 1 Литера А помещение №1-Н</t>
  </si>
  <si>
    <t>ЮЛ770100639400003</t>
  </si>
  <si>
    <t>196105 город Санкт-Петербург проспект Космонавтов дом 14  литера А 1й этаж, части помещения 482,483,484 1-Н</t>
  </si>
  <si>
    <t>ЮЛ770100668800020</t>
  </si>
  <si>
    <t>195197 город Санкт-Петербург Полюстровский проспект дом 84  литер А 2-й этаж, помещение 284</t>
  </si>
  <si>
    <t>ЮЛ770100668800021</t>
  </si>
  <si>
    <t>191025 город Санкт-Петербург проспект Невский дом 114-116  литера А часть помещения 1H № 129, 1-й этаж</t>
  </si>
  <si>
    <t>ЮЛ770100668800035</t>
  </si>
  <si>
    <t>191040 город Санкт-Петербург проспект Лиговский дом 30  литера А помещение 1-Н, часть помещения 367, 1-й этаж</t>
  </si>
  <si>
    <t>ЮЛ770100668800040</t>
  </si>
  <si>
    <t>197198 город Санкт-Петербург проспект Большой П.С. дом 18  литера А помещение 2-Н, магазин EveEns</t>
  </si>
  <si>
    <t>ЮЛ770100668800045</t>
  </si>
  <si>
    <t>197198 город Санкт-Петербург проспект Большой П.С. дом 18  литера А помещение 2-Н, Магазин TOUS</t>
  </si>
  <si>
    <t>ЮЛ770100668800046</t>
  </si>
  <si>
    <t>197198 город Санкт-Петербург улица Ропшинская дом 1/32  литера А помещение 6Н, офис 108</t>
  </si>
  <si>
    <t>ЮЛ770101919300001</t>
  </si>
  <si>
    <t>191025 город Санкт-Петербург Графский переулок дом 6/16 литера А  помещение 2-Н</t>
  </si>
  <si>
    <t>ЮЛ770100243700002</t>
  </si>
  <si>
    <t>194358 город Санкт-Петербург проспект Просвещения дом 32 корпус 1  Литер А пом. 63-Н, этаж 1</t>
  </si>
  <si>
    <t>ЮЛ770100439200165</t>
  </si>
  <si>
    <t>196066 город Санкт-Петербург проспект Московский дом 195  Литер А пом. 34Н на 1 этаже здания</t>
  </si>
  <si>
    <t>ЮЛ770100439200169</t>
  </si>
  <si>
    <t>194358 город Санкт-Петербург проспект Энгельса дом 154  литера А часть комнаты №44</t>
  </si>
  <si>
    <t>ЮЛ770100439200190</t>
  </si>
  <si>
    <t>197372 город Санкт-Петербург площадь Комендантская дом 1  литера А часть помещения 1-Н, часть помещения 5</t>
  </si>
  <si>
    <t>ЮЛ770100439200201</t>
  </si>
  <si>
    <t>194100 город Санкт-Петербург проспект Полюстровский дом 84  литера А 2 этаж, нежилое помещение 1-Н, часть  №324</t>
  </si>
  <si>
    <t>ЮЛ770100439200215</t>
  </si>
  <si>
    <t>191040 город Санкт-Петербург проспект Лиговский дом 30  литера А помещение 1-Н части помещения №295, 297</t>
  </si>
  <si>
    <t>ЮЛ770100439200233</t>
  </si>
  <si>
    <t>198322 город Санкт-Петербург шоссе Петергофское дом 51  литера А помещение 1.39</t>
  </si>
  <si>
    <t>ЮЛ770100439200238</t>
  </si>
  <si>
    <t>196240 город Санкт-Петербург шоссе Пулковское дом 25 корпус 1 А помещение 3Н (часть № 210)</t>
  </si>
  <si>
    <t>ЮЛ770100439200270</t>
  </si>
  <si>
    <t>191025 город Санкт-Петербург проспект Невский дом 114-116  литера А пом. 62</t>
  </si>
  <si>
    <t>ЮЛ770100439200278</t>
  </si>
  <si>
    <t>194100 Санкт-Петербург улица Кантемировская дом 12 комната 29 (часть) А помещение 34-Н</t>
  </si>
  <si>
    <t>ЮЛ770100029500016</t>
  </si>
  <si>
    <t>197198 город Санкт-Петербург проспект Малый П.С. дом 2/5  Литер А 3 этаж, Помещение 5-Н</t>
  </si>
  <si>
    <t>ЮЛ770103185800001</t>
  </si>
  <si>
    <t>197183 город Санкт-Петербург улица Савушкина дом 1/2 Литер А  часть 19 помещения 2-Н</t>
  </si>
  <si>
    <t>ЮЛ770100938700022</t>
  </si>
  <si>
    <t>197022 город Санкт-Петербург проспект Каменноостровский дом 40  литера А помещение 9-н</t>
  </si>
  <si>
    <t>ЮЛ770100938700031</t>
  </si>
  <si>
    <t>190031 город Санкт-Петербург проспект Московский дом 2/6  литера А часть нежилого помещения 8-Н</t>
  </si>
  <si>
    <t>ЮЛ770100938700073</t>
  </si>
  <si>
    <t>192242 город Санкт-Петербург улица Белы Куна дом 2 корпус 1 литера А  помещение 17Н</t>
  </si>
  <si>
    <t>ЮЛ770100242600037</t>
  </si>
  <si>
    <t>194356 город Санкт-Петербург проспект Просвещения дом 19  литер А этаж цокольный, часть помещения 1-Н, помещения № 13</t>
  </si>
  <si>
    <t>ЮЛ770100242600056</t>
  </si>
  <si>
    <t>199397 город Санкт-Петербург улица Наличная дом 42  литера А</t>
  </si>
  <si>
    <t>ЮЛ770100242600062</t>
  </si>
  <si>
    <t>191040 город Санкт-Петербург проспект Лиговский дом 30  литера А помещение 1-Н,, часть помещения 313, часть части помещения 316, часть части помещения 317, часть части помещения 349, 1 (первый) этаж</t>
  </si>
  <si>
    <t>ЮЛ770104000500015</t>
  </si>
  <si>
    <t>ЮЛ770104000500016</t>
  </si>
  <si>
    <t>Саратовская область</t>
  </si>
  <si>
    <t>413841 Саратовская область город Балаково улица Волжская дом 100</t>
  </si>
  <si>
    <t>ИП020603403600002</t>
  </si>
  <si>
    <t>410000 Саратовская область город Саратов Астраханская  148</t>
  </si>
  <si>
    <t>ИП020603403600004</t>
  </si>
  <si>
    <t>413100 Саратовская область город Энгельс строителей  6</t>
  </si>
  <si>
    <t>ИП020603403600005</t>
  </si>
  <si>
    <t>413840 Саратовская область город Балаково Минская 23</t>
  </si>
  <si>
    <t>ИП020603403600008</t>
  </si>
  <si>
    <t>412906 Саратовская область город Вольск улица Коммунистическая дом 21</t>
  </si>
  <si>
    <t>ИП Шафран Константин Павлович</t>
  </si>
  <si>
    <t>165001580185</t>
  </si>
  <si>
    <t>ИП7701005153</t>
  </si>
  <si>
    <t>ИП770100515300000</t>
  </si>
  <si>
    <t>412906 Саратовская область город Вольск площадь 10-летия Октября дом 4/1  1 этаж отдел "Ювелирный"</t>
  </si>
  <si>
    <t>ИП770100515300001</t>
  </si>
  <si>
    <t>412906 Саратовская область город Вольск площадь 10-летия Октября дом 4/1  2 этаж отдел "Бирюза"</t>
  </si>
  <si>
    <t>ИП770100515300002</t>
  </si>
  <si>
    <t>413863 Саратовская область город Балаково улица Трнавская дом 24А   Отдел "Ювелирные Традиции"</t>
  </si>
  <si>
    <t>ИП770100515300003</t>
  </si>
  <si>
    <t>410012 Саратовская область город Саратов проспект им Петра Столыпина дом 14</t>
  </si>
  <si>
    <t>ИП520600153500011</t>
  </si>
  <si>
    <t>413620 Саратовская область рабочий поселок Озинки площадь Большевистская дом 2</t>
  </si>
  <si>
    <t>ИП Аношкина Надия Шамильевна</t>
  </si>
  <si>
    <t>272292331138</t>
  </si>
  <si>
    <t>ИП6406032395</t>
  </si>
  <si>
    <t>ИП640603239500000</t>
  </si>
  <si>
    <t>413841 Саратовская область город Балаково  улица Волжская дом 100/1 помещение 1  помещение №7</t>
  </si>
  <si>
    <t>ЮЛ480100215000020</t>
  </si>
  <si>
    <t>413863 Саратовская область город Балаково улица Трнавская дом 24  литера А помещение площадью 70 кв.м. на 1 этаже</t>
  </si>
  <si>
    <t>ЮЛ480100215000047</t>
  </si>
  <si>
    <t>410012 Саратовская область город Саратов проспект им Петра Столыпина здание 9    в нежилом Помещении №1, на первом этаже</t>
  </si>
  <si>
    <t>ИП500100445500022</t>
  </si>
  <si>
    <t>410005 Саратовская область город Саратов улица им Зарубина В.С. здание 167   ТРЦ "ТРИУМФ МОЛЛ"</t>
  </si>
  <si>
    <t>ИП500100445500106</t>
  </si>
  <si>
    <t>410065 Саратовская область город Саратов проспект им 50 лет Октября здание 91Д   Тау Галерея casio</t>
  </si>
  <si>
    <t>ИП500100445500108</t>
  </si>
  <si>
    <t>410000 Саратовская область город Саратов улица имени Зарубина В.С. дом 167   помещение №1а</t>
  </si>
  <si>
    <t>ЮЛ520603376600131</t>
  </si>
  <si>
    <t>410009 Саратовская область город Саратов улица 3-я Дачная    1 этаж секция 6</t>
  </si>
  <si>
    <t>ИП610400426600024</t>
  </si>
  <si>
    <t>413502 Саратовская область город Ершов улица Мелиоративная здание 49Т</t>
  </si>
  <si>
    <t>ИП630603381400016</t>
  </si>
  <si>
    <t>413100 Саратовская область город Энгельс площадь Ленина дом 4</t>
  </si>
  <si>
    <t>ИП630601425400106</t>
  </si>
  <si>
    <t>413503 Саратовская область город Ершов улица Московская здание 28</t>
  </si>
  <si>
    <t>ИП630600633500007</t>
  </si>
  <si>
    <t>413841 Саратовская область город Балаково улица Комарова дом 135/13</t>
  </si>
  <si>
    <t>ИП630600633500008</t>
  </si>
  <si>
    <t>413720 Саратовская область город Пугачев улица Максима Горького дом 21/3</t>
  </si>
  <si>
    <t>ИП630600633500010</t>
  </si>
  <si>
    <t>410005 Саратовская область город Саратов улица им Пугачева Е.И. дом 171</t>
  </si>
  <si>
    <t>ЮЛ630603373600002</t>
  </si>
  <si>
    <t>413111 Саратовская область город Энгельс проспект Строителей дом 6</t>
  </si>
  <si>
    <t>ЮЛ630603373600003</t>
  </si>
  <si>
    <t>413841 Саратовская область город Балаково улица Минская дом 23</t>
  </si>
  <si>
    <t>ЮЛ630603373600006</t>
  </si>
  <si>
    <t>413857 Саратовская область город Балаково улица Ленина дом 117</t>
  </si>
  <si>
    <t>ЮЛ630603373600057</t>
  </si>
  <si>
    <t>410012 Саратовская область город Саратов улица Советская дом 64/70</t>
  </si>
  <si>
    <t>ООО "ЛОМБАРД АЛЬБИОН"</t>
  </si>
  <si>
    <t>6320064420</t>
  </si>
  <si>
    <t>ЮЛ6306001899</t>
  </si>
  <si>
    <t>ЮЛ630600189900002</t>
  </si>
  <si>
    <t>410005 Саратовская область город Саратов улица Соколовая дом 309/9</t>
  </si>
  <si>
    <t>ЮЛ630600189900003</t>
  </si>
  <si>
    <t>410080 Саратовская область город Саратов проспект Строителей дом 44/1</t>
  </si>
  <si>
    <t>ЮЛ630600189900005</t>
  </si>
  <si>
    <t>410065 Саратовская область город Саратов проспект им 50 лет Октября дом 89</t>
  </si>
  <si>
    <t>ЮЛ630600189900006</t>
  </si>
  <si>
    <t>413121 Саратовская область город Энгельс улица Космонавтов дом 19   помещение 1</t>
  </si>
  <si>
    <t>ЮЛ630600189900007</t>
  </si>
  <si>
    <t>410017 Саратовская область город Саратов улица 2-я Садовая дом 28/34</t>
  </si>
  <si>
    <t>ЮЛ630600189900008</t>
  </si>
  <si>
    <t>410012 Саратовская область город Саратов улица им Емлютина Д.В. дом 51</t>
  </si>
  <si>
    <t>ЮЛ630600189900009</t>
  </si>
  <si>
    <t>410018 Саратовская область город Саратов улица Усть-Курдюмская дом 4   помещение 44</t>
  </si>
  <si>
    <t>ЮЛ630600189900010</t>
  </si>
  <si>
    <t>410008 Саратовская область город Саратов улица им Клочкова В.Г. дом 16   помещение 1</t>
  </si>
  <si>
    <t>ЮЛ630600189900011</t>
  </si>
  <si>
    <t>410033 Саратовская область город Саратов улица Гвардейская дом 20   помещение 2</t>
  </si>
  <si>
    <t>ЮЛ630600189900012</t>
  </si>
  <si>
    <t>410035 Саратовская область город Саратов улица им Тархова С.Ф. дом 29</t>
  </si>
  <si>
    <t>ЮЛ630600189900013</t>
  </si>
  <si>
    <t>410002 Саратовская область город Саратов улица Московская дом 19   помещение 1</t>
  </si>
  <si>
    <t>ЮЛ630600189900014</t>
  </si>
  <si>
    <t>413100 Саратовская область город Энгельс улица Максима Горького дом 33</t>
  </si>
  <si>
    <t>ЮЛ630600189900015</t>
  </si>
  <si>
    <t>410049 Саратовская область город Саратов проспект Энтузиастов дом 33</t>
  </si>
  <si>
    <t>ЮЛ630600189900016</t>
  </si>
  <si>
    <t>413119 Саратовская область микрорайон Энгельс-19 (рп Приволжский) улица 4-й квартал дом 9а</t>
  </si>
  <si>
    <t>ЮЛ630600189900017</t>
  </si>
  <si>
    <t>410039 Саратовская область город Саратов проспект Энтузиастов дом 57   помещение 5</t>
  </si>
  <si>
    <t>ЮЛ630600189900018</t>
  </si>
  <si>
    <t>410019 Саратовская область город Саратов улица Танкистов дом 70</t>
  </si>
  <si>
    <t>ЮЛ630600189900019</t>
  </si>
  <si>
    <t>410009 Саратовская область город Саратов улица Алексеевская дом 7/15   помещение II</t>
  </si>
  <si>
    <t>ЮЛ630600189900020</t>
  </si>
  <si>
    <t>413113 Саратовская область город Энгельс проспект Фридриха Энгельса дом 4е</t>
  </si>
  <si>
    <t>ЮЛ630600189900021</t>
  </si>
  <si>
    <t>410056 Саратовская область город Саратов улица им Чапаева В.И. дом 38/40</t>
  </si>
  <si>
    <t>ЮЛ630600189900022</t>
  </si>
  <si>
    <t>410015 Саратовская область город Саратов проспект Энтузиастов дом 26</t>
  </si>
  <si>
    <t>ЮЛ630600189900023</t>
  </si>
  <si>
    <t>413100 Саратовская область город Энгельс улица Максима Горького дом 13</t>
  </si>
  <si>
    <t>ИП Ревина Елена Владимировна</t>
  </si>
  <si>
    <t>632201426920</t>
  </si>
  <si>
    <t>ИП6306040074</t>
  </si>
  <si>
    <t>ИП630604007400000</t>
  </si>
  <si>
    <t>413720 Саратовская область город Пугачев улица Максима Горького домовладение 21/1</t>
  </si>
  <si>
    <t>ЮЛ630603246700001</t>
  </si>
  <si>
    <t>413726 Саратовская область город Пугачев улица Ермощенко дом 183   квартира 46а</t>
  </si>
  <si>
    <t>ЮЛ630603246700002</t>
  </si>
  <si>
    <t>413440 Саратовская область рабочий поселок Дергачи улица Советская 60А/1 здание</t>
  </si>
  <si>
    <t>ИП Кузбакова Магия Сагидулловна</t>
  </si>
  <si>
    <t>641000753400</t>
  </si>
  <si>
    <t>ИП6406014849</t>
  </si>
  <si>
    <t>ИП640601484900000</t>
  </si>
  <si>
    <t>410054 Саратовская область город Саратов улица 2-я Садовая дом 106/137</t>
  </si>
  <si>
    <t>ИП Абсолямова Лидия Ростямовна</t>
  </si>
  <si>
    <t>641012128009</t>
  </si>
  <si>
    <t>ИП6406009385</t>
  </si>
  <si>
    <t>ИП640600938500000</t>
  </si>
  <si>
    <t>410005 Саратовская область город Саратов улица Большая Горная дом 310А</t>
  </si>
  <si>
    <t>ИП640600938500007</t>
  </si>
  <si>
    <t>410012 Саратовская область город Саратов улица Аткарская дом 31</t>
  </si>
  <si>
    <t>ИП640600938500008</t>
  </si>
  <si>
    <t>413503 Саратовская область город Ершов улица Московская дом 47</t>
  </si>
  <si>
    <t>ИП Мамедов Шаин Насех Оглы</t>
  </si>
  <si>
    <t>641300045239</t>
  </si>
  <si>
    <t>ИП6406000720</t>
  </si>
  <si>
    <t>ИП640600072000000</t>
  </si>
  <si>
    <t>413503 Саратовская область Ершов Московская 28</t>
  </si>
  <si>
    <t>ИП Кузнецова Светлана Сергеевна</t>
  </si>
  <si>
    <t>641304062796</t>
  </si>
  <si>
    <t>ИП6406035197</t>
  </si>
  <si>
    <t>ИП640603519700000</t>
  </si>
  <si>
    <t>412484 Саратовская область город Калининск улица Советская дом 21А</t>
  </si>
  <si>
    <t>ИП Иванова Анна Руслановна</t>
  </si>
  <si>
    <t>641500280575</t>
  </si>
  <si>
    <t>ИП6406004867</t>
  </si>
  <si>
    <t>ИП640600486700000</t>
  </si>
  <si>
    <t>ИП Остапенко Марина Викторовна</t>
  </si>
  <si>
    <t>641511458210</t>
  </si>
  <si>
    <t>ИП6406008119</t>
  </si>
  <si>
    <t>ИП640600811900000</t>
  </si>
  <si>
    <t>413360 Саратовская область город Новоузенск улица Революции дом 37А/1</t>
  </si>
  <si>
    <t>ИП Жанакаев Искак Кайсагалиевич</t>
  </si>
  <si>
    <t>642200529090</t>
  </si>
  <si>
    <t>ИП6406002712</t>
  </si>
  <si>
    <t>ИП640600271200000</t>
  </si>
  <si>
    <t>413410 Саратовская область рабочий поселок Мокроус улица Центральная дом 61</t>
  </si>
  <si>
    <t>ИП Санталова Татьяна Викторовна</t>
  </si>
  <si>
    <t>643600858944</t>
  </si>
  <si>
    <t>ИП6406001635</t>
  </si>
  <si>
    <t>ИП640600163500000</t>
  </si>
  <si>
    <t>413865 Саратовская область город Балаково улица Пролетарская дом 50/1</t>
  </si>
  <si>
    <t>ИП Никишанова Ирина Валерьевна</t>
  </si>
  <si>
    <t>643891884696</t>
  </si>
  <si>
    <t>ИП6406033694</t>
  </si>
  <si>
    <t>ИП640603369400000</t>
  </si>
  <si>
    <t>413863 Саратовская область город Балаково улица Степная дом 94/1</t>
  </si>
  <si>
    <t>ИП Морозова Ирина Александровна</t>
  </si>
  <si>
    <t>643901450820</t>
  </si>
  <si>
    <t>ИП6406020008</t>
  </si>
  <si>
    <t>ИП640602000800000</t>
  </si>
  <si>
    <t>413849 Саратовская область город Балаково улица Ленина дом 76</t>
  </si>
  <si>
    <t>ИП Бревнов Александр Анатольевич</t>
  </si>
  <si>
    <t>643901451951</t>
  </si>
  <si>
    <t>ИП6406035062</t>
  </si>
  <si>
    <t>ИП640603506200000</t>
  </si>
  <si>
    <t>413864 Саратовская область город Балаково улица Проспект Героев дом 26</t>
  </si>
  <si>
    <t>ИП640603506200001</t>
  </si>
  <si>
    <t>413860 Саратовская область город Балаково улица Проспект Героев дом 17</t>
  </si>
  <si>
    <t>ИП640603506200002</t>
  </si>
  <si>
    <t>413841 Саратовская область город Балаково улица Комарова дом 135/14   ч.н.п Павильон №6, улица-бокс</t>
  </si>
  <si>
    <t>ИП640603506200003</t>
  </si>
  <si>
    <t>413863 Саратовская область город Балаково улица Трнавская дом 24</t>
  </si>
  <si>
    <t>ИП Тимохина Нина Николаевна</t>
  </si>
  <si>
    <t>643908012632</t>
  </si>
  <si>
    <t>ИП6406006589</t>
  </si>
  <si>
    <t>ИП640600658900001</t>
  </si>
  <si>
    <t>413864 Саратовская область город Балаково улица Проспект Героев дом 41   офис 307</t>
  </si>
  <si>
    <t>ИП Шинкин Сергей Александрович</t>
  </si>
  <si>
    <t>643919519456</t>
  </si>
  <si>
    <t>ИП6406012158</t>
  </si>
  <si>
    <t>ИП640601215800000</t>
  </si>
  <si>
    <t>412031 Саратовская область город Ртищево улица Советская дом 7</t>
  </si>
  <si>
    <t>ИП Никишанова Диана Викторовна</t>
  </si>
  <si>
    <t>643922597373</t>
  </si>
  <si>
    <t>ИП6406032306</t>
  </si>
  <si>
    <t>ИП640603230600000</t>
  </si>
  <si>
    <t>413720 Саратовская область город Пугачев Пушкинская 181</t>
  </si>
  <si>
    <t>ИП640603230600002</t>
  </si>
  <si>
    <t>412780 Саратовская область город Хвалынск улица Имени К.С.Петрова-Водкина дом 3А</t>
  </si>
  <si>
    <t>ИП Никишанов Даниил Викторович</t>
  </si>
  <si>
    <t>643922597447</t>
  </si>
  <si>
    <t>ИП6406001546</t>
  </si>
  <si>
    <t>ИП640600154600000</t>
  </si>
  <si>
    <t>ИП640600154600001</t>
  </si>
  <si>
    <t>412541 Саратовская область город Петровск улица Московская дом 2</t>
  </si>
  <si>
    <t>ИП640600154600002</t>
  </si>
  <si>
    <t>ИП640600154600003</t>
  </si>
  <si>
    <t>413853 Саратовская область город Балаково улица Волжская 100</t>
  </si>
  <si>
    <t>ИП640600154600006</t>
  </si>
  <si>
    <t>412309 Саратовская область город Балашов улица 30 лет Победы дом 156</t>
  </si>
  <si>
    <t>ИП Платонова Дарья Александровна</t>
  </si>
  <si>
    <t>644008504560</t>
  </si>
  <si>
    <t>ИП6406037004</t>
  </si>
  <si>
    <t>ИП640603700400000</t>
  </si>
  <si>
    <t>412309 Саратовская область город Балашов улица Карла Маркса  дом 51</t>
  </si>
  <si>
    <t>ИП Бунин Дмитрий Владимирович</t>
  </si>
  <si>
    <t>644011756454</t>
  </si>
  <si>
    <t>ИП6406009959</t>
  </si>
  <si>
    <t>ИП640600995900000</t>
  </si>
  <si>
    <t>412300 Саратовская область город Балашов улица Карла Маркса дом 33</t>
  </si>
  <si>
    <t>ИП640600995900001</t>
  </si>
  <si>
    <t>412300 Саратовская область город Балашов улица 30 Лет Победы дом 156   помещение 23</t>
  </si>
  <si>
    <t>ИП640600995900003</t>
  </si>
  <si>
    <t>412300 Саратовская область город Балашов улица Карла Маркса дом 24</t>
  </si>
  <si>
    <t>ИП640600995900004</t>
  </si>
  <si>
    <t>412300 Саратовская область город Балашов улица Энтузиастов дом 1</t>
  </si>
  <si>
    <t>ИП640600995900005</t>
  </si>
  <si>
    <t>412300 Саратовская область город Балашов улица Карла Маркса дом 95   квартира 33</t>
  </si>
  <si>
    <t>ИП640600995900006</t>
  </si>
  <si>
    <t>412909 Саратовская область город Вольск улица Революционная дом 13</t>
  </si>
  <si>
    <t>ИП Аверьянова Ирина Владимировна</t>
  </si>
  <si>
    <t>644100135770</t>
  </si>
  <si>
    <t>ИП6406005260</t>
  </si>
  <si>
    <t>ИП640600526000000</t>
  </si>
  <si>
    <t>410018 Саратовская область город Саратов улица Усть-Курдюмская дом 9А</t>
  </si>
  <si>
    <t>ИП640600526000001</t>
  </si>
  <si>
    <t>412906 Саратовская область город Вольск улица Октябрьская дом 97</t>
  </si>
  <si>
    <t>ИП640600526000002</t>
  </si>
  <si>
    <t>410012 Саратовская область город Саратов улица Московская дом 134/146</t>
  </si>
  <si>
    <t>ИП640600526000004</t>
  </si>
  <si>
    <t>412909 Саратовская область город Вольск улица Революционная дом 40   квартира 11</t>
  </si>
  <si>
    <t>ИП Гуськов Александр Валерьевич</t>
  </si>
  <si>
    <t>644106038726</t>
  </si>
  <si>
    <t>ИП6406001737</t>
  </si>
  <si>
    <t>ИП640600173700000</t>
  </si>
  <si>
    <t>413841 Саратовская область город Балаково улица Комарова дом 135</t>
  </si>
  <si>
    <t>ИП640600173700001</t>
  </si>
  <si>
    <t>ИП640600173700002</t>
  </si>
  <si>
    <t>413857 Саратовская область город Балаково улица Факел Социализма дом 24</t>
  </si>
  <si>
    <t>ИП640600173700003</t>
  </si>
  <si>
    <t>ИП Алисова Светлана Константиновна</t>
  </si>
  <si>
    <t>644110598174</t>
  </si>
  <si>
    <t>ИП6406003691</t>
  </si>
  <si>
    <t>ИП640600369100000</t>
  </si>
  <si>
    <t>413119 Саратовская область город Энгельс рабочий поселок Приволжский улица Гагарина дом 78</t>
  </si>
  <si>
    <t>ИП Литвинова Мария Павловна</t>
  </si>
  <si>
    <t>644201123837</t>
  </si>
  <si>
    <t>ИП6406003679</t>
  </si>
  <si>
    <t>ИП640600367900000</t>
  </si>
  <si>
    <t>412800 Саратовская область город Красноармейск улица Ленина дом 54</t>
  </si>
  <si>
    <t>ИП Ковалева Наталья Викторовна</t>
  </si>
  <si>
    <t>644201520802</t>
  </si>
  <si>
    <t>ИП6406010590</t>
  </si>
  <si>
    <t>ИП640601059000000</t>
  </si>
  <si>
    <t>413090 Саратовская область город Маркс проспект Ленина 68   38</t>
  </si>
  <si>
    <t>ИП Исаков Владимир Борисович</t>
  </si>
  <si>
    <t>644300099889</t>
  </si>
  <si>
    <t>ИП6406032383</t>
  </si>
  <si>
    <t>ИП640603238300000</t>
  </si>
  <si>
    <t>413093 Саратовская область город Маркс проспект Строителей дом 14   помещение 2</t>
  </si>
  <si>
    <t>ИП Дьякова Светлана Владимировна</t>
  </si>
  <si>
    <t>644300103278</t>
  </si>
  <si>
    <t>ИП6406015603</t>
  </si>
  <si>
    <t>ИП640601560300000</t>
  </si>
  <si>
    <t>413090 Саратовская область город Маркс Октябрьская дом 55</t>
  </si>
  <si>
    <t>ИП Уханова Татьяна Викторовна</t>
  </si>
  <si>
    <t>644300105677</t>
  </si>
  <si>
    <t>ИП6406033909</t>
  </si>
  <si>
    <t>ИП640603390900000</t>
  </si>
  <si>
    <t>410012 Саратовская область город Саратов проспект им Петра Столыпина дом 31/35</t>
  </si>
  <si>
    <t>ИП Стафеева Елена Александровна</t>
  </si>
  <si>
    <t>644300326274</t>
  </si>
  <si>
    <t>ИП6406002209</t>
  </si>
  <si>
    <t>ИП640600220900001</t>
  </si>
  <si>
    <t>410065 Саратовская область город Саратов проспект им 50 лет Октября здание 91Д</t>
  </si>
  <si>
    <t>ИП Белова Юлия Александровна</t>
  </si>
  <si>
    <t>644304758902</t>
  </si>
  <si>
    <t>ИП6406039685</t>
  </si>
  <si>
    <t>ИП640603968500000</t>
  </si>
  <si>
    <t>412801 Саратовская область город Красноармейск улица Ленина дом 58</t>
  </si>
  <si>
    <t>ИП Собачко Сергей Сергеевич</t>
  </si>
  <si>
    <t>644305083064</t>
  </si>
  <si>
    <t>ИП6406011310</t>
  </si>
  <si>
    <t>ИП640601131000000</t>
  </si>
  <si>
    <t>413720 Саратовская область город Пугачев улица Бубенца дом 21/2</t>
  </si>
  <si>
    <t>ИП Пименова Лариса Владимировна</t>
  </si>
  <si>
    <t>644500031415</t>
  </si>
  <si>
    <t>ИП6406003532</t>
  </si>
  <si>
    <t>ИП640600353200000</t>
  </si>
  <si>
    <t>413720 Саратовская область город Пугачев улица М.Горького домовладение 38   офис 3</t>
  </si>
  <si>
    <t>ИП Князев Петр Гаримович</t>
  </si>
  <si>
    <t>644500151790</t>
  </si>
  <si>
    <t>ИП6406008940</t>
  </si>
  <si>
    <t>ИП640600894000000</t>
  </si>
  <si>
    <t>413725 Саратовская область город Пугачев улица Ермощенко владение 154А</t>
  </si>
  <si>
    <t>ИП Асликян Артак Павлович</t>
  </si>
  <si>
    <t>644500940756</t>
  </si>
  <si>
    <t>ИП6406009170</t>
  </si>
  <si>
    <t>ИП640600917000000</t>
  </si>
  <si>
    <t>ИП Крюкова Диана Викторовна</t>
  </si>
  <si>
    <t>644503579376</t>
  </si>
  <si>
    <t>ИП6406004458</t>
  </si>
  <si>
    <t>ИП640600445800000</t>
  </si>
  <si>
    <t>412031 Саратовская область город Ртищево улица Красная дом 1   помещение 3</t>
  </si>
  <si>
    <t>ИП Коточкова Валентина Митрофановна</t>
  </si>
  <si>
    <t>644600054208</t>
  </si>
  <si>
    <t>ИП6406002251</t>
  </si>
  <si>
    <t>ИП640600225100000</t>
  </si>
  <si>
    <t>412210 Саратовская область город Аркадак улица Каплунова дом 68</t>
  </si>
  <si>
    <t>ИП640600225100001</t>
  </si>
  <si>
    <t>412031 Саратовская область город Ртищево улица Советская дом 14а</t>
  </si>
  <si>
    <t>ИП Афанасьева Надежда Николаевна</t>
  </si>
  <si>
    <t>644600584149</t>
  </si>
  <si>
    <t>ИП6406033025</t>
  </si>
  <si>
    <t>ИП640603302500000</t>
  </si>
  <si>
    <t>410035 Саратовская область город Саратов улица им Тархова С.Ф. дом 29А</t>
  </si>
  <si>
    <t>ИП640601186100000</t>
  </si>
  <si>
    <t>413113 Саратовская область город Энгельс проспект Фридриха Энгельса дом 2</t>
  </si>
  <si>
    <t>ИП640600381100000</t>
  </si>
  <si>
    <t>410012 Саратовская область город Саратов улица Московская. улица Кисилева дом 113-117, 113, 44, 46, 48, 48Б, 50, 52, 54  литера А этаж 1, нежилое помещение № 111</t>
  </si>
  <si>
    <t>ИП640600381100001</t>
  </si>
  <si>
    <t>410012 Саратовская область город Саратов улица им Чапаева В.И. дом 59   1 этаж, часть нежилого помещения</t>
  </si>
  <si>
    <t>ИП640600381100002</t>
  </si>
  <si>
    <t>413111 Саратовская область город Энгельс улица Краснодарская дом 9</t>
  </si>
  <si>
    <t>ИП Пруцкова Елена Петровна</t>
  </si>
  <si>
    <t>644902046700</t>
  </si>
  <si>
    <t>ИП6406002038</t>
  </si>
  <si>
    <t>ИП640600203800000</t>
  </si>
  <si>
    <t>413100 Саратовская область город Энгельс площадь Ленина дом 20</t>
  </si>
  <si>
    <t>ИП Куликова Татьяна Анатольевна</t>
  </si>
  <si>
    <t>644903572992</t>
  </si>
  <si>
    <t>ИП6406000414</t>
  </si>
  <si>
    <t>ИП640600041400000</t>
  </si>
  <si>
    <t>413092 Саратовская область город Маркс улица 5-я линия 21   помещение 2</t>
  </si>
  <si>
    <t>6449036437</t>
  </si>
  <si>
    <t>ЮЛ6406008082</t>
  </si>
  <si>
    <t>ЮЛ640600808200000</t>
  </si>
  <si>
    <t>413102 Саратовская область рабочий поселок Приволжский улица Мясокомбинат дом 8</t>
  </si>
  <si>
    <t>ООО ЛОМБАРД "ДЕВЯТЬСОТ ДЕВЯНОСТО ДЕВЯТЬ"</t>
  </si>
  <si>
    <t>6449077722</t>
  </si>
  <si>
    <t>ЮЛ6406036634</t>
  </si>
  <si>
    <t>ЮЛ640603663400000</t>
  </si>
  <si>
    <t>413100 Саратовская область город Энгельс Лесозаводская 17</t>
  </si>
  <si>
    <t>ИП Каримов Тахир Ришатович</t>
  </si>
  <si>
    <t>644909183142</t>
  </si>
  <si>
    <t>ИП6406008074</t>
  </si>
  <si>
    <t>ИП640600807400000</t>
  </si>
  <si>
    <t>413210 Саратовская область рабочий поселок Степное улица Октябрьская дом 25</t>
  </si>
  <si>
    <t>ИП640600807400002</t>
  </si>
  <si>
    <t>412210 Саратовская область город Аркадак улица Ленина дом 2</t>
  </si>
  <si>
    <t>ИП640600807400003</t>
  </si>
  <si>
    <t>413100 Саратовская область город Энгельс площадь Свободы дом 1</t>
  </si>
  <si>
    <t>ИП640600807400004</t>
  </si>
  <si>
    <t>413121 Саратовская область город Энгельс улица Тельмана дом 33</t>
  </si>
  <si>
    <t>ООО "ЛОМБАРД ДОБРЫЙ"</t>
  </si>
  <si>
    <t>6449108064</t>
  </si>
  <si>
    <t>ЮЛ6406037162</t>
  </si>
  <si>
    <t>ЮЛ640603716200006</t>
  </si>
  <si>
    <t>ООО ЛОМБАРД "СОЮЗ"</t>
  </si>
  <si>
    <t>6449109438</t>
  </si>
  <si>
    <t>ЮЛ6406038096</t>
  </si>
  <si>
    <t>ЮЛ640603809600000</t>
  </si>
  <si>
    <t>413121 Саратовская область город Энгельс улица Ломоносова дом 9   бн</t>
  </si>
  <si>
    <t>ИП Градова Наталья Владимировна</t>
  </si>
  <si>
    <t>644917494825</t>
  </si>
  <si>
    <t>ИП6406036034</t>
  </si>
  <si>
    <t>ИП640603603400000</t>
  </si>
  <si>
    <t>413111 Саратовская область город Энгельс проспект Строителей дом 12   помещение 1б, 1а</t>
  </si>
  <si>
    <t>ИП640603603400001</t>
  </si>
  <si>
    <t>413102 Саратовская область рабочий поселок Приволжский улица Мясокомбинат дом 8   этаж 1</t>
  </si>
  <si>
    <t>ИП640603603400002</t>
  </si>
  <si>
    <t>413119 Саратовская область микрорайон Энгельс-19 (рп Приволжский) улица 4-й квартал дом 5   этаж 1</t>
  </si>
  <si>
    <t>ИП640603603400003</t>
  </si>
  <si>
    <t>413119 Саратовская область город Энгельс, рабочий поселок Приволжский улица Гагарина дом 78</t>
  </si>
  <si>
    <t>ИП Шатурная Екатерина Абдуллаевна</t>
  </si>
  <si>
    <t>644917720979</t>
  </si>
  <si>
    <t>ИП6406002174</t>
  </si>
  <si>
    <t>ИП640600217400003</t>
  </si>
  <si>
    <t>ИП640600217400005</t>
  </si>
  <si>
    <t>ИП640600217400006</t>
  </si>
  <si>
    <t>410005 Саратовская область город Саратов улица им Зарубина В.С. здание 167</t>
  </si>
  <si>
    <t>ИП640600217400008</t>
  </si>
  <si>
    <t>413118 Саратовская область город Энгельс улица Гагарина 78</t>
  </si>
  <si>
    <t>ИП Демидюк Дарья Валерьевна</t>
  </si>
  <si>
    <t>644919763262</t>
  </si>
  <si>
    <t>ИП6406001066</t>
  </si>
  <si>
    <t>ИП640600106600000</t>
  </si>
  <si>
    <t>413100 Саратовская область город Энгельс улица Тельмана дом 21</t>
  </si>
  <si>
    <t>6449967669</t>
  </si>
  <si>
    <t>ЮЛ6406002582</t>
  </si>
  <si>
    <t>ЮЛ640600258200000</t>
  </si>
  <si>
    <t>410012 Саратовская область город Саратов улица Московская дом 97А   помещения 1, 2, 3, 4, 9, 11</t>
  </si>
  <si>
    <t>ИП Чистякова Жанна Александровна</t>
  </si>
  <si>
    <t>645000459437</t>
  </si>
  <si>
    <t>ИП6406032458</t>
  </si>
  <si>
    <t>ИП640603245800000</t>
  </si>
  <si>
    <t>410005 Саратовская область город Саратов улица Большая Горная дом 310А   2 этаж</t>
  </si>
  <si>
    <t>ИП Спиряхина Татьяна Ивановна</t>
  </si>
  <si>
    <t>645003053594</t>
  </si>
  <si>
    <t>ИП6406033301</t>
  </si>
  <si>
    <t>ИП640603330100000</t>
  </si>
  <si>
    <t>410005 Саратовская область город Саратов улица Большая Горная дом 310А   1 этаж</t>
  </si>
  <si>
    <t>ИП640603330100001</t>
  </si>
  <si>
    <t>ИП640603330100002</t>
  </si>
  <si>
    <t>413235 Саратовская область город Красный Кут улица Армейская владение 55а</t>
  </si>
  <si>
    <t>ИП Дамаева Нурия Гаясовна</t>
  </si>
  <si>
    <t>645054468290</t>
  </si>
  <si>
    <t>ИП6406005400</t>
  </si>
  <si>
    <t>ИП640600540000000</t>
  </si>
  <si>
    <t>413320 Саратовская область село Питерка переулок Садовый дом 13</t>
  </si>
  <si>
    <t>ИП640600540000002</t>
  </si>
  <si>
    <t>410031 Саратовская область город Саратов улица Соколовая дом 18/40</t>
  </si>
  <si>
    <t>ИП640600540000007</t>
  </si>
  <si>
    <t>413210 Саратовская область рабочий поселок Степное улица Школьная дом 2</t>
  </si>
  <si>
    <t>ИП640600540000008</t>
  </si>
  <si>
    <t>412370 Саратовская область рабочий поселок Самойловка улица Ленина дом 219</t>
  </si>
  <si>
    <t>ИП640600540000009</t>
  </si>
  <si>
    <t>413235 Саратовская область город Красный Кут переулок Саратовский владение 1</t>
  </si>
  <si>
    <t>ИП640600540000010</t>
  </si>
  <si>
    <t>413362 Саратовская область Новоузенск микрорайон 2 4Б</t>
  </si>
  <si>
    <t>ИП640600540000011</t>
  </si>
  <si>
    <t>413440 Саратовская область рабочий поселок Дергачи улица Советская здание 59/1</t>
  </si>
  <si>
    <t>ИП640600540000012</t>
  </si>
  <si>
    <t>413211 Саратовская область р.п. Степное Нефтяников 36</t>
  </si>
  <si>
    <t>ИП640600540000013</t>
  </si>
  <si>
    <t>410012 Саратовская область Саратов улица им.Чапаева В.И. дом 59</t>
  </si>
  <si>
    <t>ИП Степанова Ирина Юрьевна</t>
  </si>
  <si>
    <t>645104639258</t>
  </si>
  <si>
    <t>ИП6406000532</t>
  </si>
  <si>
    <t>ИП640600053200000</t>
  </si>
  <si>
    <t>410000 Саратовская область город Саратов улица Вольский тракт дом 2</t>
  </si>
  <si>
    <t>ИП640600053200001</t>
  </si>
  <si>
    <t>410039 Саратовская область город Саратов проспект Энтузиастов дом 43   офис 206</t>
  </si>
  <si>
    <t>ИП Виттева Н.В.</t>
  </si>
  <si>
    <t>645111238338</t>
  </si>
  <si>
    <t>ИП6406004564</t>
  </si>
  <si>
    <t>ИП640600456400000</t>
  </si>
  <si>
    <t>410012 Саратовская область город Саратов улица им Дзержинского Ф.Э. дом 47   помещение 4</t>
  </si>
  <si>
    <t>ИП Юмаев Руслан Зиннятович</t>
  </si>
  <si>
    <t>645117674436</t>
  </si>
  <si>
    <t>ИП6406011628</t>
  </si>
  <si>
    <t>ИП640601162800000</t>
  </si>
  <si>
    <t>ИП Корниенко Татьяна Николаевна</t>
  </si>
  <si>
    <t>645203208608</t>
  </si>
  <si>
    <t>ИП6406001709</t>
  </si>
  <si>
    <t>ИП640600170900000</t>
  </si>
  <si>
    <t>410012 Саратовская область город Саратов улица им Чапаева В.И. дом 59</t>
  </si>
  <si>
    <t>ИП640600170900001</t>
  </si>
  <si>
    <t>410064 Саратовская область город Саратов улица им Тархова С.Ф. здание 29А/1</t>
  </si>
  <si>
    <t>ИП640600170900002</t>
  </si>
  <si>
    <t>410015 Саратовская область город Саратов улица им Орджоникидзе Г.К. дом 1</t>
  </si>
  <si>
    <t>ИП640600170900003</t>
  </si>
  <si>
    <t>413100 Саратовская область город Энгельс улица Тельмана дом 25</t>
  </si>
  <si>
    <t>ИП640600170900004</t>
  </si>
  <si>
    <t>ИП640600170900005</t>
  </si>
  <si>
    <t>ИП640600170900006</t>
  </si>
  <si>
    <t>ИП640600170900007</t>
  </si>
  <si>
    <t>413620 Саратовская область рабочий поселок Озинки площадь Большевистская дом 5</t>
  </si>
  <si>
    <t>ИП Барашкин Леонид Владимирович</t>
  </si>
  <si>
    <t>645205536562</t>
  </si>
  <si>
    <t>ИП6406001595</t>
  </si>
  <si>
    <t>ИП640600159500000</t>
  </si>
  <si>
    <t>410056 Саратовская область город Саратов улица им Чапаева В.И. дом 54</t>
  </si>
  <si>
    <t>ИП Прокофьева Татьяна Петровна</t>
  </si>
  <si>
    <t>645206508688</t>
  </si>
  <si>
    <t>ИП6406000481</t>
  </si>
  <si>
    <t>ИП640600048100000</t>
  </si>
  <si>
    <t>410012 Саратовская область город Саратов улица Московская дом 113-117</t>
  </si>
  <si>
    <t>ИП640600048100001</t>
  </si>
  <si>
    <t>410056 Саратовская область город Саратов переулок Мирный дом 4   409</t>
  </si>
  <si>
    <t>ИП640600048100003</t>
  </si>
  <si>
    <t>ИП640600048100006</t>
  </si>
  <si>
    <t>410065 Саратовская область город Саратов проезд Торговый здание 1</t>
  </si>
  <si>
    <t>ИП Агапов Сергей Николаевич</t>
  </si>
  <si>
    <t>645208212171</t>
  </si>
  <si>
    <t>ИП6406001234</t>
  </si>
  <si>
    <t>ИП640600123400000</t>
  </si>
  <si>
    <t>410009 Саратовская область город Саратов улица 3-я Дачная б/н</t>
  </si>
  <si>
    <t>ИП640600123400001</t>
  </si>
  <si>
    <t>410506 Саратовская область город Саратов Вольский тракт 2   101</t>
  </si>
  <si>
    <t>ИП Агапова Елена Юрьевна</t>
  </si>
  <si>
    <t>645210593693</t>
  </si>
  <si>
    <t>ИП6406001311</t>
  </si>
  <si>
    <t>ИП640600131100000</t>
  </si>
  <si>
    <t>410005 Саратовская область город Саратов улица Танкистов 1</t>
  </si>
  <si>
    <t>ИП640600131100001</t>
  </si>
  <si>
    <t>410012 Саратовская область город Саратов проспект им Петра Столыпина 13</t>
  </si>
  <si>
    <t>ИП640600131100003</t>
  </si>
  <si>
    <t>410506 Саратовская область город Саратов Вольский тракт 2   99</t>
  </si>
  <si>
    <t>ИП640600131100004</t>
  </si>
  <si>
    <t>412602 Саратовская область рабочий поселок Базарный Карабулак улица Ленина 121  б</t>
  </si>
  <si>
    <t>ИП640603195400001</t>
  </si>
  <si>
    <t>412800 Саратовская область город Красноармейск улица Ленина 54</t>
  </si>
  <si>
    <t>ИП640603195400002</t>
  </si>
  <si>
    <t>410005 Саратовская область город Саратов улица Большая Садовая зд.239 стр.1  офис 318</t>
  </si>
  <si>
    <t>ООО "СКАЙГОЛД"</t>
  </si>
  <si>
    <t>6452147761</t>
  </si>
  <si>
    <t>ЮЛ6406007340</t>
  </si>
  <si>
    <t>ЮЛ640600734000000</t>
  </si>
  <si>
    <t>410015 Саратовская область город Саратов площадь им Орджоникидзе Г.К. дом 1</t>
  </si>
  <si>
    <t>ЮЛ640600734000001</t>
  </si>
  <si>
    <t>413111 Саратовская область город Энгельс проспект Фридриха Энгельса дом 69</t>
  </si>
  <si>
    <t>ЮЛ640600734000002</t>
  </si>
  <si>
    <t>ЮЛ640600734000003</t>
  </si>
  <si>
    <t>ЮЛ640600734000004</t>
  </si>
  <si>
    <t>410065 Саратовская область город Саратов проспект им 50 лет Октября дом 93/116 стр.1</t>
  </si>
  <si>
    <t>ЮЛ640600734000006</t>
  </si>
  <si>
    <t>410035 Саратовская область город Саратов улица им Тархова С.Ф. дом 34</t>
  </si>
  <si>
    <t>ЮЛ640600734000007</t>
  </si>
  <si>
    <t>410049 Саратовская область город Саратов улица Барнаульская дом 34</t>
  </si>
  <si>
    <t>ЮЛ640600734000008</t>
  </si>
  <si>
    <t>413100 Саратовская область город Энгельс площадь Ленина дом 3а</t>
  </si>
  <si>
    <t>ЮЛ640600734000009</t>
  </si>
  <si>
    <t>410028 Саратовская область город Саратов территория Вольский тракт зд. 2И помещ.7</t>
  </si>
  <si>
    <t>ЮЛ640600734000010</t>
  </si>
  <si>
    <t>410005 Саратовская область город Саратов улица Астраханская дом 113/331</t>
  </si>
  <si>
    <t>ЮЛ640600734000011</t>
  </si>
  <si>
    <t>410065 Саратовская область город Саратов проспект им 50 лет Октября зд 91Д</t>
  </si>
  <si>
    <t>ЮЛ640600734000012</t>
  </si>
  <si>
    <t>410012 Саратовская область город Саратов улица Чапаева дом 59</t>
  </si>
  <si>
    <t>ИП Гасанова Эллада Генриховна</t>
  </si>
  <si>
    <t>645291517754</t>
  </si>
  <si>
    <t>ИП6406016521</t>
  </si>
  <si>
    <t>ИП640601652100000</t>
  </si>
  <si>
    <t>410015 Саратовская область город Саратов пр.Энтузиастов  18А</t>
  </si>
  <si>
    <t>ИП Саморукова Дарья Андреевна</t>
  </si>
  <si>
    <t>645293038838</t>
  </si>
  <si>
    <t>ИП6406033100</t>
  </si>
  <si>
    <t>ИП640603310000000</t>
  </si>
  <si>
    <t>410004 Саратовская область город Саратов улица им Чернышевского Н.Г. дом 60/62А</t>
  </si>
  <si>
    <t>ООО "ЦФО"</t>
  </si>
  <si>
    <t>6452949444</t>
  </si>
  <si>
    <t>ЮЛ6406017997</t>
  </si>
  <si>
    <t>ЮЛ640601799700000</t>
  </si>
  <si>
    <t>410086 Саратовская область город Саратов улица Буровая здание 25</t>
  </si>
  <si>
    <t>ИП Драконова Любовь Викторовна</t>
  </si>
  <si>
    <t>645300671970</t>
  </si>
  <si>
    <t>ИП6406035061</t>
  </si>
  <si>
    <t>ИП640603506100000</t>
  </si>
  <si>
    <t>412580 Саратовская область р.п. Новые Бурасы Баумана 23</t>
  </si>
  <si>
    <t>ИП Дамаев Фяяз Гаязович</t>
  </si>
  <si>
    <t>645301085104</t>
  </si>
  <si>
    <t>ИП6406008678</t>
  </si>
  <si>
    <t>ИП640600867800000</t>
  </si>
  <si>
    <t>413235 Саратовская область город Красный Кут улица им Пушкина дом 32</t>
  </si>
  <si>
    <t>ИП640600867800003</t>
  </si>
  <si>
    <t>413360 Саратовская область город Новоузенск улица Базарная площадь дом 10</t>
  </si>
  <si>
    <t>ИП640600867800005</t>
  </si>
  <si>
    <t>413440 Саратовская область рабочий поселок Дергачи улица Советская здание 60А/2</t>
  </si>
  <si>
    <t>ИП640600867800006</t>
  </si>
  <si>
    <t>413270 Саратовская область рабочий поселок Ровное улица Рабочая строение 50А/1</t>
  </si>
  <si>
    <t>ИП640600867800007</t>
  </si>
  <si>
    <t>413270 Саратовская область рабочий поселок Ровное улица Рабочая строение 50А/2</t>
  </si>
  <si>
    <t>ИП640600867800008</t>
  </si>
  <si>
    <t>412602 Саратовская область рабочий поселок Базарный Карабулак улица Ленина дом 121</t>
  </si>
  <si>
    <t>ИП640600867800009</t>
  </si>
  <si>
    <t>413230 Саратовская область Красный кут Комсомольская 52а</t>
  </si>
  <si>
    <t>ИП640600867800010</t>
  </si>
  <si>
    <t>410086 Саратовская область город Саратов улица Буровая дом 25</t>
  </si>
  <si>
    <t>ИП Ткачева Анджелина Светославна</t>
  </si>
  <si>
    <t>645303193024</t>
  </si>
  <si>
    <t>ИП6406001779</t>
  </si>
  <si>
    <t>ИП640600177900000</t>
  </si>
  <si>
    <t>410012 Саратовская область город Саратов улица Московская дом 83</t>
  </si>
  <si>
    <t>ИП Сучков Евгений Александрович</t>
  </si>
  <si>
    <t>645304518613</t>
  </si>
  <si>
    <t>ИП6406003804</t>
  </si>
  <si>
    <t>ИП640600380400000</t>
  </si>
  <si>
    <t>410039 Саратовская область город Саратов шоссе Ново-Астраханское дом 80</t>
  </si>
  <si>
    <t>ИП640600380400034</t>
  </si>
  <si>
    <t>412484 Саратовская область город Калининск улица Советская дом 32   магазин Золото</t>
  </si>
  <si>
    <t>ИП Клочков Виктор Иванович</t>
  </si>
  <si>
    <t>645400123801</t>
  </si>
  <si>
    <t>ИП6406000139</t>
  </si>
  <si>
    <t>ИП640600013900001</t>
  </si>
  <si>
    <t>410005 Саратовская область город Саратов улица Астраханская дом 113/331   магазин Золото</t>
  </si>
  <si>
    <t>ИП640600013900003</t>
  </si>
  <si>
    <t>410005 Саратовская область город Саратов улица Астраханская дом 140</t>
  </si>
  <si>
    <t>ИП Поликарпова Марина Николаевна</t>
  </si>
  <si>
    <t>645400324508</t>
  </si>
  <si>
    <t>ИП6406005994</t>
  </si>
  <si>
    <t>ИП640600599400000</t>
  </si>
  <si>
    <t>410065 Саратовская область город Саратов проезд Торговый дом 1</t>
  </si>
  <si>
    <t>ИП640600599400001</t>
  </si>
  <si>
    <t>410065 Саратовская область город Саратов проспект им 50 лет Октября здание 91Д ТРК "Тау Галерея"</t>
  </si>
  <si>
    <t>ИП640600599400002</t>
  </si>
  <si>
    <t>410002 Саратовская область город Саратов улица Волжская дом 1</t>
  </si>
  <si>
    <t>ИП Шевченко Елена Анатольевна</t>
  </si>
  <si>
    <t>645400362302</t>
  </si>
  <si>
    <t>ИП6406007490</t>
  </si>
  <si>
    <t>ИП640600749000000</t>
  </si>
  <si>
    <t>412541 Саратовская область город Петровск улица Московская дом 4</t>
  </si>
  <si>
    <t>ИП Быстров Юрий Валентинович</t>
  </si>
  <si>
    <t>645403316054</t>
  </si>
  <si>
    <t>ИП6406017446</t>
  </si>
  <si>
    <t>ИП640601744600000</t>
  </si>
  <si>
    <t>412420 Саратовская область город Аткарск улица Гагарина дом 43А</t>
  </si>
  <si>
    <t>ИП640601744600002</t>
  </si>
  <si>
    <t>ИП640601744600004</t>
  </si>
  <si>
    <t>410056 Саратовская область город Саратов улица им Шевченко Т.Г. дом 30</t>
  </si>
  <si>
    <t>ИП640601744600005</t>
  </si>
  <si>
    <t>412540 Саратовская область город Петровск улица Московская дом 78</t>
  </si>
  <si>
    <t>ИП640601744600007</t>
  </si>
  <si>
    <t>410002 Саратовская область город Саратов улица Волжская дом 15</t>
  </si>
  <si>
    <t>ООО "ДА ВИНЧИ"</t>
  </si>
  <si>
    <t>6454061774</t>
  </si>
  <si>
    <t>ЮЛ6406007128</t>
  </si>
  <si>
    <t>ЮЛ640600712800000</t>
  </si>
  <si>
    <t>410012 Саратовская область Город Саратов Улица Московская Дом 83</t>
  </si>
  <si>
    <t>ИП Ливинцева Оксана Викторовна</t>
  </si>
  <si>
    <t>645406505204</t>
  </si>
  <si>
    <t>ИП6406003145</t>
  </si>
  <si>
    <t>ИП640600314500000</t>
  </si>
  <si>
    <t>ИП Севастьянова Людмила Алексеевна</t>
  </si>
  <si>
    <t>645479869789</t>
  </si>
  <si>
    <t>ИП6406034887</t>
  </si>
  <si>
    <t>ИП640603488700000</t>
  </si>
  <si>
    <t>ИП640603488700001</t>
  </si>
  <si>
    <t>410012 Саратовская область город Саратов  улица Чапаева  дом 59</t>
  </si>
  <si>
    <t>ИП Чубунова Людмила Алексеевна</t>
  </si>
  <si>
    <t>645500336867</t>
  </si>
  <si>
    <t>ИП6406002277</t>
  </si>
  <si>
    <t>ИП640600227700000</t>
  </si>
  <si>
    <t>410012 Саратовская область город Саратов улица им Рахова В.Г. дом 137  литера А помещение 28</t>
  </si>
  <si>
    <t>ИП Парадиз Юлия Борисовна</t>
  </si>
  <si>
    <t>645504012736</t>
  </si>
  <si>
    <t>ИП6406039859</t>
  </si>
  <si>
    <t>ИП640603985900000</t>
  </si>
  <si>
    <t>410031 Саратовская область город Саратов им. Радищева А.Н. 50</t>
  </si>
  <si>
    <t>ООО "ЗНАТЬ"</t>
  </si>
  <si>
    <t>6455063446</t>
  </si>
  <si>
    <t>ЮЛ6406006234</t>
  </si>
  <si>
    <t>ЮЛ640600623400000</t>
  </si>
  <si>
    <t>412311 Саратовская область город Балашов улица Энтузиастов дом 1   этаж 1</t>
  </si>
  <si>
    <t>ЮЛ770101216600151</t>
  </si>
  <si>
    <t>413863 Саратовская область город Балаково улица Трнавская дом 24   этаж 1</t>
  </si>
  <si>
    <t>ЮЛ770101216600367</t>
  </si>
  <si>
    <t>410506 Саратовская область город Саратов Вольский тракт дом 2   часть помещения 11а</t>
  </si>
  <si>
    <t>ЮЛ770101216600373</t>
  </si>
  <si>
    <t>410039 Саратовская область город Саратов шоссе Ново-Астраханское здание 107Г строение 1  этаж 1</t>
  </si>
  <si>
    <t>ЮЛ770101216600424</t>
  </si>
  <si>
    <t>410076 Саратовская область город Саратов улица Верхняя дом 17Д   помещение 2, этаж цокольный</t>
  </si>
  <si>
    <t>ЮЛ770101216600472</t>
  </si>
  <si>
    <t>413841 Саратовская область город Балаково улица Волжская дом 100/1   этаж 1</t>
  </si>
  <si>
    <t>ЮЛ770101216600505</t>
  </si>
  <si>
    <t>410005 Саратовская область город Саратов улица им Зарубина В.С. дом 167   этаж 1, нежилое помещение № 9</t>
  </si>
  <si>
    <t>ЮЛ770101216600542</t>
  </si>
  <si>
    <t>410005 Саратовская область город Саратов улица Танкистов здание 3   помещение 1, этаж 1</t>
  </si>
  <si>
    <t>ЮЛ770101216600589</t>
  </si>
  <si>
    <t>410065 Саратовская область город Саратов проспект им 50 лет Октября здание 91Д   этаж 3 (1 торговый этаж), нежилое помещение № 102 (строительный номер - А24)</t>
  </si>
  <si>
    <t>ЮЛ770101216600610</t>
  </si>
  <si>
    <t>410012 Саратовская область город Саратов проспект им Петра Столыпина дом 27   этаж 1</t>
  </si>
  <si>
    <t>ЮЛ770101216600691</t>
  </si>
  <si>
    <t>413111 Саратовская область город Энгельс улица Тельмана дом 150/5   помещение 1, 1этаж</t>
  </si>
  <si>
    <t>ЮЛ770101216600721</t>
  </si>
  <si>
    <t>410035 Саратовская область город Саратов улица Тархова дом 29А   этаж 1</t>
  </si>
  <si>
    <t>ЮЛ770101216600739</t>
  </si>
  <si>
    <t>412309 Саратовская область город Балашов улица 30 лет Победы дом 156   1 этаж, нежилое помещение № 2, часть</t>
  </si>
  <si>
    <t>ЮЛ770101216600791</t>
  </si>
  <si>
    <t>410012 Саратовская область город Саратов улица Московская здание 113/117   помещение 8, 1 этаж, часть нежилого помещения</t>
  </si>
  <si>
    <t>ЮЛ770101216600854</t>
  </si>
  <si>
    <t>410007 Саратовская область город Саратов улица им Блинова Ф.А. здание 50   этаж 1</t>
  </si>
  <si>
    <t>ЮЛ770101216600957</t>
  </si>
  <si>
    <t>413116 Саратовская область город Энгельс проспект Химиков строение 5   этаж 1, часть нежилого помещения № 79</t>
  </si>
  <si>
    <t>ЮЛ770101216600989</t>
  </si>
  <si>
    <t>410080 Саратовская область город Саратов проспект Строителей дом 40  Литера А часть нежилого помещения</t>
  </si>
  <si>
    <t>ЮЛ770103164400005</t>
  </si>
  <si>
    <t>ЮЛ770103164400038</t>
  </si>
  <si>
    <t>410010 Саратовская область город Саратов улица им Академика Навашина С.Г. дом 2</t>
  </si>
  <si>
    <t>ЮЛ770103164400039</t>
  </si>
  <si>
    <t>410005 Саратовская область город Саратов улица Астраханская дом 150   помещение № 6, 1 этаж</t>
  </si>
  <si>
    <t>ЮЛ770103164400041</t>
  </si>
  <si>
    <t>410049 Саратовская область город Саратов проспект Энтузиастов дом 31  А 1 этаж</t>
  </si>
  <si>
    <t>ЮЛ770103164400043</t>
  </si>
  <si>
    <t>410052 Саратовская область город Саратов площадь им Ленина В.И. здание 1 строение 2  часть нежилого помещения, являющееся частью нежилого здания</t>
  </si>
  <si>
    <t>ЮЛ770103164400044</t>
  </si>
  <si>
    <t>413111 Саратовская область город Энгельс проспект Строителей дом 2</t>
  </si>
  <si>
    <t>ЮЛ770103164400046</t>
  </si>
  <si>
    <t>410054 Саратовская область город Саратов улица 2-я Садовая дом 106   часть нежилого помещения, площадью 6 кв.м.</t>
  </si>
  <si>
    <t>ЮЛ770103164400047</t>
  </si>
  <si>
    <t>410012 Саратовская область город Саратов улица им Чапаева В.И. дом 60   часть нежилого помещения площадью 6 кв.м. на 1-ом этаже 2-х этажного дома</t>
  </si>
  <si>
    <t>ЮЛ770103164400049</t>
  </si>
  <si>
    <t>413100 Саратовская область город Энгельс площадь Свободы дом 3а   6 кв.м. торгового места №07.2 в здании торгового павильона "ТОРГОВЫЙ ДОМ", 1 этаж</t>
  </si>
  <si>
    <t>ЮЛ770103164400050</t>
  </si>
  <si>
    <t>410005 Саратовская область город Саратов улица Астраханская дом 113/331   помещение площадью 6,0 кв.м.</t>
  </si>
  <si>
    <t>ЮЛ770103164400059</t>
  </si>
  <si>
    <t>410048 Саратовская область город Саратов улица Тульская дом 49   нежилое помещение общей площадью 6,0 кв.м., расположенное на 1 этаже нежилого здания</t>
  </si>
  <si>
    <t>ЮЛ770103164400060</t>
  </si>
  <si>
    <t>410039 Саратовская область город Саратов проспект Энтузиастов дом 54   помещение площадью 6,0 кв.м.</t>
  </si>
  <si>
    <t>ЮЛ770103164400061</t>
  </si>
  <si>
    <t>410052 Саратовская область город Саратов улица Одесская дом 2   помещение А-26 площадью 6,0 кв.м.</t>
  </si>
  <si>
    <t>ЮЛ770103164400062</t>
  </si>
  <si>
    <t>410035 Саратовская область город Саратов улица им Тархова С.Ф. дом 34   часть помещения площадью 6,0 кв.м.</t>
  </si>
  <si>
    <t>ЮЛ770103164400063</t>
  </si>
  <si>
    <t>410082 Саратовская область город Саратов улица им Батавина П.Ф. дом 13</t>
  </si>
  <si>
    <t>ЮЛ770103164400064</t>
  </si>
  <si>
    <t>410064 Саратовская область город Саратов улица им Лебедева-Кумача В.И. дом 63   помещение № 64</t>
  </si>
  <si>
    <t>ЮЛ770103164400066</t>
  </si>
  <si>
    <t>410002 Саратовская область город Саратов улица им Чернышевского Н.Г. дом 184   пом А-6</t>
  </si>
  <si>
    <t>ЮЛ770103164400067</t>
  </si>
  <si>
    <t>410022 Саратовская область город Саратов улица им Азина В.М. здание 33</t>
  </si>
  <si>
    <t>ЮЛ770103164400068</t>
  </si>
  <si>
    <t>410600 Саратовская область город Саратов улица Московская дом 113-117</t>
  </si>
  <si>
    <t>ЮЛ770100419400092</t>
  </si>
  <si>
    <t>410005 Саратовская область город Саратов улица им Зарубина В.С. дом167</t>
  </si>
  <si>
    <t>ЮЛ770100419400100</t>
  </si>
  <si>
    <t>410009 Саратовская область город Саратов улица 3-я Дачная</t>
  </si>
  <si>
    <t>ЮЛ770100419400105</t>
  </si>
  <si>
    <t>410028 Саратовская область город Саратов улица им Радищева А.Н. дом 23А</t>
  </si>
  <si>
    <t>ЮЛ770100419400106</t>
  </si>
  <si>
    <t>ЮЛ770100193500243</t>
  </si>
  <si>
    <t>412311 Саратовская область город Балашов улица Энтузиастов дом 1</t>
  </si>
  <si>
    <t>ЮЛ770100193500244</t>
  </si>
  <si>
    <t>413111 Саратовская область город Энгельс улица Тельмана дом 150/3   помещения 75, 88, 89</t>
  </si>
  <si>
    <t>ЮЛ770100193500245</t>
  </si>
  <si>
    <t>410005 Саратовская область город Саратов улица имени Зарубина В.С. дом 167    помещение 1, часть помещения 1, помещение 1а, часть помещений 11, 38</t>
  </si>
  <si>
    <t>ЮЛ770100193500246</t>
  </si>
  <si>
    <t>410009 Саратовская область город Саратов улица 3-я Дачная дом 1   помещение 79</t>
  </si>
  <si>
    <t>ЮЛ770100193500247</t>
  </si>
  <si>
    <t>410012 Саратовская область город Саратов проспект имени Кирова С.М. дом 27</t>
  </si>
  <si>
    <t>ЮЛ770100193500248</t>
  </si>
  <si>
    <t>413841 Саратовская область город Балаково улица Волжская дом 100/1   нежилое помещение, этаж 1 (первый)</t>
  </si>
  <si>
    <t>ЮЛ770100193500591</t>
  </si>
  <si>
    <t>410080 Саратовская область город Саратов Вольский тракт дом 2   помещение 7</t>
  </si>
  <si>
    <t>ЮЛ770100193500642</t>
  </si>
  <si>
    <t>413093 Саратовская область город Маркс улица Первомайская дом 62   этаж 1 (первый)</t>
  </si>
  <si>
    <t>ЮЛ770100193500783</t>
  </si>
  <si>
    <t>410005 Саратовская область город Саратов улица Танкистов здание 3   помещение 2, этаж 1 (первый)</t>
  </si>
  <si>
    <t>ЮЛ770100193500792</t>
  </si>
  <si>
    <t>413860 Саратовская область город Балаково улица Трнавская дом 21   нежилое помещение литер А1, А2</t>
  </si>
  <si>
    <t>ЮЛ780300131300044</t>
  </si>
  <si>
    <t>ЮЛ780300131300045</t>
  </si>
  <si>
    <t>413100 Саратовская область город Энгельс площадь Свободы дом 3А   часть помещения № 2</t>
  </si>
  <si>
    <t>ЮЛ780300131300048</t>
  </si>
  <si>
    <t>410012 Саратовская область город Саратов проспект им. Петра Столыпина дом 43  литера А</t>
  </si>
  <si>
    <t>ЮЛ780300131300051</t>
  </si>
  <si>
    <t>412031 Саратовская область город Ртищево улица Железнодорожная дом 48/4   часть нежилого помещения №5</t>
  </si>
  <si>
    <t>ЮЛ780300131300557</t>
  </si>
  <si>
    <t>410005 Саратовская область город Саратов улица Астраханская дом 150   помещение №7</t>
  </si>
  <si>
    <t>ЮЛ780300131300575</t>
  </si>
  <si>
    <t>412420 Саратовская область город Аткарск улица Гагарина 103/1</t>
  </si>
  <si>
    <t>ЮЛ780300328000109</t>
  </si>
  <si>
    <t>412031 Саратовская область город Ртищево улица Железнодорожная дом 48/4   часть помещения № 5</t>
  </si>
  <si>
    <t>ЮЛ780300331800049</t>
  </si>
  <si>
    <t>ЮЛ780300331800050</t>
  </si>
  <si>
    <t>ЮЛ780300308200024</t>
  </si>
  <si>
    <t>413860 Саратовская область город Балаково улица Трнавская дом 21   комната 2</t>
  </si>
  <si>
    <t>ЮЛ780300308200025</t>
  </si>
  <si>
    <t>412311 Саратовская область город Балашов улица Энтузиастов дом 1   часть нежилого здания, нежилое помещение №29</t>
  </si>
  <si>
    <t>ЮЛ780300308200150</t>
  </si>
  <si>
    <t>410065 Саратовская область город Саратов проспект им 50 лет Октября здание 91Д   помещение № 78</t>
  </si>
  <si>
    <t>ЮЛ780300308200269</t>
  </si>
  <si>
    <t>410005 Саратовская область город Саратов улица им Зарубина В.С. дом 167   часть помещения №11 в помещении №1а</t>
  </si>
  <si>
    <t>ЮЛ780300308200399</t>
  </si>
  <si>
    <t>412542 Саратовская область город Петровск квартал 113А, улица Московская земельный участок № 134</t>
  </si>
  <si>
    <t>ЮЛ780300308200415</t>
  </si>
  <si>
    <t>412031 Саратовская область город Ртищево улица Железнодорожная дом 48/4</t>
  </si>
  <si>
    <t>ЮЛ780300308200417</t>
  </si>
  <si>
    <t>410005 Саратовская область город Саратов улица Астраханская дом 150   помещение 3</t>
  </si>
  <si>
    <t>ЮЛ780300308200419</t>
  </si>
  <si>
    <t>410012 Саратовская область город Саратов проспект им Петра Столыпина здание 36Б  литер В</t>
  </si>
  <si>
    <t>ЮЛ780300308200421</t>
  </si>
  <si>
    <t>ЮЛ780300308200422</t>
  </si>
  <si>
    <t>410005 Саратовская область город Саратов улица Танкистов владение 1А</t>
  </si>
  <si>
    <t>ЮЛ780300308200423</t>
  </si>
  <si>
    <t>413111 Саратовская область город Энгельс проспект Фридриха Энгельса дом 65</t>
  </si>
  <si>
    <t>ЮЛ780300308200430</t>
  </si>
  <si>
    <t>ЮЛ780300308200435</t>
  </si>
  <si>
    <t>412420 Саратовская область город Аткарск улица Гагарина здание 103/1</t>
  </si>
  <si>
    <t>ЮЛ780300308200551</t>
  </si>
  <si>
    <t>410506 Саратовская область сельское поселение Расковское МО Вольский тракт дом 2</t>
  </si>
  <si>
    <t>ЮЛ780300308200609</t>
  </si>
  <si>
    <t>412309 Саратовская область город Балашов улица Карла Маркса дом 24   согласно плана: пом. №№1,2,4</t>
  </si>
  <si>
    <t>ЮЛ780300308200742</t>
  </si>
  <si>
    <t>410012 Саратовская область город Саратов проспект им Петра Столыпина дом 43 литера а  литера а часть комнаты №97 (торговый зал), помещения №98, №99, "100 в помещении №12 Литера А</t>
  </si>
  <si>
    <t>ЮЛ780300308200772</t>
  </si>
  <si>
    <t>413100 Саратовская область город Энгельс площадь Свободы дом 3а   нежилое помещение №1, помещение №5, помещение №3, помещение №4,  часть помещения №2</t>
  </si>
  <si>
    <t>ЮЛ780300308200804</t>
  </si>
  <si>
    <t>410005 Саратовская область город Саратов улица им Зарубина В.С. здание 167   пом. 39</t>
  </si>
  <si>
    <t>ЮЛ780301261200070</t>
  </si>
  <si>
    <t>413360 Саратовская область город Новоузенск Революции улица 29 1  1</t>
  </si>
  <si>
    <t>ИП Куприянов Иван Викторович</t>
  </si>
  <si>
    <t>860223423602</t>
  </si>
  <si>
    <t>ИП6306008967</t>
  </si>
  <si>
    <t>ИП630600896700000</t>
  </si>
  <si>
    <t>410012 Саратовская область город Саратов ул. им.Горького М.А. 30А   офис 105</t>
  </si>
  <si>
    <t>ИП Прилуцкий Иван Александрович</t>
  </si>
  <si>
    <t>890509426143</t>
  </si>
  <si>
    <t>ИП6406030231</t>
  </si>
  <si>
    <t>ИП640603023100000</t>
  </si>
  <si>
    <t>ИП820400991100006</t>
  </si>
  <si>
    <t>410000 Саратовская область город Саратов улица 3-я Дачная    3 этаж, часть помещения №109</t>
  </si>
  <si>
    <t>ЮЛ770100439200189</t>
  </si>
  <si>
    <t>410005 Саратовская область город Саратов улица им Зарубина В.С. здание 167   1 этаж, нежилое помещение №7 часть части нежилого помещения 1</t>
  </si>
  <si>
    <t>ЮЛ770100439200205</t>
  </si>
  <si>
    <t>410005 Саратовская область город Саратов улица Астраханская дом 150   пом.6 этаж 1</t>
  </si>
  <si>
    <t>ЮЛ770100418900043</t>
  </si>
  <si>
    <t>410049 Саратовская область город Саратов проспект Энтузиастов дом 31  Литера А</t>
  </si>
  <si>
    <t>ЮЛ770100418900044</t>
  </si>
  <si>
    <t>410082 Саратовская область город Саратов улица им Батавина П.Ф. дом 13   часть пом. №320</t>
  </si>
  <si>
    <t>ЮЛ770100418900045</t>
  </si>
  <si>
    <t>410015 Саратовская область город Саратов улица им Плякина А.В. дом 1   часть помещения 01</t>
  </si>
  <si>
    <t>ЮЛ770100418900046</t>
  </si>
  <si>
    <t>410048 Саратовская область город Саратов улица Тульская здание 49Д строение 1  часть нежилого помещения</t>
  </si>
  <si>
    <t>ЮЛ770100418900047</t>
  </si>
  <si>
    <t>410010 Саратовская область город Саратов улица им Академика Навашина С.Г. владение 2А   часть нежилого помещения</t>
  </si>
  <si>
    <t>ЮЛ770100418900048</t>
  </si>
  <si>
    <t>410001 Саратовская область город Саратов улица Ново-Астраханская дом 34   часть нежилого помещения</t>
  </si>
  <si>
    <t>ЮЛ770100418900049</t>
  </si>
  <si>
    <t>410080 Саратовская область город Саратов проспект Строителей дом 40  Литера А часть помещения на 1 надземном этаже</t>
  </si>
  <si>
    <t>ЮЛ770100418900050</t>
  </si>
  <si>
    <t>410002 Саратовская область город Саратов улица им Чернышевского Н.Г. дом 184   часть нежилого помещения</t>
  </si>
  <si>
    <t>ЮЛ770100418900052</t>
  </si>
  <si>
    <t>413111 Саратовская область город Энгельс проспект Строителей дом 2   часть нежилого помещения</t>
  </si>
  <si>
    <t>ЮЛ770100418900053</t>
  </si>
  <si>
    <t>410022 Саратовская область город Саратов улица им Азина В.М. дом 33А   часть нежилого помещения</t>
  </si>
  <si>
    <t>ЮЛ770100418900054</t>
  </si>
  <si>
    <t>410064 Саратовская область город Саратов улица им Лебедева-Кумача В.И. дом 63   часть нежилого помещения</t>
  </si>
  <si>
    <t>ЮЛ770100418900055</t>
  </si>
  <si>
    <t>410039 Саратовская область город Саратов проспект Энтузиастов дом 54   помещение 23, часть нежилого помещения</t>
  </si>
  <si>
    <t>ЮЛ770100418900057</t>
  </si>
  <si>
    <t>410054 Саратовская область город Саратов улица 2-я Садовая дом 106 корпус 9  помещение 3, часть нежилого помещения</t>
  </si>
  <si>
    <t>ЮЛ770100418900058</t>
  </si>
  <si>
    <t>410012 Саратовская область город Саратов улица им Чапаева В.И. дом 60   нежилое помещение на 1 этаже 2-х этажного дома</t>
  </si>
  <si>
    <t>ЮЛ770100418900059</t>
  </si>
  <si>
    <t>410052 Саратовская область город Саратов улица Одесская дом 2   часть нежилого помещения</t>
  </si>
  <si>
    <t>ЮЛ770100418900060</t>
  </si>
  <si>
    <t>410009 Саратовская область город Саратов улица Алексеевская здание 5А   часть нежилого помещения</t>
  </si>
  <si>
    <t>ЮЛ770100418900061</t>
  </si>
  <si>
    <t>410005 Саратовская область город Саратов улица Астраханская дом 113/331   часть нежилого помещения</t>
  </si>
  <si>
    <t>ЮЛ770100418900062</t>
  </si>
  <si>
    <t>410035 Саратовская область город Саратов улица им Тархова С.Ф. дом 34   часть нежилого помещения</t>
  </si>
  <si>
    <t>ЮЛ770100418900064</t>
  </si>
  <si>
    <t>410035 Саратовская область город Саратов улица им Тархова С.Ф. дом 29А   часть торгового зала</t>
  </si>
  <si>
    <t>ЮЛ770100418900066</t>
  </si>
  <si>
    <t>ЮЛ770100418900068</t>
  </si>
  <si>
    <t>413100 Саратовская область город Энгельс площадь Свободы дом 3а   18 кв.м. торгового места №07.1 в здании торгового павильона "ТОРГОВЫЙ ДОМ", 1 этаж</t>
  </si>
  <si>
    <t>ЮЛ770100418900069</t>
  </si>
  <si>
    <t>Сахалинская область</t>
  </si>
  <si>
    <t>694740 Сахалинская область Невельск Ленина 5  А</t>
  </si>
  <si>
    <t>ИП250903190200001</t>
  </si>
  <si>
    <t>694450 Сахалинская область поселок городского типа Ноглики улица Советская дом 27/2</t>
  </si>
  <si>
    <t>ИП250903190200002</t>
  </si>
  <si>
    <t>694020 Сахалинская область город Корсаков улица Гвардейская дом 4</t>
  </si>
  <si>
    <t>ИП250903190200003</t>
  </si>
  <si>
    <t>694051 Сахалинская область город Долинск улица Комсомольская дом 35</t>
  </si>
  <si>
    <t>ИП250903190200004</t>
  </si>
  <si>
    <t>694400 Сахалинская область поселок городского типа Тымовское улица Кировская дом 101А</t>
  </si>
  <si>
    <t>ИП250903190200005</t>
  </si>
  <si>
    <t>693020 Сахалинская область город Южно-Сахалинск улица Ленина дом 180</t>
  </si>
  <si>
    <t>ИП250903190200006</t>
  </si>
  <si>
    <t>694496 Сахалинская область город Оха улица Дзержинского дом 30/1</t>
  </si>
  <si>
    <t>ИП250903190200008</t>
  </si>
  <si>
    <t>694620 Сахалинская область город Холмск улица Советская дом 39А</t>
  </si>
  <si>
    <t>ИП250903190200009</t>
  </si>
  <si>
    <t>694240 Сахалинская область город Поронайск улица Октябрьская дом 100</t>
  </si>
  <si>
    <t>ИП250903190200010</t>
  </si>
  <si>
    <t>694620 Сахалинская область город Холмск Советская 95</t>
  </si>
  <si>
    <t>ИП250903190200018</t>
  </si>
  <si>
    <t>693014 Сахалинская область город Южно-Сахалинск улица 2-я Центральная дом 1Б   помещение 212</t>
  </si>
  <si>
    <t>ИП Жукова Елена Сергеевна</t>
  </si>
  <si>
    <t>272212251289</t>
  </si>
  <si>
    <t>ИП2709000212</t>
  </si>
  <si>
    <t>ИП270900021200002</t>
  </si>
  <si>
    <t>693004 Сахалинская область город Южно-Сахалинск улица имени И.П. Фархутдинова дом 3</t>
  </si>
  <si>
    <t>ЮЛ270900211200079</t>
  </si>
  <si>
    <t>693005 Сахалинская область город Южно-Сахалинск улица Сахалинская дом 89   помещение 4</t>
  </si>
  <si>
    <t>ИП270900018300004</t>
  </si>
  <si>
    <t>694240 Сахалинская область город Поронайск Октябрьская 100   52</t>
  </si>
  <si>
    <t>6500012990</t>
  </si>
  <si>
    <t>ЮЛ6509035880</t>
  </si>
  <si>
    <t>ЮЛ650903588000000</t>
  </si>
  <si>
    <t>693000 Сахалинская область Южно-Сахалинск Хабаровская 60</t>
  </si>
  <si>
    <t>ИП Жительная Лариса Васильевна</t>
  </si>
  <si>
    <t>650101718910</t>
  </si>
  <si>
    <t>ИП6509005845</t>
  </si>
  <si>
    <t>ИП650900584500000</t>
  </si>
  <si>
    <t>693020 Сахалинская область город Южно-Сахалинск Пуркаева 116   703</t>
  </si>
  <si>
    <t>ИП Помогалов Виталий Сергеевич</t>
  </si>
  <si>
    <t>650117211604</t>
  </si>
  <si>
    <t>ИП6509041204</t>
  </si>
  <si>
    <t>ИП650904120400000</t>
  </si>
  <si>
    <t>693013 Сахалинская область город Южно-Сахалинск улица Есенина дом 1 корпус 1  павильон 1</t>
  </si>
  <si>
    <t>ИП Синицына Вероника Владимировна</t>
  </si>
  <si>
    <t>650122577770</t>
  </si>
  <si>
    <t>ИП6509030283</t>
  </si>
  <si>
    <t>ИП650903028300000</t>
  </si>
  <si>
    <t>694420 Сахалинская область город Александровск-Сахалинский улица Дзержинского дом 13А</t>
  </si>
  <si>
    <t>ИП Федораева Светлана Александровна</t>
  </si>
  <si>
    <t>650200000912</t>
  </si>
  <si>
    <t>ИП6509009971</t>
  </si>
  <si>
    <t>ИП650900997100000</t>
  </si>
  <si>
    <t>694051 Сахалинская область город Долинск улица Комсомольская дом 32</t>
  </si>
  <si>
    <t>ИП Васильева Марина Владимировна</t>
  </si>
  <si>
    <t>650300070649</t>
  </si>
  <si>
    <t>ИП6509000511</t>
  </si>
  <si>
    <t>ИП650900051100000</t>
  </si>
  <si>
    <t>694020 Сахалинская область город Корсаков улица Советская дом 10   помещение 9</t>
  </si>
  <si>
    <t>ИП Хан Ги Фан</t>
  </si>
  <si>
    <t>650400563990</t>
  </si>
  <si>
    <t>ИП6509010880</t>
  </si>
  <si>
    <t>ИП650901088000000</t>
  </si>
  <si>
    <t>694020 Сахалинская область город Корсаков улица Корсаковская дом 12   магазин ОРХИДЕЯ</t>
  </si>
  <si>
    <t xml:space="preserve">ИП Рогова Елена Ивановна </t>
  </si>
  <si>
    <t>650401560720</t>
  </si>
  <si>
    <t>ИП6509001408</t>
  </si>
  <si>
    <t>ИП650900140800000</t>
  </si>
  <si>
    <t>693014 Сахалинская область город Южно-Сахалинск улица 2-я Центральная дом 1Б п/м Хомутово 1 этаж, номер 131/1, часть помещение 1б бут Золотое Время</t>
  </si>
  <si>
    <t>ИП770101425100005</t>
  </si>
  <si>
    <t>693014 Сахалинская область город Южно-Сахалинск улица 2-я Центральная дом 1Б  №164, 1эт часть помещения 54</t>
  </si>
  <si>
    <t>ИП770101425100006</t>
  </si>
  <si>
    <t>694490 Сахалинская область город Оха улица Ленина дом 27</t>
  </si>
  <si>
    <t>ИП Трошина Галина Викторовна</t>
  </si>
  <si>
    <t>650600079530</t>
  </si>
  <si>
    <t>ИП6509000013</t>
  </si>
  <si>
    <t>ИП650900001300000</t>
  </si>
  <si>
    <t>694460 Сахалинская область Оха Ленина 12 23</t>
  </si>
  <si>
    <t>ИП Губенко Елена Александровна</t>
  </si>
  <si>
    <t>650601457135</t>
  </si>
  <si>
    <t>ИП6509006740</t>
  </si>
  <si>
    <t>ИП650900674000000</t>
  </si>
  <si>
    <t>694240 Сахалинская область город Поронайск улица Октябрьская дом 64</t>
  </si>
  <si>
    <t>ИП Разина Елена Валентиновна</t>
  </si>
  <si>
    <t>650701371330</t>
  </si>
  <si>
    <t>ИП6509030562</t>
  </si>
  <si>
    <t>ИП650903056200000</t>
  </si>
  <si>
    <t>694620 Сахалинская область Холмск Советская 95</t>
  </si>
  <si>
    <t>ИП Бахметьева Ирина Владимировна</t>
  </si>
  <si>
    <t>650900433492</t>
  </si>
  <si>
    <t>ИП6509002889</t>
  </si>
  <si>
    <t>ИП650900288900002</t>
  </si>
  <si>
    <t>693014 Сахалинская область город Южно-Сахалинск улица 2-я Центральная дом 1Б   110 лот</t>
  </si>
  <si>
    <t>ИП Урумянц Арменак Артемович</t>
  </si>
  <si>
    <t>651000020303</t>
  </si>
  <si>
    <t>ИП6509001254</t>
  </si>
  <si>
    <t>ИП650900125400002</t>
  </si>
  <si>
    <t>693005 Сахалинская область город Южно-Сахалинск улица Сахалинская дом 89   Gold&amp;Art</t>
  </si>
  <si>
    <t>ИП650900125400004</t>
  </si>
  <si>
    <t>693014 Сахалинская область город Южно-Сахалинск улица 2-я Центральная дом 1Б   126 лот</t>
  </si>
  <si>
    <t>ИП650900125400007</t>
  </si>
  <si>
    <t>694020 Сахалинская область город Корсаков улица Советская дом 26</t>
  </si>
  <si>
    <t>ИП650900125400008</t>
  </si>
  <si>
    <t>694620 Сахалинская область город Холмск улица Советская дом 96</t>
  </si>
  <si>
    <t>ИП650900125400009</t>
  </si>
  <si>
    <t>693000 Сахалинская область Южно-Сахалинск имени И.П. Фархутдинова 3</t>
  </si>
  <si>
    <t>ИП650900125400010</t>
  </si>
  <si>
    <t>693005 Сахалинская область город Южно-Сахалинск улица Сахалинская дом 89   SOKOLOV</t>
  </si>
  <si>
    <t>ИП650900125400011</t>
  </si>
  <si>
    <t>694350 Сахалинская область поселок городского типа Смирных улица Горького дом 15</t>
  </si>
  <si>
    <t>ИП Сугимото Пон Суй</t>
  </si>
  <si>
    <t>651400003366</t>
  </si>
  <si>
    <t>ИП6509004282</t>
  </si>
  <si>
    <t>ИП650900428200000</t>
  </si>
  <si>
    <t>693005 Сахалинская область город Южно-Сахалинск улица Сахалинская дом 89   помещение №15</t>
  </si>
  <si>
    <t>ЮЛ770100419400225</t>
  </si>
  <si>
    <t>693020 Сахалинская область город Южно-Сахалинск улица Ленина дом 123   помещения № 28, 29, первый этаж</t>
  </si>
  <si>
    <t>ЮЛ770100193500249</t>
  </si>
  <si>
    <t>693014 Сахалинская область город Южно-Сахалинск улица 2-я Центральная дом 1Б   помещения № 63, 64, 65, 66, часть помещения № 86</t>
  </si>
  <si>
    <t>ЮЛ770100193500250</t>
  </si>
  <si>
    <t>693005 Сахалинская область город Южно-Сахалинск улица Сахалинская дом 89   помещение № 14, этаж 1 (первый)</t>
  </si>
  <si>
    <t>ЮЛ770100193500524</t>
  </si>
  <si>
    <t>694530 Сахалинская область город Курильск улица Нагорная дом 1</t>
  </si>
  <si>
    <t>ИП Кердывар Ольга Александровна</t>
  </si>
  <si>
    <t>773422416704</t>
  </si>
  <si>
    <t>ИП7701008785</t>
  </si>
  <si>
    <t>ИП770100878500000</t>
  </si>
  <si>
    <t>693020 Сахалинская область город Южно-Сахалинск улица Ленина дом 218</t>
  </si>
  <si>
    <t>ЮЛ780300131300594</t>
  </si>
  <si>
    <t>ЮЛ780300331800114</t>
  </si>
  <si>
    <t>ЮЛ780300308201039</t>
  </si>
  <si>
    <t>693005 Сахалинская область город Южно-Сахалинск улица Сахалинская дом 89   помещение № 19</t>
  </si>
  <si>
    <t>ЮЛ780300308201100</t>
  </si>
  <si>
    <t>693014 Сахалинская область город Южно-Сахалинск улица 2-я Центральная дом 1Б   помещения №201-№202</t>
  </si>
  <si>
    <t>ЮЛ780300308201181</t>
  </si>
  <si>
    <t>693014 Сахалинская область город Южно-Сахалинск улица 2-я Центральная дом 1Б   помещения №243-№244</t>
  </si>
  <si>
    <t>ЮЛ770100439200267</t>
  </si>
  <si>
    <t>Свердловская область</t>
  </si>
  <si>
    <t>620014 Свердловская область город Екатеринбург улица Вайнера/Куйбышева дом 55/дом 47   нежилое помещение 314</t>
  </si>
  <si>
    <t>ИП Малова Надежда Сергеевна</t>
  </si>
  <si>
    <t>20104488850</t>
  </si>
  <si>
    <t>ИП6607039496</t>
  </si>
  <si>
    <t>ИП660703949600000</t>
  </si>
  <si>
    <t>620142 Свердловская область город Екатеринбург улица Щорса  строение 7 литера М помещение  №1,2 этаж 2</t>
  </si>
  <si>
    <t>ИП Шадрина Анна Ивановна</t>
  </si>
  <si>
    <t>21002514285</t>
  </si>
  <si>
    <t>ИП0206034948</t>
  </si>
  <si>
    <t>ИП020603494800000</t>
  </si>
  <si>
    <t>620142 Свердловская область город Екатеринбург улица Щорса дом 62</t>
  </si>
  <si>
    <t>ЮЛ160600138900001</t>
  </si>
  <si>
    <t>620135 Свердловская область город Екатеринбург проспект Космонавтов дом 47а   квартира 2</t>
  </si>
  <si>
    <t>ЮЛ160600138900003</t>
  </si>
  <si>
    <t>620143 Свердловская область город Екатеринбург улица Победы дом 36</t>
  </si>
  <si>
    <t>ЮЛ160600138900004</t>
  </si>
  <si>
    <t>620072 Свердловская область город Екатеринбург улица Сыромолотова дом 24</t>
  </si>
  <si>
    <t>ЮЛ160600138900005</t>
  </si>
  <si>
    <t>620131 Свердловская область город Екатеринбург улица Крауля дом 70</t>
  </si>
  <si>
    <t>ЮЛ160600138900006</t>
  </si>
  <si>
    <t>620073 Свердловская область город Екатеринбург улица Родонитовая дом 18</t>
  </si>
  <si>
    <t>ЮЛ160600138900007</t>
  </si>
  <si>
    <t>620147 Свердловская область город Екатеринбург улица Академика Бардина дом 40 корпус 1</t>
  </si>
  <si>
    <t>ЮЛ160600138900008</t>
  </si>
  <si>
    <t>620137 Свердловская область город Екатеринбург улица Сулимова дом 47</t>
  </si>
  <si>
    <t>ЮЛ160600138900009</t>
  </si>
  <si>
    <t>620010 Свердловская область город Екатеринбург улица Грибоедова дом 14</t>
  </si>
  <si>
    <t>ЮЛ160600138900010</t>
  </si>
  <si>
    <t>620141 Свердловская область город Екатеринбург улица Бебеля дом 156</t>
  </si>
  <si>
    <t>ЮЛ160600138900011</t>
  </si>
  <si>
    <t>620090 Свердловская область город Екатеринбург улица Техническая дом 45</t>
  </si>
  <si>
    <t>ЮЛ160600138900012</t>
  </si>
  <si>
    <t>620039 Свердловская область город Екатеринбург улица Машиностроителей дом 18</t>
  </si>
  <si>
    <t>ЮЛ160600138900013</t>
  </si>
  <si>
    <t>620102 Свердловская область город Екатеринбург улица Белореченская дом 11   помещение 32а</t>
  </si>
  <si>
    <t>ЮЛ160600138900014</t>
  </si>
  <si>
    <t>620144 Свердловская область город Екатеринбург улица Щорса дом 96   помещение 37</t>
  </si>
  <si>
    <t>ЮЛ160600138900015</t>
  </si>
  <si>
    <t>620000 Свердловская область город Екатеринбург Сакко и Ванцетти 74</t>
  </si>
  <si>
    <t>ИП160603156900009</t>
  </si>
  <si>
    <t>620014 Свердловская область город Екатеринбург проспект Ленина дом 25   нежилое помещение № 2-4</t>
  </si>
  <si>
    <t>ИП Сафронова Юлия Владимировна</t>
  </si>
  <si>
    <t>183113137693</t>
  </si>
  <si>
    <t>ИП6607010668</t>
  </si>
  <si>
    <t>ИП660701066800000</t>
  </si>
  <si>
    <t>620105 Свердловская область город Екатеринбург улица Академика Парина дом 46/3   офис 11</t>
  </si>
  <si>
    <t>ЮЛ240800183000006</t>
  </si>
  <si>
    <t>623286 Свердловская область город Ревда улица Максима Горького дом 34</t>
  </si>
  <si>
    <t>ЮЛ240800183000007</t>
  </si>
  <si>
    <t>623271 Свердловская область город Дегтярск улица Калинина дом 38</t>
  </si>
  <si>
    <t>ЮЛ240800183000008</t>
  </si>
  <si>
    <t>620146 Свердловская область город Екатеринбург улица Громова дом 145  Б помещение 81, 87</t>
  </si>
  <si>
    <t>ЮЛ240800183000074</t>
  </si>
  <si>
    <t>620023 Свердловская область город Екатеринбург улица Рощинская дом 21</t>
  </si>
  <si>
    <t>ЮЛ240800183000077</t>
  </si>
  <si>
    <t>620085 Свердловская область город Екатеринбург улица Сухоложская дом 4</t>
  </si>
  <si>
    <t>ЮЛ240800183000078</t>
  </si>
  <si>
    <t>623280 Свердловская область город Ревда улица Цветников дом 40</t>
  </si>
  <si>
    <t>ЮЛ240800183000093</t>
  </si>
  <si>
    <t>620014 Свердловская область город Екатеринбург улица Вайнера дом 10</t>
  </si>
  <si>
    <t>ИП370200423500009</t>
  </si>
  <si>
    <t>620092 Свердловская область город Екатеринбург улица Сыромолотова дом 22</t>
  </si>
  <si>
    <t>ИП Коваленко Олег Сергеевич</t>
  </si>
  <si>
    <t>440108883005</t>
  </si>
  <si>
    <t>ИП4402006491</t>
  </si>
  <si>
    <t>ИП440200649100016</t>
  </si>
  <si>
    <t>620043 Свердловская область город Екатеринбург улица Репина дом 94</t>
  </si>
  <si>
    <t>ИП440200649100017</t>
  </si>
  <si>
    <t>620017 Свердловская область город Екатеринбург улица Бабушкина дом 2</t>
  </si>
  <si>
    <t>ИП440200649100020</t>
  </si>
  <si>
    <t>620012 Свердловская область Екатеринбург проспект Космонавтов 41</t>
  </si>
  <si>
    <t>ИП440200649100022</t>
  </si>
  <si>
    <t>620076 Свердловская область город Екатеринбург улица Щербакова дом 4</t>
  </si>
  <si>
    <t>ИП440200649100023</t>
  </si>
  <si>
    <t>620142 Свердловская область город Екатеринбург улица Щорса дом 29   помещение 7</t>
  </si>
  <si>
    <t>ООО "АЛЬКОР-УРАЛ"</t>
  </si>
  <si>
    <t>4431004783</t>
  </si>
  <si>
    <t>ЮЛ4402000395</t>
  </si>
  <si>
    <t>ЮЛ440200039500000</t>
  </si>
  <si>
    <t>620000 Свердловская область город Екатеринбург Викулова 61 4</t>
  </si>
  <si>
    <t>ИП450700812200006</t>
  </si>
  <si>
    <t>623430 Свердловская область город Каменск-Уральский улица Каменская дом 85   объект 185/21-кв</t>
  </si>
  <si>
    <t>ИП Нохрина Татьяна Валентиновна</t>
  </si>
  <si>
    <t>450900697210</t>
  </si>
  <si>
    <t>ИП4507019452</t>
  </si>
  <si>
    <t>ИП450701945200000</t>
  </si>
  <si>
    <t>623430 Свердловская область город Каменск-Уральский улица Суворова дом 24</t>
  </si>
  <si>
    <t>ИП450701945200001</t>
  </si>
  <si>
    <t>623428 Свердловская область город Каменск-Уральский проспект Победы дом 65</t>
  </si>
  <si>
    <t>ИП450701945200002</t>
  </si>
  <si>
    <t>620026 Свердловская область город Екатеринбург улица Красноармейская дом 92  А 311</t>
  </si>
  <si>
    <t>ИП Комарова Анна Александровна</t>
  </si>
  <si>
    <t>451003007009</t>
  </si>
  <si>
    <t>ИП4507017409</t>
  </si>
  <si>
    <t>ИП450701740900000</t>
  </si>
  <si>
    <t>620904 Свердловская область город Екатеринбург улица Ленина дом 4</t>
  </si>
  <si>
    <t>ЮЛ470300219500008</t>
  </si>
  <si>
    <t>620027 Свердловская область город Екатеринбург улица Свердлова дом 11 (1-108) А (Этаж №1),  литер. А</t>
  </si>
  <si>
    <t>ИП500100445500008</t>
  </si>
  <si>
    <t>620014 Свердловская область город Екатеринбург улица Радищева дом 25</t>
  </si>
  <si>
    <t>ИП500100445500009</t>
  </si>
  <si>
    <t>620014 Свердловская область город Екатеринбург улица Вайнера дом 16</t>
  </si>
  <si>
    <t>ИП500100445500040</t>
  </si>
  <si>
    <t>620043 Свердловская область город Екатеринбург улица Металлургов дом 87</t>
  </si>
  <si>
    <t>ИП500100445500043</t>
  </si>
  <si>
    <t>620137 Свердловская область город Екатеринбург улица Сулимова дом 50   Парк Хаус , часть помещения 218 мульти с касио</t>
  </si>
  <si>
    <t>ИП500100445500109</t>
  </si>
  <si>
    <t>620076 Свердловская область город Екатеринбург улица Щербакова строение 4   помещение 2 ТРЦ Глобус, помещение 260(часть)</t>
  </si>
  <si>
    <t>ИП500100445500113</t>
  </si>
  <si>
    <t>620043 Свердловская область город Екатеринбург улица Репина строение 94   Радуга Парк, часть КА07а, нежилого помещения 119</t>
  </si>
  <si>
    <t>ИП500100445500127</t>
  </si>
  <si>
    <t>620014 Свердловская область город Екатеринбург Проспект Ленина Дом 25   помещения 1.101, 1.102, 1.102б</t>
  </si>
  <si>
    <t>ЮЛ500100279300010</t>
  </si>
  <si>
    <t>620014 Свердловская область город Екатеринбург улица 8 Марта строение 46   помещение 88 этаж 1</t>
  </si>
  <si>
    <t>ЮЛ520603376600043</t>
  </si>
  <si>
    <t>620000 Свердловская область город Екатеринбург проспект Космонавтов  строение 108д</t>
  </si>
  <si>
    <t>ЮЛ520603376600080</t>
  </si>
  <si>
    <t>624480 Свердловская область город Североуральск улица Ленина дом 17 А-67   часть нежилого помещения</t>
  </si>
  <si>
    <t>ИП Сальникова Светлана Ивановна</t>
  </si>
  <si>
    <t>545209378963</t>
  </si>
  <si>
    <t>ИП6607013274</t>
  </si>
  <si>
    <t>ИП660701327400000</t>
  </si>
  <si>
    <t>620043 Свердловская область город Екатеринбург улица Волгоградская строение 193   813</t>
  </si>
  <si>
    <t>ИП Григорьева Ольга Николаевна</t>
  </si>
  <si>
    <t>553201148336</t>
  </si>
  <si>
    <t>ИП5508015517</t>
  </si>
  <si>
    <t>ИП550801551700000</t>
  </si>
  <si>
    <t>620014 Свердловская область город Екатеринбург улица Вайнера дом 9</t>
  </si>
  <si>
    <t>ИП560600172600003</t>
  </si>
  <si>
    <t>620014 Свердловская область город Екатеринбург улица 8 Марта дом 46</t>
  </si>
  <si>
    <t>ИП560600172600004</t>
  </si>
  <si>
    <t>ИП560600172600005</t>
  </si>
  <si>
    <t>620014 Свердловская область город Екатеринбург улица 8 Марта строение 46</t>
  </si>
  <si>
    <t>ИП Жаринова Екатерина Сергеевна</t>
  </si>
  <si>
    <t>561802282201</t>
  </si>
  <si>
    <t>ИП6607011205</t>
  </si>
  <si>
    <t>ИП660701120500000</t>
  </si>
  <si>
    <t>620034 Свердловская область город Екатеринбург улица Колмогорова дом 73 корпус 5  помещение 57</t>
  </si>
  <si>
    <t>ИП Черных Иван Николаевич</t>
  </si>
  <si>
    <t>591792986692</t>
  </si>
  <si>
    <t>ИП6607037685</t>
  </si>
  <si>
    <t>ИП660703768500000</t>
  </si>
  <si>
    <t>624090 Свердловская область город Верхняя Пышма проспект Успенский дом 40</t>
  </si>
  <si>
    <t>ИП Валиева Лилия Мударисовна</t>
  </si>
  <si>
    <t>591800452922</t>
  </si>
  <si>
    <t>ИП6607007418</t>
  </si>
  <si>
    <t>ИП660700741800000</t>
  </si>
  <si>
    <t>624090 Свердловская область город Верхняя Пышма проспект Успенский дом 46   нежилое помещение №42-46</t>
  </si>
  <si>
    <t>ИП660700741800001</t>
  </si>
  <si>
    <t>624272 Свердловская область город Асбест проспект имени В.И. Ленина дом 15   помещение №25-28</t>
  </si>
  <si>
    <t>ИП590601426900014</t>
  </si>
  <si>
    <t>624272 Свердловская область город Асбест улица Ленинградская дом 26/2   помещение №1</t>
  </si>
  <si>
    <t>ИП590601426900015</t>
  </si>
  <si>
    <t>620147 Свердловская область город Екатеринбург улица Амундсена дом 65  А помещение №350</t>
  </si>
  <si>
    <t>ИП590601426900016</t>
  </si>
  <si>
    <t>624132 Свердловская область город Новоуральск улица Автозаводская здание 21   помещение №38</t>
  </si>
  <si>
    <t>ИП590601426900017</t>
  </si>
  <si>
    <t>623280 Свердловская область город Ревда улица Цветников владение 39а   помещение №1,2</t>
  </si>
  <si>
    <t>ИП590601426900019</t>
  </si>
  <si>
    <t>624205 Свердловская область город Лесной улица Победы дом 31   нежилое помещение № А3</t>
  </si>
  <si>
    <t>ИП590601426900022</t>
  </si>
  <si>
    <t>624761 Свердловская область город Верхняя Салда улица Парковая дом 22   помещение № В 16</t>
  </si>
  <si>
    <t>ИП590601426900027</t>
  </si>
  <si>
    <t>623428 Свердловская область город Каменск-Уральский проспект Победы дом 34</t>
  </si>
  <si>
    <t>ИП590601426900034</t>
  </si>
  <si>
    <t>623430 Свердловская область город Каменск-Уральский улица Суворова дом 28</t>
  </si>
  <si>
    <t>ИП590601426900035</t>
  </si>
  <si>
    <t>623119 Свердловская область город Первоуральск улица Вайнера дом 5</t>
  </si>
  <si>
    <t>ИП590601426900039</t>
  </si>
  <si>
    <t>623119 Свердловская область город Первоуральск улица Береговая здание 1   нежилое помещение №202</t>
  </si>
  <si>
    <t>ИП590601426900040</t>
  </si>
  <si>
    <t>624449 Свердловская область город Краснотурьинск улица Ленинского Комсомола здание 21   нежилое помещение №105</t>
  </si>
  <si>
    <t>ИП590601426900042</t>
  </si>
  <si>
    <t>624140 Свердловская область город Кировград улица Свердлова дом 53</t>
  </si>
  <si>
    <t>ИП590601426900044</t>
  </si>
  <si>
    <t>623101 Свердловская область город Первоуральск проспект Космонавтов дом 13   нежилое помещение №11</t>
  </si>
  <si>
    <t>ИП590601426900045</t>
  </si>
  <si>
    <t>623101 Свердловская область город Первоуральск улица Ватутина дом 44   нежилое помещение</t>
  </si>
  <si>
    <t>ИП590601426900050</t>
  </si>
  <si>
    <t>623530 Свердловская область город Богданович улица Гагарина дом 20    нежилое помещение 41</t>
  </si>
  <si>
    <t>ИП590601426900051</t>
  </si>
  <si>
    <t>620043 Свердловская область город Екатеринбург улица Репина строение 94   помещение 323</t>
  </si>
  <si>
    <t>ИП610400426600011</t>
  </si>
  <si>
    <t>620137 Свердловская область город Екатеринбург улица Сулимова дом 50   часть помещения №218 этаж 1</t>
  </si>
  <si>
    <t>ИП610400426600025</t>
  </si>
  <si>
    <t>622015 Свердловская область город Нижний Тагил шоссе Свердловское дом 31Б</t>
  </si>
  <si>
    <t>ИП610400426600027</t>
  </si>
  <si>
    <t>620142 Свердловская область город Екатеринбург улица Щорса дом 58</t>
  </si>
  <si>
    <t>ЮЛ630600259300005</t>
  </si>
  <si>
    <t>622034 Свердловская область город Нижний Тагил улица Газетная дом 80/29  А</t>
  </si>
  <si>
    <t>ИП630601425400085</t>
  </si>
  <si>
    <t>620014 Свердловская область город Екатеринбург улица Сакко и Ванцетти дом 99   помещения 48,49</t>
  </si>
  <si>
    <t>ИП660700053100000</t>
  </si>
  <si>
    <t>620075 Свердловская область город Екатеринбург улица Розы Люксембург дом 4   Cалон CHAMOVSKIKH JH (-1 этаж)</t>
  </si>
  <si>
    <t>ИП660700053100001</t>
  </si>
  <si>
    <t>624600 Свердловская область город Алапаевск улица Сафонова дом 33</t>
  </si>
  <si>
    <t>ИП Альтергот Игорь Давидович</t>
  </si>
  <si>
    <t>660100085122</t>
  </si>
  <si>
    <t>ИП6607000300</t>
  </si>
  <si>
    <t>ИП660700030000000</t>
  </si>
  <si>
    <t>624600 Свердловская область город Алапаевск улица Фрунзе дом 49</t>
  </si>
  <si>
    <t>ИП Бойцова Ольга Александровна</t>
  </si>
  <si>
    <t>660105941377</t>
  </si>
  <si>
    <t>ИП6607006197</t>
  </si>
  <si>
    <t>ИП660700619700000</t>
  </si>
  <si>
    <t>620058 Свердловская область город Екатеринбург проспект Космонавтов  строение 108д</t>
  </si>
  <si>
    <t>ИП660703134500000</t>
  </si>
  <si>
    <t>624691 Свердловская область поселок городского типа Верхняя Синячиха улица Октябрьская дом 10Б</t>
  </si>
  <si>
    <t>ИП Костромина-Зуева Ольга Сергеевна</t>
  </si>
  <si>
    <t>660109675334</t>
  </si>
  <si>
    <t>ИП6607009215</t>
  </si>
  <si>
    <t>ИП660700921500000</t>
  </si>
  <si>
    <t>624600 Свердловская область город Алапаевск улица Братьев Серебряковых дом 14</t>
  </si>
  <si>
    <t>ИП660700921500001</t>
  </si>
  <si>
    <t>624601 Свердловская область город Алапаевск улица Ленина дом 12</t>
  </si>
  <si>
    <t>ИП660700921500002</t>
  </si>
  <si>
    <t>622034 Свердловская область город Нижний Тагил проспект Ленина дом 69</t>
  </si>
  <si>
    <t>ИП Миронова Светлана Юрьевна</t>
  </si>
  <si>
    <t>660200175620</t>
  </si>
  <si>
    <t>ИП6607001340</t>
  </si>
  <si>
    <t>ИП660700134000000</t>
  </si>
  <si>
    <t>623785 Свердловская область город Артемовский улица Садовая дом 11</t>
  </si>
  <si>
    <t>ИП Сокольская Ольга Борисовна</t>
  </si>
  <si>
    <t>660204917583</t>
  </si>
  <si>
    <t>ИП6607002298</t>
  </si>
  <si>
    <t>ИП660700229800000</t>
  </si>
  <si>
    <t>624600 Свердловская область город Алапаевск улица Пушкина дом 61</t>
  </si>
  <si>
    <t>ИП660700229800001</t>
  </si>
  <si>
    <t>623750 Свердловская область город Реж улица Ленина дом 35</t>
  </si>
  <si>
    <t>ИП660700229800002</t>
  </si>
  <si>
    <t>623780 Свердловская область город Артемовский улица Гагарина дом 17   нежилое помещение № 3</t>
  </si>
  <si>
    <t>ИП660700229800003</t>
  </si>
  <si>
    <t>623785 Свердловская область город Артемовский улица Ленина здание 2В строение 1</t>
  </si>
  <si>
    <t>ИП Пахомова Елизавета Сергеевна</t>
  </si>
  <si>
    <t>660207124215</t>
  </si>
  <si>
    <t>ИП6607016179</t>
  </si>
  <si>
    <t>ИП660701617900000</t>
  </si>
  <si>
    <t>624272 Свердловская область город Асбест улица Ленинградская  Дом 19</t>
  </si>
  <si>
    <t xml:space="preserve"> ИП Биктимирова Гузалия Искандаровна</t>
  </si>
  <si>
    <t>660300116650</t>
  </si>
  <si>
    <t>ИП6607000830</t>
  </si>
  <si>
    <t>ИП660700083000000</t>
  </si>
  <si>
    <t>624286 Свердловская область р.п.Малышева улица 1-ая Зеленая  5  А</t>
  </si>
  <si>
    <t>ИП Киряков Василий Семенович</t>
  </si>
  <si>
    <t>660300292214</t>
  </si>
  <si>
    <t>ИП6607015947</t>
  </si>
  <si>
    <t>ИП660701594700000</t>
  </si>
  <si>
    <t>624286 Свердловская область поселок городского типа Малышева Северовостная часть рабочего поселка Малышева на землях промышленно-производственного назначения на территории фабрики обогащения кварцево-полевошпатных руд   Литера 4</t>
  </si>
  <si>
    <t>АО "МРУ" АО "МАЛЫШЕВСКОЕ РУДОУПРАВЛЕНИЕ"</t>
  </si>
  <si>
    <t>6603003813</t>
  </si>
  <si>
    <t>ЮЛ6607004332</t>
  </si>
  <si>
    <t>ЮЛ660700433200000</t>
  </si>
  <si>
    <t>620014 Свердловская область город Екатеринбург улица Вайнера дом 9а   №№21,22,49-52,118-120</t>
  </si>
  <si>
    <t>ИП Зубков Сергей Анатольевич</t>
  </si>
  <si>
    <t>660300479117</t>
  </si>
  <si>
    <t>ИП6607008674</t>
  </si>
  <si>
    <t>ИП660700867400000</t>
  </si>
  <si>
    <t>620062 Свердловская область город Екатеринбург проспект Ленина дом 64  литера С помещения №№17-20, 28-30</t>
  </si>
  <si>
    <t>ИП660700867400001</t>
  </si>
  <si>
    <t>623101 Свердловская область город Первоуральск улица Ленина дом 15   №22</t>
  </si>
  <si>
    <t>ИП660700867400002</t>
  </si>
  <si>
    <t>620100 Свердловская область город Первоуральск проспект Ильича дом 28В   2 этаж</t>
  </si>
  <si>
    <t>ИП660700867400003</t>
  </si>
  <si>
    <t>623530 Свердловская область город Богданович улица Гагарина дом 18   помещение 4,17</t>
  </si>
  <si>
    <t>ИП Малышев Дмитрий Ринадович</t>
  </si>
  <si>
    <t>660300519578</t>
  </si>
  <si>
    <t>ИП6607012745</t>
  </si>
  <si>
    <t>ИП660701274500000</t>
  </si>
  <si>
    <t>624272 Свердловская область город Асбест улица Победы дом 13</t>
  </si>
  <si>
    <t>ИП Обухов Сергей Валерьевич</t>
  </si>
  <si>
    <t>660306997235</t>
  </si>
  <si>
    <t>ИП6607010509</t>
  </si>
  <si>
    <t>ИП660701050900000</t>
  </si>
  <si>
    <t>624272 Свердловская область город Асбест проспект имени В.И. Ленина дом 10</t>
  </si>
  <si>
    <t>ИП Саратова Жанна Сергеевна</t>
  </si>
  <si>
    <t>660309441005</t>
  </si>
  <si>
    <t>ИП6607001915</t>
  </si>
  <si>
    <t>ИП660700191500000</t>
  </si>
  <si>
    <t>624260 Свердловская область г Асбест ул Победы д 13</t>
  </si>
  <si>
    <t>ИП Обухов Юрий Валерьевич</t>
  </si>
  <si>
    <t>660310376343</t>
  </si>
  <si>
    <t>ИП6607007477</t>
  </si>
  <si>
    <t>ИП660700747700000</t>
  </si>
  <si>
    <t>623700 Свердловская область город Березовский улица Анучина дом 2</t>
  </si>
  <si>
    <t>ИП Наборщикова Надежда Васильевна</t>
  </si>
  <si>
    <t>660400591761</t>
  </si>
  <si>
    <t>ИП6607037706</t>
  </si>
  <si>
    <t>ИП660703770600000</t>
  </si>
  <si>
    <t>620062 Свердловская область город Екатеринбург улица Генеральская дом 3   офис №400, №401</t>
  </si>
  <si>
    <t>ИП Баталина Анна Александровна</t>
  </si>
  <si>
    <t>660400993485</t>
  </si>
  <si>
    <t>ИП6607000811</t>
  </si>
  <si>
    <t>ИП660700081100000</t>
  </si>
  <si>
    <t>624090 Свердловская область город Верхняя Пышма проспект Успенский дом 18 корпус 1  офис 12</t>
  </si>
  <si>
    <t>ИП Немчинова Ирина Викторовна</t>
  </si>
  <si>
    <t>660600301117</t>
  </si>
  <si>
    <t>ИП6607032304</t>
  </si>
  <si>
    <t>ИП660703230400000</t>
  </si>
  <si>
    <t>624093 Свердловская область город Верхняя Пышма проспект Успенский дом 113Г</t>
  </si>
  <si>
    <t>ИП Соболева Татьяна Валерьевна</t>
  </si>
  <si>
    <t>660600572974</t>
  </si>
  <si>
    <t>ИП6607000064</t>
  </si>
  <si>
    <t>ИП660700006400000</t>
  </si>
  <si>
    <t>624090 Свердловская область город Верхняя Пышма улица Мамина-Сибиряка дом 7   номера №№ 8 - 18</t>
  </si>
  <si>
    <t>ИП Стецова Елена Акрамовна</t>
  </si>
  <si>
    <t>660600991527</t>
  </si>
  <si>
    <t>ИП6607000408</t>
  </si>
  <si>
    <t>ИП660700040800000</t>
  </si>
  <si>
    <t>624071 Свердловская область город Среднеуральск улица Калинина дом 2 корпус А</t>
  </si>
  <si>
    <t>ООО "ЛИКУРГ-БАЮ"</t>
  </si>
  <si>
    <t>6606035115</t>
  </si>
  <si>
    <t>ЮЛ6607006330</t>
  </si>
  <si>
    <t>ЮЛ660700633000000</t>
  </si>
  <si>
    <t>624090 Свердловская область город Верхняя Пышма проспект Успенский дом 18 Корпус 1</t>
  </si>
  <si>
    <t>ИП Немчинов Семен Юрьевич</t>
  </si>
  <si>
    <t>660609345260</t>
  </si>
  <si>
    <t>ИП6607010350</t>
  </si>
  <si>
    <t>ИП660701035000000</t>
  </si>
  <si>
    <t>624760 Свердловская область город Верхняя Салда улица Энгельса дом 25</t>
  </si>
  <si>
    <t>ООО "ГАЛАТЕЯ"</t>
  </si>
  <si>
    <t>6607000235</t>
  </si>
  <si>
    <t>ЮЛ6607005401</t>
  </si>
  <si>
    <t>ЮЛ660700540100000</t>
  </si>
  <si>
    <t>624766 Свердловская область город Верхняя Салда улица Воронова дом 10</t>
  </si>
  <si>
    <t>ЮЛ660700540100001</t>
  </si>
  <si>
    <t>624761 Свердловская область город Верхняя Салда улица Парковая дом 22   часть нежилого помещения №29/А</t>
  </si>
  <si>
    <t>ЮЛ660700540100002</t>
  </si>
  <si>
    <t>624250 Свердловская область город Заречный улица Ленинградская здание 9</t>
  </si>
  <si>
    <t>ИП Чесноков Александр Викторович</t>
  </si>
  <si>
    <t>660900123994</t>
  </si>
  <si>
    <t>ИП6607001043</t>
  </si>
  <si>
    <t>ИП660700104300000</t>
  </si>
  <si>
    <t>624250 Свердловская область город Заречный улица Ленинградская дом 6А/2   пом.1</t>
  </si>
  <si>
    <t>ИП Михайленко Галина Евгеньевна</t>
  </si>
  <si>
    <t>660900129202</t>
  </si>
  <si>
    <t>ИП6607006211</t>
  </si>
  <si>
    <t>ИП660700621100000</t>
  </si>
  <si>
    <t>624250 Свердловская область город Заречный улица Ленина дом 12</t>
  </si>
  <si>
    <t>ИП Мурзина Инна Олеговна</t>
  </si>
  <si>
    <t>660902772360</t>
  </si>
  <si>
    <t>ИП6607032410</t>
  </si>
  <si>
    <t>ИП660703241000000</t>
  </si>
  <si>
    <t>624590 Свердловская область город Ивдель  Проспект Комсомола дом 42   помещение № 4</t>
  </si>
  <si>
    <t>ИП Ощепкова Оксана Александровна</t>
  </si>
  <si>
    <t>661000138206</t>
  </si>
  <si>
    <t>ИП6607011072</t>
  </si>
  <si>
    <t>ИП660701107200000</t>
  </si>
  <si>
    <t>623856 Свердловская область город Ирбит улица Первомайская дом 34</t>
  </si>
  <si>
    <t>ИП Гаврилова Наталия Валерьевна</t>
  </si>
  <si>
    <t>661100147998</t>
  </si>
  <si>
    <t>ИП6607011823</t>
  </si>
  <si>
    <t>ИП660701182300000</t>
  </si>
  <si>
    <t>623400 Свердловская область город Каменск-Уральский проспект Победы здание 11а</t>
  </si>
  <si>
    <t>ИП Касимов Артём Амирович</t>
  </si>
  <si>
    <t>661202569413</t>
  </si>
  <si>
    <t>ИП6607037427</t>
  </si>
  <si>
    <t>ИП660703742700000</t>
  </si>
  <si>
    <t>623400 Свердловская область город Каменск-Уральский проспект Победы здание 11А   часть помещения на 1 этаже</t>
  </si>
  <si>
    <t>ООО "ДИАМАНТ ПЛЮС"</t>
  </si>
  <si>
    <t>6612032000</t>
  </si>
  <si>
    <t>ЮЛ6607012000</t>
  </si>
  <si>
    <t>ЮЛ660701200000000</t>
  </si>
  <si>
    <t>623406 Свердловская область город Каменск-Уральский улица Алюминиевая дом 14</t>
  </si>
  <si>
    <t>ИП Красноперова Марина Валентиновна</t>
  </si>
  <si>
    <t>661212036608</t>
  </si>
  <si>
    <t>ИП6607012785</t>
  </si>
  <si>
    <t>ИП660701278500000</t>
  </si>
  <si>
    <t>623406 Свердловская область город Каменск-Уральский улица Алюминиевая дом 28</t>
  </si>
  <si>
    <t xml:space="preserve">ИП Юзбашян Эрнест Карленович </t>
  </si>
  <si>
    <t>661213884294</t>
  </si>
  <si>
    <t>ИП6607017639</t>
  </si>
  <si>
    <t>ИП660701763900000</t>
  </si>
  <si>
    <t>624860 Свердловская область город Камышлов улица Ленина дом 28   помещение 3</t>
  </si>
  <si>
    <t>ИП Колясникова Любовь Евстафьевна</t>
  </si>
  <si>
    <t>661300064298</t>
  </si>
  <si>
    <t>ИП6607007116</t>
  </si>
  <si>
    <t>ИП660700711600000</t>
  </si>
  <si>
    <t>624860 Свердловская область город Камышлов улица Карла Маркса дом 59А</t>
  </si>
  <si>
    <t>ИП Ефремов Виталий Викторович</t>
  </si>
  <si>
    <t>661301659192</t>
  </si>
  <si>
    <t>ИП6607013095</t>
  </si>
  <si>
    <t>ИП660701309500000</t>
  </si>
  <si>
    <t>624860 Свердловская область город Камышлов улица Ленинградская дом 20  Литер А</t>
  </si>
  <si>
    <t>ИП Кривякова Елена Вячеславовна</t>
  </si>
  <si>
    <t>661302428670</t>
  </si>
  <si>
    <t>ИП7207001542</t>
  </si>
  <si>
    <t>ИП720700154200000</t>
  </si>
  <si>
    <t>624860 Свердловская область город Камышлов улица Карла Маркса дом 41</t>
  </si>
  <si>
    <t>ИП Старков Константин Анатольевич</t>
  </si>
  <si>
    <t>661303736903</t>
  </si>
  <si>
    <t>ИП6607012156</t>
  </si>
  <si>
    <t>ИП660701215600000</t>
  </si>
  <si>
    <t>624440 Свердловская область город Краснотурьинск улица Ленина дом 48   помещение 1</t>
  </si>
  <si>
    <t>ИП Михель Светлана Владимировна</t>
  </si>
  <si>
    <t>661400003605</t>
  </si>
  <si>
    <t>ИП6607002464</t>
  </si>
  <si>
    <t>ИП660700246400000</t>
  </si>
  <si>
    <t>624992 Свердловская область город Серов улица Ленина дом 130   помещение 2</t>
  </si>
  <si>
    <t>ИП660700246400002</t>
  </si>
  <si>
    <t>624516 Свердловская область город Североуральск улица Ленина дом 29   помещение 62</t>
  </si>
  <si>
    <t>ИП660700246400003</t>
  </si>
  <si>
    <t>624356 Свердловская область город Качканар микрорайон 7 дом 56   помещение 83</t>
  </si>
  <si>
    <t>ИП660700246400005</t>
  </si>
  <si>
    <t>624220 Свердловская область город Нижняя Тура улица 40 Лет Октября дом 4   помещение 24</t>
  </si>
  <si>
    <t>ИП660700246400008</t>
  </si>
  <si>
    <t>624930 Свердловская область город Карпинск улица Пролетарская дом 71   помещение 5</t>
  </si>
  <si>
    <t>ИП660700246400009</t>
  </si>
  <si>
    <t>624194 Свердловская область город Невьянск улица Ленина дом 21   помещение 116</t>
  </si>
  <si>
    <t>ИП660700246400011</t>
  </si>
  <si>
    <t>624356 Свердловская область город Качканар улица Гикалова дом 7в   павильон 17</t>
  </si>
  <si>
    <t>ООО "САМОЦВЕТ"</t>
  </si>
  <si>
    <t>6615005950</t>
  </si>
  <si>
    <t>ЮЛ6607020233</t>
  </si>
  <si>
    <t>ЮЛ660702023300000</t>
  </si>
  <si>
    <t>624356 Свердловская область город Качканар мкр 5 А дом 6</t>
  </si>
  <si>
    <t>ИП Дуганова Ирина Ивановна</t>
  </si>
  <si>
    <t>661501029631</t>
  </si>
  <si>
    <t>ИП6607009410</t>
  </si>
  <si>
    <t>ИП660700941000000</t>
  </si>
  <si>
    <t>624350 Свердловская область город Качканар улица Свердлова дом 22   павильон 103</t>
  </si>
  <si>
    <t>ИП660700941000001</t>
  </si>
  <si>
    <t>624356 Свердловская область город Качканар улица Гикалова дом 7в   павильон 16</t>
  </si>
  <si>
    <t>ИП660700941000003</t>
  </si>
  <si>
    <t>624140 Свердловская область город Кировград улица Свердлова дом 67А</t>
  </si>
  <si>
    <t>ИП Заплатина Любовь Михайловна</t>
  </si>
  <si>
    <t>661600042672</t>
  </si>
  <si>
    <t>ИП6607010077</t>
  </si>
  <si>
    <t>ИП660701007700000</t>
  </si>
  <si>
    <t>624356 Свердловская область город Качканар микрорайон 7 дом 56   помещение №83</t>
  </si>
  <si>
    <t>ИП Байбикова Елена Данисовна</t>
  </si>
  <si>
    <t>661703478598</t>
  </si>
  <si>
    <t>ИП6607034094</t>
  </si>
  <si>
    <t>ИП660703409400000</t>
  </si>
  <si>
    <t>624440 Свердловская область город Краснотурьинск улица Ленина дом 48</t>
  </si>
  <si>
    <t>ИП Лахтин Степан Михайлович</t>
  </si>
  <si>
    <t>661706974763</t>
  </si>
  <si>
    <t>ИП6607031422</t>
  </si>
  <si>
    <t>ИП660703142200000</t>
  </si>
  <si>
    <t>624936 Свердловская область город Карпинск улица Пролетарская дом 71   помещение 5</t>
  </si>
  <si>
    <t>ИП660703142200005</t>
  </si>
  <si>
    <t>624350 Свердловская область город Качканар микрорайон 7 дом 56   помещение 83</t>
  </si>
  <si>
    <t>ИП660703142200006</t>
  </si>
  <si>
    <t>624480 Свердловская область город Североуральск улица Ленина дом 29   помещение 62</t>
  </si>
  <si>
    <t>ИП660703142200008</t>
  </si>
  <si>
    <t>ИП660703142200009</t>
  </si>
  <si>
    <t>624330 Свердловская область город Красноуральск улица Каляева дом 46   помещение 2</t>
  </si>
  <si>
    <t>ИП660703142200011</t>
  </si>
  <si>
    <t>624221 Свердловская область город Нижняя Тура улица 40 лет Октября дом 4   помещение 24</t>
  </si>
  <si>
    <t>ИП660703142200012</t>
  </si>
  <si>
    <t>624330 Свердловская область город Красноуральск улица Каляева 46   пом. 1,2,3,4,5,6</t>
  </si>
  <si>
    <t>ИП Михель Владимир Михайлович</t>
  </si>
  <si>
    <t>661708147367</t>
  </si>
  <si>
    <t>ИП6607035707</t>
  </si>
  <si>
    <t>ИП660703570700000</t>
  </si>
  <si>
    <t>624330 Свердловская область город Красноуральск улица Иллариона Янкина дом 20   этаж №1</t>
  </si>
  <si>
    <t>ИП Фадеева Марина Викторовна</t>
  </si>
  <si>
    <t>661800207579</t>
  </si>
  <si>
    <t>ИП6607007439</t>
  </si>
  <si>
    <t>ИП660700743900000</t>
  </si>
  <si>
    <t>624300 Свердловская область город Кушва улица Союзов дом 12</t>
  </si>
  <si>
    <t>ИП660700743900001</t>
  </si>
  <si>
    <t>623300 Свердловская область город Красноуфимск улица Советская дом 37</t>
  </si>
  <si>
    <t>ИП Филиппова Татьяна Ивановна</t>
  </si>
  <si>
    <t>661900057581</t>
  </si>
  <si>
    <t>ИП6607006287</t>
  </si>
  <si>
    <t>ИП660700628700000</t>
  </si>
  <si>
    <t>623300 Свердловская область город Красноуфимск улица Советская дом 40</t>
  </si>
  <si>
    <t>ИП Куликовская Светлана Александровна</t>
  </si>
  <si>
    <t>661900088220</t>
  </si>
  <si>
    <t>ИП6607011371</t>
  </si>
  <si>
    <t>ИП660701137100000</t>
  </si>
  <si>
    <t>623300 Свердловская область город Красноуфимск улица Советская дом 18а</t>
  </si>
  <si>
    <t>ИП Шанина Римма Исрафиловна</t>
  </si>
  <si>
    <t>661900148197</t>
  </si>
  <si>
    <t>ИП6607011144</t>
  </si>
  <si>
    <t>ИП660701114400000</t>
  </si>
  <si>
    <t>623300 Свердловская область город Красноуфимск улица Интернациональная дом 102   кв. 3</t>
  </si>
  <si>
    <t>ИП Вилижанина Марина Владимировна</t>
  </si>
  <si>
    <t>661900211642</t>
  </si>
  <si>
    <t>ИП6607014121</t>
  </si>
  <si>
    <t>ИП660701412100000</t>
  </si>
  <si>
    <t>623300 Свердловская область город Красноуфимск улица Советская дом 49</t>
  </si>
  <si>
    <t>ИП Сидорова Любовь Александровна</t>
  </si>
  <si>
    <t>661900252712</t>
  </si>
  <si>
    <t>ИП6607008824</t>
  </si>
  <si>
    <t>ИП660700882400000</t>
  </si>
  <si>
    <t>623300 Свердловская область город Красноуфимск улица Ухтомского дом 35   помещение № 32</t>
  </si>
  <si>
    <t>6619016945</t>
  </si>
  <si>
    <t>ЮЛ6607011312</t>
  </si>
  <si>
    <t>ЮЛ660701131200000</t>
  </si>
  <si>
    <t>620014 Свердловская область город Екатеринбург улица Радищева дом 25   нежилые помещения 66-69</t>
  </si>
  <si>
    <t>ИП Баталова Оксана Евгеньевна</t>
  </si>
  <si>
    <t>661903086326</t>
  </si>
  <si>
    <t>ИП6607014007</t>
  </si>
  <si>
    <t>ИП660701400700000</t>
  </si>
  <si>
    <t>620014 Свердловская область город Екатеринбург улица Радищева дом 25   пом 66-69</t>
  </si>
  <si>
    <t>ИП Змеев Михаил Сергеевич</t>
  </si>
  <si>
    <t>661905890204</t>
  </si>
  <si>
    <t>ИП6607039696</t>
  </si>
  <si>
    <t>ИП660703969600000</t>
  </si>
  <si>
    <t>620085 Свердловская область город Екатеринбург улица Монтерская сооружение 3 Корпус А Литер 67 Нежилое помещение 236</t>
  </si>
  <si>
    <t>ИП Соколова Екатерина Александровна</t>
  </si>
  <si>
    <t>662101525066</t>
  </si>
  <si>
    <t>ИП6607039845</t>
  </si>
  <si>
    <t>ИП660703984500000</t>
  </si>
  <si>
    <t>624140 Свердловская область город Кировград улица Свердлова Дом 66   помещение 41-45</t>
  </si>
  <si>
    <t>662101780852</t>
  </si>
  <si>
    <t>ИП6607008800</t>
  </si>
  <si>
    <t>ИП660700880000001</t>
  </si>
  <si>
    <t>624194 Свердловская область город Невьянск улица Ленина Дом 21   помещение 111</t>
  </si>
  <si>
    <t>ИП660700880000002</t>
  </si>
  <si>
    <t>623700 Свердловская область город Березовский улица  Театральная Дом 28   квартира 2</t>
  </si>
  <si>
    <t>ИП660700880000005</t>
  </si>
  <si>
    <t>624191 Свердловская область город Невьянск Ленина 21   113</t>
  </si>
  <si>
    <t>ИП660700880000006</t>
  </si>
  <si>
    <t>622034 Свердловская область город Нижний Тагил проспект Ленина дом 61</t>
  </si>
  <si>
    <t>ИП Ларионова Елена Ивановна</t>
  </si>
  <si>
    <t>662300248628</t>
  </si>
  <si>
    <t>ИП6607000298</t>
  </si>
  <si>
    <t>ИП660700029800000</t>
  </si>
  <si>
    <t>620014 Свердловская область город Екатеринбург улица Радищева строение 41   помещение 91</t>
  </si>
  <si>
    <t>ИП Медюха Дмитрий Иванович</t>
  </si>
  <si>
    <t>662301660707</t>
  </si>
  <si>
    <t>ИП6607001882</t>
  </si>
  <si>
    <t>ИП660700188200000</t>
  </si>
  <si>
    <t>622052 Свердловская область город Нижний Тагил улица Зари дом 15</t>
  </si>
  <si>
    <t>ИП Мамадалиева Ольга Александровна</t>
  </si>
  <si>
    <t>662304865928</t>
  </si>
  <si>
    <t>ИП6607014209</t>
  </si>
  <si>
    <t>ИП660701420900000</t>
  </si>
  <si>
    <t>622018 Свердловская область город Нижний Тагил Улица Юности дом 16</t>
  </si>
  <si>
    <t>ИП660701420900001</t>
  </si>
  <si>
    <t>622049 Свердловская область город Нижний Тагил проспект Октябрьский дом 8</t>
  </si>
  <si>
    <t>ООО "ЛОМБАРД САМОЦВЕТ"</t>
  </si>
  <si>
    <t>6623050681</t>
  </si>
  <si>
    <t>ЮЛ6607001128</t>
  </si>
  <si>
    <t>ЮЛ660700112800000</t>
  </si>
  <si>
    <t>622042 Свердловская область город Нижний Тагил улица Пархоменко дом 132</t>
  </si>
  <si>
    <t>ЮЛ660700112800001</t>
  </si>
  <si>
    <t>622002 Свердловская область город Нижний Тагил улица Фрунзе дом 32</t>
  </si>
  <si>
    <t>ЮЛ660700112800002</t>
  </si>
  <si>
    <t>622001 Свердловская область Нижний Тагил проспект Ленина 22   часть нежилого помещения  № 21</t>
  </si>
  <si>
    <t>ИП Заболотных Лариса Петровна</t>
  </si>
  <si>
    <t>662306022176</t>
  </si>
  <si>
    <t>ИП6607010343</t>
  </si>
  <si>
    <t>ИП660701034300000</t>
  </si>
  <si>
    <t>622001 Свердловская область город Нижний Тагил улица Ломоносова  дом 50А</t>
  </si>
  <si>
    <t>ИП Романов Николай Александрович</t>
  </si>
  <si>
    <t>662316619846</t>
  </si>
  <si>
    <t>ИП6607000040</t>
  </si>
  <si>
    <t>ИП660700004000000</t>
  </si>
  <si>
    <t>622034 Свердловская область город Нижний Тагил проспект Строителей  дом 24</t>
  </si>
  <si>
    <t>ИП Черемных Светлана Валерьевна</t>
  </si>
  <si>
    <t>662329928760</t>
  </si>
  <si>
    <t>ИП6607012280</t>
  </si>
  <si>
    <t>ИП660701228000000</t>
  </si>
  <si>
    <t>622016 Свердловская область город Нижний Тагил улица Красноармейская дом 151</t>
  </si>
  <si>
    <t>ИП660701228000002</t>
  </si>
  <si>
    <t>622015 Свердловская область город Нижний Тагил шоссе Свердловское строение 31б</t>
  </si>
  <si>
    <t>ИП Устюгова Екатерина Геннадьевна</t>
  </si>
  <si>
    <t>662332360083</t>
  </si>
  <si>
    <t>ИП6607014878</t>
  </si>
  <si>
    <t>ИП660701487800000</t>
  </si>
  <si>
    <t>622000 Свердловская область город Нижний Тагил Пархоменко 41   30</t>
  </si>
  <si>
    <t>ИП660701487800004</t>
  </si>
  <si>
    <t>622016 Свердловская область город Нижний Тагил улица Космонавтов дом 29</t>
  </si>
  <si>
    <t>ИП Криницын Олег Валерьевич</t>
  </si>
  <si>
    <t>662335117440</t>
  </si>
  <si>
    <t>ИП6607000308</t>
  </si>
  <si>
    <t>ИП660700030800000</t>
  </si>
  <si>
    <t>622048 Свердловская область город Нижний Тагил улица Зари дом 20</t>
  </si>
  <si>
    <t>ИП660700030800001</t>
  </si>
  <si>
    <t>622005 Свердловская область город Нижний Тагил улица Металлургов дом 38</t>
  </si>
  <si>
    <t>ИП660700030800003</t>
  </si>
  <si>
    <t>620000 Свердловская область город Екатеринбург улица Малышева дом 51   офис 44/14</t>
  </si>
  <si>
    <t>ИП Форостин Александр Евгеньевич</t>
  </si>
  <si>
    <t>662343331704</t>
  </si>
  <si>
    <t>ИП6607034997</t>
  </si>
  <si>
    <t>ИП660703499700000</t>
  </si>
  <si>
    <t>622007 Свердловская область город Нижний Тагил проспект Вагоностроителей строение 26а   107</t>
  </si>
  <si>
    <t>ИП Щукина Наталья Евгеньевна</t>
  </si>
  <si>
    <t>662345518137</t>
  </si>
  <si>
    <t>ИП6607010094</t>
  </si>
  <si>
    <t>ИП660701009400000</t>
  </si>
  <si>
    <t>623100 Свердловская область город Первоуральск улица Ватутина Дом 46   нежилые помещения №№1-13</t>
  </si>
  <si>
    <t>ИП Михайлов Валерий Георгиевич</t>
  </si>
  <si>
    <t>662501085500</t>
  </si>
  <si>
    <t>ИП6607000340</t>
  </si>
  <si>
    <t>ИП660700034000000</t>
  </si>
  <si>
    <t>623100 Свердловская область город Первоуральск улица Ленина дом 15  А помещения №№ 1-16</t>
  </si>
  <si>
    <t>ИП Гольденберг Олег Гершевич</t>
  </si>
  <si>
    <t>662501089449</t>
  </si>
  <si>
    <t>ИП6607000920</t>
  </si>
  <si>
    <t>ИП660700092000000</t>
  </si>
  <si>
    <t>623100 Свердловская область город Первоуральск улица Ватутина дом 30   цокольный этаж, №№ 40-52</t>
  </si>
  <si>
    <t>ИП660700092000001</t>
  </si>
  <si>
    <t>620142 Свердловская область город Екатеринбург улица Щорса дом 29   нежилое помещения - № 13</t>
  </si>
  <si>
    <t>ИП САГАЛЬ Г. Д.</t>
  </si>
  <si>
    <t>662504531305</t>
  </si>
  <si>
    <t>ИП6607036751</t>
  </si>
  <si>
    <t>ИП660703675100000</t>
  </si>
  <si>
    <t>623104 Свердловская область город Первоуральск улица Ватутина дом 32</t>
  </si>
  <si>
    <t>ИП Справцева Екатерина Сергеевна</t>
  </si>
  <si>
    <t>662508396706</t>
  </si>
  <si>
    <t>ИП6607004184</t>
  </si>
  <si>
    <t>ИП660700418400000</t>
  </si>
  <si>
    <t>623101 Свердловская область город Первоуральск улица Ватутина дом 44/12  литер А нежилое помещение № 1-6</t>
  </si>
  <si>
    <t>ИП Михайлова Ксения Павловна</t>
  </si>
  <si>
    <t>662519752730</t>
  </si>
  <si>
    <t>ИП6607036426</t>
  </si>
  <si>
    <t>ИП660703642600000</t>
  </si>
  <si>
    <t>620142 Свердловская область город Екатеринбург улица Щорса строение 7  Литера Р1 Помещение 12, 7 этаж</t>
  </si>
  <si>
    <t>ИП Иванцова Елена Вячеславовна</t>
  </si>
  <si>
    <t>662607158501</t>
  </si>
  <si>
    <t>ИП6607001348</t>
  </si>
  <si>
    <t>ИП660700134800000</t>
  </si>
  <si>
    <t>623280 Свердловская область город Ревда улица Чайковского дом 33   помещение 22-27</t>
  </si>
  <si>
    <t>ИП Гафурова Елена Ивановна</t>
  </si>
  <si>
    <t>662703130749</t>
  </si>
  <si>
    <t>ИП6607006862</t>
  </si>
  <si>
    <t>ИП660700686200000</t>
  </si>
  <si>
    <t>623270 Свердловская область город Дегтярск улица Калинина дом 31 У</t>
  </si>
  <si>
    <t>ИП660700686200001</t>
  </si>
  <si>
    <t>623280 Свердловская область город Ревда Российская 21</t>
  </si>
  <si>
    <t>ИП660700686200003</t>
  </si>
  <si>
    <t>623286 Свердловская область город Ревда улица Чехова дом 22   литера А, а1 помещения №№13-17</t>
  </si>
  <si>
    <t>ИП Седельникова Валентина Викторовна</t>
  </si>
  <si>
    <t>662705454202</t>
  </si>
  <si>
    <t>ИП6607017103</t>
  </si>
  <si>
    <t>ИП660701710300000</t>
  </si>
  <si>
    <t>623750 Свердловская область город Реж улица Советская дом 2</t>
  </si>
  <si>
    <t>ИП Кашфуллин Руслан Ангамович</t>
  </si>
  <si>
    <t>662800082000</t>
  </si>
  <si>
    <t>ИП6607018319</t>
  </si>
  <si>
    <t>ИП660701831900000</t>
  </si>
  <si>
    <t>623751 Свердловская область город Реж улица Калинина дом 29   нежилые помещения 1-6</t>
  </si>
  <si>
    <t>ИП Гончаров Игорь Юрьевич</t>
  </si>
  <si>
    <t>662800104494</t>
  </si>
  <si>
    <t>ИП6607031292</t>
  </si>
  <si>
    <t>ИП660703129200000</t>
  </si>
  <si>
    <t>623752 Свердловская область город Реж улица Металлургов дом 5   МАГАЗИН "ИЗУМРУД"</t>
  </si>
  <si>
    <t>6628011407</t>
  </si>
  <si>
    <t>ЮЛ6607007393</t>
  </si>
  <si>
    <t>ЮЛ660700739300000</t>
  </si>
  <si>
    <t>623785 Свердловская область город Артемовский улица Почтовая дом 4</t>
  </si>
  <si>
    <t>ЮЛ660700739300002</t>
  </si>
  <si>
    <t>620102 Свердловская область город Екатеринбург улица Белореченская дом 28</t>
  </si>
  <si>
    <t>ЮЛ660700739300003</t>
  </si>
  <si>
    <t>623750 Свердловская область город Реж улица Ленина дом 5</t>
  </si>
  <si>
    <t>ИП Мелкозерова Дарья Андреевна</t>
  </si>
  <si>
    <t>662804734151</t>
  </si>
  <si>
    <t>ИП6607031908</t>
  </si>
  <si>
    <t>ИП660703190800000</t>
  </si>
  <si>
    <t>620085 Свердловская область город Екатеринбург улица Санаторная дом 1   секция № 3/холл</t>
  </si>
  <si>
    <t>ИП Шигаева Анастасия Андреевна</t>
  </si>
  <si>
    <t>662843902949</t>
  </si>
  <si>
    <t>ИП6607031910</t>
  </si>
  <si>
    <t>ИП660703191000000</t>
  </si>
  <si>
    <t>624130 Свердловская область город Новоуральск улица Комсомольская дом 5</t>
  </si>
  <si>
    <t>ИП Чащина Елена Сергеевна</t>
  </si>
  <si>
    <t>662900040999</t>
  </si>
  <si>
    <t>ИП6607020228</t>
  </si>
  <si>
    <t>ИП660702022800000</t>
  </si>
  <si>
    <t>624200 Свердловская область город Лесной улица Ленина дом 64</t>
  </si>
  <si>
    <t>ИП Чаповский Сергей Владимирович</t>
  </si>
  <si>
    <t>663000074475</t>
  </si>
  <si>
    <t>ИП6607005031</t>
  </si>
  <si>
    <t>ИП660700503100000</t>
  </si>
  <si>
    <t>624200 Свердловская область город Лесной улица Ленина дом 33   помещение 7</t>
  </si>
  <si>
    <t>ИП Волошина Наталья Павловна</t>
  </si>
  <si>
    <t>663002716505</t>
  </si>
  <si>
    <t>ИП6607000649</t>
  </si>
  <si>
    <t>ИП660700064900000</t>
  </si>
  <si>
    <t>624205 Свердловская область город Лесной улица Ленина дом 80</t>
  </si>
  <si>
    <t>ИП Кудрина Юлия Станиславовна</t>
  </si>
  <si>
    <t>663004198104</t>
  </si>
  <si>
    <t>ИП6607008695</t>
  </si>
  <si>
    <t>ИП660700869500000</t>
  </si>
  <si>
    <t>624200 Свердловская область город Лесной улица Ленина дом 84   6</t>
  </si>
  <si>
    <t>ИП Попова Ольга Николаевна</t>
  </si>
  <si>
    <t>663004485540</t>
  </si>
  <si>
    <t>ИП6607003955</t>
  </si>
  <si>
    <t>ИП660700395500000</t>
  </si>
  <si>
    <t>624220 Свердловская область город Нижняя Тура улица 40 лет Октября дом 14</t>
  </si>
  <si>
    <t>ИП660700395500001</t>
  </si>
  <si>
    <t>624980 Свердловская область город Серов улица Заславского дом 24/153     нежилое помещение № 2</t>
  </si>
  <si>
    <t>ООО "БЛИЦ"</t>
  </si>
  <si>
    <t>6632004924</t>
  </si>
  <si>
    <t>ЮЛ6607006898</t>
  </si>
  <si>
    <t>ЮЛ660700689800000</t>
  </si>
  <si>
    <t>624981 Свердловская область город Серов улица Ленина дом 146   часть помещения № 1</t>
  </si>
  <si>
    <t>ИП Колесникова Марина Юрьевна</t>
  </si>
  <si>
    <t>663201940406</t>
  </si>
  <si>
    <t>ИП6607007152</t>
  </si>
  <si>
    <t>ИП660700715200000</t>
  </si>
  <si>
    <t>624992 Свердловская область город Серов улица Ленина дом 136А</t>
  </si>
  <si>
    <t>ИП Русских Александр Владимирович</t>
  </si>
  <si>
    <t>663202787800</t>
  </si>
  <si>
    <t>ИП6607006269</t>
  </si>
  <si>
    <t>ИП660700626900000</t>
  </si>
  <si>
    <t>624205 Свердловская область город Лесной улица Фрунзе дом 12</t>
  </si>
  <si>
    <t>ИП660700626900001</t>
  </si>
  <si>
    <t>624447 Свердловская область город Краснотурьинск улица Карла Маркса дом 26</t>
  </si>
  <si>
    <t>ИП660700626900002</t>
  </si>
  <si>
    <t>624993 Свердловская область город Серов улица Карла Маркса дом 30</t>
  </si>
  <si>
    <t>ИП660700626900003</t>
  </si>
  <si>
    <t>624936 Свердловская область город Карпинск улица Мира дом 81</t>
  </si>
  <si>
    <t>ИП660700626900004</t>
  </si>
  <si>
    <t>624486 Свердловская область город Североуральск улица Октябрьская дом 33   квартира 53</t>
  </si>
  <si>
    <t>ИП660700626900008</t>
  </si>
  <si>
    <t>624800 Свердловская область город Сухой Лог улица Горького дом 12</t>
  </si>
  <si>
    <t>ИП Абакумова ФА</t>
  </si>
  <si>
    <t>663300071877</t>
  </si>
  <si>
    <t>ИП6607000964</t>
  </si>
  <si>
    <t>ИП660700096400000</t>
  </si>
  <si>
    <t>623530 Свердловская область город Богданович улица Партизанская дом 28   нежилое помещение №83</t>
  </si>
  <si>
    <t>ИП660700096400002</t>
  </si>
  <si>
    <t>624800 Свердловская область город Сухой Лог улица Октябрьская дом 14   помещение 28</t>
  </si>
  <si>
    <t>ИП Абраменко Эдуард Валерьевич</t>
  </si>
  <si>
    <t>663301362318</t>
  </si>
  <si>
    <t>ИП6607005967</t>
  </si>
  <si>
    <t>ИП660700596700000</t>
  </si>
  <si>
    <t>623530 Свердловская область город Богданович улица Партизанская дом 20   помещение 46</t>
  </si>
  <si>
    <t>ИП660700596700001</t>
  </si>
  <si>
    <t>624800 Свердловская область город Сухой Лог улица Белинского дом 56   помещение 16 н</t>
  </si>
  <si>
    <t>ИП Рябцев Антон Сергеевич</t>
  </si>
  <si>
    <t>663303830610</t>
  </si>
  <si>
    <t>ИП6607017927</t>
  </si>
  <si>
    <t>ИП660701792700000</t>
  </si>
  <si>
    <t>623950 Свердловская область город Тавда улица Ленина дом 77   неж.помещение 3</t>
  </si>
  <si>
    <t>ИП Караваева Елена Николаевна</t>
  </si>
  <si>
    <t>663401620869</t>
  </si>
  <si>
    <t>ИП6607002719</t>
  </si>
  <si>
    <t>ИП660700271900000</t>
  </si>
  <si>
    <t>623950 Свердловская область город Тавда улица 9 Мая дом 1   нежилое помещение №58 часть 2</t>
  </si>
  <si>
    <t>ИП Воробьев Сергей Григорьевич</t>
  </si>
  <si>
    <t>663402817032</t>
  </si>
  <si>
    <t>ИП6607032337</t>
  </si>
  <si>
    <t>ИП660703233700000</t>
  </si>
  <si>
    <t>623340 Свердловская область поселок городского типа Арти улица Рабочей Молодежи дом 94   3В</t>
  </si>
  <si>
    <t>ИП Шулепова Лилиана Геннадьевна</t>
  </si>
  <si>
    <t>663600201608</t>
  </si>
  <si>
    <t>ИП6607036591</t>
  </si>
  <si>
    <t>ИП660703659100000</t>
  </si>
  <si>
    <t>623340 Свердловская область поселок городского типа Арти Ленина 75</t>
  </si>
  <si>
    <t>ИП660703659100002</t>
  </si>
  <si>
    <t>623340 Свердловская область поселок городского типа Арти улица Ленина дом 75</t>
  </si>
  <si>
    <t>ИП Еремеева Елена Геннадьевна</t>
  </si>
  <si>
    <t>663600983680</t>
  </si>
  <si>
    <t>ИП6607039813</t>
  </si>
  <si>
    <t>ИП660703981300000</t>
  </si>
  <si>
    <t>624003 Свердловская область город Арамиль улица Текстильщиков дом 3-А   Помещение 29</t>
  </si>
  <si>
    <t>ИП Шалкиев Виктор Николаевич</t>
  </si>
  <si>
    <t>663601191134</t>
  </si>
  <si>
    <t>ИП6607005061</t>
  </si>
  <si>
    <t>ИП660700506100000</t>
  </si>
  <si>
    <t>623340 Свердловская область поселок городского типа Арти улица Рабочей Молодежи дом 54</t>
  </si>
  <si>
    <t>ИП Стахеева Екатерина Александровна</t>
  </si>
  <si>
    <t>663603139394</t>
  </si>
  <si>
    <t>ИП6607036602</t>
  </si>
  <si>
    <t>ИП660703660200000</t>
  </si>
  <si>
    <t>620014 Свердловская область город Екатеринбург улица Вайнера дом 9 А</t>
  </si>
  <si>
    <t>ИП Кузнецов Алексей Олегович</t>
  </si>
  <si>
    <t>663903780344</t>
  </si>
  <si>
    <t>ИП6607033971</t>
  </si>
  <si>
    <t>ИП660703397100000</t>
  </si>
  <si>
    <t>624250 Свердловская область город Заречный Уральская 31  А</t>
  </si>
  <si>
    <t>ИП Сафонова Дарья Сергеевна</t>
  </si>
  <si>
    <t>663905789180</t>
  </si>
  <si>
    <t>ИП6607036725</t>
  </si>
  <si>
    <t>ИП660703672500000</t>
  </si>
  <si>
    <t>624380 Свердловская область город Верхотурье улица Ершова дом 16   Помещение 10</t>
  </si>
  <si>
    <t>ИП Анциферов Олег Геннадьевич</t>
  </si>
  <si>
    <t>664000031321</t>
  </si>
  <si>
    <t>ИП6607010530</t>
  </si>
  <si>
    <t>ИП660701053000000</t>
  </si>
  <si>
    <t>624380 Свердловская область город Верхотурье улица Ершова дом 14</t>
  </si>
  <si>
    <t>ИП Глазунова Ульяна Игоревна</t>
  </si>
  <si>
    <t>664000532399</t>
  </si>
  <si>
    <t>ИП6607033361</t>
  </si>
  <si>
    <t>ИП660703336100000</t>
  </si>
  <si>
    <t>623300 Свердловская область город Красноуфимск улица Рогозинниковых дом 35</t>
  </si>
  <si>
    <t>ИП Васильев Владимир Анатольевич</t>
  </si>
  <si>
    <t>664500023671</t>
  </si>
  <si>
    <t>ИП6607008738</t>
  </si>
  <si>
    <t>ИП660700873800000</t>
  </si>
  <si>
    <t>623080 Свердловская область город Михайловск улица Кирова дом 46   помещение №1</t>
  </si>
  <si>
    <t>ИП Бурсина Нина Валентиновна</t>
  </si>
  <si>
    <t>664600097959</t>
  </si>
  <si>
    <t>ИП6607009548</t>
  </si>
  <si>
    <t>ИП660700954800000</t>
  </si>
  <si>
    <t>623080 Свердловская область город Михайловск улица Кирова здание 33А</t>
  </si>
  <si>
    <t>ИП Еловских Валерия Михайловна</t>
  </si>
  <si>
    <t>664601741710</t>
  </si>
  <si>
    <t>ИП6607032967</t>
  </si>
  <si>
    <t>ИП660703296700000</t>
  </si>
  <si>
    <t>623090 Свердловская область город Нижние Серги улица Ленина дом 23</t>
  </si>
  <si>
    <t>ИП Камалов Богдан Маратович</t>
  </si>
  <si>
    <t>664605861906</t>
  </si>
  <si>
    <t>ИП6607033117</t>
  </si>
  <si>
    <t>ИП660703311700000</t>
  </si>
  <si>
    <t>622051 Свердловская область город Нижний Тагил проспект Дзержинского дом 54   офис 1</t>
  </si>
  <si>
    <t>6648008240</t>
  </si>
  <si>
    <t>ЮЛ6607015948</t>
  </si>
  <si>
    <t>ЮЛ660701594800000</t>
  </si>
  <si>
    <t>624021 Свердловская область город Сысерть улица Орджоникидзе дом 54-А</t>
  </si>
  <si>
    <t>ИП Гребенщиков Юрий Алексеевич</t>
  </si>
  <si>
    <t>665200057664</t>
  </si>
  <si>
    <t>ИП6607008669</t>
  </si>
  <si>
    <t>ИП660700866900000</t>
  </si>
  <si>
    <t>620025 Свердловская область город Екатеринбург улица Бахчиванджи дом 1</t>
  </si>
  <si>
    <t>ИП Равепов Эдуард Раифович</t>
  </si>
  <si>
    <t>665200968762</t>
  </si>
  <si>
    <t>ИП6607007437</t>
  </si>
  <si>
    <t>ИП660700743700000</t>
  </si>
  <si>
    <t>624003 Свердловская область город Арамиль улица 1 Мая дом 10</t>
  </si>
  <si>
    <t>ИП Степанова Дина Раифовна</t>
  </si>
  <si>
    <t>665200969572</t>
  </si>
  <si>
    <t>ИП6607001761</t>
  </si>
  <si>
    <t>ИП660700176100000</t>
  </si>
  <si>
    <t>624003 Свердловская область город Арамиль улица 1 Мая дом 37</t>
  </si>
  <si>
    <t>ИП Зяпаева Надежда Владимировна</t>
  </si>
  <si>
    <t>665207184929</t>
  </si>
  <si>
    <t>ИП6607007414</t>
  </si>
  <si>
    <t>ИП660700741400000</t>
  </si>
  <si>
    <t>623640 Свердловская область город Талица улица Васильева дом 1 корпус В</t>
  </si>
  <si>
    <t>ООО "ЛЮКС"</t>
  </si>
  <si>
    <t>6654001130</t>
  </si>
  <si>
    <t>ЮЛ6607003601</t>
  </si>
  <si>
    <t>ЮЛ660700360100000</t>
  </si>
  <si>
    <t>623640 Свердловская область город Талица улица Луначарского дом 69   помещение 16</t>
  </si>
  <si>
    <t>ИП Занина Ирина Владимировна</t>
  </si>
  <si>
    <t>665404386628</t>
  </si>
  <si>
    <t>ИП6607010517</t>
  </si>
  <si>
    <t>ИП660701051700000</t>
  </si>
  <si>
    <t>620026 Свердловская область город Екатеринбург улица Бажова дом 193   офис 800</t>
  </si>
  <si>
    <t>ИП Шишкин Алексей Владимирович</t>
  </si>
  <si>
    <t>665800608673</t>
  </si>
  <si>
    <t>ИП6607000033</t>
  </si>
  <si>
    <t>ИП660700003300000</t>
  </si>
  <si>
    <t>620017 Свердловская область город Екатеринбург проспект Космонавтов дом 18  литер Л</t>
  </si>
  <si>
    <t>ИП Клименко Виктор Валерьевич</t>
  </si>
  <si>
    <t>665800763774</t>
  </si>
  <si>
    <t>ИП6607002417</t>
  </si>
  <si>
    <t>ИП660700241700000</t>
  </si>
  <si>
    <t>620075 Свердловская область город Екатеринбург проспект Ленина дом 50   118</t>
  </si>
  <si>
    <t>ИП Чибатков Сергей Геннадьевич</t>
  </si>
  <si>
    <t>665811561603</t>
  </si>
  <si>
    <t>ИП6607000886</t>
  </si>
  <si>
    <t>ИП660700088600000</t>
  </si>
  <si>
    <t>623704 Свердловская область город Берёзовский улица Академика Королёва дом 8а   помещение №2</t>
  </si>
  <si>
    <t>ИП660700088600001</t>
  </si>
  <si>
    <t>620000 Свердловская область г Екатеринбург ул Бориса Ельцина  стр. 3/2  помещ. 1205</t>
  </si>
  <si>
    <t>ООО "ГК "МДМ"</t>
  </si>
  <si>
    <t>6658422098</t>
  </si>
  <si>
    <t>ЮЛ6607000034</t>
  </si>
  <si>
    <t>ЮЛ660700003400000</t>
  </si>
  <si>
    <t>620014 Свердловская область город Екатеринбург улица Хохрякова дом 74   помещение 362-366, 370, 371, 376-379</t>
  </si>
  <si>
    <t>ООО "РУСПЕРЛС"</t>
  </si>
  <si>
    <t>6658453794</t>
  </si>
  <si>
    <t>ЮЛ6607009505</t>
  </si>
  <si>
    <t>ЮЛ660700950500000</t>
  </si>
  <si>
    <t>620075 Свердловская область город Екатеринбург улица Малышева дом 71   40</t>
  </si>
  <si>
    <t>ООО "АЗИЯ СТ 71"</t>
  </si>
  <si>
    <t>6658474949</t>
  </si>
  <si>
    <t>ЮЛ6607040709</t>
  </si>
  <si>
    <t>ЮЛ660704070900000</t>
  </si>
  <si>
    <t>624250 Свердловская область город Заречный улица Ленинградская дом 10</t>
  </si>
  <si>
    <t>ООО "ЛОМБАРД УРАЛГОЛД"</t>
  </si>
  <si>
    <t>6658475149</t>
  </si>
  <si>
    <t>ЮЛ6607017188</t>
  </si>
  <si>
    <t>ЮЛ660701718800000</t>
  </si>
  <si>
    <t>620026 Свердловская область город Екатеринбург улица Луначарского дом 194   Офис 405</t>
  </si>
  <si>
    <t>6658480558</t>
  </si>
  <si>
    <t>ЮЛ6607006346</t>
  </si>
  <si>
    <t>ЮЛ660700634600000</t>
  </si>
  <si>
    <t>620075 Свердловская область город Екатеринбург улица Малышева дом 71</t>
  </si>
  <si>
    <t>ООО "ОПЕН МАРКЕТ"</t>
  </si>
  <si>
    <t>6658488765</t>
  </si>
  <si>
    <t>ЮЛ6607032788</t>
  </si>
  <si>
    <t>ЮЛ660703278800000</t>
  </si>
  <si>
    <t>620014 Свердловская область город Екатеринбург улица Попова дом 1   кабинет 1</t>
  </si>
  <si>
    <t>ООО "АРТЕФАКТ"</t>
  </si>
  <si>
    <t>6658501367</t>
  </si>
  <si>
    <t>ЮЛ6607001207</t>
  </si>
  <si>
    <t>ЮЛ660700120700000</t>
  </si>
  <si>
    <t>620142 Свердловская область город Екатеринбург улица Щорса  7  Помещение №22</t>
  </si>
  <si>
    <t>ЮЛ660700213800000</t>
  </si>
  <si>
    <t>620014 Свердловская область город Екатеринбург улица Хохрякова дом 43</t>
  </si>
  <si>
    <t>ЮЛ660700213800005</t>
  </si>
  <si>
    <t>620014 Свердловская область Город Екатеринбург Улица Малышева Дом 21/4  Литер Е помещение №1-7, 1-3</t>
  </si>
  <si>
    <t>ООО "АВГУСТ ЕКАТЕРИНБУРГ"</t>
  </si>
  <si>
    <t>6658550501</t>
  </si>
  <si>
    <t>ЮЛ6607001863</t>
  </si>
  <si>
    <t>ЮЛ660700186300000</t>
  </si>
  <si>
    <t>620014 Свердловская область город Екатеринбург улица Хохрякова дом 74   офис 366,370</t>
  </si>
  <si>
    <t>ООО "РУССТАЙЛ"</t>
  </si>
  <si>
    <t>6658572216</t>
  </si>
  <si>
    <t>ЮЛ6607039418</t>
  </si>
  <si>
    <t>ЮЛ660703941800000</t>
  </si>
  <si>
    <t>620028 Свердловская область город Екатеринбург улица Крылова дом 26   помещение 10</t>
  </si>
  <si>
    <t>ООО "УРАЛЗОЛОТО"</t>
  </si>
  <si>
    <t>6658573001</t>
  </si>
  <si>
    <t>ЮЛ6607036983</t>
  </si>
  <si>
    <t>ЮЛ660703698300000</t>
  </si>
  <si>
    <t>620014 Свердловская область город Екатеринбург улица Хохрякова дом 74   офис 101</t>
  </si>
  <si>
    <t>ИП Ломакин Игорь Васильевич</t>
  </si>
  <si>
    <t>665897818706</t>
  </si>
  <si>
    <t>ИП6607011585</t>
  </si>
  <si>
    <t>ИП660701158500000</t>
  </si>
  <si>
    <t>620075 Свердловская область город Екатеринбург улица Толмачева/улица Малышева дом 2/дом 43   помещения № 8-10</t>
  </si>
  <si>
    <t>ИП Кувалдина Наталья Антоновна</t>
  </si>
  <si>
    <t>665899518507</t>
  </si>
  <si>
    <t>ИП6607007159</t>
  </si>
  <si>
    <t>ИП660700715900000</t>
  </si>
  <si>
    <t>620014 Свердловская область город Екатеринбург улица 8 Марта дом 46   нежилое помещение № 26 (модуль B22)</t>
  </si>
  <si>
    <t>ИП Старостин Сергей Васильевич</t>
  </si>
  <si>
    <t>665900237831</t>
  </si>
  <si>
    <t>ИП6607038184</t>
  </si>
  <si>
    <t>ИП660703818400000</t>
  </si>
  <si>
    <t>620014 Свердловская область город Екатеринбург улица Хохрякова дом 72  А 1 этаж, помещения 18-21</t>
  </si>
  <si>
    <t>ИП Абакумова Наталья Викторовна</t>
  </si>
  <si>
    <t>665902581501</t>
  </si>
  <si>
    <t>ИП6607000707</t>
  </si>
  <si>
    <t>ИП660700070700000</t>
  </si>
  <si>
    <t>620075 Свердловская область город Екатеринбург улица Белинского дом 8/10 строение А  помещения №16-23</t>
  </si>
  <si>
    <t>6659042229</t>
  </si>
  <si>
    <t>ЮЛ6607008924</t>
  </si>
  <si>
    <t>ЮЛ660700892400000</t>
  </si>
  <si>
    <t>620041 Свердловская область город Екатеринбург улица Уральская дом 68 корпус 1</t>
  </si>
  <si>
    <t>ЮЛ660700892400006</t>
  </si>
  <si>
    <t>620041 Свердловская область город Екатеринбург улица Уральская стр. 59в   помещение 12-24</t>
  </si>
  <si>
    <t>ООО "ЮВЕЛИРУРАЛПРОМ"</t>
  </si>
  <si>
    <t>6659050396</t>
  </si>
  <si>
    <t>ЮЛ6607013366</t>
  </si>
  <si>
    <t>ЮЛ660701336600000</t>
  </si>
  <si>
    <t>620043 Свердловская область город Екатеринбург улица Репина дом 94   часть нежилого помещения 436</t>
  </si>
  <si>
    <t>ЮЛ660701336600002</t>
  </si>
  <si>
    <t>620073 Свердловская область город Екатеринбург улица Академика Шварца дом 17   павильон-модуль 17_14</t>
  </si>
  <si>
    <t>ЮЛ660701336600006</t>
  </si>
  <si>
    <t>620034 Свердловская область город Екатеринбург улица Халтурина дом 55  Литер А помещение 72</t>
  </si>
  <si>
    <t>ЮЛ660701336600007</t>
  </si>
  <si>
    <t>620141 Свердловская область город Екатеринбург улица Пехотинцев дом 5</t>
  </si>
  <si>
    <t>ЮЛ660701336600010</t>
  </si>
  <si>
    <t>620058 Свердловская область город Екатеринбург проспект Космонавтов строение 108д   помещение 131</t>
  </si>
  <si>
    <t>ЮЛ660701336600013</t>
  </si>
  <si>
    <t>620043 Свердловская область город Екатеринбург улица Металлургов дом 87   помещение 3048s</t>
  </si>
  <si>
    <t>ЮЛ660701336600014</t>
  </si>
  <si>
    <t>620075 Свердловская область город Екатеринбург улица Малышева Дом 56   Помещения 29,30,53</t>
  </si>
  <si>
    <t>ООО "РИНГО ИНТЕРНЭШНЛ"</t>
  </si>
  <si>
    <t>6659121086</t>
  </si>
  <si>
    <t>ЮЛ6607030902</t>
  </si>
  <si>
    <t>ЮЛ660703090200000</t>
  </si>
  <si>
    <t>620142 Свердловская область город Екатеринбург улица Щорса строение 7  литер Р1 НП №12(мастерская)этаж 7</t>
  </si>
  <si>
    <t>ИП Постарниченко Марина Владимировна</t>
  </si>
  <si>
    <t>665912319165</t>
  </si>
  <si>
    <t>ИП7803040607</t>
  </si>
  <si>
    <t>ИП780304060700000</t>
  </si>
  <si>
    <t>620062 Свердловская область город Екатеринбург проспект Ленина дом 103  литер В помещения №20-25</t>
  </si>
  <si>
    <t>ИП Максимова Елена Эдуардовна</t>
  </si>
  <si>
    <t>666000589649</t>
  </si>
  <si>
    <t>ИП6607015602</t>
  </si>
  <si>
    <t>ИП660701560200000</t>
  </si>
  <si>
    <t>620000 Свердловская область город Екатеринбург улица Мамина-Сибиряка дом 137  А</t>
  </si>
  <si>
    <t>ИП660701560200002</t>
  </si>
  <si>
    <t>620014 Свердловская область город Екатеринбург улица Радищева дом 10</t>
  </si>
  <si>
    <t>ИП Глызина Елена Владимировна</t>
  </si>
  <si>
    <t>666000699730</t>
  </si>
  <si>
    <t>ИП6607007829</t>
  </si>
  <si>
    <t>ИП660700782900000</t>
  </si>
  <si>
    <t>620010 Свердловская область город Екатеринбург улица Черняховского дом 86   офис  22</t>
  </si>
  <si>
    <t>ИП Малов Евгений Владимирович</t>
  </si>
  <si>
    <t>666006395424</t>
  </si>
  <si>
    <t>ИП6607010691</t>
  </si>
  <si>
    <t>ИП660701069100000</t>
  </si>
  <si>
    <t>620062 Свердловская область город Екатеринбург проспект Ленина дом 70   пом.№№51,52,54-56</t>
  </si>
  <si>
    <t>ООО "ЭВРИКА-93"</t>
  </si>
  <si>
    <t>6660071320</t>
  </si>
  <si>
    <t>ЮЛ6607000658</t>
  </si>
  <si>
    <t>ЮЛ660700065800000</t>
  </si>
  <si>
    <t>620025 Свердловская область город Екатеринбург улица Бахчиванджи дом 1   помещение 87</t>
  </si>
  <si>
    <t>ИП Костоломова Вера Михайловна</t>
  </si>
  <si>
    <t>666007284406</t>
  </si>
  <si>
    <t>ИП6607000961</t>
  </si>
  <si>
    <t>ИП660700096100000</t>
  </si>
  <si>
    <t>620025 Свердловская область город Екатеринбург площадь Бахчиванджи дом 1   часть помещения 159</t>
  </si>
  <si>
    <t>ИП660700096100001</t>
  </si>
  <si>
    <t>623383 Свердловская область город Полевской улица Коммунистическая дом 8</t>
  </si>
  <si>
    <t>ИП Кочнев Виктор Викторович</t>
  </si>
  <si>
    <t>666008435489</t>
  </si>
  <si>
    <t>ИП6607006232</t>
  </si>
  <si>
    <t>ИП660700623200000</t>
  </si>
  <si>
    <t>623391 Свердловская область город Полевской улица Карла Маркса дом 7   номера на поэтажном плане 16-21</t>
  </si>
  <si>
    <t>ИП660700623200001</t>
  </si>
  <si>
    <t>620026 Свердловская область город Екатеринбург улица Луначарского дом 212  Литер А офис 484</t>
  </si>
  <si>
    <t>ООО "УРАЛ-МИКС"</t>
  </si>
  <si>
    <t>6660135527</t>
  </si>
  <si>
    <t>ЮЛ6607032214</t>
  </si>
  <si>
    <t>ЮЛ660703221400000</t>
  </si>
  <si>
    <t>620073 Свердловская область город Екатеринбург Улица Крестинского 46 А</t>
  </si>
  <si>
    <t>ИП Пичугов Владимир Юрьевич</t>
  </si>
  <si>
    <t>666100135399</t>
  </si>
  <si>
    <t>ИП6607008018</t>
  </si>
  <si>
    <t>ИП660700801800000</t>
  </si>
  <si>
    <t>620014 Свердловская область город Екатеринбург улица Сакко и Ванцетти дом 99   помещение 31</t>
  </si>
  <si>
    <t>ИП Тулупова Елена Ивановна</t>
  </si>
  <si>
    <t>666100185128</t>
  </si>
  <si>
    <t>ИП6607018007</t>
  </si>
  <si>
    <t>ИП660701800700000</t>
  </si>
  <si>
    <t>620063 Свердловская область город Екатеринбург улица 8 Марта дом 51   часть помещений № 987, № 816</t>
  </si>
  <si>
    <t>ИП Павлов Святослав Юрьевич</t>
  </si>
  <si>
    <t>666103388013</t>
  </si>
  <si>
    <t>ИП6607006940</t>
  </si>
  <si>
    <t>ИП660700694000000</t>
  </si>
  <si>
    <t>620014 Свердловская область город Екатеринбург улица 8 Марта дом 46   помещение № 23</t>
  </si>
  <si>
    <t>ИП660700694000002</t>
  </si>
  <si>
    <t>620075 Свердловская область Город Екатеринбург Проспект Ленина/ улица Красноармейская Дом 46/ дом 2</t>
  </si>
  <si>
    <t>ИП Кручинин Вячеслав Анатольевич</t>
  </si>
  <si>
    <t>666200157903</t>
  </si>
  <si>
    <t>ИП6607007560</t>
  </si>
  <si>
    <t>ИП660700756000000</t>
  </si>
  <si>
    <t>620142 Свердловская область Город Екатеринбург Улица 8 Марта Дом 149   Офис С-312</t>
  </si>
  <si>
    <t>ИП660700756000001</t>
  </si>
  <si>
    <t>620016 Свердловская область Город Екатеринбург Улица Краснолесья Дом 133   Офис ТРЦ-А/1-К1-7/ДА414</t>
  </si>
  <si>
    <t>ИП660700756000004</t>
  </si>
  <si>
    <t>620000 Свердловская область город Екатеринбург Улица 8 Марта Дом 149   Офис С-308</t>
  </si>
  <si>
    <t>ИП660700756000005</t>
  </si>
  <si>
    <t>620100 Свердловская область город Екатеринбург тракт Сибирский дом 30Б - - помещение 124</t>
  </si>
  <si>
    <t>ИП Костюков Валерий Михайлович</t>
  </si>
  <si>
    <t>666200182794</t>
  </si>
  <si>
    <t>ИП6607002528</t>
  </si>
  <si>
    <t>ИП660700252800000</t>
  </si>
  <si>
    <t>620090 Свердловская область город Екатеринбург улица Техническая дом 26</t>
  </si>
  <si>
    <t>ИП Маренкова Наталья Владимировна</t>
  </si>
  <si>
    <t>666201127080</t>
  </si>
  <si>
    <t>ИП6607002459</t>
  </si>
  <si>
    <t>ИП660700245900000</t>
  </si>
  <si>
    <t>620142 Свердловская область город Екатеринбург улица Щорса дом 29   неж. помещение №5</t>
  </si>
  <si>
    <t>ИП Сагаль Наталья Андреевна</t>
  </si>
  <si>
    <t>666201919181</t>
  </si>
  <si>
    <t>ИП6607002734</t>
  </si>
  <si>
    <t>ИП660700273400000</t>
  </si>
  <si>
    <t>620058 Свердловская область город Екатеринбург проспект Космонавтов дом 108 Д</t>
  </si>
  <si>
    <t>ИП Галиханова Лилиана Фидусовна</t>
  </si>
  <si>
    <t>666301960306</t>
  </si>
  <si>
    <t>ИП6607039968</t>
  </si>
  <si>
    <t>ИП660703996800000</t>
  </si>
  <si>
    <t>620075 Свердловская область город Екатеринбург проспект Ленина дом 40/18</t>
  </si>
  <si>
    <t>ЮЛ660700429800000</t>
  </si>
  <si>
    <t>620075 Свердловская область город Екатеринбург улица Малышева  Строение 56  неж.пом. 31-34,46-51,126,127</t>
  </si>
  <si>
    <t>ЮЛ660700429800006</t>
  </si>
  <si>
    <t>620025 Свердловская область город Екатеринбург площадь Бахчиванджи строение 1/3</t>
  </si>
  <si>
    <t>ИП Моисейкин Виктор Владимирович</t>
  </si>
  <si>
    <t>666400061902</t>
  </si>
  <si>
    <t>ИП6607001751</t>
  </si>
  <si>
    <t>ИП660700175100003</t>
  </si>
  <si>
    <t>620000 Свердловская область город Екатеринбург проспект Ленина строение 25   помещение 2.148</t>
  </si>
  <si>
    <t>ИП660700175100004</t>
  </si>
  <si>
    <t>620010 Свердловская область город Екатеринбург улица Грибоедова дом 15    помещения №№ 1-5</t>
  </si>
  <si>
    <t>ООО ЛОМБАРД "СУНДУЧОК"</t>
  </si>
  <si>
    <t>6664058055</t>
  </si>
  <si>
    <t>ЮЛ6607007814</t>
  </si>
  <si>
    <t>ЮЛ660700781400000</t>
  </si>
  <si>
    <t>623406 Свердловская область город Каменск-Уральский улица Каменская дом 16</t>
  </si>
  <si>
    <t>ИП Никулин Владимир Петрович</t>
  </si>
  <si>
    <t>666500349691</t>
  </si>
  <si>
    <t>ИП6607001130</t>
  </si>
  <si>
    <t>ИП660700113000000</t>
  </si>
  <si>
    <t>623428 Свердловская область город Каменск-Уральский проспект Победы дом 48</t>
  </si>
  <si>
    <t>ИП660700113000002</t>
  </si>
  <si>
    <t>ИП660700113000003</t>
  </si>
  <si>
    <t>622001 Свердловская область город Нижний Тагил улица Ломоносова дом 3</t>
  </si>
  <si>
    <t>ИП Титова Елена Александровна</t>
  </si>
  <si>
    <t>666800524827</t>
  </si>
  <si>
    <t>ИП6607007547</t>
  </si>
  <si>
    <t>ИП660700754700000</t>
  </si>
  <si>
    <t>622000 Свердловская область город Нижний Тагил Красноармейская 79 К</t>
  </si>
  <si>
    <t>ИП Новоселецкая Фаима Гумяровна</t>
  </si>
  <si>
    <t>666900151760</t>
  </si>
  <si>
    <t>ИП6607008671</t>
  </si>
  <si>
    <t>ИП660700867100000</t>
  </si>
  <si>
    <t>622034 Свердловская область город Нижний Тагил проспект Ленина/ улица Вязовская дом 40/ дом 1   87,88,89,103,104</t>
  </si>
  <si>
    <t>ИП Старикова Анна Владимировна</t>
  </si>
  <si>
    <t>666900387370</t>
  </si>
  <si>
    <t>ИП6607006844</t>
  </si>
  <si>
    <t>ИП660700684400000</t>
  </si>
  <si>
    <t>622034 Свердловская область город Нижний Тагил проспект Ленина дом 71</t>
  </si>
  <si>
    <t>ИП660700684400001</t>
  </si>
  <si>
    <t>622034 Свердловская область город Нижний Тагил проспект Ленина дом 73</t>
  </si>
  <si>
    <t>ИП660700684400002</t>
  </si>
  <si>
    <t>620063 Свердловская область город Екатеринбург улица Декабристов дом 87</t>
  </si>
  <si>
    <t>ИП Вершинина Екатерина Константиновна</t>
  </si>
  <si>
    <t>667000085724</t>
  </si>
  <si>
    <t>ИП6607008769</t>
  </si>
  <si>
    <t>ИП660700876900000</t>
  </si>
  <si>
    <t>620073 Свердловская область город Екатеринбург улица Академика Шварца дом 17   помещение павильон-модуль №  17_12</t>
  </si>
  <si>
    <t>ИП Дианова Светлана Игоревна</t>
  </si>
  <si>
    <t>667007394136</t>
  </si>
  <si>
    <t>ИП6607006843</t>
  </si>
  <si>
    <t>ИП660700684300000</t>
  </si>
  <si>
    <t>623700 Свердловская область город Березовский улица Анучина дом 3</t>
  </si>
  <si>
    <t>ИП Маршев Сергей Реджинальдович</t>
  </si>
  <si>
    <t>667007571554</t>
  </si>
  <si>
    <t>ИП6607037700</t>
  </si>
  <si>
    <t>ИП660703770000000</t>
  </si>
  <si>
    <t>620075 Свердловская область город Екатеринбург улица Энгельса дом 15А</t>
  </si>
  <si>
    <t>ИП Крутеева Ольга Владимировна</t>
  </si>
  <si>
    <t>667007757710</t>
  </si>
  <si>
    <t>ИП6607000068</t>
  </si>
  <si>
    <t>ИП660700006800000</t>
  </si>
  <si>
    <t>620062 Свердловская область город Екатеринбург улица Гагарина дом 14   помещение 1-20,55-58,1,3-5,7-15,22,26-29,41-46,52-55,59,406</t>
  </si>
  <si>
    <t>ЮЛ660700070800000</t>
  </si>
  <si>
    <t>620131 Свердловская область город Екатеринбург улица Крауля дом 74   помещение №№ 100-103</t>
  </si>
  <si>
    <t>ЮЛ660700070800090</t>
  </si>
  <si>
    <t>620090 Свердловская область город Екатеринбург улица Техническая дом 31   помещение 2</t>
  </si>
  <si>
    <t>ЮЛ660700070800133</t>
  </si>
  <si>
    <t>620085 Свердловская область город Екатеринбург улица Сухоложская дом 4   помещение 2</t>
  </si>
  <si>
    <t>ЮЛ660700070800134</t>
  </si>
  <si>
    <t>623414 Свердловская область город Каменск-Уральский улица Лермонтова дом 117А</t>
  </si>
  <si>
    <t>ЮЛ660700070800205</t>
  </si>
  <si>
    <t>620092 Свердловская область город Екатеринбург бульвар Сиреневый строение 2   нежилые помещения №1,№3</t>
  </si>
  <si>
    <t>ЮЛ660700070800206</t>
  </si>
  <si>
    <t>620014 Свердловская область город Екатеринбург улица Бориса Ельцина д. 3   сегмент 2002</t>
  </si>
  <si>
    <t>ИП660700681200000</t>
  </si>
  <si>
    <t>620014 Свердловская область город Екатеринбург улица Хохрякова дом 48   помещения 231-234, 1 этаж</t>
  </si>
  <si>
    <t>ИП660700681200003</t>
  </si>
  <si>
    <t>624130 Свердловская область город Новоуральск улица Автозаводская дом 21   168</t>
  </si>
  <si>
    <t>ИП Шершнев Павел Викторович</t>
  </si>
  <si>
    <t>667014011909</t>
  </si>
  <si>
    <t>ИП6607001237</t>
  </si>
  <si>
    <t>ИП660700123700000</t>
  </si>
  <si>
    <t>620103 Свердловская область город Екатеринбург бульвар Золотистый дом 13   7</t>
  </si>
  <si>
    <t>ИП Шалкиев Александр Юрьевич</t>
  </si>
  <si>
    <t>667014899674</t>
  </si>
  <si>
    <t>ИП6607014759</t>
  </si>
  <si>
    <t>ИП660701475900000</t>
  </si>
  <si>
    <t>620075 Свердловская область город Екатеринбург проспект Ленина дом 50   нежилое помещение 101</t>
  </si>
  <si>
    <t>ИП Ананичева Ольга Анатольевна</t>
  </si>
  <si>
    <t>667015253650</t>
  </si>
  <si>
    <t>ИП6607007082</t>
  </si>
  <si>
    <t>ИП660700708200000</t>
  </si>
  <si>
    <t>623340 Свердловская область поселок городского типа Арти улица Ленина дом 88</t>
  </si>
  <si>
    <t>ООО "ЛОМБАРД-АЛИОТ"</t>
  </si>
  <si>
    <t>6670171683</t>
  </si>
  <si>
    <t>ЮЛ6607006331</t>
  </si>
  <si>
    <t>ЮЛ660700633100000</t>
  </si>
  <si>
    <t>620142 Свердловская область город Екатеринбург улица Щорса дом 29   помещение 8</t>
  </si>
  <si>
    <t>ООО "ИМПЕРИЯ"</t>
  </si>
  <si>
    <t>6670292617</t>
  </si>
  <si>
    <t>ЮЛ6607002291</t>
  </si>
  <si>
    <t>ЮЛ660700229100000</t>
  </si>
  <si>
    <t>620085 Свердловская область Город Екатеринбург Улица 8 Марта Дом 207 - - -</t>
  </si>
  <si>
    <t>ООО ПКФ "ВАШ МАСТЕР"</t>
  </si>
  <si>
    <t>6670416291</t>
  </si>
  <si>
    <t>ЮЛ6607000069</t>
  </si>
  <si>
    <t>ЮЛ660700006900000</t>
  </si>
  <si>
    <t>620085 Свердловская область город Екатеринбург улица Ферганская дом 16  литер А помещ. 303</t>
  </si>
  <si>
    <t>ООО "ЮВЕЛИРЫ УРАЛА"</t>
  </si>
  <si>
    <t>6670417390</t>
  </si>
  <si>
    <t>ЮЛ6607005386</t>
  </si>
  <si>
    <t>ЮЛ660700538600000</t>
  </si>
  <si>
    <t>620062 Свердловская область город Екатеринбург улица Гагарина дом 37</t>
  </si>
  <si>
    <t>ООО ЛОМБАРД "999"</t>
  </si>
  <si>
    <t>6670428138</t>
  </si>
  <si>
    <t>ЮЛ6607002124</t>
  </si>
  <si>
    <t>ЮЛ660700212400000</t>
  </si>
  <si>
    <t>620144 Свердловская область город Екатеринбург улица Щорса дом 96</t>
  </si>
  <si>
    <t>ЮЛ660700212400001</t>
  </si>
  <si>
    <t>620050 Свердловская область город Екатеринбург улица Техническая дом 47   помещения №№ 1-6</t>
  </si>
  <si>
    <t>ЮЛ660700212400005</t>
  </si>
  <si>
    <t>622034 Свердловская область город Нижний Тагил проспект Мира дом 21   помещения №№ 1,2</t>
  </si>
  <si>
    <t>ЮЛ660700212400007</t>
  </si>
  <si>
    <t>620137 Свердловская область город Екатеринбург улица Сулимова дом 6</t>
  </si>
  <si>
    <t>ЮЛ660700212400013</t>
  </si>
  <si>
    <t>620063 Свердловская область город Екатеринбург улица Белинского строение 108   228</t>
  </si>
  <si>
    <t>ООО "ПЬЮР ОНЛАЙН"</t>
  </si>
  <si>
    <t>6670477255</t>
  </si>
  <si>
    <t>ЮЛ6607007524</t>
  </si>
  <si>
    <t>ЮЛ660700752400000</t>
  </si>
  <si>
    <t>620090 Свердловская область город Екатеринбург улица Техническая дом 19   Бутик 109Д</t>
  </si>
  <si>
    <t>ООО "ГОЛДИС ЛОМБАРД"</t>
  </si>
  <si>
    <t>6670516730</t>
  </si>
  <si>
    <t>ЮЛ6607034272</t>
  </si>
  <si>
    <t>ЮЛ660703427200007</t>
  </si>
  <si>
    <t>620146 Свердловская область город Екатеринбург улица Амундсена дом 63   Помещение №87,88</t>
  </si>
  <si>
    <t>ЮЛ660703427200008</t>
  </si>
  <si>
    <t>620143 Свердловская область город Екатеринбург проспект Космонавтов дом 41</t>
  </si>
  <si>
    <t>ЮЛ660703427200009</t>
  </si>
  <si>
    <t>ЮЛ660703427200010</t>
  </si>
  <si>
    <t>623280 Свердловская область город Ревда улица Максима Горького дом 36  литера А неж. пом. 1, 2, 3, 4, 5</t>
  </si>
  <si>
    <t>ИП Сагаль Иван Геннадьевич</t>
  </si>
  <si>
    <t>667100162059</t>
  </si>
  <si>
    <t>ИП6607000284</t>
  </si>
  <si>
    <t>ИП660700028400000</t>
  </si>
  <si>
    <t>620142 Свердловская область город Екатеринбург улица Щорса дом 29   Офис №2</t>
  </si>
  <si>
    <t>ИП Гаврикова Евгения Олеговна</t>
  </si>
  <si>
    <t>667100924780</t>
  </si>
  <si>
    <t>ИП6607001196</t>
  </si>
  <si>
    <t>ИП660700119600000</t>
  </si>
  <si>
    <t>620014 Свердловская область город Екатеринбург улица Вайнера дом 9   256</t>
  </si>
  <si>
    <t>ИП Шааб Екатерина Владимировна</t>
  </si>
  <si>
    <t>667101638414</t>
  </si>
  <si>
    <t>ИП6607040663</t>
  </si>
  <si>
    <t>ИП660704066300000</t>
  </si>
  <si>
    <t>620014 Свердловская область город Екатеринбург улица Хохрякова дом 74   помещение 359</t>
  </si>
  <si>
    <t>ООО "УНЦИЯ"</t>
  </si>
  <si>
    <t>6671029665</t>
  </si>
  <si>
    <t>ЮЛ6607001925</t>
  </si>
  <si>
    <t>ЮЛ660700192500000</t>
  </si>
  <si>
    <t>620100 Свердловская область город Екатеринбург улица Бажова дом 193   офис 800</t>
  </si>
  <si>
    <t>ИП Ильиных Валерий Николаевич</t>
  </si>
  <si>
    <t>667105744251</t>
  </si>
  <si>
    <t>ИП6607001213</t>
  </si>
  <si>
    <t>ИП660700121300000</t>
  </si>
  <si>
    <t>620142 Свердловская область город Екатеринбург улица Щорса дом 29   бутик 8/1</t>
  </si>
  <si>
    <t>ИП660700121300002</t>
  </si>
  <si>
    <t>620025 Свердловская область город Екатеринбург площадь Бахчиванджи строение 1   помещение 87</t>
  </si>
  <si>
    <t>ИП660700121300005</t>
  </si>
  <si>
    <t>620142 Свердловская область город Екатеринбург улица Щорса дом 29   бутик 7/1</t>
  </si>
  <si>
    <t>ИП660700121300006</t>
  </si>
  <si>
    <t>620092 Свердловская область город Екатеринбург улица Сыромолотова дом 25</t>
  </si>
  <si>
    <t>ИП Бобылев Анатолий Алексеевич</t>
  </si>
  <si>
    <t>667105896159</t>
  </si>
  <si>
    <t>ИП6607006207</t>
  </si>
  <si>
    <t>ИП660700620700000</t>
  </si>
  <si>
    <t>620087 Свердловская область город Екатеринбург улица Самолетная дом 55  Литер Е</t>
  </si>
  <si>
    <t>ИП Палагин Сергей Михайлович</t>
  </si>
  <si>
    <t>667106839146</t>
  </si>
  <si>
    <t>ИП6607005425</t>
  </si>
  <si>
    <t>ИП660700542500000</t>
  </si>
  <si>
    <t>620034 Свердловская область город Екатеринбург улица Халтурина дом 55   нежилое помещение № 70</t>
  </si>
  <si>
    <t>ИП660700542500005</t>
  </si>
  <si>
    <t>620014 Свердловская область город Екатеринбург улица 8 Марта дом 46   помещение 20</t>
  </si>
  <si>
    <t>ИП660700542500007</t>
  </si>
  <si>
    <t>620028 Свердловская область город Екатеринбург Кирова/Толедова 28/43   АБК ЦСМ,литер 80</t>
  </si>
  <si>
    <t>ООО "СОФРОНОВ ДЖЕВЕЛРИ"</t>
  </si>
  <si>
    <t>6671080446</t>
  </si>
  <si>
    <t>ЮЛ6607008518</t>
  </si>
  <si>
    <t>ЮЛ660700851800000</t>
  </si>
  <si>
    <t>624092 Свердловская область город Верхняя Пышма улица Петрова дом 34б</t>
  </si>
  <si>
    <t>ИП Косолапова Анастасия Ивановна</t>
  </si>
  <si>
    <t>667108578891</t>
  </si>
  <si>
    <t>ИП6607000534</t>
  </si>
  <si>
    <t>ИП660700053400000</t>
  </si>
  <si>
    <t>620050 Свердловская область город Екатеринбург улица Монтажников дом 24   часть нежилого помещения № 64</t>
  </si>
  <si>
    <t>ИП Клыков Олег Михайлович</t>
  </si>
  <si>
    <t>667108933338</t>
  </si>
  <si>
    <t>ИП6607007441</t>
  </si>
  <si>
    <t>ИП660700744100000</t>
  </si>
  <si>
    <t>620063 Свердловская область город Екатеринбург улица Большакова дом 75   офис 91</t>
  </si>
  <si>
    <t>ООО "ДЖЕМЭЛИТ"</t>
  </si>
  <si>
    <t>6671105147</t>
  </si>
  <si>
    <t>ЮЛ6607002406</t>
  </si>
  <si>
    <t>ЮЛ660700240600000</t>
  </si>
  <si>
    <t>620027 Свердловская область город Екатеринбург улица Шевченко дом 9</t>
  </si>
  <si>
    <t>ООО "АНГЕЛИКА"</t>
  </si>
  <si>
    <t>6671110588</t>
  </si>
  <si>
    <t>ЮЛ6607006893</t>
  </si>
  <si>
    <t>ЮЛ660700689300000</t>
  </si>
  <si>
    <t>620141 Свердловская область город Екатеринбург улица Ольховская дом 2 строение 2  нежилое помещение 1008</t>
  </si>
  <si>
    <t>ИП Паршин Сергей Павлович</t>
  </si>
  <si>
    <t>667112750337</t>
  </si>
  <si>
    <t>ИП6607006832</t>
  </si>
  <si>
    <t>ИП660700683200000</t>
  </si>
  <si>
    <t>620028 Свердловская область город Екатеринбург улица Кирова/улица Толедова дом 28/дом 43  115</t>
  </si>
  <si>
    <t>ИП Нургалеева Галина Лукмановна</t>
  </si>
  <si>
    <t>667113678620</t>
  </si>
  <si>
    <t>ИП6607003186</t>
  </si>
  <si>
    <t>ИП660700318600000</t>
  </si>
  <si>
    <t>620142 Свердловская область город Екатеринбург улица Щорса строение 7  литера Р1 8 этаж, помещение №1,2,3,4,5,6,7,8,9,10,13,14,15,16,17,18</t>
  </si>
  <si>
    <t>ИП Усачев Илья Сергеевич</t>
  </si>
  <si>
    <t>667114192141</t>
  </si>
  <si>
    <t>ИП6607002753</t>
  </si>
  <si>
    <t>ИП660700275300000</t>
  </si>
  <si>
    <t>620014 Свердловская область город Екатеринбург улица Радищева дом 31   Помещения 21-27, 56-62</t>
  </si>
  <si>
    <t>ИП Шумакова Наталья Михайловна</t>
  </si>
  <si>
    <t>667116154021</t>
  </si>
  <si>
    <t>ИП6607032217</t>
  </si>
  <si>
    <t>ИП660703221700000</t>
  </si>
  <si>
    <t>620024 Свердловская область город Екатеринбург шоссе Елизаветинское дом 28  литер А,С помещение 4,5,8-15,28,31 цокольный этаж; 7,8,13,35 2-ой этаж</t>
  </si>
  <si>
    <t>ИП Шушарин Денис Александрович</t>
  </si>
  <si>
    <t>667116243401</t>
  </si>
  <si>
    <t>ИП6607002022</t>
  </si>
  <si>
    <t>ИП660700202200000</t>
  </si>
  <si>
    <t>620000 Свердловская область город Екатеринбург переулок Химиков  3   помещение 207</t>
  </si>
  <si>
    <t>ЮЛ660701346900000</t>
  </si>
  <si>
    <t>620089 Свердловская область город Екатеринбург переулок Базовый строение 39а   помещение 420</t>
  </si>
  <si>
    <t>ООО "ЗВЕЗДА СОЮЗА"</t>
  </si>
  <si>
    <t>6671252215</t>
  </si>
  <si>
    <t>ЮЛ6607032025</t>
  </si>
  <si>
    <t>ЮЛ660703202500000</t>
  </si>
  <si>
    <t>ООО ЛОМБАРД "ТАЛИСМАН"</t>
  </si>
  <si>
    <t>6671277202</t>
  </si>
  <si>
    <t>ЮЛ6607007888</t>
  </si>
  <si>
    <t>ЮЛ660700788800000</t>
  </si>
  <si>
    <t>622007 Свердловская область город Нижний Тагил проспект Вагоностроителей дом 20</t>
  </si>
  <si>
    <t>ЮЛ660700788800023</t>
  </si>
  <si>
    <t>620014 Свердловская область город Екатеринбург улица Хохрякова дом 10   этаж 18, офис 1805, помещение 26 (часть помещения)</t>
  </si>
  <si>
    <t>АО "БИЗМОЛЛ"</t>
  </si>
  <si>
    <t>6671325230</t>
  </si>
  <si>
    <t>ЮЛ6607039667</t>
  </si>
  <si>
    <t>ЮЛ660703966700000</t>
  </si>
  <si>
    <t>620014 Свердловская область город Екатеринбург улица Сакко и Ванцетти дом 99</t>
  </si>
  <si>
    <t>6671327358</t>
  </si>
  <si>
    <t>ЮЛ6607039978</t>
  </si>
  <si>
    <t>ЮЛ660703997800000</t>
  </si>
  <si>
    <t>620014 Свердловская область город Екатеринбург улица Попова/улица Вайнера дом 1/ дом 14   помещения  №№ 1-6, 16</t>
  </si>
  <si>
    <t>ООО "КИР"</t>
  </si>
  <si>
    <t>6671354376</t>
  </si>
  <si>
    <t>ЮЛ6607006124</t>
  </si>
  <si>
    <t>ЮЛ660700612400001</t>
  </si>
  <si>
    <t>620075 Свердловская область город Екатеринбург улица Горького дом 33А   Этаж 1</t>
  </si>
  <si>
    <t>ООО "ГЕЛЬВЕЦИЯ"</t>
  </si>
  <si>
    <t>6671356937</t>
  </si>
  <si>
    <t>ЮЛ6607002899</t>
  </si>
  <si>
    <t>ЮЛ660700289900000</t>
  </si>
  <si>
    <t>620014 Свердловская область город Екатеринбург улица Попова дом 1</t>
  </si>
  <si>
    <t>ИП Самовик Ирина Борисовна</t>
  </si>
  <si>
    <t>667204605932</t>
  </si>
  <si>
    <t>ИП6607034897</t>
  </si>
  <si>
    <t>ИП660703489700000</t>
  </si>
  <si>
    <t>620014 Свердловская область город Екатеринбург улица Хохрякова дом 74   помещение 360</t>
  </si>
  <si>
    <t>ИП Новосёлова Людмила Геннадьевна</t>
  </si>
  <si>
    <t>667207565371</t>
  </si>
  <si>
    <t>ИП6607039049</t>
  </si>
  <si>
    <t>ИП660703904900000</t>
  </si>
  <si>
    <t>620026 Свердловская область город Екатеринбург улица Машинная 38Б   нежилое помещение 16</t>
  </si>
  <si>
    <t>ИП Богачева Елена Алексеевна</t>
  </si>
  <si>
    <t>667210246495</t>
  </si>
  <si>
    <t>ИП6607039870</t>
  </si>
  <si>
    <t>ИП660703987000000</t>
  </si>
  <si>
    <t>620137 Свердловская область город Екатеринбург проезд Промышленный дом 9   нежилое помещение № 7</t>
  </si>
  <si>
    <t>ИП Новоселов Олег Алексеевич</t>
  </si>
  <si>
    <t>667210516991</t>
  </si>
  <si>
    <t>ИП6607039063</t>
  </si>
  <si>
    <t>ИП660703906300000</t>
  </si>
  <si>
    <t>620026 Свердловская область город Екатеринбург улица Белинского дом 71</t>
  </si>
  <si>
    <t>6672145505</t>
  </si>
  <si>
    <t>ЮЛ6607032030</t>
  </si>
  <si>
    <t>ЮЛ660703203000000</t>
  </si>
  <si>
    <t>620144 Свердловская область город Екатеринбург улица 8 Марта дом 142</t>
  </si>
  <si>
    <t>ЮЛ660703203000001</t>
  </si>
  <si>
    <t>620135 Свердловская область город Екатеринбург проспект Космонавтов дом 45</t>
  </si>
  <si>
    <t>ООО "МЕТРО"</t>
  </si>
  <si>
    <t>6672167273</t>
  </si>
  <si>
    <t>ЮЛ6607012275</t>
  </si>
  <si>
    <t>ЮЛ660701227500000</t>
  </si>
  <si>
    <t>620000 Свердловская область Екатеринбург Белинского 8/10</t>
  </si>
  <si>
    <t>ООО "СКМ"</t>
  </si>
  <si>
    <t>6672253388</t>
  </si>
  <si>
    <t>ЮЛ6607009230</t>
  </si>
  <si>
    <t>ЮЛ660700923000000</t>
  </si>
  <si>
    <t>620075 Свердловская область город Екатеринбург улица Малышева дом 93  литер А пом.3,4,11,12,7-10</t>
  </si>
  <si>
    <t>ООО "ЮК "МАРВЕЛЬ"</t>
  </si>
  <si>
    <t>6672342976</t>
  </si>
  <si>
    <t>ЮЛ6607007216</t>
  </si>
  <si>
    <t>ЮЛ660700721600000</t>
  </si>
  <si>
    <t>620014 Свердловская область город Екатеринбург улица Добролюбова дом 16   помещение 21</t>
  </si>
  <si>
    <t>6673138902</t>
  </si>
  <si>
    <t>ЮЛ6607002335</t>
  </si>
  <si>
    <t>ЮЛ660700233500000</t>
  </si>
  <si>
    <t>620076 Свердловская область город Екатеринбург улица Щербакова дом 4   помещение №260</t>
  </si>
  <si>
    <t>ИП Бочарова Елена Игоревна</t>
  </si>
  <si>
    <t>667330536206</t>
  </si>
  <si>
    <t>ИП6607017509</t>
  </si>
  <si>
    <t>ИП660701750900000</t>
  </si>
  <si>
    <t>620014 Свердловская область город Екатеринбург улица 8 Марта дом 46   нежилое помещение №98</t>
  </si>
  <si>
    <t>ИП Фролова Наталья Юрьевна</t>
  </si>
  <si>
    <t>667355645704</t>
  </si>
  <si>
    <t>ИП6607016541</t>
  </si>
  <si>
    <t>ИП660701654100000</t>
  </si>
  <si>
    <t>620000 Свердловская область город Екатеринбург улица Сыромолотова дом 22</t>
  </si>
  <si>
    <t>ИП Рублева Светлана Сергеевна</t>
  </si>
  <si>
    <t>667363268827</t>
  </si>
  <si>
    <t>ИП6607011327</t>
  </si>
  <si>
    <t>ИП660701132700000</t>
  </si>
  <si>
    <t>620000 Свердловская область город Екатеринбург торговая 2   105</t>
  </si>
  <si>
    <t>ИП Крылова Анна Владимировна</t>
  </si>
  <si>
    <t>667400411281</t>
  </si>
  <si>
    <t>ИП6607032930</t>
  </si>
  <si>
    <t>ИП660703293000000</t>
  </si>
  <si>
    <t>624740 Свердловская область город Нижняя Салда улица Ломоносова дом 10    место 1часть комнаты №43</t>
  </si>
  <si>
    <t>ИП Волженцев Алексей Борисович</t>
  </si>
  <si>
    <t>667408698283</t>
  </si>
  <si>
    <t>ИП6607004297</t>
  </si>
  <si>
    <t>ИП660700429700002</t>
  </si>
  <si>
    <t>624761 Свердловская область город Верхняя Салда Улица Парковая  дом 22    Помещение В9</t>
  </si>
  <si>
    <t>ИП660700429700003</t>
  </si>
  <si>
    <t>620142 Свердловская область город Екатеринбург улица 8-е Марта дом 149   Помещение С-311</t>
  </si>
  <si>
    <t>ИП660700429700004</t>
  </si>
  <si>
    <t>623383 Свердловская область город Полевской улица Коммунистическая дом 8   квартира 18</t>
  </si>
  <si>
    <t>ИП Акопян Юрий Арсенович</t>
  </si>
  <si>
    <t>667415355921</t>
  </si>
  <si>
    <t>ИП6607036858</t>
  </si>
  <si>
    <t>ИП660703685800000</t>
  </si>
  <si>
    <t>623391 Свердловская область город Полевской улица Карла Маркса дом 7   квартира 18</t>
  </si>
  <si>
    <t>ИП660703685800001</t>
  </si>
  <si>
    <t>620014 Свердловская область город Екатеринбург улица 8 Марта дом 37   помещение 117</t>
  </si>
  <si>
    <t>ИП Дронченко Екатерина Александровна</t>
  </si>
  <si>
    <t>667416254612</t>
  </si>
  <si>
    <t>ИП6607030823</t>
  </si>
  <si>
    <t>ИП660703082300000</t>
  </si>
  <si>
    <t>620062 Свердловская область город Екатеринбург улица Гагарина дом 37   помещения №1-18</t>
  </si>
  <si>
    <t>ЮЛ660703833300000</t>
  </si>
  <si>
    <t>620012 Свердловская область город Екатеринбург улица Красных партизан дом 1   1-4,31-33</t>
  </si>
  <si>
    <t>ЮЛ660703833300006</t>
  </si>
  <si>
    <t>620014 Свердловская область город Екатеринбург переулок Банковский дом 1  Б,Б5 73-74,77-83,116</t>
  </si>
  <si>
    <t>ЮЛ660703833300010</t>
  </si>
  <si>
    <t>620062 Свердловская область город Екатеринбург улица Гагарина дом 37  Литер А помещения № 1-8</t>
  </si>
  <si>
    <t>ЮЛ660700087900000</t>
  </si>
  <si>
    <t>620095 Свердловская область город Екатеринбург улица Красных партизан дом 1   помещения № 1-4, 24, 31-33</t>
  </si>
  <si>
    <t>ЮЛ660700087900005</t>
  </si>
  <si>
    <t>620014 Свердловская область город Екатеринбург переулок Банковский дом 1   1 этаж ,помещения №№73-74,77-83,116</t>
  </si>
  <si>
    <t>ЮЛ660700087900006</t>
  </si>
  <si>
    <t>620024 Свердловская область город Екатеринбург улица Новинская дом 2 "У"</t>
  </si>
  <si>
    <t>ЮЛ660700077400000</t>
  </si>
  <si>
    <t>620000 Свердловская область город Екатеринбург проспект Ленина дом 25   помещения № 634, № 701</t>
  </si>
  <si>
    <t>ЮЛ660700077400001</t>
  </si>
  <si>
    <t>620026 Свердловская область город Екатеринбург улица Энгельса дом 36</t>
  </si>
  <si>
    <t>ИП Ременник Юлия Феликсовна</t>
  </si>
  <si>
    <t>667472265696</t>
  </si>
  <si>
    <t>ИП6607002412</t>
  </si>
  <si>
    <t>ИП660700241200000</t>
  </si>
  <si>
    <t>620100 Свердловская область город Екатеринбург тракт Сибирский дом 8  Х 3,33,11,14,15,16,17,18,21,22(1/2)25,26,27,28, частично 5,12,19,20,24,30,37,38,21</t>
  </si>
  <si>
    <t>ИП Гавриличев Андрей Геннадьевич</t>
  </si>
  <si>
    <t>667472483221</t>
  </si>
  <si>
    <t>ИП6607039812</t>
  </si>
  <si>
    <t>ИП660703981200000</t>
  </si>
  <si>
    <t>620087 Свердловская область город Екатеринбург улица Самолетная дом 55  литера Е</t>
  </si>
  <si>
    <t>ИП Фасхетдинова Мария Сергеевна</t>
  </si>
  <si>
    <t>667474572847</t>
  </si>
  <si>
    <t>ИП6607001683</t>
  </si>
  <si>
    <t>ИП660700168300000</t>
  </si>
  <si>
    <t>620130 Свердловская область город Екатеринбург улица Академика Шварца дом 17   павильон-модуль № 17_2</t>
  </si>
  <si>
    <t>ИП660700168300001</t>
  </si>
  <si>
    <t>620014 Свердловская область город Екатеринбург Вайнера  строение 10</t>
  </si>
  <si>
    <t>ИП660700168300003</t>
  </si>
  <si>
    <t>623856 Свердловская область город Ирбит улица Советская дом 62В   комната 1</t>
  </si>
  <si>
    <t>6676007418</t>
  </si>
  <si>
    <t>ЮЛ6607004322</t>
  </si>
  <si>
    <t>ЮЛ660700432200000</t>
  </si>
  <si>
    <t>623900 Свердловская область город Туринск улица Свердлова дом 80а   часть нежилого помещения</t>
  </si>
  <si>
    <t>ООО "ЛОМБАРД-ТУР"</t>
  </si>
  <si>
    <t>6676008612</t>
  </si>
  <si>
    <t>ЮЛ6607035034</t>
  </si>
  <si>
    <t>ЮЛ660703503400000</t>
  </si>
  <si>
    <t>ООО ЛОМБАРД "БАНКИРЪ"</t>
  </si>
  <si>
    <t>6677010149</t>
  </si>
  <si>
    <t>ЮЛ6607006338</t>
  </si>
  <si>
    <t>ЮЛ660700633800000</t>
  </si>
  <si>
    <t>623780 Свердловская область город Артемовский улица Мира дом 1</t>
  </si>
  <si>
    <t>ЮЛ660700633800001</t>
  </si>
  <si>
    <t>620130 Свердловская область город Екатеринбург улица Белинского дом 216   офис 58</t>
  </si>
  <si>
    <t>ООО "АУРУМ ЕК"</t>
  </si>
  <si>
    <t>6678019578</t>
  </si>
  <si>
    <t>ЮЛ6607035107</t>
  </si>
  <si>
    <t>ЮЛ660703510700000</t>
  </si>
  <si>
    <t>620000 Свердловская область город Екатеринбург улица Маршала Жукова дом 13   помещение 63</t>
  </si>
  <si>
    <t>ООО "КОМИССИОННЫЙ МАГАЗИН "ПЕРСПЕКТИВА"</t>
  </si>
  <si>
    <t>6678068631</t>
  </si>
  <si>
    <t>ЮЛ6607031284</t>
  </si>
  <si>
    <t>ЮЛ660703128400000</t>
  </si>
  <si>
    <t>620014 Свердловская область город Екатеринбург улица Сакко и Ванцетти дом 74   1 этаж</t>
  </si>
  <si>
    <t>ЮЛ660703128400001</t>
  </si>
  <si>
    <t>620090 Свердловская область город Екатеринбург улица Техническая дом 14   помещение 54-55</t>
  </si>
  <si>
    <t>ООО "ЛОМБАРД ВЫГОДНЫЙ"</t>
  </si>
  <si>
    <t>6678080357</t>
  </si>
  <si>
    <t>ЮЛ6607013295</t>
  </si>
  <si>
    <t>ЮЛ660701329500000</t>
  </si>
  <si>
    <t>620039 Свердловская область город Екатеринбург улица 22 Партсъезда дом 15</t>
  </si>
  <si>
    <t>ЮЛ660701329500001</t>
  </si>
  <si>
    <t>624090 Свердловская область город Верхняя Пышма улица Кривоусова дом 34   помещение 53</t>
  </si>
  <si>
    <t>ЮЛ660701329500003</t>
  </si>
  <si>
    <t>623701 Свердловская область город Березовский улица Анучина дом 2</t>
  </si>
  <si>
    <t>ЮЛ660701329500004</t>
  </si>
  <si>
    <t>620085 Свердловская область город Екатеринбург улица Агрономическая дом 33</t>
  </si>
  <si>
    <t>ЮЛ660701329500007</t>
  </si>
  <si>
    <t>620034 Свердловская область город Екатеринбург улица Опалихинская дом 42  А</t>
  </si>
  <si>
    <t>ЮЛ660701329500008</t>
  </si>
  <si>
    <t>620131 Свердловская область город Екатеринбург улица Крауля/Викулова дом 69/39</t>
  </si>
  <si>
    <t>ЮЛ660701329500009</t>
  </si>
  <si>
    <t>622000 Свердловская область город Нижний Тагил улица Фрунзе/улица Космонавтов дом 58/дом 33</t>
  </si>
  <si>
    <t>ЮЛ660701329500011</t>
  </si>
  <si>
    <t>620027 Свердловская область город Екатеринбург улица Шевченко  строение 9  помещение 323</t>
  </si>
  <si>
    <t>ООО "ВМ ПРО"</t>
  </si>
  <si>
    <t>6678137910</t>
  </si>
  <si>
    <t>ЮЛ6607037392</t>
  </si>
  <si>
    <t>ЮЛ660703739200000</t>
  </si>
  <si>
    <t>620073 Свердловская область город Екатеринбург улица Крестинского дом 44   офис 1116</t>
  </si>
  <si>
    <t>ООО "ЮВЕЛИРНАЯ ДИНАСТИЯ"</t>
  </si>
  <si>
    <t>6679034096</t>
  </si>
  <si>
    <t>ЮЛ6607000060</t>
  </si>
  <si>
    <t>ЮЛ660700006000000</t>
  </si>
  <si>
    <t>620027 Свердловская область город Екатеринбург улица Шевченко дом 9   офис 201</t>
  </si>
  <si>
    <t>ИП Дягилева Тамара Владимировна</t>
  </si>
  <si>
    <t>667904467935</t>
  </si>
  <si>
    <t>ИП6607039274</t>
  </si>
  <si>
    <t>ИП660703927400000</t>
  </si>
  <si>
    <t>620142 Свердловская область город Екатеринбург улица Чайковского дом 56</t>
  </si>
  <si>
    <t>6679063668</t>
  </si>
  <si>
    <t>ЮЛ6607001843</t>
  </si>
  <si>
    <t>ЮЛ660700184300000</t>
  </si>
  <si>
    <t>620010 Свердловская область город Екатеринбург улица Грибоедова дом 17</t>
  </si>
  <si>
    <t>6679083946</t>
  </si>
  <si>
    <t>ЮЛ6607004349</t>
  </si>
  <si>
    <t>ЮЛ660700434900000</t>
  </si>
  <si>
    <t>620142 Свердловская область город Екатеринбург улица Щорса дом 29   помещение 1</t>
  </si>
  <si>
    <t>ООО "ДИ ЭЛЬ"</t>
  </si>
  <si>
    <t>6679107611</t>
  </si>
  <si>
    <t>ЮЛ6607001000</t>
  </si>
  <si>
    <t>ЮЛ660700100000000</t>
  </si>
  <si>
    <t>624250 Свердловская область город Заречный улица Ленина дом 12   этаж 1</t>
  </si>
  <si>
    <t>ООО "ЛОМБАРД ТВОЙ ВЫБОР"</t>
  </si>
  <si>
    <t>6679129968</t>
  </si>
  <si>
    <t>ЮЛ6607005834</t>
  </si>
  <si>
    <t>ЮЛ660700583400000</t>
  </si>
  <si>
    <t>620142 Свердловская область город Екатеринбург улица Щорса дом 7И   помещение 57,58,92</t>
  </si>
  <si>
    <t>ООО ЮД "ФЛАЙМИ"</t>
  </si>
  <si>
    <t>6679135094</t>
  </si>
  <si>
    <t>ЮЛ6607013830</t>
  </si>
  <si>
    <t>ЮЛ660701383000000</t>
  </si>
  <si>
    <t>620014 Свердловская область город Екатеринбург улица Воеводина дом 8   помещение 27</t>
  </si>
  <si>
    <t>ЮЛ660701304200000</t>
  </si>
  <si>
    <t>624992 Свердловская область город Серов улица Ленина дом 177</t>
  </si>
  <si>
    <t>ООО "ЛОМБАРД ЭКОНОМ"</t>
  </si>
  <si>
    <t>6680003328</t>
  </si>
  <si>
    <t>ЮЛ6607011995</t>
  </si>
  <si>
    <t>ЮЛ660701199500000</t>
  </si>
  <si>
    <t>ЮЛ660701199500001</t>
  </si>
  <si>
    <t>ЮЛ660701199500002</t>
  </si>
  <si>
    <t>624486 Свердловская область город Североуральск улица Октябрьская дом 33</t>
  </si>
  <si>
    <t>ЮЛ660701199500003</t>
  </si>
  <si>
    <t>624993 Свердловская область город Серов улица Ленина дом 134</t>
  </si>
  <si>
    <t>ЮЛ660701199500006</t>
  </si>
  <si>
    <t>ЮЛ660701199500007</t>
  </si>
  <si>
    <t>624200 Свердловская область город Лесной улица Мира дом 5</t>
  </si>
  <si>
    <t>ООО "СОКРОВИЩНИЦА"</t>
  </si>
  <si>
    <t>6681001891</t>
  </si>
  <si>
    <t>ЮЛ6607011080</t>
  </si>
  <si>
    <t>ЮЛ660701108000000</t>
  </si>
  <si>
    <t>624286 Свердловская область поселок городского типа Малышева улица МОПРА дом 14</t>
  </si>
  <si>
    <t>6683016572</t>
  </si>
  <si>
    <t>ЮЛ6607030778</t>
  </si>
  <si>
    <t>ЮЛ660703077800000</t>
  </si>
  <si>
    <t>623119 Свердловская область город Первоуральск улица Вайнера дом 15</t>
  </si>
  <si>
    <t>ООО "ЛОМБАРД АУРИС"</t>
  </si>
  <si>
    <t>6684000663</t>
  </si>
  <si>
    <t>ЮЛ6607002984</t>
  </si>
  <si>
    <t>ЮЛ660700298400000</t>
  </si>
  <si>
    <t>623271 Свердловская область город Дегтярск улица Калинина дом 27</t>
  </si>
  <si>
    <t>ООО ЛОМБАРД "РУБЛЬ"</t>
  </si>
  <si>
    <t>6684005686</t>
  </si>
  <si>
    <t>ЮЛ6607012271</t>
  </si>
  <si>
    <t>ЮЛ660701227100000</t>
  </si>
  <si>
    <t>620014 Свердловская область город Екатеринбург улица Маршала Жукова дом 13   помещение 25</t>
  </si>
  <si>
    <t>ООО "ЧАСОВОЙ ЛОМБАРД "ПЕРСПЕКТИВА"</t>
  </si>
  <si>
    <t>6685004580</t>
  </si>
  <si>
    <t>ЮЛ6607008807</t>
  </si>
  <si>
    <t>ЮЛ660700880700000</t>
  </si>
  <si>
    <t>620014 Свердловская область город Екатеринбург улица Попова  строение 1  кабинет 1</t>
  </si>
  <si>
    <t>ООО "ПАЛЛАДИУМ"</t>
  </si>
  <si>
    <t>6685009556</t>
  </si>
  <si>
    <t>ЮЛ6607001342</t>
  </si>
  <si>
    <t>ЮЛ660700134200000</t>
  </si>
  <si>
    <t>620075 Свердловская область город Екатеринбург улица Малышева дом 93   помещение 6</t>
  </si>
  <si>
    <t>ЮЛ660700620600000</t>
  </si>
  <si>
    <t>620026 Свердловская область город Екатеринбург улица Розы Люксембург дом 49   офис 821</t>
  </si>
  <si>
    <t>ЮЛ660700009000000</t>
  </si>
  <si>
    <t>620100 Свердловская область город Екатеринбург тракт Сибирский дом 57   помещение №№32-37.39-43.54</t>
  </si>
  <si>
    <t>ООО "ЮВЕЛИРНЫЙ ДОМ "РМК"</t>
  </si>
  <si>
    <t>6685113860</t>
  </si>
  <si>
    <t>ЮЛ6607019768</t>
  </si>
  <si>
    <t>ЮЛ660701976800000</t>
  </si>
  <si>
    <t>620105 Свердловская область город Екатеринбург улица Вильгельма де Геннина дом 34  литер А помещения №№184-190</t>
  </si>
  <si>
    <t>6685116124</t>
  </si>
  <si>
    <t>ЮЛ6607011607</t>
  </si>
  <si>
    <t>ЮЛ660701160700003</t>
  </si>
  <si>
    <t>620023 Свердловская область город Екатеринбург улица Щербакова дом 4, 1 этаж  Литера А  часть нежилого помещения 180</t>
  </si>
  <si>
    <t>ЮЛ660701160700010</t>
  </si>
  <si>
    <t>620010 Свердловская область город Екатеринбург улица Грибоедова/улица Инженерная дом 29/дом 41</t>
  </si>
  <si>
    <t>ЮЛ660701160700011</t>
  </si>
  <si>
    <t>622034 Свердловская область город Нижний Тагил улица Карла Маркса/пр-т Мира дом 54/дом 28</t>
  </si>
  <si>
    <t>ЮЛ660701160700012</t>
  </si>
  <si>
    <t>620146 Свердловская область город Екатеринбург улица Академика Бардина дом 48</t>
  </si>
  <si>
    <t>ЮЛ660701160700014</t>
  </si>
  <si>
    <t>620042 Свердловская область город Екатеринбург улица Восстания дом 89</t>
  </si>
  <si>
    <t>ЮЛ660701160700016</t>
  </si>
  <si>
    <t>620100 Свердловская область город Екатеринбург тракт Сибирский дом 8  Литера Х помещения №№ 1(часть),3,7,10,11,14,19,20,22,23,26; офисы №№ 48,52</t>
  </si>
  <si>
    <t>ООО "ФАМИЛЬНОЕ ЗОЛОТО"</t>
  </si>
  <si>
    <t>6685133828</t>
  </si>
  <si>
    <t>ЮЛ6607020063</t>
  </si>
  <si>
    <t>ЮЛ660702006300000</t>
  </si>
  <si>
    <t>620082 Свердловская область город Екатеринбург 10км автодороги Екатеринбург-Кольцово    на 1-м этаже в зоне ресепшен Ramada</t>
  </si>
  <si>
    <t>ООО "57 ГРАНЕЙ"</t>
  </si>
  <si>
    <t>6685163406</t>
  </si>
  <si>
    <t>ЮЛ6607011382</t>
  </si>
  <si>
    <t>ЮЛ660701138200000</t>
  </si>
  <si>
    <t>ООО "РИВЕР РИТЕЙЛ"</t>
  </si>
  <si>
    <t>6685210871</t>
  </si>
  <si>
    <t>ЮЛ6607034270</t>
  </si>
  <si>
    <t>ЮЛ660703427000000</t>
  </si>
  <si>
    <t>620142 Свердловская область город Екатеринбург улица Щорса дом 29   офис 2</t>
  </si>
  <si>
    <t>ООО "ЗОЛОТО СЕВЕРА ЮВЕЛИР"</t>
  </si>
  <si>
    <t>6685216087</t>
  </si>
  <si>
    <t>ЮЛ6607035791</t>
  </si>
  <si>
    <t>ЮЛ660703579100000</t>
  </si>
  <si>
    <t>624022 Свердловская область город Сысерть улица Коммуны здание 37   помещение 59</t>
  </si>
  <si>
    <t>ЮЛ660703579100002</t>
  </si>
  <si>
    <t>620075 Свердловская область город Екатеринбург улица Восточная дом 52   помещения №№ 21-22</t>
  </si>
  <si>
    <t>ИП Акулова Юлия Вячеславовна</t>
  </si>
  <si>
    <t>668602317484</t>
  </si>
  <si>
    <t>ИП6607036302</t>
  </si>
  <si>
    <t>ИП660703630200000</t>
  </si>
  <si>
    <t>620075 Свердловская область Екатеринбург Малышева 71   Этаж 2, офис 1</t>
  </si>
  <si>
    <t>ООО "НЬЮ МАРКЕТ"</t>
  </si>
  <si>
    <t>6686069205</t>
  </si>
  <si>
    <t>ЮЛ6607001433</t>
  </si>
  <si>
    <t>ЮЛ660700143300000</t>
  </si>
  <si>
    <t>620098 Свердловская область город Екатеринбург проспект Космонавтов дом 59</t>
  </si>
  <si>
    <t>ООО "ЛОМБАРД НАДЕЖНЫЙ 2016"</t>
  </si>
  <si>
    <t>6686074678</t>
  </si>
  <si>
    <t>ЮЛ6607007603</t>
  </si>
  <si>
    <t>ЮЛ660700760300000</t>
  </si>
  <si>
    <t>620135 Свердловская область город Екатеринбург проспект Космонавтов дом 47  литер С1</t>
  </si>
  <si>
    <t>ЮЛ660700760300001</t>
  </si>
  <si>
    <t>620041 Свердловская область город Екатеринбург улица Кислородная дом 8   помещения 31, 32, 48</t>
  </si>
  <si>
    <t>ООО "ЮК НОВА-ЛЕНД"</t>
  </si>
  <si>
    <t>6686147407</t>
  </si>
  <si>
    <t>ЮЛ6607032039</t>
  </si>
  <si>
    <t>ЮЛ660703203900000</t>
  </si>
  <si>
    <t>620041 Свердловская область город Екатеринбург улица Кислородная  строение 8  этаж 2, помещение 32</t>
  </si>
  <si>
    <t>ЮЛ660703203900001</t>
  </si>
  <si>
    <t>620100 Свердловская область город Екатеринбург улица Восточная дом 13   цокольный этаж</t>
  </si>
  <si>
    <t>ИП Пастухов Михаил Владимирович</t>
  </si>
  <si>
    <t>720610329782</t>
  </si>
  <si>
    <t>ИП6607014783</t>
  </si>
  <si>
    <t>ИП660701478300000</t>
  </si>
  <si>
    <t>620057 Свердловская область город Екатеринбург улица Совхозная дом 20  литер ББ</t>
  </si>
  <si>
    <t>ИП Казакова Евгения Сергеевна</t>
  </si>
  <si>
    <t>741516978505</t>
  </si>
  <si>
    <t>ИП6607032814</t>
  </si>
  <si>
    <t>ИП660703281400000</t>
  </si>
  <si>
    <t>623428 Свердловская область город Каменск-Уральский проспект Победы 19   2</t>
  </si>
  <si>
    <t>ООО "НАРОДНЫЙ ХЛЕБ"</t>
  </si>
  <si>
    <t>7430032222</t>
  </si>
  <si>
    <t>ЮЛ6607036332</t>
  </si>
  <si>
    <t>ЮЛ660703633200000</t>
  </si>
  <si>
    <t>620014 Свердловская область город Екатеринбург улица Вайнера  строение 55  помещение 006</t>
  </si>
  <si>
    <t>ООО "ЛУЧ"</t>
  </si>
  <si>
    <t>7444041315</t>
  </si>
  <si>
    <t>ЮЛ6607033687</t>
  </si>
  <si>
    <t>ЮЛ660703368700000</t>
  </si>
  <si>
    <t>620135 Свердловская область город Екатеринбург проспект Космонавтов дом 72</t>
  </si>
  <si>
    <t>ЮЛ740700747200034</t>
  </si>
  <si>
    <t>620043 Свердловская область город Екатеринбург улица Викулова дом 61 корпус 4</t>
  </si>
  <si>
    <t>ИП660703681200000</t>
  </si>
  <si>
    <t>620000 Свердловская область город Екатеринбург улица Репина  строение 94  помещение 1, часть (№ОЗ-12) нежилого помещения №323</t>
  </si>
  <si>
    <t>ООО "ГС"</t>
  </si>
  <si>
    <t>7449154030</t>
  </si>
  <si>
    <t>ЮЛ7407038221</t>
  </si>
  <si>
    <t>ЮЛ740703822100000</t>
  </si>
  <si>
    <t>620014 Свердловская область город Екатеринбург улица 8 Марта строение 46   неж. помещение № 19</t>
  </si>
  <si>
    <t>ИП Манакова Майя Вячеславовна</t>
  </si>
  <si>
    <t>745215596891</t>
  </si>
  <si>
    <t>ИП6607030139</t>
  </si>
  <si>
    <t>ИП660703013900003</t>
  </si>
  <si>
    <t>622015 Свердловская область город Нижний Тагил шоссе Свердловское дом 31Б   нежилые помещения № 22, 22-1</t>
  </si>
  <si>
    <t>ИП660703013900004</t>
  </si>
  <si>
    <t>620058 Свердловская область город Екатеринбург проспект Космонавтов дом 108 Д  пом. № 98, № 99</t>
  </si>
  <si>
    <t>ИП660703013900005</t>
  </si>
  <si>
    <t>620137 Свердловская область город Екатеринбург улица Сулимова дом 50   помещение № 219</t>
  </si>
  <si>
    <t>ИП660703013900006</t>
  </si>
  <si>
    <t>ООО ЛОМБАРД "ГОРОДСКОЙ"</t>
  </si>
  <si>
    <t>7453295267</t>
  </si>
  <si>
    <t>ЮЛ7407008513</t>
  </si>
  <si>
    <t>ЮЛ740700851300049</t>
  </si>
  <si>
    <t>624285 Свердловская область поселок городского типа Рефтинский улица Молодежная дом 4</t>
  </si>
  <si>
    <t>ИП Закирова Румия Исмаиловна</t>
  </si>
  <si>
    <t>751505007508</t>
  </si>
  <si>
    <t>ИП6607008106</t>
  </si>
  <si>
    <t>ИП660700810600000</t>
  </si>
  <si>
    <t>620102 Свердловская область город Екатеринбург улица Белореченская дом 17 корпус 1  часть нежилого помещения № 7-10</t>
  </si>
  <si>
    <t>ЮЛ770100201500511</t>
  </si>
  <si>
    <t>620143 Свердловская область город Екатеринбург улица Победы/улица Индустрии дом 36/дом 50   помещение 59-73</t>
  </si>
  <si>
    <t>ЮЛ770100201500551</t>
  </si>
  <si>
    <t>620131 Свердловская область город Екатеринбург улица Крауля дом 74</t>
  </si>
  <si>
    <t>ЮЛ770100201500553</t>
  </si>
  <si>
    <t>620090 Свердловская область город Екатеринбург улица Техническая дом 31</t>
  </si>
  <si>
    <t>ЮЛ770100201500873</t>
  </si>
  <si>
    <t>620014 Свердловская область город Екатеринбург улица Вайнера дом 9   подземный этаж, помещение № 233,237</t>
  </si>
  <si>
    <t>ЮЛ770100826400199</t>
  </si>
  <si>
    <t>620137 Свердловская область город Екатеринбург улица Сулимова дом 50   1 этаж, помещения № 195,197,198,199,279,280</t>
  </si>
  <si>
    <t>ЮЛ770100826400305</t>
  </si>
  <si>
    <t>620076 Свердловская область город Екатеринбург улица Павлодарская строение 6   2 этаж, помещение № 37</t>
  </si>
  <si>
    <t>ЮЛ770100826400414</t>
  </si>
  <si>
    <t>620014 Свердловская область город Екатеринбург улица Радищева стр. 6а   этаж 13, помещение 1</t>
  </si>
  <si>
    <t>ЮЛ770100301000005</t>
  </si>
  <si>
    <t>620012 Свердловская область город Екатеринбург проспект Космонавтов  строение 108д  помещения 135-136, уровень 1</t>
  </si>
  <si>
    <t>ЮЛ770101216600093</t>
  </si>
  <si>
    <t>620014 Свердловская область город Екатеринбург улица 8 Марта строение 46   помещение 145, этаж 1</t>
  </si>
  <si>
    <t>ЮЛ770101216600094</t>
  </si>
  <si>
    <t>622049 Свердловская область город Нижний Тагил шоссе Черноисточинское дом 49  Литер А помещение 34, павильон 22, этаж 1</t>
  </si>
  <si>
    <t>ЮЛ770101216600182</t>
  </si>
  <si>
    <t>620137 Свердловская область город Екатеринбург улица Сулимова дом 50   помещение 220, часть помещения 221, часть помещения 223, этаж 1</t>
  </si>
  <si>
    <t>ЮЛ770101216600194</t>
  </si>
  <si>
    <t>620102 Свердловская область город Екатеринбург улица Ясная дом 2   помещение 88, этаж 1</t>
  </si>
  <si>
    <t>ЮЛ770101216600202</t>
  </si>
  <si>
    <t>620014 Свердловская область город Екатеринбург улица Вайнера дом 16   этаж 1</t>
  </si>
  <si>
    <t>ЮЛ770101216600210</t>
  </si>
  <si>
    <t>624272 Свердловская область город Асбест улица Ленинградская дом 26/2   этаж 1</t>
  </si>
  <si>
    <t>ЮЛ770101216600276</t>
  </si>
  <si>
    <t>620103 Свердловская область город Екатеринбург улица Нескучная строение 3   помещение 59, этаж 1</t>
  </si>
  <si>
    <t>ЮЛ770101216600282</t>
  </si>
  <si>
    <t>620004 Свердловская область город Екатеринбург улица Малышева дом 5   этаж 1</t>
  </si>
  <si>
    <t>ЮЛ770101216600283</t>
  </si>
  <si>
    <t>620073 Свердловская область город Екатеринбург улица Академика Шварца дом 17  литер А помещение 340,  этаж «Подвал № подвал»</t>
  </si>
  <si>
    <t>ЮЛ770101216600284</t>
  </si>
  <si>
    <t>620014 Свердловская область город Екатеринбург улица Вайнера дом 9   помещение 269, этаж 1</t>
  </si>
  <si>
    <t>ЮЛ770101216600285</t>
  </si>
  <si>
    <t>620043 Свердловская область город Екатеринбург улица Металлургов дом 87   помещение 3248, этаж 2</t>
  </si>
  <si>
    <t>ЮЛ770101216600323</t>
  </si>
  <si>
    <t>624992 Свердловская область город Серов улица Ленина дом 215   этаж 1,  часть нежилого помещения 77</t>
  </si>
  <si>
    <t>ЮЛ770101216600332</t>
  </si>
  <si>
    <t>622015 Свердловская область город Нижний Тагил шоссе Свердловское дом 31Б   этаж 1, часть нежилого помещения № 53</t>
  </si>
  <si>
    <t>ЮЛ770101216600400</t>
  </si>
  <si>
    <t>620146 Свердловская область город Екатеринбург улица Амундсена дом 65   этаж 1 , часть помещения №350</t>
  </si>
  <si>
    <t>ЮЛ770101216600402</t>
  </si>
  <si>
    <t>624449 Свердловская область город Краснотурьинск улица Ленинского Комсомола дом 21   1 этаж,часть нежилого помещения № 9</t>
  </si>
  <si>
    <t>ЮЛ770101216600411</t>
  </si>
  <si>
    <t>620076 Свердловская область город Екатеринбург улица Щербакова дом 4   этаж 1, помещение №259 (часть)</t>
  </si>
  <si>
    <t>ЮЛ770101216600489</t>
  </si>
  <si>
    <t>620034 Свердловская область город Екатеринбург улица Халтурина дом 55   этаж 1, нежилое помещение №134</t>
  </si>
  <si>
    <t>ЮЛ770101216600506</t>
  </si>
  <si>
    <t>620143 Свердловская область город Екатеринбург проспект Космонавтов дом 41   этаж 1, торговое место №О28</t>
  </si>
  <si>
    <t>ЮЛ770101216600512</t>
  </si>
  <si>
    <t>624480 Свердловская область город Североуральск улица Ленина дом 31   этаж 1, часть нежилого помещения: № 113,114</t>
  </si>
  <si>
    <t>ЮЛ770101216600570</t>
  </si>
  <si>
    <t>624132 Свердловская область город Новоуральск улица Первомайская здание 87   этаж 1, нежилое помещение № 115, 126</t>
  </si>
  <si>
    <t>ЮЛ770101216600586</t>
  </si>
  <si>
    <t>623430 Свердловская область город Каменск-Уральский улица Суворова дом 24   этаж 1, нежилое помещение № 202-204</t>
  </si>
  <si>
    <t>ЮЛ770101216600607</t>
  </si>
  <si>
    <t>624351 Свердловская область город Качканар улица Гикалова дом 7в   этаж 1</t>
  </si>
  <si>
    <t>ЮЛ770101216600619</t>
  </si>
  <si>
    <t>620014 Свердловская область город Екатеринбург улица 8 Марта дом 46   этаж 2, нежилое помещение № 68</t>
  </si>
  <si>
    <t>ЮЛ770101216600737</t>
  </si>
  <si>
    <t>620142 Свердловская область город Екатеринбург улица Щорса дом 29   1 этаж, нежилое помещение МОП №3</t>
  </si>
  <si>
    <t>ЮЛ770101216600750</t>
  </si>
  <si>
    <t>622001 Свердловская область город Нижний Тагил проспект Ленина 22   1 этаж, нежилые помещения № 7, 19, 20</t>
  </si>
  <si>
    <t>ЮЛ770101216600765</t>
  </si>
  <si>
    <t>623382 Свердловская область город Полевской микрорайон Зеленый Бор-1 дом 4а   этаж 2, нежилое помещение № 74</t>
  </si>
  <si>
    <t>ЮЛ770101216600772</t>
  </si>
  <si>
    <t>620039 Свердловская область город Екатеринбург улица 22 Партсъезда строение 2   часть нежилого помещения</t>
  </si>
  <si>
    <t>ЮЛ770101216600790</t>
  </si>
  <si>
    <t>623286 Свердловская область город Ревда улица Максима Горького здание 19в   этаж 1, часть нежилого помещения №3</t>
  </si>
  <si>
    <t>ЮЛ770101216600808</t>
  </si>
  <si>
    <t>623430 Свердловская область город Каменск-Уральский улица Суворова здание 48   этаж 1, часть помещения</t>
  </si>
  <si>
    <t>ЮЛ770101216600809</t>
  </si>
  <si>
    <t>620146 Свердловская область город Екатеринбург улица Амундсена дом 65   этаж 1, порядковый номер павильона 137, 138, 139</t>
  </si>
  <si>
    <t>ЮЛ770101216600810</t>
  </si>
  <si>
    <t>623101 Свердловская область город Первоуральск улица Береговая дом 1   1 этаж, нежилое помещение № 79</t>
  </si>
  <si>
    <t>ЮЛ770101216600897</t>
  </si>
  <si>
    <t>620146 Свердловская область город Екатеринбург улица Амундсена дом 63   1 этаж, часть нежилого помещения №44</t>
  </si>
  <si>
    <t>ЮЛ770101216600899</t>
  </si>
  <si>
    <t>623701 Свердловская область город Березовский улица Театральная дом 6   этаж 1, часть нежилого помещения № 65</t>
  </si>
  <si>
    <t>ЮЛ770101216600917</t>
  </si>
  <si>
    <t>624090 Свердловская область город Верхняя Пышма улица Орджоникидзе дом 18   этаж 1, часть помещ. №76</t>
  </si>
  <si>
    <t>ЮЛ770101216600937</t>
  </si>
  <si>
    <t>623428 Свердловская область город Каменск-Уральский проспект Победы дом 65   этаж 1</t>
  </si>
  <si>
    <t>ЮЛ770101216600956</t>
  </si>
  <si>
    <t>620072 Свердловская область город Екатеринбург бульвар Сиреневый строение 2   этаж 1, часть помещения №90</t>
  </si>
  <si>
    <t>ЮЛ770101216600974</t>
  </si>
  <si>
    <t>620105 Свердловская область город Екатеринбург улица Краснолесья дом133   этаж 1, торговое место № R1-3</t>
  </si>
  <si>
    <t>ЮЛ770101216600991</t>
  </si>
  <si>
    <t>622018 Свердловская область город Нижний Тагил проспект Ленинградский дом 28   этаж 1, нежилое помещение № 202-204</t>
  </si>
  <si>
    <t>ЮЛ770101216601008</t>
  </si>
  <si>
    <t>620103 Свердловская область город Екатеринбург улица Нескучная строение 3   этаж 1, часть нежилого помещения №25 (№К2)</t>
  </si>
  <si>
    <t>ЮЛ770101216601009</t>
  </si>
  <si>
    <t>620131 Свердловская область город Екатеринбург улица Крауля дом 168а   гаражный бокс №8 ГЭК  "Радиотехник"</t>
  </si>
  <si>
    <t xml:space="preserve">ИП Буканова Наталья Алексеевна   </t>
  </si>
  <si>
    <t>771900869889</t>
  </si>
  <si>
    <t>ИП6607031402</t>
  </si>
  <si>
    <t>ИП660703140200000</t>
  </si>
  <si>
    <t>620131 Свердловская область город Екатеринбург улица Металлургов дом 87   помещение №318</t>
  </si>
  <si>
    <t>ЮЛ770100419400057</t>
  </si>
  <si>
    <t>620014 Свердловская область город Екатеринбург улица Вайнера дом 9   помещение №194</t>
  </si>
  <si>
    <t>ЮЛ770100419400061</t>
  </si>
  <si>
    <t>620137 Свердловская область город Екатеринбург улица Сулимова дом 50   помещение 251-253</t>
  </si>
  <si>
    <t>ЮЛ770100419400169</t>
  </si>
  <si>
    <t>620014 Свердловская область город Екатеринбург улица 8 Марта дом 46   помещение №21</t>
  </si>
  <si>
    <t>ЮЛ770100419400173</t>
  </si>
  <si>
    <t>620058 Свердловская область город Екатеринбург проспект Космонавтов строение 108д</t>
  </si>
  <si>
    <t>ЮЛ770100419400221</t>
  </si>
  <si>
    <t>622001 Свердловская область город Нижний Тагил шоссе Свердловское дом 31Б   помещение 3-1</t>
  </si>
  <si>
    <t>ЮЛ770100193500149</t>
  </si>
  <si>
    <t>622049 Свердловская область город Нижний Тагил шоссе Черноисточинское дом 49   помещения № 17, 39, 73, 109-112</t>
  </si>
  <si>
    <t>ЮЛ770100193500251</t>
  </si>
  <si>
    <t>620034 Свердловская область город Екатеринбург улица Халтурина дом 55   помещение № 104</t>
  </si>
  <si>
    <t>ЮЛ770100193500253</t>
  </si>
  <si>
    <t>620014 Свердловская область город Екатеринбург улица Вайнера дом 16   первый этаж</t>
  </si>
  <si>
    <t>ЮЛ770100193500254</t>
  </si>
  <si>
    <t>620147 Свердловская область город Екатеринбург улица Амундсена дом 65  Литер А помещение № 326, № 327</t>
  </si>
  <si>
    <t>ЮЛ770100193500255</t>
  </si>
  <si>
    <t>620073 Свердловская область город Екатеринбург улица Академика Шварца дом 17   помещения 415, 416, часть помещения 417, помещение 418, часть помещения 419, помещение 427, часть помещения 423, 1 этаж</t>
  </si>
  <si>
    <t>ЮЛ770100193500257</t>
  </si>
  <si>
    <t>620076 Свердловская область город Екатеринбург улица Щербакова дом 4   этаж 1, часть помещения № 52</t>
  </si>
  <si>
    <t>ЮЛ770100193500258</t>
  </si>
  <si>
    <t>624993 Свердловская область город Серов улица Ленина дом 215   помещение 70/72, 1 этаж</t>
  </si>
  <si>
    <t>ЮЛ770100193500463</t>
  </si>
  <si>
    <t>620043 Свердловская область город Екатеринбург улица Металлургов дом 87   этаж II, помещения 1136, 1137</t>
  </si>
  <si>
    <t>ЮЛ770100193500489</t>
  </si>
  <si>
    <t>620043 Свердловская область город Екатеринбург улица Репина дом 94   помещение 284, 2 (второй) этаж</t>
  </si>
  <si>
    <t>ЮЛ770100193500515</t>
  </si>
  <si>
    <t>623104 Свердловская область город Первоуральск улица Ватутина дом 36   часть нежилого помещения № 40, 41, 42, 43, 44, 45, этаж 1 (первый)</t>
  </si>
  <si>
    <t>ЮЛ770100193500523</t>
  </si>
  <si>
    <t>624449 Свердловская область город Краснотурьинск улица Ленинского Комсомола дом 21   нежилое помещение, этаж 1 (первый)</t>
  </si>
  <si>
    <t>ЮЛ770100193500637</t>
  </si>
  <si>
    <t>620014 Свердловская область город Екатеринбург улица Вайнера дом 9   помещение № 193, подземный этаж</t>
  </si>
  <si>
    <t>ЮЛ770100193500653</t>
  </si>
  <si>
    <t>623428 Свердловская область город Каменск-Уральский проспект Победы дом 65   этаж 1 (первый)</t>
  </si>
  <si>
    <t>ЮЛ770100193500671</t>
  </si>
  <si>
    <t>620105 Свердловская область город Екатеринбург улица Краснолесья дом 133   нежилое помещение № G16b, № G17, этаж 1 (первый)</t>
  </si>
  <si>
    <t>ЮЛ770100193500681</t>
  </si>
  <si>
    <t>620143 Свердловская область город Екатеринбург проспект Космонавтов строение 41   Торговое место № О17</t>
  </si>
  <si>
    <t>ЮЛ770100193500713</t>
  </si>
  <si>
    <t>622018 Свердловская область город Нижний Тагил улица Юности дом 13   этаж 1 (первый)</t>
  </si>
  <si>
    <t>ЮЛ770100193500749</t>
  </si>
  <si>
    <t>620137 Свердловская область город Екатеринбург улица Сулимова дом 50   1 этаж, часть помещения 221, помещение 266</t>
  </si>
  <si>
    <t>ЮЛ770100193500830</t>
  </si>
  <si>
    <t>620058 Свердловская область город Екатеринбург проспект Космонавтов строение 108д   часть нежилого помещения № 18</t>
  </si>
  <si>
    <t>ЮЛ770100193500842</t>
  </si>
  <si>
    <t>620137 Свердловская область город Екатеринбург улица Блюхера строение 39   часть нежилого помещения № 170, этаж 1 (первый)</t>
  </si>
  <si>
    <t>ЮЛ770100193500844</t>
  </si>
  <si>
    <t>622034 Свердловская область город Нижний Тагил проспект Ленина дом 40/1   помещение 1001, первый этаж</t>
  </si>
  <si>
    <t>ЮЛ770100193500868</t>
  </si>
  <si>
    <t>ЮЛ770100193500892</t>
  </si>
  <si>
    <t>620102 Свердловская область город Екатеринбург улица Белореченская дом 17 корпус 1  часть помещений 7-10</t>
  </si>
  <si>
    <t>ЮЛ770100193500920</t>
  </si>
  <si>
    <t>620143 Свердловская область город Екатеринбург улица Победы/ улица Индустрии дом 36/50   помещение 59-73</t>
  </si>
  <si>
    <t>ЮЛ770100193500976</t>
  </si>
  <si>
    <t>622051 Свердловская область город Нижний Тагил проспект Вагоностроителей дом 21   помещение 1002</t>
  </si>
  <si>
    <t>ЮЛ770100193501042</t>
  </si>
  <si>
    <t>624003 Свердловская область город Арамиль улица 1 Мая дом 69   помещение 1</t>
  </si>
  <si>
    <t>ЮЛ770100193501055</t>
  </si>
  <si>
    <t>620014 Свердловская область город Екатеринбург улица 8 Марта дом 46   помещение 18, второй этаж</t>
  </si>
  <si>
    <t>ЮЛ770100193501067</t>
  </si>
  <si>
    <t>ЮЛ770100193501100</t>
  </si>
  <si>
    <t>620014 Свердловская область город Екатеринбург улица 8 Марта дом 46   часть помещения 375, 1 этаж</t>
  </si>
  <si>
    <t>ЮЛ770100193501132</t>
  </si>
  <si>
    <t>ЮЛ160600373100012</t>
  </si>
  <si>
    <t>620142 Свердловская область город Екатеринбург улица Щорса дом 58   Часть помещения на 1 этаже</t>
  </si>
  <si>
    <t>ЮЛ770103181900010</t>
  </si>
  <si>
    <t>620014 Свердловская область город Екатеринбург улица 8 Марта строение 46   пом. № 378, № 378а (модуль В28), этаж 1</t>
  </si>
  <si>
    <t>ЮЛ770101021700109</t>
  </si>
  <si>
    <t>620146 Свердловская область город Екатеринбург улица Амундсена дом 63</t>
  </si>
  <si>
    <t>ЮЛ780300131300061</t>
  </si>
  <si>
    <t>620014 Свердловская область город Екатеринбург улица Вайнера дом 9-а</t>
  </si>
  <si>
    <t>ЮЛ780300131300062</t>
  </si>
  <si>
    <t>623950 Свердловская область город Тавда улица Ленина дом 48   пом. 3</t>
  </si>
  <si>
    <t>ЮЛ780300131300064</t>
  </si>
  <si>
    <t>624132 Свердловская область город Новоуральск улица Комсомольская дом 2   часть нежилого помещения №54</t>
  </si>
  <si>
    <t>ЮЛ780300131300561</t>
  </si>
  <si>
    <t>620073 Свердловская область город Екатеринбург улица Академика Шварца дом 17   часть нежилого помещения №312, этаж: 1</t>
  </si>
  <si>
    <t>ЮЛ780300131300583</t>
  </si>
  <si>
    <t>624003 Свердловская область город Арамиль улица 1 Мая дом 69   нежилое помещение №82 (часть нежилого помещения №82)</t>
  </si>
  <si>
    <t>ЮЛ780300131300640</t>
  </si>
  <si>
    <t>622034 Свердловская область город Нижний Тагил проспект Ленина дом 52</t>
  </si>
  <si>
    <t>ЮЛ780300328000115</t>
  </si>
  <si>
    <t>624132 Свердловская область город Новоуральск улица Комсомольская дом 2   часть нежилого помещения № 54</t>
  </si>
  <si>
    <t>ЮЛ780300331800047</t>
  </si>
  <si>
    <t>620089 Свердловская область город Екатеринбург улица Академика Шварца дом 17  Литер А,А1,А2,А3</t>
  </si>
  <si>
    <t>ЮЛ780300331800077</t>
  </si>
  <si>
    <t>620043 Свердловская область город Екатеринбург улица Репина дом 94 - - помещение 77</t>
  </si>
  <si>
    <t>ИП780303305300000</t>
  </si>
  <si>
    <t>620010 Свердловская область город Екатеринбург улица Грибоедова дом 20</t>
  </si>
  <si>
    <t>ЮЛ780300323500004</t>
  </si>
  <si>
    <t>624132 Свердловская область город Новоуральск улица Комсомольская дом 2</t>
  </si>
  <si>
    <t>ЮЛ780300323500021</t>
  </si>
  <si>
    <t>620050 Свердловская область город Екатеринбург улица Билимбаевская дом 28  б</t>
  </si>
  <si>
    <t>ЮЛ780300323500047</t>
  </si>
  <si>
    <t>620137 Свердловская область город Екатеринбург улица Блюхера строение 39</t>
  </si>
  <si>
    <t>ЮЛ780300323500048</t>
  </si>
  <si>
    <t>620014 Свердловская область город Екатеринбург улица Вайнера дом 9а</t>
  </si>
  <si>
    <t>ЮЛ780300323500049</t>
  </si>
  <si>
    <t>ЮЛ780300323500050</t>
  </si>
  <si>
    <t>620105 Свердловская область город Екатеринбург улица Краснолесья строение 133</t>
  </si>
  <si>
    <t>ЮЛ780300323500051</t>
  </si>
  <si>
    <t>623426 Свердловская область город Каменск-Уральский улица Суворова дом 23  А помещения 5-9</t>
  </si>
  <si>
    <t>ЮЛ780300323500059</t>
  </si>
  <si>
    <t>624440 Свердловская область город Краснотурьинск улица Ленина дом 42</t>
  </si>
  <si>
    <t>ЮЛ780300323500063</t>
  </si>
  <si>
    <t>620144 Свердловская область город Екатеринбург улица 8 Марта дом 150</t>
  </si>
  <si>
    <t>ЮЛ780300323500082</t>
  </si>
  <si>
    <t>620073 Свердловская область город Екатеринбург улица Академика Шварца строение 17</t>
  </si>
  <si>
    <t>ЮЛ780300323500083</t>
  </si>
  <si>
    <t>620091 Свердловская область город Екатеринбург улица Баумана дом 1   помещения 100-104</t>
  </si>
  <si>
    <t>ЮЛ780300323500084</t>
  </si>
  <si>
    <t>620102 Свердловская область город Екатеринбург улица Белореченская дом 17 корпус 1  помещения 64-68</t>
  </si>
  <si>
    <t>ЮЛ780300323500085</t>
  </si>
  <si>
    <t>620135 Свердловская область город Екатеринбург улица Старых Большевиков дом 86   помещения 12-18</t>
  </si>
  <si>
    <t>ЮЛ780300323500086</t>
  </si>
  <si>
    <t>620027 Свердловская область город Екатеринбург улица Челюскинцев дом 19</t>
  </si>
  <si>
    <t>ЮЛ780300323500087</t>
  </si>
  <si>
    <t>620142 Свердловская область город Екатеринбург улица Щорса дом 29   15</t>
  </si>
  <si>
    <t>ЮЛ780300323500088</t>
  </si>
  <si>
    <t>622051 Свердловская область город Нижний Тагил проспект Вагоностроителей / проспект Дзержинского дом 21 / дом 45</t>
  </si>
  <si>
    <t>ЮЛ780300323500106</t>
  </si>
  <si>
    <t>622034 Свердловская область город Нижний Тагил проспект Ленина дом 71   помещения 1-3</t>
  </si>
  <si>
    <t>ЮЛ780300323500107</t>
  </si>
  <si>
    <t>620062 Свердловская область город Екатеринбург проспект Ленина / улица Гагарина дом 70 / дом 18   помещения 48-51, 54-55, 32, 57</t>
  </si>
  <si>
    <t>ЮЛ780300323500114</t>
  </si>
  <si>
    <t>624203 Свердловская область город Лесной улица Ленина дом 35</t>
  </si>
  <si>
    <t>ЮЛ780300308200031</t>
  </si>
  <si>
    <t>622049 Свердловская область город Нижний Тагил шоссе Черноисточинское дом 49А</t>
  </si>
  <si>
    <t>ЮЛ780300308200146</t>
  </si>
  <si>
    <t>620137 Свердловская область город Екатеринбург улица Сулимова дом 50</t>
  </si>
  <si>
    <t>ЮЛ780300308200151</t>
  </si>
  <si>
    <t>624449 Свердловская область город Краснотурьинск улица Ленина дом 74</t>
  </si>
  <si>
    <t>ЮЛ780300308200161</t>
  </si>
  <si>
    <t>622051 Свердловская область город Нижний Тагил проспект Вагоностроителей дом 21   часть нежилого помещения №70, нежилые помещения №71-74</t>
  </si>
  <si>
    <t>ЮЛ780300308200167</t>
  </si>
  <si>
    <t>620012 Свердловская область город Екатеринбург проспект Космонавтов дом 41   часть нежилого помещения б/н</t>
  </si>
  <si>
    <t>ЮЛ780300308200188</t>
  </si>
  <si>
    <t>623391 Свердловская область г. Полевской, мкр Зеленый Бор-1  д. 4А   часть нежилого помещения №57</t>
  </si>
  <si>
    <t>ЮЛ780300308200237</t>
  </si>
  <si>
    <t>620012 Свердловская область город Екатеринбург проспект Космонавтов дом 108д   помещения №133-134</t>
  </si>
  <si>
    <t>ЮЛ780300308200248</t>
  </si>
  <si>
    <t>620091 Свердловская область город Екатеринбург улица Баумана дом 1</t>
  </si>
  <si>
    <t>ЮЛ780300308200278</t>
  </si>
  <si>
    <t>ЮЛ780300308200279</t>
  </si>
  <si>
    <t>620142 Свердловская область город Екатеринбург улица Щорса дом 29</t>
  </si>
  <si>
    <t>ЮЛ780300308200281</t>
  </si>
  <si>
    <t>620014 Свердловская область город Екатеринбург улица Репина дом 94   помещение 277</t>
  </si>
  <si>
    <t>ЮЛ780300308200296</t>
  </si>
  <si>
    <t>623851 Свердловская область город Ирбит улица Советская дом 79   часть нежилого помещения 13</t>
  </si>
  <si>
    <t>ЮЛ780300308200297</t>
  </si>
  <si>
    <t>623382 Свердловская область город Полевской     часть нежилого помещения 39</t>
  </si>
  <si>
    <t>ЮЛ780300308200304</t>
  </si>
  <si>
    <t>623950 Свердловская область город Тавда улица Ленина дом 48   помещение 3</t>
  </si>
  <si>
    <t>ЮЛ780300308200309</t>
  </si>
  <si>
    <t>620043 Свердловская область город Екатеринбург улица Металлургов дом 87   площади №507KSK-35</t>
  </si>
  <si>
    <t>ЮЛ780300308200321</t>
  </si>
  <si>
    <t>624272 Свердловская область город Асбест улица Ленинградская дом 26/2</t>
  </si>
  <si>
    <t>ЮЛ780300308200332</t>
  </si>
  <si>
    <t>620135 Свердловская область город Екатеринбург улица Старых Большевиков дом 86</t>
  </si>
  <si>
    <t>ЮЛ780300308200339</t>
  </si>
  <si>
    <t>620027 Свердловская область город Екатеринбург улица Челюскинцев дом 21</t>
  </si>
  <si>
    <t>ЮЛ780300308200340</t>
  </si>
  <si>
    <t>623426 Свердловская область город Каменск-Уральский улица Суворова дом 24   часть нежилых помещений № 216, 217, 218</t>
  </si>
  <si>
    <t>ЮЛ780300308200342</t>
  </si>
  <si>
    <t>622018 Свердловская область город Нижний Тагил улица Юности дом 16</t>
  </si>
  <si>
    <t>ЮЛ780300308200349</t>
  </si>
  <si>
    <t>624130 Свердловская область город Новоуральск улица Автозаводская дом 21   часть нежилых помещений №135, 136</t>
  </si>
  <si>
    <t>ЮЛ780300308200352</t>
  </si>
  <si>
    <t>623750 Свердловская область город Реж улица Ленина дом 19</t>
  </si>
  <si>
    <t>ЮЛ780300308200354</t>
  </si>
  <si>
    <t>624480 Свердловская область город Североуральск улица Ленина дом 31   помещение 65</t>
  </si>
  <si>
    <t>ЮЛ780300308200356</t>
  </si>
  <si>
    <t>624993 Свердловская область город Серов улица Ленина дом 215</t>
  </si>
  <si>
    <t>ЮЛ780300308200357</t>
  </si>
  <si>
    <t>624800 Свердловская область город Сухой Лог улица Октябрьская дом 19</t>
  </si>
  <si>
    <t>ЮЛ780300308200358</t>
  </si>
  <si>
    <t>620142 Свердловская область город Екатеринбург улица 8 Марта дом 149</t>
  </si>
  <si>
    <t>ЮЛ780300308200610</t>
  </si>
  <si>
    <t>620042 Свердловская область город Екатеринбург улица Победы дом 53</t>
  </si>
  <si>
    <t>ЮЛ780300308200736</t>
  </si>
  <si>
    <t>624993 Свердловская область город Серов улица Ленина дом 173</t>
  </si>
  <si>
    <t>ЮЛ780300308200762</t>
  </si>
  <si>
    <t>ЮЛ780300308200808</t>
  </si>
  <si>
    <t>ЮЛ780300308200809</t>
  </si>
  <si>
    <t>620073 Свердловская область город Екатеринбург улица Академика Шварца дом 1   часть нежилого помещения №247</t>
  </si>
  <si>
    <t>ЮЛ780300308200810</t>
  </si>
  <si>
    <t>620102 Свердловская область город Екатеринбург улица Белореченская дом 17 корпус 1</t>
  </si>
  <si>
    <t>ЮЛ780300308200812</t>
  </si>
  <si>
    <t>620062 Свердловская область город Екатеринбург проспект Ленина дом 64   помещение 1</t>
  </si>
  <si>
    <t>ЮЛ780300308200813</t>
  </si>
  <si>
    <t>624132 Свердловская область город Новоуральск улица Комсомольская дом 2   часть нежилых помещений №42-55</t>
  </si>
  <si>
    <t>ЮЛ780300308200901</t>
  </si>
  <si>
    <t>624449 Свердловская область город Краснотурьинск улица Ленинского Комсомола дом 21   часть нежилого помещения №45</t>
  </si>
  <si>
    <t>ЮЛ780300308200906</t>
  </si>
  <si>
    <t>620073 Свердловская область город Екатеринбург улица Академика Шварца дом 17</t>
  </si>
  <si>
    <t>ЮЛ780300308200981</t>
  </si>
  <si>
    <t>620014 Свердловская область город Екатеринбург улица 8 Марта строение 46   нежилое помещение № 30</t>
  </si>
  <si>
    <t>ЮЛ780300308201104</t>
  </si>
  <si>
    <t>624003 Свердловская область город Арамиль улица 1 Мая дом 69   нежилое помещение №82</t>
  </si>
  <si>
    <t>ЮЛ780300308201224</t>
  </si>
  <si>
    <t>623426 Свердловская область город Каменск-Уральский улица Суворова  дом 23А</t>
  </si>
  <si>
    <t>ЮЛ780300363500019</t>
  </si>
  <si>
    <t>ЮЛ780300363500023</t>
  </si>
  <si>
    <t>ЮЛ780300363500032</t>
  </si>
  <si>
    <t>ЮЛ780300363500086</t>
  </si>
  <si>
    <t>620073 Свердловская область город Екатеринбург улица Академика Шварца дом 17   помещения № 214, 215, 216</t>
  </si>
  <si>
    <t>ЮЛ780300363500087</t>
  </si>
  <si>
    <t>ЮЛ780300363500088</t>
  </si>
  <si>
    <t>620102 Свердловская область город Екатеринбург улица Белореченская дом 17 корпус 1  помещения 64-67</t>
  </si>
  <si>
    <t>ЮЛ780300363500089</t>
  </si>
  <si>
    <t>620050 Свердловская область город Екатеринбург улица Билимбаевская дом 28Б</t>
  </si>
  <si>
    <t>ЮЛ780300363500090</t>
  </si>
  <si>
    <t>620137 Свердловская область город Екатеринбург улица Блюхера дом 39</t>
  </si>
  <si>
    <t>ЮЛ780300363500091</t>
  </si>
  <si>
    <t>ЮЛ780300363500092</t>
  </si>
  <si>
    <t>ЮЛ780300363500093</t>
  </si>
  <si>
    <t>ЮЛ780300363500094</t>
  </si>
  <si>
    <t>620062 Свердловская область город Екатеринбург проспект Ленина / улица Гагарина дом 70/18</t>
  </si>
  <si>
    <t>ЮЛ780300363500095</t>
  </si>
  <si>
    <t>ЮЛ780300363500100</t>
  </si>
  <si>
    <t>ЮЛ780300363500101</t>
  </si>
  <si>
    <t>620142 Свердловская область город Екатеринбург улица Щорса сооружение 29а</t>
  </si>
  <si>
    <t>ЮЛ780300363500102</t>
  </si>
  <si>
    <t>622051 Свердловская область город Нижний Тагил проспект Вагоностроителей дом 21</t>
  </si>
  <si>
    <t>ЮЛ780300363500150</t>
  </si>
  <si>
    <t>ЮЛ780300363500151</t>
  </si>
  <si>
    <t>620016 Свердловская область город Екатеринбург улица Краснолесья дом 133   помещение №101</t>
  </si>
  <si>
    <t>ЮЛ780300363500273</t>
  </si>
  <si>
    <t>620142 Свердловская область город Екатеринбург улица Щорса дом 54</t>
  </si>
  <si>
    <t>ЮЛ780300363500274</t>
  </si>
  <si>
    <t>620089 Свердловская область город Екатеринбург улица Белинского дом 169б   помещения 30-36</t>
  </si>
  <si>
    <t>ЮЛ780300363500309</t>
  </si>
  <si>
    <t>620043 Свердловская область город Екатеринбург улица Репина строение 94   помещение 309</t>
  </si>
  <si>
    <t>ЮЛ780301261200017</t>
  </si>
  <si>
    <t>620014 Свердловская область город Екатеринбург улица 8 Марта дом 46   помещение 22</t>
  </si>
  <si>
    <t>ЮЛ780301261200029</t>
  </si>
  <si>
    <t>620142 Свердловская область город Екатеринбург улица Щорса строение 29   помещение (бутик № 9)</t>
  </si>
  <si>
    <t>ЮЛ780301261200038</t>
  </si>
  <si>
    <t>624250 Свердловская область город Заречный улица Кузнецова дом 11   помещение 1</t>
  </si>
  <si>
    <t>ИП Минина Оксана Валериевна</t>
  </si>
  <si>
    <t>860233665713</t>
  </si>
  <si>
    <t>ИП6607013255</t>
  </si>
  <si>
    <t>ИП660701325500000</t>
  </si>
  <si>
    <t>620014 Свердловская область город Екатеринбург улица 8 Марта дом 46   1 этаж, помещение 376</t>
  </si>
  <si>
    <t>ЮЛ770100668800007</t>
  </si>
  <si>
    <t>620000 Свердловская область город Екатеринбург улица Красноармейская дом 37  Литер А 1 этаж, помещение № 412-44</t>
  </si>
  <si>
    <t>ЮЛ770101919300003</t>
  </si>
  <si>
    <t>620014 Свердловская область город Екатеринбург улица Вайнера дом 16 строение 3-31  нежилые помещения: №1 (первый этаж), №2 (первый этаж), №№1-12 (второй этаж)</t>
  </si>
  <si>
    <t>ЮЛ770100439200124</t>
  </si>
  <si>
    <t>620043 Свердловская область город Екатеринбург улица Репина дом 94   нежилое помещение №217  на втором этаже здания</t>
  </si>
  <si>
    <t>ЮЛ770100439200125</t>
  </si>
  <si>
    <t>620014 Свердловская область город Екатеринбург улица 8 Марта дом 46   нежилое помещение №31 на втором этаже</t>
  </si>
  <si>
    <t>ЮЛ770100439200126</t>
  </si>
  <si>
    <t>620147 Свердловская область город Екатеринбург улица Амундсена дом 65  Литер А нежилое помещени №304 (порядковый номер павильона №130) на 1 этаже в ТРЦ "КИТ"</t>
  </si>
  <si>
    <t>ЮЛ770100439200127</t>
  </si>
  <si>
    <t>620000 Свердловская область город Екатеринбург улица 8 Марта дом 51   этаж 3/офис 303</t>
  </si>
  <si>
    <t>ЮЛ770100029500003</t>
  </si>
  <si>
    <t>620014 Свердловская область город Екатеринбург улица 8 Марта дом 46   помещение №375, первый этаж</t>
  </si>
  <si>
    <t>ЮЛ770104000500003</t>
  </si>
  <si>
    <t>Севастополь</t>
  </si>
  <si>
    <t>299020 Севастополь город Севастополь проспект Генерала Острякова дом 260</t>
  </si>
  <si>
    <t>ИП230400618900034</t>
  </si>
  <si>
    <t>299053 Севастополь город Севастополь улица Вакуленчука дом 29/2 корпус 2</t>
  </si>
  <si>
    <t>ИП230400618900036</t>
  </si>
  <si>
    <t>ИП230400618900037</t>
  </si>
  <si>
    <t>299053 Севастополь город Севастополь улица Вакуленчука дом 29/2 2</t>
  </si>
  <si>
    <t>ИП230400618900042</t>
  </si>
  <si>
    <t>ИП470303686600012</t>
  </si>
  <si>
    <t>299053 Севастополь город Севастополь улица Вакуленчука дом 29/2   часть нежилого помещения площадью 202 кв.м., расположенного на первом этаже корпуса №2 Торгово-развлекательного центра «Муссон»,</t>
  </si>
  <si>
    <t>ИП470303686600015</t>
  </si>
  <si>
    <t>299053 Севастополь город Севастополь улица Вакуленчука дом 29/2</t>
  </si>
  <si>
    <t>ИП520600810100004</t>
  </si>
  <si>
    <t>299011 Севастополь город Севастополь улица Большая Морская 15</t>
  </si>
  <si>
    <t>ИП Павлов Энджел Вэтольдович</t>
  </si>
  <si>
    <t>390102492893</t>
  </si>
  <si>
    <t>ИП7803019921</t>
  </si>
  <si>
    <t>ИП780301992100000</t>
  </si>
  <si>
    <t>299011 Севастополь город Севастополь  проспект Нахимова дом 5   квартира 3</t>
  </si>
  <si>
    <t>ООО "МОНТИНО"</t>
  </si>
  <si>
    <t>5258144736</t>
  </si>
  <si>
    <t>ЮЛ5206039021</t>
  </si>
  <si>
    <t>ЮЛ520603902100000</t>
  </si>
  <si>
    <t>299053 Севастополь город Севастополь улица Вакуленчука дом 33а</t>
  </si>
  <si>
    <t>ИП Курбатова Валентина Михайловна</t>
  </si>
  <si>
    <t>613602156437</t>
  </si>
  <si>
    <t>ИП6104011367</t>
  </si>
  <si>
    <t>ИП610401136700000</t>
  </si>
  <si>
    <t>299014 Севастополь город Севастополь проспект Героев Сталинграда дом 26   помещение 5</t>
  </si>
  <si>
    <t>ЮЛ660700070800217</t>
  </si>
  <si>
    <t>299011 Севастополь город Севастополь улица Щербака дом 1/2</t>
  </si>
  <si>
    <t>ЮЛ770101324600006</t>
  </si>
  <si>
    <t>299057 Севастополь город Севастополь проспект Октябрьской Революции дом 57</t>
  </si>
  <si>
    <t>ЮЛ770101324600007</t>
  </si>
  <si>
    <t>299053 Севастополь город Севастополь улица Вакуленчука дом 2/7</t>
  </si>
  <si>
    <t>ЮЛ770101324600011</t>
  </si>
  <si>
    <t>299014 Севастополь город Севастополь проспект Героев Сталинграда дом 28</t>
  </si>
  <si>
    <t>ЮЛ770101324600015</t>
  </si>
  <si>
    <t>299029 Севастополь город Севастополь проспект Генерала Острякова дом 35 этаж 1</t>
  </si>
  <si>
    <t>ЮЛ770101324600019</t>
  </si>
  <si>
    <t>299055 Севастополь город Севастополь проспект Генерала Острякова дом 155</t>
  </si>
  <si>
    <t>ЮЛ770101324600022</t>
  </si>
  <si>
    <t>299011 Севастополь город Севастополь проспект Нахимова дом 17   этаж 1</t>
  </si>
  <si>
    <t>ЮЛ900403653600002</t>
  </si>
  <si>
    <t>299038 Севастополь город Севастополь проспект Октябрьской революции дом 24</t>
  </si>
  <si>
    <t>ИП820400535000000</t>
  </si>
  <si>
    <t>299020 Севастополь город Севастополь проспект Генерала Острякова дом 260   этаж 1, помещения 1015, 1016</t>
  </si>
  <si>
    <t>ЮЛ820400778700006</t>
  </si>
  <si>
    <t>299011 Севастополь город Севастополь проспект Нахимова дом 3   этаж 1, подвал б/н</t>
  </si>
  <si>
    <t>ЮЛ820400778700010</t>
  </si>
  <si>
    <t>299053 Севастополь город Севастополь улица Вакуленчука дом 29/2 корпус 9  1 этаж</t>
  </si>
  <si>
    <t>ЮЛ820400778700011</t>
  </si>
  <si>
    <t>299055 Севастополь город Севастополь улица Генерала Хрюкина дом 2   первый этаж</t>
  </si>
  <si>
    <t>ЮЛ820400778700012</t>
  </si>
  <si>
    <t>299038 Севастополь город Севастополь проспект Октябрьской революции дом 38   1 этаж, встроенные помещения с I-I по I-6</t>
  </si>
  <si>
    <t>ЮЛ820400778700013</t>
  </si>
  <si>
    <t>299029 Севастополь город Севастополь проспект Генерала Острякова дом 45</t>
  </si>
  <si>
    <t>ЮЛ910403571400002</t>
  </si>
  <si>
    <t>299021 Севастополь город Севастополь улица Александра Косарева дом 1   помещение V</t>
  </si>
  <si>
    <t>ЮЛ910403571400004</t>
  </si>
  <si>
    <t>299055 Севастополь город Севастополь улица Генерала Хрюкина дом 2   помещение 38</t>
  </si>
  <si>
    <t>ЮЛ910403571400006</t>
  </si>
  <si>
    <t>299040 Севастополь город Севастополь проспект Генерала Острякова дом 71</t>
  </si>
  <si>
    <t>ЮЛ910403571400007</t>
  </si>
  <si>
    <t>299055 Севастополь город Севастополь проспект Генерала Острякова дом 155 "З"</t>
  </si>
  <si>
    <t>ЮЛ910403571400010</t>
  </si>
  <si>
    <t>299029 Севастополь город Севастополь проспект Генерала Острякова дом 64   помещение XX</t>
  </si>
  <si>
    <t>ЮЛ910403571400020</t>
  </si>
  <si>
    <t>299059 Севастополь город Севастополь проспект Героев Сталинграда дом 39-Г</t>
  </si>
  <si>
    <t>ЮЛ910403571400021</t>
  </si>
  <si>
    <t>299028 Севастополь город Севастополь площадь 50-летия СССР дом 11</t>
  </si>
  <si>
    <t>ЮЛ910403571400022</t>
  </si>
  <si>
    <t>299057 Севастополь город Севастополь проспект Октябрьской революции дом 43</t>
  </si>
  <si>
    <t>ЮЛ910403571400023</t>
  </si>
  <si>
    <t>299057 Севастополь город Севастополь проспект Октябрьской революции дом 57-А/7</t>
  </si>
  <si>
    <t>ЮЛ910403571400025</t>
  </si>
  <si>
    <t>299038 Севастополь город Севастополь проспект Октябрьской революции дом 42-Д</t>
  </si>
  <si>
    <t>ЮЛ910403571400027</t>
  </si>
  <si>
    <t>299046 Севастополь город Севастополь проспект Победы дом 38</t>
  </si>
  <si>
    <t>ЮЛ910403571400028</t>
  </si>
  <si>
    <t>299053 Севастополь город Севастополь улица Вакуленчука дом б\н   Торговый павильон №1 ( "Ален")</t>
  </si>
  <si>
    <t>ЮЛ910403571400030</t>
  </si>
  <si>
    <t>299011 Севастополь город Севастополь улица Большая Морская дом 33</t>
  </si>
  <si>
    <t>ЮЛ910403571400031</t>
  </si>
  <si>
    <t>299011 Севастополь город Севастополь улица Генерала Петрова дом 2</t>
  </si>
  <si>
    <t>ЮЛ910403571400032</t>
  </si>
  <si>
    <t>299002 Севастополь город Севастополь площадь Захарова дом 4   помещение Ⅱ-2</t>
  </si>
  <si>
    <t>ЮЛ910403571400033</t>
  </si>
  <si>
    <t>299022 Севастополь город Севастополь улица Горпищенко дом 53</t>
  </si>
  <si>
    <t>ЮЛ910403571400045</t>
  </si>
  <si>
    <t>299053 Севастополь город Севастополь улица Отрадная дом 15</t>
  </si>
  <si>
    <t>ЮЛ910403571400059</t>
  </si>
  <si>
    <t>299028 Севастополь город Севастополь проспект Гагарина дом 10 "В"    торговое помещение №4</t>
  </si>
  <si>
    <t>ЮЛ910403571400066</t>
  </si>
  <si>
    <t>299057 Севастополь город Севастополь улица Адмирала Фадеева дом 1  литера "А"</t>
  </si>
  <si>
    <t>ЮЛ910403571400073</t>
  </si>
  <si>
    <t>299008 Севастополь город Севастополь площадь Восставших дом 3   помещения № 1-2, 1-4, 1-5, 1-6.</t>
  </si>
  <si>
    <t>ЮЛ910403571400075</t>
  </si>
  <si>
    <t>299011 Севастополь город Севастополь улица Большая Морская/улица Адмирала Октябрьского дом 48/1</t>
  </si>
  <si>
    <t>ЮЛ910403571400077</t>
  </si>
  <si>
    <t>299057 Севастополь город Севастополь проспект Октябрьской Революции дом 43</t>
  </si>
  <si>
    <t>ЮЛ910403620200029</t>
  </si>
  <si>
    <t>299021 Севастополь город Севастополь улица Александра Косарева дом 1  А</t>
  </si>
  <si>
    <t>ЮЛ910403620200030</t>
  </si>
  <si>
    <t>ЮЛ910403620200034</t>
  </si>
  <si>
    <t>ЮЛ910403620200035</t>
  </si>
  <si>
    <t>ЮЛ910403620200037</t>
  </si>
  <si>
    <t>ЮЛ910403620200038</t>
  </si>
  <si>
    <t>ЮЛ910403620200047</t>
  </si>
  <si>
    <t>ЮЛ910403620200048</t>
  </si>
  <si>
    <t>ЮЛ910403620200049</t>
  </si>
  <si>
    <t>ЮЛ910403620200052</t>
  </si>
  <si>
    <t>ЮЛ910403620200053</t>
  </si>
  <si>
    <t>ЮЛ910403620200054</t>
  </si>
  <si>
    <t>ЮЛ910403620200055</t>
  </si>
  <si>
    <t>299002 Севастополь город Севастополь площадь Захарова дом 4   помещение II-2</t>
  </si>
  <si>
    <t>ЮЛ910403620200056</t>
  </si>
  <si>
    <t>ЮЛ910403620200057</t>
  </si>
  <si>
    <t>299046 Севастополь город Севастополь проспект Победы дом 38   часть блока помещений для торговли и услуг №2</t>
  </si>
  <si>
    <t>ЮЛ910403620200058</t>
  </si>
  <si>
    <t>299038 Севастополь город Севастополь проспект Октябрьской Революции дом 42-Д</t>
  </si>
  <si>
    <t>ЮЛ910403620200059</t>
  </si>
  <si>
    <t>299057 Севастополь город Севастополь проспект Октябрьской Революции дом 57-А</t>
  </si>
  <si>
    <t>ЮЛ910403620200060</t>
  </si>
  <si>
    <t>299028 Севастополь город Севастополь проспект Гагарина дом 10 "В"   торговое помещение №4</t>
  </si>
  <si>
    <t>ЮЛ910403620200066</t>
  </si>
  <si>
    <t>ЮЛ910403620200073</t>
  </si>
  <si>
    <t>ЮЛ910403620200076</t>
  </si>
  <si>
    <t>ЮЛ910403620200077</t>
  </si>
  <si>
    <t>299053 Севастополь город Севастополь улица Вакуленчука дом 29/2 корпус 2  1 этаж</t>
  </si>
  <si>
    <t>ИП Шурмелева Алла Анатольевна</t>
  </si>
  <si>
    <t>910300007833</t>
  </si>
  <si>
    <t>ИП8204005404</t>
  </si>
  <si>
    <t>ИП820400540400000</t>
  </si>
  <si>
    <t>299053 Севастополь город Севастополь улица Вакуленчука дом 29/2 корпус 2  этаж 1, магазин "SOKOLOV"</t>
  </si>
  <si>
    <t>ИП Шурмелев Константин Владимирович</t>
  </si>
  <si>
    <t>910307291030</t>
  </si>
  <si>
    <t>ИП8304004446</t>
  </si>
  <si>
    <t>ИП830400444600000</t>
  </si>
  <si>
    <t>299053 Севастополь город Севастополь улица Вакуленчука дом 29/2 ТРЦ "МУССОН", корпус 2  этаж 1, магазин "ЗОЛОТАЯ ЛИНИЯ"</t>
  </si>
  <si>
    <t>ИП830400444600001</t>
  </si>
  <si>
    <t>295050 Севастополь город Симферополь улица Кечкеметская дом 1</t>
  </si>
  <si>
    <t>ИП820400476300001</t>
  </si>
  <si>
    <t>299045 Севастополь Город Севастополь Улица Вакуленчука Дом 33-А</t>
  </si>
  <si>
    <t>ИП820400991100002</t>
  </si>
  <si>
    <t>299008 Севастополь город Севастополь улица Корсунская дом 33А</t>
  </si>
  <si>
    <t>ИП Колесник Дарья Александровна</t>
  </si>
  <si>
    <t>920001287956</t>
  </si>
  <si>
    <t>ИП9204040217</t>
  </si>
  <si>
    <t>ИП920404021700000</t>
  </si>
  <si>
    <t>299038 Севастополь город Севастополь проспект Октябрьской революции 48-А</t>
  </si>
  <si>
    <t>ИП830400080000003</t>
  </si>
  <si>
    <t>ИП830400651100000</t>
  </si>
  <si>
    <t>299011 Севастополь город Севастополь улица Генерала Петрова дом 2   квартира 27</t>
  </si>
  <si>
    <t>ИП830400651100001</t>
  </si>
  <si>
    <t>ИП830400651100002</t>
  </si>
  <si>
    <t>299057 Севастополь город Севастополь улица Летчиков дом 3-а  литера а</t>
  </si>
  <si>
    <t>ИП830400651100006</t>
  </si>
  <si>
    <t>299055 Севастополь город Севастополь улица Генерала Хрюкина дом 2</t>
  </si>
  <si>
    <t>ИП Гальвас Светлана Алексеевна</t>
  </si>
  <si>
    <t>920100088670</t>
  </si>
  <si>
    <t>ИП8304004141</t>
  </si>
  <si>
    <t>ИП830400414100000</t>
  </si>
  <si>
    <t>299014 Севастополь город Севастополь проспект Героев Сталинграда дом 27</t>
  </si>
  <si>
    <t>ИП Коренева Ирина Геннадиевна</t>
  </si>
  <si>
    <t>920100138105</t>
  </si>
  <si>
    <t>ИП8304004768</t>
  </si>
  <si>
    <t>ИП830400476800000</t>
  </si>
  <si>
    <t>299804 Севастополь поселок Кача Первомайская 10, на 1-м этаже здания</t>
  </si>
  <si>
    <t>ИП830400476800001</t>
  </si>
  <si>
    <t>299011 Севастополь город Севастополь улица Большая Морская / Адмирала Октябрьского дом 46/2</t>
  </si>
  <si>
    <t>ИП Скуридина Светлана Павловна</t>
  </si>
  <si>
    <t>920150001882</t>
  </si>
  <si>
    <t>ИП8304005242</t>
  </si>
  <si>
    <t>ИП830400524200000</t>
  </si>
  <si>
    <t>ИП Коренев Владимир Сергеевич</t>
  </si>
  <si>
    <t>920152279820</t>
  </si>
  <si>
    <t>ИП9204036279</t>
  </si>
  <si>
    <t>ИП920403627900000</t>
  </si>
  <si>
    <t>299014 Севастополь город Севастополь проспект Героев Сталинграда дом 26</t>
  </si>
  <si>
    <t>ЮЛ830400995300000</t>
  </si>
  <si>
    <t>299046 Севастополь город Севастополь проспект Победы дом 38  А1-8 часть помещения №3</t>
  </si>
  <si>
    <t>ЮЛ830400995300001</t>
  </si>
  <si>
    <t>299029 Севастополь город Севастополь проспект Генерала Острякова дом 45   помещение 18</t>
  </si>
  <si>
    <t>ЮЛ830400995300003</t>
  </si>
  <si>
    <t>299057 Севастополь город Севастополь проспект Октябрьской революции дом 57   2</t>
  </si>
  <si>
    <t>ЮЛ830400995300007</t>
  </si>
  <si>
    <t>299014 Севастополь город Севастополь проспект Героев Сталинграда дом 26   помещение 4</t>
  </si>
  <si>
    <t>ЮЛ830400995300010</t>
  </si>
  <si>
    <t>299011 Севастополь город Севастополь улица Одесская дом 29</t>
  </si>
  <si>
    <t>ИП Харчистова Светлана Алексеевна</t>
  </si>
  <si>
    <t>920155486976</t>
  </si>
  <si>
    <t>ИП8304004270</t>
  </si>
  <si>
    <t>ИП830400427000000</t>
  </si>
  <si>
    <t>ИП Ланцова Галина Владимировна</t>
  </si>
  <si>
    <t>920350019510</t>
  </si>
  <si>
    <t>ИП8304004272</t>
  </si>
  <si>
    <t>ИП830400427200000</t>
  </si>
  <si>
    <t>299001 Севастополь город Севастополь улица Героев Севастополя дом 27</t>
  </si>
  <si>
    <t>ИП Николаева Дарья Вадимовна</t>
  </si>
  <si>
    <t>920353549184</t>
  </si>
  <si>
    <t>ИП8304004494</t>
  </si>
  <si>
    <t>ИП830400449400000</t>
  </si>
  <si>
    <t>ИП830400449400001</t>
  </si>
  <si>
    <t>299014 Севастополь город Севастополь проспект Героев Сталинграда 27</t>
  </si>
  <si>
    <t>ИП830400449400003</t>
  </si>
  <si>
    <t>299023 Севастополь город Севастополь улица Семипалатинская дом 2Б</t>
  </si>
  <si>
    <t>ИП Мороз Елена Валериевна</t>
  </si>
  <si>
    <t>920359270372</t>
  </si>
  <si>
    <t>ИП8304008885</t>
  </si>
  <si>
    <t>ИП830400888500000</t>
  </si>
  <si>
    <t>299700 Севастополь город Севастополь Героев Севастополя 25</t>
  </si>
  <si>
    <t>ИП830400888500001</t>
  </si>
  <si>
    <t>299055 Севастополь город Севастополь проспект Генерала Острякова дом 192 Б</t>
  </si>
  <si>
    <t>ИП Фулга Любовь Викторовна</t>
  </si>
  <si>
    <t>920400034403</t>
  </si>
  <si>
    <t>ИП8304002974</t>
  </si>
  <si>
    <t>ИП830400297400000</t>
  </si>
  <si>
    <t>299011 Севастополь город Севастополь улица Адмирала Октябрьского дом 7</t>
  </si>
  <si>
    <t>ИП Андрашников Александр Ефимович</t>
  </si>
  <si>
    <t>920400128605</t>
  </si>
  <si>
    <t>ИП8304004746</t>
  </si>
  <si>
    <t>ИП830400474600000</t>
  </si>
  <si>
    <t>ООО "ТД ВИОЛЕТ"</t>
  </si>
  <si>
    <t>9204009079</t>
  </si>
  <si>
    <t>ЮЛ8304007759</t>
  </si>
  <si>
    <t>ЮЛ830400775900000</t>
  </si>
  <si>
    <t>299001 Севастополь город Севастополь улица Героев Севастополя дом 25</t>
  </si>
  <si>
    <t>ИП Денисов С.А.</t>
  </si>
  <si>
    <t>920450020484</t>
  </si>
  <si>
    <t>ИП8304004059</t>
  </si>
  <si>
    <t>ИП830400405900000</t>
  </si>
  <si>
    <t>299059 Севастополь город Севастополь проспект Героев Сталинграда дом 39   помещение 11</t>
  </si>
  <si>
    <t>ЮЛ830400411000001</t>
  </si>
  <si>
    <t>299029 Севастополь город Севастополь проспект Генерала Острякова дом 64   офис 32</t>
  </si>
  <si>
    <t>ЮЛ830400411000003</t>
  </si>
  <si>
    <t>ЮЛ830400411000004</t>
  </si>
  <si>
    <t>299002 Севастополь город Севастополь площадь Захарова дом 1</t>
  </si>
  <si>
    <t>ЮЛ830400411000006</t>
  </si>
  <si>
    <t>Смоленская область</t>
  </si>
  <si>
    <t>216400 Смоленская область Десногорск город Микрорайон 3 дом 19   помещение 77</t>
  </si>
  <si>
    <t>ИП770100193400000</t>
  </si>
  <si>
    <t>215500 Смоленская область город Сафоново улица Свободы дом 13   1 этаж, квартиры 9,10</t>
  </si>
  <si>
    <t>ИП320101991400011</t>
  </si>
  <si>
    <t>215500 Смоленская область город Сафоново улица Советская дом 56</t>
  </si>
  <si>
    <t>ИП320101991400012</t>
  </si>
  <si>
    <t>214012 Смоленская область город Смоленск улица Ново-Московская дом 2/8   этаж 1</t>
  </si>
  <si>
    <t>ИП320101991400014</t>
  </si>
  <si>
    <t>214031 Смоленская область город Смоленск улица Индустриальная дом 5   Офис 303</t>
  </si>
  <si>
    <t>ООО "КРОЕС"</t>
  </si>
  <si>
    <t>5001096880</t>
  </si>
  <si>
    <t>ЮЛ5001007312</t>
  </si>
  <si>
    <t>ЮЛ500100731200000</t>
  </si>
  <si>
    <t>214012 Смоленская область город Смоленск улица Ново-Московская дом 2/8</t>
  </si>
  <si>
    <t>ИП500100445500068</t>
  </si>
  <si>
    <t>214031 Смоленская область город Смоленск улица 25 Сентября дом 35а   помещение № 1.90 этаж 1</t>
  </si>
  <si>
    <t>ИП520600807800029</t>
  </si>
  <si>
    <t>ИП520600807800037</t>
  </si>
  <si>
    <t>214014 Смоленская область город Смоленск улица Тенишевой дом 19   помещение 3</t>
  </si>
  <si>
    <t>ООО "СМОЛЕНСКИЙ ЛОМБАРД"</t>
  </si>
  <si>
    <t>6700017650</t>
  </si>
  <si>
    <t>ЮЛ6701038334</t>
  </si>
  <si>
    <t>ЮЛ670103833400000</t>
  </si>
  <si>
    <t>215280 Смоленская область город Сычевка улица Бычкова дом 17</t>
  </si>
  <si>
    <t>ИП Белоусов Владимир Николаевич</t>
  </si>
  <si>
    <t>670900144158</t>
  </si>
  <si>
    <t>ИП6701007123</t>
  </si>
  <si>
    <t>ИП670100712300001</t>
  </si>
  <si>
    <t>216500 Смоленская область Рославль город Пролетарская улица 47 дом</t>
  </si>
  <si>
    <t>ИП Невская Жанна Александровна</t>
  </si>
  <si>
    <t>671201644992</t>
  </si>
  <si>
    <t>ИП6701010463</t>
  </si>
  <si>
    <t>ИП670101046300000</t>
  </si>
  <si>
    <t>214000 Смоленская область город Смоленск улица Большая Краснофлотская дом 1а   офис 5</t>
  </si>
  <si>
    <t>ИП Козлова Татьяна Леонидовна</t>
  </si>
  <si>
    <t>671402023900</t>
  </si>
  <si>
    <t>ИП6701037968</t>
  </si>
  <si>
    <t>ИП670103796800000</t>
  </si>
  <si>
    <t>215110 Смоленская область город Вязьма улица 25 Октября дом 2А   1 этаж, комната 19</t>
  </si>
  <si>
    <t>ИП Григорьева Светлана Николаевна</t>
  </si>
  <si>
    <t>672201758712</t>
  </si>
  <si>
    <t>ИП6701005615</t>
  </si>
  <si>
    <t>ИП670100561500000</t>
  </si>
  <si>
    <t>215110 Смоленская область город Вязьма улица Ленина дом 16</t>
  </si>
  <si>
    <t>ИП Горячева Надежда Леонидовна</t>
  </si>
  <si>
    <t>672201779102</t>
  </si>
  <si>
    <t>ИП6701037542</t>
  </si>
  <si>
    <t>ИП670103754200000</t>
  </si>
  <si>
    <t>215110 Смоленская область город Вязьма Красноармейское шоссе дом 1 этаж 1</t>
  </si>
  <si>
    <t>ИП Кукринов Александр Михайлович</t>
  </si>
  <si>
    <t>672202054525</t>
  </si>
  <si>
    <t>ИП6701005456</t>
  </si>
  <si>
    <t>ИП670100545600000</t>
  </si>
  <si>
    <t>215110 Смоленская область город Вязьма улица 25 Октября дом 24   этаж 1</t>
  </si>
  <si>
    <t>ИП Платонова Татьяна Юрьевна</t>
  </si>
  <si>
    <t>672202586946</t>
  </si>
  <si>
    <t>ИП6701013074</t>
  </si>
  <si>
    <t>ИП670101307400000</t>
  </si>
  <si>
    <t>215110 Смоленская область город Вязьма Красноармейское шоссе дом 11</t>
  </si>
  <si>
    <t>ИП Чекушкина Надежда Владимировна</t>
  </si>
  <si>
    <t>672204062472</t>
  </si>
  <si>
    <t>ИП6701019348</t>
  </si>
  <si>
    <t>ИП670101934800000</t>
  </si>
  <si>
    <t>215110 Смоленская область город Вязьма улица 25-го Октября дом 1   этаж 1</t>
  </si>
  <si>
    <t>ИП Петрова Татьяна Владимировна</t>
  </si>
  <si>
    <t>672208109403</t>
  </si>
  <si>
    <t>ИП6701002123</t>
  </si>
  <si>
    <t>ИП670100212300000</t>
  </si>
  <si>
    <t>215010 Смоленская область город Гагарин улица Гагарина дом 39   1 этаж</t>
  </si>
  <si>
    <t>ИП Мирончикова Татьяна Михайловна</t>
  </si>
  <si>
    <t>672300105337</t>
  </si>
  <si>
    <t>ИП6701011806</t>
  </si>
  <si>
    <t>ИП670101180600000</t>
  </si>
  <si>
    <t>215010 Смоленская область город Гагарин улица Бахтина дом 5</t>
  </si>
  <si>
    <t>ИП Мирончиков Анатолий Алексеевич</t>
  </si>
  <si>
    <t>672301213141</t>
  </si>
  <si>
    <t>ИП7701038284</t>
  </si>
  <si>
    <t>ИП770103828400000</t>
  </si>
  <si>
    <t>216500 Смоленская область город Рославль улица Пролетарская (территория рынка)  Многофункциональный торговый комплекс "Крытый рынок"  торговое место №А-22</t>
  </si>
  <si>
    <t>ИП Хрисанфов Олег Георгиевич</t>
  </si>
  <si>
    <t>672500758742</t>
  </si>
  <si>
    <t>ИП6701004193</t>
  </si>
  <si>
    <t>ИП670100419300000</t>
  </si>
  <si>
    <t>216400 Смоленская область город Десногорск 1-й микрорайон  Магазин Бродвей</t>
  </si>
  <si>
    <t>ИП670100419300002</t>
  </si>
  <si>
    <t>214012 Смоленская область город Смоленск улица Ново-Московская дом 2/8   1 этаж</t>
  </si>
  <si>
    <t>ИП670100293400006</t>
  </si>
  <si>
    <t>214012 Смоленская область город Смоленск улица Ново-Московская дом 2/8   1 этаж ТРЦ "Галактика" нежилое помещение под условным №1</t>
  </si>
  <si>
    <t>ИП670100293400007</t>
  </si>
  <si>
    <t>214000 Смоленская область город Смоленск проспект Гагарина дом 1   ТЦ «ЮНОНА», 1 этаж, пом. 36,5 кв.м., «Sokolov»</t>
  </si>
  <si>
    <t>ИП670100293400009</t>
  </si>
  <si>
    <t>216400 Смоленская область город Десногорск  строение 1   1 этаж, помещение под условным номером №А7</t>
  </si>
  <si>
    <t>ИП670100293400011</t>
  </si>
  <si>
    <t>214031 Смоленская область город Смоленск улица 25 Сентября дом 35а   этаж 1 помещение 1.21</t>
  </si>
  <si>
    <t>ИП670100293400014</t>
  </si>
  <si>
    <t>215500 Смоленская область город Сафоново улица Ленина дом 39</t>
  </si>
  <si>
    <t>ИП Павлова Наталья Владимировна</t>
  </si>
  <si>
    <t>672600153606</t>
  </si>
  <si>
    <t>ИП6701013490</t>
  </si>
  <si>
    <t>ИП670101349000000</t>
  </si>
  <si>
    <t>215500 Смоленская область город Сафоново улица Ленина дом 39   часть помещения в магазине №17</t>
  </si>
  <si>
    <t>ИП Азаринец Юлия Львовна</t>
  </si>
  <si>
    <t>672600198614</t>
  </si>
  <si>
    <t>ИП6701034233</t>
  </si>
  <si>
    <t>ИП670103423300000</t>
  </si>
  <si>
    <t>215500 Смоленская область город Сафоново улица Свободы дом 11   квартира 2</t>
  </si>
  <si>
    <t>ИП Петроченкова Тамара Николаевна</t>
  </si>
  <si>
    <t>672601913338</t>
  </si>
  <si>
    <t>ИП6701013604</t>
  </si>
  <si>
    <t>ИП670101360400000</t>
  </si>
  <si>
    <t>215805 Смоленская область город Ярцево проспект Металлургов дом 21   торговое место №4</t>
  </si>
  <si>
    <t>ИП470301491100001</t>
  </si>
  <si>
    <t>215500 Смоленская область город Сафоново улица Свободы дом 11   квартира 3</t>
  </si>
  <si>
    <t>ИП670100585200003</t>
  </si>
  <si>
    <t>215800 Смоленская область город Ярцево улица Максима Горького дом 16   комната 2</t>
  </si>
  <si>
    <t>ИП670100585200004</t>
  </si>
  <si>
    <t>215800 Смоленская область город Ярцево улица Советская дом 23</t>
  </si>
  <si>
    <t>ИП670100585200005</t>
  </si>
  <si>
    <t>215805 Смоленская область город Ярцево проспект Металлургов дом 21   помещение 21</t>
  </si>
  <si>
    <t>ИП670100585200006</t>
  </si>
  <si>
    <t>215500 Смоленская область город Сафоново улица Ленина дом 39   квартира 24</t>
  </si>
  <si>
    <t>ИП670100585200007</t>
  </si>
  <si>
    <t>214000 Смоленская область город Смоленск улица Дзержинского дом 2А</t>
  </si>
  <si>
    <t>ИП Жуков Роман Николаевич</t>
  </si>
  <si>
    <t>672905807927</t>
  </si>
  <si>
    <t>ИП6701014469</t>
  </si>
  <si>
    <t>ИП670101446900000</t>
  </si>
  <si>
    <t>214004 Смоленская область город Смоленск улица Николаева дом 7</t>
  </si>
  <si>
    <t>ИП Ножницева Лариса Николаевна</t>
  </si>
  <si>
    <t>673000205068</t>
  </si>
  <si>
    <t>ИП6701020370</t>
  </si>
  <si>
    <t>ИП670102037000000</t>
  </si>
  <si>
    <t>214000 Смоленская область СМОЛЕНСК ПРОСПЕКТ ГАГАРИНА Дом 7   помещение 1,2,3,4,6,7</t>
  </si>
  <si>
    <t>ООО "ЭСТЕТ-ЮК"</t>
  </si>
  <si>
    <t>6730055701</t>
  </si>
  <si>
    <t>ЮЛ6701006421</t>
  </si>
  <si>
    <t>ЮЛ670100642100000</t>
  </si>
  <si>
    <t>214000 Смоленская область город Смоленск проспект Гагарина дом 10/2</t>
  </si>
  <si>
    <t>ИП Феоктистов Андрей Олегович</t>
  </si>
  <si>
    <t>673008136000</t>
  </si>
  <si>
    <t>ИП6701014052</t>
  </si>
  <si>
    <t>ИП670101405200000</t>
  </si>
  <si>
    <t>214036 Смоленская область город Смоленск улица Петра Алексеева дом 2/37</t>
  </si>
  <si>
    <t>ООО "ЛОМБАРД "ПЕРВЫЙ БРОКЕР"</t>
  </si>
  <si>
    <t>6730081821</t>
  </si>
  <si>
    <t>ЮЛ6701007033</t>
  </si>
  <si>
    <t>ЮЛ670100703300001</t>
  </si>
  <si>
    <t>214012 Смоленская область город Смоленск улица Кашена дом 1   помещение 28, 30</t>
  </si>
  <si>
    <t>ЮЛ670100703300010</t>
  </si>
  <si>
    <t>214018 Смоленская область город Смоленск улица Октябрьской Революции дом 13</t>
  </si>
  <si>
    <t>ИП670100524800000</t>
  </si>
  <si>
    <t>216790 Смоленская область город Рудня улица Киреева дом 79/2</t>
  </si>
  <si>
    <t>ИП670100524800001</t>
  </si>
  <si>
    <t>216330 Смоленская область город Ельня улица Советская дом 30   этаж 2</t>
  </si>
  <si>
    <t>ИП670100524800002</t>
  </si>
  <si>
    <t>214031 Смоленская область город Смоленск улица 25 Сентября дом 35А   этаж 1, помещение 1.84</t>
  </si>
  <si>
    <t>ИП670100524800004</t>
  </si>
  <si>
    <t>214012 Смоленская область город Смоленск улица Ново-Московская дом 2/8   этаж 1,помещение №А37/2</t>
  </si>
  <si>
    <t>ИП670100524800005</t>
  </si>
  <si>
    <t>214031 Смоленская область город Смоленск улица Шкадова дом 2 корпус 2  этаж 1, помещения 241,245,247,276,283-286,318-343,367-369,378,270,271</t>
  </si>
  <si>
    <t>ЮЛ670100207100000</t>
  </si>
  <si>
    <t>214000 Смоленская область город Смоленск улица Ленина дом 6/1</t>
  </si>
  <si>
    <t>ЮЛ670100207100001</t>
  </si>
  <si>
    <t>214000 Смоленская область город Смоленск улица Октябрьской революции дом 17</t>
  </si>
  <si>
    <t>ИП Никитин С. М.</t>
  </si>
  <si>
    <t>673104664274</t>
  </si>
  <si>
    <t>ИП6701019350</t>
  </si>
  <si>
    <t>ИП670101935000000</t>
  </si>
  <si>
    <t>214031 Смоленская область город Смоленск проспект Строителей дом 6А   этаж 3 нежилое помещение № 301</t>
  </si>
  <si>
    <t>ИП670100329400000</t>
  </si>
  <si>
    <t>216500 Смоленская область город Рославль улица Пролетарская дом 42</t>
  </si>
  <si>
    <t>ИП670100329400005</t>
  </si>
  <si>
    <t>216501 Смоленская область город Рославль улица Пролетарская дом 88</t>
  </si>
  <si>
    <t>ИП670100329400006</t>
  </si>
  <si>
    <t>216500 Смоленская область город Рославль улица Пролетарская дом 44</t>
  </si>
  <si>
    <t>ИП670100329400007</t>
  </si>
  <si>
    <t>216501 Смоленская область город Рославль улица Пролетарская дом 91   этаж 2, ТД Ростислав</t>
  </si>
  <si>
    <t>ИП670100329400008</t>
  </si>
  <si>
    <t>215805 Смоленская область город Ярцево проспект Металлургов дом 21-г   помещение № 17</t>
  </si>
  <si>
    <t>ИП670100329400009</t>
  </si>
  <si>
    <t>216400 Смоленская область город Десногорск Территория набережная зона отдыха  строение 1  этаж 1, помещение № А5</t>
  </si>
  <si>
    <t>ИП670100329400011</t>
  </si>
  <si>
    <t>214036 Смоленская область город Смоленск улица Петра Алексеева возле дома 2/37   помещение № 7</t>
  </si>
  <si>
    <t>ИП670100329400012</t>
  </si>
  <si>
    <t>216400 Смоленская область город Десногорск Микрорайон 3-ий  строение 34/1  этаж 1, помещение А 2.1.</t>
  </si>
  <si>
    <t>ИП670100329400014</t>
  </si>
  <si>
    <t>214000 Смоленская область город Смоленск проспект Гагарина дом 1   этаж 1</t>
  </si>
  <si>
    <t>ИП670100329400015</t>
  </si>
  <si>
    <t>214012 Смоленская область город Смоленск улица Беляева дом 6   помещение № 2,  этаж 1</t>
  </si>
  <si>
    <t>ИП670100329400016</t>
  </si>
  <si>
    <t>214031 Смоленская область город Смоленск улица 25 Сентября дом 35А   этаж 1</t>
  </si>
  <si>
    <t>ИП670100329400017</t>
  </si>
  <si>
    <t>ИП670100329400018</t>
  </si>
  <si>
    <t>ИП670100329400020</t>
  </si>
  <si>
    <t>214031 Смоленская область город Смоленск улица 25 Сентября дом 35а   этаж 1 помещение 1.30</t>
  </si>
  <si>
    <t>ИП670100329400025</t>
  </si>
  <si>
    <t>214025 Смоленская область город Смоленск улица Багратиона дом 25   торговый павильон № 3Н</t>
  </si>
  <si>
    <t>ИП670100329400027</t>
  </si>
  <si>
    <t>214000 Смоленская область город Смоленск проспект Гагарина дом 4</t>
  </si>
  <si>
    <t>ИП Граборов Максим Викторович</t>
  </si>
  <si>
    <t>673106549502</t>
  </si>
  <si>
    <t>ИП6701007551</t>
  </si>
  <si>
    <t>ИП670100755100000</t>
  </si>
  <si>
    <t>214012 Смоленская область город Смоленск Карачевский переулок дом 4 строение 2  №22 ч.24 и ч.25</t>
  </si>
  <si>
    <t>ООО "ПРОФИТ-БИЗНЕС"</t>
  </si>
  <si>
    <t>6732056570</t>
  </si>
  <si>
    <t>ЮЛ6701002592</t>
  </si>
  <si>
    <t>ЮЛ670100259200000</t>
  </si>
  <si>
    <t>214004 Смоленская область город Смоленск улица Николаева 12А   Помещение 8</t>
  </si>
  <si>
    <t>ООО "СМОЛЕНСКИЙ БРИЛЛИАНТОВЫЙ ДОМ"</t>
  </si>
  <si>
    <t>6732058024</t>
  </si>
  <si>
    <t>ЮЛ6701014492</t>
  </si>
  <si>
    <t>ЮЛ670101449200000</t>
  </si>
  <si>
    <t>214014 Смоленская область город Смоленск улица Тенишевой дом 19</t>
  </si>
  <si>
    <t>ООО ЛОМБАРД "ИНВЕСТ ФИНАНС"</t>
  </si>
  <si>
    <t>6732186178</t>
  </si>
  <si>
    <t>ЮЛ6701003644</t>
  </si>
  <si>
    <t>ЮЛ670100364400000</t>
  </si>
  <si>
    <t>214000 Смоленская область город Смоленск улица Дзержинского дом 5</t>
  </si>
  <si>
    <t>ООО "РОГАЧЁВ И К"</t>
  </si>
  <si>
    <t>6732240788</t>
  </si>
  <si>
    <t>ЮЛ6701032305</t>
  </si>
  <si>
    <t>ЮЛ670103230500000</t>
  </si>
  <si>
    <t>214031 Смоленская область город Смоленск улица 25 Сентября дом 35а   помещение  А46</t>
  </si>
  <si>
    <t>ЮЛ760201190700067</t>
  </si>
  <si>
    <t>214018 Смоленская область город Смоленск улица Памфилова дом 5   помещение 2</t>
  </si>
  <si>
    <t>ЮЛ770100330500002</t>
  </si>
  <si>
    <t>214031 Смоленская область город Смоленск улица 25 Сентября дом 35А   1 (первый) этаж, помещение № 1.41, помещение № 1.42.1</t>
  </si>
  <si>
    <t>ЮЛ770100193500260</t>
  </si>
  <si>
    <t>214012 Смоленская область город Смоленск улица Ново-Московская дом 2/8   помещение А54, 1 этаж</t>
  </si>
  <si>
    <t>ЮЛ770100193500565</t>
  </si>
  <si>
    <t>215800 Смоленская область город Ярцево улица Советская дом 19</t>
  </si>
  <si>
    <t>ЮЛ770100193501076</t>
  </si>
  <si>
    <t>214012 Смоленская область г. Смоленск ул. Кашена около административного здания №1</t>
  </si>
  <si>
    <t>ЮЛ780300131300089</t>
  </si>
  <si>
    <t>214012 Смоленская область г. Смоленск пл. Колхозная д. 2   часть нежилого помещения 47</t>
  </si>
  <si>
    <t>ЮЛ780300131300090</t>
  </si>
  <si>
    <t>214012 Смоленская область город Смоленск площадь Колхозная</t>
  </si>
  <si>
    <t>ЮЛ780300323500029</t>
  </si>
  <si>
    <t>214012 Смоленская область город Смоленск улица Кашена дом 1</t>
  </si>
  <si>
    <t>ЮЛ780300308200084</t>
  </si>
  <si>
    <t>214031 Смоленская область город Смоленск улица 25 Сентября дом 35А   часть помещения 1.42</t>
  </si>
  <si>
    <t>ЮЛ780300308200085</t>
  </si>
  <si>
    <t>214012 Смоленская область город Смоленск площадь Колхозная дом 2   часть нежилых помещений 21,22,45-47</t>
  </si>
  <si>
    <t>ЮЛ780300308200086</t>
  </si>
  <si>
    <t>214012 Смоленская область город Смоленск улица Ново-Московская дом 2/8   помещение №203</t>
  </si>
  <si>
    <t>ЮЛ780300308201127</t>
  </si>
  <si>
    <t>214012 Смоленская область город Смоленск улица Колхозная</t>
  </si>
  <si>
    <t>ЮЛ780300363500013</t>
  </si>
  <si>
    <t>ЮЛ770100902000001</t>
  </si>
  <si>
    <t>214031 Смоленская область город Смоленск улица 25 Сентября дом 35   этаж 1, помещения № 14, 37, 38, 39, 40, 41, 42, 43, 44</t>
  </si>
  <si>
    <t>ЮЛ770100902000004</t>
  </si>
  <si>
    <t>ЮЛ770100902000056</t>
  </si>
  <si>
    <t>214031 Смоленская область город Смоленск улица 25 Сентября дом 35А   нежилое помещение №1.32.1 на первом этаже здания</t>
  </si>
  <si>
    <t>ЮЛ770100439200128</t>
  </si>
  <si>
    <t>Ставропольский край</t>
  </si>
  <si>
    <t>355044 Ставропольский край город Ставрополь проспект Кулакова дом 27/2   помещение 1-3</t>
  </si>
  <si>
    <t>ЮЛ010403538100001</t>
  </si>
  <si>
    <t>355040 Ставропольский край город Ставрополь улица 50 лет ВЛКСМ дом 16/6   помещения 45, 46 и 94</t>
  </si>
  <si>
    <t>ЮЛ010403538100002</t>
  </si>
  <si>
    <t>357502 Ставропольский край город Пятигорск улица Мира дом 20</t>
  </si>
  <si>
    <t>ЮЛ010403538100004</t>
  </si>
  <si>
    <t>357700 Ставропольский край город Кисловодск проспект Ленина дом 21</t>
  </si>
  <si>
    <t>ИП Сайпулаева Аида Насрулаевна</t>
  </si>
  <si>
    <t>52000075178</t>
  </si>
  <si>
    <t>ИП0505037118</t>
  </si>
  <si>
    <t>ИП050503711800000</t>
  </si>
  <si>
    <t>357700 Ставропольский край Кисловодск Бульвар Курортный  15 Лечебный корпус А</t>
  </si>
  <si>
    <t>ИП050503711800003</t>
  </si>
  <si>
    <t>357700 Ставропольский край город Кисловодск улица Алексея Реброва здание 15</t>
  </si>
  <si>
    <t>ИП050503711800004</t>
  </si>
  <si>
    <t>357700 Ставропольский край город Кисловодск Пр-т Ленина  21/1   Санаторий Дворец  Нарзанов</t>
  </si>
  <si>
    <t>ИП050503711800005</t>
  </si>
  <si>
    <t>ООО "МАЛАХИТОВАЯ ШКАТУЛКА"</t>
  </si>
  <si>
    <t>1501019974</t>
  </si>
  <si>
    <t>ЮЛ1505001698</t>
  </si>
  <si>
    <t>ЮЛ150500169800000</t>
  </si>
  <si>
    <t>356000 Ставропольский край Новоалександровск Маршала Жукова 3а 7</t>
  </si>
  <si>
    <t>ИП Ломтадзе Ольга Федоровна</t>
  </si>
  <si>
    <t>231305714831</t>
  </si>
  <si>
    <t>ИП2304010175</t>
  </si>
  <si>
    <t>ИП230401017500000</t>
  </si>
  <si>
    <t>355028 Ставропольский край город Ставрополь улица Тухачевского дом 26</t>
  </si>
  <si>
    <t>ИП Лозина Ирина Владиславовна</t>
  </si>
  <si>
    <t>231306551805</t>
  </si>
  <si>
    <t>ИП2605018587</t>
  </si>
  <si>
    <t>ИП260501858700000</t>
  </si>
  <si>
    <t>356000 Ставропольский край город Новоалександровск улица Карла Маркса дом 233Б этаж 2</t>
  </si>
  <si>
    <t>ЮЛ230400661100003</t>
  </si>
  <si>
    <t>357700 Ставропольский край город Кисловодск бульвар Курортный дом 13А</t>
  </si>
  <si>
    <t>ИП080400955800001</t>
  </si>
  <si>
    <t>356250 Ставропольский край село Грачевка улица Ставропольская дом 87/20</t>
  </si>
  <si>
    <t>ИП080400955800005</t>
  </si>
  <si>
    <t>356420 Ставропольский край город Благодарный улица Толстого дом 88А</t>
  </si>
  <si>
    <t>ИП080400955800006</t>
  </si>
  <si>
    <t>356304 Ставропольский край село Александровское улица Московская дом 40/3</t>
  </si>
  <si>
    <t>ИП080400955800007</t>
  </si>
  <si>
    <t>356000 Ставропольский край город Новоалександровск улица Маршала Жукова дом 10</t>
  </si>
  <si>
    <t>ИП080400955800008</t>
  </si>
  <si>
    <t>356630 Ставропольский край город Ипатово улица Ленина домовладение 105</t>
  </si>
  <si>
    <t>ИП080400955800009</t>
  </si>
  <si>
    <t>356540 Ставропольский край село Летняя Ставка улица Советская дом 25</t>
  </si>
  <si>
    <t>ИП080400955800010</t>
  </si>
  <si>
    <t>355042 Ставропольский край город Ставрополь улица Доваторцев дом 61 помещение  584</t>
  </si>
  <si>
    <t>ИП080400955800011</t>
  </si>
  <si>
    <t>356720 Ставропольский край село Дивное  улица Чехова 62А</t>
  </si>
  <si>
    <t>ИП080400955800013</t>
  </si>
  <si>
    <t>357960 Ставропольский край село Левокумское улица Гагарина 29а</t>
  </si>
  <si>
    <t>ИП080400955800014</t>
  </si>
  <si>
    <t>356570 Ставропольский край село Арзгир улица Матросова 14</t>
  </si>
  <si>
    <t>ИП Бутенко Елена Александровна</t>
  </si>
  <si>
    <t>260400378680</t>
  </si>
  <si>
    <t>ИП2605009726</t>
  </si>
  <si>
    <t>ИП260500972600000</t>
  </si>
  <si>
    <t>356420 Ставропольский край город Благодарный улица Ленина дом 199</t>
  </si>
  <si>
    <t>2605017564</t>
  </si>
  <si>
    <t>ЮЛ2605035988</t>
  </si>
  <si>
    <t>ЮЛ260503598800000</t>
  </si>
  <si>
    <t>356420 Ставропольский край город Благодарный улица Первомайская дом 36   офис № 19</t>
  </si>
  <si>
    <t>ИП Селюкова Виктория Вячеславна</t>
  </si>
  <si>
    <t>260505353724</t>
  </si>
  <si>
    <t>ИП2605000719</t>
  </si>
  <si>
    <t>ИП260500071900000</t>
  </si>
  <si>
    <t>356420 Ставропольский край город Благодарный улица Ленина 199</t>
  </si>
  <si>
    <t>ИП Лукьянова Анжелика Вадимовна</t>
  </si>
  <si>
    <t>260505456600</t>
  </si>
  <si>
    <t>ИП2605002389</t>
  </si>
  <si>
    <t>ИП260500238900000</t>
  </si>
  <si>
    <t>356000 Ставропольский край город Новоалександровск улица Гагарина дом 315А</t>
  </si>
  <si>
    <t>ИП Маслова Татьяна Васильевна</t>
  </si>
  <si>
    <t>260700576467</t>
  </si>
  <si>
    <t>ИП2605032516</t>
  </si>
  <si>
    <t>ИП260503251600000</t>
  </si>
  <si>
    <t>356030 Ставропольский край село Красногвардейское улица Дружбы дом 3</t>
  </si>
  <si>
    <t>ИП260503251600001</t>
  </si>
  <si>
    <t>356140 Ставропольский край город Изобильный улица Ленина дом 65</t>
  </si>
  <si>
    <t>ИП Маслова Юлия Алексеевна</t>
  </si>
  <si>
    <t>260707766971</t>
  </si>
  <si>
    <t>ИП2605032421</t>
  </si>
  <si>
    <t>ИП260503242100000</t>
  </si>
  <si>
    <t>356140 Ставропольский край город Изобильный улица Ленина дом 64</t>
  </si>
  <si>
    <t>ИП260503242100001</t>
  </si>
  <si>
    <t>357300 Ставропольский край город Новопавловск улица Центральная дом 59-61</t>
  </si>
  <si>
    <t>ООО "ДИКОН"</t>
  </si>
  <si>
    <t>2609011154</t>
  </si>
  <si>
    <t>ЮЛ2605007644</t>
  </si>
  <si>
    <t>ЮЛ260500764400000</t>
  </si>
  <si>
    <t>357300 Ставропольский край город Новопавловск улица Центральная дом 45</t>
  </si>
  <si>
    <t>ИП Жукавина Татьяна Леонидовна</t>
  </si>
  <si>
    <t>260902645770</t>
  </si>
  <si>
    <t>ИП2605012355</t>
  </si>
  <si>
    <t>ИП260501235500000</t>
  </si>
  <si>
    <t>357000 Ставропольский край село Кочубеевское Титова 5   помещение 24</t>
  </si>
  <si>
    <t>ООО "ЯШМА"</t>
  </si>
  <si>
    <t>2610021196</t>
  </si>
  <si>
    <t>ЮЛ2605032052</t>
  </si>
  <si>
    <t>ЮЛ260503205200000</t>
  </si>
  <si>
    <t>357850 Ставропольский край станица Курская переулок Октябрьский  11 дом</t>
  </si>
  <si>
    <t>ИП Сафарова Светлана Рафаэльевна</t>
  </si>
  <si>
    <t>261200152038</t>
  </si>
  <si>
    <t>ИП2605001445</t>
  </si>
  <si>
    <t>ИП260500144500000</t>
  </si>
  <si>
    <t>356245 Ставропольский край город Михайловск переулок Некрасова дом 20   офис 31</t>
  </si>
  <si>
    <t>ИП Головко Евгения Викторовна</t>
  </si>
  <si>
    <t>261302978465</t>
  </si>
  <si>
    <t>ИП2605017511</t>
  </si>
  <si>
    <t>ИП260501751100000</t>
  </si>
  <si>
    <t>356884 Ставропольский край город Нефтекумск мкр 0-й дом 10   помещение 11-15</t>
  </si>
  <si>
    <t>2614020972</t>
  </si>
  <si>
    <t>ЮЛ2605006155</t>
  </si>
  <si>
    <t>ЮЛ260500615500000</t>
  </si>
  <si>
    <t>356882 Ставропольский край город Нефтекумск микр.1 кв 1-6 дом 19</t>
  </si>
  <si>
    <t>ИП Зарова Руфина Эсманбетовна</t>
  </si>
  <si>
    <t>261403360435</t>
  </si>
  <si>
    <t>ИП2605019762</t>
  </si>
  <si>
    <t>ИП260501976200000</t>
  </si>
  <si>
    <t>356882 Ставропольский край город Нефтекумск улица Геологов дом 6</t>
  </si>
  <si>
    <t>ИП Испирян Гагик Сережаевич</t>
  </si>
  <si>
    <t>261405122813</t>
  </si>
  <si>
    <t>ИП2605003111</t>
  </si>
  <si>
    <t>ИП260500311100000</t>
  </si>
  <si>
    <t>355037 Ставропольский край город Ставрополь улица Доваторцев дом 50/1</t>
  </si>
  <si>
    <t>ИП Ткачева Оксана Павловна</t>
  </si>
  <si>
    <t>261700938246</t>
  </si>
  <si>
    <t>ИП2605040863</t>
  </si>
  <si>
    <t>ИП260504086300000</t>
  </si>
  <si>
    <t>355040 Ставропольский край город Ставрополь улица 50 лет ВЛКСМ дом 16К</t>
  </si>
  <si>
    <t>ИП Воронина Наталья Анатольевна</t>
  </si>
  <si>
    <t>261707579483</t>
  </si>
  <si>
    <t>ИП2605005325</t>
  </si>
  <si>
    <t>ИП260500532500000</t>
  </si>
  <si>
    <t>357350 Ставропольский край станица Ессентукская улица Гагарина дом 79</t>
  </si>
  <si>
    <t>ИП Карагезов Михаил Феохарович</t>
  </si>
  <si>
    <t>261801006088</t>
  </si>
  <si>
    <t>ИП2605012481</t>
  </si>
  <si>
    <t>ИП260501248100000</t>
  </si>
  <si>
    <t>357401 Ставропольский край город Железноводск улица Ленина дом 122</t>
  </si>
  <si>
    <t>ИП Нафанаилова Афина Павловна</t>
  </si>
  <si>
    <t>261801924793</t>
  </si>
  <si>
    <t>ИП2605005511</t>
  </si>
  <si>
    <t>ИП260500551100000</t>
  </si>
  <si>
    <t>357400 Ставропольский край город Железноводск улица Калинина дом 20</t>
  </si>
  <si>
    <t>ИП260500551100002</t>
  </si>
  <si>
    <t>357400 Ставропольский край город Железноводск улица Парковая дом 4</t>
  </si>
  <si>
    <t>ИП260500551100004</t>
  </si>
  <si>
    <t>357910 Ставропольский край город Зеленокумск улица Мира строение 16</t>
  </si>
  <si>
    <t>ООО "АЛЕКС"</t>
  </si>
  <si>
    <t>2619002335</t>
  </si>
  <si>
    <t>ЮЛ2605006151</t>
  </si>
  <si>
    <t>ЮЛ260500615100000</t>
  </si>
  <si>
    <t>357910 Ставропольский край город Зеленокумск улица Учительская  дом 1</t>
  </si>
  <si>
    <t>ЮЛ260500615100003</t>
  </si>
  <si>
    <t>357827 Ставропольский край город Георгиевск улица Калинина дом 101 корпус 2  офис 45</t>
  </si>
  <si>
    <t>ИП Черепнина И.В.</t>
  </si>
  <si>
    <t>261901199683</t>
  </si>
  <si>
    <t>ИП2605002970</t>
  </si>
  <si>
    <t>ИП260500297000000</t>
  </si>
  <si>
    <t>357911 Ставропольский край город Зеленокумск улица Советская дом 12 корпус В</t>
  </si>
  <si>
    <t>ИП Лисюченко Денис Борисович</t>
  </si>
  <si>
    <t>261902842314</t>
  </si>
  <si>
    <t>ИП2605001577</t>
  </si>
  <si>
    <t>ИП260500157700000</t>
  </si>
  <si>
    <t>356170 Ставропольский край село Донское улица Кооперативная дом 26</t>
  </si>
  <si>
    <t>ИП260500406300000</t>
  </si>
  <si>
    <t>356170 Ставропольский край село Донское улица Садовая дом 121</t>
  </si>
  <si>
    <t>ИП260500406300001</t>
  </si>
  <si>
    <t>356140 Ставропольский край город Изобильный улица Ленина дом 60В</t>
  </si>
  <si>
    <t>ИП260500406300003</t>
  </si>
  <si>
    <t>356030 Ставропольский край село Красногвардейское улица Красная дом 186</t>
  </si>
  <si>
    <t>ИП260500406300004</t>
  </si>
  <si>
    <t>356140 Ставропольский край город Изобильный переулок Ленина дом 12   офис 1</t>
  </si>
  <si>
    <t>ИП260500406300006</t>
  </si>
  <si>
    <t>356170 Ставропольский край село Донское улица Солнечная зд. 2В/9</t>
  </si>
  <si>
    <t>ООО "ЛОМБАРД АЛЕКСАНДРИТ"</t>
  </si>
  <si>
    <t>2621007549</t>
  </si>
  <si>
    <t>ЮЛ2605001399</t>
  </si>
  <si>
    <t>ЮЛ260500139900000</t>
  </si>
  <si>
    <t>355041 Ставропольский край город Ставрополь улица Лермонтова домовладение 312А</t>
  </si>
  <si>
    <t>ИП Курбанмухаметова Альбина Эреджеповна</t>
  </si>
  <si>
    <t>262202422884</t>
  </si>
  <si>
    <t>ИП2605020026</t>
  </si>
  <si>
    <t>ИП260502002600000</t>
  </si>
  <si>
    <t>356240 Ставропольский край город Михайловск улица Войкова дом 375</t>
  </si>
  <si>
    <t>ИП Донской Максим Геннадьевич</t>
  </si>
  <si>
    <t>262300102152</t>
  </si>
  <si>
    <t>ИП2605001689</t>
  </si>
  <si>
    <t>ИП260500168900000</t>
  </si>
  <si>
    <t>356240 Ставропольский край город Михайловск улица Войкова дом 407</t>
  </si>
  <si>
    <t>ИП Щетинина Галина Васильевна</t>
  </si>
  <si>
    <t>262303403334</t>
  </si>
  <si>
    <t>ИП2605011453</t>
  </si>
  <si>
    <t>ИП260501145300000</t>
  </si>
  <si>
    <t>356240 Ставропольский край город Михайловск улица Ленина домовладение 108/1</t>
  </si>
  <si>
    <t>ИП Орлова Лариса Васильевна</t>
  </si>
  <si>
    <t>262304560315</t>
  </si>
  <si>
    <t>ИП2605006156</t>
  </si>
  <si>
    <t>ИП260500615600000</t>
  </si>
  <si>
    <t>356800 Ставропольский край город Буденновск улица Октябрьская дом 75Б</t>
  </si>
  <si>
    <t>ИП Амалов Вячеслав Георгиевич</t>
  </si>
  <si>
    <t>262400004952</t>
  </si>
  <si>
    <t>ИП2605005426</t>
  </si>
  <si>
    <t>ИП260500542600000</t>
  </si>
  <si>
    <t>356800 Ставропольский край город Буденновск улица Борцов Революции дом 168</t>
  </si>
  <si>
    <t>ИП Ильдризов Сергей Валерьевич</t>
  </si>
  <si>
    <t>262400167604</t>
  </si>
  <si>
    <t>ИП2605011649</t>
  </si>
  <si>
    <t>ИП260501164900000</t>
  </si>
  <si>
    <t>356809 Ставропольский край город Буденновск микрорайон 7 дом 21</t>
  </si>
  <si>
    <t>ИП Гуржиев Сергей Витальевич</t>
  </si>
  <si>
    <t>262400465311</t>
  </si>
  <si>
    <t>ИП2605002611</t>
  </si>
  <si>
    <t>ИП260500261100001</t>
  </si>
  <si>
    <t>356809 Ставропольский край город Буденновск микрорайон 7 дом 22</t>
  </si>
  <si>
    <t>ИП260500261100002</t>
  </si>
  <si>
    <t>356809 Ставропольский край город Буденновск микрорайон 7 дом 23</t>
  </si>
  <si>
    <t>ИП260500261100003</t>
  </si>
  <si>
    <t>356800 Ставропольский край город Буденновск улица Свободы дом 223</t>
  </si>
  <si>
    <t>ИП260500261100004</t>
  </si>
  <si>
    <t>356800 Ставропольский край город Буденновск проспект Чехова здание 183   помещение 1</t>
  </si>
  <si>
    <t>ИП260500261100005</t>
  </si>
  <si>
    <t>365800 Ставропольский край Буденновск Ленинская 82/1</t>
  </si>
  <si>
    <t>ИП Мартынюк Ольга Петровна</t>
  </si>
  <si>
    <t>262402730445</t>
  </si>
  <si>
    <t>ИП2605016560</t>
  </si>
  <si>
    <t>ИП260501656000001</t>
  </si>
  <si>
    <t>356800 Ставропольский край город Буденновск Борцов Революции 168</t>
  </si>
  <si>
    <t>ИП Федоров Станислав Петрович</t>
  </si>
  <si>
    <t>262402752992</t>
  </si>
  <si>
    <t>ИП2605007654</t>
  </si>
  <si>
    <t>ИП260500765400000</t>
  </si>
  <si>
    <t>ООО "ЛОМБАРД 999,9"</t>
  </si>
  <si>
    <t>2624033184</t>
  </si>
  <si>
    <t>ЮЛ2605007027</t>
  </si>
  <si>
    <t>ЮЛ260500702700000</t>
  </si>
  <si>
    <t>357820 Ставропольский край город Георгиевск улица Калинина дом 24   Бутик 27</t>
  </si>
  <si>
    <t>ООО "СУПЕР-АЛЕКС"</t>
  </si>
  <si>
    <t>2625024979</t>
  </si>
  <si>
    <t>ЮЛ2605016804</t>
  </si>
  <si>
    <t>ЮЛ260501680400000</t>
  </si>
  <si>
    <t>357820 Ставропольский край город Георгиевск улица Калинина дом 26</t>
  </si>
  <si>
    <t>ЮЛ260501680400002</t>
  </si>
  <si>
    <t>357538 Ставропольский край город Пятигорск улица Адмиральского дом 10в - - -</t>
  </si>
  <si>
    <t>ИП Погосян Армен Албертович</t>
  </si>
  <si>
    <t>262513626418</t>
  </si>
  <si>
    <t>ИП2605038042</t>
  </si>
  <si>
    <t>ИП260503804200000</t>
  </si>
  <si>
    <t>357502 Ставропольский край город Пятигорск проспект Кирова дом 72 - - -</t>
  </si>
  <si>
    <t>ИП260503804200001</t>
  </si>
  <si>
    <t>357601 Ставропольский край город Ессентуки Улица Кисловодская Дом 1</t>
  </si>
  <si>
    <t>ИП Потапенко Анжелика Эдуардовна</t>
  </si>
  <si>
    <t>262610086408</t>
  </si>
  <si>
    <t>ИП2605036506</t>
  </si>
  <si>
    <t>ИП260503650600000</t>
  </si>
  <si>
    <t>357400 Ставропольский край город Железноводск улица Чайковского/Семашко дом 2/2</t>
  </si>
  <si>
    <t>ИП Галицкая Людмила Владимировна</t>
  </si>
  <si>
    <t>262700147133</t>
  </si>
  <si>
    <t>ИП2605002976</t>
  </si>
  <si>
    <t>ИП260500297600000</t>
  </si>
  <si>
    <t>357400 Ставропольский край город Железноводск улица Чайковского дом 2</t>
  </si>
  <si>
    <t>ИП Грищенко Наталия Анатольевна</t>
  </si>
  <si>
    <t>262700451408</t>
  </si>
  <si>
    <t>ИП2605031375</t>
  </si>
  <si>
    <t>ИП260503137500000</t>
  </si>
  <si>
    <t>357202 Ставропольский край город Минеральные Воды проспект 22 Партсъезда 42 - - -</t>
  </si>
  <si>
    <t>ИП Гавриленко Елена Алексеевна</t>
  </si>
  <si>
    <t>262701113088</t>
  </si>
  <si>
    <t>ИП2605001863</t>
  </si>
  <si>
    <t>ИП260500186300000</t>
  </si>
  <si>
    <t>357700 Ставропольский край город Кисловодск проспект Карла Маркса дом 10</t>
  </si>
  <si>
    <t>ИП Качаева Надежда Николаевна</t>
  </si>
  <si>
    <t>262800106691</t>
  </si>
  <si>
    <t>ИП2605006275</t>
  </si>
  <si>
    <t>ИП260500627500000</t>
  </si>
  <si>
    <t>357700 Ставропольский край город Кисловодск улица Российская дом 5</t>
  </si>
  <si>
    <t>ИП Рамазанова Елена Хасаметовна</t>
  </si>
  <si>
    <t>262800175695</t>
  </si>
  <si>
    <t>ИП2605007966</t>
  </si>
  <si>
    <t>ИП260500796600000</t>
  </si>
  <si>
    <t>357623 Ставропольский край город Ессентуки улица Пушкина дом 16   4 этаж</t>
  </si>
  <si>
    <t>ИП260500796600002</t>
  </si>
  <si>
    <t>357623 Ставропольский край город Ессентуки улица Пушкина дом 16   2 этаж</t>
  </si>
  <si>
    <t>ИП260500796600003</t>
  </si>
  <si>
    <t>ИП260500796600004</t>
  </si>
  <si>
    <t>357700 Ставропольский край город Кисловодск Курортный бульвар 10 нет нет нет</t>
  </si>
  <si>
    <t>ИП Сулейманов Темур Мусаевич</t>
  </si>
  <si>
    <t>262800354302</t>
  </si>
  <si>
    <t>ИП2605006906</t>
  </si>
  <si>
    <t>ИП260500690600000</t>
  </si>
  <si>
    <t>357601 Ставропольский край город Ессентуки улица Кисловодская дом 1</t>
  </si>
  <si>
    <t>ИП260500690600001</t>
  </si>
  <si>
    <t>357700 Ставропольский край город Кисловодск бульвар Курортный дом 3</t>
  </si>
  <si>
    <t>ИП Хачатурян Андрей Бахшиевич</t>
  </si>
  <si>
    <t>262800710053</t>
  </si>
  <si>
    <t>ИП2605008265</t>
  </si>
  <si>
    <t>ИП260500826500000</t>
  </si>
  <si>
    <t>357700 Ставропольский край город Кисловодск улица Карла Маркса дом 2А 2 этаж</t>
  </si>
  <si>
    <t>ИП Павлюк Елизавета Александровна</t>
  </si>
  <si>
    <t>262802389389</t>
  </si>
  <si>
    <t>ИП2605014874</t>
  </si>
  <si>
    <t>ИП260501487400000</t>
  </si>
  <si>
    <t>357700 Ставропольский край город Кисловодск бульвар Курортный дом 7</t>
  </si>
  <si>
    <t>ИП260501487400001</t>
  </si>
  <si>
    <t>357700 Ставропольский край город Кисловодск бульвар Курортный дом 10</t>
  </si>
  <si>
    <t>ООО "СУЛЕМАР"</t>
  </si>
  <si>
    <t>2628030875</t>
  </si>
  <si>
    <t>ЮЛ2605005556</t>
  </si>
  <si>
    <t>ЮЛ260500555600000</t>
  </si>
  <si>
    <t>ЮЛ260500555600001</t>
  </si>
  <si>
    <t>357501 Ставропольский край город Пятигорск проспект Кирова дом 43 строение 1</t>
  </si>
  <si>
    <t>ЮЛ260500555600004</t>
  </si>
  <si>
    <t>357601 Ставропольский край город Ессентуки улица Интернациональная дом 5</t>
  </si>
  <si>
    <t>ЮЛ260500555600005</t>
  </si>
  <si>
    <t>ЮЛ260500555600006</t>
  </si>
  <si>
    <t>357600 Ставропольский край город Ессентуки улица Кисловодская дом 1</t>
  </si>
  <si>
    <t>ЮЛ260500555600007</t>
  </si>
  <si>
    <t>357700 Ставропольский край г.Кисловодск бульвар Курортный 13Б</t>
  </si>
  <si>
    <t>ИП Юзбашева Зейнаб Гаджимамовна</t>
  </si>
  <si>
    <t>262803210475</t>
  </si>
  <si>
    <t>ИП2605008562</t>
  </si>
  <si>
    <t>ИП260500856200000</t>
  </si>
  <si>
    <t>357700 Ставропольский край город Кисловодск улица Горького дом 24</t>
  </si>
  <si>
    <t>ИП Гамбарян Григорий Оганнесович</t>
  </si>
  <si>
    <t>262805335631</t>
  </si>
  <si>
    <t>ИП2605006102</t>
  </si>
  <si>
    <t>ИП260500610200000</t>
  </si>
  <si>
    <t>357700 Ставропольский край город Кисловодск улица Прудная дом 107  литер "А" комната 141</t>
  </si>
  <si>
    <t>ЮЛ260501309700006</t>
  </si>
  <si>
    <t>357700 Ставропольский край Кисловодск  проспект Первомайский 29</t>
  </si>
  <si>
    <t>ИП Гревцева Наиля Новрузовна</t>
  </si>
  <si>
    <t>262809287097</t>
  </si>
  <si>
    <t>ИП2605019049</t>
  </si>
  <si>
    <t>ИП260501904900000</t>
  </si>
  <si>
    <t>357623 Ставропольский край город Ессентуки улица Пушкина дом 16</t>
  </si>
  <si>
    <t>ИП Казарян Карен Арменович</t>
  </si>
  <si>
    <t>262810362905</t>
  </si>
  <si>
    <t>ИП2605014145</t>
  </si>
  <si>
    <t>ИП260501414500000</t>
  </si>
  <si>
    <t>357401 Ставропольский край город Железноводск улица Ленина дом 108А</t>
  </si>
  <si>
    <t>ООО "ЧИД"</t>
  </si>
  <si>
    <t>2630008588</t>
  </si>
  <si>
    <t>ЮЛ2605005559</t>
  </si>
  <si>
    <t>ЮЛ260500555900000</t>
  </si>
  <si>
    <t>357202 Ставропольский край город Минеральные Воды проспект Карла Маркса дом 75</t>
  </si>
  <si>
    <t>ИП Щетинина Валентина Андреевна</t>
  </si>
  <si>
    <t>263001032808</t>
  </si>
  <si>
    <t>ИП2605009399</t>
  </si>
  <si>
    <t>ИП260500939900000</t>
  </si>
  <si>
    <t>357209 Ставропольский край город Минеральные Воды улица Карла Либкнехта б/н</t>
  </si>
  <si>
    <t>ИП Стукалова Виктория Евгеньевна</t>
  </si>
  <si>
    <t>263001263756</t>
  </si>
  <si>
    <t>ИП2605001879</t>
  </si>
  <si>
    <t>ИП260500187900000</t>
  </si>
  <si>
    <t>357200 Ставропольский край город Минеральные Воды 22 партсъезда  81</t>
  </si>
  <si>
    <t>ООО ЛОМБАРД "НАРОДНЫЙ"</t>
  </si>
  <si>
    <t>2630049418</t>
  </si>
  <si>
    <t>ЮЛ2605006931</t>
  </si>
  <si>
    <t>ЮЛ260500693100000</t>
  </si>
  <si>
    <t>357703 Ставропольский край город Минеральные Воды улица Карла Либкнехта 7</t>
  </si>
  <si>
    <t>ИП Степанян Саркис Владимирович</t>
  </si>
  <si>
    <t>263010729017</t>
  </si>
  <si>
    <t>ИП2605003041</t>
  </si>
  <si>
    <t>ИП260500304100000</t>
  </si>
  <si>
    <t>357100 Ставропольский край город Невинномысск улица Гагарина дом 63</t>
  </si>
  <si>
    <t>ИП Мигалюк Ростислав Николаевич</t>
  </si>
  <si>
    <t>263101016447</t>
  </si>
  <si>
    <t>ИП2605008271</t>
  </si>
  <si>
    <t>ИП260500827100000</t>
  </si>
  <si>
    <t>357100 Ставропольский край Невинномысск Гагарина 74</t>
  </si>
  <si>
    <t>ИП Ващенко Елена Валерьевна</t>
  </si>
  <si>
    <t>263108638366</t>
  </si>
  <si>
    <t>ИП2605006274</t>
  </si>
  <si>
    <t>ИП260500627400000</t>
  </si>
  <si>
    <t>357500 Ставропольский край город Пятигорск улица Октябрьская 72</t>
  </si>
  <si>
    <t>ООО ЛОМБАРД "МОЗЕР"</t>
  </si>
  <si>
    <t>2632003384</t>
  </si>
  <si>
    <t>ЮЛ2605005314</t>
  </si>
  <si>
    <t>ЮЛ260500531400000</t>
  </si>
  <si>
    <t>357500 Ставропольский край город Пятигорск проспект Кирова дом 54</t>
  </si>
  <si>
    <t>ИП Гулиев Артем Александрович</t>
  </si>
  <si>
    <t>263200739648</t>
  </si>
  <si>
    <t>ИП2605033491</t>
  </si>
  <si>
    <t>ИП260503349100000</t>
  </si>
  <si>
    <t>357501 Ставропольский край город Пятигорск проспект Кирова дом 26а</t>
  </si>
  <si>
    <t>ИП260500627700000</t>
  </si>
  <si>
    <t>357200 Ставропольский край город Минеральные Воды Аэропорт помещ.37</t>
  </si>
  <si>
    <t>ИП260500627700002</t>
  </si>
  <si>
    <t>357502 Ставропольский край город Пятигорск бульвар Гагарина дом 1</t>
  </si>
  <si>
    <t>ИП260500627700003</t>
  </si>
  <si>
    <t>357501 Ставропольский край город Пятигорск улица Красноармейская дом 30</t>
  </si>
  <si>
    <t>ИП260500627700005</t>
  </si>
  <si>
    <t>357400 Ставропольский край город Железноводск улица Труда дом 6Б</t>
  </si>
  <si>
    <t>ИП260500627700006</t>
  </si>
  <si>
    <t>357700 Ставропольский край город Кисловодск бульвар Курортный дом 13А   12</t>
  </si>
  <si>
    <t>ИП260500627700007</t>
  </si>
  <si>
    <t>357413 Ставропольский край город Железноводск улица Марии Барсуковой дом 5А   помещение 1</t>
  </si>
  <si>
    <t>ИП260500627700015</t>
  </si>
  <si>
    <t>357501 Ставропольский край город Пятигорск проспект Кирова дом 42</t>
  </si>
  <si>
    <t>ИП Стрыжко Анна Георгиевна</t>
  </si>
  <si>
    <t>263200954074</t>
  </si>
  <si>
    <t>ИП2605006116</t>
  </si>
  <si>
    <t>ИП260500611600000</t>
  </si>
  <si>
    <t>357502 Ставропольский край город Пятигорск улица Мира дом 14А   Магазин "Grand Fahrenheit"</t>
  </si>
  <si>
    <t>ИП Будакян Григорий Вячеславович</t>
  </si>
  <si>
    <t>263201454719</t>
  </si>
  <si>
    <t>ИП2605004361</t>
  </si>
  <si>
    <t>ИП260500436100000</t>
  </si>
  <si>
    <t>357501 Ставропольский край город Пятигорск проспект Кирова дом 27а   Магазин "Boje"</t>
  </si>
  <si>
    <t>ИП260500436100001</t>
  </si>
  <si>
    <t>357502 Ставропольский край город Пятигорск улица Мира дом 3</t>
  </si>
  <si>
    <t>ИП260500436100002</t>
  </si>
  <si>
    <t>357524 Ставропольский край город Пятигорск улица Орджоникидзе дом 1А - литера А помещения 8, 9. 10</t>
  </si>
  <si>
    <t>ИП Гаспарянц Тигран Георгиевич</t>
  </si>
  <si>
    <t>263212609996</t>
  </si>
  <si>
    <t>ИП2605038715</t>
  </si>
  <si>
    <t>ИП260503871500000</t>
  </si>
  <si>
    <t>357501 Ставропольский край город Пятигорск улица Крайнего дом 52</t>
  </si>
  <si>
    <t>ИП Остапенко Михаил Георгиевич</t>
  </si>
  <si>
    <t>263213115703</t>
  </si>
  <si>
    <t>ИП2605003037</t>
  </si>
  <si>
    <t>ИП260500303700000</t>
  </si>
  <si>
    <t>357601 Ставропольский край ессентуки красноармейская  б\н</t>
  </si>
  <si>
    <t>ИП Ляликов Алексей Юрьевич</t>
  </si>
  <si>
    <t>263216375185</t>
  </si>
  <si>
    <t>ИП2005038815</t>
  </si>
  <si>
    <t>ИП200503881500000</t>
  </si>
  <si>
    <t>357502 Ставропольский край город Пятигорск улица Акопянца дом 12</t>
  </si>
  <si>
    <t>ИП Алиев Аскер Намик Оглы</t>
  </si>
  <si>
    <t>263216859771</t>
  </si>
  <si>
    <t>ИП2605033546</t>
  </si>
  <si>
    <t>ИП260503354600000</t>
  </si>
  <si>
    <t>357340 Ставропольский край город Лермонтов улица Промышленная владение 3</t>
  </si>
  <si>
    <t>ИП Ковалевский Алексей</t>
  </si>
  <si>
    <t>263220008276</t>
  </si>
  <si>
    <t>ИП2605007771</t>
  </si>
  <si>
    <t>ИП260500777100000</t>
  </si>
  <si>
    <t>357401 Ставропольский край город Железноводск улица Ленина дом 127   помещение 9-13</t>
  </si>
  <si>
    <t>ИП Плетнева Анастасия Михайловна</t>
  </si>
  <si>
    <t>263221980607</t>
  </si>
  <si>
    <t>ИП2605035971</t>
  </si>
  <si>
    <t>ИП260503597100000</t>
  </si>
  <si>
    <t>357501 Ставропольский край город Пятигорск проспект Кирова дом 58А</t>
  </si>
  <si>
    <t>ИП Петросов К.П.</t>
  </si>
  <si>
    <t>263222039223</t>
  </si>
  <si>
    <t>ИП2605006142</t>
  </si>
  <si>
    <t>ИП260500614200000</t>
  </si>
  <si>
    <t>355035 Ставропольский край город Ставрополь Улица Дзержинского Дом 131</t>
  </si>
  <si>
    <t>ИП Бардаков Владимир Николаевич</t>
  </si>
  <si>
    <t>263401895975</t>
  </si>
  <si>
    <t>ИП2605001024</t>
  </si>
  <si>
    <t>ИП260500102400000</t>
  </si>
  <si>
    <t>355035 Ставропольский край город Ставрополь улица Маршала Жукова дом 12</t>
  </si>
  <si>
    <t>ИП260503892600000</t>
  </si>
  <si>
    <t>355003 Ставропольский край город Ставрополь улица Ломоносова дом 2   помещение 92</t>
  </si>
  <si>
    <t>ИП Кильпа Наталья Алексеевна</t>
  </si>
  <si>
    <t>263402562111</t>
  </si>
  <si>
    <t>ИП2605004407</t>
  </si>
  <si>
    <t>ИП260500440700000</t>
  </si>
  <si>
    <t>355002 Ставропольский край город Ставрополь улица Пушкина дом 30   помещение 68-71, 81-85</t>
  </si>
  <si>
    <t>ИП260500440700002</t>
  </si>
  <si>
    <t>355006 Ставропольский край город Ставрополь проспект К.Маркса дом 63</t>
  </si>
  <si>
    <t>ИП Агаджанов Алексей Анатольевич</t>
  </si>
  <si>
    <t>263405405759</t>
  </si>
  <si>
    <t>ИП2605032339</t>
  </si>
  <si>
    <t>ИП260503233900000</t>
  </si>
  <si>
    <t>355035 Ставропольский край город Ставрополь проспект Кулакова дом 18</t>
  </si>
  <si>
    <t>ИП Григорян Аркадий Каренович</t>
  </si>
  <si>
    <t>263405867496</t>
  </si>
  <si>
    <t>ИП2605013611</t>
  </si>
  <si>
    <t>ИП260501361100000</t>
  </si>
  <si>
    <t>355037 Ставропольский край город Ставрополь улица Доваторцев дом 30Б   444</t>
  </si>
  <si>
    <t>ИП Гюлумян Юрий Рафаелович</t>
  </si>
  <si>
    <t>263407341081</t>
  </si>
  <si>
    <t>ИП2605009715</t>
  </si>
  <si>
    <t>ИП260500971500000</t>
  </si>
  <si>
    <t>355007 Ставропольский край Ставрополь Щорса 139/2</t>
  </si>
  <si>
    <t>ИП ДЕМЬЯНОВ Е. А.</t>
  </si>
  <si>
    <t>263407803836</t>
  </si>
  <si>
    <t>ИП2605037155</t>
  </si>
  <si>
    <t>ИП260503715500000</t>
  </si>
  <si>
    <t>355013 Ставропольский край город Ставрополь улица Широкая 49   помещение 5</t>
  </si>
  <si>
    <t>ИП Осипов Арам Карэнович</t>
  </si>
  <si>
    <t>263408545899</t>
  </si>
  <si>
    <t>ИП2605017508</t>
  </si>
  <si>
    <t>ИП260501750800000</t>
  </si>
  <si>
    <t>355040 Ставропольский край город Ставрополь улица Пирогова дом 8</t>
  </si>
  <si>
    <t>ИП Козлитина Варвара Николаевна</t>
  </si>
  <si>
    <t>263408591856</t>
  </si>
  <si>
    <t>ИП2605038702</t>
  </si>
  <si>
    <t>ИП260503870200000</t>
  </si>
  <si>
    <t>ИП Григорян Давид Каренович</t>
  </si>
  <si>
    <t>263409300073</t>
  </si>
  <si>
    <t>ИП2605037030</t>
  </si>
  <si>
    <t>ИП260503703000000</t>
  </si>
  <si>
    <t>355008 Ставропольский край город Ставрополь улица Заводская дом 15 корпус 3  офис 1-28, 29-33, 34, 35-46</t>
  </si>
  <si>
    <t>ООО "АВРОРА ЮД"</t>
  </si>
  <si>
    <t>2634806348</t>
  </si>
  <si>
    <t>ЮЛ2605004025</t>
  </si>
  <si>
    <t>ЮЛ260500402500000</t>
  </si>
  <si>
    <t>355020 Ставропольский край город Ставрополь улица Объездная дом 2а</t>
  </si>
  <si>
    <t>ИП Шахрай Светлана Михайловна</t>
  </si>
  <si>
    <t>263500194811</t>
  </si>
  <si>
    <t>ИП2605007767</t>
  </si>
  <si>
    <t>ИП260500776700000</t>
  </si>
  <si>
    <t>355042 Ставропольский край город Ставрополь улица 50 лет ВЛКСМ дом 35/1</t>
  </si>
  <si>
    <t>ИП Третьяков Игорь Алексеевич</t>
  </si>
  <si>
    <t>263500406840</t>
  </si>
  <si>
    <t>ИП2605005566</t>
  </si>
  <si>
    <t>ИП260500556600001</t>
  </si>
  <si>
    <t>355040 Ставропольский край город Ставрополь улица 50 лет ВЛКСМ дом 8/1</t>
  </si>
  <si>
    <t>ИП260500556600002</t>
  </si>
  <si>
    <t>357108 Ставропольский край город Невинномысск бульвар Мира дом 18А</t>
  </si>
  <si>
    <t>ИП260500556600003</t>
  </si>
  <si>
    <t>357108 Ставропольский край город Невинномысск улица Гагарина дом 7</t>
  </si>
  <si>
    <t>ИП260500556600004</t>
  </si>
  <si>
    <t>355006 Ставропольский край город Ставрополь проспект К.Маркса дом 53</t>
  </si>
  <si>
    <t>ИП260500556600005</t>
  </si>
  <si>
    <t>355003 Ставропольский край город Ставрополь улица Ленина дом 328/7</t>
  </si>
  <si>
    <t>ИП260500556600006</t>
  </si>
  <si>
    <t>355006 Ставропольский край город Ставрополь проспект К.Маркса дом 56</t>
  </si>
  <si>
    <t>ИП260500556600007</t>
  </si>
  <si>
    <t>355001 Ставропольский край город Ставрополь улица Бруснева дом 11Б</t>
  </si>
  <si>
    <t>ИП260500556600008</t>
  </si>
  <si>
    <t>355044 Ставропольский край город Ставрополь проспект Юности дом 12</t>
  </si>
  <si>
    <t>ИП260500556600009</t>
  </si>
  <si>
    <t>355042 Ставропольский край город Ставрополь улица 45 Параллель дом 3Б</t>
  </si>
  <si>
    <t>ИП260500556600010</t>
  </si>
  <si>
    <t>355029 Ставропольский край город Ставрополь улица Семашко дом 2</t>
  </si>
  <si>
    <t>ИП260500556600011</t>
  </si>
  <si>
    <t>355035 Ставропольский край город Ставрополь улица Маршала Жукова дом 8</t>
  </si>
  <si>
    <t>ИП260500556600014</t>
  </si>
  <si>
    <t>355017 Ставропольский край город Ставрополь улица Пушкина дом 16   помещение 4 / офис</t>
  </si>
  <si>
    <t>ИП Онищенко Наталья Александровна</t>
  </si>
  <si>
    <t>263500871534</t>
  </si>
  <si>
    <t>ИП2605000710</t>
  </si>
  <si>
    <t>ИП260500071000000</t>
  </si>
  <si>
    <t>355011 Ставропольский край город Ставрополь улица Доваторцев дом 75А   офис 50</t>
  </si>
  <si>
    <t>ИП260500071000002</t>
  </si>
  <si>
    <t>355044 Ставропольский край город Ставрополь проспект Кулакова дом 29а</t>
  </si>
  <si>
    <t>ИП260500071000004</t>
  </si>
  <si>
    <t>355017 Ставропольский край город Ставрополь улица Пушкина дом 16   помещение 4/ магазин</t>
  </si>
  <si>
    <t>ИП260500071000008</t>
  </si>
  <si>
    <t>355017 Ставропольский край город Ставрополь улица Мира дом 280 5А</t>
  </si>
  <si>
    <t>ИП Зуева Ирина Васильевна</t>
  </si>
  <si>
    <t>263502926740</t>
  </si>
  <si>
    <t>ИП2605005505</t>
  </si>
  <si>
    <t>ИП260500550500000</t>
  </si>
  <si>
    <t>2635105828</t>
  </si>
  <si>
    <t>ЮЛ2605006127</t>
  </si>
  <si>
    <t>ЮЛ260500612700001</t>
  </si>
  <si>
    <t>355045 Ставропольский край город Ставрополь улица Пирогова дом 42/1   офис 19</t>
  </si>
  <si>
    <t>ИП Прудникова Татьяна Александровна</t>
  </si>
  <si>
    <t>263515020744</t>
  </si>
  <si>
    <t>ИП2605004351</t>
  </si>
  <si>
    <t>ИП260500435100000</t>
  </si>
  <si>
    <t>355042 Ставропольский край город Ставрополь улица 50 лет ВЛКСМ дом 35в  литера А помещение № 8,9</t>
  </si>
  <si>
    <t>ИП Назаров Даниил Викторович</t>
  </si>
  <si>
    <t>263520339960</t>
  </si>
  <si>
    <t>ИП2605039997</t>
  </si>
  <si>
    <t>ИП260503999700000</t>
  </si>
  <si>
    <t>355040 Ставропольский край город Ставрополь улица 50 лет ВЛКСМ дом 16/5</t>
  </si>
  <si>
    <t>ООО "ЮФ РЕЯ"</t>
  </si>
  <si>
    <t>2635216800</t>
  </si>
  <si>
    <t>ЮЛ2605002597</t>
  </si>
  <si>
    <t>ЮЛ260500259700002</t>
  </si>
  <si>
    <t>355040 Ставропольский край город Ставрополь улица 50 лет ВЛКСМ дом 16г</t>
  </si>
  <si>
    <t>ЮЛ260500259700003</t>
  </si>
  <si>
    <t>355003 Ставропольский край город Ставрополь улица Дзержинского дом 160   офис 1404</t>
  </si>
  <si>
    <t>АО "АЭРО РЕГИОН"</t>
  </si>
  <si>
    <t>2636026618</t>
  </si>
  <si>
    <t>ЮЛ2605007629</t>
  </si>
  <si>
    <t>ЮЛ260500762900000</t>
  </si>
  <si>
    <t>357500 Ставропольский край Пятигорск Ессентукская 31А</t>
  </si>
  <si>
    <t>ИП260500608400002</t>
  </si>
  <si>
    <t>357501 Ставропольский край город Пятигорск проспект Кирова дом 29а</t>
  </si>
  <si>
    <t>ИП260500608400005</t>
  </si>
  <si>
    <t>356570 Ставропольский край село Арзгир улица П. Базалеева строение 19А</t>
  </si>
  <si>
    <t>ИП Савенко Лариса Викторовна</t>
  </si>
  <si>
    <t>263605772065</t>
  </si>
  <si>
    <t>ИП2605003183</t>
  </si>
  <si>
    <t>ИП260500318300000</t>
  </si>
  <si>
    <t>355040 Ставропольский край город Ставрополь улица Тухачевского дом 14/2</t>
  </si>
  <si>
    <t>ИП Иванова Ольга Игоревна</t>
  </si>
  <si>
    <t>380894569408</t>
  </si>
  <si>
    <t>ИП2605006120</t>
  </si>
  <si>
    <t>ИП260500612000000</t>
  </si>
  <si>
    <t>357502 Ставропольский край город Пятигорск проспект Кирова дом 65   помещение 14, 14а</t>
  </si>
  <si>
    <t>ИП Семенов Денис Вячеславович</t>
  </si>
  <si>
    <t>450105003675</t>
  </si>
  <si>
    <t>ИП8907006229</t>
  </si>
  <si>
    <t>ИП890700622900002</t>
  </si>
  <si>
    <t>357601 Ставропольский край город Ессентуки улица Октябрьская дом 339   помещение 62</t>
  </si>
  <si>
    <t>ИП890700622900004</t>
  </si>
  <si>
    <t>357207 Ставропольский край город Минеральные Воды проспект 22 Партсъезда/улица Советская дом 102/дом 28   помещение 60, 61</t>
  </si>
  <si>
    <t>ИП890700622900005</t>
  </si>
  <si>
    <t>357821 Ставропольский край город Георгиевск улица Калинина здание 125а   помещение 22</t>
  </si>
  <si>
    <t>ИП890700622900008</t>
  </si>
  <si>
    <t>357538 Ставропольский край город Пятигорск улица Ессентукская дом 31А   помещение 134, 135</t>
  </si>
  <si>
    <t>ИП890700622900009</t>
  </si>
  <si>
    <t>355035 Ставропольский край город Ставрополь  улица Дзержинского  дом 131   помещение №50, этаж 1</t>
  </si>
  <si>
    <t>ЮЛ480100215000012</t>
  </si>
  <si>
    <t>355006 Ставропольский край город Ставрополь проспект К.Маркса дом 53   помещение №50, 1 этаж</t>
  </si>
  <si>
    <t>ЮЛ480100215000023</t>
  </si>
  <si>
    <t>ИП Жукова Екатерина Михайловна</t>
  </si>
  <si>
    <t>482505852002</t>
  </si>
  <si>
    <t>ИП2605003566</t>
  </si>
  <si>
    <t>ИП260500356600000</t>
  </si>
  <si>
    <t>355006 Ставропольский край город Ставрополь проспект К.Маркса дом 66   помещения 2-5,9,10</t>
  </si>
  <si>
    <t>ИП500100445500028</t>
  </si>
  <si>
    <t>357601 Ставропольский край город Ессентуки улица Интернациональная дом 32</t>
  </si>
  <si>
    <t>ИП610400829500016</t>
  </si>
  <si>
    <t>357635 Ставропольский край город Ессентуки улица Октябрьская дом 442а</t>
  </si>
  <si>
    <t>ИП610401294100038</t>
  </si>
  <si>
    <t>357601 Ставропольский край город Ессентуки улица Кисловодская дом 73</t>
  </si>
  <si>
    <t>ИП610401294100039</t>
  </si>
  <si>
    <t>357700 Ставропольский край город Кисловодск улица Горького дом 12А</t>
  </si>
  <si>
    <t>ИП610401294100042</t>
  </si>
  <si>
    <t>357501 Ставропольский край город Пятигорск улица Бунимовича дом 7  Литер А помещение №33</t>
  </si>
  <si>
    <t>ИП Коцарь Борис Николаевич</t>
  </si>
  <si>
    <t>616405248606</t>
  </si>
  <si>
    <t>ИП6104008764</t>
  </si>
  <si>
    <t>ИП610400876400000</t>
  </si>
  <si>
    <t>357538 Ставропольский край город Пятигорск улица Ессентукская дом 31А  Литер А нежилое помещение №143, 1 этаж</t>
  </si>
  <si>
    <t>ИП610400876400001</t>
  </si>
  <si>
    <t>357700 Ставропольский край город Кисловодск проспект Победы дом 6  Литер А</t>
  </si>
  <si>
    <t>ИП610400876400003</t>
  </si>
  <si>
    <t>357700 Ставропольский край город Кисловодск бульвар Курортный дом 13А   нежилое помещение №Ю, 1 этаж</t>
  </si>
  <si>
    <t>ИП610400876400005</t>
  </si>
  <si>
    <t>357501 Ставропольский край город Пятигорск улица Октябрьская дом 10  Литер А неж.пом. №:1,1б,4а,5а,6,7</t>
  </si>
  <si>
    <t>ИП610400876400009</t>
  </si>
  <si>
    <t>357600 Ставропольский край город Ессентуки улица Интернацианальная дом 3</t>
  </si>
  <si>
    <t>ИП610400876400014</t>
  </si>
  <si>
    <t>357200 Ставропольский край город Минеральные Воды улица Ставропольская 17</t>
  </si>
  <si>
    <t>ИП610400876400015</t>
  </si>
  <si>
    <t>357207 Ставропольский край город Минеральные Воды проспект 22 Партсъезда/ улица Советская дом 102 / дом 28  Литер А</t>
  </si>
  <si>
    <t>ИП610400876400016</t>
  </si>
  <si>
    <t>357820 Ставропольский край город Георгиевск улица Калинина 125а</t>
  </si>
  <si>
    <t>ИП610400876400017</t>
  </si>
  <si>
    <t>357600 Ставропольский край город Ессентуки улица Октябрьская дом 339  Литер Б-Б1 помещение 94</t>
  </si>
  <si>
    <t>ИП610400876400018</t>
  </si>
  <si>
    <t>355045 Ставропольский край город Ставрополь улица Пирогова дом 18/7</t>
  </si>
  <si>
    <t>ЮЛ660700070800043</t>
  </si>
  <si>
    <t>357100 Ставропольский край город Невинномысск улица Гагарина дом 60</t>
  </si>
  <si>
    <t>ЮЛ660700070800047</t>
  </si>
  <si>
    <t>356300 Ставропольский край село Александровское улица К.Маркса дом 55</t>
  </si>
  <si>
    <t>ЮЛ660700070800140</t>
  </si>
  <si>
    <t>357700 Ставропольский край город Кисловодск улица Героев Медиков/улица 40 лет Октября дом 1/дом 20   квартира 21</t>
  </si>
  <si>
    <t>ЮЛ660700070800154</t>
  </si>
  <si>
    <t>357212 Ставропольский край город Минеральные Воды улица Ставропольская дом 47   помещение 2</t>
  </si>
  <si>
    <t>ЮЛ660700070800164</t>
  </si>
  <si>
    <t>357820 Ставропольский край город Георгиевск улица Калинина дом 22 стр. 2</t>
  </si>
  <si>
    <t>ЮЛ660700070800168</t>
  </si>
  <si>
    <t>357910 Ставропольский край город Зеленокумск площадь Ленина здание 17</t>
  </si>
  <si>
    <t>ЮЛ660700070800207</t>
  </si>
  <si>
    <t>356242 Ставропольский край город Михайловск улица Ленина дом 213   помещение 1</t>
  </si>
  <si>
    <t>ЮЛ660700070800212</t>
  </si>
  <si>
    <t>357820 Ставропольский край город Георгиевск улица Пушкина дом 50   помещение 44</t>
  </si>
  <si>
    <t>ЮЛ770100201500535</t>
  </si>
  <si>
    <t>357820 Ставропольский край город Георгиевск улица Калинина дом 20</t>
  </si>
  <si>
    <t>ЮЛ770100201500542</t>
  </si>
  <si>
    <t>357821 Ставропольский край город Георгиевск улица Салогубова дом 14</t>
  </si>
  <si>
    <t>ЮЛ770100201500546</t>
  </si>
  <si>
    <t>357635 Ставропольский край город Ессентуки улица Октябрьская здание 442А</t>
  </si>
  <si>
    <t>ЮЛ770100201500550</t>
  </si>
  <si>
    <t>356240 Ставропольский край город Михайловск улица Фрунзе дом 2   2 этаж</t>
  </si>
  <si>
    <t>ЮЛ770100201500558</t>
  </si>
  <si>
    <t>356000 Ставропольский край город Новоалександровск улица Маршала Жукова дом 1</t>
  </si>
  <si>
    <t>ЮЛ770100201500561</t>
  </si>
  <si>
    <t>357202 Ставропольский край город Минеральные Воды проспект Карла Маркса дом 81а   помещение 7</t>
  </si>
  <si>
    <t>ЮЛ770100201500563</t>
  </si>
  <si>
    <t>357300 Ставропольский край город Новопавловск улица Центральная дом 53</t>
  </si>
  <si>
    <t>ЮЛ770100201500564</t>
  </si>
  <si>
    <t>357560 Ставропольский край город Пятигорск, поселок Горячеводский проспект Советской Армии дом 127  литер А магазин 12, часть помещения 24, первый этаж</t>
  </si>
  <si>
    <t>ЮЛ770100201500573</t>
  </si>
  <si>
    <t>355035 Ставропольский край город Ставрополь улица Дзержинского дом 131   помещения 116,118, этаж 1</t>
  </si>
  <si>
    <t>ЮЛ770101216600139</t>
  </si>
  <si>
    <t>355040 Ставропольский край город Ставрополь улица Тухачевского дом 14/2  Литера А этаж 1,  чать помещения №№ 45,47-55,57- 66,192,252-283</t>
  </si>
  <si>
    <t>ЮЛ770101216600374</t>
  </si>
  <si>
    <t>355011 Ставропольский край город Ставрополь улица Доваторцев дом 75а   этаж 2,  помещение №217</t>
  </si>
  <si>
    <t>ЮЛ770101216600469</t>
  </si>
  <si>
    <t>356242 Ставропольский край город Михайловск улица Ивана Бурмистрова дом 56   1 этаж, помещение №107</t>
  </si>
  <si>
    <t>ЮЛ770101216600752</t>
  </si>
  <si>
    <t>355035 Ставропольский край город Ставрополь улица Дзержинского дом 131   1 этаж, нежилое помещение № 115</t>
  </si>
  <si>
    <t>ЮЛ770101216600774</t>
  </si>
  <si>
    <t>355028 Ставропольский край город Ставрополь улица Тухачевского дом 29   1 этаж, часть нежилого помещения № 132</t>
  </si>
  <si>
    <t>ЮЛ770101216600786</t>
  </si>
  <si>
    <t>355006 Ставропольский край город Ставрополь проспект Карла Маркса дом 63   1 этаж, нежилое помещение №51, 53</t>
  </si>
  <si>
    <t>ЮЛ770101216600828</t>
  </si>
  <si>
    <t>355008 Ставропольский край город Ставрополь проспект К.Маркса дом 47/30   этаж 1, часть нежилого помещения № 120</t>
  </si>
  <si>
    <t>ЮЛ770101216600973</t>
  </si>
  <si>
    <t>355011 Ставропольский край город Ставрополь улица Доваторцев Дом 75А   Нежилое помещение № 411</t>
  </si>
  <si>
    <t>ИП770101587900004</t>
  </si>
  <si>
    <t>357502 Ставропольский край город Пятигорск улица Мира дом 24</t>
  </si>
  <si>
    <t>ЮЛ770101324600044</t>
  </si>
  <si>
    <t>356240 Ставропольский край город Михайловск улица Войкова дом 393</t>
  </si>
  <si>
    <t>ЮЛ770101324600052</t>
  </si>
  <si>
    <t>357700 Ставропольский край город Кисловодск проспект Первомайский дом 19</t>
  </si>
  <si>
    <t>ЮЛ770100419400076</t>
  </si>
  <si>
    <t>355011 Ставропольский край город Ставрополь улица Доваторцев дом 75А</t>
  </si>
  <si>
    <t>ЮЛ770100419400085</t>
  </si>
  <si>
    <t>355035 Ставропольский край город Ставрополь улица Дзержинского дом 114</t>
  </si>
  <si>
    <t>ЮЛ770100419400182</t>
  </si>
  <si>
    <t>357700 Ставропольский край город Кисловодск проспект Ленина дом 26-28</t>
  </si>
  <si>
    <t>ЮЛ770100419400183</t>
  </si>
  <si>
    <t>357100 Ставропольский край город Невинномысск улица Гагарина дом 60А</t>
  </si>
  <si>
    <t>ЮЛ770100419400185</t>
  </si>
  <si>
    <t>ЮЛ770100419400187</t>
  </si>
  <si>
    <t>357502 Ставропольский край город Пятигорск улица Коста Хетагурова дом 33</t>
  </si>
  <si>
    <t>ЮЛ770100419400191</t>
  </si>
  <si>
    <t>357502 Ставропольский край город Пятигорск проспект Кирова дом 65   помещение №10</t>
  </si>
  <si>
    <t>ЮЛ770100419400238</t>
  </si>
  <si>
    <t>355040 Ставропольский край город Ставрополь улица Доваторцев дом 39-б</t>
  </si>
  <si>
    <t>ИП Калайджан Артур Робертович</t>
  </si>
  <si>
    <t>772800286388</t>
  </si>
  <si>
    <t>ИП2605037516</t>
  </si>
  <si>
    <t>ИП260503751600000</t>
  </si>
  <si>
    <t>355006 Ставропольский край город Ставрополь проспект Карла Маркса дом 63   часть помещения 39, помещение 36,183, 1 этаж</t>
  </si>
  <si>
    <t>ЮЛ770100193500064</t>
  </si>
  <si>
    <t>357827 Ставропольский край город Георгиевск улица Калинина дом 125а    помещение 19, 1 этаж</t>
  </si>
  <si>
    <t>ЮЛ770100193500356</t>
  </si>
  <si>
    <t>357601 Ставропольский край город Ессентуки улица Октябрьская дом 339   помещения № 65-67, № 91</t>
  </si>
  <si>
    <t>ЮЛ770100193500357</t>
  </si>
  <si>
    <t>357207 Ставропольский край город Минеральные Воды проспект 22 Партсъезда / улица Советская  дом 102/ дом 28   помещения 57, 58, 59, часть помещения 60, первый этаж</t>
  </si>
  <si>
    <t>ЮЛ770100193500358</t>
  </si>
  <si>
    <t>357538 Ставропольский край город Пятигорск улица Ессентукская дом 31-а   помещение № 146</t>
  </si>
  <si>
    <t>ЮЛ770100193500359</t>
  </si>
  <si>
    <t>357502 Ставропольский край город Пятигорск проспект Кирова дом 65  литера А помещения № 2,2а,2б, 1 этаж</t>
  </si>
  <si>
    <t>ЮЛ770100193500360</t>
  </si>
  <si>
    <t>355011 Ставропольский край город Ставрополь улица Доваторцев дом 75А   часть помещения 2, 1 (первый) этаж</t>
  </si>
  <si>
    <t>ЮЛ770100193500361</t>
  </si>
  <si>
    <t>357700 Ставропольский край город Кисловодск улица Горького дом 14   нежилые помещения №52-56, 1 (первый) этаж</t>
  </si>
  <si>
    <t>ЮЛ770100193500497</t>
  </si>
  <si>
    <t>357108 Ставропольский край город Невинномысск улица Гагарина дом 6   нежилое помещение № 22-23, этаж 1 (первый)</t>
  </si>
  <si>
    <t>ЮЛ770100193500548</t>
  </si>
  <si>
    <t>355040 Ставропольский край город Ставрополь улица 50 лет ВЛКСМ дом 16к   1 этаж</t>
  </si>
  <si>
    <t>ЮЛ770100193500800</t>
  </si>
  <si>
    <t>355035 Ставропольский край город Ставрополь улица Дзержинского дом 131   часть помещения 110, 1 этаж</t>
  </si>
  <si>
    <t>ЮЛ770100193500831</t>
  </si>
  <si>
    <t>356800 Ставропольский край город Буденновск улица Октябрьская дом 79   1 этаж</t>
  </si>
  <si>
    <t>ЮЛ770100193500838</t>
  </si>
  <si>
    <t>357560 Ставропольский край город Пятигорск проспект Советской Армии дом 127   часть нежилого помещения № 24, этаж 1 (первый)</t>
  </si>
  <si>
    <t>ЮЛ770100193500894</t>
  </si>
  <si>
    <t>356240 Ставропольский край город Михайловск улица Фрунзе дом 2   2 (второй) этаж</t>
  </si>
  <si>
    <t>ЮЛ770100193500896</t>
  </si>
  <si>
    <t>ЮЛ770100193500898</t>
  </si>
  <si>
    <t>357820 Ставропольский край город Георгиевск улица Пушкина здание 50   часть нежилого помещения № 44</t>
  </si>
  <si>
    <t>ЮЛ770100193500905</t>
  </si>
  <si>
    <t>357635 Ставропольский край город Ессентуки улица Октябрьская здание 442а</t>
  </si>
  <si>
    <t>ЮЛ770100193500908</t>
  </si>
  <si>
    <t>ЮЛ770100193500909</t>
  </si>
  <si>
    <t>357202 Ставропольский край город Минеральные Воды проспект Карла Маркса здание 81А   помещение 7</t>
  </si>
  <si>
    <t>ЮЛ770100193500921</t>
  </si>
  <si>
    <t>356800 Ставропольский край город Буденновск улица Борцов Революции дом 168Б</t>
  </si>
  <si>
    <t>ЮЛ770100193500945</t>
  </si>
  <si>
    <t>ЮЛ770100193500970</t>
  </si>
  <si>
    <t>356300 Ставропольский край село Александровское улица К.Маркса дом 68</t>
  </si>
  <si>
    <t>ЮЛ770100193501049</t>
  </si>
  <si>
    <t>355002 Ставропольский край город Ставрополь улица Лермонтова/улица Пушкина дом 199/дом 29</t>
  </si>
  <si>
    <t>ЮЛ770100193501051</t>
  </si>
  <si>
    <t>357820 Ставропольский край город Георгиевск улица Октябрьская дом 90</t>
  </si>
  <si>
    <t>ЮЛ770100193501061</t>
  </si>
  <si>
    <t>357209 Ставропольский край город Минеральные Воды улица Ленина/улица 22 Партсъезда дом 37/дом 1</t>
  </si>
  <si>
    <t>ЮЛ770100193501074</t>
  </si>
  <si>
    <t>357601 Ставропольский край город Ессентуки улица Кисловодская здание 65А</t>
  </si>
  <si>
    <t>ЮЛ770100193501084</t>
  </si>
  <si>
    <t>357601 Ставропольский край город Ессентуки улица Гагарина дом 99</t>
  </si>
  <si>
    <t>ЮЛ770100193501087</t>
  </si>
  <si>
    <t>356242 Ставропольский край город Михайловск улица Чкалова здание 7   помещение 21</t>
  </si>
  <si>
    <t>ЮЛ770100193501089</t>
  </si>
  <si>
    <t>357202 Ставропольский край город Минеральные Воды проспект Карла Маркса/улица Терешковой дом 97/дом 25</t>
  </si>
  <si>
    <t>ЮЛ770100193501111</t>
  </si>
  <si>
    <t>357600 Ставропольский край город Ессентуки улица Гагарина д. 32-34   часть нежилого помещения № 1,2,3,4</t>
  </si>
  <si>
    <t>ЮЛ780300131300001</t>
  </si>
  <si>
    <t>357500 Ставропольский край город Пятигорск улица Крайнего дом 47</t>
  </si>
  <si>
    <t>ЮЛ780300131300002</t>
  </si>
  <si>
    <t>355002 Ставропольский край город Ставрополь улица Пушкина дом 40</t>
  </si>
  <si>
    <t>ЮЛ780300131300003</t>
  </si>
  <si>
    <t>355040 Ставропольский край г. Ставрополь ул. 50 лет ВЛКСМ 16г, 16д</t>
  </si>
  <si>
    <t>ЮЛ780300131300004</t>
  </si>
  <si>
    <t>355029 Ставропольский край город Ставрополь улица Ленина дом 424</t>
  </si>
  <si>
    <t>ЮЛ780300131300005</t>
  </si>
  <si>
    <t>355042 Ставропольский край город Ставрополь улица 50 лет ВЛКСМ дом 59А</t>
  </si>
  <si>
    <t>ЮЛ780300131300006</t>
  </si>
  <si>
    <t>ЮЛ780300131300010</t>
  </si>
  <si>
    <t>357108 Ставропольский край город Невинномысск улица Гагарина дом 6</t>
  </si>
  <si>
    <t>ЮЛ780300131300012</t>
  </si>
  <si>
    <t>357501 Ставропольский край город Пятигорск проспект Кирова дом 49  литер А</t>
  </si>
  <si>
    <t>ЮЛ780300131300013</t>
  </si>
  <si>
    <t>355006 Ставропольский край город Ставрополь проспект К.Маркса дом 59а</t>
  </si>
  <si>
    <t>ЮЛ780300131300015</t>
  </si>
  <si>
    <t>357300 Ставропольский край город Новопавловск улица Центральная дом 53   часть нежилого помещения №1</t>
  </si>
  <si>
    <t>ЮЛ780300131300361</t>
  </si>
  <si>
    <t>356800 Ставропольский край город Буденновск улица Октябрьская дом 54  литер "Б" часть нежилого здания-магазина с мансардами и пристройками (1-5) с инвентарным номером 2536</t>
  </si>
  <si>
    <t>ЮЛ780300131300363</t>
  </si>
  <si>
    <t>357820 Ставропольский край город Георгиевск улица Пятигорская-Калинина 1/18</t>
  </si>
  <si>
    <t>ЮЛ780300131300364</t>
  </si>
  <si>
    <t>356140 Ставропольский край город Изобильный переулок Ленина дом 12   офис 2</t>
  </si>
  <si>
    <t>ЮЛ780300131300450</t>
  </si>
  <si>
    <t>357108 Ставропольский край город Невинномысск улица Гагарина дом 6   часть комнаты № 31</t>
  </si>
  <si>
    <t>ЮЛ780300131300475</t>
  </si>
  <si>
    <t>356720 Ставропольский край село Дивное улица Кашубы 44   часть нежилых помещений 2,3,4,5,6</t>
  </si>
  <si>
    <t>ЮЛ780300328000101</t>
  </si>
  <si>
    <t>356630 Ставропольский край город Ипатово улица Свердлова 3А   помещение № 2</t>
  </si>
  <si>
    <t>ЮЛ780300328000102</t>
  </si>
  <si>
    <t>356030 Ставропольский край село Красногвардейское улица Дружбы 4   помещения №№ 1,2</t>
  </si>
  <si>
    <t>ЮЛ780300328000103</t>
  </si>
  <si>
    <t>356240 Ставропольский край город Михайловск улица Войкова дом 393/1 корпус 1  часть нежилых помещений, а именно комнаты №№ 13,15,16,17,18</t>
  </si>
  <si>
    <t>ЮЛ780300328000167</t>
  </si>
  <si>
    <t>357212 Ставропольский край город Минеральные Воды улица Ленина/ Карла Либкнехта  дом 35/2   часть помещения № 19</t>
  </si>
  <si>
    <t>ЮЛ780300328000169</t>
  </si>
  <si>
    <t>357502 Ставропольский край город Пятигорск улица Мира дом 16</t>
  </si>
  <si>
    <t>ЮЛ780300328000171</t>
  </si>
  <si>
    <t>355044 Ставропольский край город Ставрополь проспект Юности дом 22</t>
  </si>
  <si>
    <t>ЮЛ780300328000174</t>
  </si>
  <si>
    <t>356880 Ставропольский край город Нефтекумск улица Дзержинского дом Б/Н   часть помещения №2</t>
  </si>
  <si>
    <t>ЮЛ780300331800052</t>
  </si>
  <si>
    <t>355040 Ставропольский край город Ставрополь улица 50 лет ВЛКСМ дом 16г, 16д</t>
  </si>
  <si>
    <t>ЮЛ780300323500030</t>
  </si>
  <si>
    <t>357538 Ставропольский край город Пятигорск Адмиральского 10в   часть нежилого помещения №3</t>
  </si>
  <si>
    <t>ЮЛ780300308200081</t>
  </si>
  <si>
    <t>357500 Ставропольский край город Пятигорск улица Крайнего дом 47   часть нежилого помещения 138</t>
  </si>
  <si>
    <t>ЮЛ780300308200082</t>
  </si>
  <si>
    <t>356240 Ставропольский край город Михайловск улица Войкова дом 393/1 корпус 1  часть комнаты 18</t>
  </si>
  <si>
    <t>ЮЛ780300308200127</t>
  </si>
  <si>
    <t>356880 Ставропольский край город Нефтекумск улица Дзержинского дом б/н   помещения 3,2</t>
  </si>
  <si>
    <t>ЮЛ780300308200129</t>
  </si>
  <si>
    <t>355040 Ставропольский край город Ставрополь улица Тухачевского дом 16Б   часть помещения 38</t>
  </si>
  <si>
    <t>ЮЛ780300308200196</t>
  </si>
  <si>
    <t>356420 Ставропольский край город Благодарный улица Первомайская дом 57   часть нежилого помещения № на поэтажном плане 10</t>
  </si>
  <si>
    <t>ЮЛ780300308200512</t>
  </si>
  <si>
    <t>356720 Ставропольский край село Дивное улица Кашубы дом 44   помещения 2,3,4,5,6</t>
  </si>
  <si>
    <t>ЮЛ780300308200519</t>
  </si>
  <si>
    <t>357601 Ставропольский край город Ессентуки улица Интернациональная дом 44  литер Б часть магазина инвентарный номер 13044 литер Б</t>
  </si>
  <si>
    <t>ЮЛ780300308200521</t>
  </si>
  <si>
    <t>356630 Ставропольский край город Ипатово улица Свердлова дом 3а   помещение 2</t>
  </si>
  <si>
    <t>ЮЛ780300308200525</t>
  </si>
  <si>
    <t>356030 Ставропольский край село Красногвардейское улица Дружбы дом 4   помещения 1,2</t>
  </si>
  <si>
    <t>ЮЛ780300308200529</t>
  </si>
  <si>
    <t>ЮЛ780300308200577</t>
  </si>
  <si>
    <t>356236 Ставропольский край село Верхнерусское улица Батайская домовладение 2А</t>
  </si>
  <si>
    <t>ЮЛ780300308200578</t>
  </si>
  <si>
    <t>356140 Ставропольский край город Изобильный переулок Ленина дом 12   офис 2, комната 1, комната 2, часть комнаты 3, комната 4, комната 5, комната 6, комната 7, комната 8, комната 9, комната 10</t>
  </si>
  <si>
    <t>ЮЛ780300308200600</t>
  </si>
  <si>
    <t>355042 Ставропольский край город Ставрополь улица 50 лет ВЛКСМ дом 59а Литер А   часть нежилого помещения №62-67</t>
  </si>
  <si>
    <t>ЮЛ780300308200788</t>
  </si>
  <si>
    <t>355006 Ставропольский край город Ставрополь проспект К.Маркса дом 59а   часть нежилого помещения, находящегося на 1 этаже, состоящее из помещений №№1,2,3,4,5</t>
  </si>
  <si>
    <t>ЮЛ780300308200798</t>
  </si>
  <si>
    <t>355029 Ставропольский край город Ставрополь улица Ленина дом 424   часть нежилого помещения №14</t>
  </si>
  <si>
    <t>ЮЛ780300308200821</t>
  </si>
  <si>
    <t>355040 Ставропольский край город Ставрополь улица 50 лет ВЛКСМ дом 16г, 16д   часть нежилого помещения №1</t>
  </si>
  <si>
    <t>ЮЛ780300308200829</t>
  </si>
  <si>
    <t>357700 Ставропольский край город Кисловодск улица Горького дом 24   часть нежилого помещения -  инв. № 13462, Лит. М 1/</t>
  </si>
  <si>
    <t>ЮЛ780300308200846</t>
  </si>
  <si>
    <t>357601 Ставропольский край город Ессентуки улица Гагарина дом 32-34</t>
  </si>
  <si>
    <t>ЮЛ780300308200851</t>
  </si>
  <si>
    <t>356530 Ставропольский край город Светлоград улица Кузнечная дом 33</t>
  </si>
  <si>
    <t>ЮЛ780300308200853</t>
  </si>
  <si>
    <t>357209 Ставропольский край город Минеральные Воды улица Пушкина 23/Карла Либкнехта д. 7/ул. Интернациональная дом 30</t>
  </si>
  <si>
    <t>ЮЛ780300308200856</t>
  </si>
  <si>
    <t>357820 Ставропольский край город Георгиевск улица Пятигорская-Калинина дом 1/18   часть нежилого помещения №29-31,35-43, 45,46№114-120</t>
  </si>
  <si>
    <t>ЮЛ780300308200885</t>
  </si>
  <si>
    <t>357501 Ставропольский край город Пятигорск проспект Кирова дом 49 Литер А2   часть нежилого здания, помещения "8,9,10,11,12</t>
  </si>
  <si>
    <t>ЮЛ780300308200889</t>
  </si>
  <si>
    <t>357108 Ставропольский край город Невинномысск улица Гагарина дом 6   часть нежилых помещений №24,25,26,27</t>
  </si>
  <si>
    <t>ЮЛ780300308200891</t>
  </si>
  <si>
    <t>355006 Ставропольский край город Ставрополь проспект К.Маркса дом 62   часть нежилого помещения №58</t>
  </si>
  <si>
    <t>ЮЛ780300308200893</t>
  </si>
  <si>
    <t>ЮЛ780300308200895</t>
  </si>
  <si>
    <t>357108 Ставропольский край город Невинномысск улица Гагарина дом 6   часть нежилого помещения № 29-31, 33-36</t>
  </si>
  <si>
    <t>ЮЛ780300308200900</t>
  </si>
  <si>
    <t>356800 Ставропольский край город Буденновск улица Октябрьская дом 54</t>
  </si>
  <si>
    <t>ЮЛ780300308200986</t>
  </si>
  <si>
    <t>355035 Ставропольский край город Ставрополь улица Дзержинского дом 131   часть нежилого помещения № 119, нежилые помещения № 120,121</t>
  </si>
  <si>
    <t>ЮЛ780300308201097</t>
  </si>
  <si>
    <t>357601 Ставропольский край город Ессентуки улица Октябрьская дом 339   часть нежилого помещения №94</t>
  </si>
  <si>
    <t>ЮЛ780300308201194</t>
  </si>
  <si>
    <t>357202 Ставропольский край город Минеральные Воды проспект Карла Маркса / улица Терешковой  дом 97 / дом 25   помещение №80</t>
  </si>
  <si>
    <t>ЮЛ780300363500139</t>
  </si>
  <si>
    <t>ЮЛ780300363500215</t>
  </si>
  <si>
    <t>357501 Ставропольский край город Пятигорск проспект Кирова дом 47</t>
  </si>
  <si>
    <t>ИП Черкасова Кристина Сергеевна</t>
  </si>
  <si>
    <t>861103056952</t>
  </si>
  <si>
    <t>ИП2605038887</t>
  </si>
  <si>
    <t>ИП260503888700000</t>
  </si>
  <si>
    <t>355011 Ставропольский край город Ставрополь улица Доваторцев дом 75а   1 этаж, часть помещения №2</t>
  </si>
  <si>
    <t>ЮЛ770100439200213</t>
  </si>
  <si>
    <t>357502 Ставропольский край город Пятигорск проспект Кирова дом 65   1 этаж, помещения №15, №15а</t>
  </si>
  <si>
    <t>ЮЛ770100439200223</t>
  </si>
  <si>
    <t>Тамбовская область</t>
  </si>
  <si>
    <t>392033 Тамбовская область город Тамбов улица Интернациональная дом 56   помещение 71</t>
  </si>
  <si>
    <t>ИП520600153500010</t>
  </si>
  <si>
    <t>392019 Тамбовская область город Тамбов улица Чичерина/Мичуринская дом 27/211   помещение №1.10 этаж 1</t>
  </si>
  <si>
    <t>ИП770100193400006</t>
  </si>
  <si>
    <t>392000 Тамбовская область город Тамбов улица Октябрьская дом 16А/10А</t>
  </si>
  <si>
    <t>ЮЛ480100215000027</t>
  </si>
  <si>
    <t>393760 Тамбовская область город Мичуринск улица Советская дом 323А   помещение 6</t>
  </si>
  <si>
    <t>ЮЛ480100215000037</t>
  </si>
  <si>
    <t>392000 Тамбовская область город Тамбов улица Советская дом 99а   ТРЦ РИО , вторая очередь</t>
  </si>
  <si>
    <t>ИП500100445500125</t>
  </si>
  <si>
    <t>392000 Тамбовская область город Тамбов улица Советская дом 99а   секция К-48</t>
  </si>
  <si>
    <t>ЮЛ520603376600069</t>
  </si>
  <si>
    <t>393671 Тамбовская область город Жердевка улица Октябрьская Дом 65А</t>
  </si>
  <si>
    <t>ООО "ГАЛАНТЕРЕЯ У МИННИ"</t>
  </si>
  <si>
    <t>6800001220</t>
  </si>
  <si>
    <t>ЮЛ6801033131</t>
  </si>
  <si>
    <t>ЮЛ680103313100000</t>
  </si>
  <si>
    <t>393360 Тамбовская область город Кирсанов улица Красноармейская дом 19а</t>
  </si>
  <si>
    <t>ЮЛ680103313100001</t>
  </si>
  <si>
    <t>393700 Тамбовская область рабочий поселок Первомайский площадь Ленина дом 7</t>
  </si>
  <si>
    <t>ЮЛ680103313100002</t>
  </si>
  <si>
    <t>392027 Тамбовская область город Тамбов улица Магистральная дом 15   1 этаж, помещение 2А</t>
  </si>
  <si>
    <t>ООО "МАГАЗИН СКУПКА"</t>
  </si>
  <si>
    <t>6800010640</t>
  </si>
  <si>
    <t>ЮЛ6801037263</t>
  </si>
  <si>
    <t>ЮЛ680103726300000</t>
  </si>
  <si>
    <t>393970 Тамбовская область село Пичаево улица Трудовая дом 6</t>
  </si>
  <si>
    <t>ИП Малышев Павел Серафимович</t>
  </si>
  <si>
    <t>681400573608</t>
  </si>
  <si>
    <t>ИП6801002048</t>
  </si>
  <si>
    <t>ИП680100204800000</t>
  </si>
  <si>
    <t>393840 Тамбовская область рабочий поселок Сосновка улица Моршанская дом 39А строение 1</t>
  </si>
  <si>
    <t>ИП Кадомская Валерия Вячеславовна</t>
  </si>
  <si>
    <t>681801453805</t>
  </si>
  <si>
    <t>ИП6801002365</t>
  </si>
  <si>
    <t>ИП680100236500000</t>
  </si>
  <si>
    <t>393520 Тамбовская область рабочий поселок Ржакса улица Первомайская дом 34</t>
  </si>
  <si>
    <t>ИП680100236500001</t>
  </si>
  <si>
    <t>ИП680100236500002</t>
  </si>
  <si>
    <t>393360 Тамбовская область город Кирсанов улица Красноармейская дом 19А</t>
  </si>
  <si>
    <t>ИП680100236500003</t>
  </si>
  <si>
    <t>393600 Тамбовская область рабочий поселок Мордово Ленинский проспект дом 13</t>
  </si>
  <si>
    <t>ИП680100236500004</t>
  </si>
  <si>
    <t>393310 Тамбовская область рабочий поселок Инжавино улица Советская дом 24</t>
  </si>
  <si>
    <t>ИП680100236500005</t>
  </si>
  <si>
    <t>393950 Тамбовская область город Моршанск Октябрьская площадь дом 28</t>
  </si>
  <si>
    <t>ИП680100236500006</t>
  </si>
  <si>
    <t>393950 Тамбовская область город Моршанск улица Интернациональная дом 38</t>
  </si>
  <si>
    <t>ИП680100236500007</t>
  </si>
  <si>
    <t>393840 Тамбовская область рабочий поселок Сосновка улица Колхозная дом 10 строение 5  помещение 2</t>
  </si>
  <si>
    <t>ИП Бекназарова Екатерина Кодиржоновна</t>
  </si>
  <si>
    <t>682009129779</t>
  </si>
  <si>
    <t>ИП6801014328</t>
  </si>
  <si>
    <t>ИП680101432800000</t>
  </si>
  <si>
    <t>393360 Тамбовская область город Кирсанов улица Советская дом 28д</t>
  </si>
  <si>
    <t>ИП Закусова Валентина Анатольевна</t>
  </si>
  <si>
    <t>682400056866</t>
  </si>
  <si>
    <t>ИП6801007650</t>
  </si>
  <si>
    <t>ИП680100765000000</t>
  </si>
  <si>
    <t>393360 Тамбовская область город Кирсанов улица Советская дом 28а</t>
  </si>
  <si>
    <t>ИП680100765000002</t>
  </si>
  <si>
    <t>393950 Тамбовская область город Моршанск улица Интернациональная дом 16</t>
  </si>
  <si>
    <t>6826006769</t>
  </si>
  <si>
    <t>ЮЛ6801034868</t>
  </si>
  <si>
    <t>ЮЛ680103486800000</t>
  </si>
  <si>
    <t>393950 Тамбовская область город Моршанск улица Интернациональная дом 34   помещение 1</t>
  </si>
  <si>
    <t>ООО "ТАМБОВСКАЯ ЮВЕЛИРНАЯ КОМПАНИЯ"</t>
  </si>
  <si>
    <t>6826512290</t>
  </si>
  <si>
    <t>ЮЛ6801000818</t>
  </si>
  <si>
    <t>ЮЛ680100081800000</t>
  </si>
  <si>
    <t>393950 Тамбовская область город Моршанск площадь Октябрьская / улица Интернациональная дом 31 / дом 51   помещения №3, №5, №7</t>
  </si>
  <si>
    <t>ЮЛ680100081800001</t>
  </si>
  <si>
    <t>393840 Тамбовская область рабочий поселок Сосновка улица Интернациональная дом 225а</t>
  </si>
  <si>
    <t>ЮЛ680100081800002</t>
  </si>
  <si>
    <t>393760 Тамбовская область город Мичуринск улица Филиппова дом 62   помещение 2</t>
  </si>
  <si>
    <t>ИП Медведева Наталия Анатольевна</t>
  </si>
  <si>
    <t>682700356170</t>
  </si>
  <si>
    <t>ИП6801011306</t>
  </si>
  <si>
    <t>ИП680101130600000</t>
  </si>
  <si>
    <t>393768 Тамбовская область город Мичуринск улица Советская дом 291   помещение 1</t>
  </si>
  <si>
    <t>ООО МАГАЗИН "ЯНТАРЬ"</t>
  </si>
  <si>
    <t>6827011465</t>
  </si>
  <si>
    <t>ЮЛ6801007250</t>
  </si>
  <si>
    <t>ЮЛ680100725000000</t>
  </si>
  <si>
    <t>393761 Тамбовская область город Мичуринск улица Красная дом 89   помещение 3</t>
  </si>
  <si>
    <t>ООО "ЛОМБАРД АЛМАЗ"</t>
  </si>
  <si>
    <t>6827019961</t>
  </si>
  <si>
    <t>ЮЛ6801003748</t>
  </si>
  <si>
    <t>ЮЛ680100374800000</t>
  </si>
  <si>
    <t>393766 Тамбовская область город Мичуринск улица Лермонтова дом 11   1 Этаж, помещение 62</t>
  </si>
  <si>
    <t>ЮЛ680100374800001</t>
  </si>
  <si>
    <t>393773 Тамбовская область город Мичуринск улица Жуковского дом 3а   1 Этаж, Помещение 45</t>
  </si>
  <si>
    <t>ЮЛ680100374800002</t>
  </si>
  <si>
    <t>393760 Тамбовская область город Мичуринск улица Советская дом 298</t>
  </si>
  <si>
    <t>ИП Стрельникова Алла Валентиновна</t>
  </si>
  <si>
    <t>682707330580</t>
  </si>
  <si>
    <t>ИП6801013681</t>
  </si>
  <si>
    <t>ИП680101368100000</t>
  </si>
  <si>
    <t>393761 Тамбовская область город Мичуринск улица Советская дом 286</t>
  </si>
  <si>
    <t>ИП680101368100001</t>
  </si>
  <si>
    <t>393760 Тамбовская область город Мичуринск улица Филиппова дом 54 этаж №1, нежилое помещение №1</t>
  </si>
  <si>
    <t>ИП Топильский Тимофей Александрович</t>
  </si>
  <si>
    <t>682709571460</t>
  </si>
  <si>
    <t>ИП6801001485</t>
  </si>
  <si>
    <t>ИП680100148500000</t>
  </si>
  <si>
    <t>393250 Тамбовская область город Рассказово улица Куйбышевский проезд дом 8   помещение 22</t>
  </si>
  <si>
    <t>ИП Баласян Марине Эдиковна</t>
  </si>
  <si>
    <t>682800947881</t>
  </si>
  <si>
    <t>ИП6801032100</t>
  </si>
  <si>
    <t>ИП680103210000000</t>
  </si>
  <si>
    <t>393190 Тамбовская область город Котовск улица Свободы дом 7   помещение 8</t>
  </si>
  <si>
    <t>ИП680103210000001</t>
  </si>
  <si>
    <t>393460 Тамбовская область город Уварово улица 2-й Микрорайон  дом 5   помещение 156</t>
  </si>
  <si>
    <t>ИП680103210000002</t>
  </si>
  <si>
    <t>393250 Тамбовская область город Рассказово улица Куйбышева дом 28   помещение 6</t>
  </si>
  <si>
    <t>ИП Шибанов Сергей Александрович</t>
  </si>
  <si>
    <t>682802333291</t>
  </si>
  <si>
    <t>ИП6801006283</t>
  </si>
  <si>
    <t>ИП680100628300000</t>
  </si>
  <si>
    <t>392000 Тамбовская область город Тамбов улица Носовская дом 11   помещение 15</t>
  </si>
  <si>
    <t>ИП Сухенко Людмила Борисовна</t>
  </si>
  <si>
    <t>682900180170</t>
  </si>
  <si>
    <t>ИП6801009393</t>
  </si>
  <si>
    <t>ИП680100939300000</t>
  </si>
  <si>
    <t>392019 Тамбовская область город Тамбов улица Ореховая дом 20    квартира 2 этаж 1</t>
  </si>
  <si>
    <t>ИП680100939300001</t>
  </si>
  <si>
    <t>392000 Тамбовская область город Тамбов улица Советская дом 99А</t>
  </si>
  <si>
    <t>ИП Любимова Надежда Владимировна</t>
  </si>
  <si>
    <t>682901340525</t>
  </si>
  <si>
    <t>ИП6801009418</t>
  </si>
  <si>
    <t>ИП680100941800000</t>
  </si>
  <si>
    <t>392000 Тамбовская область город Тамбов улица Советская дом 99А   секция К-4</t>
  </si>
  <si>
    <t>ИП Кочиев Константин Ирадионович</t>
  </si>
  <si>
    <t>682901340606</t>
  </si>
  <si>
    <t>ИП6801005159</t>
  </si>
  <si>
    <t>ИП680100515900000</t>
  </si>
  <si>
    <t>392036 Тамбовская область город Тамбов улица Базарная дом 103   помещение 12</t>
  </si>
  <si>
    <t>ИП Саблин Ярослав Владимирович</t>
  </si>
  <si>
    <t>682902493740</t>
  </si>
  <si>
    <t>ИП6801010555</t>
  </si>
  <si>
    <t>ИП680101055500000</t>
  </si>
  <si>
    <t>392000 Тамбовская область город Тамбов улица Советская дом 99а   помещение А-26</t>
  </si>
  <si>
    <t>ИП680101055500001</t>
  </si>
  <si>
    <t>392036 Тамбовская область город Тамбов улица Интернациональная дом 45Б</t>
  </si>
  <si>
    <t>ООО "ДАЙМОНД ДЕ ЛЮКС"</t>
  </si>
  <si>
    <t>6829081468</t>
  </si>
  <si>
    <t>ЮЛ6801007766</t>
  </si>
  <si>
    <t>ЮЛ680100776600000</t>
  </si>
  <si>
    <t>392000 Тамбовская область город Тамбов улица Коммунальная дом 21Б</t>
  </si>
  <si>
    <t>ИП Болдышев Андрей Владимирович</t>
  </si>
  <si>
    <t>682965330466</t>
  </si>
  <si>
    <t>ИП6801008621</t>
  </si>
  <si>
    <t>ИП680100862100000</t>
  </si>
  <si>
    <t>392525 Тамбовская область поселок Строитель микрорайон Северный дом 16    1 этаж, помещение с условным номером 16А</t>
  </si>
  <si>
    <t>ИП Кириллова Екатерина Николаевна</t>
  </si>
  <si>
    <t>682971849203</t>
  </si>
  <si>
    <t>ИП6801032610</t>
  </si>
  <si>
    <t>ИП680103261000000</t>
  </si>
  <si>
    <t>392000 Тамбовская область город Тамбов улица Советская дом 99А   торговое место, 1 этаж,секция к-57</t>
  </si>
  <si>
    <t>ИП680103261000001</t>
  </si>
  <si>
    <t>393460 Тамбовская область город Уварово микрорайон 2 дом 8   квартира 53</t>
  </si>
  <si>
    <t>ИП Парышев Андрей Александрович</t>
  </si>
  <si>
    <t>683001158628</t>
  </si>
  <si>
    <t>ИП6801039471</t>
  </si>
  <si>
    <t>ИП680103947100000</t>
  </si>
  <si>
    <t>392000 Тамбовская область город Тамбов улица Носовская дом 3д   помещение №2,  этаж 1</t>
  </si>
  <si>
    <t>ИП Бодрова Вера Михайловна</t>
  </si>
  <si>
    <t>683100130736</t>
  </si>
  <si>
    <t>ИП6801012345</t>
  </si>
  <si>
    <t>ИП680101234500000</t>
  </si>
  <si>
    <t>392036 Тамбовская область Город Тамбов Улица Носовская Дом № 8   Этаж 1 Помещение № 26</t>
  </si>
  <si>
    <t>ИП Гуреева Ольга Игоревна</t>
  </si>
  <si>
    <t>683101954197</t>
  </si>
  <si>
    <t>ИП6801031713</t>
  </si>
  <si>
    <t>ИП680103171300000</t>
  </si>
  <si>
    <t>393250 Тамбовская область Город Рассказово Улица Куйбышевский проезд Дом 8    Этаж 1, Помещение № 8</t>
  </si>
  <si>
    <t>ИП680103171300001</t>
  </si>
  <si>
    <t>392000 Тамбовская область город Тамбов улица Московская дом 19   офис 16</t>
  </si>
  <si>
    <t>ИП Жулябин Дмитрий Юрьевич</t>
  </si>
  <si>
    <t>683101981916</t>
  </si>
  <si>
    <t>ИП6801035590</t>
  </si>
  <si>
    <t>ИП680103559000000</t>
  </si>
  <si>
    <t>392005 Тамбовская область город Тамбов улица Астраханская дом 190   этаж 2, часть комнаты 8</t>
  </si>
  <si>
    <t>ИП Плужникова Марина Викторовна</t>
  </si>
  <si>
    <t>683103209342</t>
  </si>
  <si>
    <t>ИП6801005292</t>
  </si>
  <si>
    <t>ИП680100529200000</t>
  </si>
  <si>
    <t>392000 Тамбовская область Город Тамбов Улица Советская Дом 119  Литера 258в</t>
  </si>
  <si>
    <t>ИП Сытник Ольга Станиславовна</t>
  </si>
  <si>
    <t>683200182897</t>
  </si>
  <si>
    <t>ИП6801002574</t>
  </si>
  <si>
    <t>ИП680100257400000</t>
  </si>
  <si>
    <t>392000 Тамбовская область город Тамбов улица Советская/Студенецкая дом 124/2   помещение 14</t>
  </si>
  <si>
    <t>ИП Сальникова Елена Николаевна</t>
  </si>
  <si>
    <t>683200959100</t>
  </si>
  <si>
    <t>ИП6801009011</t>
  </si>
  <si>
    <t>ИП680100901100000</t>
  </si>
  <si>
    <t>392008 Тамбовская область город Тамбов улица Советская дом 184/375</t>
  </si>
  <si>
    <t>ИП680100901100001</t>
  </si>
  <si>
    <t>393190 Тамбовская область город Котовск улица Октябрьская дом 6/1а</t>
  </si>
  <si>
    <t>ИП680100901100003</t>
  </si>
  <si>
    <t>392018 Тамбовская область город Тамбов улица Мичуринская дом 92   помещение 33</t>
  </si>
  <si>
    <t>ИП Балашов Юрий Юрьевич</t>
  </si>
  <si>
    <t>683200967528</t>
  </si>
  <si>
    <t>ИП6801006217</t>
  </si>
  <si>
    <t>ИП680100621700000</t>
  </si>
  <si>
    <t>392003 Тамбовская область город Тамбов бульвар Энтузиастов дом 2А</t>
  </si>
  <si>
    <t>ИП680100621700001</t>
  </si>
  <si>
    <t>392032 Тамбовская область город Тамбов улица Мичуринская дом 149Б</t>
  </si>
  <si>
    <t>ИП Ананян Вальтер Зармаирович</t>
  </si>
  <si>
    <t>683201543874</t>
  </si>
  <si>
    <t>ИП6801009706</t>
  </si>
  <si>
    <t>ИП680100970600000</t>
  </si>
  <si>
    <t>393400 Тамбовская область рабочий поселок Знаменка улица Советская дом 18</t>
  </si>
  <si>
    <t>ИП Молчанова Елена Викторовна</t>
  </si>
  <si>
    <t>683201553103</t>
  </si>
  <si>
    <t>ИП0001008998</t>
  </si>
  <si>
    <t>ИП000100899800000</t>
  </si>
  <si>
    <t>392000 Тамбовская область Город Тамбов улица Октябрьская/Базарная  дом 37/114</t>
  </si>
  <si>
    <t>ИП Барзаковский Сергей Михайлович</t>
  </si>
  <si>
    <t>683202160264</t>
  </si>
  <si>
    <t>ИП6801010159</t>
  </si>
  <si>
    <t>ИП680101015900000</t>
  </si>
  <si>
    <t>392036 Тамбовская область город Тамбов Улица Коммунальная дом №21а, №26</t>
  </si>
  <si>
    <t>6832031065</t>
  </si>
  <si>
    <t>ЮЛ6801012348</t>
  </si>
  <si>
    <t>ЮЛ680101234800000</t>
  </si>
  <si>
    <t>392003 Тамбовская область город Тамбов бульвар Энтузиастов дом 1   1 этаж , помещение 65;</t>
  </si>
  <si>
    <t>ИП Барсукова Ксения Валерьевна</t>
  </si>
  <si>
    <t>683210829608</t>
  </si>
  <si>
    <t>ИП6801011475</t>
  </si>
  <si>
    <t>ИП680101147500000</t>
  </si>
  <si>
    <t>393950 Тамбовская область Город Моршанск Улица Интернациональная Дом 16</t>
  </si>
  <si>
    <t>ИП Куксов Виктор Николаевич</t>
  </si>
  <si>
    <t>683211443420</t>
  </si>
  <si>
    <t>ИП6801033147</t>
  </si>
  <si>
    <t>ИП680103314700000</t>
  </si>
  <si>
    <t>392036 Тамбовская область город Тамбов улица Коммунальная дом 32   помещение 4</t>
  </si>
  <si>
    <t>ИП Борисенкова Ирина Анатольевна</t>
  </si>
  <si>
    <t>683300760968</t>
  </si>
  <si>
    <t>ИП6801010189</t>
  </si>
  <si>
    <t>ИП680101018900000</t>
  </si>
  <si>
    <t>392036 Тамбовская область город Тамбов улица Базарная дом 103   помещение 11</t>
  </si>
  <si>
    <t>ИП680101018900001</t>
  </si>
  <si>
    <t>392036 Тамбовская область город Тамбов улица Базарная/Коммунальная дом 105/30   этаж 1, помещение № 2</t>
  </si>
  <si>
    <t>ИП Колпакова Нина Николаевна</t>
  </si>
  <si>
    <t>683302140991</t>
  </si>
  <si>
    <t>ИП6801007265</t>
  </si>
  <si>
    <t>ИП680100726500000</t>
  </si>
  <si>
    <t>392000 Тамбовская область город Тамбов улица Советская дом 99а   этаж 1, К-4в</t>
  </si>
  <si>
    <t>ИП680100726500004</t>
  </si>
  <si>
    <t>392036 Тамбовская область город Тамбов улица Коммунальная дом 32   помещение №2</t>
  </si>
  <si>
    <t>ИП680100726500005</t>
  </si>
  <si>
    <t>392036 Тамбовская область город Тамбов улица Коммунальная/Носовская дом 22/10   1 этаж</t>
  </si>
  <si>
    <t>ИП Забродина Наталия Владимировна</t>
  </si>
  <si>
    <t>683302170900</t>
  </si>
  <si>
    <t>ИП6801032632</t>
  </si>
  <si>
    <t>ИП680103263200000</t>
  </si>
  <si>
    <t>393430 Тамбовская область поселок Сатинка улица Советская дом 2б</t>
  </si>
  <si>
    <t>ИП Жукина Наталья Сергеевна</t>
  </si>
  <si>
    <t>683304525443</t>
  </si>
  <si>
    <t>ИП6801012397</t>
  </si>
  <si>
    <t>ИП680101239700000</t>
  </si>
  <si>
    <t>393600 Тамбовская область рабочий поселок Мордово улица Коммунальная дом 1</t>
  </si>
  <si>
    <t>ИП680101239700001</t>
  </si>
  <si>
    <t>393550 Тамбовская область рабочий поселок Токарёвка проспект Революции дом 1г</t>
  </si>
  <si>
    <t>ИП680101239700002</t>
  </si>
  <si>
    <t>393670 Тамбовская область город Жердевка улица Советская дом 38</t>
  </si>
  <si>
    <t>ИП680101239700005</t>
  </si>
  <si>
    <t>392036 Тамбовская область город Тамбов улица Носовская дом 3   подвальное помещение</t>
  </si>
  <si>
    <t>ИП Сухенко Елизавета Валентиновна</t>
  </si>
  <si>
    <t>683306077980</t>
  </si>
  <si>
    <t>ИП6801006302</t>
  </si>
  <si>
    <t>ИП680100630200001</t>
  </si>
  <si>
    <t>392036 Тамбовская область город Тамбов улица Коммунальная/Носовская дом 20/5   часть нежилого помещения №47</t>
  </si>
  <si>
    <t>ИП Марченко Марина Сергеевна</t>
  </si>
  <si>
    <t>683306726064</t>
  </si>
  <si>
    <t>ИП6801018164</t>
  </si>
  <si>
    <t>ИП680101816400000</t>
  </si>
  <si>
    <t>393760 Тамбовская область город Мичуринск улица Советская дом 304   помещение 3</t>
  </si>
  <si>
    <t>ЮЛ770100201500559</t>
  </si>
  <si>
    <t>393701 Тамбовская область рабочий поселок Первомайский улица Вокзальная дом 12а</t>
  </si>
  <si>
    <t>ЮЛ770100201500570</t>
  </si>
  <si>
    <t>392000 Тамбовская область город Тамбов улица Советская дом 194   комнаты 302, 303, 304 помещения  В113, этаж 1</t>
  </si>
  <si>
    <t>ЮЛ770101216600090</t>
  </si>
  <si>
    <t>392000 Тамбовская область город Тамбов улица Советская дом 99  литера А Помещение  А-14, этаж 1</t>
  </si>
  <si>
    <t>ЮЛ770101216600262</t>
  </si>
  <si>
    <t>392013 Тамбовская область город Тамбов улица Рылеева дом 83   этаж 1, часть нежилого помещения № 8</t>
  </si>
  <si>
    <t>ЮЛ770101216600418</t>
  </si>
  <si>
    <t>392000 Тамбовская область город Тамбов улица Студенецкая набережная дом 20а   этаж 1, нежилые помещения: часть № 145, № 146</t>
  </si>
  <si>
    <t>ЮЛ770101216600648</t>
  </si>
  <si>
    <t>392013 Тамбовская область город Тамбов улица Чичерина дом 3   1 этаж, часть помещения</t>
  </si>
  <si>
    <t>ЮЛ770101216600846</t>
  </si>
  <si>
    <t>393760 Тамбовская область город Мичуринск улица Советская дом 296   1 этаж, часть нежилого помещения № 30</t>
  </si>
  <si>
    <t>ЮЛ770101216600882</t>
  </si>
  <si>
    <t>392036 Тамбовская область город Тамбов улица Коммунальная/улица Носовская дом 21/дом 7   часть помещения 24, этаж 1</t>
  </si>
  <si>
    <t>ЮЛ770100193500022</t>
  </si>
  <si>
    <t>392000 Тамбовская область город Тамбов улица Советская дом 99-а   этаж 1, помещение № А08</t>
  </si>
  <si>
    <t>ЮЛ770100193500023</t>
  </si>
  <si>
    <t>392000 Тамбовская область город Тамбов улица Советская дом 194   помещение 2г, помещение В111, 1 (первый) этаж</t>
  </si>
  <si>
    <t>ЮЛ770100193500510</t>
  </si>
  <si>
    <t>ЮЛ770100193500893</t>
  </si>
  <si>
    <t>393701 Тамбовская область рабочий поселок Первомайский улица Вокзальная дом 12А</t>
  </si>
  <si>
    <t>ЮЛ770100193500968</t>
  </si>
  <si>
    <t>393760 Тамбовская область г. Мичуринск ул. Советская д. 294</t>
  </si>
  <si>
    <t>ЮЛ780300131300103</t>
  </si>
  <si>
    <t>392036 Тамбовская область город Тамбов улица Коммунальная / улица Носовская дом 21/7, №27</t>
  </si>
  <si>
    <t>ЮЛ780300131300137</t>
  </si>
  <si>
    <t>392000 Тамбовская область город Тамбов улица Советская 99-а  литера А часть нежилого помещения А103а</t>
  </si>
  <si>
    <t>ЮЛ780300131300138</t>
  </si>
  <si>
    <t>392000 Тамбовская область город Тамбов улица Куйбышева дом 12А</t>
  </si>
  <si>
    <t>ЮЛ780300131300276</t>
  </si>
  <si>
    <t>393250 Тамбовская область город Рассказово улица Куйбышевский проезд дом 8/1   помещение 2</t>
  </si>
  <si>
    <t>ЮЛ780300308200416</t>
  </si>
  <si>
    <t>392000 Тамбовская область город Тамбов улица Советская дом 99а   часть нежилого помещения №А03а</t>
  </si>
  <si>
    <t>ЮЛ780300308200787</t>
  </si>
  <si>
    <t>393760 Тамбовская область город Мичуринск улица Советская дом 294   часть нежилого здания магазина,  а именно комната №1, часть комнаты 11, часть комнаты 10</t>
  </si>
  <si>
    <t>ЮЛ780300308200796</t>
  </si>
  <si>
    <t>ЮЛ780300308200806</t>
  </si>
  <si>
    <t>392000 Тамбовская область город Тамбов улица Коммунальная/Носовская дом № 21\7   помещение 26</t>
  </si>
  <si>
    <t>ЮЛ780300308201002</t>
  </si>
  <si>
    <t>392000 Тамбовская область город Тамбов улица Советская дом 99А  Литер А 1 этаж, нежилое помещение №А22</t>
  </si>
  <si>
    <t>ЮЛ770100439200129</t>
  </si>
  <si>
    <t>Тверская область</t>
  </si>
  <si>
    <t>171613 Тверская область город Кашин Гостиный двор помещение магазина "Престиж" -- -- -- --</t>
  </si>
  <si>
    <t>ИП Эльмурзаев Саид-Магомед Гириханович</t>
  </si>
  <si>
    <t>371001461898</t>
  </si>
  <si>
    <t>ИП7701011448</t>
  </si>
  <si>
    <t>ИП770101144800000</t>
  </si>
  <si>
    <t>170001 Тверская область город Тверь проспект Калинина дом 15 строение 1 - нежилое помещение №1311</t>
  </si>
  <si>
    <t>ЮЛ500100602500003</t>
  </si>
  <si>
    <t>170043 Тверская область город Тверь проспект Октябрьский дом 103 - - -этаж 1, помещение IV</t>
  </si>
  <si>
    <t>ЮЛ500100602500004</t>
  </si>
  <si>
    <t>170028 Тверская область город Тверь бульвар Цанова дом 8</t>
  </si>
  <si>
    <t>ИП350300596400024</t>
  </si>
  <si>
    <t>170001 Тверская область город Тверь проспект Калинина дом 15 строение 1</t>
  </si>
  <si>
    <t>ИП350300596400025</t>
  </si>
  <si>
    <t>171573 Тверская область город Калязин улица Коминтерна дом 32   помещение 3</t>
  </si>
  <si>
    <t>ИП Кирпичёва Дарья Евгеньевна</t>
  </si>
  <si>
    <t>441501427056</t>
  </si>
  <si>
    <t>ИП4402007068</t>
  </si>
  <si>
    <t>ИП440200706800000</t>
  </si>
  <si>
    <t>171507 Тверская область город Кимры улица Урицкого дом 65</t>
  </si>
  <si>
    <t>ИП Прибега Сергей Иванович</t>
  </si>
  <si>
    <t>501002829215</t>
  </si>
  <si>
    <t>ИП5001013281</t>
  </si>
  <si>
    <t>ИП500101328100000</t>
  </si>
  <si>
    <t>171506 Тверская область город Кимры улица Луначарского дом 20А   этаж 1, помещения 5, 6, 7</t>
  </si>
  <si>
    <t>ЮЛ500100201300003</t>
  </si>
  <si>
    <t>171252 Тверская область город Конаково проспект Ленина дом 2   помещение 62</t>
  </si>
  <si>
    <t>ЮЛ500100201300007</t>
  </si>
  <si>
    <t>171506 Тверская область город Кимры улица Урицкого дом 64</t>
  </si>
  <si>
    <t>ИП500100862700003</t>
  </si>
  <si>
    <t>170100 Тверская область город Тверь проспект Тверской дом 9   помещение 2</t>
  </si>
  <si>
    <t>ИП Давыгора Сергей Владимирович</t>
  </si>
  <si>
    <t>504406253405</t>
  </si>
  <si>
    <t>ИП5001004692</t>
  </si>
  <si>
    <t>ИП500100469200000</t>
  </si>
  <si>
    <t>170000 Тверская область город Тверь проспект Калинина дом 15 строение 1</t>
  </si>
  <si>
    <t>ИП520600807800032</t>
  </si>
  <si>
    <t>170100 Тверская область город Тверь бульвар Радищева дом 4</t>
  </si>
  <si>
    <t>ИП Шаповал Ирина Валерьевна</t>
  </si>
  <si>
    <t>583600355735</t>
  </si>
  <si>
    <t>ИП7701001940</t>
  </si>
  <si>
    <t>ИП770100194000000</t>
  </si>
  <si>
    <t>6900026193</t>
  </si>
  <si>
    <t>ЮЛ6901040902</t>
  </si>
  <si>
    <t>ЮЛ690104090200000</t>
  </si>
  <si>
    <t>170100 Тверская область город Тверь проспект Тверской дом 2   3 этаж, помещение №1325,1326</t>
  </si>
  <si>
    <t>ООО "ИНВЕСТ ПРОФИ"</t>
  </si>
  <si>
    <t>6901003400</t>
  </si>
  <si>
    <t>ЮЛ6901013058</t>
  </si>
  <si>
    <t>ЮЛ690101305800000</t>
  </si>
  <si>
    <t>170001 Тверская область город Тверь проспект Калинина дом 15 строение 1  1 этаж, помещение №1312</t>
  </si>
  <si>
    <t>ЮЛ690101305800001</t>
  </si>
  <si>
    <t>170100 Тверская область город Тверь улица Симеоновская дом 30/27   нулевой этаж</t>
  </si>
  <si>
    <t>ИП Козлова Владислава Игоревна</t>
  </si>
  <si>
    <t>690101366615</t>
  </si>
  <si>
    <t>ИП6901040839</t>
  </si>
  <si>
    <t>ИП690104083900000</t>
  </si>
  <si>
    <t>170100 Тверская область город Тверь Тверской проспект дом 12 - - -</t>
  </si>
  <si>
    <t>ООО "МСТА"</t>
  </si>
  <si>
    <t>6901066512</t>
  </si>
  <si>
    <t>ЮЛ6901003871</t>
  </si>
  <si>
    <t>ЮЛ690100387100000</t>
  </si>
  <si>
    <t>170028 Тверская область город Тверь улица 2-я Лукина дом 9  литера В 4 этаж, помещение № 55</t>
  </si>
  <si>
    <t>ИП Касенова Галина Викторовна</t>
  </si>
  <si>
    <t>690141340620</t>
  </si>
  <si>
    <t>ИП6901018060</t>
  </si>
  <si>
    <t>ИП690101806000000</t>
  </si>
  <si>
    <t>170026 Тверская область город Тверь проспект Комсомольский дом 2/26   1 этаж</t>
  </si>
  <si>
    <t>ИП Амирова Светлана Юрьевна</t>
  </si>
  <si>
    <t>690200167402</t>
  </si>
  <si>
    <t>ИП6901002508</t>
  </si>
  <si>
    <t>ИП690100250800000</t>
  </si>
  <si>
    <t>170030 Тверская область город Тверь улица Можайского дом 71 корпус 1  1 этаж,нежилое помещение №106</t>
  </si>
  <si>
    <t>ИП690100250800001</t>
  </si>
  <si>
    <t>170028 Тверская область город Тверь б-р Цанова 8   46</t>
  </si>
  <si>
    <t>ИП690100250800002</t>
  </si>
  <si>
    <t>170100 Тверская область Тверь город Радищева бульвар дом 23</t>
  </si>
  <si>
    <t>ИП Тихомирова Алла Владимировна</t>
  </si>
  <si>
    <t>690200304313</t>
  </si>
  <si>
    <t>ИП6901002777</t>
  </si>
  <si>
    <t>ИП690100277700000</t>
  </si>
  <si>
    <t>170000 Тверская область город Тверь улица Вагжанова дом 21   1 этаж помещение II</t>
  </si>
  <si>
    <t>ИП Евдокимова Елена Борисовна</t>
  </si>
  <si>
    <t>690200546400</t>
  </si>
  <si>
    <t>ИП6901011175</t>
  </si>
  <si>
    <t>ИП690101117500000</t>
  </si>
  <si>
    <t>170008 Тверская область город Тверь проспект Победы дом 24 корпус 1  помещение 3</t>
  </si>
  <si>
    <t>ИП Симонов Владимир Викторович</t>
  </si>
  <si>
    <t>690202079399</t>
  </si>
  <si>
    <t>ИП6901016694</t>
  </si>
  <si>
    <t>ИП690101669400000</t>
  </si>
  <si>
    <t>170030 Тверская область город Тверь улица Можайского дом 71 корпус 1  помещение №216 на втором этаже торгового центра "Южный"</t>
  </si>
  <si>
    <t>ИП Пушкина Влада Вячеславовна</t>
  </si>
  <si>
    <t>690209886190</t>
  </si>
  <si>
    <t>ИП6901032987</t>
  </si>
  <si>
    <t>ИП690103298700000</t>
  </si>
  <si>
    <t>170100 Тверская область город Тверь улица Трехсвятская дом 25   помещение 2</t>
  </si>
  <si>
    <t>ИП Андреев Илья Алексеевич</t>
  </si>
  <si>
    <t>690210013063</t>
  </si>
  <si>
    <t>ИП6901000935</t>
  </si>
  <si>
    <t>ИП690100093500000</t>
  </si>
  <si>
    <t>170026 Тверская область город Тверь улица Горького дом 79/2</t>
  </si>
  <si>
    <t>ИП Пантелюк Анна Николаевна</t>
  </si>
  <si>
    <t>690300202241</t>
  </si>
  <si>
    <t>ИП6901001949</t>
  </si>
  <si>
    <t>ИП690100194900000</t>
  </si>
  <si>
    <t>170028 Тверская область город Тверь проспект Победы дом 45/28   пом Х</t>
  </si>
  <si>
    <t>ИП690100194900001</t>
  </si>
  <si>
    <t>170043 Тверская область город Тверь улица Можайского дом 60 корпус 1,2  2 этаж, помещение 114</t>
  </si>
  <si>
    <t>ИП Матвеев Михаил Валентинович</t>
  </si>
  <si>
    <t>690400264971</t>
  </si>
  <si>
    <t>ИП6901008032</t>
  </si>
  <si>
    <t>ИП690100803200000</t>
  </si>
  <si>
    <t>170002 Тверская область город Тверь улица Коминтерна дом 20/1   этаж 1</t>
  </si>
  <si>
    <t>ИП690100803200004</t>
  </si>
  <si>
    <t>170039 Тверская область город Тверь улица Паши Савельевой дом 46   помещение №2(часть 45), этаж 1</t>
  </si>
  <si>
    <t>ИП690100803200005</t>
  </si>
  <si>
    <t>170100 Тверская область город Тверь улица Симеоновская дом 30/27</t>
  </si>
  <si>
    <t>ИП Ермолаева Ольга Юрьевна</t>
  </si>
  <si>
    <t>690400858870</t>
  </si>
  <si>
    <t>ИП6901007041</t>
  </si>
  <si>
    <t>ИП690100704100000</t>
  </si>
  <si>
    <t>170043 Тверская область город Тверь улица Можайского дом 60 корпус 1,2  помещение № 114 (часть 2)</t>
  </si>
  <si>
    <t>ИП Матвеева Евгения Владимировна</t>
  </si>
  <si>
    <t>690402764190</t>
  </si>
  <si>
    <t>ИП6901034942</t>
  </si>
  <si>
    <t>ИП690103494200000</t>
  </si>
  <si>
    <t>170039 Тверская область город Тверь улица Паши Савельевой дом 46 в соответствии с Договором аренды п.1.1   Помещение №2 (часть), Часть 45-го на 1 этаже</t>
  </si>
  <si>
    <t>ИП690103494200001</t>
  </si>
  <si>
    <t>172381 Тверская область город Ржев улица Большая Спасская дом 47</t>
  </si>
  <si>
    <t>ИП Гусев Андрей Витальевич</t>
  </si>
  <si>
    <t>690500078633</t>
  </si>
  <si>
    <t>ИП7701014475</t>
  </si>
  <si>
    <t>ИП770101447500000</t>
  </si>
  <si>
    <t>170100 Тверская область Город Тверь улица Новоторжская дом 23   нежилое помещение V, этаж 1 (№№1-4)</t>
  </si>
  <si>
    <t>ЗАО "АЛЕКСАНДРИТ"</t>
  </si>
  <si>
    <t>6905015519</t>
  </si>
  <si>
    <t>ЮЛ6901002549</t>
  </si>
  <si>
    <t>ЮЛ690100254900001</t>
  </si>
  <si>
    <t>170100 Тверская область Город Тверь улица Паши Савельевой дом 33а, этаж 1</t>
  </si>
  <si>
    <t>ЮЛ690100254900002</t>
  </si>
  <si>
    <t>170100 Тверская область Город Тверь проспект Калинина дом 13   нежилое помещение I</t>
  </si>
  <si>
    <t>ЮЛ690100254900004</t>
  </si>
  <si>
    <t>172060 Тверская область Город Торжок Ленинградское шоссе дом 42  Литера А</t>
  </si>
  <si>
    <t>ЮЛ690100254900005</t>
  </si>
  <si>
    <t>172060 Тверская область Город Торжок Калининское шоссе дом 12, этаж 2</t>
  </si>
  <si>
    <t>ЮЛ690100254900006</t>
  </si>
  <si>
    <t>170100 Тверская область Город Тверь бульвар Цанова дом 8   часть нежилого помещения № 83, этаж 1</t>
  </si>
  <si>
    <t>ЮЛ690100254900007</t>
  </si>
  <si>
    <t>172381 Тверская область Город Ржев улица Большая Спасская дом 2а   Литера А</t>
  </si>
  <si>
    <t>ЮЛ690100254900008</t>
  </si>
  <si>
    <t>170080 Тверская область Город Бологое улица Дзержинского дом 6   помещение 3, этаж 1</t>
  </si>
  <si>
    <t>ЮЛ690100254900010</t>
  </si>
  <si>
    <t>171802 Тверская область Город Конаково проспект Ленина дом 1   помещение № 43</t>
  </si>
  <si>
    <t>ЮЛ690100254900011</t>
  </si>
  <si>
    <t>171988 Тверская область Город Бежецк улица Кашинская дом 4   нежилое помещение №2.3, этаж 2</t>
  </si>
  <si>
    <t>ЮЛ690100254900012</t>
  </si>
  <si>
    <t>170100 Тверская область Город Тверь Тверская площадь дом 9   нежилые помещения 1-4, 4а-6</t>
  </si>
  <si>
    <t>ЮЛ690100254900013</t>
  </si>
  <si>
    <t>170100 Тверская область Город Тверь улица Можайского дом 61   пом. I,  этаж 1</t>
  </si>
  <si>
    <t>ЮЛ690100254900014</t>
  </si>
  <si>
    <t>170100 Тверская область город Тверь площадь Тверская дом 9   нежилое помещение IV, подвал № 1</t>
  </si>
  <si>
    <t>ООО "ЛОМБАРД ЗОЛОТОЕ РУНО"</t>
  </si>
  <si>
    <t>6905060744</t>
  </si>
  <si>
    <t>ЮЛ6901002588</t>
  </si>
  <si>
    <t>ЮЛ690100258800000</t>
  </si>
  <si>
    <t>170100 Тверская область город Тверь площадь Тверская дом 9   помещение V</t>
  </si>
  <si>
    <t>ООО "ТЗК"</t>
  </si>
  <si>
    <t>6905070862</t>
  </si>
  <si>
    <t>ЮЛ6901004671</t>
  </si>
  <si>
    <t>ЮЛ690100467100000</t>
  </si>
  <si>
    <t>171080 Тверская область город Бологое улица Дзержинского дом 36</t>
  </si>
  <si>
    <t>6907003526</t>
  </si>
  <si>
    <t>ЮЛ6901008672</t>
  </si>
  <si>
    <t>ЮЛ690100867200000</t>
  </si>
  <si>
    <t>172008 Тверская область город Торжок улица Дзержинского дом 76</t>
  </si>
  <si>
    <t>ИП Абрамова Юлия Михайловна</t>
  </si>
  <si>
    <t>690800205723</t>
  </si>
  <si>
    <t>ИП6901001658</t>
  </si>
  <si>
    <t>ИП690100165800000</t>
  </si>
  <si>
    <t>172721 Тверская область поселок городского типа Фирово улица Советская дом 23</t>
  </si>
  <si>
    <t>ИП Мартынова Ирина Валерьевна</t>
  </si>
  <si>
    <t>690800558327</t>
  </si>
  <si>
    <t>ИП6901015885</t>
  </si>
  <si>
    <t>ИП690101588500000</t>
  </si>
  <si>
    <t>171163 Тверская область город Вышний Волочек улица Ванчакова линия дом 7   этаж № 1, части нежилого помещения № 1001 и 1002</t>
  </si>
  <si>
    <t>ИП Глазов Олег Николаевич</t>
  </si>
  <si>
    <t>690802040330</t>
  </si>
  <si>
    <t>ИП7701005433</t>
  </si>
  <si>
    <t>ИП770100543300000</t>
  </si>
  <si>
    <t>171163 Тверская область город Вышний Волочек проспект Казанский дом 75-77   помещение №27</t>
  </si>
  <si>
    <t>ИП Толпегин Дмитрий Владимирович</t>
  </si>
  <si>
    <t>690806871977</t>
  </si>
  <si>
    <t>ИП6901002929</t>
  </si>
  <si>
    <t>ИП690100292900000</t>
  </si>
  <si>
    <t>171841 Тверская область город Удомля проспект Курчатова дом 5   помещение 57</t>
  </si>
  <si>
    <t>ИП Иванова Нелли Николаевна</t>
  </si>
  <si>
    <t>690806988260</t>
  </si>
  <si>
    <t>ИП6901001118</t>
  </si>
  <si>
    <t>ИП690100111800000</t>
  </si>
  <si>
    <t>171640 Тверская область город Кашин площадь Пролетарская дом 23 помещение 8</t>
  </si>
  <si>
    <t>ИП Михеева Юлия Владимировна</t>
  </si>
  <si>
    <t>690900965319</t>
  </si>
  <si>
    <t>ИП6901010553</t>
  </si>
  <si>
    <t>ИП690101055300000</t>
  </si>
  <si>
    <t>171506 Тверская область город Кимры улица Урицкого дом 29</t>
  </si>
  <si>
    <t>ИП Зиновьева Любовь Анатольевна</t>
  </si>
  <si>
    <t>691000515005</t>
  </si>
  <si>
    <t>ИП6901004211</t>
  </si>
  <si>
    <t>ИП690100421100000</t>
  </si>
  <si>
    <t>171506 Тверская область город Кимры улица Урицкого дом 32</t>
  </si>
  <si>
    <t>ИП Лазарева Лидия Александровна</t>
  </si>
  <si>
    <t>691000611781</t>
  </si>
  <si>
    <t>ИП6901015045</t>
  </si>
  <si>
    <t>ИП690101504500000</t>
  </si>
  <si>
    <t>171573 Тверская область город Калязин улица Коминтерна дом 75   помещение 3</t>
  </si>
  <si>
    <t>ИП Каптурова Любовь Алексеевна</t>
  </si>
  <si>
    <t>691005581393</t>
  </si>
  <si>
    <t>ИП6901006103</t>
  </si>
  <si>
    <t>ИП690100610300000</t>
  </si>
  <si>
    <t>171252 Тверская область город Конаково проспект Ленина дом 2   помещение 23</t>
  </si>
  <si>
    <t>ИП Лозовая Инна Леонидовна</t>
  </si>
  <si>
    <t>691101502299</t>
  </si>
  <si>
    <t>ИП6901009018</t>
  </si>
  <si>
    <t>ИП690100901800000</t>
  </si>
  <si>
    <t>172521 Тверская область город Нелидово улица Горького дом 11</t>
  </si>
  <si>
    <t>ИП Тихомиров Анатолий Николаевич</t>
  </si>
  <si>
    <t>691200030470</t>
  </si>
  <si>
    <t>ИП6901007746</t>
  </si>
  <si>
    <t>ИП690100774600000</t>
  </si>
  <si>
    <t>172521 Тверская область Город Нелидово Улица Горького Дом 14</t>
  </si>
  <si>
    <t>ИП Манасян Каро Альбертович</t>
  </si>
  <si>
    <t>691200044674</t>
  </si>
  <si>
    <t>ИП6901010833</t>
  </si>
  <si>
    <t>ИП690101083300000</t>
  </si>
  <si>
    <t>172730 Тверская область город Осташков проспект Ленинский дом 112В</t>
  </si>
  <si>
    <t>ИП Галстян Аркадий Сакунович</t>
  </si>
  <si>
    <t>691300006094</t>
  </si>
  <si>
    <t>ИП6901002951</t>
  </si>
  <si>
    <t>ИП690100295100000</t>
  </si>
  <si>
    <t>1727300 Тверская область Осташков проспект Ленинский 71</t>
  </si>
  <si>
    <t>ИП Ильина Т.А.</t>
  </si>
  <si>
    <t>691300055408</t>
  </si>
  <si>
    <t>ИП6901008887</t>
  </si>
  <si>
    <t>ИП690100888700000</t>
  </si>
  <si>
    <t>172390 Тверская область город Ржев улица Ленина дом 22 - - -</t>
  </si>
  <si>
    <t>ИП Ветренко Анатолий Валерьевич</t>
  </si>
  <si>
    <t>691400081560</t>
  </si>
  <si>
    <t>ИП6901004827</t>
  </si>
  <si>
    <t>ИП690100482700000</t>
  </si>
  <si>
    <t>172381 Тверская область город Ржев улица Большая Спасская дом 12 - - этаж 1</t>
  </si>
  <si>
    <t>ИП690100482700001</t>
  </si>
  <si>
    <t>172381 Тверская область город Ржев улица Большая Спасская дом 12</t>
  </si>
  <si>
    <t>ИП Никитин Вадим Владимирович</t>
  </si>
  <si>
    <t>691406655469</t>
  </si>
  <si>
    <t>ИП6901033292</t>
  </si>
  <si>
    <t>ИП690103329200000</t>
  </si>
  <si>
    <t>172390 Тверская область город Ржев улица Ленина дом 22   этаж 1</t>
  </si>
  <si>
    <t>ИП690103329200001</t>
  </si>
  <si>
    <t>172800 Тверская область город Андреаполь улица Половчени дом 16</t>
  </si>
  <si>
    <t>ИП Бредихин Игорь Евгеньевич</t>
  </si>
  <si>
    <t>691700027155</t>
  </si>
  <si>
    <t>ИП6901013601</t>
  </si>
  <si>
    <t>ИП690101360100000</t>
  </si>
  <si>
    <t>171720 Тверская область город Весьегонск улица Коммунистическая дом 1А</t>
  </si>
  <si>
    <t>ИП Ризен Андрей Васильевич</t>
  </si>
  <si>
    <t>691900030807</t>
  </si>
  <si>
    <t>ИП6901010355</t>
  </si>
  <si>
    <t>ИП690101035500000</t>
  </si>
  <si>
    <t>171210 Тверская область город Лихославль улица Советская дом 28   офис 205</t>
  </si>
  <si>
    <t>ИП Груднина Сабина Умулхатшевна</t>
  </si>
  <si>
    <t>693100623939</t>
  </si>
  <si>
    <t>ИП7803003453</t>
  </si>
  <si>
    <t>ИП780300345300000</t>
  </si>
  <si>
    <t>171210 Тверская область город Лихославль улица Первомайская Дом 2А   1 этаж, Часть помещения №9 (24)</t>
  </si>
  <si>
    <t>ИП Васильева Ольга Васильевна</t>
  </si>
  <si>
    <t>693101212963</t>
  </si>
  <si>
    <t>ИП6901008977</t>
  </si>
  <si>
    <t>ИП690100897700000</t>
  </si>
  <si>
    <t>171210 Тверская область город Лихославль улица Советская дом 36А</t>
  </si>
  <si>
    <t>ИП Шароян Роман Бадрович</t>
  </si>
  <si>
    <t>693101989580</t>
  </si>
  <si>
    <t>ИП6901012816</t>
  </si>
  <si>
    <t>ИП690101281600000</t>
  </si>
  <si>
    <t>172008 Тверская область город Торжок улица Степана Разина дом 2-4   помещение 6</t>
  </si>
  <si>
    <t>ИП690101281600001</t>
  </si>
  <si>
    <t>172730 Тверская область город Осташков проспект Ленинский дом 92</t>
  </si>
  <si>
    <t>ИП690101281600002</t>
  </si>
  <si>
    <t>171252 Тверская область город Конаково проспект Ленина дом 8</t>
  </si>
  <si>
    <t>ИП690101281600003</t>
  </si>
  <si>
    <t>171450 Тверская область поселок городского типа Сонково проспект Ленина дом 42</t>
  </si>
  <si>
    <t>СОНКОВСКОЕ РАЙПО ТВЕРСКОГО ОБЛПОТРЕБСОЮЗА</t>
  </si>
  <si>
    <t>6940000258</t>
  </si>
  <si>
    <t>ЮЛ6901013086</t>
  </si>
  <si>
    <t>ЮЛ690101308600000</t>
  </si>
  <si>
    <t>171170 Тверская область поселок городского типа Спирово улица Советская дом 23</t>
  </si>
  <si>
    <t>ООО "РАССВЕТ"</t>
  </si>
  <si>
    <t>6941005410</t>
  </si>
  <si>
    <t>ЮЛ6901036968</t>
  </si>
  <si>
    <t>ЮЛ690103696800000</t>
  </si>
  <si>
    <t>171361 Тверская область город Старица улица Адмирала Корнилова дом 24   квартира 1</t>
  </si>
  <si>
    <t>ПО "ФЕНИКС"</t>
  </si>
  <si>
    <t>6942011216</t>
  </si>
  <si>
    <t>ЮЛ6901031478</t>
  </si>
  <si>
    <t>ЮЛ690103147800000</t>
  </si>
  <si>
    <t>172840 Тверская область город Торопец улица Октябрьская дом 43/18   помещение 3</t>
  </si>
  <si>
    <t>6944009607</t>
  </si>
  <si>
    <t>ЮЛ6901032172</t>
  </si>
  <si>
    <t>ЮЛ690103217200000</t>
  </si>
  <si>
    <t>170002 Тверская область город Тверь переулок Александровский дом 2а   офис 6.3</t>
  </si>
  <si>
    <t>ИП Деревцов Станислав Вячеславович</t>
  </si>
  <si>
    <t>695000797580</t>
  </si>
  <si>
    <t>ИП6901004098</t>
  </si>
  <si>
    <t>ИП690100409800000</t>
  </si>
  <si>
    <t>170023 Тверская область город Тверь улица Маршала Буденного дом 5   помещение II</t>
  </si>
  <si>
    <t>ООО ТД "ТВЕРЬ-ЮВЕЛИР"</t>
  </si>
  <si>
    <t>6950048604</t>
  </si>
  <si>
    <t>ЮЛ6901015280</t>
  </si>
  <si>
    <t>ЮЛ690101528000000</t>
  </si>
  <si>
    <t>170043 Тверская область город Тверь проспект Октябрьский дом 103   нежилое помещение I</t>
  </si>
  <si>
    <t>ООО "АДАЛИ"</t>
  </si>
  <si>
    <t>6950089343</t>
  </si>
  <si>
    <t>ЮЛ6901002484</t>
  </si>
  <si>
    <t>ЮЛ690100248400002</t>
  </si>
  <si>
    <t>170001 Тверская область Город Тверь проспект Калинина дом 15 строение 1  нежилое помещение № 1402, этаж 1</t>
  </si>
  <si>
    <t>ЮЛ690100248400003</t>
  </si>
  <si>
    <t>170100 Тверская область город Тверь площадь Гагарина дом 5   помещение № А-34 на 1-м этаже торгового центра</t>
  </si>
  <si>
    <t>ЮЛ690100248400004</t>
  </si>
  <si>
    <t>170006 Тверская область город Тверь переулок Трудолюбия дом 36   помещение 127, помещение 127/1</t>
  </si>
  <si>
    <t>ООО "ИСКРА"</t>
  </si>
  <si>
    <t>6950267003</t>
  </si>
  <si>
    <t>ЮЛ6901035534</t>
  </si>
  <si>
    <t>ЮЛ690103553400000</t>
  </si>
  <si>
    <t>170043 Тверская область город Тверь улица Можайского дом 60 корпус 1.2  1 Этаж, помещение 111</t>
  </si>
  <si>
    <t>ООО "ТВЕРСКОЙ ЛОМБАРД"</t>
  </si>
  <si>
    <t>6952021439</t>
  </si>
  <si>
    <t>ЮЛ6901003888</t>
  </si>
  <si>
    <t>ЮЛ690100388800000</t>
  </si>
  <si>
    <t>170043 Тверская область город Тверь улица Можайского дом 60 корпус 1.2   этаж 1, помещение IV, помещение №110</t>
  </si>
  <si>
    <t>ООО "СТЭФА"</t>
  </si>
  <si>
    <t>6952032913</t>
  </si>
  <si>
    <t>ЮЛ6901003910</t>
  </si>
  <si>
    <t>ЮЛ690100391000000</t>
  </si>
  <si>
    <t>170100 Тверская область город Тверь улица Трехсвятская дом 15</t>
  </si>
  <si>
    <t>ИП Репова Кристина Эдуардовна</t>
  </si>
  <si>
    <t>695205203212</t>
  </si>
  <si>
    <t>ИП6901030651</t>
  </si>
  <si>
    <t>ИП690103065100000</t>
  </si>
  <si>
    <t>171900 Тверская область поселок городского типа Максатиха улица имени Братьев Даниловых дом 18</t>
  </si>
  <si>
    <t>ИП Гребенник Ольга Валерьевна</t>
  </si>
  <si>
    <t>760201499034</t>
  </si>
  <si>
    <t>ИП6901032682</t>
  </si>
  <si>
    <t>ИП690103268200000</t>
  </si>
  <si>
    <t>170100 Тверская область город Тверь улица Советская дом 18</t>
  </si>
  <si>
    <t>ЮЛ760201041800011</t>
  </si>
  <si>
    <t>ЮЛ770100419400138</t>
  </si>
  <si>
    <t>170001 Тверская область город Тверь проспект Калинина дом 15 строение 1  помещение 1226/а</t>
  </si>
  <si>
    <t>ЮЛ770100193500024</t>
  </si>
  <si>
    <t>170100 Тверская область город Тверь площадь Гагарина дом 5   помещение А-27а, 1 (первый) этаж</t>
  </si>
  <si>
    <t>ЮЛ770100193500026</t>
  </si>
  <si>
    <t>171163 Тверская область город Вышний Волочек проспект Казанский дом 53-57   нежилое помещение № 1013, этаж 1 (первый)</t>
  </si>
  <si>
    <t>ЮЛ770100193500558</t>
  </si>
  <si>
    <t>170043 Тверская область город Тверь проспект Октябрьский дом 103   часть комнаты №2, нежилое помещение XXXVIII, этаж 1 (первый)</t>
  </si>
  <si>
    <t>ЮЛ770100193500588</t>
  </si>
  <si>
    <t>170100 Тверская область город Тверь площадь Гагарина дом 5   часть Помещения №А-27б</t>
  </si>
  <si>
    <t>ЮЛ780300131300488</t>
  </si>
  <si>
    <t>170001 Тверская область город Тверь проспект Калинина дом 15 строение 1  часть нежилого помещения № 1225/а</t>
  </si>
  <si>
    <t>ЮЛ780300328000074</t>
  </si>
  <si>
    <t>170100 Тверская область город Тверь улица Трехсвятская дом 19</t>
  </si>
  <si>
    <t>ЮЛ780300323500031</t>
  </si>
  <si>
    <t>171158 Тверская область город Вышний Волочек проспект Казанский дом 64а</t>
  </si>
  <si>
    <t>ЮЛ780300323500057</t>
  </si>
  <si>
    <t>170043 Тверская область город Тверь проспект Октябрьский дом 103   помещение ХLI</t>
  </si>
  <si>
    <t>ЮЛ780300323500215</t>
  </si>
  <si>
    <t>171163 Тверская область город Вышний Волочек проспект Казанский дом 75-77</t>
  </si>
  <si>
    <t>ЮЛ780300308200012</t>
  </si>
  <si>
    <t>170001 Тверская область город Тверь проспект Калинина дом 15 строение 1  помещение №1225/а</t>
  </si>
  <si>
    <t>ЮЛ780300308200119</t>
  </si>
  <si>
    <t>170039 Тверская область город Тверь улица Паши Савельевой дом 27 корпус 1  часть комнаты 5</t>
  </si>
  <si>
    <t>ЮЛ780300308200310</t>
  </si>
  <si>
    <t>ЮЛ780300308200721</t>
  </si>
  <si>
    <t>172390 Тверская область город Ржев улица Ленина дом 5а/80  Лит. А согласно плану пом №3 и №4</t>
  </si>
  <si>
    <t>ЮЛ780300308200744</t>
  </si>
  <si>
    <t>170043 Тверская область город Тверь проспект Октябрьский дом 103   помещение № Е21</t>
  </si>
  <si>
    <t>ЮЛ780300308201090</t>
  </si>
  <si>
    <t>ЮЛ780300363500010</t>
  </si>
  <si>
    <t>ЮЛ780300363500016</t>
  </si>
  <si>
    <t>170043 Тверская область город Тверь проспект Октябрьский дом 103</t>
  </si>
  <si>
    <t>ЮЛ780300363500282</t>
  </si>
  <si>
    <t>170043 Тверская область город Тверь проспект Октябрьский дом 103   часть комнаты помещения №XXVIII</t>
  </si>
  <si>
    <t>ЮЛ770100439200258</t>
  </si>
  <si>
    <t>Томская область</t>
  </si>
  <si>
    <t>634057 Томская область город Томск проспект Мира дом 23   помещение 1093-1097</t>
  </si>
  <si>
    <t>ЮЛ240803662200023</t>
  </si>
  <si>
    <t>634063 Томская область город Томск улица Сергея Лазо дом 18   помещение 1039-1042</t>
  </si>
  <si>
    <t>ЮЛ240803662200024</t>
  </si>
  <si>
    <t>634061 Томская область город Томск проспект Комсомольский дом 55</t>
  </si>
  <si>
    <t>ЮЛ240803662200025</t>
  </si>
  <si>
    <t>634012 Томская область город Томск улица Елизаровых дом 38</t>
  </si>
  <si>
    <t>ЮЛ240803662200028</t>
  </si>
  <si>
    <t>634057 Томская область город Томск улица 79-й Гвардейской дивизии дом 8   помещение 1040-1042</t>
  </si>
  <si>
    <t>ЮЛ240803662200029</t>
  </si>
  <si>
    <t>634049 Томская область город Томск улица Иркутский тракт дом 78</t>
  </si>
  <si>
    <t>ЮЛ240803662200031</t>
  </si>
  <si>
    <t>634009 Томская область город Томск проспект Ленина дом 165</t>
  </si>
  <si>
    <t>ЮЛ240803662200032</t>
  </si>
  <si>
    <t>634045 Томская область город Томск улица Нахимова дом 15   помещение ц070-ц071, ц073, ц089-ц90</t>
  </si>
  <si>
    <t>ЮЛ240803662200034</t>
  </si>
  <si>
    <t>634003 Томская область город Томск улица Пушкина дом 27  Г помещение 1001-1004</t>
  </si>
  <si>
    <t>ЮЛ240803662200035</t>
  </si>
  <si>
    <t>634049 Томская область город Томск тракт Иркутский дом 44   помещение 1080-1086</t>
  </si>
  <si>
    <t>ЮЛ240803662200036</t>
  </si>
  <si>
    <t>636000 Томская область город Северск  Коммунистический дом 44   1, 1-6</t>
  </si>
  <si>
    <t>ЮЛ240803662200037</t>
  </si>
  <si>
    <t>634009 Томская область город Томск  Ленина дом 166</t>
  </si>
  <si>
    <t>ЮЛ240803662200038</t>
  </si>
  <si>
    <t>634009 Томская область город Томск проспект Ленина дом 166</t>
  </si>
  <si>
    <t>ЮЛ240800183000011</t>
  </si>
  <si>
    <t>634061 Томская область город Томск проспект Комсомольский дом 53   помещение 1085-1090</t>
  </si>
  <si>
    <t>ЮЛ240800183000014</t>
  </si>
  <si>
    <t>634049 Томская область город Томск Иркутский тракт дом 26</t>
  </si>
  <si>
    <t>ЮЛ240800183000090</t>
  </si>
  <si>
    <t>634027 Томская область город Томск улица Ленская дом 53</t>
  </si>
  <si>
    <t>ЮЛ240800183000094</t>
  </si>
  <si>
    <t>634003 Томская область город Томск проспект Комсомольский дом 13  Литера Б</t>
  </si>
  <si>
    <t>ИП240801156100004</t>
  </si>
  <si>
    <t>634021 Томская область город Томск улица Енисейская дом 37   офис 105</t>
  </si>
  <si>
    <t>ИП Баляева Анастасия Вениаминовна</t>
  </si>
  <si>
    <t>380410658681</t>
  </si>
  <si>
    <t>ИП4703035450</t>
  </si>
  <si>
    <t>ИП470303545000000</t>
  </si>
  <si>
    <t>634034 Томская область город Томск улица Учебная дом 50</t>
  </si>
  <si>
    <t>ИП Льготина Анна Алексеевна</t>
  </si>
  <si>
    <t>380504453376</t>
  </si>
  <si>
    <t>ИП7008034037</t>
  </si>
  <si>
    <t>ИП700803403700000</t>
  </si>
  <si>
    <t>634034 Томская область город Томск улица Учебная дом 48Д   этажа 1, помещение № 146</t>
  </si>
  <si>
    <t>ЮЛ500100602500019</t>
  </si>
  <si>
    <t>634003 Томская область город Томск проспект Комсомольский дом 13б   помещение А97</t>
  </si>
  <si>
    <t>ЮЛ500100602500053</t>
  </si>
  <si>
    <t>634057 Томская область город Томск проспект Мира дом 36   помещение 1029,1030</t>
  </si>
  <si>
    <t>ЮЛ500100602500055</t>
  </si>
  <si>
    <t>636930 Томская область село Первомайское улица Ленинская 23</t>
  </si>
  <si>
    <t>ООО "КАРАТ М"</t>
  </si>
  <si>
    <t>5407238856</t>
  </si>
  <si>
    <t>ЮЛ5408019338</t>
  </si>
  <si>
    <t>ЮЛ540801933800001</t>
  </si>
  <si>
    <t>636130 Томская область село Мельниково улица Коммунистическая дом 2а</t>
  </si>
  <si>
    <t>ИП540801446600012</t>
  </si>
  <si>
    <t>636161 Томская область село Кожевниково улица Калинина дом 64</t>
  </si>
  <si>
    <t>ИП540801446600013</t>
  </si>
  <si>
    <t>636840 Томская область город Асино улица имени Ленина дом 31   офис 2</t>
  </si>
  <si>
    <t>ИП540800118900005</t>
  </si>
  <si>
    <t>636460 Томская область город Колпашево улица Ленина дом 60</t>
  </si>
  <si>
    <t>ИП540800118900008</t>
  </si>
  <si>
    <t>636840 Томская область город Асино улица Станционная дом 23/3</t>
  </si>
  <si>
    <t>ИП540800118900009</t>
  </si>
  <si>
    <t>636850 Томская область село Зырянское улица Советская дом 21А   помещение 4</t>
  </si>
  <si>
    <t>ИП Самойленко Андрей Васильевич</t>
  </si>
  <si>
    <t>620300005217</t>
  </si>
  <si>
    <t>ИП7008001409</t>
  </si>
  <si>
    <t>ИП700800140900000</t>
  </si>
  <si>
    <t>636840 Томская область город Асино улица имени Ленина дом 31   офис 42</t>
  </si>
  <si>
    <t>7002006280</t>
  </si>
  <si>
    <t>ЮЛ7008015514</t>
  </si>
  <si>
    <t>ЮЛ700801551400000</t>
  </si>
  <si>
    <t>636840 Томская область город Асино улица имени Ленина дом 66</t>
  </si>
  <si>
    <t>ЮЛ700801551400001</t>
  </si>
  <si>
    <t>636840 Томская область город Асино улица имени Ленина дом 29</t>
  </si>
  <si>
    <t>ЮЛ700801551400002</t>
  </si>
  <si>
    <t>636460 Томская область город Колпашево улица Победы дом 8/1   помещение 2</t>
  </si>
  <si>
    <t>ИП Унжакова Анна Елизарьевна</t>
  </si>
  <si>
    <t>700700124917</t>
  </si>
  <si>
    <t>ИП7008015699</t>
  </si>
  <si>
    <t>ИП700801569900000</t>
  </si>
  <si>
    <t>636460 Томская область город Колпашево улица Победы дом 1, этаж 1   помещение 1</t>
  </si>
  <si>
    <t>ИП Кириенко Мария Павловна</t>
  </si>
  <si>
    <t>700705798123</t>
  </si>
  <si>
    <t>ИП7701033486</t>
  </si>
  <si>
    <t>ИП770103348600000</t>
  </si>
  <si>
    <t>636460 Томская область город Колпашево улица Белинского дом 19 этаж 1   магазин №5 "Люкс" ОАО "СТД"</t>
  </si>
  <si>
    <t>ИП770103348600001</t>
  </si>
  <si>
    <t>636160 Томская область село Кожевниково улица Гагарина дом 15   помещение 2</t>
  </si>
  <si>
    <t>ИП Никитина Галина Владимировна</t>
  </si>
  <si>
    <t>700800019320</t>
  </si>
  <si>
    <t>ИП7008017630</t>
  </si>
  <si>
    <t>ИП700801763000000</t>
  </si>
  <si>
    <t>636130 Томская область Мельниково Переулок Почтовый 8</t>
  </si>
  <si>
    <t>ИП700801763000003</t>
  </si>
  <si>
    <t>636600 Томская область село Парабель улица Свердлова дом 14 строение 6  Торговый дом "Купеческий"</t>
  </si>
  <si>
    <t>ИП Смирнова Ольга Борисовна</t>
  </si>
  <si>
    <t>701100003366</t>
  </si>
  <si>
    <t>ИП7008018999</t>
  </si>
  <si>
    <t>ИП700801899900000</t>
  </si>
  <si>
    <t>634003 Томская область город Томск проспект Комсомольский дом 13б   помещение А131</t>
  </si>
  <si>
    <t>ИП Банникова Валерия Игоревна</t>
  </si>
  <si>
    <t>701501336789</t>
  </si>
  <si>
    <t>ИП7008034561</t>
  </si>
  <si>
    <t>ИП700803456100000</t>
  </si>
  <si>
    <t>ИП Белогубов Вадим Валерьевич</t>
  </si>
  <si>
    <t>701702792277</t>
  </si>
  <si>
    <t>ИП7008019146</t>
  </si>
  <si>
    <t>ИП700801914600000</t>
  </si>
  <si>
    <t>634506 Томская область поселок Светлый  дом 28</t>
  </si>
  <si>
    <t>ИП700801914600001</t>
  </si>
  <si>
    <t>634009 Томская область город Томск проспект Ленина дом 84</t>
  </si>
  <si>
    <t>ИП700801914600002</t>
  </si>
  <si>
    <t>634057 Томская область город Томск проспект Мира дом 48/3</t>
  </si>
  <si>
    <t>ИП700801914600003</t>
  </si>
  <si>
    <t>634059 Томская область город Томск улица Интернационалистов дом 17/1</t>
  </si>
  <si>
    <t>ИП700801914600004</t>
  </si>
  <si>
    <t>634050 Томская область город Томск улица Гагарина дом 28</t>
  </si>
  <si>
    <t>ООО "ЛОМБАРД-1"</t>
  </si>
  <si>
    <t>7017038083</t>
  </si>
  <si>
    <t>ЮЛ7008014406</t>
  </si>
  <si>
    <t>ЮЛ700801440600000</t>
  </si>
  <si>
    <t>636036 Томская область город Северск проспект Коммунистический дом 60</t>
  </si>
  <si>
    <t>ЮЛ700801440600001</t>
  </si>
  <si>
    <t>634045 Томская область город Томск улица Нахимова дом 15   помещение №93, 94, 95, 100, 101,</t>
  </si>
  <si>
    <t>ЮЛ700801440600002</t>
  </si>
  <si>
    <t>634012 Томская область город Томск проспект Кирова дом 57   помещения №1022-1027</t>
  </si>
  <si>
    <t>ЮЛ700801440600003</t>
  </si>
  <si>
    <t>634040 Томская область город Томск улица Бела Куна дом 14   помещения № 1, 3</t>
  </si>
  <si>
    <t>ЮЛ700801440600004</t>
  </si>
  <si>
    <t>634045 Томская область город Томск улица 79 Гвардейской Дивизии дом 13   помещения № 40, 41, 42</t>
  </si>
  <si>
    <t>ЮЛ700801440600005</t>
  </si>
  <si>
    <t>634034 Томская область город Томск улица Вершинина /проспект Кирова дом 19 / 17   помещения № 1016, 1019</t>
  </si>
  <si>
    <t>ЮЛ700801440600006</t>
  </si>
  <si>
    <t>634009 Томская область город Томск проспект Ленина дом 151А</t>
  </si>
  <si>
    <t>ЮЛ700801440600007</t>
  </si>
  <si>
    <t>634049 Томская область город Томск тракт Иркутский дом 76   помещения №1022,1023,1024,1053,1054</t>
  </si>
  <si>
    <t>ЮЛ700801440600008</t>
  </si>
  <si>
    <t>634050 Томская область город Томск проспект Ленина дом 52А   помещение 1008</t>
  </si>
  <si>
    <t>ЮЛ700801440600009</t>
  </si>
  <si>
    <t>634009 Томская область город Томск улица Карла Маркса дом 48 строение 11  помещение №069, 401</t>
  </si>
  <si>
    <t>ЮЛ700801440600010</t>
  </si>
  <si>
    <t>634021 Томская область город Томск проспект Фрунзе дом 172   помещения 1025, 1026, 1027,1028,</t>
  </si>
  <si>
    <t>ЮЛ700801440600011</t>
  </si>
  <si>
    <t>634034 Томская область город Томск улица Красноармейская дом 109   Салон "Русское золото"</t>
  </si>
  <si>
    <t>ИП Пономарева Елена Александровна</t>
  </si>
  <si>
    <t>701705668951</t>
  </si>
  <si>
    <t>ИП7008010198</t>
  </si>
  <si>
    <t>ИП700801019800000</t>
  </si>
  <si>
    <t>634050 Томская область город Томск улица Алексея Беленца дом 14   салон "Русское золото"</t>
  </si>
  <si>
    <t>ИП700801019800001</t>
  </si>
  <si>
    <t>634012 Томская область город Томск улица Елизаровых дом 32   салон "Русское золото"</t>
  </si>
  <si>
    <t>ИП700801019800002</t>
  </si>
  <si>
    <t>634009 Томская область город Томск переулок 1905 года дом 14А</t>
  </si>
  <si>
    <t>ИП Аникин Даниил Алексеевич</t>
  </si>
  <si>
    <t>701709328875</t>
  </si>
  <si>
    <t>ИП7008006100</t>
  </si>
  <si>
    <t>ИП700800610000000</t>
  </si>
  <si>
    <t>634034 Томская область город Томск улица Красноармейская дом 122 строение 5  УЗ, площадь 35,10кв.м.</t>
  </si>
  <si>
    <t>ИП700800610000001</t>
  </si>
  <si>
    <t>634029 Томская область город Томск проспект Фрунзе дом 46   1033, площадь 45,0 кв.м.</t>
  </si>
  <si>
    <t>ИП700800610000002</t>
  </si>
  <si>
    <t>634034 Томская область город Томск улица Красноармейская дом 122 строение 5  УЗ, площадь 45,0 кв.м.</t>
  </si>
  <si>
    <t>ИП700800610000005</t>
  </si>
  <si>
    <t>634009 Томская область город Томск проспект Ленина дом 159</t>
  </si>
  <si>
    <t>ИП Адаменко Елена Николаевна</t>
  </si>
  <si>
    <t>701716124706</t>
  </si>
  <si>
    <t>ИП7008015142</t>
  </si>
  <si>
    <t>ИП700801514200000</t>
  </si>
  <si>
    <t>634063 Томская область город Томск улица Беринга дом 9</t>
  </si>
  <si>
    <t>ИП Струмилов Евгений Владимирович</t>
  </si>
  <si>
    <t>701722692633</t>
  </si>
  <si>
    <t>ИП7008015485</t>
  </si>
  <si>
    <t>ИП700801548500000</t>
  </si>
  <si>
    <t>634057 Томская область город Томск улица Говорова дом 46/4</t>
  </si>
  <si>
    <t>7017264156</t>
  </si>
  <si>
    <t>ЮЛ7008015530</t>
  </si>
  <si>
    <t>ЮЛ700801553000000</t>
  </si>
  <si>
    <t>634049 Томская область город Томск тракт Иркутский дом 12</t>
  </si>
  <si>
    <t>ИП Андреева Галина Владимировна</t>
  </si>
  <si>
    <t>701729975694</t>
  </si>
  <si>
    <t>ИП7008033943</t>
  </si>
  <si>
    <t>ИП700803394300000</t>
  </si>
  <si>
    <t>634061 Томская область город Томск улица Никитина дом 99</t>
  </si>
  <si>
    <t>ИП Малиновская Ирина Станиславовна</t>
  </si>
  <si>
    <t>701731209182</t>
  </si>
  <si>
    <t>ИП7008016483</t>
  </si>
  <si>
    <t>ИП700801648300000</t>
  </si>
  <si>
    <t>634009 Томская область город Томск проспект Ленина дом 163</t>
  </si>
  <si>
    <t>ИП Хижняк Юрий Юрьевич</t>
  </si>
  <si>
    <t>701732109920</t>
  </si>
  <si>
    <t>ИП7008015997</t>
  </si>
  <si>
    <t>ИП700801599700000</t>
  </si>
  <si>
    <t>634009 Томская область город Томск проспект Ленина дом 202   1 этаж</t>
  </si>
  <si>
    <t>ИП Романюк Никита Владимирович</t>
  </si>
  <si>
    <t>701739574885</t>
  </si>
  <si>
    <t>ИП7008000556</t>
  </si>
  <si>
    <t>ИП700800055600000</t>
  </si>
  <si>
    <t>634049 Томская область город Томск тракт Иркутский дом 61 строение 2</t>
  </si>
  <si>
    <t>ООО "ЛОМБАРД "ЗЛАТОГРАДЪ"</t>
  </si>
  <si>
    <t>7017396321</t>
  </si>
  <si>
    <t>ЮЛ7008012059</t>
  </si>
  <si>
    <t>ЮЛ700801205900000</t>
  </si>
  <si>
    <t>634027 Томская область город Томск проспект Мира дом 74</t>
  </si>
  <si>
    <t>ЮЛ700801205900001</t>
  </si>
  <si>
    <t>634057 Томская область город Томск улица 79 Гвардейской Дивизии дом 12</t>
  </si>
  <si>
    <t>ЮЛ700801205900002</t>
  </si>
  <si>
    <t>634009 Томская область город Томск переулок Карповский дом 12   пом. ц058</t>
  </si>
  <si>
    <t>ИП Хаметов Марат Алексеевич</t>
  </si>
  <si>
    <t>701740158350</t>
  </si>
  <si>
    <t>ИП7008039842</t>
  </si>
  <si>
    <t>ИП700803984200000</t>
  </si>
  <si>
    <t>634055 Томская область город Томск пр. Академический 2 - - помещение 15</t>
  </si>
  <si>
    <t>ИП Егорова Мария Александровна</t>
  </si>
  <si>
    <t>701740552678</t>
  </si>
  <si>
    <t>ИП7008012110</t>
  </si>
  <si>
    <t>ИП700801211000000</t>
  </si>
  <si>
    <t>634034 Томская область город Томск улица Красноармейская дом 122    помещение У3</t>
  </si>
  <si>
    <t>7017414595</t>
  </si>
  <si>
    <t>ЮЛ7008005004</t>
  </si>
  <si>
    <t>ЮЛ700800500400000</t>
  </si>
  <si>
    <t>634029 Томская область город Томск проспект Фрунзе дом 46</t>
  </si>
  <si>
    <t>ЮЛ700800500400001</t>
  </si>
  <si>
    <t>634034 Томская область город Томск улица Красноармейская дом 122 помещение У3   площадь 54,1 кв.м.</t>
  </si>
  <si>
    <t>ЮЛ700800500400002</t>
  </si>
  <si>
    <t>634041 Томская область город Томск проспект Кирова дом 34</t>
  </si>
  <si>
    <t>ООО "КВП ЛОМБАРД ТОМСК"</t>
  </si>
  <si>
    <t>7017424025</t>
  </si>
  <si>
    <t>ЮЛ7008012558</t>
  </si>
  <si>
    <t>ЮЛ700801255800000</t>
  </si>
  <si>
    <t>634050 Томская область город Томск улица Учебная  дом 48  д</t>
  </si>
  <si>
    <t>ООО "ДИОСКУРИЯ-СИБИРЬ"</t>
  </si>
  <si>
    <t>7017435370</t>
  </si>
  <si>
    <t>ЮЛ7008015462</t>
  </si>
  <si>
    <t>ЮЛ700801546200000</t>
  </si>
  <si>
    <t>634028 Томская область город Томск тракт Московский дом 83 помещение  1025,1030,1043,1076,1078-1105</t>
  </si>
  <si>
    <t>ООО "СИЛЬВЕР СТАЙЛ"</t>
  </si>
  <si>
    <t>7017469876</t>
  </si>
  <si>
    <t>ЮЛ7008039156</t>
  </si>
  <si>
    <t>ЮЛ700803915600000</t>
  </si>
  <si>
    <t>634012 Томская область город Томск улица Елизаровых дом 43   помещение 9</t>
  </si>
  <si>
    <t>ООО "ЛОМБАРД ЗОЛОТО И СЕРЕБРО"</t>
  </si>
  <si>
    <t>7017487603</t>
  </si>
  <si>
    <t>ЮЛ7008017396</t>
  </si>
  <si>
    <t>ЮЛ700801739600000</t>
  </si>
  <si>
    <t>634049 Томская область город Томск Иркутский тракт дом 61 строение 2  павильон 17</t>
  </si>
  <si>
    <t>ИП Алиева Айгюн Хайям Кызы</t>
  </si>
  <si>
    <t>701754712603</t>
  </si>
  <si>
    <t>ИП7008035149</t>
  </si>
  <si>
    <t>ИП700803514900000</t>
  </si>
  <si>
    <t>634050 Томская область город Томск проспект Ленина дом 72</t>
  </si>
  <si>
    <t>ИП700801161100000</t>
  </si>
  <si>
    <t>634055 Томская область город Томск проспект Академический дом 2</t>
  </si>
  <si>
    <t>ИП Бельцева Марина Владимировна</t>
  </si>
  <si>
    <t>701800357667</t>
  </si>
  <si>
    <t>ИП7008010064</t>
  </si>
  <si>
    <t>ИП700801006400000</t>
  </si>
  <si>
    <t>634050 Томская область город Томск проспект Комсомольский дом 58 строение 1</t>
  </si>
  <si>
    <t>ИП Созоник Светлана Викторовна</t>
  </si>
  <si>
    <t>701900310870</t>
  </si>
  <si>
    <t>ИП7008012236</t>
  </si>
  <si>
    <t>ИП700801223600000</t>
  </si>
  <si>
    <t>634026 Томская область город Томск переулок Добролюбова дом 10 строение 2  108</t>
  </si>
  <si>
    <t>ИП Баланцева Елена Владимировна</t>
  </si>
  <si>
    <t>702000681916</t>
  </si>
  <si>
    <t>ИП7008015586</t>
  </si>
  <si>
    <t>ИП700801558600000</t>
  </si>
  <si>
    <t>634057 Томская область город Томск улица 79 Гвардейской Дивизии дом 13/1</t>
  </si>
  <si>
    <t>ИП700801558600004</t>
  </si>
  <si>
    <t>ИП700801558600005</t>
  </si>
  <si>
    <t>ИП700801558600006</t>
  </si>
  <si>
    <t>636780 Томская область город Стрежевой микрорайон 1-й дом 101А   помещение 51</t>
  </si>
  <si>
    <t>ООО "МАКСИГОЛД"</t>
  </si>
  <si>
    <t>7022019819</t>
  </si>
  <si>
    <t>ЮЛ7008013122</t>
  </si>
  <si>
    <t>ЮЛ700801312200000</t>
  </si>
  <si>
    <t>634000 Томская область город Томск Иркутский тракт 112</t>
  </si>
  <si>
    <t>ИП Ахтамов Евгений Николаевич</t>
  </si>
  <si>
    <t>702401058120</t>
  </si>
  <si>
    <t>ИП7008031903</t>
  </si>
  <si>
    <t>ИП700803190300000</t>
  </si>
  <si>
    <t>636000 Томская область город Северск проспект Коммунистический дом 44</t>
  </si>
  <si>
    <t>ООО "ЛОМБАРД ЦЕНТРАЛЬНЫЙ"</t>
  </si>
  <si>
    <t>7024022045</t>
  </si>
  <si>
    <t>ЮЛ7008002200</t>
  </si>
  <si>
    <t>ЮЛ700800220000000</t>
  </si>
  <si>
    <t>634034 Томская область город Томск улица Нахимова дом 8 строение 13</t>
  </si>
  <si>
    <t>ИП Ольшанская Татьяна Геннадьевна</t>
  </si>
  <si>
    <t>702403291210</t>
  </si>
  <si>
    <t>ИП7008039879</t>
  </si>
  <si>
    <t>ИП700803987900000</t>
  </si>
  <si>
    <t>636019 Томская область город Северск улица Солнечная дом 2</t>
  </si>
  <si>
    <t>ИП700803987900001</t>
  </si>
  <si>
    <t>636000 Томская область город Северск пр-т Коммунистический 96</t>
  </si>
  <si>
    <t>ИП Борисова Наталья Николаевна</t>
  </si>
  <si>
    <t>702406040007</t>
  </si>
  <si>
    <t>ИП7008017042</t>
  </si>
  <si>
    <t>ИП700801704200000</t>
  </si>
  <si>
    <t>636460 Томская область город Колпашево улица Ленина дом 48   помещение 3</t>
  </si>
  <si>
    <t>ИП Соснина Зарина Валерьевна</t>
  </si>
  <si>
    <t>702406870079</t>
  </si>
  <si>
    <t>ИП7008015483</t>
  </si>
  <si>
    <t>ИП700801548300000</t>
  </si>
  <si>
    <t>636423 Томская область Чажемто Пристанская  2 помещение 3</t>
  </si>
  <si>
    <t>ИП700801548300001</t>
  </si>
  <si>
    <t>634034 Томская область город Томск улица Нахимова дом 8 строение 13  части помещений 130, 131, этаж 1</t>
  </si>
  <si>
    <t>ЮЛ770101216600264</t>
  </si>
  <si>
    <t>634034 Томская область город Томск улица Учебная дом 48Д   помещения 247, 248, этаж 1</t>
  </si>
  <si>
    <t>ЮЛ770101216600265</t>
  </si>
  <si>
    <t>636000 Томская область город Северск улица Курчатова дом 11А   этаж 1, часть нежилого помещения №v</t>
  </si>
  <si>
    <t>ЮЛ770101216600533</t>
  </si>
  <si>
    <t>634057 Томская область город Томск проспект Мира дом 36 пом. 1001-1040, 2001-2011, 2013-2036, 2038-2039, 2044-2057, 2061-2068, 2070-2097  этаж 1, помещение ц001, часть нежилого помещения № 1024</t>
  </si>
  <si>
    <t>ЮЛ770101216600575</t>
  </si>
  <si>
    <t>636780 Томская область город Стрежевой улица Коммунальная дом 53 строение 2  1 этаж</t>
  </si>
  <si>
    <t>ЮЛ770101216600719</t>
  </si>
  <si>
    <t>634061 Томская область город Томск улица Красноармейская дом 44   1 этаж, помещение 134, 197</t>
  </si>
  <si>
    <t>ЮЛ770101216600767</t>
  </si>
  <si>
    <t>634009 Томская область город Томск проспект Ленина дом 217 строение 2  1 этаж, нежилое помещение</t>
  </si>
  <si>
    <t>ЮЛ770101216600792</t>
  </si>
  <si>
    <t>634003 Томская область город Томск переулок Асфальтовый дом 8   1 этаж, нежилые помещения № 1037, 1038</t>
  </si>
  <si>
    <t>ЮЛ770101216600797</t>
  </si>
  <si>
    <t>634062 Томская область город Томск тракт Иркутский дом 112   1 этаж, часть помещения</t>
  </si>
  <si>
    <t>ЮЛ770101216600844</t>
  </si>
  <si>
    <t>634009 Томская область город Томск проспект Ленина дом 121   1 этаж, нежилые помещения с номерами 23, 24, 25, 26, 27, 163</t>
  </si>
  <si>
    <t>ЮЛ770101216600872</t>
  </si>
  <si>
    <t>634009 Томская область город Томск проспект Ленина дом 121</t>
  </si>
  <si>
    <t>ЮЛ770100419400109</t>
  </si>
  <si>
    <t>634003 Томская область город Томск проспект Комсомольский дом 13б   помещение А104</t>
  </si>
  <si>
    <t>ЮЛ770100419400234</t>
  </si>
  <si>
    <t>634034 Томская область город Томск улица Котовского дом 19 корпус 1  помещение 1.15</t>
  </si>
  <si>
    <t>ЮЛ770100193500027</t>
  </si>
  <si>
    <t>634057 Томская область город Томск проспект Мира дом 36   помещения 1001-1051, 2001-2072, помещения 37,38, часть помещения 36</t>
  </si>
  <si>
    <t>ЮЛ770100193500029</t>
  </si>
  <si>
    <t>636780 Томская область город Стрежевой улица Коммунальная дом 53 строение 2</t>
  </si>
  <si>
    <t>ЮЛ770100193500030</t>
  </si>
  <si>
    <t>634034 Томская область город Томск улица Нахимова дом 8 строение 13  этаж 1 (первый)</t>
  </si>
  <si>
    <t>ЮЛ770100193500697</t>
  </si>
  <si>
    <t>636000 Томская область город Северск улица Курчатова дом 11А   нежилое помещение № 5, этаж 1 (первый)</t>
  </si>
  <si>
    <t>ЮЛ770100193500769</t>
  </si>
  <si>
    <t>634003 Томская область город Томск проспект Комсомольский дом 13б   1 (первый) этаж, помещение А101</t>
  </si>
  <si>
    <t>ЮЛ770100193500787</t>
  </si>
  <si>
    <t>634063 Томская область город Томск улица Беринга дом 10   помещение № 42, этаж 1 (первый)</t>
  </si>
  <si>
    <t>ЮЛ770100193500841</t>
  </si>
  <si>
    <t>634050 Томская область город Томск проспект Ленина дом 80   пом.1,24, второй этаж</t>
  </si>
  <si>
    <t>ИП780300136300014</t>
  </si>
  <si>
    <t>634021 Томская область город Томск проспект Комсомольский дом 13б   помещение 96</t>
  </si>
  <si>
    <t>ЮЛ780300131300142</t>
  </si>
  <si>
    <t>634021 Томская область город Томск проспект Комсомольский дом 58 строение 1</t>
  </si>
  <si>
    <t>ЮЛ780300131300143</t>
  </si>
  <si>
    <t>634009 Томская область город Томск 1905 года переулок  дом 7В</t>
  </si>
  <si>
    <t>ЮЛ780300131300144</t>
  </si>
  <si>
    <t>634057 Томская область город Томск проспект Мира  21</t>
  </si>
  <si>
    <t>ЮЛ780300131300145</t>
  </si>
  <si>
    <t>634041 Томская область город Томск проспект Кирова дом 38   нежилое помещение №1040</t>
  </si>
  <si>
    <t>ЮЛ780300131300277</t>
  </si>
  <si>
    <t>636780 Томская область город Стрежевой улица Коммунальная дом 53  стр. 2 часть нежилого помещения №2</t>
  </si>
  <si>
    <t>ЮЛ780300131300615</t>
  </si>
  <si>
    <t>636780 Томская область город Стрежевой улица Коммунальная дом 53 строение 2  часть нежилого помещения № 2</t>
  </si>
  <si>
    <t>ЮЛ780300331800069</t>
  </si>
  <si>
    <t>ЮЛ780300308200239</t>
  </si>
  <si>
    <t>634063 Томская область город Томск улица Беринга дом 10   нежилое помещение №0-1-8</t>
  </si>
  <si>
    <t>ЮЛ780300308200241</t>
  </si>
  <si>
    <t>634057 Томская область город Томск проспект Мира дом 21</t>
  </si>
  <si>
    <t>ЮЛ780300308200311</t>
  </si>
  <si>
    <t>634041 Томская область город Томск проспект Кирова дом 38   помещения 1041,1042,1043</t>
  </si>
  <si>
    <t>ЮЛ780300308200473</t>
  </si>
  <si>
    <t>634034 Томская область город Томск улица Нахимова дом 8 строение 13  нежилое помещение № 14</t>
  </si>
  <si>
    <t>ЮЛ780300308200628</t>
  </si>
  <si>
    <t>634009 Томская область город Томск переулок 1905 года дом 7В   часть нежилых помещений  № 3,4,8</t>
  </si>
  <si>
    <t>ЮЛ780300308200975</t>
  </si>
  <si>
    <t>636039 Томская область город Северск улица Курчатова дом 11А   часть нежилого помещения номер на поэтажном плане №37</t>
  </si>
  <si>
    <t>ЮЛ780300308201045</t>
  </si>
  <si>
    <t>634021 Томская область город Томск проспект Комсомольский дом 58   стр. 1</t>
  </si>
  <si>
    <t>ЮЛ780300308201056</t>
  </si>
  <si>
    <t>634003 Томская область город Томск проспект Комсомольский дом 13б   часть помещения №96</t>
  </si>
  <si>
    <t>ЮЛ780300308201077</t>
  </si>
  <si>
    <t>636039 Томская область город Северск улица Курчатова дом 11А   1 этаж номер на поэтажном плане №62,63</t>
  </si>
  <si>
    <t>ЮЛ780301261200050</t>
  </si>
  <si>
    <t>Тульская область</t>
  </si>
  <si>
    <t>300034 Тульская область город Тула проспект Красноармейский дом 21   помещение на 1 этаже</t>
  </si>
  <si>
    <t>ЮЛ500100602500042</t>
  </si>
  <si>
    <t>30021 Тульская область Тула пр-кт Красноармейский 21  Б 1, 2, 3, 4, 5</t>
  </si>
  <si>
    <t>ИП440200822300010</t>
  </si>
  <si>
    <t>300001 Тульская область город Тула улица Пролетарская дом 2   помещ 3</t>
  </si>
  <si>
    <t>ИП350300414400006</t>
  </si>
  <si>
    <t>300001 Тульская область город Тула улица Пролетарская дом 2   помещ 7</t>
  </si>
  <si>
    <t>ИП350300414400019</t>
  </si>
  <si>
    <t>300041 Тульская область город Тула улица Путейская дом 5   ч помещ 42</t>
  </si>
  <si>
    <t>ИП350300414400020</t>
  </si>
  <si>
    <t>300027 Тульская область город Тула улица Металлургов дом 62А   ч помещ 26</t>
  </si>
  <si>
    <t>ИП350300414400021</t>
  </si>
  <si>
    <t>301320 Тульская область город Венев улица Володарского дом 12   помещение 1</t>
  </si>
  <si>
    <t>ИП Дицман Максим Марисович</t>
  </si>
  <si>
    <t>500511703166</t>
  </si>
  <si>
    <t>ИП5001010682</t>
  </si>
  <si>
    <t>ИП500101068200000</t>
  </si>
  <si>
    <t>300041 Тульская область город Тула улица Советская дом 27   этаж 1, номера на поэтажном плане 1-5, литер А</t>
  </si>
  <si>
    <t>ИП500100445500023</t>
  </si>
  <si>
    <t>300001 Тульская область город Тула улица Пролетарская дом 2</t>
  </si>
  <si>
    <t>ИП500100445500085</t>
  </si>
  <si>
    <t>301320 Тульская область город Венев улица Бундурина дом 11   этаж 1</t>
  </si>
  <si>
    <t>ИП Садовская Елизавета Валерьевна</t>
  </si>
  <si>
    <t>507610784747</t>
  </si>
  <si>
    <t>ИП5001037065</t>
  </si>
  <si>
    <t>ИП500103706500000</t>
  </si>
  <si>
    <t>300000 Тульская область город Тула улица Пролетарская дом 2   помещение №1.177</t>
  </si>
  <si>
    <t>ЮЛ520603376600067</t>
  </si>
  <si>
    <t>300041 Тульская область город Тула улица Советская дом 47   помещение 83</t>
  </si>
  <si>
    <t>ИП610400426600007</t>
  </si>
  <si>
    <t>301246 Тульская область город Щекино улица Лукашина дом 13   офис 11</t>
  </si>
  <si>
    <t>ИП Антипов Антон Павлович</t>
  </si>
  <si>
    <t>623005491149</t>
  </si>
  <si>
    <t>ИП7101017094</t>
  </si>
  <si>
    <t>ИП710101709400000</t>
  </si>
  <si>
    <t>300041 Тульская область город Тула проспект Ленина дом 19   этаж 1, помещения I, II</t>
  </si>
  <si>
    <t>ИП Кондрашов Вячеслав Иванович</t>
  </si>
  <si>
    <t>623300020475</t>
  </si>
  <si>
    <t>ИП7101006429</t>
  </si>
  <si>
    <t>ИП710100642900000</t>
  </si>
  <si>
    <t>300001 Тульская область город Тула улица Пролетарская дом 2   этаж 1, помещение 1.56</t>
  </si>
  <si>
    <t>ИП710100642900001</t>
  </si>
  <si>
    <t>301650 Тульская область город Новомосковск улица Трудовые Резервы дом 33Б   этаж 1, помещения 66, 67, 68,69,70</t>
  </si>
  <si>
    <t>ИП710100642900002</t>
  </si>
  <si>
    <t>300041 Тульская область город Тула улица Путейская дом 5 корпус 1  этаж 1, помещения 047,048,096,097,097а,098,099,100а</t>
  </si>
  <si>
    <t>ИП710100642900008</t>
  </si>
  <si>
    <t>301600 Тульская область город Узловая улица Трегубова дом 37   помещение 5</t>
  </si>
  <si>
    <t>ООО "ЛОМБАРД ТАЛИСМАН"</t>
  </si>
  <si>
    <t>7100051033</t>
  </si>
  <si>
    <t>ЮЛ7101036627</t>
  </si>
  <si>
    <t>ЮЛ710103662700000</t>
  </si>
  <si>
    <t>301650 Тульская область город Новомосковск улица Березовая дом 32/5   помещ.1</t>
  </si>
  <si>
    <t>ЮЛ710103662700002</t>
  </si>
  <si>
    <t>300034 Тульская область город Тула улица Первомайская дом 52   помещение 2</t>
  </si>
  <si>
    <t>ИП Сладких Валерий Алексеевич</t>
  </si>
  <si>
    <t>710300456150</t>
  </si>
  <si>
    <t>ИП7101033346</t>
  </si>
  <si>
    <t>ИП710103334600000</t>
  </si>
  <si>
    <t>300002 Тульская область город Тула улица Октябрьская дом 38 корпус 1</t>
  </si>
  <si>
    <t>ООО "КОНДОР"</t>
  </si>
  <si>
    <t>7103013075</t>
  </si>
  <si>
    <t>ЮЛ7101006944</t>
  </si>
  <si>
    <t>ЮЛ710100694400000</t>
  </si>
  <si>
    <t>300040 Тульская область город Тула улица Ложевая/улица Калинина дом 132/дом 12  А1 помещения №6-15, 15а,16а,17</t>
  </si>
  <si>
    <t>7103040150</t>
  </si>
  <si>
    <t>ЮЛ7101001989</t>
  </si>
  <si>
    <t>ЮЛ710100198900000</t>
  </si>
  <si>
    <t>301668 Тульская область город Новомосковск улица Мира дом 48/1   помещ.1</t>
  </si>
  <si>
    <t>ИП Щучкин Юрий Алексеевич</t>
  </si>
  <si>
    <t>710400878860</t>
  </si>
  <si>
    <t>ИП7101000586</t>
  </si>
  <si>
    <t>ИП710100058600000</t>
  </si>
  <si>
    <t>300000 Тульская область город Тула улица Советская дом 64   1 этаж</t>
  </si>
  <si>
    <t>ИП710100775300006</t>
  </si>
  <si>
    <t>301320 Тульская область город Венев улица Бундурина дом 7   1 этаж</t>
  </si>
  <si>
    <t>ИП710100775300007</t>
  </si>
  <si>
    <t>300001 Тульская область город Тула улица Пролетарская дом 22А   торговый зал №3, подсобное помещение №4,5</t>
  </si>
  <si>
    <t>ИП000100637600000</t>
  </si>
  <si>
    <t>300001 Тульская область город Тула улица Пролетарская дом 2   Помещение №3</t>
  </si>
  <si>
    <t>ИП000100637600009</t>
  </si>
  <si>
    <t>301600 Тульская область город Узловая улица Беклемищева  дом 27   1 этаж</t>
  </si>
  <si>
    <t>ИП000100637600010</t>
  </si>
  <si>
    <t>301840 Тульская область город Ефремов улица Свердлова квартал 24</t>
  </si>
  <si>
    <t>ИП000100637600012</t>
  </si>
  <si>
    <t>3000410 Тульская область город Тула улица Жуковского/Каминского дом 38/7</t>
  </si>
  <si>
    <t>ИП Февралева Ольга Александровна</t>
  </si>
  <si>
    <t>710501326400</t>
  </si>
  <si>
    <t>ИП7101009426</t>
  </si>
  <si>
    <t>ИП710100942600000</t>
  </si>
  <si>
    <t>300031 Тульская область город Тула улица Металлургов дом 86</t>
  </si>
  <si>
    <t>ООО "ПРОЛЕТАРСКИЙ ЛОМБАРД"</t>
  </si>
  <si>
    <t>7105036303</t>
  </si>
  <si>
    <t>ЮЛ7101004567</t>
  </si>
  <si>
    <t>ЮЛ710100456700001</t>
  </si>
  <si>
    <t>300044 Тульская область город Тула улица М.Горького дом 12</t>
  </si>
  <si>
    <t>ЮЛ710100456700003</t>
  </si>
  <si>
    <t>300041 Тульская область город Тула улица Демонстрации дом 4</t>
  </si>
  <si>
    <t>ЮЛ710100456700004</t>
  </si>
  <si>
    <t>301900 Тульская область рабочий поселок Теплое улица Фролова дом 98</t>
  </si>
  <si>
    <t>710503638243</t>
  </si>
  <si>
    <t>ИП7101007672</t>
  </si>
  <si>
    <t>ИП710100767200000</t>
  </si>
  <si>
    <t>300001 Тульская область город Тула улица Демидовская дом 74</t>
  </si>
  <si>
    <t>ИП Клепиков Андрей Викторович</t>
  </si>
  <si>
    <t>710505416430</t>
  </si>
  <si>
    <t>ИП7101003774</t>
  </si>
  <si>
    <t>ИП710100377400000</t>
  </si>
  <si>
    <t>300031 Тульская область город Тула улица Металлургов дом 86   помещение №3</t>
  </si>
  <si>
    <t>ИП710100377400001</t>
  </si>
  <si>
    <t>300004 Тульская область город Тула улица Кутузова дом 15   нежилое помещение</t>
  </si>
  <si>
    <t>ИП Лавренов Вячеслав Васильевич</t>
  </si>
  <si>
    <t>710507451895</t>
  </si>
  <si>
    <t>ИП7101012363</t>
  </si>
  <si>
    <t>ИП710101236300000</t>
  </si>
  <si>
    <t>301030 Тульская область город Ясногорск улица Советская здание 6А корпус 1  помещение 5</t>
  </si>
  <si>
    <t>ИП Захаров Константин Станиславович</t>
  </si>
  <si>
    <t>710512128506</t>
  </si>
  <si>
    <t>ИП7101006305</t>
  </si>
  <si>
    <t>ИП710100630500000</t>
  </si>
  <si>
    <t>301470 Тульская область город Плавск площадь Свободы дом 2   помещение б/н</t>
  </si>
  <si>
    <t>ИП710100630500001</t>
  </si>
  <si>
    <t>301090 Тульская область рабочий поселок Чернь улица Ленина дом 29   помещение б/н</t>
  </si>
  <si>
    <t>ИП710100630500002</t>
  </si>
  <si>
    <t>301246 Тульская область город Щекино улица Емельянова дом 28   1 этаж, часть нежилого встроенного помещения</t>
  </si>
  <si>
    <t>ИП Таратута Светлана Викторовна</t>
  </si>
  <si>
    <t>710601359086</t>
  </si>
  <si>
    <t>ИП7101032919</t>
  </si>
  <si>
    <t>ИП710103291900000</t>
  </si>
  <si>
    <t>300001 Тульская область город Тула улица Кирова дом 23а  Литер А1 1 этаж, помещения  №№ 33-39</t>
  </si>
  <si>
    <t>ИП710101061900000</t>
  </si>
  <si>
    <t>300028 Тульская область город Тула улица Болдина дом 99</t>
  </si>
  <si>
    <t>ООО "ТУЛЬСКИЙ ГОРОДСКОЙ ЛОМБАРД"</t>
  </si>
  <si>
    <t>7106030181</t>
  </si>
  <si>
    <t>ЮЛ7101004502</t>
  </si>
  <si>
    <t>ЮЛ710100450200001</t>
  </si>
  <si>
    <t>300041 Тульская область город Тула улица Сойфера дом 29   пом I ломбард</t>
  </si>
  <si>
    <t>ЮЛ710100450200002</t>
  </si>
  <si>
    <t>3000026 Тульская область город Тула улица Академика Павлова дом 1-д   пом II</t>
  </si>
  <si>
    <t>ЮЛ710100450200004</t>
  </si>
  <si>
    <t>300041 Тульская область город Тула проспект Красноармейский дом 13</t>
  </si>
  <si>
    <t>7106035246</t>
  </si>
  <si>
    <t>ЮЛ7101004658</t>
  </si>
  <si>
    <t>ЮЛ710100465800002</t>
  </si>
  <si>
    <t>300057 Тульская область город Тула улица Демидовская дом 74</t>
  </si>
  <si>
    <t>ЮЛ710100465800004</t>
  </si>
  <si>
    <t>300036 Тульская область город Тула улица Кабакова дом 79</t>
  </si>
  <si>
    <t>7106051061</t>
  </si>
  <si>
    <t>ЮЛ7101001963</t>
  </si>
  <si>
    <t>ЮЛ710100196300000</t>
  </si>
  <si>
    <t>301248 Тульская область город Щекино улица Советская дом 16</t>
  </si>
  <si>
    <t>ИП Козина Дарья Сергеевна</t>
  </si>
  <si>
    <t>710605980390</t>
  </si>
  <si>
    <t>ИП7101032945</t>
  </si>
  <si>
    <t>ИП710103294500000</t>
  </si>
  <si>
    <t>301650 Тульская область город Новомосковск улица Трудовые Резервы дом 33Б   помещения 106,107,108</t>
  </si>
  <si>
    <t>ИП710101724000001</t>
  </si>
  <si>
    <t>301650 Тульская область город Новомосковск улица Трудовые Резервы дом 33Б   помещение 117</t>
  </si>
  <si>
    <t>ИП710101724000002</t>
  </si>
  <si>
    <t>301260 Тульская область город Киреевск улица Мира дом 19а</t>
  </si>
  <si>
    <t>ИП710101724000003</t>
  </si>
  <si>
    <t>301650 Тульская область город Новомосковск улица Трудовые Резервы дом 33Б   часть нежилого помещения №109, нежилое помещение №110</t>
  </si>
  <si>
    <t>ИП710101724000006</t>
  </si>
  <si>
    <t>300001 Тульская область город Тула улица Кирова дом 23А   1 этаж, Лит. А1</t>
  </si>
  <si>
    <t>ИП710101724000007</t>
  </si>
  <si>
    <t>301650 Тульская область город Новомосковск улица Комсомольская/Трудовые резервы дом 21/34   1 этаж</t>
  </si>
  <si>
    <t>ИП710101724000008</t>
  </si>
  <si>
    <t>301760 Тульская область город Донской улица Октябрьская дом 59   1 этаж</t>
  </si>
  <si>
    <t>ИП710101724000009</t>
  </si>
  <si>
    <t>300000 Тульская область город Тула улица Советская дом 47   помещение №114, помещение №115</t>
  </si>
  <si>
    <t>ИП000100534900017</t>
  </si>
  <si>
    <t>301830 Тульская область город Богородицк проезд Заводской дом 6В</t>
  </si>
  <si>
    <t>ИП000100534900018</t>
  </si>
  <si>
    <t>301245 Тульская область город Щекино улица Советская дом 2б</t>
  </si>
  <si>
    <t>ИП000100534900020</t>
  </si>
  <si>
    <t>300001 Тульская область город Тула улица Пролетарская дом 22А   помещение №50,51,52</t>
  </si>
  <si>
    <t>ИП000100534900022</t>
  </si>
  <si>
    <t>300001 Тульская область город Тула Улица Пролетарская Дом 2   помещение № 7 ( помещение № 1.31)</t>
  </si>
  <si>
    <t>ИП000100534900023</t>
  </si>
  <si>
    <t>300000 Тульская область город Тула улица Советская дом 47   помещение № А39</t>
  </si>
  <si>
    <t>ИП000100534900024</t>
  </si>
  <si>
    <t>301367 Тульская область город Алексин улица Тульская дом 135/1   этаж 1-1</t>
  </si>
  <si>
    <t>ИП000100534900025</t>
  </si>
  <si>
    <t>301430 Тульская область город Суворов проспект Мира дом 21   1 этаж</t>
  </si>
  <si>
    <t>ИП000100534900026</t>
  </si>
  <si>
    <t>301361 Тульская область город Алексин улица Мира дом 20</t>
  </si>
  <si>
    <t>ИП000100534900027</t>
  </si>
  <si>
    <t>300001 Тульская область город Тула улица Ложевая дом 125</t>
  </si>
  <si>
    <t>ООО "НАРОДНЫЙ ЛОМБАРД"</t>
  </si>
  <si>
    <t>7106501497</t>
  </si>
  <si>
    <t>ЮЛ7101004650</t>
  </si>
  <si>
    <t>ЮЛ710100465000002</t>
  </si>
  <si>
    <t>300903 Тульская область поселок Косая Гора улица Октябрьская дом 1</t>
  </si>
  <si>
    <t>ЮЛ710100465000003</t>
  </si>
  <si>
    <t>300010 Тульская область город Тула улица Вильямса дом 30</t>
  </si>
  <si>
    <t>ЮЛ710100465000004</t>
  </si>
  <si>
    <t>301650 Тульская область город Новомосковск улица Садовского дом 18</t>
  </si>
  <si>
    <t>ООО "ЛОМБАРД 71"</t>
  </si>
  <si>
    <t>7106526117</t>
  </si>
  <si>
    <t>ЮЛ7101004707</t>
  </si>
  <si>
    <t>ЮЛ710100470700002</t>
  </si>
  <si>
    <t>301600 Тульская область город Узловая улица Беклемищева дом 46</t>
  </si>
  <si>
    <t>ЮЛ710100470700003</t>
  </si>
  <si>
    <t>301131 Тульская область сельский поселок Ленинский улица Мичурина владение 1   помещение 11-12</t>
  </si>
  <si>
    <t>ЮЛ710100470700004</t>
  </si>
  <si>
    <t>301247 Тульская область город Щекино улица Лукашина дом 9</t>
  </si>
  <si>
    <t>ЮЛ710100470700005</t>
  </si>
  <si>
    <t>300012 Тульская область город Тула проспект Ленина дом 19  Литер А 1 этаж</t>
  </si>
  <si>
    <t>ООО "ТУТАНХАМОН-ЛОМБАРД"</t>
  </si>
  <si>
    <t>7107508128</t>
  </si>
  <si>
    <t>ЮЛ7101005190</t>
  </si>
  <si>
    <t>ЮЛ710100519000000</t>
  </si>
  <si>
    <t>300026 Тульская область город Тула улица Н.Руднева дом 59  Литер А часть помещения № 1,2,3,4,5,6,7</t>
  </si>
  <si>
    <t>ЮЛ710100519000001</t>
  </si>
  <si>
    <t>300041 Тульская область город Тула улица Путейская дом 5   1 этаж, комнаты № 85,86,87,88,90</t>
  </si>
  <si>
    <t>ЮЛ710100519000003</t>
  </si>
  <si>
    <t>300026 Тульская область город Тула проспект Ленина дом 116  Литера А часть нежилого помещения 1, номера комнат на  поэтажном плане 1-14, этаж 1</t>
  </si>
  <si>
    <t>ЮЛ710100519000011</t>
  </si>
  <si>
    <t>301361 Тульская область город Алексин улица Мира дом 17/13</t>
  </si>
  <si>
    <t>ИП Матвеев Сергей Сергеевич</t>
  </si>
  <si>
    <t>711106500089</t>
  </si>
  <si>
    <t>ИП7101004843</t>
  </si>
  <si>
    <t>ИП710100484300000</t>
  </si>
  <si>
    <t>301840 Тульская область город Ефремов улица Свердлова дом 54</t>
  </si>
  <si>
    <t>ТПО "УНИВЕРМАГ"</t>
  </si>
  <si>
    <t>7113013469</t>
  </si>
  <si>
    <t>ЮЛ7101001405</t>
  </si>
  <si>
    <t>ЮЛ710100140500000</t>
  </si>
  <si>
    <t>301721 Тульская область город Кимовск улица Бессолова дом 69</t>
  </si>
  <si>
    <t>ИП Кузнецов Николай Николаевич</t>
  </si>
  <si>
    <t>711400474468</t>
  </si>
  <si>
    <t>ИП7101010658</t>
  </si>
  <si>
    <t>ИП710101065800000</t>
  </si>
  <si>
    <t>301720 Тульская область город Кимовск улица Ленина дом 52</t>
  </si>
  <si>
    <t>ООО "ЭЛЬДОРАДО"</t>
  </si>
  <si>
    <t>7115000602</t>
  </si>
  <si>
    <t>ЮЛ7101007440</t>
  </si>
  <si>
    <t>ЮЛ710100744000000</t>
  </si>
  <si>
    <t>301600 Тульская область город Узловая улица Гагарина дом 39   помещение III</t>
  </si>
  <si>
    <t>ИП Хрусталев Дмитрий Иванович</t>
  </si>
  <si>
    <t>711700207167</t>
  </si>
  <si>
    <t>ИП7101009027</t>
  </si>
  <si>
    <t>ИП710100902700000</t>
  </si>
  <si>
    <t>301720 Тульская область город Кимовск улица Бессолова дом 16</t>
  </si>
  <si>
    <t>ИП710100902700001</t>
  </si>
  <si>
    <t>301835 Тульская область город Богородицк улица Урицкого дом 25</t>
  </si>
  <si>
    <t>ИП710100902700003</t>
  </si>
  <si>
    <t>301840 Тульская область город Ефремов улица Ленина дом 40</t>
  </si>
  <si>
    <t>ИП710100902700004</t>
  </si>
  <si>
    <t>301720 Тульская область город Кимовск улица Крылова дом 2</t>
  </si>
  <si>
    <t>ИП710100902700005</t>
  </si>
  <si>
    <t>301600 Тульская область город Узловая улица Беклемищева дом 87 нежилое помещение III этаж 1</t>
  </si>
  <si>
    <t>ИП Сорокина Л.Н.</t>
  </si>
  <si>
    <t>711700678737</t>
  </si>
  <si>
    <t>ИП7101016847</t>
  </si>
  <si>
    <t>ИП710101684700000</t>
  </si>
  <si>
    <t>301530 Тульская область город Белев улица Советская дом 26   помещение 10</t>
  </si>
  <si>
    <t>ИП Дорофеева Татьяна Владимировна</t>
  </si>
  <si>
    <t>712200835133</t>
  </si>
  <si>
    <t>ИП7101003319</t>
  </si>
  <si>
    <t>ИП710100331900000</t>
  </si>
  <si>
    <t>301000 Тульская область рабочий поселок Заокский улица Поленова дом 25</t>
  </si>
  <si>
    <t>ИП Егоров Владимир Викторович</t>
  </si>
  <si>
    <t>712300054800</t>
  </si>
  <si>
    <t>ИП7101012287</t>
  </si>
  <si>
    <t>ИП710101228700000</t>
  </si>
  <si>
    <t>301321 Тульская область город Венев микрорайон Южный дом 32   квартира 92</t>
  </si>
  <si>
    <t>ИП Зинченко Людмила Викторовна</t>
  </si>
  <si>
    <t>712302218299</t>
  </si>
  <si>
    <t>ИП7101008646</t>
  </si>
  <si>
    <t>ИП710100864600000</t>
  </si>
  <si>
    <t>301570 Тульская область поселок Волово улица Ленина дом 59б</t>
  </si>
  <si>
    <t>ИП Мирошниченко Наталья Владимировна</t>
  </si>
  <si>
    <t>712400019284</t>
  </si>
  <si>
    <t>ИП7701009534</t>
  </si>
  <si>
    <t>ИП770100953400000</t>
  </si>
  <si>
    <t>301030 Тульская область город Ясногорск улица Советская дом № 6-А   помещение № 5</t>
  </si>
  <si>
    <t>ИП Захарова Варвара Александровна</t>
  </si>
  <si>
    <t>712807687768</t>
  </si>
  <si>
    <t>ИП7101036640</t>
  </si>
  <si>
    <t>ИП710103664000000</t>
  </si>
  <si>
    <t>301470 Тульская область город Плавск площадь Свободы дом 2</t>
  </si>
  <si>
    <t>ИП710103664000001</t>
  </si>
  <si>
    <t>301090 Тульская область рабочий поселок Чернь улица Ленина дом 29</t>
  </si>
  <si>
    <t>ИП710103664000002</t>
  </si>
  <si>
    <t>301430 Тульская область город Суворов улица проспект Мира дом 10</t>
  </si>
  <si>
    <t>ООО "ЛОМБАРД-КАРАТ"</t>
  </si>
  <si>
    <t>7133500534</t>
  </si>
  <si>
    <t>ЮЛ7101006451</t>
  </si>
  <si>
    <t>ЮЛ710100645100000</t>
  </si>
  <si>
    <t>301260 Тульская область город Киреевск улица Л.Толстого дом 15а строение 1  павильон №18</t>
  </si>
  <si>
    <t>ЮЛ710100645100001</t>
  </si>
  <si>
    <t>300903 Тульская область Город Тула улица М.Горького дом 16   этаж цокольный, помещение II</t>
  </si>
  <si>
    <t>ЮЛ710100645100004</t>
  </si>
  <si>
    <t>301530 Тульская область город Белев улица Советская дом 81   офис 3</t>
  </si>
  <si>
    <t>ЮЛ710100645100005</t>
  </si>
  <si>
    <t>301900 Тульская область рабочий поселок Теплое улица Фролова дом 96</t>
  </si>
  <si>
    <t>ИП Алавердова Наталья Александровна</t>
  </si>
  <si>
    <t>713488895545</t>
  </si>
  <si>
    <t>ИП7101015851</t>
  </si>
  <si>
    <t>ИП710101585100000</t>
  </si>
  <si>
    <t>300903 Тульская область город Тула, поселок Косая Гора улица Октябрьская дом 1  литер А помещения 10,11,12,13, 1 этаж</t>
  </si>
  <si>
    <t>ЮЛ770100201500557</t>
  </si>
  <si>
    <t>301650 Тульская область город Новомосковск улица Октябрьская/улица Садовского дом 41/дом 23</t>
  </si>
  <si>
    <t>ЮЛ770100201500565</t>
  </si>
  <si>
    <t>ЮЛ770100201500579</t>
  </si>
  <si>
    <t>300044 Тульская область город Тула улица М.Горького дом 27</t>
  </si>
  <si>
    <t>ЮЛ770100201500580</t>
  </si>
  <si>
    <t>ЮЛ770100201500596</t>
  </si>
  <si>
    <t>300026 Тульская область город Тула улица Академика Павлова дом 1Г</t>
  </si>
  <si>
    <t>ЮЛ770100201500740</t>
  </si>
  <si>
    <t>301650 Тульская область город Новомосковск улица Березовая дом 7В</t>
  </si>
  <si>
    <t>ИП770100417900008</t>
  </si>
  <si>
    <t>300000 Тульская область город Тула улица Советская дом 47</t>
  </si>
  <si>
    <t>ЮЛ770100419400015</t>
  </si>
  <si>
    <t>ЮЛ770100419400149</t>
  </si>
  <si>
    <t>300001 Тульская область город Тула улица Пролетарская дом 22А   помещение 45,46</t>
  </si>
  <si>
    <t>ЮЛ770100193500032</t>
  </si>
  <si>
    <t>300012 Тульская область город Тула проспект Ленина/улица Первомайская дом 67/дом 5</t>
  </si>
  <si>
    <t>ЮЛ770100193500033</t>
  </si>
  <si>
    <t>300000 Тульская область город Тула улица Советская дом 66   нежилое помещение  III, этаж 1 (первый)</t>
  </si>
  <si>
    <t>ЮЛ770100193500520</t>
  </si>
  <si>
    <t>300041 Тульская область город Тула проспект Красноармейский дом 2   1 этаж</t>
  </si>
  <si>
    <t>ЮЛ770100193500559</t>
  </si>
  <si>
    <t>ЮЛ770100193500761</t>
  </si>
  <si>
    <t>300903 Тульская область город Тула, поселок Косая Гора улица Октябрьская дом 1  литера А часть помещений 10, 11, 12, 13, 1 (первый) этаж</t>
  </si>
  <si>
    <t>ЮЛ770100193500904</t>
  </si>
  <si>
    <t>300041 Тульская область город Тула улица Фрунзе дом 1</t>
  </si>
  <si>
    <t>ЮЛ770100193500944</t>
  </si>
  <si>
    <t>300044 Тульская область город Тула улица Максима Горького дом 27а</t>
  </si>
  <si>
    <t>ЮЛ770100193500956</t>
  </si>
  <si>
    <t>ЮЛ770100193500957</t>
  </si>
  <si>
    <t>300010 Тульская область город Тула улица Вильямса дом 26а</t>
  </si>
  <si>
    <t>ЮЛ770100193500963</t>
  </si>
  <si>
    <t>300044 Тульская область город Тула улица Максима Горького дом 27</t>
  </si>
  <si>
    <t>ЮЛ770100193500964</t>
  </si>
  <si>
    <t>ЮЛ770100193500991</t>
  </si>
  <si>
    <t>300001 Тульская область город Тула улица Ложевая дом 125  литера А помещения 1-6, 1 этаж</t>
  </si>
  <si>
    <t>ЮЛ770100193500999</t>
  </si>
  <si>
    <t>301650 Тульская область город Новомосковск улица Октябрьская дом 41/23   помещение 2</t>
  </si>
  <si>
    <t>ЮЛ770100193501003</t>
  </si>
  <si>
    <t>300031 Тульская область город Тула улица Металлургов дом 88</t>
  </si>
  <si>
    <t>ЮЛ770100193501044</t>
  </si>
  <si>
    <t>300034 Тульская область город Тула улица Демонстрации дом 27</t>
  </si>
  <si>
    <t>ИП770101183600003</t>
  </si>
  <si>
    <t>301600 Тульская область город Узловая улица Гагарина дом 38</t>
  </si>
  <si>
    <t>ЮЛ780300131300132</t>
  </si>
  <si>
    <t>300034 Тульская область город Тула проспект Красноармейский дом 21</t>
  </si>
  <si>
    <t>ЮЛ780300131300147</t>
  </si>
  <si>
    <t>300000 Тульская область город Тула улица Советская дом 66   помещение III, а именно: часть помещения 8</t>
  </si>
  <si>
    <t>ЮЛ780300131300148</t>
  </si>
  <si>
    <t>300041 Тульская область город Тула улица Советская дом 14</t>
  </si>
  <si>
    <t>ЮЛ780300131300149</t>
  </si>
  <si>
    <t>301650 Тульская область город Новомосковск улица Комсомольская / улица Октябрьская дом 23/27   нежилые помещения I этаж №№18, 19, 20, 21-часть встроенного помещения I</t>
  </si>
  <si>
    <t>ЮЛ780300131300150</t>
  </si>
  <si>
    <t>301840 Тульская область город Ефремов улица Свердлова дом 55   часть нежилых помещений №2. №3</t>
  </si>
  <si>
    <t>ЮЛ780300131300553</t>
  </si>
  <si>
    <t>301361 Тульская область город Алексин улица Мира дом 18/11   часть нежилого помещения ком. №5,9</t>
  </si>
  <si>
    <t>ЮЛ780300328000076</t>
  </si>
  <si>
    <t>301245 Тульская область город Щекино улица Советская дом 23-а</t>
  </si>
  <si>
    <t>ЮЛ780300328000079</t>
  </si>
  <si>
    <t>301840 Тульская область город Ефремов улица Свердлова дом 55   часть нежилых помещений № 2, №3</t>
  </si>
  <si>
    <t>ЮЛ780300331800092</t>
  </si>
  <si>
    <t>301840 Тульская область город Ефремов улица Свердлова дом 55в   часть нежилого помещения 5а, 14</t>
  </si>
  <si>
    <t>ЮЛ780300308200001</t>
  </si>
  <si>
    <t>301600 Тульская область город Узловая улица Гагарина дом 38   часть нежилого помещения 1</t>
  </si>
  <si>
    <t>ЮЛ780300308200004</t>
  </si>
  <si>
    <t>300001 Тульская область город Тула Пролетарский район, улица Пролетарская дом 2   часть нежилого помещения №1.40</t>
  </si>
  <si>
    <t>ЮЛ780300308200005</t>
  </si>
  <si>
    <t>301764 Тульская область город Донской микрорайон Центральный, улица Октябрьская дом 73   помещение 6</t>
  </si>
  <si>
    <t>ЮЛ780300308200187</t>
  </si>
  <si>
    <t>301361 Тульская область город Алексин улица Мира дом 18/11   помещения 5,9</t>
  </si>
  <si>
    <t>ЮЛ780300308200572</t>
  </si>
  <si>
    <t>301262 Тульская область город Киреевск улица Чехова дом 2   комната 1</t>
  </si>
  <si>
    <t>ЮЛ780300308200574</t>
  </si>
  <si>
    <t>301245 Тульская область город Щекино улица Советская дом 23а</t>
  </si>
  <si>
    <t>ЮЛ780300308200576</t>
  </si>
  <si>
    <t>301650 Тульская область город Новомосковск улица Комсомольская/Октябрьская дом 23/27   часть нежилого помещения №18, нежилые помещения №19,20,21</t>
  </si>
  <si>
    <t>ЮЛ780300308200750</t>
  </si>
  <si>
    <t>300034 Тульская область город Тула проспект Красноармейский дом 21   часть нежилого помещения III</t>
  </si>
  <si>
    <t>ЮЛ780300308200782</t>
  </si>
  <si>
    <t>300000 Тульская область город Тула улица Советская дом 66   пом III, часть помещений 5,6,7,8,9</t>
  </si>
  <si>
    <t>ЮЛ780300308200824</t>
  </si>
  <si>
    <t>ЮЛ780300308200879</t>
  </si>
  <si>
    <t>300001 Тульская область город Тула улица Пролетарская дом 22А   часть нежилого помещения № 6, нежилое помещение № 7</t>
  </si>
  <si>
    <t>ЮЛ780300308200887</t>
  </si>
  <si>
    <t>301246 Тульская область город Щекино улица Юбилейная дом 18   часть нежилого помещения №1, нежилые помещения №3,№4,№5,№6</t>
  </si>
  <si>
    <t>ЮЛ780300308201005</t>
  </si>
  <si>
    <t>ЮЛ780300308201189</t>
  </si>
  <si>
    <t>300045 Тульская область микрорайон Левобережный, село Осиновая Гора улица Аркадия Шипунова дом №1а   помещение №122 (ML07)</t>
  </si>
  <si>
    <t>ЮЛ780300308201192</t>
  </si>
  <si>
    <t>300044 Тульская область город Тула улица М.Горького дом 12   помещение IV</t>
  </si>
  <si>
    <t>ЮЛ780300363500226</t>
  </si>
  <si>
    <t>300041 Тульская область город Тула проспект Красноармейский дом 11А</t>
  </si>
  <si>
    <t>ЮЛ770103800100002</t>
  </si>
  <si>
    <t>301650 Тульская область город Новомосковск улица Трудовые Резервы дом 33Б   нежилое помещение №42 на первом этаже ТРЦ</t>
  </si>
  <si>
    <t>ЮЛ770100439200131</t>
  </si>
  <si>
    <t>300001 Тульская область город Тула улица Пролетарская дом 2   1 этаж, помещение №3: часть нежилого помещения (помещение №1.39),</t>
  </si>
  <si>
    <t>ЮЛ770100439200221</t>
  </si>
  <si>
    <t>Тюменская область</t>
  </si>
  <si>
    <t>625002 Тюменская область Город Тюмень Улица Комсомольская Дом 8/8   Помещение №16</t>
  </si>
  <si>
    <t>ИП КАРЛОВИЧ А. В.</t>
  </si>
  <si>
    <t>231121453160</t>
  </si>
  <si>
    <t>ИП2304038876</t>
  </si>
  <si>
    <t>ИП230403887600000</t>
  </si>
  <si>
    <t>625013 Тюменская область город Тюмень улица Энергетиков дом 49   помещение 7</t>
  </si>
  <si>
    <t>ЮЛ240800183000018</t>
  </si>
  <si>
    <t>625022 Тюменская область город Тюмень улица Щербакова дом 112/2</t>
  </si>
  <si>
    <t>ЮЛ240800183000019</t>
  </si>
  <si>
    <t>625051 Тюменская область город Тюмень улица Станислава Карнацевича дом 14/10</t>
  </si>
  <si>
    <t>ЮЛ240800183000020</t>
  </si>
  <si>
    <t>625001 Тюменская область город Тюмень улица Полевая дом 18</t>
  </si>
  <si>
    <t>ЮЛ240800183000021</t>
  </si>
  <si>
    <t>625001 Тюменская область город Тюмень улица Ямская дом 104   помещение 4а</t>
  </si>
  <si>
    <t>ЮЛ240800183000095</t>
  </si>
  <si>
    <t>625040 Тюменская область город Тюмень улица Тимофея Чаркова дом 60</t>
  </si>
  <si>
    <t>ИП240801156100005</t>
  </si>
  <si>
    <t>ИП500100445500027</t>
  </si>
  <si>
    <t>625000 Тюменская область город Тюмень улица Герцена дом 94   часть помещения №62 , ТЦ " Галерея Вояж"</t>
  </si>
  <si>
    <t>ИП500100445500121</t>
  </si>
  <si>
    <t>625016 Тюменская область город Тюмень улица Пермякова дом 50б   помещение 109</t>
  </si>
  <si>
    <t>ЮЛ520603376600031</t>
  </si>
  <si>
    <t>ЮЛ520603376600047</t>
  </si>
  <si>
    <t>625000 Тюменская область город Тюмень улица Дмитрия Менделеева дом 1а   помещение №142</t>
  </si>
  <si>
    <t>ЮЛ520603376600066</t>
  </si>
  <si>
    <t>625062 Тюменская область город Тюмень улица Дмитрия Менделеева дом 1а   Торговово Развлекательный Центр "Кристалл"</t>
  </si>
  <si>
    <t>ИП540801100000007</t>
  </si>
  <si>
    <t>627570 Тюменская область село Викулово площадь Торговая площадь дом 9</t>
  </si>
  <si>
    <t>ИП550801602500001</t>
  </si>
  <si>
    <t>627540 Тюменская область село Абатское улица Ленина дом 55 корпус Б</t>
  </si>
  <si>
    <t>ИП550801602500002</t>
  </si>
  <si>
    <t>627756 Тюменская область город Ишим улица Свердлова дом 1 корпус Г</t>
  </si>
  <si>
    <t>ИП550801602500005</t>
  </si>
  <si>
    <t>627754 Тюменская область город Ишим улица Карла Маркса дом 67/3</t>
  </si>
  <si>
    <t>ИП Харченко Елена Евгеньевна</t>
  </si>
  <si>
    <t>551400035630</t>
  </si>
  <si>
    <t>ИП7207033887</t>
  </si>
  <si>
    <t>ИП720703388700000</t>
  </si>
  <si>
    <t>627756 Тюменская область город Ишим улица Карла Маркса дом 16А/3</t>
  </si>
  <si>
    <t>ИП720703388700002</t>
  </si>
  <si>
    <t>627140 Тюменская область город Заводоуковск улица Первомайская здание 9Б строение 1  Павильон №109</t>
  </si>
  <si>
    <t>ИП590601426900020</t>
  </si>
  <si>
    <t>627750 Тюменская область город Ишим улица Ленина здание 47б корпус 1</t>
  </si>
  <si>
    <t>ИП590601426900021</t>
  </si>
  <si>
    <t>627011 Тюменская область город Ялуторовск улица Свободы дом 177 корпус 1  павильон №1</t>
  </si>
  <si>
    <t>ИП590601426900024</t>
  </si>
  <si>
    <t>626157 Тюменская область город Тобольск 7 микрорайон  дом 30   нежилое помещение</t>
  </si>
  <si>
    <t>ИП590601426900046</t>
  </si>
  <si>
    <t>627754 Тюменская область город Ишим улица Карла Маркса дом 77а   помещение 3</t>
  </si>
  <si>
    <t>ИП590601426900048</t>
  </si>
  <si>
    <t>625023 Тюменская область город Тюмень улица Пржевальского дом 35 корпус 4  помещение 3</t>
  </si>
  <si>
    <t>ИП Узерина Анна Анатольевна</t>
  </si>
  <si>
    <t>592061589388</t>
  </si>
  <si>
    <t>ИП7207031763</t>
  </si>
  <si>
    <t>ИП720703176300000</t>
  </si>
  <si>
    <t>625000 Тюменская область город Тюмень улица Ленина дом 81   помещение 3</t>
  </si>
  <si>
    <t>ИП720703176300001</t>
  </si>
  <si>
    <t>625013 Тюменская область город Тюмень улица Республики дом 181</t>
  </si>
  <si>
    <t>ИП720703176300002</t>
  </si>
  <si>
    <t>625000 Тюменская область город Тюмень улица Республики дом 48   помещение 3а</t>
  </si>
  <si>
    <t>ИП720703176300003</t>
  </si>
  <si>
    <t>625000 Тюменская область город Тюмень улица Ленина дом 83   помещение 2</t>
  </si>
  <si>
    <t>ИП720703176300004</t>
  </si>
  <si>
    <t>625046 Тюменская область город Тюмень улица Моторостроителей дом 4а строение 2</t>
  </si>
  <si>
    <t>ООО "ЛОМБАРД КАСКАД"</t>
  </si>
  <si>
    <t>6382099159</t>
  </si>
  <si>
    <t>ЮЛ6306037270</t>
  </si>
  <si>
    <t>ЮЛ630603727000001</t>
  </si>
  <si>
    <t>625000 Тюменская область город Тюмень улица Ленина дом 81</t>
  </si>
  <si>
    <t>ЮЛ630603727000002</t>
  </si>
  <si>
    <t>625048 Тюменская область город Тюмень улица Мельникайте дом 63 строение 1</t>
  </si>
  <si>
    <t>ЮЛ630603727000003</t>
  </si>
  <si>
    <t>ЮЛ630603727000004</t>
  </si>
  <si>
    <t>625026 Тюменская область город Тюмень улица Мельникайте дом 100   помещение 5</t>
  </si>
  <si>
    <t>ЮЛ630603727000005</t>
  </si>
  <si>
    <t>625051 Тюменская область город Тюмень улица Пермякова дом 23 корпус 1</t>
  </si>
  <si>
    <t>ЮЛ630603727000006</t>
  </si>
  <si>
    <t>625046 Тюменская область город Тюмень улица Олимпийская дом 10</t>
  </si>
  <si>
    <t>ЮЛ630603727000007</t>
  </si>
  <si>
    <t>625031 Тюменская область город Тюмень улица Ватутина дом 12 строение 1</t>
  </si>
  <si>
    <t>ЮЛ630603727000008</t>
  </si>
  <si>
    <t>625022 Тюменская область город Тюмень проезд Заречный дом 14   помещение 8</t>
  </si>
  <si>
    <t>ЮЛ630603727000009</t>
  </si>
  <si>
    <t>625017 Тюменская область Тюмень Сергея Ильюшина 10 кор 2  часть нежилого помещения № 2.13.375 и № 2.00.020 2 этаж общая зона</t>
  </si>
  <si>
    <t>ИП Верещагина Елена Викторовна</t>
  </si>
  <si>
    <t>660403318979</t>
  </si>
  <si>
    <t>ИП6607019688</t>
  </si>
  <si>
    <t>ИП660701968800000</t>
  </si>
  <si>
    <t>625017 Тюменская область Тюмень Сергея Ильюшина 10 корпус 2  часть нежилого помещения № 2.00.200, 2 эт.стерил зона</t>
  </si>
  <si>
    <t>ИП660701968800003</t>
  </si>
  <si>
    <t>625000 Тюменская область город Тюмень улица Республики дом 48/3</t>
  </si>
  <si>
    <t>ЮЛ660700429800001</t>
  </si>
  <si>
    <t>625000 Тюменская область город Тюмень улица Некрасова дом 10</t>
  </si>
  <si>
    <t>ЮЛ660700070800128</t>
  </si>
  <si>
    <t>625062 Тюменская область Тюмень Дмитрия Менделеева  1</t>
  </si>
  <si>
    <t>ИП660701654100002</t>
  </si>
  <si>
    <t>625000 Тюменская область город Тюмень улица Ленина дом 83   помещение 1</t>
  </si>
  <si>
    <t>ЮЛ660703833300008</t>
  </si>
  <si>
    <t>625000 Тюменская область город Тюмень улица Ленина дом 83/1</t>
  </si>
  <si>
    <t>ЮЛ660700087900003</t>
  </si>
  <si>
    <t>625048 Тюменская область город Тюмень улица 50 лет Октября дом 8б   этаж 1, помещение 29Д</t>
  </si>
  <si>
    <t>ЮЛ660701304200009</t>
  </si>
  <si>
    <t>625022 Тюменская область город Тюмень проезд Заречный дом 41   офис 6</t>
  </si>
  <si>
    <t>ИП Каплюжникова Ирина Ивановна</t>
  </si>
  <si>
    <t>720200174415</t>
  </si>
  <si>
    <t>ИП8607007505</t>
  </si>
  <si>
    <t>ИП860700750500000</t>
  </si>
  <si>
    <t>625000 Тюменская область город Тюмень улица Ленина дом 83</t>
  </si>
  <si>
    <t>ООО "ЗОЛОТОЕ КОЛЬЦО"</t>
  </si>
  <si>
    <t>7202103259</t>
  </si>
  <si>
    <t>ЮЛ7207008540</t>
  </si>
  <si>
    <t>ЮЛ720700854000000</t>
  </si>
  <si>
    <t>625000 Тюменская область город Тюмень улица Дружбы дом 159\3</t>
  </si>
  <si>
    <t>ООО ЮК "САТРЕ"</t>
  </si>
  <si>
    <t>7202152376</t>
  </si>
  <si>
    <t>ЮЛ7207007942</t>
  </si>
  <si>
    <t>ЮЛ720700794200000</t>
  </si>
  <si>
    <t>625504 Тюменская область рабочий поселок Боровский улица Советская дом 8 строение 1</t>
  </si>
  <si>
    <t>ЮЛ720700794200001</t>
  </si>
  <si>
    <t>625040 Тюменская область город Тюмень улица Тимофея Чаркова дом 60  Литера А Первый этаж, помещение №125</t>
  </si>
  <si>
    <t>ЮЛ720700794200002</t>
  </si>
  <si>
    <t>625026 Тюменская область город Тюмень улица Республики дом 144\4</t>
  </si>
  <si>
    <t>ЮЛ720700794200003</t>
  </si>
  <si>
    <t>625001 Тюменская область город Тюмень улица Ямская дом 77\3</t>
  </si>
  <si>
    <t>ЮЛ720700794200005</t>
  </si>
  <si>
    <t>625016 Тюменская область город Тюмень улица Александра Логунова дом 3</t>
  </si>
  <si>
    <t>ЮЛ720700794200006</t>
  </si>
  <si>
    <t>625046 Тюменская область город Тюмень улица Широтная дом 112б   помещение номер А10</t>
  </si>
  <si>
    <t>ЮЛ720700794200007</t>
  </si>
  <si>
    <t>625048 Тюменская область город Тюмень улица Республики дом 131/4</t>
  </si>
  <si>
    <t>ИП Тропынина Валентина Геннадьевна</t>
  </si>
  <si>
    <t>720300641127</t>
  </si>
  <si>
    <t>ИП7207030753</t>
  </si>
  <si>
    <t>ИП720703075300000</t>
  </si>
  <si>
    <t>625000 Тюменская область город Тюмень Максима Горького 70</t>
  </si>
  <si>
    <t>ИП720703075300001</t>
  </si>
  <si>
    <t>625000 Тюменская область город Тюмень Орджоникидзе 63а</t>
  </si>
  <si>
    <t>ИП720703075300003</t>
  </si>
  <si>
    <t>625000 Тюменская область город Тюмень Дмитрия Менделеева 1а</t>
  </si>
  <si>
    <t>ИП720703075300004</t>
  </si>
  <si>
    <t>625023 Тюменская область город Тюмень улица Рижская дом 70/1</t>
  </si>
  <si>
    <t>ИП Котов Владимир Иванович</t>
  </si>
  <si>
    <t>720301009633</t>
  </si>
  <si>
    <t>ИП7207013376</t>
  </si>
  <si>
    <t>ИП720701337600000</t>
  </si>
  <si>
    <t>625000 Тюменская область город Тюмень улица Республики дом 46</t>
  </si>
  <si>
    <t>ООО "ДЕЛЬТА И КО"</t>
  </si>
  <si>
    <t>7203113394</t>
  </si>
  <si>
    <t>ЮЛ7207001077</t>
  </si>
  <si>
    <t>ЮЛ720700107700002</t>
  </si>
  <si>
    <t>625000 Тюменская область город Тюмень улица Республики дом 58/2</t>
  </si>
  <si>
    <t>ЮЛ720700107700003</t>
  </si>
  <si>
    <t>ООО ЛОМБАРД "МОНЕТНЫЙ ДВОР"</t>
  </si>
  <si>
    <t>7203158324</t>
  </si>
  <si>
    <t>ЮЛ7207012565</t>
  </si>
  <si>
    <t>ЮЛ720701256500007</t>
  </si>
  <si>
    <t>625007 Тюменская область город Тюмень улица Моторостроителей дом 4а корпус 7</t>
  </si>
  <si>
    <t>ИП Спирлиев Эдуард Владимирович</t>
  </si>
  <si>
    <t>720317154876</t>
  </si>
  <si>
    <t>ИП7207036242</t>
  </si>
  <si>
    <t>ИП720703624200000</t>
  </si>
  <si>
    <t>625000 Тюменская область город Тюмень улица Республики дом 65</t>
  </si>
  <si>
    <t>ИП Деканова Екатерина Алексеевна</t>
  </si>
  <si>
    <t>720318267336</t>
  </si>
  <si>
    <t>ИП7207013078</t>
  </si>
  <si>
    <t>ИП720701307800000</t>
  </si>
  <si>
    <t>625000 Тюменская область город Тюмень улица Герцена дом 94</t>
  </si>
  <si>
    <t>ООО "БИЗНЕС ГРУПП"</t>
  </si>
  <si>
    <t>7203325303</t>
  </si>
  <si>
    <t>ЮЛ7207007482</t>
  </si>
  <si>
    <t>ЮЛ720700748200001</t>
  </si>
  <si>
    <t>625048 Тюменская область город Тюмень улица Максима Горького дом 70</t>
  </si>
  <si>
    <t>ЮЛ720700748200002</t>
  </si>
  <si>
    <t>625007 Тюменская область город Тюмень улица Монтажников дом 57 строение 1</t>
  </si>
  <si>
    <t>ООО "ЗАЙМ ЛОМБАРД"</t>
  </si>
  <si>
    <t>7203566122</t>
  </si>
  <si>
    <t>ЮЛ7207036408</t>
  </si>
  <si>
    <t>ЮЛ720703640800000</t>
  </si>
  <si>
    <t>625000 Тюменская область город Тюмень улица Орджоникидзе дом 63а   офис 3/2</t>
  </si>
  <si>
    <t>ООО "ЛУНА"</t>
  </si>
  <si>
    <t>7203574388</t>
  </si>
  <si>
    <t>ЮЛ7207036889</t>
  </si>
  <si>
    <t>ЮЛ720703688900000</t>
  </si>
  <si>
    <t>625046 Тюменская область город Тюмень улица Моторостроителей дом 4а корпус 7</t>
  </si>
  <si>
    <t>ООО "СЛИТОК"</t>
  </si>
  <si>
    <t>7203598935</t>
  </si>
  <si>
    <t>ЮЛ7207040624</t>
  </si>
  <si>
    <t>ЮЛ720704062400000</t>
  </si>
  <si>
    <t>625000 Тюменская область город Тюмень улица Профсоюзная дом 92   помещение 4</t>
  </si>
  <si>
    <t>ИП Черных Алексей Валентинович</t>
  </si>
  <si>
    <t>720400484703</t>
  </si>
  <si>
    <t>ИП7207012731</t>
  </si>
  <si>
    <t>ИП720701273100000</t>
  </si>
  <si>
    <t>625000 Тюменская область город Тюмень улица Водопроводная дом 34   этаж 1</t>
  </si>
  <si>
    <t>ИП500101079300001</t>
  </si>
  <si>
    <t>625000 Тюменская область город Тюмень улица Орджоникидзе дом 63а   офис 3/1</t>
  </si>
  <si>
    <t>ООО "ХРИЗ"</t>
  </si>
  <si>
    <t>7204093052</t>
  </si>
  <si>
    <t>ЮЛ7207006488</t>
  </si>
  <si>
    <t>ЮЛ720700648800000</t>
  </si>
  <si>
    <t>ИП Завозина Елена Анатольевна</t>
  </si>
  <si>
    <t>720411864190</t>
  </si>
  <si>
    <t>ИП7207036410</t>
  </si>
  <si>
    <t>ИП720703641000001</t>
  </si>
  <si>
    <t>ИП720703641000002</t>
  </si>
  <si>
    <t>625000 Тюменская область город Тюмень улица Ямская дом 98/2Б  Литера А</t>
  </si>
  <si>
    <t>7204168558</t>
  </si>
  <si>
    <t>ЮЛ7207005780</t>
  </si>
  <si>
    <t>ЮЛ720700578000000</t>
  </si>
  <si>
    <t>ООО "РУССКАЯ ЮВЕЛИРНАЯ СЕТЬ"</t>
  </si>
  <si>
    <t>7204169840</t>
  </si>
  <si>
    <t>ЮЛ7207002156</t>
  </si>
  <si>
    <t>ЮЛ720700215600001</t>
  </si>
  <si>
    <t>ЮЛ720700215600006</t>
  </si>
  <si>
    <t>ООО "ГАРАНТИЯ"</t>
  </si>
  <si>
    <t>7205012419</t>
  </si>
  <si>
    <t>ЮЛ7207010434</t>
  </si>
  <si>
    <t>ЮЛ720701043400000</t>
  </si>
  <si>
    <t>627753 Тюменская область город Ишим улица Карла Маркса дом 35</t>
  </si>
  <si>
    <t>ООО "ПЁТР"</t>
  </si>
  <si>
    <t>7205033271</t>
  </si>
  <si>
    <t>ЮЛ7207033627</t>
  </si>
  <si>
    <t>ЮЛ720703362700000</t>
  </si>
  <si>
    <t>627750 Тюменская область город Ишим улица Луначарского домовладение 60</t>
  </si>
  <si>
    <t>ЮЛ720703362700007</t>
  </si>
  <si>
    <t>ИП Бочковский Владимир Петрович</t>
  </si>
  <si>
    <t>720506363755</t>
  </si>
  <si>
    <t>ИП7207011116</t>
  </si>
  <si>
    <t>ИП720701111600000</t>
  </si>
  <si>
    <t>625000 Тюменская область город Тюмень улица Некрасова дом 10   Помещение № 115</t>
  </si>
  <si>
    <t>ИП Бурцева Лариса Викторовна</t>
  </si>
  <si>
    <t>720509213726</t>
  </si>
  <si>
    <t>ИП7207020106</t>
  </si>
  <si>
    <t>ИП720702010600000</t>
  </si>
  <si>
    <t>626150 Тюменская область город Тобольск микрорайон 4 дом 24</t>
  </si>
  <si>
    <t>ИП Зяблицкая Любовь Николаевна</t>
  </si>
  <si>
    <t>720600037808</t>
  </si>
  <si>
    <t>ИП7207013481</t>
  </si>
  <si>
    <t>ИП720701348100000</t>
  </si>
  <si>
    <t>626150 Тюменская область город Тобольск микрорайон 8 дом 2</t>
  </si>
  <si>
    <t>ИП720701348100001</t>
  </si>
  <si>
    <t>626152 Тюменская область город Тобольск улица Октябрьская дом 8</t>
  </si>
  <si>
    <t>ИП Литвинов Анатолий Дмитриевич</t>
  </si>
  <si>
    <t>720600297404</t>
  </si>
  <si>
    <t>ИП7207019230</t>
  </si>
  <si>
    <t>ИП720701923000000</t>
  </si>
  <si>
    <t>626157 Тюменская область город Тобольск микрорайон  7а дом 7Б    помещение №56</t>
  </si>
  <si>
    <t>ИП Плесовских Татьяна Николаевна</t>
  </si>
  <si>
    <t>720600414260</t>
  </si>
  <si>
    <t>ИП7207007036</t>
  </si>
  <si>
    <t>ИП720700703600000</t>
  </si>
  <si>
    <t>626157 Тюменская область город Тобольск микрорайон  7 дом 30   этаж 1</t>
  </si>
  <si>
    <t>ИП720700703600003</t>
  </si>
  <si>
    <t>626109 Тюменская область город Тобольск 6 микрорайон  строение 38</t>
  </si>
  <si>
    <t>ИП Ямукова Рената Эдуардовна</t>
  </si>
  <si>
    <t>720600520726</t>
  </si>
  <si>
    <t>ИП7207040066</t>
  </si>
  <si>
    <t>ИП720704006600000</t>
  </si>
  <si>
    <t>626157 Тюменская область город Тобольск микрорайон 7 дом 30</t>
  </si>
  <si>
    <t>ИП720704006600001</t>
  </si>
  <si>
    <t>626150 Тюменская область город Тобольск 8 микрорайон дом 2</t>
  </si>
  <si>
    <t>ИП Камалетдинова Зульфия Хамитовна</t>
  </si>
  <si>
    <t>720603324896</t>
  </si>
  <si>
    <t>ИП7207013749</t>
  </si>
  <si>
    <t>ИП720701374900000</t>
  </si>
  <si>
    <t>626157 Тюменская область город Тобольск 7 микрорайон дом 9/57</t>
  </si>
  <si>
    <t>ООО "ЛОМБАРД ЗОЛОТОЙ ВЕК"</t>
  </si>
  <si>
    <t>7206062902</t>
  </si>
  <si>
    <t>ЮЛ7207034845</t>
  </si>
  <si>
    <t>ЮЛ720703484500000</t>
  </si>
  <si>
    <t>ИП Ренгулов Ильнур Миршатович</t>
  </si>
  <si>
    <t>720608708712</t>
  </si>
  <si>
    <t>ИП7207016191</t>
  </si>
  <si>
    <t>ИП720701619100000</t>
  </si>
  <si>
    <t>626157 Тюменская область город Тобольск микрорайон 7  строение 30</t>
  </si>
  <si>
    <t>ИП Швецова Надежда Олеговна</t>
  </si>
  <si>
    <t>720610079324</t>
  </si>
  <si>
    <t>ИП7207031168</t>
  </si>
  <si>
    <t>ИП720703116800000</t>
  </si>
  <si>
    <t>626150 Тюменская область город Тобольск мкр 6  строение 38  помещение 52</t>
  </si>
  <si>
    <t>ИП Плесовских Сергей Михайлович</t>
  </si>
  <si>
    <t>720611166509</t>
  </si>
  <si>
    <t>ИП7207031097</t>
  </si>
  <si>
    <t>ИП720703109700000</t>
  </si>
  <si>
    <t>626150 Тюменская область город Тобольск 8 микрорайон дом 8/2</t>
  </si>
  <si>
    <t>ИП Белкина Алёна Игоревна</t>
  </si>
  <si>
    <t>720692035371</t>
  </si>
  <si>
    <t>ИП7207007385</t>
  </si>
  <si>
    <t>ИП720700738500000</t>
  </si>
  <si>
    <t>ИП Артюшина Татьяна Алексеевна</t>
  </si>
  <si>
    <t>720692774407</t>
  </si>
  <si>
    <t>ИП7207001236</t>
  </si>
  <si>
    <t>ИП720700123600000</t>
  </si>
  <si>
    <t>ИП720700123600001</t>
  </si>
  <si>
    <t>627014 Тюменская область город Ялуторовск улица Ленина дом 68</t>
  </si>
  <si>
    <t>ИП Кулавская Надежда Николаевна</t>
  </si>
  <si>
    <t>720701396144</t>
  </si>
  <si>
    <t>ИП7207011408</t>
  </si>
  <si>
    <t>ИП720701140800000</t>
  </si>
  <si>
    <t>627140 Тюменская область город Заводоуковск улица Сибирская дом 2/2  литера А</t>
  </si>
  <si>
    <t>ИП Булычева Елена Михайловна</t>
  </si>
  <si>
    <t>721502118592</t>
  </si>
  <si>
    <t>ИП7207009529</t>
  </si>
  <si>
    <t>ИП720700952900000</t>
  </si>
  <si>
    <t>626380 Тюменская область село Исетское улица Первомайская дом 31А строение 1  помещение 4</t>
  </si>
  <si>
    <t>ИП Иванова Елена Витальевна</t>
  </si>
  <si>
    <t>721600022514</t>
  </si>
  <si>
    <t>ИП7207011797</t>
  </si>
  <si>
    <t>ИП720701179700000</t>
  </si>
  <si>
    <t>627420 Тюменская область село Казанское улица Ленина дом 23</t>
  </si>
  <si>
    <t>ИП Плесовских Владимир Владимирович</t>
  </si>
  <si>
    <t>721801969827</t>
  </si>
  <si>
    <t>ИП7207001641</t>
  </si>
  <si>
    <t>ИП720700164100000</t>
  </si>
  <si>
    <t>625048 Тюменская область город Тюмень улица Николая Машарова дом 4   помещение 3</t>
  </si>
  <si>
    <t>ИП Родионова Татьяна Михайловна</t>
  </si>
  <si>
    <t>721902664388</t>
  </si>
  <si>
    <t>ИП7207038942</t>
  </si>
  <si>
    <t>ИП720703894200000</t>
  </si>
  <si>
    <t>627070 Тюменская область село Омутинское улица 1-вый микрорайон дом 1 А   помещение № 3</t>
  </si>
  <si>
    <t>ИП Осинцева Альбина Сергеевна</t>
  </si>
  <si>
    <t>722000255540</t>
  </si>
  <si>
    <t>ИП7207003134</t>
  </si>
  <si>
    <t>ИП720700313400000</t>
  </si>
  <si>
    <t>627070 Тюменская область село Омутинское Улица Калинина Дом 6Б</t>
  </si>
  <si>
    <t>ИП Малышева Марина Ивановна</t>
  </si>
  <si>
    <t>722000776656</t>
  </si>
  <si>
    <t>ИП7207034099</t>
  </si>
  <si>
    <t>ИП720703409900000</t>
  </si>
  <si>
    <t>626050 Тюменская область село Ярково улица Пионерская дом 85</t>
  </si>
  <si>
    <t>ООО "ИВА"</t>
  </si>
  <si>
    <t>7224076880</t>
  </si>
  <si>
    <t>ЮЛ7207032116</t>
  </si>
  <si>
    <t>ЮЛ720703211600000</t>
  </si>
  <si>
    <t>626050 Тюменская область село Ярково улица Ленина дом 82 строение 1</t>
  </si>
  <si>
    <t>ЮЛ720703211600002</t>
  </si>
  <si>
    <t>626240 Тюменская область село Вагай улица Октябрьская дом 25</t>
  </si>
  <si>
    <t>ИП Анастасова Кристина Николаевна</t>
  </si>
  <si>
    <t>722800112809</t>
  </si>
  <si>
    <t>ИП7207011978</t>
  </si>
  <si>
    <t>ИП720701197800000</t>
  </si>
  <si>
    <t>626240 Тюменская область село Вагай улица Ленина дом 75 "А"   нежилое помещение № 3</t>
  </si>
  <si>
    <t>ИП720701197800001</t>
  </si>
  <si>
    <t>626240 Тюменская область село Вагай улица Ленина дом 16А</t>
  </si>
  <si>
    <t>ИП720701197800002</t>
  </si>
  <si>
    <t>626050 Тюменская область село Ярково улица Ленина дом 96</t>
  </si>
  <si>
    <t>ИП Бобрецов Александр Владимирович</t>
  </si>
  <si>
    <t>722900367279</t>
  </si>
  <si>
    <t>ИП7207001134</t>
  </si>
  <si>
    <t>ИП720700113400000</t>
  </si>
  <si>
    <t>625005 Тюменская область город Тюмень улица 2-я Луговая дом 22 корпус 3  помещение 8</t>
  </si>
  <si>
    <t>ИП Гаврикова Татьяна Сергеевна</t>
  </si>
  <si>
    <t>723007657392</t>
  </si>
  <si>
    <t>ИП7207037496</t>
  </si>
  <si>
    <t>ИП720703749600000</t>
  </si>
  <si>
    <t>627014 Тюменская область город Ялуторовск улица Ленина 62/1   кабинет 203</t>
  </si>
  <si>
    <t>ИП Коробейников Дмитрий Геннадьевич</t>
  </si>
  <si>
    <t>723009387416</t>
  </si>
  <si>
    <t>ИП7207030716</t>
  </si>
  <si>
    <t>ИП720703071600000</t>
  </si>
  <si>
    <t>625000 Тюменская область город Тюмень улица Республики дом 45/7</t>
  </si>
  <si>
    <t>ООО "ЮГ"</t>
  </si>
  <si>
    <t>7455007228</t>
  </si>
  <si>
    <t>ЮЛ7407006996</t>
  </si>
  <si>
    <t>ЮЛ740700699600001</t>
  </si>
  <si>
    <t>625016 Тюменская область город Тюмень улица Пермякова дом 50б   помещение 171</t>
  </si>
  <si>
    <t>ЮЛ760201190700047</t>
  </si>
  <si>
    <t>625040 Тюменская область город Тюмень улица Тимофея Чаркова дом 60   помещение 124</t>
  </si>
  <si>
    <t>ЮЛ760201190700048</t>
  </si>
  <si>
    <t>625062 Тюменская область город Тюмень улица Дмитрия Менделеева дом 1а   помещение 83</t>
  </si>
  <si>
    <t>ЮЛ760201190700050</t>
  </si>
  <si>
    <t>625048 Тюменская область город Тюмень улица Максима Горького дом 70   помещение 98а</t>
  </si>
  <si>
    <t>ЮЛ760201190700064</t>
  </si>
  <si>
    <t>625005 Тюменская область город Тюмень улица 2-я Луговая дом 30   помещение 93,94,95</t>
  </si>
  <si>
    <t>ЮЛ760201190700065</t>
  </si>
  <si>
    <t>625000 Тюменская область город Тюмень улица Герцена дом 94   помещение 34</t>
  </si>
  <si>
    <t>ЮЛ760201190700076</t>
  </si>
  <si>
    <t>625031 Тюменская область город Тюмень проезд Шаимский дом 12/1  литера А цокольный этаж</t>
  </si>
  <si>
    <t>ЮЛ770100201500581</t>
  </si>
  <si>
    <t>625049 Тюменская область город Тюмень улица Московский Тракт дом 137/1</t>
  </si>
  <si>
    <t>ЮЛ770100201500585</t>
  </si>
  <si>
    <t>625005 Тюменская область город Тюмень улица Щербакова дом 98/1д</t>
  </si>
  <si>
    <t>ЮЛ770100201500587</t>
  </si>
  <si>
    <t>625000 Тюменская область город Тюмень улица Ленина дом 71/6</t>
  </si>
  <si>
    <t>ЮЛ770100201500848</t>
  </si>
  <si>
    <t>625016 Тюменская область город Тюмень улица Пермякова дом 50б   нежилые помещения 34,35, этаж 1</t>
  </si>
  <si>
    <t>ЮЛ770101216600146</t>
  </si>
  <si>
    <t>625000 Тюменская область город Тюмень улица Герцена дом 94   нежилое помещение 58, этаж 1</t>
  </si>
  <si>
    <t>ЮЛ770101216600155</t>
  </si>
  <si>
    <t>625040 Тюменская область город Тюмень улица Тимофея Чаркова дом 60  литер А  помещение 91, этаж 1</t>
  </si>
  <si>
    <t>ЮЛ770101216600208</t>
  </si>
  <si>
    <t>625048 Тюменская область город Тюмень улица 50 лет Октября дом 14   помещение 0-I-14, этаж 1</t>
  </si>
  <si>
    <t>ЮЛ770101216600266</t>
  </si>
  <si>
    <t>625048 Тюменская область город Тюмень улица Максима Горького дом 70   помещение 52, 52а, этаж 1</t>
  </si>
  <si>
    <t>ЮЛ770101216600324</t>
  </si>
  <si>
    <t>625049 Тюменская область город Тюмень улица Московский тракт дом 118   помещение N-I-17/3</t>
  </si>
  <si>
    <t>ЮЛ770101216600350</t>
  </si>
  <si>
    <t>625007 Тюменская область город Тюмень улица Мельникайте дом 116 корпус 1  этаж 1</t>
  </si>
  <si>
    <t>ЮЛ770101216600510</t>
  </si>
  <si>
    <t>625007 Тюменская область город Тюмень улица Валерии Гнаровской дом 12   этаж 1, часть нежилого помещения №12</t>
  </si>
  <si>
    <t>ЮЛ770101216600515</t>
  </si>
  <si>
    <t>626157 Тюменская область город Тобольск 7 микрорайон дом 30   этаж 1</t>
  </si>
  <si>
    <t>ЮЛ770101216600524</t>
  </si>
  <si>
    <t>625033 Тюменская область город Тюмень улица Федюнинского дом 67   этаж 1, нежилое помещение R-1-12</t>
  </si>
  <si>
    <t>ЮЛ770101216600615</t>
  </si>
  <si>
    <t>625022 Тюменская область город Тюмень улица Алебашевская дом 19   этаж 1,  нежилое помещение № 173</t>
  </si>
  <si>
    <t>ЮЛ770101216600665</t>
  </si>
  <si>
    <t>625053 Тюменская область город Тюмень улица Широтная дом 199   этаж 1, нежилое помещение №6</t>
  </si>
  <si>
    <t>ЮЛ770101216600675</t>
  </si>
  <si>
    <t>625005 Тюменская область город Тюмень улица 2-я Луговая дом 30   1 этаж, часть нежилого помещения № 111</t>
  </si>
  <si>
    <t>ЮЛ770101216600769</t>
  </si>
  <si>
    <t>625007 Тюменская область город Тюмень улица Мельникайте дом 137   1 этаж, нежилое помещение № 17</t>
  </si>
  <si>
    <t>ЮЛ770101216600787</t>
  </si>
  <si>
    <t>625000 Тюменская область город Тюмень улица Орджоникидзе дом 63а   1 этаж, антресоль, нежилое помещение</t>
  </si>
  <si>
    <t>ЮЛ770101216600819</t>
  </si>
  <si>
    <t>625046 Тюменская область город Тюмень улица Широтная дом 112б   1 этаж, нежилое помещение №А32</t>
  </si>
  <si>
    <t>ЮЛ770101216600871</t>
  </si>
  <si>
    <t>625062 Тюменская область город Тюмень улица Дмитрия Менделеева дом 1а   1 этаж, часть нежилого помещения 142 №КА 16</t>
  </si>
  <si>
    <t>ЮЛ770101216600891</t>
  </si>
  <si>
    <t>626158 Тюменская область город Тобольск тер Зона Вузов дом 4   этаж 1</t>
  </si>
  <si>
    <t>ЮЛ770101216600946</t>
  </si>
  <si>
    <t>625062 Тюменская область город Тюмень улица Дмитрия Менделеева дом 1а   помещение №1-111</t>
  </si>
  <si>
    <t>ЮЛ770100419400056</t>
  </si>
  <si>
    <t>ЮЛ770100419400059</t>
  </si>
  <si>
    <t>625048 Тюменская область город Тюмень улица Максима Горького дом 70   часть помещения №79</t>
  </si>
  <si>
    <t>ЮЛ770100419400176</t>
  </si>
  <si>
    <t>625059 Тюменская область город Тюмень улица Тимофея Чаркова дом 60   1 этаж, помещение 90</t>
  </si>
  <si>
    <t>ЮЛ770100193500036</t>
  </si>
  <si>
    <t>625048 Тюменская область город Тюмень улица Максима Горького дом 70  литера А6 часть помещения № 102, первый этаж</t>
  </si>
  <si>
    <t>ЮЛ770100193500037</t>
  </si>
  <si>
    <t>625000 Тюменская область город Тюмень улица Герцена дом 94   помещение № 76</t>
  </si>
  <si>
    <t>ЮЛ770100193500271</t>
  </si>
  <si>
    <t>625062 Тюменская область город Тюмень улица Дмитрия Менделеева дом 1а   1 (первый) этаж, часть помещения № 142</t>
  </si>
  <si>
    <t>ЮЛ770100193500272</t>
  </si>
  <si>
    <t>625049 Тюменская область город Тюмень улица Московский тракт дом 118   помещение № N-I-17/1</t>
  </si>
  <si>
    <t>ЮЛ770100193500273</t>
  </si>
  <si>
    <t>626157 Тюменская область город Тобольск 7 микрорайон дом 30</t>
  </si>
  <si>
    <t>ЮЛ770100193500274</t>
  </si>
  <si>
    <t>625046 Тюменская область город Тюмень улица Широтная дом 112б   этаж 1, помещение № А8</t>
  </si>
  <si>
    <t>ЮЛ770100193500480</t>
  </si>
  <si>
    <t>625005 Тюменская область город Тюмень улица 2-я Луговая дом 30   часть нежилого помещения № 82, нежилое помещение № 92, этаж 1 (первый)</t>
  </si>
  <si>
    <t>ЮЛ770100193500745</t>
  </si>
  <si>
    <t>627753 Тюменская область город Ишим улица Карла Маркса дом 35   помещение 6, этаж 1 (первый)</t>
  </si>
  <si>
    <t>ЮЛ770100193500825</t>
  </si>
  <si>
    <t>625005 Тюменская область город Тюмень улица Щербакова дом 98/ 1д</t>
  </si>
  <si>
    <t>ЮЛ770100193500931</t>
  </si>
  <si>
    <t>625031 Тюменская область город Тюмень проезд Шаимский дом 12/1   цокольный этаж</t>
  </si>
  <si>
    <t>ЮЛ770100193500936</t>
  </si>
  <si>
    <t>625049 Тюменская область город Тюмень улица Московский тракт дом 137/1</t>
  </si>
  <si>
    <t>ЮЛ770100193501001</t>
  </si>
  <si>
    <t>625035 Тюменская область город Тюмень улица Республики дом 174/1</t>
  </si>
  <si>
    <t>ЮЛ770100193501058</t>
  </si>
  <si>
    <t>ЮЛ770100193501064</t>
  </si>
  <si>
    <t>625016 Тюменская область город Тюмень улица Пермякова дом 50Б   помещение 6, 1 (первый) этаж</t>
  </si>
  <si>
    <t>ЮЛ770100193501096</t>
  </si>
  <si>
    <t>ЮЛ770100193501098</t>
  </si>
  <si>
    <t>626157 Тюменская область город Тобольск 7 микрорайон 30</t>
  </si>
  <si>
    <t>ЮЛ780300131300124</t>
  </si>
  <si>
    <t>626150 Тюменская область город Тобольск 8 микрорайон д. 41/1</t>
  </si>
  <si>
    <t>ЮЛ780300131300125</t>
  </si>
  <si>
    <t>627756 Тюменская область город Ишим улица Карла Маркса дом 31   часть нежилых помещений №№ 1-5</t>
  </si>
  <si>
    <t>ЮЛ780300131300126</t>
  </si>
  <si>
    <t>ЮЛ780300131300570</t>
  </si>
  <si>
    <t>ЮЛ780300331800097</t>
  </si>
  <si>
    <t>625000 Тюменская область город Тюмень улица Ленина дом 71/3</t>
  </si>
  <si>
    <t>ЮЛ780300323500170</t>
  </si>
  <si>
    <t>625027 Тюменская область город Тюмень улица Мельникайте дом 64/3   помещение с 1 по 14, 15а</t>
  </si>
  <si>
    <t>ЮЛ780300323500176</t>
  </si>
  <si>
    <t>625026 Тюменская область город Тюмень улица Мельникайте дом 101/1   помещения  с 27 по 30</t>
  </si>
  <si>
    <t>ЮЛ780300323500177</t>
  </si>
  <si>
    <t>625016 Тюменская область город Тюмень улица Пермякова дом 50Б   помещение 95, 96</t>
  </si>
  <si>
    <t>ЮЛ780300323500178</t>
  </si>
  <si>
    <t>625048 Тюменская область город Тюмень улица Республики дом 86/3   помещения  с 7 по 15</t>
  </si>
  <si>
    <t>ЮЛ780300323500179</t>
  </si>
  <si>
    <t>625035 Тюменская область город Тюмень улица Республики дом 174/2   помещения с 12 по 15, 15А</t>
  </si>
  <si>
    <t>ЮЛ780300323500180</t>
  </si>
  <si>
    <t>625001 Тюменская область город Тюмень улица Ямская дом 112/1   помещение 22</t>
  </si>
  <si>
    <t>ЮЛ780300323500181</t>
  </si>
  <si>
    <t>625040 Тюменская область город Тюмень улица Тимофея Чаркова дом 60   помещение 89</t>
  </si>
  <si>
    <t>ЮЛ780300323500182</t>
  </si>
  <si>
    <t>625046 Тюменская область город Тюмень улица Моторостроителей дом 4а/6</t>
  </si>
  <si>
    <t>ЮЛ780300308200184</t>
  </si>
  <si>
    <t>625007 Тюменская область город Тюмень улица Мельникайте дом 126 корпус 3  нежилое помещение - Остров ОЦ-16</t>
  </si>
  <si>
    <t>ЮЛ780300308200242</t>
  </si>
  <si>
    <t>625053 Тюменская область город Тюмень улица Широтная дом 199   нежилое помещение инв №2</t>
  </si>
  <si>
    <t>ЮЛ780300308200243</t>
  </si>
  <si>
    <t>625049 Тюменская область город Тюмень улица Московский тракт дом 118   остров 0-1-5</t>
  </si>
  <si>
    <t>ЮЛ780300308200259</t>
  </si>
  <si>
    <t>625016 Тюменская область город Тюмень улица Пермякова дом 50б   часть нежилого помещения №40</t>
  </si>
  <si>
    <t>ЮЛ780300308200260</t>
  </si>
  <si>
    <t>625035 Тюменская область город Тюмень улица Республики дом 174/2   часть нежилого помещения №7</t>
  </si>
  <si>
    <t>ЮЛ780300308200312</t>
  </si>
  <si>
    <t>627140 Тюменская область город Заводоуковск улица Первомайская дом 9Б</t>
  </si>
  <si>
    <t>ЮЛ780300308200406</t>
  </si>
  <si>
    <t>627014 Тюменская область город Ялуторовск улица Ленина дом 177 строение 1/3  помещение 1</t>
  </si>
  <si>
    <t>ЮЛ780300308200506</t>
  </si>
  <si>
    <t>625000 Тюменская область город Тюмень улица Ленина дом 71/5</t>
  </si>
  <si>
    <t>ЮЛ780300308200590</t>
  </si>
  <si>
    <t>625046 Тюменская область город Тюмень улица Широтная дом 112б</t>
  </si>
  <si>
    <t>ЮЛ780300308200618</t>
  </si>
  <si>
    <t>625033 Тюменская область город Тюмень улица Федюнинского 67   помещение R-1-57</t>
  </si>
  <si>
    <t>ЮЛ780300308200637</t>
  </si>
  <si>
    <t>ЮЛ780300308200667</t>
  </si>
  <si>
    <t>627756 Тюменская область город Ишим улица Карла Маркса дом 31</t>
  </si>
  <si>
    <t>ЮЛ780300308200756</t>
  </si>
  <si>
    <t>626150 Тюменская область город Тобольск  дом 41/1</t>
  </si>
  <si>
    <t>ЮЛ780300308200759</t>
  </si>
  <si>
    <t>625062 Тюменская область город Тюмень улица Дмитрия Менделеева дом 1а</t>
  </si>
  <si>
    <t>ЮЛ780300308200956</t>
  </si>
  <si>
    <t>625016 Тюменская область город Тюмень улица Пермякова дом 50б</t>
  </si>
  <si>
    <t>ЮЛ780300308200960</t>
  </si>
  <si>
    <t>625026 Тюменская область город Тюмень улица Мельникайте дом 101/5</t>
  </si>
  <si>
    <t>ЮЛ780300308200968</t>
  </si>
  <si>
    <t>ЮЛ780300308200977</t>
  </si>
  <si>
    <t>625022 Тюменская область город Тюмень улица Алебашевская дом 19   часть нежилого помещения в помещении №171</t>
  </si>
  <si>
    <t>ЮЛ780300308201141</t>
  </si>
  <si>
    <t>625000 Тюменская область город Тюмень улица Ленина дом 71</t>
  </si>
  <si>
    <t>ЮЛ780300363500227</t>
  </si>
  <si>
    <t>625027 Тюменская область город Тюмень улица Мельникайте дом 64</t>
  </si>
  <si>
    <t>ЮЛ780300363500228</t>
  </si>
  <si>
    <t>ЮЛ780300363500232</t>
  </si>
  <si>
    <t>625048 Тюменская область город Тюмень улица Республики дом 86 корпус 3</t>
  </si>
  <si>
    <t>ЮЛ780300363500233</t>
  </si>
  <si>
    <t>625035 Тюменская область город Тюмень улица Республики дом 174</t>
  </si>
  <si>
    <t>ЮЛ780300363500234</t>
  </si>
  <si>
    <t>ЮЛ780300363500235</t>
  </si>
  <si>
    <t>625001 Тюменская область город Тюмень улица Ямская дом 112/1   часть помещения 22</t>
  </si>
  <si>
    <t>ЮЛ780300363500236</t>
  </si>
  <si>
    <t>625026 Тюменская область город Тюмень улица Мельникайте дом 101   помещения 27, 28, 29, 30</t>
  </si>
  <si>
    <t>ЮЛ780300363500237</t>
  </si>
  <si>
    <t>628285 Тюменская область город Урай улица Ленина дом 81</t>
  </si>
  <si>
    <t>ИП Волков Андрей Михайлович</t>
  </si>
  <si>
    <t>860600115130</t>
  </si>
  <si>
    <t>ИП8607000342</t>
  </si>
  <si>
    <t>ИП860700034200000</t>
  </si>
  <si>
    <t>625033 Тюменская область город Тюмень улица Федюнинского дом 67   R-1-10</t>
  </si>
  <si>
    <t>ИП Садыков Айдар Зуфарович</t>
  </si>
  <si>
    <t>891301883752</t>
  </si>
  <si>
    <t>ИП8907016077</t>
  </si>
  <si>
    <t>ИП890701607700000</t>
  </si>
  <si>
    <t>625000 Тюменская область город Тюмень улица Республики дом 61   нежилые помещение на первом этаже</t>
  </si>
  <si>
    <t>ЮЛ770100439200132</t>
  </si>
  <si>
    <t>625062 Тюменская область город Тюмень улица Дмитрия Менделеева дом 1а   этаж 1 помещение 43</t>
  </si>
  <si>
    <t>ЮЛ770100439200183</t>
  </si>
  <si>
    <t>625007 Тюменская область город Тюмень улица Мельникайте дом 116 корпус 2  помещение 2.1.11</t>
  </si>
  <si>
    <t>ЮЛ770100439200247</t>
  </si>
  <si>
    <t>Удмуртская Республика</t>
  </si>
  <si>
    <t>427550 Удмуртская Республика поселок Балезино улица Советская дом 5</t>
  </si>
  <si>
    <t>ИП120600362800006</t>
  </si>
  <si>
    <t>427790 Удмуртская Республика город Можга улица Можгинская дом 62</t>
  </si>
  <si>
    <t>ИП120600362800017</t>
  </si>
  <si>
    <t>426011 Удмуртская Республика город Ижевск улица Милиционная дом 5</t>
  </si>
  <si>
    <t>ИП Черных Артур Александрович</t>
  </si>
  <si>
    <t>165032408882</t>
  </si>
  <si>
    <t>ИП1606036481</t>
  </si>
  <si>
    <t>ИП160603648100000</t>
  </si>
  <si>
    <t>427880 Удмуртская Республика село Алнаши улица Садовая дом 10   1 этаж</t>
  </si>
  <si>
    <t>ИП Смальцев Иван Леонидович</t>
  </si>
  <si>
    <t>180101216546</t>
  </si>
  <si>
    <t>ИП1806011705</t>
  </si>
  <si>
    <t>ИП180601170500000</t>
  </si>
  <si>
    <t>427730 Удмуртская Республика село Грахово улица Колпакова дом 16</t>
  </si>
  <si>
    <t>ЦЕНТРАЛЬНОЕ ПО</t>
  </si>
  <si>
    <t>1806005800</t>
  </si>
  <si>
    <t>ЮЛ1806014392</t>
  </si>
  <si>
    <t>ЮЛ180601439200000</t>
  </si>
  <si>
    <t>ЮЛ180601439200001</t>
  </si>
  <si>
    <t>427060 Удмуртская Республика Дебесы Андронова 18 в</t>
  </si>
  <si>
    <t>ИП Тронин Кирилл Александрович</t>
  </si>
  <si>
    <t>180701052628</t>
  </si>
  <si>
    <t>ИП1806000947</t>
  </si>
  <si>
    <t>ИП180600094700000</t>
  </si>
  <si>
    <t>427580 Удмуртская Республика Кез Ленина  44 А</t>
  </si>
  <si>
    <t>ИП Бутолин Андрей Михайлович</t>
  </si>
  <si>
    <t>181201824980</t>
  </si>
  <si>
    <t>ИП1806006815</t>
  </si>
  <si>
    <t>ИП180600681500000</t>
  </si>
  <si>
    <t>427060 Удмуртская Республика с.Дебесы Андронова 18 А</t>
  </si>
  <si>
    <t>ИП180600681500001</t>
  </si>
  <si>
    <t>426057 Удмуртская Республика г. Ижевск ул. Красноармейская д. 69   27</t>
  </si>
  <si>
    <t>ИП Дьячков Никита Александрович</t>
  </si>
  <si>
    <t>182101506841</t>
  </si>
  <si>
    <t>ИП1806040059</t>
  </si>
  <si>
    <t>ИП180604005900000</t>
  </si>
  <si>
    <t>427070 Удмуртская Республика село Шаркан улица Ленина дом 6</t>
  </si>
  <si>
    <t>Шарканское ПО</t>
  </si>
  <si>
    <t>1822004627</t>
  </si>
  <si>
    <t>ЮЛ1806019984</t>
  </si>
  <si>
    <t>ЮЛ180601998400000</t>
  </si>
  <si>
    <t>427960 Удмуртская Республика город Сарапул площадь Свободы дом 1</t>
  </si>
  <si>
    <t>ИП Николаев Александр Альбертович</t>
  </si>
  <si>
    <t>182700197656</t>
  </si>
  <si>
    <t>ИП1806008494</t>
  </si>
  <si>
    <t>ИП180600849400000</t>
  </si>
  <si>
    <t>427960 Удмуртская Республика город Сарапул улица Азина дом 28   нежилое помещение № 2</t>
  </si>
  <si>
    <t>ИП Гросс Елена Викторовна</t>
  </si>
  <si>
    <t>182700687555</t>
  </si>
  <si>
    <t>ИП1806005008</t>
  </si>
  <si>
    <t>ИП180600500800000</t>
  </si>
  <si>
    <t>427960 Удмуртская Республика город Сарапул улица Раскольникова дом 115</t>
  </si>
  <si>
    <t>ИП Агафонцева Мустафида Дульмагановна</t>
  </si>
  <si>
    <t>182700795173</t>
  </si>
  <si>
    <t>ИП1806005731</t>
  </si>
  <si>
    <t>ИП180600573100000</t>
  </si>
  <si>
    <t>427960 Удмуртская Республика город Сарапул улица Гагарина дом 34</t>
  </si>
  <si>
    <t>ИП180600573100001</t>
  </si>
  <si>
    <t>427974 Удмуртская Республика город Сарапул улица Горького дом 16   нежилое помещение</t>
  </si>
  <si>
    <t>ИП Балобанова Ольга Евдатовна</t>
  </si>
  <si>
    <t>182701549727</t>
  </si>
  <si>
    <t>ИП1806002693</t>
  </si>
  <si>
    <t>ИП180600269300000</t>
  </si>
  <si>
    <t>427790 Удмуртская Республика город Можга улица Наговицына дом 80   помещение 1,1а,13,14</t>
  </si>
  <si>
    <t>ИП180600269300001</t>
  </si>
  <si>
    <t>427433 Удмуртская Республика город Воткинск улица Энгельса дом 14   нежилое помещение</t>
  </si>
  <si>
    <t>ИП180600269300014</t>
  </si>
  <si>
    <t>427960 Удмуртская Республика город Сарапул Гагарина 29   нежилое помещение</t>
  </si>
  <si>
    <t>ИП180600269300021</t>
  </si>
  <si>
    <t>427433 Удмуртская Республика город Воткинск улица Ст.Разина дом 11   117, 126</t>
  </si>
  <si>
    <t>ИП Вострокнутов Олег Владимирович</t>
  </si>
  <si>
    <t>182804689469</t>
  </si>
  <si>
    <t>ИП1806001227</t>
  </si>
  <si>
    <t>ИП180600122700000</t>
  </si>
  <si>
    <t>427433 Удмуртская Республика город Воткинск улица Мира дом 3</t>
  </si>
  <si>
    <t>ИП180600122700001</t>
  </si>
  <si>
    <t>427433 Удмуртская Республика город Воткинск улица 1 Мая дом 77</t>
  </si>
  <si>
    <t>ИП180600122700002</t>
  </si>
  <si>
    <t>426068 Удмуртская Республика город Ижевск улица им Петрова дом 29</t>
  </si>
  <si>
    <t>ИП Решетникова Ирина Игоревна</t>
  </si>
  <si>
    <t>182806503529</t>
  </si>
  <si>
    <t>ИП1806011325</t>
  </si>
  <si>
    <t>ИП180601132500000</t>
  </si>
  <si>
    <t>426011 Удмуртская Республика город Ижевск улица Холмогорова дом 11   этаж № 1 помещения 214</t>
  </si>
  <si>
    <t>ИП180601132500001</t>
  </si>
  <si>
    <t>427140 Удмуртская Республика Игра Советская 51</t>
  </si>
  <si>
    <t>ИП Матвеев Владимир Юрьевич</t>
  </si>
  <si>
    <t>182910205920</t>
  </si>
  <si>
    <t>ИП1806007846</t>
  </si>
  <si>
    <t>ИП180600784600000</t>
  </si>
  <si>
    <t>427790 Удмуртская Республика город Можга переулок Кооперативный дом 12</t>
  </si>
  <si>
    <t>ИП Загуменнова Светлана Михайловна</t>
  </si>
  <si>
    <t>183001034241</t>
  </si>
  <si>
    <t>ИП1806004376</t>
  </si>
  <si>
    <t>ИП180600437600000</t>
  </si>
  <si>
    <t>426039 Удмуртская Республика город Ижевск Воткинское шоссе дом 156 помещение 1</t>
  </si>
  <si>
    <t>ИП Галеева Лариса Юрьевна</t>
  </si>
  <si>
    <t>183100046093</t>
  </si>
  <si>
    <t>ИП1806000403</t>
  </si>
  <si>
    <t>ИП180600040300000</t>
  </si>
  <si>
    <t>426011 Удмуртская Республика город Ижевск улица Пушкинская дом 365   офис 2</t>
  </si>
  <si>
    <t>ИП Коковихин Михаил Владимирович</t>
  </si>
  <si>
    <t>183100432846</t>
  </si>
  <si>
    <t>ИП1806002293</t>
  </si>
  <si>
    <t>ИП180600229300000</t>
  </si>
  <si>
    <t>426056 Удмуртская Республика город Ижевск улица Пушкинская дом 206</t>
  </si>
  <si>
    <t>ИП Платонова Тамара Леовна</t>
  </si>
  <si>
    <t>183100622702</t>
  </si>
  <si>
    <t>ИП1806001296</t>
  </si>
  <si>
    <t>ИП180600129600000</t>
  </si>
  <si>
    <t>426076 Удмуртская Республика город Ижевск улица Пушкинская дом 185</t>
  </si>
  <si>
    <t>ИП180600129600001</t>
  </si>
  <si>
    <t>426000 Удмуртская Республика город Ижевск улица Холмогорова дом 11</t>
  </si>
  <si>
    <t>ИП Переслыцких Алексей Сергеевич</t>
  </si>
  <si>
    <t>183100718450</t>
  </si>
  <si>
    <t>ИП1806036942</t>
  </si>
  <si>
    <t>ИП180603694200000</t>
  </si>
  <si>
    <t>426011 Удмуртская Республика город Ижевск улица Пушкинская  дом 280</t>
  </si>
  <si>
    <t>ИП Валиева Гульсина Абударовна</t>
  </si>
  <si>
    <t>183100793610</t>
  </si>
  <si>
    <t>ИП1806006099</t>
  </si>
  <si>
    <t>ИП180600609900000</t>
  </si>
  <si>
    <t>426000 Удмуртская Республика город Ижевск улица Ленина дом 144</t>
  </si>
  <si>
    <t>ИП180600609900001</t>
  </si>
  <si>
    <t>426076 Удмуртская Республика город Ижевск улица Пушкинская дом 185   офис 9</t>
  </si>
  <si>
    <t>ИП Шафидуллин Рустам Глюсович</t>
  </si>
  <si>
    <t>183113785408</t>
  </si>
  <si>
    <t>ИП1806000214</t>
  </si>
  <si>
    <t>ИП180600021400001</t>
  </si>
  <si>
    <t>426011 Удмуртская Республика город Ижевск улица Холмогорова дом 11</t>
  </si>
  <si>
    <t>ИП180600103900000</t>
  </si>
  <si>
    <t>426075 Удмуртская Республика Город Ижевск Улица Ленина Дом 138</t>
  </si>
  <si>
    <t>ИП180600103900002</t>
  </si>
  <si>
    <t>426000 Удмуртская Республика город Ижевск улица Карла Маркса дом 395</t>
  </si>
  <si>
    <t>1831152519</t>
  </si>
  <si>
    <t>ЮЛ1806001867</t>
  </si>
  <si>
    <t>ЮЛ180600186700000</t>
  </si>
  <si>
    <t>426008 Удмуртская Республика город Ижевск улица Ленина дом 7</t>
  </si>
  <si>
    <t>ЮЛ180600186700003</t>
  </si>
  <si>
    <t>426000 Удмуртская Республика ГОРОД ИЖЕВСК УЛИЦА Удмуртская 255б   ПОМЕЩ. 38</t>
  </si>
  <si>
    <t>ООО "ИНСАЙТ"</t>
  </si>
  <si>
    <t>1831192007</t>
  </si>
  <si>
    <t>ЮЛ1806007897</t>
  </si>
  <si>
    <t>ЮЛ180600789700000</t>
  </si>
  <si>
    <t>426008 Удмуртская Республика город Ижевск улица Баранова 87</t>
  </si>
  <si>
    <t>ЮЛ180600789700001</t>
  </si>
  <si>
    <t>ИП Мильчакова Надежда Кузьминична</t>
  </si>
  <si>
    <t>183200671710</t>
  </si>
  <si>
    <t>ИП1806041165</t>
  </si>
  <si>
    <t>ИП180604116500000</t>
  </si>
  <si>
    <t>ИП180600106400000</t>
  </si>
  <si>
    <t>426050 Удмуртская Республика город Ижевск улица Дзержинского дом 48А</t>
  </si>
  <si>
    <t>ИП180600106400001</t>
  </si>
  <si>
    <t>426006 Удмуртская Республика город Ижевск улица Клубная дом 54</t>
  </si>
  <si>
    <t>ИП180600106400002</t>
  </si>
  <si>
    <t>426068 Удмуртская Республика город Ижевск улица им Петрова дом 7</t>
  </si>
  <si>
    <t>ИП180600106400005</t>
  </si>
  <si>
    <t>426069 Удмуртская Республика город Ижевск улица 7-я Подлесная дом 71   офис 4</t>
  </si>
  <si>
    <t>ИП180600106400006</t>
  </si>
  <si>
    <t>426019 Удмуртская Республика город Ижевск улица Азина дом 149</t>
  </si>
  <si>
    <t>ИП180600106400007</t>
  </si>
  <si>
    <t>426003 Удмуртская Республика город Ижевск проезд Квартальный дом 86</t>
  </si>
  <si>
    <t>ООО "ЛОМБАРД "ИНВЕСТПРОМ"</t>
  </si>
  <si>
    <t>1832027158</t>
  </si>
  <si>
    <t>ЮЛ1806000328</t>
  </si>
  <si>
    <t>ЮЛ180600032800000</t>
  </si>
  <si>
    <t>426006 Удмуртская Республика город Ижевск улица Клубная дом 36</t>
  </si>
  <si>
    <t>ИП Асланов Юрий Джалтырович</t>
  </si>
  <si>
    <t>183206798015</t>
  </si>
  <si>
    <t>ИП1806004383</t>
  </si>
  <si>
    <t>ИП180600438300000</t>
  </si>
  <si>
    <t>426075 Удмуртская Республика город Ижевск улица Ленина дом 138   Жемчуг</t>
  </si>
  <si>
    <t>ИП180600438300001</t>
  </si>
  <si>
    <t>ИП180600438300002</t>
  </si>
  <si>
    <t>426075 Удмуртская Республика город Ижевск улица Ленина дом 138   Сорока</t>
  </si>
  <si>
    <t>ИП180600438300003</t>
  </si>
  <si>
    <t>426006 Удмуртская Республика город Ижевск Клубная 36   магазин "Жемчуг"</t>
  </si>
  <si>
    <t>ИП180600438300005</t>
  </si>
  <si>
    <t>426008 Удмуртская Республика г. Ижевск ул. Карла Маркса 177 - - -</t>
  </si>
  <si>
    <t>ИП Верняев Андрей Леонидович</t>
  </si>
  <si>
    <t>183208221135</t>
  </si>
  <si>
    <t>ИП1806000325</t>
  </si>
  <si>
    <t>ИП180600032500000</t>
  </si>
  <si>
    <t>426049 Удмуртская Республика город Ижевск улица Стадионная дом 25</t>
  </si>
  <si>
    <t>ООО "ЛОМБАРД НАРОДНЫЙ"</t>
  </si>
  <si>
    <t>1832095207</t>
  </si>
  <si>
    <t>ЮЛ1806006820</t>
  </si>
  <si>
    <t>ЮЛ180600682000000</t>
  </si>
  <si>
    <t>427820 Удмуртская Республика село Малая Пурга улица Советская дом 18</t>
  </si>
  <si>
    <t>ИП180600787200000</t>
  </si>
  <si>
    <t>426006 Удмуртская Республика город Ижевск улица Клубная дом 48</t>
  </si>
  <si>
    <t>ИП180600787200003</t>
  </si>
  <si>
    <t>426061 Удмуртская Республика город Ижевск улица Ворошилова дом 44</t>
  </si>
  <si>
    <t>ИП180600787200004</t>
  </si>
  <si>
    <t>426065 Удмуртская Республика город Ижевск улица Автозаводская дом 2а</t>
  </si>
  <si>
    <t>ИП180600787200005</t>
  </si>
  <si>
    <t>426019 Удмуртская Республика город Ижевск улица Азина 150</t>
  </si>
  <si>
    <t>ИП180600787200006</t>
  </si>
  <si>
    <t>426008 Удмуртская Республика город Ижевск улица Пастухова дом 37   офис 4</t>
  </si>
  <si>
    <t>1832117394</t>
  </si>
  <si>
    <t>ЮЛ1806000006</t>
  </si>
  <si>
    <t>ЮЛ180600000600000</t>
  </si>
  <si>
    <t>426053 Удмуртская Республика город Ижевск Ворошилова 32   101а</t>
  </si>
  <si>
    <t>ЮЛ180600000600001</t>
  </si>
  <si>
    <t>426004 Удмуртская Республика город Ижевск улица Пушкинская 185</t>
  </si>
  <si>
    <t>ИП Обухов Илья Алексеевич</t>
  </si>
  <si>
    <t>183212200709</t>
  </si>
  <si>
    <t>ИП1806001413</t>
  </si>
  <si>
    <t>ИП180600141300000</t>
  </si>
  <si>
    <t>427145 Удмуртская Республика поселок Игра улица Труда дом 4</t>
  </si>
  <si>
    <t>ИП Тарасова Альфия Римовна</t>
  </si>
  <si>
    <t>183300521109</t>
  </si>
  <si>
    <t>ИП1806008434</t>
  </si>
  <si>
    <t>ИП180600843400001</t>
  </si>
  <si>
    <t>427550 Удмуртская Республика поселок Балезино улица Ленина дом 4</t>
  </si>
  <si>
    <t>ИП180600843400003</t>
  </si>
  <si>
    <t>426008 Удмуртская Республика город Ижевск улица Кирова дом 142</t>
  </si>
  <si>
    <t>ИП Лукина Нина Николаевна</t>
  </si>
  <si>
    <t>183301106698</t>
  </si>
  <si>
    <t>ИП1806008099</t>
  </si>
  <si>
    <t>ИП180600809900000</t>
  </si>
  <si>
    <t>426004 Удмуртская Республика город Ижевск Ленина 48</t>
  </si>
  <si>
    <t>ООО "ЛОМБАРД ОЛНИ"</t>
  </si>
  <si>
    <t>1833015451</t>
  </si>
  <si>
    <t>ЮЛ1806001415</t>
  </si>
  <si>
    <t>ЮЛ180600141500000</t>
  </si>
  <si>
    <t>426008 Удмуртская Республика город Ижевск Удмуртская 304</t>
  </si>
  <si>
    <t>ИП Валеев Мударис Раисович</t>
  </si>
  <si>
    <t>183303123441</t>
  </si>
  <si>
    <t>ИП1806003724</t>
  </si>
  <si>
    <t>ИП180600372400000</t>
  </si>
  <si>
    <t>426009 Удмуртская Республика город Ижевск улица Ленина дом 136</t>
  </si>
  <si>
    <t>ИП180600372400001</t>
  </si>
  <si>
    <t>426008 Удмуртская Республика город Ижевск улица Удмуртская дом 255  Б</t>
  </si>
  <si>
    <t>ИП180600372400004</t>
  </si>
  <si>
    <t>426049 Удмуртская Республика город Ижевск улица Гагарина дом 49</t>
  </si>
  <si>
    <t>ИП Гараев Рафик Ракипович</t>
  </si>
  <si>
    <t>183308752274</t>
  </si>
  <si>
    <t>ИП1806033982</t>
  </si>
  <si>
    <t>ИП180603398200000</t>
  </si>
  <si>
    <t>426008 Удмуртская Республика город Ижевск улица им Вадима Сивкова дом 150</t>
  </si>
  <si>
    <t>ИП Егоров Леонид Анатольевич</t>
  </si>
  <si>
    <t>183312140757</t>
  </si>
  <si>
    <t>ИП1806032317</t>
  </si>
  <si>
    <t>ИП180603231700000</t>
  </si>
  <si>
    <t>426000 Удмуртская Республика город Ижевск Улица Баранова Дом 87</t>
  </si>
  <si>
    <t>ИП Трубицина Мария Султановна</t>
  </si>
  <si>
    <t>183313086301</t>
  </si>
  <si>
    <t>ИП1806036656</t>
  </si>
  <si>
    <t>ИП180603665600000</t>
  </si>
  <si>
    <t>426008 Удмуртская Республика город Ижевск улица Советская дом 15</t>
  </si>
  <si>
    <t>ИП Бурова Лариса Борисовна</t>
  </si>
  <si>
    <t>183400711128</t>
  </si>
  <si>
    <t>ИП1806001351</t>
  </si>
  <si>
    <t>ИП180600135100000</t>
  </si>
  <si>
    <t>426076 Удмуртская Республика город Ижевск улица Ленина дом 36</t>
  </si>
  <si>
    <t>ИП180600135100001</t>
  </si>
  <si>
    <t>426008 Удмуртская Республика город Ижевск улица Красноармейская дом 140</t>
  </si>
  <si>
    <t>ИП Леонтьев Антон Борисович</t>
  </si>
  <si>
    <t>183401337787</t>
  </si>
  <si>
    <t>ИП1806005025</t>
  </si>
  <si>
    <t>ИП180600502500000</t>
  </si>
  <si>
    <t>426073 Удмуртская Республика город Ижевск улица Союзная дом 10   блок 27-2</t>
  </si>
  <si>
    <t>ИП Мультановская Анастасия Александровна</t>
  </si>
  <si>
    <t>183405311902</t>
  </si>
  <si>
    <t>ИП1806004436</t>
  </si>
  <si>
    <t>ИП180600443600000</t>
  </si>
  <si>
    <t>426065 Удмуртская Республика город Ижевск улица им Петрова дом 14</t>
  </si>
  <si>
    <t>ИП Соловьев Андрей Владимирович</t>
  </si>
  <si>
    <t>183475525915</t>
  </si>
  <si>
    <t>ИП1806015832</t>
  </si>
  <si>
    <t>ИП180601583200000</t>
  </si>
  <si>
    <t>426054 Удмуртская Республика город Ижевск улица им 50-летия ВЛКСМ дом 49</t>
  </si>
  <si>
    <t>ИП180601583200001</t>
  </si>
  <si>
    <t>426000 Удмуртская Республика город Ижевск улица Пушкинская дом 283</t>
  </si>
  <si>
    <t>ИП180601583200002</t>
  </si>
  <si>
    <t>426063 Удмуртская Республика город Ижевск улица Орджоникидзе дом 21</t>
  </si>
  <si>
    <t>ИП Гурьянов Александр Вячеславович</t>
  </si>
  <si>
    <t>183511232353</t>
  </si>
  <si>
    <t>ИП1806019823</t>
  </si>
  <si>
    <t>ИП180601982300000</t>
  </si>
  <si>
    <t>426068 Удмуртская Республика г. Ижевск Петрова 29</t>
  </si>
  <si>
    <t>ИП Соломенникова Валентина Сергеевна</t>
  </si>
  <si>
    <t>183511680500</t>
  </si>
  <si>
    <t>ИП1806039577</t>
  </si>
  <si>
    <t>ИП180603957700000</t>
  </si>
  <si>
    <t>427140 Удмуртская Республика поселок Игра Советская 51</t>
  </si>
  <si>
    <t>ИП Набоков Константин Вячеславович</t>
  </si>
  <si>
    <t>183700503288</t>
  </si>
  <si>
    <t>ИП1806007809</t>
  </si>
  <si>
    <t>ИП180600780900000</t>
  </si>
  <si>
    <t>426000 Удмуртская Республика город Ижевск улица Максима Горького 69</t>
  </si>
  <si>
    <t>ООО Ижинвест-Ломбард</t>
  </si>
  <si>
    <t>1841007729</t>
  </si>
  <si>
    <t>ЮЛ1806004539</t>
  </si>
  <si>
    <t>ЮЛ180600453900000</t>
  </si>
  <si>
    <t>426069 Удмуртская Республика город Ижевск улица 30 лет Победы дом 19-а</t>
  </si>
  <si>
    <t>ЮЛ180600453900001</t>
  </si>
  <si>
    <t>426075 Удмуртская Республика город Ижевск улица Молодежная дом 82</t>
  </si>
  <si>
    <t>ЮЛ180600453900002</t>
  </si>
  <si>
    <t>426035 Удмуртская Республика город Ижевск улица Тимирязева дом 3</t>
  </si>
  <si>
    <t>ЮЛ180600453900003</t>
  </si>
  <si>
    <t>426004 Удмуртская Республика город Ижевск улица Ленина дом 41</t>
  </si>
  <si>
    <t>ЮЛ180600453900004</t>
  </si>
  <si>
    <t>426050 Удмуртская Республика город Ижевск улица 9 Января дом 259   помещение 36а</t>
  </si>
  <si>
    <t>ЮЛ180600453900005</t>
  </si>
  <si>
    <t>ООО "ДЕНЬГИ"</t>
  </si>
  <si>
    <t>1841008553</t>
  </si>
  <si>
    <t>ЮЛ1806037413</t>
  </si>
  <si>
    <t>ЮЛ180603741300000</t>
  </si>
  <si>
    <t>426008 Удмуртская Республика город Ижевск улица Петрова дом 14</t>
  </si>
  <si>
    <t>ЮЛ180603741300002</t>
  </si>
  <si>
    <t>426054 Удмуртская Республика город Ижевск улица Школьная дом 41</t>
  </si>
  <si>
    <t>ЮЛ180603741300004</t>
  </si>
  <si>
    <t>426028 Удмуртская Республика город Ижевск улица Гагарина дом 27</t>
  </si>
  <si>
    <t>ЮЛ180603741300005</t>
  </si>
  <si>
    <t>ООО "ЛОМБАРД АВТО"</t>
  </si>
  <si>
    <t>1841041705</t>
  </si>
  <si>
    <t>ЮЛ1806000173</t>
  </si>
  <si>
    <t>ЮЛ180600017300000</t>
  </si>
  <si>
    <t>ЮЛ180600017300001</t>
  </si>
  <si>
    <t>426073 Удмуртская Республика город Ижевск улица Молодежная дом 69</t>
  </si>
  <si>
    <t>ЮЛ180600017300002</t>
  </si>
  <si>
    <t>426050 Удмуртская Республика город Ижевск улица Дзержинского дом 48а</t>
  </si>
  <si>
    <t>ЮЛ180600017300004</t>
  </si>
  <si>
    <t>ЮЛ180600017300005</t>
  </si>
  <si>
    <t>426068 Удмуртская Республика город Ижевск улица им Петрова здание 31</t>
  </si>
  <si>
    <t>ООО "САМСОН"</t>
  </si>
  <si>
    <t>1841062977</t>
  </si>
  <si>
    <t>ЮЛ1806011777</t>
  </si>
  <si>
    <t>ЮЛ180601177700000</t>
  </si>
  <si>
    <t>427628 Удмуртская Республика город Глазов площадь Свободы дом 1</t>
  </si>
  <si>
    <t>ЮЛ180603136700003</t>
  </si>
  <si>
    <t>427260 Удмуртская Республика поселок Ува Энгельса 11</t>
  </si>
  <si>
    <t>ЮЛ180603136700004</t>
  </si>
  <si>
    <t>427433 Удмуртская Республика город Воткинск улица 1 Мая здание 49</t>
  </si>
  <si>
    <t>ЮЛ180603136700005</t>
  </si>
  <si>
    <t>427790 Удмуртская Республика город Можга площадь Базарная дом 16   помещение 8</t>
  </si>
  <si>
    <t>ЮЛ180603136700006</t>
  </si>
  <si>
    <t>427960 Удмуртская Республика город Сарапул улица Горького дом 15а строение 1</t>
  </si>
  <si>
    <t>ЮЛ180603136700007</t>
  </si>
  <si>
    <t>426008 Удмуртская Республика город Ижевск улица Кирова дом 146   помещение №192 и №190 - ТЦ Мой Порт</t>
  </si>
  <si>
    <t>ИП160600222400000</t>
  </si>
  <si>
    <t>426068 Удмуртская Республика город Ижевск улица им Петрова дом 29   помещение №44, №44а - ТЦ Петровский</t>
  </si>
  <si>
    <t>ИП160600222400002</t>
  </si>
  <si>
    <t>426006 Удмуртская Республика город Ижевск улица Баранова здание 87   часть помещения №219 - ТЦ Матрица</t>
  </si>
  <si>
    <t>ИП160600222400004</t>
  </si>
  <si>
    <t>427628 Удмуртская Республика город Глазов улица Первомайская дом 4   б/н на 2 этаже - ЦУМ (Топаз)</t>
  </si>
  <si>
    <t>ИП160600222400006</t>
  </si>
  <si>
    <t>427628 Удмуртская Республика город Глазов улица Первомайская дом 4   б/н на 2 этаже - ЦУМ (Яхонт)</t>
  </si>
  <si>
    <t>ИП160600222400007</t>
  </si>
  <si>
    <t>426008 Удмуртская Республика город Ижевск улица Удмуртская дом 255б   часть помещения №38 - ТЦ Флагман</t>
  </si>
  <si>
    <t>ИП160600222400009</t>
  </si>
  <si>
    <t>426008 Удмуртская Республика город Ижевск улица Красноармейская дом 138</t>
  </si>
  <si>
    <t>ИП500101774600000</t>
  </si>
  <si>
    <t>426008 Удмуртская Республика город Ижевск переулок Широкий дом 53</t>
  </si>
  <si>
    <t>ИП500101774600008</t>
  </si>
  <si>
    <t>427260 Удмуртская Республика поселок Ува улица Энгельса дом 11   помещение №25</t>
  </si>
  <si>
    <t>ИП440200426400004</t>
  </si>
  <si>
    <t>427433 Удмуртская Республика город Воткинск улица 1 Мая дом 77   22</t>
  </si>
  <si>
    <t>ИП440200426400036</t>
  </si>
  <si>
    <t>426008 Удмуртская Республика город Ижевск улица Карла Маркса дом 191   часть помещения 21, помещения 26, 29</t>
  </si>
  <si>
    <t>ИП630601425400004</t>
  </si>
  <si>
    <t>ИП630601425400017</t>
  </si>
  <si>
    <t>426034 Удмуртская Республика город Ижевск улица Удмуртская дом 304</t>
  </si>
  <si>
    <t>ИП630601425400022</t>
  </si>
  <si>
    <t>ИП630601425400048</t>
  </si>
  <si>
    <t>427260 Удмуртская Республика поселок Ува улица Энгельса 15а корпус/строение ххх  офис/помещение ххх</t>
  </si>
  <si>
    <t>ИП Созыкин</t>
  </si>
  <si>
    <t>660100075653</t>
  </si>
  <si>
    <t>ИП1806016145</t>
  </si>
  <si>
    <t>ИП180601614500000</t>
  </si>
  <si>
    <t>426008 Удмуртская Республика город Ижевск улица Пастухова дом 37   помещения 32-36</t>
  </si>
  <si>
    <t>ЮЛ660700788800008</t>
  </si>
  <si>
    <t>426008 Удмуртская Республика город Ижевск улица имени Вадима Сивкова дом 150</t>
  </si>
  <si>
    <t>ИП Дмитриева Юлия Юрьевна</t>
  </si>
  <si>
    <t>691408339606</t>
  </si>
  <si>
    <t>ИП1806001712</t>
  </si>
  <si>
    <t>ИП180600171200000</t>
  </si>
  <si>
    <t>426008 Удмуртская Республика город Ижевск улица Удмуртская дом 255б   этаж 1, нежилое помещение №58г</t>
  </si>
  <si>
    <t>ЮЛ770101216600399</t>
  </si>
  <si>
    <t>426008 Удмуртская Республика город Ижевск улица Карла Маркса дом 191  Литер А этаж 1</t>
  </si>
  <si>
    <t>ЮЛ770101216600504</t>
  </si>
  <si>
    <t>426006 Удмуртская Республика город Ижевск улица Баранова дом 87   этаж 1, нежилые помещения № 324, 324а</t>
  </si>
  <si>
    <t>ЮЛ770101216600623</t>
  </si>
  <si>
    <t>426008 Удмуртская Республика город Ижевск улица Кирова дом 146   1 этаж, нежилое помещение № 125.1</t>
  </si>
  <si>
    <t>ЮЛ770101216600821</t>
  </si>
  <si>
    <t>426068 Удмуртская Республика город Ижевск улица им Петрова дом 29   1 этаж, нежилое помещение № 51, 52, 58</t>
  </si>
  <si>
    <t>ЮЛ770101216600912</t>
  </si>
  <si>
    <t>426008 Удмуртская Республика город Ижевск улица Карла Маркса дом 191</t>
  </si>
  <si>
    <t>ЮЛ770100419400063</t>
  </si>
  <si>
    <t>426011 Удмуртская Республика город Ижевск улица Холмогорова дом 11   часть помещения 335, 2 (второй) этаж</t>
  </si>
  <si>
    <t>ЮЛ770100193500301</t>
  </si>
  <si>
    <t>426006 Удмуртская Республика город Ижевск улица Баранова дом 87   помещения № 326, 326а</t>
  </si>
  <si>
    <t>ЮЛ770100193500302</t>
  </si>
  <si>
    <t>426068 Удмуртская Республика город Ижевск улица Петрова дом 29   помещение № 78,79, этаж 1 (первый)</t>
  </si>
  <si>
    <t>ЮЛ770100193500612</t>
  </si>
  <si>
    <t>426008 Удмуртская Республика город Ижевск улица Кирова дом 146   помещение № 123, этаж 1 (первый)</t>
  </si>
  <si>
    <t>ЮЛ770100193500698</t>
  </si>
  <si>
    <t>427433 Удмуртская Республика город Воткинск улица 1 Мая дом 77   часть нежилого помещения вн.№ 1, этаж 1 (первый)</t>
  </si>
  <si>
    <t>ЮЛ770100193500788</t>
  </si>
  <si>
    <t>427433 Удмуртская Республика город Воткинск улица 1 Мая дом 108   1 этаж</t>
  </si>
  <si>
    <t>ИП780300226000005</t>
  </si>
  <si>
    <t>426008 Удмуртская Республика город Ижевск улица Красноармейская дом 140   часть нежилого помещения №13, нежилые помещения 6, 14, 15, 16, 42</t>
  </si>
  <si>
    <t>ЮЛ780300308200282</t>
  </si>
  <si>
    <t>427960 Удмуртская Республика город Сарапул улица Советская дом 1   часть нежилого помещения 4</t>
  </si>
  <si>
    <t>ЮЛ780300308200380</t>
  </si>
  <si>
    <t>427621 Удмуртская Республика город Глазов площадь Свободы дом 7а   часть нежилого помещения 1</t>
  </si>
  <si>
    <t>ЮЛ780300308200478</t>
  </si>
  <si>
    <t>427433 Удмуртская Республика город Воткинск улица 1 Мая дом 108   часть нежилого помещения №2</t>
  </si>
  <si>
    <t>ЮЛ780300308200907</t>
  </si>
  <si>
    <t>426068 Удмуртская Республика город Ижевск улица им Петрова дом 29   помещения № 42,42а</t>
  </si>
  <si>
    <t>ЮЛ780300308201119</t>
  </si>
  <si>
    <t>426008 Удмуртская Республика город Ижевск улица Удмуртская здание 255Л   помещение № В10</t>
  </si>
  <si>
    <t>ЮЛ780300308201225</t>
  </si>
  <si>
    <t>ИП Мультановская Елена Семеновна</t>
  </si>
  <si>
    <t>861000889310</t>
  </si>
  <si>
    <t>ИП1806004305</t>
  </si>
  <si>
    <t>ИП180600430500000</t>
  </si>
  <si>
    <t>Ульяновская область</t>
  </si>
  <si>
    <t>433750 Ульяновская область город Барыш улица Красноармейская дом 37   помещение 1</t>
  </si>
  <si>
    <t>ИП120600362800011</t>
  </si>
  <si>
    <t>432072 Ульяновская область город Ульяновск проспект Ульяновский дом 16</t>
  </si>
  <si>
    <t>ИП350300596400010</t>
  </si>
  <si>
    <t>432071 Ульяновская область город Ульяновск улица Радищева дом 39</t>
  </si>
  <si>
    <t>ИП350300596400011</t>
  </si>
  <si>
    <t>432030 Ульяновская область город Ульяновск проспект Нариманова здание 75</t>
  </si>
  <si>
    <t>ИП350300596400012</t>
  </si>
  <si>
    <t>432049 Ульяновская область город Ульяновск шоссе Московское дом 108   помещение №109, этаж 1</t>
  </si>
  <si>
    <t>ЮЛ480100215000011</t>
  </si>
  <si>
    <t>432072 Ульяновская область город Ульяновск проспект Ульяновский дом 5А   пом. 32-35, часть пом.36,37,39</t>
  </si>
  <si>
    <t>ЮЛ480100215000029</t>
  </si>
  <si>
    <t>433508 Ульяновская область город Димитровград улица Куйбышева  здание 170  помещение №22 на 1-ом этаже</t>
  </si>
  <si>
    <t>ЮЛ480100215000046</t>
  </si>
  <si>
    <t>432049 Ульяновская область город Ульяновск шоссе Московское здание 108</t>
  </si>
  <si>
    <t>ИП500100445500086</t>
  </si>
  <si>
    <t>433504 Ульяновская область город Димитровград улица Юнг Северного Флота здание 8</t>
  </si>
  <si>
    <t>ИП440200426400028</t>
  </si>
  <si>
    <t>432000 Ульяновская область город Ульяновск проспект Ульяновский дом 1   помещение №5</t>
  </si>
  <si>
    <t>ЮЛ520603376600125</t>
  </si>
  <si>
    <t>432000 Ульяновская область город Ульяновск шоссе Московское дом 108   помещение №342</t>
  </si>
  <si>
    <t>ЮЛ520603376600163</t>
  </si>
  <si>
    <t>432049 Ульяновская область город Ульяновск шоссе Московское дом 108   пом. 241</t>
  </si>
  <si>
    <t>ИП520600697000003</t>
  </si>
  <si>
    <t>432000 Ульяновская область город Ульяновск улица Дворцовая дом 6   Jolie</t>
  </si>
  <si>
    <t>ИП520600697000008</t>
  </si>
  <si>
    <t>432017 Ульяновская область город Ульяновск улица Гончарова дом 26/22</t>
  </si>
  <si>
    <t>ИП520600697000011</t>
  </si>
  <si>
    <t>432000 Ульяновская область город Ульяновск улица Дворцовая дом 6   МЮЗ</t>
  </si>
  <si>
    <t>ИП520600697000021</t>
  </si>
  <si>
    <t>432005 Ульяновская область город Ульяновск шоссе Московское дом 108   помещение 241</t>
  </si>
  <si>
    <t>ИП520601790200004</t>
  </si>
  <si>
    <t>433870 Ульяновская область рабочий поселок Новоспасское площадь Макаренко домовладение 26Б</t>
  </si>
  <si>
    <t>ИП580603421800000</t>
  </si>
  <si>
    <t>433508 Ульяновская область город Димитровград улица Хмельницкого дом 100</t>
  </si>
  <si>
    <t>ИП630603381400019</t>
  </si>
  <si>
    <t>433513 Ульяновская область город Димитровград улица Московская дом 60а</t>
  </si>
  <si>
    <t>ИП630603381400020</t>
  </si>
  <si>
    <t>433508 Ульяновская область город Димитровград улица Куйбышева здание 170</t>
  </si>
  <si>
    <t>ИП630603381400022</t>
  </si>
  <si>
    <t>432059 Ульяновская область город Ульяновск проспект Ульяновский дом 1   нежилое помещение № 6</t>
  </si>
  <si>
    <t>ИП630601425400065</t>
  </si>
  <si>
    <t>432049 Ульяновская область город Ульяновск шоссе Московское дом 108</t>
  </si>
  <si>
    <t>ИП630601425400069</t>
  </si>
  <si>
    <t>433030 Ульяновская область город Инза улица Труда дом 23А   Ювелирный</t>
  </si>
  <si>
    <t>ИП Феоктистова Виктория Владимировна</t>
  </si>
  <si>
    <t>631802860921</t>
  </si>
  <si>
    <t>ИП7306011169</t>
  </si>
  <si>
    <t>ИП730601116900000</t>
  </si>
  <si>
    <t>ИП630600550300001</t>
  </si>
  <si>
    <t>ИП630600550300006</t>
  </si>
  <si>
    <t>ИП630600550300007</t>
  </si>
  <si>
    <t>432042 Ульяновская область город Ульяновск улица Станкостроителей дом 25А</t>
  </si>
  <si>
    <t>ЮЛ630603373600022</t>
  </si>
  <si>
    <t>432010 Ульяновская область город Ульяновск улица 40-летия Октября дом 25</t>
  </si>
  <si>
    <t>ЮЛ630603373600026</t>
  </si>
  <si>
    <t>433513 Ульяновская область город Димитровград проспект Автостроителей здание 51в/1</t>
  </si>
  <si>
    <t>ЮЛ630603037200031</t>
  </si>
  <si>
    <t>432072 Ульяновская область город Ульяновск проспект Ульяновский дом 6</t>
  </si>
  <si>
    <t>ЮЛ630603037200038</t>
  </si>
  <si>
    <t>433512 Ульяновская область город Димитровград проспект Ленина дом 36</t>
  </si>
  <si>
    <t>ЮЛ630603037200041</t>
  </si>
  <si>
    <t>432042 Ульяновская область город Ульяновск улица Станкостроителей дом 25</t>
  </si>
  <si>
    <t>ЮЛ630603037200049</t>
  </si>
  <si>
    <t>433501 Ульяновская область город Димитровград улица Гагарина строение 22А</t>
  </si>
  <si>
    <t>ЮЛ630603037200054</t>
  </si>
  <si>
    <t>432034 Ульяновская область город Ульяновск проспект 50-летия ВЛКСМ дом 1А</t>
  </si>
  <si>
    <t>ЮЛ630603037200059</t>
  </si>
  <si>
    <t>432049 Ульяновская область ульяновск московское шоссе 108</t>
  </si>
  <si>
    <t>ООО "ЖАСМИН"</t>
  </si>
  <si>
    <t>7300003559</t>
  </si>
  <si>
    <t>ЮЛ7306030327</t>
  </si>
  <si>
    <t>ЮЛ730603032700000</t>
  </si>
  <si>
    <t>432031 Ульяновская область город Ульяновск Димитровградское шоссе дом 8А  помещение 2</t>
  </si>
  <si>
    <t>ООО "ТЕПЛО"</t>
  </si>
  <si>
    <t>7300009342</t>
  </si>
  <si>
    <t>ЮЛ7306035165</t>
  </si>
  <si>
    <t>ЮЛ730603516500000</t>
  </si>
  <si>
    <t>433750 Ульяновская область город Барыш улица Советская дом 51Б</t>
  </si>
  <si>
    <t>ИП Маврина Эльвира Константиновна</t>
  </si>
  <si>
    <t>730100032808</t>
  </si>
  <si>
    <t>ИП7306032354</t>
  </si>
  <si>
    <t>ИП730603235400000</t>
  </si>
  <si>
    <t>433508 Ульяновская область город Димитровград улица Гагарина домовладение 1</t>
  </si>
  <si>
    <t>ИП Подкопытова Наталья Вячеславовна</t>
  </si>
  <si>
    <t>730204343276</t>
  </si>
  <si>
    <t>ИП7306001138</t>
  </si>
  <si>
    <t>ИП730600113800000</t>
  </si>
  <si>
    <t>433512 Ульяновская область город Димитровград проспект Ленина 35 Б</t>
  </si>
  <si>
    <t>ИП730600113800002</t>
  </si>
  <si>
    <t>433030 Ульяновская область город Инза улица Тухачевского дом 19</t>
  </si>
  <si>
    <t>ИП Сизиков Евгений Александрович</t>
  </si>
  <si>
    <t>730600220091</t>
  </si>
  <si>
    <t>ИП7306032351</t>
  </si>
  <si>
    <t>ИП730603235100000</t>
  </si>
  <si>
    <t>433760 Ульяновская область рабочий поселок Кузоватово улица Октябрьская дом 4В</t>
  </si>
  <si>
    <t>ИП Никитин Дмитрий Анатольевич</t>
  </si>
  <si>
    <t>730801786850</t>
  </si>
  <si>
    <t>ИП7306014727</t>
  </si>
  <si>
    <t>ИП730601472700000</t>
  </si>
  <si>
    <t>433870 Ульяновская область рабочий поселок Новоспасское улица Победы домовладение 38</t>
  </si>
  <si>
    <t>ИП Шаюков Ринат Адельшевич</t>
  </si>
  <si>
    <t>731300731058</t>
  </si>
  <si>
    <t>ИП7306008882</t>
  </si>
  <si>
    <t>ИП730600888200000</t>
  </si>
  <si>
    <t>433380 Ульяновская область Сенгилей Ленина 43   9</t>
  </si>
  <si>
    <t>ИП Богданова Оксана Александровна</t>
  </si>
  <si>
    <t>731601853420</t>
  </si>
  <si>
    <t>ИП7306035071</t>
  </si>
  <si>
    <t>ИП730603507100000</t>
  </si>
  <si>
    <t>432071 Ульяновская область город Ульяновск улица Дворцовая дом 4А/1   1 этаж, часть нежилого помещения № 8</t>
  </si>
  <si>
    <t>ИП Шалашова Татьяна Владимировна</t>
  </si>
  <si>
    <t>732500013105</t>
  </si>
  <si>
    <t>ИП7306000566</t>
  </si>
  <si>
    <t>ИП730600056600000</t>
  </si>
  <si>
    <t>433508 Ульяновская область Димитровград Ленина 35  Б</t>
  </si>
  <si>
    <t>ИП Меженина Людмила Ивановна</t>
  </si>
  <si>
    <t>732500185224</t>
  </si>
  <si>
    <t>ИП7306005789</t>
  </si>
  <si>
    <t>ИП730600578900000</t>
  </si>
  <si>
    <t>432071 Ульяновская область город Ульяновск улица Марата дом 43 корпус 2</t>
  </si>
  <si>
    <t>ИП Корунков Александр Юрьевич</t>
  </si>
  <si>
    <t>732501520130</t>
  </si>
  <si>
    <t>ИП7306011405</t>
  </si>
  <si>
    <t>ИП730601140500000</t>
  </si>
  <si>
    <t>432028 Ульяновская область город Ульяновск проспект 50-летия ВЛКСМ дом 21</t>
  </si>
  <si>
    <t>ИП730601140500001</t>
  </si>
  <si>
    <t>433460 Ульяновская область рабочий поселок Старая Майна улица Гоголя дом 26</t>
  </si>
  <si>
    <t>ИП730600488200000</t>
  </si>
  <si>
    <t>433030 Ульяновская область город Инза улица Тухачевского дом 26А</t>
  </si>
  <si>
    <t>ИП Толочманова Людмила Ильинична</t>
  </si>
  <si>
    <t>732505154438</t>
  </si>
  <si>
    <t>ИП7306001755</t>
  </si>
  <si>
    <t>ИП730600175500000</t>
  </si>
  <si>
    <t>433210 Ульяновская область рабочий поселок Карсун улица Тельмана дом 5А</t>
  </si>
  <si>
    <t>ИП730600175500001</t>
  </si>
  <si>
    <t>433400 Ульяновская область рабочий поселок Чердаклы улица Советская дом 28</t>
  </si>
  <si>
    <t>ИП730600175500005</t>
  </si>
  <si>
    <t>433130 Ульяновская область рабочий поселок Майна улица Советская 10</t>
  </si>
  <si>
    <t>ИП730600175500007</t>
  </si>
  <si>
    <t>432031 Ульяновская область Ульяновск Димитровградское шоссе 8А</t>
  </si>
  <si>
    <t>ООО "ГОЛДЕН ГЛОБ"</t>
  </si>
  <si>
    <t>7325058694</t>
  </si>
  <si>
    <t>ЮЛ7306003232</t>
  </si>
  <si>
    <t>ЮЛ730600323200000</t>
  </si>
  <si>
    <t>432028 Ульяновская область город Ульяновск улица Октябрьская дом 22Р   помещение 3</t>
  </si>
  <si>
    <t>ИП Хасанова Роза Абдуловна</t>
  </si>
  <si>
    <t>732506417697</t>
  </si>
  <si>
    <t>ИП7306037422</t>
  </si>
  <si>
    <t>ИП730603742200000</t>
  </si>
  <si>
    <t>432064 Ульяновская область город Ульяновск Авиастроителей проспект дом 7А</t>
  </si>
  <si>
    <t>ООО ЗАЛОГОВЫЙ ДОМ</t>
  </si>
  <si>
    <t>7325144262</t>
  </si>
  <si>
    <t>ЮЛ7306033647</t>
  </si>
  <si>
    <t>ЮЛ730603364700000</t>
  </si>
  <si>
    <t>432064 Ульяновская область город Ульяновск проспект Авиастроителей 7А</t>
  </si>
  <si>
    <t>ЮЛ730603364700001</t>
  </si>
  <si>
    <t>432031 Ульяновская область город Ульяновск улица Краснопролетарская дом 16</t>
  </si>
  <si>
    <t>ЮЛ730603364700002</t>
  </si>
  <si>
    <t>432000 Ульяновская область город Ульяновск улица Гончарова дом 21</t>
  </si>
  <si>
    <t>ИП730601179100000</t>
  </si>
  <si>
    <t>433870 Ульяновская область рабочий поселок Новоспасское улица Мира домовладение 32</t>
  </si>
  <si>
    <t>ИП730601179100002</t>
  </si>
  <si>
    <t>ИП730601179100003</t>
  </si>
  <si>
    <t>432054 Ульяновская область город Ульяновск улица Рябикова дом 70</t>
  </si>
  <si>
    <t>ИП730601179100004</t>
  </si>
  <si>
    <t>432054 Ульяновская область город Ульяновск улица Рябикова дом 70А</t>
  </si>
  <si>
    <t>ИП730601179100005</t>
  </si>
  <si>
    <t>433400 Ульяновская область рабочий поселок Чердаклы улица Советская домовладение 30</t>
  </si>
  <si>
    <t>ИП730601179100006</t>
  </si>
  <si>
    <t>433360 Ульяновская область рабочий поселок Тереньга улица Ульяновская здание 22</t>
  </si>
  <si>
    <t>ИП730601179100008</t>
  </si>
  <si>
    <t>433870 Ульяновская область рабочий поселок Новоспасское Мира 17</t>
  </si>
  <si>
    <t>ИП730601179100010</t>
  </si>
  <si>
    <t>432032 Ульяновская область город Ульяновск улица Полбина дом 48</t>
  </si>
  <si>
    <t>ИП Мангушев Дамир Ильясович</t>
  </si>
  <si>
    <t>732600173800</t>
  </si>
  <si>
    <t>ИП7306002971</t>
  </si>
  <si>
    <t>ИП730600297100000</t>
  </si>
  <si>
    <t>432011 Ульяновская область город Ульяновск улица Средний Венец дом 23</t>
  </si>
  <si>
    <t>ИП730600297100004</t>
  </si>
  <si>
    <t>432035 Ульяновская область город Ульяновск улица Локомотивная дом 207</t>
  </si>
  <si>
    <t>ИП730600297100006</t>
  </si>
  <si>
    <t>432007 Ульяновская область город Ульяновск ул.Краснопролетарская 16</t>
  </si>
  <si>
    <t>ИП Исланова Светлана Александровна</t>
  </si>
  <si>
    <t>732607356176</t>
  </si>
  <si>
    <t>ИП7306034795</t>
  </si>
  <si>
    <t>ИП730603479500000</t>
  </si>
  <si>
    <t>432045 Ульяновская область город Ульяновск шоссе Московское дом 1Б</t>
  </si>
  <si>
    <t>ИП Чулян Аветис Арутюнович</t>
  </si>
  <si>
    <t>732700055600</t>
  </si>
  <si>
    <t>ИП7306034396</t>
  </si>
  <si>
    <t>ИП730603439600000</t>
  </si>
  <si>
    <t>432000 Ульяновская область город Ульяновск улица Гончарова дом 34</t>
  </si>
  <si>
    <t>ИП Евланов Евгений Александрович</t>
  </si>
  <si>
    <t>732700225026</t>
  </si>
  <si>
    <t>ИП7306031786</t>
  </si>
  <si>
    <t>ИП730603178600000</t>
  </si>
  <si>
    <t>432044 Ульяновская область город Ульяновск улица Хрустальная дом 19Б</t>
  </si>
  <si>
    <t>ИП Измайлов Андрей Рафикович</t>
  </si>
  <si>
    <t>732707322847</t>
  </si>
  <si>
    <t>ИП7306002350</t>
  </si>
  <si>
    <t>ИП730600235000000</t>
  </si>
  <si>
    <t>432031 Ульяновская область город Ульяновск Димитровградское шоссе 8А   офис 3</t>
  </si>
  <si>
    <t>ООО "СЕРМОНТА+"</t>
  </si>
  <si>
    <t>7327092796</t>
  </si>
  <si>
    <t>ЮЛ7306000555</t>
  </si>
  <si>
    <t>ЮЛ730600055500000</t>
  </si>
  <si>
    <t>432029 Ульяновская область город Ульяновск улица Камышинская дом 25 корпус 1  помещение 3</t>
  </si>
  <si>
    <t>ООО "УЛЮВЕЛИР"</t>
  </si>
  <si>
    <t>7327095571</t>
  </si>
  <si>
    <t>ЮЛ7306005887</t>
  </si>
  <si>
    <t>ЮЛ730600588700000</t>
  </si>
  <si>
    <t>432035 Ульяновская область город Ульяновск улица Героев Свири дом 10</t>
  </si>
  <si>
    <t>ИП Батяева Мария Михайловна</t>
  </si>
  <si>
    <t>732719260289</t>
  </si>
  <si>
    <t>ИП7306039295</t>
  </si>
  <si>
    <t>ИП730603929500000</t>
  </si>
  <si>
    <t>433508 Ульяновская область город Димитровград Улица Гагарина Дом 12</t>
  </si>
  <si>
    <t>ИП Устимова Юлия Валерьевна</t>
  </si>
  <si>
    <t>732800391355</t>
  </si>
  <si>
    <t>ИП7306008993</t>
  </si>
  <si>
    <t>ИП730600899300000</t>
  </si>
  <si>
    <t>432072 Ульяновская область город Ульяновск проспект Ульяновский дом 12</t>
  </si>
  <si>
    <t>ООО "ПОСКОМ"</t>
  </si>
  <si>
    <t>7328013162</t>
  </si>
  <si>
    <t>ЮЛ7306001521</t>
  </si>
  <si>
    <t>ЮЛ730600152100000</t>
  </si>
  <si>
    <t>432072 Ульяновская область город Ульяновск проспект Ленинского Комсомола дом 43</t>
  </si>
  <si>
    <t>ООО "ЛОМБАРД "АЛМАЗ-ХОЛДИНГ"</t>
  </si>
  <si>
    <t>7328049296</t>
  </si>
  <si>
    <t>ЮЛ7306000313</t>
  </si>
  <si>
    <t>ЮЛ730600031300000</t>
  </si>
  <si>
    <t>432072 Ульяновская область город Ульяновск проспект Ульяновский дом 14 строение 1</t>
  </si>
  <si>
    <t>ООО ЛОМБАРД "ЗОЛОТАЯ ЗВЕЗДА +"</t>
  </si>
  <si>
    <t>7328082039</t>
  </si>
  <si>
    <t>ЮЛ7306000751</t>
  </si>
  <si>
    <t>ЮЛ730600075100000</t>
  </si>
  <si>
    <t>432072 Ульяновская область город Ульяновск проспект Ленинского Комсомола дом 14   помещение №146</t>
  </si>
  <si>
    <t>ООО "СИМБИРСКИЙ ЛОМБАРД "СВЕТЛАНА"</t>
  </si>
  <si>
    <t>7328511087</t>
  </si>
  <si>
    <t>ЮЛ7306008010</t>
  </si>
  <si>
    <t>ЮЛ730600801000000</t>
  </si>
  <si>
    <t>432000 Ульяновская область город Ульяновск улица Гончарова дом 24.1</t>
  </si>
  <si>
    <t>ИП Козлов Никита Иванович</t>
  </si>
  <si>
    <t>732898636908</t>
  </si>
  <si>
    <t>ИП7306007249</t>
  </si>
  <si>
    <t>ИП730600724900000</t>
  </si>
  <si>
    <t>ИП730600724900001</t>
  </si>
  <si>
    <t>432059 Ульяновская область город Ульяновск проспект Ульяновский  дом 1</t>
  </si>
  <si>
    <t>ИП730600724900002</t>
  </si>
  <si>
    <t>432030 Ульяновская область город Ульяновск проспект Нариманова дом 75 строение 1</t>
  </si>
  <si>
    <t>ИП730600724900003</t>
  </si>
  <si>
    <t>432044 Ульяновская область город Ульяновск улица Хрустальная дом 31/1</t>
  </si>
  <si>
    <t>ИП730600724900004</t>
  </si>
  <si>
    <t>ИП730600724900005</t>
  </si>
  <si>
    <t>433508 Ульяновская область город Димитровград улица Гагарина дом 11</t>
  </si>
  <si>
    <t>ЮЛ770100201500538</t>
  </si>
  <si>
    <t>432045 Ульяновская область город Ульяновск улица Рябикова дом 60А</t>
  </si>
  <si>
    <t>ЮЛ770100201500588</t>
  </si>
  <si>
    <t>432072 Ульяновская область город Ульяновск проспект Ульяновский дом 6   помещение  18, 96, этаж 1</t>
  </si>
  <si>
    <t>ЮЛ770101216600200</t>
  </si>
  <si>
    <t>432071 Ульяновская область город Ульяновск улица Дворцовая дом 4А/1   помещение 8, этаж 1</t>
  </si>
  <si>
    <t>ЮЛ770101216600269</t>
  </si>
  <si>
    <t>432049 Ульяновская область город Ульяновск шоссе Московское здание 108   этаж 1, часть помещения 346</t>
  </si>
  <si>
    <t>ЮЛ770101216600342</t>
  </si>
  <si>
    <t>432059 Ульяновская область город Ульяновск проспект Ульяновский дом 1   этаж 1, часть помещения № 162</t>
  </si>
  <si>
    <t>ЮЛ770101216600426</t>
  </si>
  <si>
    <t>432032 Ульяновская область город Ульяновск шоссе Московское дом 91   этаж 1, часть помещения №11</t>
  </si>
  <si>
    <t>ЮЛ770101216600478</t>
  </si>
  <si>
    <t>433508 Ульяновская область город Димитровград улица Куйбышева здание 170   этаж 1, часть помещения №301</t>
  </si>
  <si>
    <t>ЮЛ770101216600523</t>
  </si>
  <si>
    <t>432059 Ульяновская область город Ульяновск проспект Ульяновский дом 1   1 этаж, нежилое помещение №163</t>
  </si>
  <si>
    <t>ЮЛ770101216600902</t>
  </si>
  <si>
    <t>ЮЛ770100419400091</t>
  </si>
  <si>
    <t>432049 Ульяновская область город Ульяновск шоссе Московское дом 108   помещение № 346</t>
  </si>
  <si>
    <t>ЮЛ770100193500275</t>
  </si>
  <si>
    <t>432059 Ульяновская область город Ульяновск проспект Ульяновский дом 1   этаж 1, помещения 164,165</t>
  </si>
  <si>
    <t>ЮЛ770100193500276</t>
  </si>
  <si>
    <t>433508 Ульяновская область город Димитровград улица Куйбышева здание 170   помещение 1, 1 этаж</t>
  </si>
  <si>
    <t>ЮЛ770100193500581</t>
  </si>
  <si>
    <t>432000 Ульяновская область город Ульяновск улица Гончарова дом 21   нежилое помещение № 117, этаж 1 (первый)</t>
  </si>
  <si>
    <t>ЮЛ770100193500750</t>
  </si>
  <si>
    <t>ЮЛ770100193500927</t>
  </si>
  <si>
    <t>ЮЛ770100193500954</t>
  </si>
  <si>
    <t>432073 Ульяновская область город Ульяновск улица Камышинская дом 8А</t>
  </si>
  <si>
    <t>ЮЛ770100193501040</t>
  </si>
  <si>
    <t>433508 Ульяновская область город Димитровград улица Гагарина дом 3</t>
  </si>
  <si>
    <t>ЮЛ780300131300120</t>
  </si>
  <si>
    <t>ЮЛ780300131300121</t>
  </si>
  <si>
    <t>432054 Ульяновская область город Ульяновск юго-восточнее торгового центра "Альянс"  по улице Рябикова дом 70</t>
  </si>
  <si>
    <t>ЮЛ780300131300122</t>
  </si>
  <si>
    <t>432017 Ульяновская область город Ульяновск улица Гончарова дом 24</t>
  </si>
  <si>
    <t>ЮЛ780300323500183</t>
  </si>
  <si>
    <t>432045 Ульяновская область город Ульяновск улица Рябикова дом 60А  Литер А комнаты 9, 21, 23, 24, 73-78</t>
  </si>
  <si>
    <t>ЮЛ780300323500184</t>
  </si>
  <si>
    <t>432072 Ульяновская область город Ульяновск проспект Ульяновский дом 14</t>
  </si>
  <si>
    <t>ЮЛ780300323500197</t>
  </si>
  <si>
    <t>432005 Ульяновская область город Ульяновск шоссе Московское дом 108   помещение 239</t>
  </si>
  <si>
    <t>ЮЛ780300308200272</t>
  </si>
  <si>
    <t>432000 Ульяновская область город Ульяновск улица Гончарова дом 32</t>
  </si>
  <si>
    <t>ЮЛ780300308200428</t>
  </si>
  <si>
    <t>432054 Ульяновская область город Ульяновск юго-восточнее торгового центра "Альянс" по улице Рябикова дом 70</t>
  </si>
  <si>
    <t>ЮЛ780300308200800</t>
  </si>
  <si>
    <t>432072 Ульяновская область город Ульяновск проспект Ульяновский дом 6   помещение №97, помещение №98, помещение №99, нежилое помещение №100, часть нежилого помещения №101, нежилое помещение №102</t>
  </si>
  <si>
    <t>ЮЛ780300308200814</t>
  </si>
  <si>
    <t>433508 Ульяновская область город Димитровград улица Гагарина дом 3   часть нежилого помещения №2, нежилое помещение №4</t>
  </si>
  <si>
    <t>ЮЛ780300308200899</t>
  </si>
  <si>
    <t>ЮЛ780300363500240</t>
  </si>
  <si>
    <t>ЮЛ780300363500242</t>
  </si>
  <si>
    <t>ЮЛ780300363500243</t>
  </si>
  <si>
    <t>ЮЛ770103215400008</t>
  </si>
  <si>
    <t>ЮЛ770103720500003</t>
  </si>
  <si>
    <t>Хабаровский край</t>
  </si>
  <si>
    <t>680007 Хабаровский край город Хабаровск улица Морозова Павла Леонтьевича дом 113   ювелирный салон Золотая Лилия</t>
  </si>
  <si>
    <t>ИП Бреднева Ирина Сергеевна</t>
  </si>
  <si>
    <t>143400025204</t>
  </si>
  <si>
    <t>ИП1409004979</t>
  </si>
  <si>
    <t>ИП140900497900000</t>
  </si>
  <si>
    <t>680011 Хабаровский край город Хабаровск улица Ким Ю Чена 44 помещение 1    ТРЦ Радости</t>
  </si>
  <si>
    <t>ИП140900497900001</t>
  </si>
  <si>
    <t>680051 Хабаровский край город Хабаровск улица Суворова 25 помещение 79    ТК Южный парк</t>
  </si>
  <si>
    <t>ИП140900497900002</t>
  </si>
  <si>
    <t>680000 Хабаровский край город Хабаровск улица Муравьева-Амурского дом 11</t>
  </si>
  <si>
    <t>ЮЛ140900343400004</t>
  </si>
  <si>
    <t>680000 Хабаровский край Хабаровск Ким Ю Чена 10   пом. I (52-63)</t>
  </si>
  <si>
    <t>ИП МУСТАФИНА Э. А.</t>
  </si>
  <si>
    <t>250808916190</t>
  </si>
  <si>
    <t>ИП2709039558</t>
  </si>
  <si>
    <t>ИП270903955800000</t>
  </si>
  <si>
    <t>680021 Хабаровский край город Хабаровск улица Ким Ю Чена дом 44   помещение I</t>
  </si>
  <si>
    <t>ИП250903190200012</t>
  </si>
  <si>
    <t>680020 Хабаровский край город Хабаровск улица Пионерская 2  в</t>
  </si>
  <si>
    <t>ИП250903190200014</t>
  </si>
  <si>
    <t>681010 Хабаровский край город Комсомольск-на-Амуре улица Пирогова дом 22</t>
  </si>
  <si>
    <t>ИП250903190200016</t>
  </si>
  <si>
    <t>680000 Хабаровский край город Хабаровск улица Карла Маркса 59  А</t>
  </si>
  <si>
    <t>ИП250903190200017</t>
  </si>
  <si>
    <t>681013 Хабаровский край город Комсомольск-на-Амуре проспект Ленина дом 36   1003</t>
  </si>
  <si>
    <t>ООО "ДАКОТА"</t>
  </si>
  <si>
    <t>2700001927</t>
  </si>
  <si>
    <t>ЮЛ2709031789</t>
  </si>
  <si>
    <t>ЮЛ270903178900000</t>
  </si>
  <si>
    <t>681014 Хабаровский край город Комсомольск-на-Амуре проспект Победы дом 22/7   пом. 1004</t>
  </si>
  <si>
    <t>ЮЛ270903178900003</t>
  </si>
  <si>
    <t>681000 Хабаровский край город Комсомольск-на-Амуре улица Кирова дом 51   помещение 1011/1</t>
  </si>
  <si>
    <t>ИП Томченко Максим Григорьевич</t>
  </si>
  <si>
    <t>270301045950</t>
  </si>
  <si>
    <t>ИП2709004359</t>
  </si>
  <si>
    <t>ИП270900435900000</t>
  </si>
  <si>
    <t>681000 Хабаровский край город Комсомольск-на-Амуре проспект Мира дом 45</t>
  </si>
  <si>
    <t>ИП Мартыненко Светлана Олеговна</t>
  </si>
  <si>
    <t>270301060638</t>
  </si>
  <si>
    <t>ИП2709001042</t>
  </si>
  <si>
    <t>ИП270900104200000</t>
  </si>
  <si>
    <t>681000 Хабаровский край город Комсомольск-на-Амуре улица Кирова дом 28</t>
  </si>
  <si>
    <t>ИП270900104200001</t>
  </si>
  <si>
    <t>681029 Хабаровский край город Комсомольск-на-Амуре улица Ленинградская дом 48</t>
  </si>
  <si>
    <t>ИП270900104200002</t>
  </si>
  <si>
    <t>682644 Хабаровский край город Амурск проспект Победы дом 7</t>
  </si>
  <si>
    <t>ИП270900104200003</t>
  </si>
  <si>
    <t>681013 Хабаровский край город Комсомольск-на-Амуре Димитрова 14</t>
  </si>
  <si>
    <t>ИП270900104200005</t>
  </si>
  <si>
    <t>680007 Хабаровский край город Хабаровск улица Кубяка дом 17   этаж 1, пом. I (15-19; 33-35)</t>
  </si>
  <si>
    <t>ООО ЛОМБАРД "КОНТО ДВ"</t>
  </si>
  <si>
    <t>2703036999</t>
  </si>
  <si>
    <t>ЮЛ2709003442</t>
  </si>
  <si>
    <t>ЮЛ270900344200002</t>
  </si>
  <si>
    <t>680000 Хабаровский край город Хабаровск улица Пушкина дом 70   этаж 1, пом.I</t>
  </si>
  <si>
    <t>ЮЛ270900344200003</t>
  </si>
  <si>
    <t>680033 Хабаровский край город Хабаровск улица Тихоокеанская дом 201 корпус В  этаж  1</t>
  </si>
  <si>
    <t>ЮЛ270900344200004</t>
  </si>
  <si>
    <t>680051 Хабаровский край город Хабаровск улица Суворова дом 51   этаж 1, торг.зал №1, №7/1</t>
  </si>
  <si>
    <t>ЮЛ270900344200005</t>
  </si>
  <si>
    <t>680014 Хабаровский край город Хабаровск квартал ДОС (Большой Аэродром) дом 51   этаж 1, пом. I (1-25)</t>
  </si>
  <si>
    <t>ЮЛ270900344200006</t>
  </si>
  <si>
    <t>680054 Хабаровский край город Хабаровск улица профессора Даниловского М.П. дом 16 корпус А  этаж 2, пом. №48-49</t>
  </si>
  <si>
    <t>ЮЛ270900344200009</t>
  </si>
  <si>
    <t>680042 Хабаровский край город Хабаровск улица Шелеста 116 корпус А  этаж 1</t>
  </si>
  <si>
    <t>ЮЛ270900344200011</t>
  </si>
  <si>
    <t>680038 Хабаровский край город Хабаровск Серышева дом16</t>
  </si>
  <si>
    <t>ЮЛ270900344200013</t>
  </si>
  <si>
    <t>681024 Хабаровский край город Комсомольск-на-Амуре улица Васянина дом 14</t>
  </si>
  <si>
    <t>ИП Сысоева Ирина Владимировна</t>
  </si>
  <si>
    <t>270307205946</t>
  </si>
  <si>
    <t>ИП2709012523</t>
  </si>
  <si>
    <t>ИП270901252300000</t>
  </si>
  <si>
    <t>681024 Хабаровский край город Комсомольск-на-Амуре улица Комсомольская дом 64   1011/1</t>
  </si>
  <si>
    <t>ИП Андреев Александр Сергеевич</t>
  </si>
  <si>
    <t>270397826448</t>
  </si>
  <si>
    <t>ИП2709004285</t>
  </si>
  <si>
    <t>ИП270900428500000</t>
  </si>
  <si>
    <t>682800 Хабаровский край город Советская Гавань улица Пионерская дом 24   помещение 2 0 (28-31)</t>
  </si>
  <si>
    <t>ИП Родин Максим Павлович</t>
  </si>
  <si>
    <t>270402623904</t>
  </si>
  <si>
    <t>ИП2709010965</t>
  </si>
  <si>
    <t>ИП270901096500000</t>
  </si>
  <si>
    <t>680020 Хабаровский край город Хабаровск улица Пионерская 2в</t>
  </si>
  <si>
    <t>ИП Губина Яна Александровна</t>
  </si>
  <si>
    <t>270414258974</t>
  </si>
  <si>
    <t>ИП2709010237</t>
  </si>
  <si>
    <t>ИП270901023700000</t>
  </si>
  <si>
    <t>682644 Хабаровский край город Амурск проспект Комсомольский дом 11   Золотое Кольцо 2</t>
  </si>
  <si>
    <t>ИП Евсеева Татьяна Филипповна</t>
  </si>
  <si>
    <t>270600060273</t>
  </si>
  <si>
    <t>ИП2709003397</t>
  </si>
  <si>
    <t>ИП270900339700000</t>
  </si>
  <si>
    <t>682644 Хабаровский край город Амурск проспект Комсомольский дом 15</t>
  </si>
  <si>
    <t>ИП Новикова Ирина Борисовна</t>
  </si>
  <si>
    <t>270600074798</t>
  </si>
  <si>
    <t>ИП2709001222</t>
  </si>
  <si>
    <t>ИП270900122200000</t>
  </si>
  <si>
    <t>681000 Хабаровский край город Комсомольск-на-Амуре проспект Мира Дом 47</t>
  </si>
  <si>
    <t>ИП Рудановская Марина Михайловна</t>
  </si>
  <si>
    <t>270600156634</t>
  </si>
  <si>
    <t>ИП2709001258</t>
  </si>
  <si>
    <t>ИП270900125800000</t>
  </si>
  <si>
    <t>682711 Хабаровский край рабочий поселок Солнечный Ленина 39 2  Помещение I(20,21)</t>
  </si>
  <si>
    <t>ИП Фоминых Максим Сергеевич</t>
  </si>
  <si>
    <t>271700806729</t>
  </si>
  <si>
    <t>ИП2709009112</t>
  </si>
  <si>
    <t>ИП270900911200000</t>
  </si>
  <si>
    <t>680000 Хабаровский край город Хабаровск улица Ленина дом 23   пом.I(2,3,5); 0(5,9,15)</t>
  </si>
  <si>
    <t>ИП Усенко Лариса Владимировна</t>
  </si>
  <si>
    <t>272104422586</t>
  </si>
  <si>
    <t>ИП2709001252</t>
  </si>
  <si>
    <t>ИП270900125200000</t>
  </si>
  <si>
    <t>680000 Хабаровский край город Хабаровск улица Муравьева-Амурского дом 15   пом. I(14-22, 24-29)</t>
  </si>
  <si>
    <t>ИП270900125200002</t>
  </si>
  <si>
    <t>680054 Хабаровский край город Хабаровск улица Тихоокеанская дом 191А   Пом. I(99)</t>
  </si>
  <si>
    <t>ИП270900125200004</t>
  </si>
  <si>
    <t>680000 Хабаровский край город Хабаровск Ленина 23   Изум бр пом. 0(16,17)</t>
  </si>
  <si>
    <t>ИП270900125200005</t>
  </si>
  <si>
    <t>680000 Хабаровский край город Хабаровск Ленина 23   Пом. 0(13) сайт auz-shop.ru</t>
  </si>
  <si>
    <t>ИП270900125200006</t>
  </si>
  <si>
    <t>680000 Хабаровский край город Хабаровск Ленина 23   Пом.0(13) сайт auz.ru</t>
  </si>
  <si>
    <t>ИП270900125200007</t>
  </si>
  <si>
    <t>680000 Хабаровский край город Хабаровск Ленина 23   Пом. 0(13) сайт auzgold.ru</t>
  </si>
  <si>
    <t>ИП270900125200008</t>
  </si>
  <si>
    <t>680020 Хабаровский край город Хабаровск улица Ленина дом 33   ООО "Янтарь"</t>
  </si>
  <si>
    <t>2721066837</t>
  </si>
  <si>
    <t>ЮЛ2709010969</t>
  </si>
  <si>
    <t>ЮЛ270901096900000</t>
  </si>
  <si>
    <t>680014 Хабаровский край город Хабаровск улица Большой Аэродром дом 40   помещение 1(18-21)</t>
  </si>
  <si>
    <t>ИП270901193700000</t>
  </si>
  <si>
    <t>680003 Хабаровский край город Хабаровск улица Краснореченская дом 44</t>
  </si>
  <si>
    <t>ИП270901193700001</t>
  </si>
  <si>
    <t>680000 Хабаровский край город Хабаровск улица Ленина дом 31</t>
  </si>
  <si>
    <t>ИП270901193700008</t>
  </si>
  <si>
    <t>680003 Хабаровский край город Хабаровск улица Суворова дом 25   часть нежилого помещения I (92)</t>
  </si>
  <si>
    <t>ЮЛ270900004700008</t>
  </si>
  <si>
    <t>680000 Хабаровский край город Хабаровск Амурский бульвар дом 2   Офис 4</t>
  </si>
  <si>
    <t>ООО "Д.ДАРТ"</t>
  </si>
  <si>
    <t>2721130144</t>
  </si>
  <si>
    <t>ЮЛ2709011545</t>
  </si>
  <si>
    <t>ЮЛ270901154500000</t>
  </si>
  <si>
    <t>680042 Хабаровский край город Хабаровск улица Шелеста дом 116А</t>
  </si>
  <si>
    <t>ООО "ЛОМБАРД ТРЕЗОР"</t>
  </si>
  <si>
    <t>2721202800</t>
  </si>
  <si>
    <t>ЮЛ2709001826</t>
  </si>
  <si>
    <t>ЮЛ270900182600000</t>
  </si>
  <si>
    <t>680000 Хабаровский край город Хабаровск улица Дзержинского дом 64   помещение III(15-18)</t>
  </si>
  <si>
    <t>ООО "ВИРГО"</t>
  </si>
  <si>
    <t>2721226583</t>
  </si>
  <si>
    <t>ЮЛ2709037742</t>
  </si>
  <si>
    <t>ЮЛ270903774200000</t>
  </si>
  <si>
    <t>680000 Хабаровский край город Хабаровск Ленина 77   3</t>
  </si>
  <si>
    <t>ООО "Бриллиант ДВ"</t>
  </si>
  <si>
    <t>2721229506</t>
  </si>
  <si>
    <t>ЮЛ2709004972</t>
  </si>
  <si>
    <t>ЮЛ270900497200000</t>
  </si>
  <si>
    <t>680038 Хабаровский край город Хабаровск улица Серышева дом 31   помещение 97</t>
  </si>
  <si>
    <t>ООО ЛОМБАРД "ОН-КЭШ"</t>
  </si>
  <si>
    <t>2721247343</t>
  </si>
  <si>
    <t>ЮЛ2709009129</t>
  </si>
  <si>
    <t>ЮЛ270900912900000</t>
  </si>
  <si>
    <t>680009 Хабаровский край город Хабаровск улица Карла Маркса дом 91   помещение 79</t>
  </si>
  <si>
    <t>ЮЛ270900912900001</t>
  </si>
  <si>
    <t>680009 Хабаровский край город Хабаровск улица Карла Маркса дом 91</t>
  </si>
  <si>
    <t>ИП Багдасарян Яна Сагателовна</t>
  </si>
  <si>
    <t>272201941499</t>
  </si>
  <si>
    <t>ИП2709009081</t>
  </si>
  <si>
    <t>ИП270900908100003</t>
  </si>
  <si>
    <t>680038 Хабаровский край город Хабаровск улица Серышева дом 25</t>
  </si>
  <si>
    <t>ИП270900908100004</t>
  </si>
  <si>
    <t>680000 Хабаровский край Хабаровск Карла-Маркса 59</t>
  </si>
  <si>
    <t>ИП270900908100005</t>
  </si>
  <si>
    <t>680000 Хабаровский край город Хабаровск улица Истомина дом 42   01(1,5;6-10,10а), I(27,28)</t>
  </si>
  <si>
    <t>ИП Полынцев Алексей Юрьевич</t>
  </si>
  <si>
    <t>272205602909</t>
  </si>
  <si>
    <t>ИП2709041106</t>
  </si>
  <si>
    <t>ИП270904110600000</t>
  </si>
  <si>
    <t>680020 Хабаровский край город Хабаровск улица Пионерская дом 2В   МЕСТО А18</t>
  </si>
  <si>
    <t>ИП Лапченко Екатерина Александровна</t>
  </si>
  <si>
    <t>272212069826</t>
  </si>
  <si>
    <t>ИП2709012521</t>
  </si>
  <si>
    <t>ИП270901252100000</t>
  </si>
  <si>
    <t>680000 Хабаровский край город Хабаровск улица Карла Маркса дом 59   помещение 12</t>
  </si>
  <si>
    <t>ИП270900021200001</t>
  </si>
  <si>
    <t>681000 Хабаровский край город Комсомольск-на-Амуре Проспект Ленина 9</t>
  </si>
  <si>
    <t>ИП270900021200003</t>
  </si>
  <si>
    <t>681029 Хабаровский край город Комсомольск-на-Амуре проспект Победы дом 57</t>
  </si>
  <si>
    <t>ИП270900021200004</t>
  </si>
  <si>
    <t>680020 Хабаровский край город Хабаровск улица Пионерская дом 2в</t>
  </si>
  <si>
    <t>ИП270900039700001</t>
  </si>
  <si>
    <t>680000 Хабаровский край город Хабаровск Карла Маркса  59</t>
  </si>
  <si>
    <t>ИП Ташлыкова Елена Владимировна</t>
  </si>
  <si>
    <t>272312587187</t>
  </si>
  <si>
    <t>ИП2709010962</t>
  </si>
  <si>
    <t>ИП270901096200000</t>
  </si>
  <si>
    <t>680044 Хабаровский край город Хабаровск улица Ульяновская дом 197 корпус 6  часть нежилого помещения</t>
  </si>
  <si>
    <t>ИП Терпугов Владимир Сергеевич</t>
  </si>
  <si>
    <t>272314683136</t>
  </si>
  <si>
    <t>ИП2709010034</t>
  </si>
  <si>
    <t>ИП270901003400067</t>
  </si>
  <si>
    <t>680001 Хабаровский край город Хабаровск улица Ульяновская дом 195 корпус 1</t>
  </si>
  <si>
    <t>ООО "ЛОМБАРД "САМОРОДОК"</t>
  </si>
  <si>
    <t>2723216171</t>
  </si>
  <si>
    <t>ЮЛ2709001172</t>
  </si>
  <si>
    <t>ЮЛ270900117200012</t>
  </si>
  <si>
    <t>680051 Хабаровский край город Хабаровск Суворова 51   8</t>
  </si>
  <si>
    <t>ИП Козак Любовь Григорьевна</t>
  </si>
  <si>
    <t>272322739022</t>
  </si>
  <si>
    <t>ИП2709005781</t>
  </si>
  <si>
    <t>ИП270900578100000</t>
  </si>
  <si>
    <t>680000 Хабаровский край город Хабаровск улица Ким Ю Чена дом 4   помещение  I(1-6)</t>
  </si>
  <si>
    <t>ИП Абрамов Александр Николаевич</t>
  </si>
  <si>
    <t>272391006594</t>
  </si>
  <si>
    <t>ИП2709019333</t>
  </si>
  <si>
    <t>ИП270901933300000</t>
  </si>
  <si>
    <t>680000 Хабаровский край город Хабаровск улица Дзержинского дом 65   офис 15</t>
  </si>
  <si>
    <t>2724162539</t>
  </si>
  <si>
    <t>ЮЛ2709017919</t>
  </si>
  <si>
    <t>ЮЛ270901791900000</t>
  </si>
  <si>
    <t>680037 Хабаровский край город Хабаровск улица Карла Маркса дом 144Б</t>
  </si>
  <si>
    <t>ЮЛ270900211200000</t>
  </si>
  <si>
    <t>680014 Хабаровский край город Хабаровск улица Шкотова дом 4</t>
  </si>
  <si>
    <t>ЮЛ270900211200002</t>
  </si>
  <si>
    <t>680031 Хабаровский край город Хабаровск улица Карла Маркса дом 202</t>
  </si>
  <si>
    <t>ЮЛ270900211200004</t>
  </si>
  <si>
    <t>680000 Хабаровский край город Хабаровск улица Карла Маркса дом 59  литера А</t>
  </si>
  <si>
    <t>ЮЛ270900211200005</t>
  </si>
  <si>
    <t>680000 Хабаровский край город Хабаровск улица Льва Толстого дом 19</t>
  </si>
  <si>
    <t>ЮЛ270900211200006</t>
  </si>
  <si>
    <t>ЮЛ270900211200007</t>
  </si>
  <si>
    <t>680003 Хабаровский край город Хабаровск улица Суворова дом 25</t>
  </si>
  <si>
    <t>ЮЛ270900211200009</t>
  </si>
  <si>
    <t>680012 Хабаровский край город Хабаровск улица Морозова Павла Леонтьевича дом 118</t>
  </si>
  <si>
    <t>ЮЛ270900211200010</t>
  </si>
  <si>
    <t>682460 Хабаровский край город Николаевск-на-Амуре улица Кантера дом 18</t>
  </si>
  <si>
    <t>ЮЛ270900211200011</t>
  </si>
  <si>
    <t>682860 Хабаровский край рабочий поселок Ванино улица 1-я линия дом 2</t>
  </si>
  <si>
    <t>ЮЛ270900211200012</t>
  </si>
  <si>
    <t>ЮЛ270900211200017</t>
  </si>
  <si>
    <t>681024 Хабаровский край город Комсомольск-на-Амуре проспект Первостроителей дом 21</t>
  </si>
  <si>
    <t>ЮЛ270900211200032</t>
  </si>
  <si>
    <t>ЮЛ270900211200036</t>
  </si>
  <si>
    <t>680000 Хабаровский край город Хабаровск улица Фрунзе дом 65</t>
  </si>
  <si>
    <t>ЮЛ270900211200053</t>
  </si>
  <si>
    <t>681029 Хабаровский край город Комсомольск-на-Амуре проспект Победы дом 14</t>
  </si>
  <si>
    <t>ЮЛ270900211200054</t>
  </si>
  <si>
    <t>681013 Хабаровский край город Комсомольск-на-Амуре Пирогова дом 22</t>
  </si>
  <si>
    <t>ЮЛ270900211200055</t>
  </si>
  <si>
    <t>682800 Хабаровский край город Советская Гавань улица Пушкина дом 1</t>
  </si>
  <si>
    <t>ЮЛ270900211200056</t>
  </si>
  <si>
    <t>682910 Хабаровский край рабочий поселок Переяславка улица Ленина дом 15</t>
  </si>
  <si>
    <t>ЮЛ270900211200070</t>
  </si>
  <si>
    <t>682920 Хабаровский край рабочий поселок Хор улица Ленина дом 8</t>
  </si>
  <si>
    <t>ЮЛ270900211200071</t>
  </si>
  <si>
    <t>682030 Хабаровский край рабочий поселок Чегдомын улица Центральная дом 48</t>
  </si>
  <si>
    <t>ЮЛ270900211200072</t>
  </si>
  <si>
    <t>682950 Хабаровский край город Вяземский улица Коммунистическая дом 4А</t>
  </si>
  <si>
    <t>ЮЛ270900211200074</t>
  </si>
  <si>
    <t>682972 Хабаровский край город Бикин улица Гагарина дом 89</t>
  </si>
  <si>
    <t>ЮЛ270900211200076</t>
  </si>
  <si>
    <t>682644 Хабаровский край город Амурск проспект Мира дом 36А</t>
  </si>
  <si>
    <t>ЮЛ270900211200080</t>
  </si>
  <si>
    <t>680555 Хабаровский край село Сосновка улица Панельная  дом 11   офис 3</t>
  </si>
  <si>
    <t>ИП Сивогорлый Вячеслав Иванович</t>
  </si>
  <si>
    <t>272424384940</t>
  </si>
  <si>
    <t>ИП2709010000</t>
  </si>
  <si>
    <t>ИП270901000000000</t>
  </si>
  <si>
    <t>680009 Хабаровский край город Хабаровск улица Карла Маркса дом 91   помещение 39, 38</t>
  </si>
  <si>
    <t>ИП270900018300001</t>
  </si>
  <si>
    <t>682644 Хабаровский край город Амурск Проспект Победы 7</t>
  </si>
  <si>
    <t>ООО ЛОМБАРД "КОНТО"</t>
  </si>
  <si>
    <t>2726004136</t>
  </si>
  <si>
    <t>ЮЛ2709001606</t>
  </si>
  <si>
    <t>ЮЛ270900160600004</t>
  </si>
  <si>
    <t>681029 Хабаровский край город Комсомольск-на_амуре улица Ленинградская дом 48</t>
  </si>
  <si>
    <t>ЮЛ270900160600005</t>
  </si>
  <si>
    <t>681013 Хабаровский край город Комсомольск-на-Амуре проспект Мира дом 45</t>
  </si>
  <si>
    <t>ЮЛ270900160600008</t>
  </si>
  <si>
    <t>681000 Хабаровский край город Комсомольск-на-Амуре улица Кирова дом 28  литера А</t>
  </si>
  <si>
    <t>ЮЛ270900160600013</t>
  </si>
  <si>
    <t>681013 Хабаровский край город Комсомольск-на-Амуре Димитрова дом 14</t>
  </si>
  <si>
    <t>ЮЛ270900160600018</t>
  </si>
  <si>
    <t>681021 Хабаровский край город Комсомольск-на-Амуре проспект Октябрьский дом 36</t>
  </si>
  <si>
    <t>ИП Осмолко Семен Викторович</t>
  </si>
  <si>
    <t>272700010960</t>
  </si>
  <si>
    <t>ИП2709000517</t>
  </si>
  <si>
    <t>ИП270900051700000</t>
  </si>
  <si>
    <t>680000 Хабаровский край город Хабаровск улица Муравьева-Амурского дом 11   помещения I(10,30), 0(32-43)</t>
  </si>
  <si>
    <t>ИП770103234800004</t>
  </si>
  <si>
    <t>680003 Хабаровский край город Хабаровск улица Суворова дом 25   1 этаж ,  помещение I(92)</t>
  </si>
  <si>
    <t>ИП770103234800006</t>
  </si>
  <si>
    <t>680000 Хабаровский край город Хабаровск бульвар Уссурийский дом 9</t>
  </si>
  <si>
    <t>ИП770103234800007</t>
  </si>
  <si>
    <t>680000 Хабаровский край город Хабаровск улица Муравьева-Амурского дом 23</t>
  </si>
  <si>
    <t>ИП Алексина Ольга Николаевна</t>
  </si>
  <si>
    <t>280802644510</t>
  </si>
  <si>
    <t>ИП2709003949</t>
  </si>
  <si>
    <t>ИП270900394900000</t>
  </si>
  <si>
    <t>680022 Хабаровский край город Хабаровск улица Кола Бельды дом 10</t>
  </si>
  <si>
    <t>ИП Шевелёва Татьяна Анатольевна</t>
  </si>
  <si>
    <t>282911532218</t>
  </si>
  <si>
    <t>ИП2709003449</t>
  </si>
  <si>
    <t>ИП270900344900000</t>
  </si>
  <si>
    <t>680013 Хабаровский край город Хабаровск улица Ленинградская 28 В</t>
  </si>
  <si>
    <t>ИП Бондарчук Никита Андреевич</t>
  </si>
  <si>
    <t>424625346300</t>
  </si>
  <si>
    <t>ИП2709030665</t>
  </si>
  <si>
    <t>ИП270903066500000</t>
  </si>
  <si>
    <t>680000 Хабаровский край город Хабаровск улица Пионерская дом 2В   помещение №1</t>
  </si>
  <si>
    <t>ЮЛ520603376600073</t>
  </si>
  <si>
    <t>680020 Хабаровский край город Хабаровск улица Пионерская дом 2в  2этаж ТЦ Броско Молл, бут. Швейцарские часы  пом №А19</t>
  </si>
  <si>
    <t>ИП770101425100004</t>
  </si>
  <si>
    <t>680000 Хабаровский край город Хабаровск улица Муравьева-Амурского дом 13  помещ 1(13-16)</t>
  </si>
  <si>
    <t>ИП770101425100016</t>
  </si>
  <si>
    <t>680017 Хабаровский край город Хабаровск улица Карла Маркса дом 76</t>
  </si>
  <si>
    <t>ИП770101425100030</t>
  </si>
  <si>
    <t>680013 Хабаровский край город Хабаровск переулок Батарейный дом 1</t>
  </si>
  <si>
    <t>ИП Майснер Ирина Олеговна</t>
  </si>
  <si>
    <t>651601316584</t>
  </si>
  <si>
    <t>ИП2709001830</t>
  </si>
  <si>
    <t>ИП270900183000000</t>
  </si>
  <si>
    <t>ЮЛ770100419400209</t>
  </si>
  <si>
    <t>ЮЛ770100419400212</t>
  </si>
  <si>
    <t>681000 Хабаровский край город Комсомольск-на-Амуре проспект Мира дом 37   помещение 3697, этаж 1 (первый)</t>
  </si>
  <si>
    <t>ЮЛ770100193500065</t>
  </si>
  <si>
    <t>680000 Хабаровский край город Хабаровск улица Муравьева-Амурского дом 25   1 этаж, подвал</t>
  </si>
  <si>
    <t>ЮЛ770100193500066</t>
  </si>
  <si>
    <t>680000 Хабаровский край город Хабаровск улица Карла Маркса дом 59  литера А часть помещения 12, 1 этаж</t>
  </si>
  <si>
    <t>ЮЛ770100193500067</t>
  </si>
  <si>
    <t>680020 Хабаровский край город Хабаровск улица Пионерская дом 2В   часть помещения 12, 2 (второй) этаж</t>
  </si>
  <si>
    <t>ЮЛ770100193500527</t>
  </si>
  <si>
    <t>680013 Хабаровский край город Хабаровск улица Ленинградская дом 28 литер "И"  объект № 1-02,4, этаж 1 (первый)</t>
  </si>
  <si>
    <t>ЮЛ770100193500557</t>
  </si>
  <si>
    <t>680000 Хабаровский край город Хабаровск улица Льва Толстого дом 19/9   нежилое помещение № 110, этаж 1 (первый)</t>
  </si>
  <si>
    <t>ЮЛ770100193500594</t>
  </si>
  <si>
    <t>681024 Хабаровский край город Комсомольск-на-Амуре проспект Первостроителей дом 21   помещение 1011, этаж 1 (первый)</t>
  </si>
  <si>
    <t>ЮЛ770100193500614</t>
  </si>
  <si>
    <t>681027 Хабаровский край город Комсомольск-на-Амуре улица Кирова дом 56   этаж 1 (первый)</t>
  </si>
  <si>
    <t>ЮЛ770100193500743</t>
  </si>
  <si>
    <t>681035 Хабаровский край город Комсомольск-на-Амуре улица Дикопольцева уч 29 корпус 6  помещение павильона, этаж 1 (первый)</t>
  </si>
  <si>
    <t>ЮЛ770100193500873</t>
  </si>
  <si>
    <t>680020 Хабаровский край город Хабаровск улица Пионерская дом 2В   помещение 36, 2 (второй) этаж</t>
  </si>
  <si>
    <t>ЮЛ770100193501092</t>
  </si>
  <si>
    <t>681000 Хабаровский край город Комсомольск-на-Амуре проспект Мира дом 37</t>
  </si>
  <si>
    <t>ЮЛ780300131300667</t>
  </si>
  <si>
    <t>ЮЛ780300331800175</t>
  </si>
  <si>
    <t>681000 Хабаровский край город Комсомольск-на-Амуре проспект Мира дом 37   частьнежилого помещения с кадастровым номером 27:22:0030503:580</t>
  </si>
  <si>
    <t>ЮЛ780300308201098</t>
  </si>
  <si>
    <t>680003 Хабаровский край город Хабаровск улица Суворова дом 25   пом.1 часть помещения № 115 (104-257)</t>
  </si>
  <si>
    <t>ЮЛ780300308201139</t>
  </si>
  <si>
    <t>680020 Хабаровский край город Хабаровск улица Пионерская дом 2В   нежилое Помещение №14</t>
  </si>
  <si>
    <t>ЮЛ780300308201217</t>
  </si>
  <si>
    <t>680000 Хабаровский край город Хабаровск улица Льва Толстого дом 19/9   часть Здания, имеющая условное обозначение №107</t>
  </si>
  <si>
    <t>ЮЛ780300308201237</t>
  </si>
  <si>
    <t>680017 Хабаровский край город Хабаровск улица Карла Маркса дом 76   этаж 3</t>
  </si>
  <si>
    <t>ИП790901511100001</t>
  </si>
  <si>
    <t>680013 Хабаровский край город Хабаровск улица Ленинградская дом 28   помещение 525</t>
  </si>
  <si>
    <t>ЮЛ770100439200274</t>
  </si>
  <si>
    <t>680014 Хабаровский край город Хабаровск ш. Восточное 41   помещение 11</t>
  </si>
  <si>
    <t>ЮЛ770100029500013</t>
  </si>
  <si>
    <t>Ханты-Мансийский автономный округ - Югра АО</t>
  </si>
  <si>
    <t>628412 Ханты-Мансийский автономный округ - Югра АО город Сургут тракт Югорский дом 38   помещение 192, 521</t>
  </si>
  <si>
    <t>ЮЛ500100602500047</t>
  </si>
  <si>
    <t>628616 Ханты-Мансийский автономный округ - Югра АО город Нижневартовск улица Ленина 8</t>
  </si>
  <si>
    <t>ИП500100445500057</t>
  </si>
  <si>
    <t>628611 Ханты-Мансийский автономный округ - Югра АО город Нижневартовск улица Ленина дом 15П</t>
  </si>
  <si>
    <t>ИП500100445500060</t>
  </si>
  <si>
    <t>628422 Ханты-Мансийский автономный округ - Югра АО город Сургут шоссе Нефтеюганское дом 1</t>
  </si>
  <si>
    <t>ИП500100445500088</t>
  </si>
  <si>
    <t>628600 Ханты-Мансийский автономный округ - Югра АО город Нижневартовск улица Кузоваткина дом 17</t>
  </si>
  <si>
    <t>ЮЛ520603376600124</t>
  </si>
  <si>
    <t>628400 Ханты-Мансийский автономный округ - Югра АО город Сургут шоссе Нефтеюганское  дом 1</t>
  </si>
  <si>
    <t>ЮЛ520603376600148</t>
  </si>
  <si>
    <t>628400 Ханты-Мансийский автономный округ - Югра АО город Сургут тракт Югорский дом 38</t>
  </si>
  <si>
    <t>ЮЛ520603376600158</t>
  </si>
  <si>
    <t>628181 Ханты-Мансийский автономный округ - Югра АО город Нягань улица Ленина дом 28   нежилое помещение №5</t>
  </si>
  <si>
    <t>ИП590601426900031</t>
  </si>
  <si>
    <t>628162 Ханты-Мансийский автономный округ - Югра АО город Белоярский улица Мира дом 1   помещение № 112</t>
  </si>
  <si>
    <t>ИП590601426900033</t>
  </si>
  <si>
    <t>628260 Ханты-Мансийский автономный округ - Югра АО город Югорск Мира 4   23</t>
  </si>
  <si>
    <t>ИП Лахтина Евгения Владимировна</t>
  </si>
  <si>
    <t>661402748900</t>
  </si>
  <si>
    <t>ИП6607034093</t>
  </si>
  <si>
    <t>ИП660703409300000</t>
  </si>
  <si>
    <t>628260 Ханты-Мансийский автономный округ - Югра АО город Югорск улица Мира дом 4   помещение 23</t>
  </si>
  <si>
    <t>ИП660703142200010</t>
  </si>
  <si>
    <t>628181 Ханты-Мансийский автономный округ - Югра АО город Нягань улица Ленина дом 28   помещение 25</t>
  </si>
  <si>
    <t>ИП Семенова Елена Валерьевна</t>
  </si>
  <si>
    <t>666001970053</t>
  </si>
  <si>
    <t>ИП8607013435</t>
  </si>
  <si>
    <t>ИП860701343500000</t>
  </si>
  <si>
    <t>628300 Ханты-Мансийский автономный округ - Югра АО город Нефтеюганск улица Усть-Балыкская Здание 6   этаж 1</t>
  </si>
  <si>
    <t>ЮЛ770101216600078</t>
  </si>
  <si>
    <t>628600 Ханты-Мансийский автономный округ - Югра АО город Нижневартовск улица Ленина дом 8   помещение 5, этаж 1</t>
  </si>
  <si>
    <t>ЮЛ770101216600084</t>
  </si>
  <si>
    <t>628404 Ханты-Мансийский автономный округ - Югра АО город Сургут шоссе Нефтеюганское дом 1   помещение 1063,1064,1064В</t>
  </si>
  <si>
    <t>ЮЛ770101216600131</t>
  </si>
  <si>
    <t>628007 Ханты-Мансийский автономный округ - Югра АО город Ханты-Мансийск улица Мира дом 45   помещение 8, этаж 2</t>
  </si>
  <si>
    <t>ЮЛ770101216600197</t>
  </si>
  <si>
    <t>628260 Ханты-Мансийский автономный округ - Югра АО город Югорск улица Октябрьская дом 2   этаж 1</t>
  </si>
  <si>
    <t>ЮЛ770101216600274</t>
  </si>
  <si>
    <t>628412 Ханты-Мансийский автономный округ - Югра АО город Сургут тракт Югорский дом 38   этаж 2, нежилые помещения №14, 566</t>
  </si>
  <si>
    <t>ЮЛ770101216600463</t>
  </si>
  <si>
    <t>628181 Ханты-Мансийский автономный округ - Югра АО город Нягань улица Ленина дом 28   этаж 1, чать торговой площади №3</t>
  </si>
  <si>
    <t>ЮЛ770101216600527</t>
  </si>
  <si>
    <t>628611 Ханты-Мансийский автономный округ - Югра АО город Нижневартовск улица Ленина дом 15П   этаж 1</t>
  </si>
  <si>
    <t>ЮЛ770101216600554</t>
  </si>
  <si>
    <t>628611 Ханты-Мансийский автономный округ - Югра АО город Нижневартовск улица Чапаева дом 27   этаж 1, часть нежилого помещения № 55</t>
  </si>
  <si>
    <t>ЮЛ770101216600604</t>
  </si>
  <si>
    <t>628162 Ханты-Мансийский автономный округ - Югра АО город Белоярский улица Мира дом 1   этаж 1</t>
  </si>
  <si>
    <t>ЮЛ770101216600606</t>
  </si>
  <si>
    <t>628416 Ханты-Мансийский автономный округ - Югра АО город Сургут проспект Ленина дом 37   этаж 1, часть помещений № 85,86,87,88,89,94,95,96</t>
  </si>
  <si>
    <t>ЮЛ770101216600632</t>
  </si>
  <si>
    <t>628482 Ханты-Мансийский автономный округ - Югра АО город Когалым улица Дружбы Народов дом 60   этаж 1, нежилое помещение 3-19</t>
  </si>
  <si>
    <t>ЮЛ770101216600708</t>
  </si>
  <si>
    <t>628011 Ханты-Мансийский автономный округ - Югра АО город Ханты-Мансийск улица Объездная здание 9   этаж 1, часть помещения</t>
  </si>
  <si>
    <t>ЮЛ770101216600811</t>
  </si>
  <si>
    <t>628306 Ханты-Мансийский автономный округ - Югра АО город Нефтеюганск микрорайон 15 здание 6   этаж 1, торговое место 34-4</t>
  </si>
  <si>
    <t>ЮЛ770101216600958</t>
  </si>
  <si>
    <t>628408 Ханты-Мансийский автономный округ - Югра АО город Сургут тракт Югорский дом 38   помещения №84 и 592</t>
  </si>
  <si>
    <t>ЮЛ770100419400174</t>
  </si>
  <si>
    <t>628404 Ханты-Мансийский автономный округ - Югра АО город Сургут шоссе Нефтеюганское дом 1   помещение №1083</t>
  </si>
  <si>
    <t>ЮЛ770100419400175</t>
  </si>
  <si>
    <t>628616 Ханты-Мансийский автономный округ - Югра АО город Нижневартовск улица Ленина здание 15/П</t>
  </si>
  <si>
    <t>ЮЛ770100419400241</t>
  </si>
  <si>
    <t>628007 Ханты-Мансийский автономный округ - Югра АО город Ханты-Мансийск улица Мира дом 45   часть помещения  8</t>
  </si>
  <si>
    <t>ЮЛ770100193500161</t>
  </si>
  <si>
    <t>628408 Ханты-Мансийский автономный округ - Югра АО город Сургут тракт Югорский дом 38   помещения № 15, 565, второй этаж</t>
  </si>
  <si>
    <t>ЮЛ770100193500419</t>
  </si>
  <si>
    <t>628404 Ханты-Мансийский автономный округ - Югра АО город Сургут шоссе Нефтеюганское дом 1   помещение № 1033</t>
  </si>
  <si>
    <t>ЮЛ770100193500420</t>
  </si>
  <si>
    <t>ЮЛ770100193500421</t>
  </si>
  <si>
    <t>628600 Ханты-Мансийский автономный округ - Югра АО город Нижневартовск улица Ленина здание 8   помещение 81, 1 (первый) этаж</t>
  </si>
  <si>
    <t>ЮЛ770100193500423</t>
  </si>
  <si>
    <t>628301 Ханты-Мансийский автономный округ - Югра АО город Нефтеюганск 1-й микрорайон дом 2   часть помещения № 98, этаж 1</t>
  </si>
  <si>
    <t>ЮЛ770100193500424</t>
  </si>
  <si>
    <t>628483 Ханты-Мансийский автономный округ - Югра АО город Когалым улица Дружбы Народов дом 60   помещение № 1-1101</t>
  </si>
  <si>
    <t>ЮЛ770100193500425</t>
  </si>
  <si>
    <t>628181 Ханты-Мансийский автономный округ - Югра АО город Нягань улица Ленина дом 28   помещение № 88</t>
  </si>
  <si>
    <t>ЮЛ770100193500426</t>
  </si>
  <si>
    <t>628260 Ханты-Мансийский автономный округ - Югра АО город Югорск улица Октябрьская дом 2   помещение № 1-13, первый этаж</t>
  </si>
  <si>
    <t>ЮЛ770100193500427</t>
  </si>
  <si>
    <t>628672 Ханты-Мансийский автономный округ - Югра АО город Лангепас улица Ленина дом 40   нежилое помещение № Б/Н, этаж 1 (первый)</t>
  </si>
  <si>
    <t>ЮЛ770100193500618</t>
  </si>
  <si>
    <t>628403 Ханты-Мансийский автономный округ - Югра АО город Сургут улица 30 лет Победы дом 46   помещение № А15, этаж 1 (первый)</t>
  </si>
  <si>
    <t>ЮЛ770100193500647</t>
  </si>
  <si>
    <t>628306 Ханты-Мансийский автономный округ - Югра АО город Нефтеюганск, мкр. 15  здание 6   помещение № 24, этаж 1 (первый)</t>
  </si>
  <si>
    <t>ЮЛ770100193500752</t>
  </si>
  <si>
    <t>628422 Ханты-Мансийский автономный округ - Югра АО город Сургут шоссе Нефтеюганское дом 1   помещение 1058, 1 (первый) этаж</t>
  </si>
  <si>
    <t>ЮЛ770100193500839</t>
  </si>
  <si>
    <t>628413 Ханты-Мансийский автономный округ - Югра АО город Сургут проспект Ленина дом 66/3</t>
  </si>
  <si>
    <t>ЮЛ770100193501117</t>
  </si>
  <si>
    <t>628415 Ханты-Мансийский автономный округ - Югра АО город Сургут улица Чехова дом 1</t>
  </si>
  <si>
    <t>ЮЛ780300131300217</t>
  </si>
  <si>
    <t>628416 Ханты-Мансийский автономный округ - Югра АО город Сургут проспект Ленина дом 54</t>
  </si>
  <si>
    <t>ЮЛ780300131300218</t>
  </si>
  <si>
    <t>628415 Ханты-Мансийский автономный округ - Югра АО город Сургут проспект Ленина 66</t>
  </si>
  <si>
    <t>ЮЛ780300131300254</t>
  </si>
  <si>
    <t>628609 Ханты-Мансийский автономный округ - Югра АО город Нижневартовск улица Маршала Жукова дом 4 стр. 1007</t>
  </si>
  <si>
    <t>ЮЛ780300131300279</t>
  </si>
  <si>
    <t>628611 Ханты-Мансийский автономный округ - Югра АО город Нижневартовск улица Ленина 15/П</t>
  </si>
  <si>
    <t>ЮЛ780300131300378</t>
  </si>
  <si>
    <t>628301 Ханты-Мансийский автономный округ - Югра АО город Нефтеюганск улица Нефтяников 87</t>
  </si>
  <si>
    <t>ЮЛ780300131300379</t>
  </si>
  <si>
    <t>628681 Ханты-Мансийский автономный округ - Югра АО город Мегион улица Советская дом 1/1</t>
  </si>
  <si>
    <t>ЮЛ780300131300381</t>
  </si>
  <si>
    <t>628672 Ханты-Мансийский автономный округ - Югра АО город Лангепас улица Ленина дом 40 "а"   часть нежилого помещения № 2</t>
  </si>
  <si>
    <t>ЮЛ780300131300382</t>
  </si>
  <si>
    <t>628485 Ханты-Мансийский автономный округ - Югра АО город Когалым улица Мира 2б   квартира 146</t>
  </si>
  <si>
    <t>ЮЛ780300131300383</t>
  </si>
  <si>
    <t>628464 Ханты-Мансийский автономный округ - Югра АО город Радужный микрорайон 7 дом 6   пом. 1</t>
  </si>
  <si>
    <t>ЮЛ780300131300384</t>
  </si>
  <si>
    <t>628181 Ханты-Мансийский автономный округ - Югра АО город Нягань улица Ленина 28   нежилое помещение № 83</t>
  </si>
  <si>
    <t>ЮЛ780300131300385</t>
  </si>
  <si>
    <t>628380 Ханты-Мансийский автономный округ - Югра АО город Пыть Ях микрорайон 1 дом 18   часть нежилого помещения 3,6 включенные в нежилое помещение № 31</t>
  </si>
  <si>
    <t>ЮЛ780300131300386</t>
  </si>
  <si>
    <t>628449 Ханты-Мансийский автономный округ - Югра АО город Лянтор мкр-н 2 строен. 59/1   части нежилых помещений № 48,49 , нежилые помещения № 46, 47</t>
  </si>
  <si>
    <t>ЮЛ780300131300405</t>
  </si>
  <si>
    <t>628011 Ханты-Мансийский автономный округ - Югра АО город Ханты-Мансийск улица К. Маркса 17</t>
  </si>
  <si>
    <t>ЮЛ780300131300483</t>
  </si>
  <si>
    <t>628414 Ханты-Мансийский автономный округ - Югра АО город Сургут улица Привокзальная дом 27 строение 6</t>
  </si>
  <si>
    <t>ЮЛ780300131300665</t>
  </si>
  <si>
    <t>628412 Ханты-Мансийский автономный округ - Югра АО город Сургут тракт Югорский здание 38   е помещения 237, 664, 665</t>
  </si>
  <si>
    <t>ЮЛ780301246700002</t>
  </si>
  <si>
    <t>ЮЛ780300331800071</t>
  </si>
  <si>
    <t>628617 Ханты-Мансийский автономный округ - Югра АО город Нижневартовск улица Чапаева здание 27   39</t>
  </si>
  <si>
    <t>ЮЛ780300323500019</t>
  </si>
  <si>
    <t>628600 Ханты-Мансийский автономный округ - Югра АО город Нижневартовск улица Ленина дом 8</t>
  </si>
  <si>
    <t>ЮЛ780300308200152</t>
  </si>
  <si>
    <t>628426 Ханты-Мансийский автономный округ - Югра АО город Сургут улица Быстринская дом 5</t>
  </si>
  <si>
    <t>ЮЛ780300308200156</t>
  </si>
  <si>
    <t>628408 Ханты-Мансийский автономный округ - Югра АО город Сургут тракт Югорский дом 38</t>
  </si>
  <si>
    <t>ЮЛ780300308200157</t>
  </si>
  <si>
    <t>628449 Ханты-Мансийский автономный округ - Югра АО город Лянтор микрорайон 6-й строение 9</t>
  </si>
  <si>
    <t>ЮЛ780300308200163</t>
  </si>
  <si>
    <t>ЮЛ780300308200165</t>
  </si>
  <si>
    <t>628181 Ханты-Мансийский автономный округ - Югра АО город Нягань улица Ленина дом 28</t>
  </si>
  <si>
    <t>ЮЛ780300308200170</t>
  </si>
  <si>
    <t>628380 Ханты-Мансийский автономный округ - Югра АО город Пыть-Ях микрорайон 1 дом 18   нежилое помещение 31</t>
  </si>
  <si>
    <t>ЮЛ780300308200177</t>
  </si>
  <si>
    <t>628242 Ханты-Мансийский автономный округ - Югра АО город Советский улица Гастелло здание 19а</t>
  </si>
  <si>
    <t>ЮЛ780300308200179</t>
  </si>
  <si>
    <t>ЮЛ780300308200180</t>
  </si>
  <si>
    <t>ЮЛ780300308200182</t>
  </si>
  <si>
    <t>628260 Ханты-Мансийский автономный округ - Югра АО город Югорск улица Октябрьская дом 2   нежилое помещение 1-23</t>
  </si>
  <si>
    <t>ЮЛ780300308200315</t>
  </si>
  <si>
    <t>628404 Ханты-Мансийский автономный округ - Югра АО город Сургут шоссе Нефтеюганское дом 1</t>
  </si>
  <si>
    <t>ЮЛ780300308200330</t>
  </si>
  <si>
    <t>628449 Ханты-Мансийский автономный округ - Югра АО город Лянтор микрорайон 2-й строение 59/1</t>
  </si>
  <si>
    <t>ЮЛ780300308200484</t>
  </si>
  <si>
    <t>628624 Ханты-Мансийский автономный округ - Югра АО город Нижневартовск улица Интернациональная владение 73   часть нежилого помещения № 13</t>
  </si>
  <si>
    <t>ЮЛ780300308200488</t>
  </si>
  <si>
    <t>628661 Ханты-Мансийский автономный округ - Югра АО город Покачи улица Комсомольская дом 3Б   часть нежилого помещения № 33</t>
  </si>
  <si>
    <t>ЮЛ780300308200495</t>
  </si>
  <si>
    <t>628456 Ханты-Мансийский автономный округ - Югра АО поселок городского типа Федоровский улица Ленина дом 12/2</t>
  </si>
  <si>
    <t>ЮЛ780300308200500</t>
  </si>
  <si>
    <t>628260 Ханты-Мансийский автономный округ - Югра АО город Югорск улица Ленина дом 2   помещения 85, 86</t>
  </si>
  <si>
    <t>ЮЛ780300308200505</t>
  </si>
  <si>
    <t>628162 Ханты-Мансийский автономный округ - Югра АО город Белоярский улица Мира дом 1   часть нежилое помещение № 122, и нежилое помещение № 124</t>
  </si>
  <si>
    <t>ЮЛ780300308200630</t>
  </si>
  <si>
    <t>ЮЛ780300308200641</t>
  </si>
  <si>
    <t>628403 Ханты-Мансийский автономный округ - Югра АО город Сургут улица 30 лет Победы дом 46   нежилое помещение под № 18</t>
  </si>
  <si>
    <t>ЮЛ780300308200646</t>
  </si>
  <si>
    <t>628331 Ханты-Мансийский автономный округ - Югра АО пгт. Пойковский мкрн.5 зд. 4   нежилые помещения №1 и 2</t>
  </si>
  <si>
    <t>ЮЛ780300308200755</t>
  </si>
  <si>
    <t>628672 Ханты-Мансийский автономный округ - Югра АО город Лангепас улица Ленина дом 40а   часть нежилого помещения №2</t>
  </si>
  <si>
    <t>ЮЛ780300308200757</t>
  </si>
  <si>
    <t>628284 Ханты-Мансийский автономный округ - Югра АО город Урай 3 микрорайон дом 52</t>
  </si>
  <si>
    <t>ЮЛ780300308200761</t>
  </si>
  <si>
    <t>628303 Ханты-Мансийский автономный округ - Югра АО город Нефтеюганск улица Нефтяников дом 87</t>
  </si>
  <si>
    <t>ЮЛ780300308200807</t>
  </si>
  <si>
    <t>628416 Ханты-Мансийский автономный округ - Югра АО город Сургут проспект Ленина дом 37   часть нежилых помещений №48,52,53</t>
  </si>
  <si>
    <t>ЮЛ780300308200811</t>
  </si>
  <si>
    <t>628011 Ханты-Мансийский автономный округ - Югра АО город Ханты-Мансийск улица Карла Маркса дом 17</t>
  </si>
  <si>
    <t>ЮЛ780300308200921</t>
  </si>
  <si>
    <t>628413 Ханты-Мансийский автономный округ - Югра АО город Сургут улица Чехова дом 1</t>
  </si>
  <si>
    <t>ЮЛ780300308200946</t>
  </si>
  <si>
    <t>628616 Ханты-Мансийский автономный округ - Югра АО город Нижневартовск улица Маршала Жукова дом 4 стр.1007</t>
  </si>
  <si>
    <t>ЮЛ780300308200950</t>
  </si>
  <si>
    <t>628486 Ханты-Мансийский автономный округ - Югра АО город Когалым улица Мира дом 2   помещение 146</t>
  </si>
  <si>
    <t>ЮЛ780300308200988</t>
  </si>
  <si>
    <t>628486 Ханты-Мансийский автономный округ - Югра АО город Когалым улица Ленинградская дом 29</t>
  </si>
  <si>
    <t>ЮЛ780300308201037</t>
  </si>
  <si>
    <t>ЮЛ780300308201041</t>
  </si>
  <si>
    <t>628462 Ханты-Мансийский автономный округ - Югра АО город Радужный микрорайон 7 дом 6   пом. 1</t>
  </si>
  <si>
    <t>ЮЛ780300308201046</t>
  </si>
  <si>
    <t>ЮЛ780300363500014</t>
  </si>
  <si>
    <t>628617 Ханты-Мансийский автономный округ - Югра АО город Нижневартовск улица Чапаева дом 27</t>
  </si>
  <si>
    <t>ЮЛ780300363500029</t>
  </si>
  <si>
    <t>628616 Ханты-Мансийский автономный округ - Югра АО город Нижневартовск улица Ленина здание 15/П   помещение на первом этаже</t>
  </si>
  <si>
    <t>ЮЛ780301261200036</t>
  </si>
  <si>
    <t>628418 Ханты-Мансийский автономный округ - Югра АО город Сургут улица Профсоюзов дом 11 1 этаж  помещение №128/1</t>
  </si>
  <si>
    <t>ООО "ЧЕТЫРЕ КАРАТА"</t>
  </si>
  <si>
    <t>8602005307</t>
  </si>
  <si>
    <t>ЮЛ8607016394</t>
  </si>
  <si>
    <t>ЮЛ860701639400001</t>
  </si>
  <si>
    <t>628483 Ханты-Мансийский автономный округ - Югра АО город Когалым улица Дружбы Народов дом 60   помещение №1-1109</t>
  </si>
  <si>
    <t>ЮЛ860701639400002</t>
  </si>
  <si>
    <t>628402 Ханты-Мансийский автономный округ - Югра АО город Сургут улица Геологическая дом 10   часть нежилого помещения № 188</t>
  </si>
  <si>
    <t>ЮЛ860701639400003</t>
  </si>
  <si>
    <t>628403 Ханты-Мансийский автономный округ - Югра АО город Сургут улица 30 лет Победы дом 46   часть нежилого помещения № 36</t>
  </si>
  <si>
    <t>ЮЛ860701639400004</t>
  </si>
  <si>
    <t>628408 Ханты-Мансийский автономный округ - Югра АО город Сургут тракт Югорский дом 38   нежилые помещения № 93, № 583</t>
  </si>
  <si>
    <t>ЮЛ860701639400005</t>
  </si>
  <si>
    <t>ЮЛ860701639400007</t>
  </si>
  <si>
    <t>628415 Ханты-Мансийский автономный округ - Югра АО город Сургут проспект Ленина дом 67/1   помещение № 1</t>
  </si>
  <si>
    <t>ЮЛ860701639400008</t>
  </si>
  <si>
    <t>628609 Ханты-Мансийский автономный округ - Югра АО город Нижневартовск улица Кузоваткина дом 17   помещение № 139</t>
  </si>
  <si>
    <t>ЮЛ860701639400009</t>
  </si>
  <si>
    <t>628447 Ханты-Мансийский автономный округ - Югра АО поселок Нижнесортымский улица Сортымская дом 10</t>
  </si>
  <si>
    <t>ООО "КОЛЬЕ ЭССЕ"</t>
  </si>
  <si>
    <t>8602014750</t>
  </si>
  <si>
    <t>ЮЛ8607014720</t>
  </si>
  <si>
    <t>ЮЛ860701472000001</t>
  </si>
  <si>
    <t>628402 Ханты-Мансийский автономный округ - Югра АО город Сургут улица Геологическая дом 10   нежилое помещение №168</t>
  </si>
  <si>
    <t>ЮЛ860701472000002</t>
  </si>
  <si>
    <t>628418 Ханты-Мансийский автономный округ - Югра АО город Сургут улица Профсоюзов дом 11 1 этаж  помещение №128</t>
  </si>
  <si>
    <t>ЮЛ860701472000003</t>
  </si>
  <si>
    <t>628403 Ханты-Мансийский автономный округ - Югра АО город Сургут улица 30 лет Победы дом 46 1 этаж  помещение №36</t>
  </si>
  <si>
    <t>ЮЛ860701472000004</t>
  </si>
  <si>
    <t>ЮЛ860701472000005</t>
  </si>
  <si>
    <t>628408 Ханты-Мансийский автономный округ - Югра АО город Сургут тракт Югорский дом 38   помещения №197, 571</t>
  </si>
  <si>
    <t>ЮЛ860701472000006</t>
  </si>
  <si>
    <t>628406 Ханты-Мансийский автономный округ - Югра АО город Сургут улица 30 лет Победы дом 66</t>
  </si>
  <si>
    <t>ЮЛ860701472000007</t>
  </si>
  <si>
    <t>628403 Ханты-Мансийский автономный округ - Югра АО город СУРГУТ улица 30 ЛЕТ ПОБЕДЫ дом 3</t>
  </si>
  <si>
    <t>ООО "УРАЛ-СЕВЕР"</t>
  </si>
  <si>
    <t>8602093286</t>
  </si>
  <si>
    <t>ЮЛ8607003448</t>
  </si>
  <si>
    <t>ЮЛ860700344800000</t>
  </si>
  <si>
    <t>628605 Ханты-Мансийский автономный округ - Югра АО город НИЖНЕВАРТОВСК улица 60 ЛЕТ ОКТЯБРЯ 94  литера А</t>
  </si>
  <si>
    <t>ЮЛ860700344800001</t>
  </si>
  <si>
    <t>628404 Ханты-Мансийский автономный округ - Югра АО город  Сургут улица Энтузиастов дом 6</t>
  </si>
  <si>
    <t>ЮЛ860700344800002</t>
  </si>
  <si>
    <t>628403 Ханты-Мансийский автономный округ - Югра АО город Сургут улица Сибирская дом 15   нежилое помещение 13</t>
  </si>
  <si>
    <t>ЮЛ860700344800003</t>
  </si>
  <si>
    <t>628404 Ханты-Мансийский автономный округ - Югра АО город Сургут шоссе Нефтеюганское дом 1   помещение 1069</t>
  </si>
  <si>
    <t>ИП Скворцова Марина Викторовна</t>
  </si>
  <si>
    <t>860212116462</t>
  </si>
  <si>
    <t>ИП8607007190</t>
  </si>
  <si>
    <t>ИП860700719000000</t>
  </si>
  <si>
    <t>628415 Ханты-Мансийский автономный округ - Югра АО город Сургут проспект Ленина дом 67/1</t>
  </si>
  <si>
    <t>ИП860700719000001</t>
  </si>
  <si>
    <t>628402 Ханты-Мансийский автономный округ - Югра АО город Сургут улица Геологическая дом 9</t>
  </si>
  <si>
    <t>ООО ЛОМБАРД "КОРОНА"</t>
  </si>
  <si>
    <t>8602158409</t>
  </si>
  <si>
    <t>ЮЛ8607001231</t>
  </si>
  <si>
    <t>ЮЛ860700123100000</t>
  </si>
  <si>
    <t>628400 Ханты-Мансийский автономный округ - Югра АО город Сургут улица 30 лет Победы дом 46   помещение 20, 1 этаж</t>
  </si>
  <si>
    <t>ИП Кувыкова Вера Викторовна</t>
  </si>
  <si>
    <t>860217750256</t>
  </si>
  <si>
    <t>ИП8607009429</t>
  </si>
  <si>
    <t>ИП860700942900000</t>
  </si>
  <si>
    <t>628403 Ханты-Мансийский автономный округ - Югра АО город Сургут улица Маяковского дом 45Б   203А</t>
  </si>
  <si>
    <t>8602270680</t>
  </si>
  <si>
    <t>ЮЛ8607006202</t>
  </si>
  <si>
    <t>ЮЛ860700620200000</t>
  </si>
  <si>
    <t>628600 Ханты-Мансийский автономный округ - Югра АО город Нижневартовск улица Мира 5/П строение 7  панель 17</t>
  </si>
  <si>
    <t>ООО "ПУСТИЛЬНИК"</t>
  </si>
  <si>
    <t>8603018644</t>
  </si>
  <si>
    <t>ЮЛ8607013708</t>
  </si>
  <si>
    <t>ЮЛ860701370800000</t>
  </si>
  <si>
    <t>628606 Ханты-Мансийский автономный округ - Югра АО Город Нижневартовск Улица Омская Дом 12   Помещение 1014</t>
  </si>
  <si>
    <t>ИП Симеонидис Наталия Александровна</t>
  </si>
  <si>
    <t>860302534665</t>
  </si>
  <si>
    <t>ИП8607007886</t>
  </si>
  <si>
    <t>ИП860700788600000</t>
  </si>
  <si>
    <t>628616 Ханты-Мансийский автономный округ - Югра АО город Нижневартовск проспект Победы дом 24   пом.1001(Магазин, Склад)</t>
  </si>
  <si>
    <t>ИП Тропизонян Наталья Семеновна</t>
  </si>
  <si>
    <t>860305877808</t>
  </si>
  <si>
    <t>ИП8607031185</t>
  </si>
  <si>
    <t>ИП860703118500000</t>
  </si>
  <si>
    <t>628624 Ханты-Мансийский автономный округ - Югра АО город Нижневартовск улица Дружбы Народов дом 33   помещение 1004</t>
  </si>
  <si>
    <t>ИП Скирляк Юрий Михайлович</t>
  </si>
  <si>
    <t>860306524146</t>
  </si>
  <si>
    <t>ИП8607008588</t>
  </si>
  <si>
    <t>ИП860700858800000</t>
  </si>
  <si>
    <t>628681 Ханты-Мансийский автономный округ - Югра АО Мегион Нефтяников 13   3</t>
  </si>
  <si>
    <t>ООО "МЕГА-ЗОЛОТО"</t>
  </si>
  <si>
    <t>8603178944</t>
  </si>
  <si>
    <t>ЮЛ8607013226</t>
  </si>
  <si>
    <t>ЮЛ860701322600000</t>
  </si>
  <si>
    <t>628624 Ханты-Мансийский автономный округ - Югра АО город Нижневартовск улица Дружбы Народов дом 26   помещение 1007</t>
  </si>
  <si>
    <t>ЮЛ860701322600001</t>
  </si>
  <si>
    <t>628616 Ханты-Мансийский автономный округ - Югра АО город Нижневартовск улица Маршала Жукова дом 6   помещение 1002</t>
  </si>
  <si>
    <t>ООО "СИБИРСКОЕ ЗОЛОТО"</t>
  </si>
  <si>
    <t>8603231122</t>
  </si>
  <si>
    <t>ЮЛ8607006939</t>
  </si>
  <si>
    <t>ЮЛ860700693900000</t>
  </si>
  <si>
    <t>628310 Ханты-Мансийский автономный округ - Югра АО город Нефтеюганск микрорайон 12 дом 1</t>
  </si>
  <si>
    <t>ЮЛ860700693900003</t>
  </si>
  <si>
    <t>628301 Ханты-Мансийский автономный округ - Югра АО город Нефтеюганск микрорайон 2 дом 33   место №02</t>
  </si>
  <si>
    <t>ЮЛ860700693900004</t>
  </si>
  <si>
    <t>628415 Ханты-Мансийский автономный округ - Югра АО город Сургут проспект Набережный дом 47</t>
  </si>
  <si>
    <t>ЮЛ860700693900005</t>
  </si>
  <si>
    <t>628606 Ханты-Мансийский автономный округ - Югра АО город Нижневартовск проспект Победы дом 7   помещение 1008</t>
  </si>
  <si>
    <t>ООО "ПЕРИДОТ"</t>
  </si>
  <si>
    <t>8603234250</t>
  </si>
  <si>
    <t>ЮЛ8607016395</t>
  </si>
  <si>
    <t>ЮЛ860701639500000</t>
  </si>
  <si>
    <t>628606 Ханты-Мансийский автономный округ - Югра АО город Нижневартовск улица Омская дом 10   помещение 1005</t>
  </si>
  <si>
    <t>ООО "СМАРАГД"</t>
  </si>
  <si>
    <t>8603235590</t>
  </si>
  <si>
    <t>ЮЛ8607003530</t>
  </si>
  <si>
    <t>ЮЛ860700353000000</t>
  </si>
  <si>
    <t>628309 Ханты-Мансийский автономный округ - Югра АО город Нефтеюганск улица микрорайон 1 дом 27   помещение 22</t>
  </si>
  <si>
    <t>ИП Ищенко Элла Викторовна</t>
  </si>
  <si>
    <t>860400745865</t>
  </si>
  <si>
    <t>ИП8607002981</t>
  </si>
  <si>
    <t>ИП860700298100000</t>
  </si>
  <si>
    <t>628311 Ханты-Мансийский автономный округ - Югра АО город Нефтеюганск улица микрорайон 16А дом 55   помещение 1</t>
  </si>
  <si>
    <t>ИП860700298100001</t>
  </si>
  <si>
    <t>628280 Ханты-Мансийский автономный округ - Югра АО город Урай микрорайон 2 дом 31</t>
  </si>
  <si>
    <t>ИП Алимова Альфия Рашидовна</t>
  </si>
  <si>
    <t>860605236957</t>
  </si>
  <si>
    <t>ИП8607006876</t>
  </si>
  <si>
    <t>ИП860700687600000</t>
  </si>
  <si>
    <t>628280 Ханты-Мансийский автономный округ - Югра АО город Урай микрорайон 2 дом 88   помещение 52</t>
  </si>
  <si>
    <t>ИП860700687600001</t>
  </si>
  <si>
    <t>628672 Ханты-Мансийский автономный округ - Югра АО город Лангепас улица Ленина дом 40   торговое место №№ 1, 2</t>
  </si>
  <si>
    <t>ИП Ромашко Людмила Юрьевна</t>
  </si>
  <si>
    <t>860700021239</t>
  </si>
  <si>
    <t>ИП8607000200</t>
  </si>
  <si>
    <t>ИП860700020000000</t>
  </si>
  <si>
    <t>628671 Ханты-Мансийский автономный округ - Югра АО город Лангепас улица Ленина дом 28а</t>
  </si>
  <si>
    <t>ИП Акишев Владимир Валерьевич</t>
  </si>
  <si>
    <t>860700197440</t>
  </si>
  <si>
    <t>ИП8607007117</t>
  </si>
  <si>
    <t>ИП860700711700000</t>
  </si>
  <si>
    <t>628486 Ханты-Мансийский автономный округ - Югра АО город Когалым улица Молодежная дом 10/1   нежилое помещение №58</t>
  </si>
  <si>
    <t>ООО "РОСИНКА"</t>
  </si>
  <si>
    <t>8608056153</t>
  </si>
  <si>
    <t>ЮЛ8607014379</t>
  </si>
  <si>
    <t>ЮЛ860701437900000</t>
  </si>
  <si>
    <t>628181 Ханты-Мансийский автономный округ - Югра АО Город Нягань Микрорайон 1 Дом 1   помещение 113</t>
  </si>
  <si>
    <t>ООО "ТРАЛ-2"</t>
  </si>
  <si>
    <t>8610022602</t>
  </si>
  <si>
    <t>ЮЛ8607002340</t>
  </si>
  <si>
    <t>ЮЛ860700234000000</t>
  </si>
  <si>
    <t>628160 Ханты-Мансийский автономный округ - Югра АО город Белоярский улица Молодости дом 1   помещение 22</t>
  </si>
  <si>
    <t>ИП Баранов Иван Олегович</t>
  </si>
  <si>
    <t>861102714856</t>
  </si>
  <si>
    <t>ИП5001032417</t>
  </si>
  <si>
    <t>ИП500103241700000</t>
  </si>
  <si>
    <t>628381 Ханты-Мансийский автономный округ - Югра АО Город Пыть-Ях Микрорайон 2 дом 17а</t>
  </si>
  <si>
    <t>ИП Рубцова Ирина Михайловна</t>
  </si>
  <si>
    <t>861200082500</t>
  </si>
  <si>
    <t>ИП8607003104</t>
  </si>
  <si>
    <t>ИП860700310400000</t>
  </si>
  <si>
    <t>628240 Ханты-Мансийский автономный округ - Югра АО город Советский улица Гастелло дом 39</t>
  </si>
  <si>
    <t>ИП Белёва Алёна Алексеевна</t>
  </si>
  <si>
    <t>861501346474</t>
  </si>
  <si>
    <t>ИП8607001626</t>
  </si>
  <si>
    <t>ИП860700162600000</t>
  </si>
  <si>
    <t>628260 Ханты-Мансийский автономный округ - Югра АО город Югорск улица Октябрьская дом 2   1-30</t>
  </si>
  <si>
    <t>ИП860700162600002</t>
  </si>
  <si>
    <t>628001 Ханты-Мансийский автономный округ - Югра АО город Ханты-Мансийск улица Заводская здание 11а   пом. 32</t>
  </si>
  <si>
    <t>ИП860700162600003</t>
  </si>
  <si>
    <t>628240 Ханты-Мансийский автономный округ - Югра АО город Советский Восточная промышленная зона № 1  строение № 15</t>
  </si>
  <si>
    <t>ИП Огарышева Наталия Викторовна</t>
  </si>
  <si>
    <t>861502303265</t>
  </si>
  <si>
    <t>ИП8607002324</t>
  </si>
  <si>
    <t>ИП860700232400000</t>
  </si>
  <si>
    <t>628331 Ханты-Мансийский автономный округ - Югра АО поселок городского типа Пойковский микрорайон 5-й дом 2   бутик 22</t>
  </si>
  <si>
    <t>ИП Якушевич Елена Викторовна</t>
  </si>
  <si>
    <t>861900031290</t>
  </si>
  <si>
    <t>ИП8607003966</t>
  </si>
  <si>
    <t>ИП860700396600000</t>
  </si>
  <si>
    <t>628661 Ханты-Мансийский автономный округ - Югра АО город Покачи улица Мира дом 4 строение 2</t>
  </si>
  <si>
    <t>ИП Арсланова Патимат Исаевна</t>
  </si>
  <si>
    <t>862101220461</t>
  </si>
  <si>
    <t>ИП8607016281</t>
  </si>
  <si>
    <t>ИП860701628100000</t>
  </si>
  <si>
    <t>628408 Ханты-Мансийский автономный округ - Югра АО город Сургут тракт Югорский дом 38   Помещение 273</t>
  </si>
  <si>
    <t>ИП Сомихина Ольга Александровна</t>
  </si>
  <si>
    <t>890406453628</t>
  </si>
  <si>
    <t>ИП8907002674</t>
  </si>
  <si>
    <t>ИП890700267400005</t>
  </si>
  <si>
    <t>628403 Ханты-Мансийский автономный округ - Югра АО город Сургут бульвар Свободы дом 1</t>
  </si>
  <si>
    <t>ИП820400991100007</t>
  </si>
  <si>
    <t>628422 Ханты-Мансийский автономный округ - Югра АО город Сургут шоссе Нефтеюганское дом 1   помещение 1031 В</t>
  </si>
  <si>
    <t>ЮЛ770100439200196</t>
  </si>
  <si>
    <t>628412 Ханты-Мансийский автономный округ - Югра АО город Сургут тракт Югорский дом 38   2 этаж, помещения № 189, 516, 517</t>
  </si>
  <si>
    <t>ЮЛ770100439200198</t>
  </si>
  <si>
    <t>628616 Ханты-Мансийский автономный округ - Югра АО город Нижневартовск улица Ленина здание 8    помещение 112 на 1-м этаже</t>
  </si>
  <si>
    <t>ЮЛ770100439200263</t>
  </si>
  <si>
    <t>628617 Ханты-Мансийский автономный округ - Югра АО город Нижневартовск улица Чапаева дом 27   пом. 65</t>
  </si>
  <si>
    <t>ЮЛ770100439200269</t>
  </si>
  <si>
    <t>Херсонская область</t>
  </si>
  <si>
    <t>275500 Херсонская область город Геническ улица Дружбы Народов 64 Модуль 1 Ролет 8</t>
  </si>
  <si>
    <t>ИП Будник Евгений Владимирович</t>
  </si>
  <si>
    <t>910620196428</t>
  </si>
  <si>
    <t>ИП9504037581</t>
  </si>
  <si>
    <t>ИП950403758100000</t>
  </si>
  <si>
    <t>275300 Херсонская область пгт. Новотроицкое улица Ленина дом 85</t>
  </si>
  <si>
    <t>ИП НЕВИДНИЧАЯ Е. Н.</t>
  </si>
  <si>
    <t>910624855946</t>
  </si>
  <si>
    <t>ИП9504037119</t>
  </si>
  <si>
    <t>ИП950403711900000</t>
  </si>
  <si>
    <t>274722 Херсонская область поселок городского типа Нижние Серогозы улица Независимости дом 24А   пом. 11</t>
  </si>
  <si>
    <t>ИП Дежкин Андрей Николаевич</t>
  </si>
  <si>
    <t>950003611237</t>
  </si>
  <si>
    <t>ИП9504040963</t>
  </si>
  <si>
    <t>ИП950404096300000</t>
  </si>
  <si>
    <t>Челябинская область</t>
  </si>
  <si>
    <t>456020 Челябинская область город Сим улица Кирова дом 17/1</t>
  </si>
  <si>
    <t>ИП Лушников Владимир Юрьевич</t>
  </si>
  <si>
    <t>27316433140</t>
  </si>
  <si>
    <t>ИП0206002712</t>
  </si>
  <si>
    <t>ИП020600271200000</t>
  </si>
  <si>
    <t>456014 Челябинская область город Аша улица Ленина дом 14</t>
  </si>
  <si>
    <t>ЮЛ020603117700001</t>
  </si>
  <si>
    <t>455026 Челябинская область город Магнитогорск улица Гагарина дом 41   помещение 8</t>
  </si>
  <si>
    <t>ИП Шах-Ака Алина Равильевна</t>
  </si>
  <si>
    <t>234809803557</t>
  </si>
  <si>
    <t>ИП2304040687</t>
  </si>
  <si>
    <t>ИП230404068700000</t>
  </si>
  <si>
    <t>454021 Челябинская область город Челябинск улица Молдавская дом 16</t>
  </si>
  <si>
    <t>ИП440200649100007</t>
  </si>
  <si>
    <t>454091 Челябинская область город Челябинск площадь Революции б/н</t>
  </si>
  <si>
    <t>ИП440200649100019</t>
  </si>
  <si>
    <t>454021 Челябинская область город Челябинск улица Молдавская дом 16   часть нежилого помещения №23: часть комнаты № 55</t>
  </si>
  <si>
    <t>ЮЛ500100602500024</t>
  </si>
  <si>
    <t>454138 Челябинская область город Челябинск улица Молодогвардейцев дом 7   часть нежилого помещения № 182</t>
  </si>
  <si>
    <t>ЮЛ500100602500026</t>
  </si>
  <si>
    <t>454091 Челябинская область город Челябинск проспект Ленина дом 62</t>
  </si>
  <si>
    <t>ИП500100445500004</t>
  </si>
  <si>
    <t>454010 Челябинская область город Челябинск шоссе Копейское дом 64</t>
  </si>
  <si>
    <t>ИП500100445500078</t>
  </si>
  <si>
    <t>454080 Челябинская область город Челябинск улица Труда дом 203</t>
  </si>
  <si>
    <t>ИП500100445500090</t>
  </si>
  <si>
    <t>454007 Челябинская область город Челябинск улица Артиллерийская дом 136   ТЦ Горки</t>
  </si>
  <si>
    <t>ИП500100445500102</t>
  </si>
  <si>
    <t>456227 Челябинская область город Златоуст поселок Айский дом 70   часть нежилого помещения № 15</t>
  </si>
  <si>
    <t>ИП440200426400035</t>
  </si>
  <si>
    <t>456625 Челябинская область город Копейск проспект Славы дом 8   нежилое помещение №35</t>
  </si>
  <si>
    <t>ИП590601426900037</t>
  </si>
  <si>
    <t>456227 Челябинская область город Златоуст поселок Айский дом 70   нежилое помещение №1</t>
  </si>
  <si>
    <t>ИП590601426900047</t>
  </si>
  <si>
    <t>455045 Челябинская область город Магнитогорск проспект Карла Маркса дом 153   место №о11 этаж 1</t>
  </si>
  <si>
    <t>ИП610400426600018</t>
  </si>
  <si>
    <t>454010 Челябинская область город Челябинск шоссе Копейское дом 64   часть помещения 1К6-8 этаж 2</t>
  </si>
  <si>
    <t>ИП610400426600022</t>
  </si>
  <si>
    <t>456227 Челябинская область город Златоуст поселок Айский дом 70   часть нежилого помещения №1</t>
  </si>
  <si>
    <t>ИП630601425400003</t>
  </si>
  <si>
    <t>456080 Челябинская область город Трехгорный улица Островского дом 50-а</t>
  </si>
  <si>
    <t>ИП630601425400010</t>
  </si>
  <si>
    <t>455044 Челябинская область город Магнитогорск проспект Карла Маркса дом 99 помещение 60,часть помещения 46</t>
  </si>
  <si>
    <t>ИП630601425400023</t>
  </si>
  <si>
    <t>456300 Челябинская область город Миасс проспект Автозаводцев дом 65</t>
  </si>
  <si>
    <t>ИП630601425400063</t>
  </si>
  <si>
    <t>455044 Челябинская область город Магнитогорск проспект Ленина дом 83</t>
  </si>
  <si>
    <t>ИП630601425400066</t>
  </si>
  <si>
    <t>456910 Челябинская область город Сатка улица Пролетарская дом 41</t>
  </si>
  <si>
    <t>ИП630601425400073</t>
  </si>
  <si>
    <t>455045 Челябинская область город Магнитогорск проспект Карла Маркса дом 153   место 9</t>
  </si>
  <si>
    <t>ИП630601425400098</t>
  </si>
  <si>
    <t>455045 Челябинская область город Магнитогорск проспект Карла Маркса дом 153   место 26</t>
  </si>
  <si>
    <t>ИП630601425400103</t>
  </si>
  <si>
    <t>455001 Челябинская область город Магнитогорск проспект Карла Маркса дом 68   помещение 5</t>
  </si>
  <si>
    <t>ЮЛ630603373600074</t>
  </si>
  <si>
    <t>456604 Челябинская область город Копейск проспект Победы дом 16   помещение 2</t>
  </si>
  <si>
    <t>ООО "ЛОМБАРД АКСИОМА"</t>
  </si>
  <si>
    <t>6382099504</t>
  </si>
  <si>
    <t>ЮЛ6306037297</t>
  </si>
  <si>
    <t>ЮЛ630603729700001</t>
  </si>
  <si>
    <t>455037 Челябинская область город Магнитогорск проспект Карла Маркса дом 115   помещение 3</t>
  </si>
  <si>
    <t>ЮЛ630603729700002</t>
  </si>
  <si>
    <t>455023 Челябинская область город Магнитогорск проспект Карла Маркса дом 82   помещение 2</t>
  </si>
  <si>
    <t>ЮЛ630603729700003</t>
  </si>
  <si>
    <t>455000 Челябинская область город Магнитогорск проспект Карла Маркса дом 42   помещение 5</t>
  </si>
  <si>
    <t>ЮЛ630603729700004</t>
  </si>
  <si>
    <t>455016 Челябинская область город Магнитогорск улица Чкалова дом 19   помещение 5</t>
  </si>
  <si>
    <t>ЮЛ630603729700005</t>
  </si>
  <si>
    <t>456601 Челябинская область город Копейск улица Сутягина дом 6   помещение 23</t>
  </si>
  <si>
    <t>ЮЛ630603729700006</t>
  </si>
  <si>
    <t>454133 Челябинская область город Челябинск улица Звездная дом 5А   часть нежилого помещения 3 этаж общая зона ВВЛ</t>
  </si>
  <si>
    <t>ИП660701968800001</t>
  </si>
  <si>
    <t>454133 Челябинская область город Челябинск улица Звездная дом 5А   часть нежилого помещения 3 этаж стерильная зона ВВЛ</t>
  </si>
  <si>
    <t>ИП660701968800002</t>
  </si>
  <si>
    <t>454080 Челябинская область город Челябинск Улица Труда Дом 203</t>
  </si>
  <si>
    <t>ИП Шевченко Дарья Сергеевна</t>
  </si>
  <si>
    <t>662337246151</t>
  </si>
  <si>
    <t>ИП6607000086</t>
  </si>
  <si>
    <t>ИП660700008600000</t>
  </si>
  <si>
    <t>456970 Челябинская область город Нязепетровск Свердлова 5</t>
  </si>
  <si>
    <t>ИП Озорнина Ульяна Александровна</t>
  </si>
  <si>
    <t>665897061825</t>
  </si>
  <si>
    <t>ИП6607012822</t>
  </si>
  <si>
    <t>ИП660701282200000</t>
  </si>
  <si>
    <t>454047 Челябинская область город Челябинск улица Богдана Хмельницкого дом 25</t>
  </si>
  <si>
    <t>ЮЛ660701160700001</t>
  </si>
  <si>
    <t>454084 Челябинская область город Челябинск проспект Победы дом 166   нежилое помещение №4</t>
  </si>
  <si>
    <t>ЮЛ660701160700005</t>
  </si>
  <si>
    <t>454091 Челябинская область город Челябинск улица Цвиллинга дом 59</t>
  </si>
  <si>
    <t>ЮЛ660701160700007</t>
  </si>
  <si>
    <t>454085 Челябинская область город Челябинск улица Марченко дом 18</t>
  </si>
  <si>
    <t>ЮЛ660701160700008</t>
  </si>
  <si>
    <t>454128 Челябинская область город Челябинск улица Чичерина дом 29   нежилое помещение №291</t>
  </si>
  <si>
    <t>ЮЛ660701160700009</t>
  </si>
  <si>
    <t>454003 Челябинская область город Челябинск проспект Героя России Родионова Е.Н. дом 11</t>
  </si>
  <si>
    <t>ЮЛ660701160700017</t>
  </si>
  <si>
    <t>454084 Челябинская область город Челябинск проспект Победы дом 160   401</t>
  </si>
  <si>
    <t>ООО "САМОЦВЕТЫ ОНЛАЙН"</t>
  </si>
  <si>
    <t>6685175899</t>
  </si>
  <si>
    <t>ЮЛ6607014165</t>
  </si>
  <si>
    <t>ЮЛ660701416500000</t>
  </si>
  <si>
    <t>454010 Челябинская область город Челябинск улица Гагарина дом 31   помещение 77</t>
  </si>
  <si>
    <t>ООО "ЛОМБАРД УРАЛА"</t>
  </si>
  <si>
    <t>6686161426</t>
  </si>
  <si>
    <t>ЮЛ6607037448</t>
  </si>
  <si>
    <t>ЮЛ660703744800001</t>
  </si>
  <si>
    <t>ИП Мингазова Альмира Наилевна</t>
  </si>
  <si>
    <t>740100104978</t>
  </si>
  <si>
    <t>ИП7407008108</t>
  </si>
  <si>
    <t>ИП740700810800000</t>
  </si>
  <si>
    <t>456015 Челябинская область город Аша Озимина улица дом 16   помещение 3</t>
  </si>
  <si>
    <t>ИП740700810800003</t>
  </si>
  <si>
    <t>456010 Челябинская область город  Аша Ленина улица дом 14</t>
  </si>
  <si>
    <t>ИП МИНГАЗОВ РАДИК ФИДАРИСОВИЧ</t>
  </si>
  <si>
    <t>740100105530</t>
  </si>
  <si>
    <t>ИП7407037002</t>
  </si>
  <si>
    <t>ИП740703700200000</t>
  </si>
  <si>
    <t>456010 Челябинская область город Аша улица Озимина дом 16   помещение 3</t>
  </si>
  <si>
    <t>ИП740703700200001</t>
  </si>
  <si>
    <t>456014 Челябинская область город Аша улица Ленина дом 12</t>
  </si>
  <si>
    <t>ИП Ахметдинова Альмира Мухаматкасимовна</t>
  </si>
  <si>
    <t>740101772569</t>
  </si>
  <si>
    <t>ИП7407009538</t>
  </si>
  <si>
    <t>ИП740700953800000</t>
  </si>
  <si>
    <t>456800 Челябинская область город Верхний Уфалей улица Ленина дом 161   помещение 1001</t>
  </si>
  <si>
    <t>ИП Свободина Александра Владимировна</t>
  </si>
  <si>
    <t>740203446290</t>
  </si>
  <si>
    <t>ИП7407002366</t>
  </si>
  <si>
    <t>ИП740700236600000</t>
  </si>
  <si>
    <t>456200 Челябинская область город Златоуст проспект Мира дом 22</t>
  </si>
  <si>
    <t>ООО "НОВАЦИЯ"</t>
  </si>
  <si>
    <t>7404029047</t>
  </si>
  <si>
    <t>ЮЛ7407010479</t>
  </si>
  <si>
    <t>ЮЛ740701047900001</t>
  </si>
  <si>
    <t>456200 Челябинская область город Златоуст улица Ленина дом 2   помещение Б-1</t>
  </si>
  <si>
    <t>ЮЛ740701047900003</t>
  </si>
  <si>
    <t>456910 Челябинская область город Сатка улица Солнечная дом 17   помещение 7</t>
  </si>
  <si>
    <t>ЮЛ740701047900007</t>
  </si>
  <si>
    <t>456227 Челябинская область город Златоуст поселок Айский дом 70   помещение №7</t>
  </si>
  <si>
    <t>ЮЛ740701047900011</t>
  </si>
  <si>
    <t>456205 Челябинская область город Златоуст улица им. П.П.Аносова дом 249</t>
  </si>
  <si>
    <t>ЮЛ740701047900012</t>
  </si>
  <si>
    <t>454084 Челябинская область город Челябинск улица Цвиллинга дом 36 ххх ххх ххх</t>
  </si>
  <si>
    <t>ООО "ЗОЛОТОЙ КАПИТАЛ"</t>
  </si>
  <si>
    <t>7404063954</t>
  </si>
  <si>
    <t>ЮЛ7407010586</t>
  </si>
  <si>
    <t>ЮЛ740701058600000</t>
  </si>
  <si>
    <t>456228 Челябинская область город Златоуст проспект им Ю.А.Гагарина 3-й мкр дом 35   помещение 9</t>
  </si>
  <si>
    <t>ООО "НОВАЦИЯ ПЛЮС"</t>
  </si>
  <si>
    <t>7404076791</t>
  </si>
  <si>
    <t>ЮЛ7407035352</t>
  </si>
  <si>
    <t>ЮЛ740703535200000</t>
  </si>
  <si>
    <t>456207 Челябинская область город Златоуст улица им. Карла Маркса дом 11   помещение 8</t>
  </si>
  <si>
    <t>ЮЛ740703535200001</t>
  </si>
  <si>
    <t>456300 Челябинская область город Миасс проспект Автозаводцев дом 65   помещение 1</t>
  </si>
  <si>
    <t>ЮЛ740703535200003</t>
  </si>
  <si>
    <t>456227 Челябинская область город Златоуст поселок Айский дом 70   помещение 8</t>
  </si>
  <si>
    <t>ЮЛ740703535200004</t>
  </si>
  <si>
    <t>456200 Челябинская область город Златоуст улица Златоустовская дом 1   помещение Б-3</t>
  </si>
  <si>
    <t>ЮЛ740703535200005</t>
  </si>
  <si>
    <t>456440 Челябинская область город Чебаркуль улица Крупской дом 6   39А</t>
  </si>
  <si>
    <t>ИП Арбузова Алевтина Юрьевна</t>
  </si>
  <si>
    <t>740409321600</t>
  </si>
  <si>
    <t>ИП7407006809</t>
  </si>
  <si>
    <t>ИП740700680900001</t>
  </si>
  <si>
    <t>456440 Челябинская область город Чебаркуль улица Крупской дом 19   помещение 3</t>
  </si>
  <si>
    <t>ИП740700680900002</t>
  </si>
  <si>
    <t>456880 Челябинская область село Аргаяш улица Комсомольская дом 8</t>
  </si>
  <si>
    <t>ИП740700680900003</t>
  </si>
  <si>
    <t>456444 Челябинская область город Чебаркуль улица Каширина дом 2</t>
  </si>
  <si>
    <t>ИП740700680900004</t>
  </si>
  <si>
    <t>456200 Челябинская область город Златоуст улица Златоустовская дом 1</t>
  </si>
  <si>
    <t>ИП740700680900005</t>
  </si>
  <si>
    <t>ИП740700680900006</t>
  </si>
  <si>
    <t>456120 Челябинская область город Юрюзань улица Советская дом 94</t>
  </si>
  <si>
    <t>ИП Белозерцев Дмитрий Евгеньевич</t>
  </si>
  <si>
    <t>740502576459</t>
  </si>
  <si>
    <t>ИП7407013649</t>
  </si>
  <si>
    <t>ИП740701364900000</t>
  </si>
  <si>
    <t>456120 Челябинская область город Юрюзань улица Советская дом 94   нежилое помещение 8</t>
  </si>
  <si>
    <t>ИП740701364900001</t>
  </si>
  <si>
    <t>457351 Челябинская область город Карталы улица Пушкина дом 10   помещение 2</t>
  </si>
  <si>
    <t>ИП Могильченко Елена Юрьевна</t>
  </si>
  <si>
    <t>740704014318</t>
  </si>
  <si>
    <t>ИП7407009202</t>
  </si>
  <si>
    <t>ИП740700920200000</t>
  </si>
  <si>
    <t>456110 Челябинская область город Катав-Ивановск улица Ленина дом 16   нежилое помещение № 1</t>
  </si>
  <si>
    <t>ИП Зарипова Светлана Радисовна</t>
  </si>
  <si>
    <t>741001967118</t>
  </si>
  <si>
    <t>ИП7407010105</t>
  </si>
  <si>
    <t>ИП740701010500000</t>
  </si>
  <si>
    <t>456043 Челябинская область город Усть-Катав улица Ленина дом 43</t>
  </si>
  <si>
    <t>ИП Шайхтдинов Рамил Хамильевич</t>
  </si>
  <si>
    <t>741002058852</t>
  </si>
  <si>
    <t>ИП7407010227</t>
  </si>
  <si>
    <t>ИП740701022700000</t>
  </si>
  <si>
    <t>456040 Челябинская область город Усть-Катав пр-т Кирилычева 1   секция 107</t>
  </si>
  <si>
    <t>ИП740701022700001</t>
  </si>
  <si>
    <t>456040 Челябинская область город Усть-Катав улица МКР-2 дом 46</t>
  </si>
  <si>
    <t>ИП740701022700002</t>
  </si>
  <si>
    <t>456120 Челябинская область город Юрюзань улица Советская дом 65</t>
  </si>
  <si>
    <t>ИП Ахремова Наталья Владимировна</t>
  </si>
  <si>
    <t>741002538009</t>
  </si>
  <si>
    <t>ИП7407017182</t>
  </si>
  <si>
    <t>ИП740701718200000</t>
  </si>
  <si>
    <t>456020 Челябинская область город Сим улица Кирова дом 26 А   Нежилое помещение №17</t>
  </si>
  <si>
    <t>ИП740701718200001</t>
  </si>
  <si>
    <t>456601 Челябинская область город Копейск улица Сутягина дом 15</t>
  </si>
  <si>
    <t>ИП Томин Константин Валерьевич</t>
  </si>
  <si>
    <t>741100878885</t>
  </si>
  <si>
    <t>ИП7407016949</t>
  </si>
  <si>
    <t>ИП740701694900000</t>
  </si>
  <si>
    <t>456618 Челябинская область город Копейск проспект Славы дом 1   помещение 1</t>
  </si>
  <si>
    <t>ИП Гащенко Владимир Григорьевич</t>
  </si>
  <si>
    <t>741103928816</t>
  </si>
  <si>
    <t>ИП7407007078</t>
  </si>
  <si>
    <t>ИП740700707800000</t>
  </si>
  <si>
    <t>456618 Челябинская область город Копейск проспект Победы дом 11   помещение 9</t>
  </si>
  <si>
    <t>ИП740700707800001</t>
  </si>
  <si>
    <t>456625 Челябинская область город Копейск проспект Победы дом 13   помещение 11</t>
  </si>
  <si>
    <t>ИП740700707800002</t>
  </si>
  <si>
    <t>456625 Челябинская область город Копейск проспект Славы дом 8   помещение 36</t>
  </si>
  <si>
    <t>ИП740700707800003</t>
  </si>
  <si>
    <t>454093 Челябинская область город Челябинск улица Копейское шоссе дом 64   ТРЦ "Алмаз"</t>
  </si>
  <si>
    <t>ИП Воронин Вячеслав Викторович</t>
  </si>
  <si>
    <t>741107432401</t>
  </si>
  <si>
    <t>ИП7407011012</t>
  </si>
  <si>
    <t>ИП740701101200000</t>
  </si>
  <si>
    <t>456618 Челябинская область город Копейск улица Ленина дом 47   магазин "Рубин"</t>
  </si>
  <si>
    <t>ИП740701101200001</t>
  </si>
  <si>
    <t>456660 Челябинская область село Миасское улица Советская дом 10А</t>
  </si>
  <si>
    <t>ИП Радионов Андрей Николаевич</t>
  </si>
  <si>
    <t>741109137031</t>
  </si>
  <si>
    <t>ИП7407030854</t>
  </si>
  <si>
    <t>ИП740703085400000</t>
  </si>
  <si>
    <t>456550 Челябинская область город Коркино улица Мира дом 37</t>
  </si>
  <si>
    <t>ИП Кубасов Валерий Николаевич</t>
  </si>
  <si>
    <t>741200245276</t>
  </si>
  <si>
    <t>ИП7407010183</t>
  </si>
  <si>
    <t>ИП740701018300000</t>
  </si>
  <si>
    <t>456871 Челябинская область город Кыштым улица Карла Либкнехта дом 164</t>
  </si>
  <si>
    <t>ИП Батурина Наталья Михайловна</t>
  </si>
  <si>
    <t>741300057886</t>
  </si>
  <si>
    <t>ИП7407006972</t>
  </si>
  <si>
    <t>ИП740700697200000</t>
  </si>
  <si>
    <t>456870 Челябинская область город Кыштым площадь Карла Маркса дом 4</t>
  </si>
  <si>
    <t>ИП Гернер Анна Вячеславовна</t>
  </si>
  <si>
    <t>741301165122</t>
  </si>
  <si>
    <t>ИП7407002576</t>
  </si>
  <si>
    <t>ИП740700257600000</t>
  </si>
  <si>
    <t>456870 Челябинская область город Кыштым улица Ленина дом 15   помещение №304</t>
  </si>
  <si>
    <t>ИП Соколов Иван Викторович</t>
  </si>
  <si>
    <t>741302536531</t>
  </si>
  <si>
    <t>ИП7407010475</t>
  </si>
  <si>
    <t>ИП740701047500000</t>
  </si>
  <si>
    <t>456830 Челябинская область город Касли улица Лобашова дом 143</t>
  </si>
  <si>
    <t>ИП740701047500001</t>
  </si>
  <si>
    <t>456870 Челябинская область город Кыштым улица К.Либкнехта дом 127</t>
  </si>
  <si>
    <t>ИП740701047500003</t>
  </si>
  <si>
    <t>456870 Челябинская область город Кыштым улица Ленина дом 2</t>
  </si>
  <si>
    <t>ИП740701047500006</t>
  </si>
  <si>
    <t>457020 Челябинская область город Пласт улица Октябрьская дом 66   помещение 6</t>
  </si>
  <si>
    <t>ИП Яковлева Наталья Алексеевна</t>
  </si>
  <si>
    <t>741601829857</t>
  </si>
  <si>
    <t>ИП7407010110</t>
  </si>
  <si>
    <t>ИП740701011000000</t>
  </si>
  <si>
    <t>457020 Челябинская область город Пласт улица Октябрьская дом 61Б</t>
  </si>
  <si>
    <t>ИП740701011000001</t>
  </si>
  <si>
    <t>456040 Челябинская область Усть-Катав Микрорайон-2 31А</t>
  </si>
  <si>
    <t>ИП Кувайцева Мария Николаевна</t>
  </si>
  <si>
    <t>741901642218</t>
  </si>
  <si>
    <t>ИП7407016263</t>
  </si>
  <si>
    <t>ИП740701626300000</t>
  </si>
  <si>
    <t>456787 Челябинская область город Озерск проспект Карла Маркса дом 23а   этаж 1 бутик № 4</t>
  </si>
  <si>
    <t>ИП Иванова Нина Александровна</t>
  </si>
  <si>
    <t>742200298329</t>
  </si>
  <si>
    <t>ИП7407031960</t>
  </si>
  <si>
    <t>ИП740703196000000</t>
  </si>
  <si>
    <t>456784 Челябинская область город Озерск проспект Ленина дом 29</t>
  </si>
  <si>
    <t>ИП Шаат Ольга Николаевна</t>
  </si>
  <si>
    <t>742200944540</t>
  </si>
  <si>
    <t>ИП7407014166</t>
  </si>
  <si>
    <t>ИП740701416600000</t>
  </si>
  <si>
    <t>456788 Челябинская область город Озерск проспект Карла Маркса дом 29в   бутик №2-8</t>
  </si>
  <si>
    <t>ИП740701416600002</t>
  </si>
  <si>
    <t>456780 Челябинская область город Озерск проспект Ленина  дом 60   помещение №6</t>
  </si>
  <si>
    <t>ИП Толкачева Юлия Владимировна</t>
  </si>
  <si>
    <t>742202436817</t>
  </si>
  <si>
    <t>ИП7407019652</t>
  </si>
  <si>
    <t>ИП740701965200000</t>
  </si>
  <si>
    <t>456787 Челябинская область город Озерск проспект Карла Маркса дом 11а   1 этаж</t>
  </si>
  <si>
    <t>ИП Тюкалова Юлия Александровна</t>
  </si>
  <si>
    <t>742203004104</t>
  </si>
  <si>
    <t>ИП7407031992</t>
  </si>
  <si>
    <t>ИП740703199200000</t>
  </si>
  <si>
    <t>456770 Челябинская область город Снежинск улица Ленина дом 18   нежилое помещение №1</t>
  </si>
  <si>
    <t>ИП Грин Людмила Руслановна</t>
  </si>
  <si>
    <t>742300057422</t>
  </si>
  <si>
    <t>ИП7407011117</t>
  </si>
  <si>
    <t>ИП740701111700000</t>
  </si>
  <si>
    <t>456776 Челябинская область город Снежинск улица Академика Забабахина дом 19</t>
  </si>
  <si>
    <t>ИП740701111700001</t>
  </si>
  <si>
    <t>456835 Челябинская область город Касли улица Ленина дом 8 1  2 этаж, помещение №35</t>
  </si>
  <si>
    <t>ИП740701111700002</t>
  </si>
  <si>
    <t>456770 Челябинская область Город Снежинск Улица Ленина Дом 12   Нежилое помещение 2</t>
  </si>
  <si>
    <t>ИП Дедков Андрей Львович</t>
  </si>
  <si>
    <t>742300065208</t>
  </si>
  <si>
    <t>ИП7407002885</t>
  </si>
  <si>
    <t>ИП740700288500000</t>
  </si>
  <si>
    <t>456300 Челябинская область Город Миасс Проспект Автозаводцев Дом 16   Нежилое помещение 13,14,4.</t>
  </si>
  <si>
    <t>ИП Беспутин Сергей Вячеславович</t>
  </si>
  <si>
    <t>742300253152</t>
  </si>
  <si>
    <t>ИП7407018874</t>
  </si>
  <si>
    <t>ИП740701887400000</t>
  </si>
  <si>
    <t>454112 Челябинская область город Челябинск проспект Победы дом 290   помещение 3</t>
  </si>
  <si>
    <t>ООО ПКП "РЕНЕССАНС ДАЙМОНД"</t>
  </si>
  <si>
    <t>7423012923</t>
  </si>
  <si>
    <t>ЮЛ7407000118</t>
  </si>
  <si>
    <t>ЮЛ740700011800000</t>
  </si>
  <si>
    <t>456770 Челябинская область город Снежинск улица Ленина дом 18 - - нежилое помещение №1</t>
  </si>
  <si>
    <t>ИП Горшков Алексей Анатольевич</t>
  </si>
  <si>
    <t>742309343996</t>
  </si>
  <si>
    <t>ИП7407019682</t>
  </si>
  <si>
    <t>ИП740701968200000</t>
  </si>
  <si>
    <t>456830 Челябинская область город Касли улица Советская дом 35</t>
  </si>
  <si>
    <t>ИП740701968200001</t>
  </si>
  <si>
    <t>456770 Челябинская область город Снежинск улица Свердлова дом 15   помещение №7</t>
  </si>
  <si>
    <t>ИП740701968200002</t>
  </si>
  <si>
    <t>454018 Челябинская область город Челябинск улица Чайковского дом 60   часть помещения №2</t>
  </si>
  <si>
    <t>ИП Бирюкова Наталия Александровна</t>
  </si>
  <si>
    <t>742400077888</t>
  </si>
  <si>
    <t>ИП7407006308</t>
  </si>
  <si>
    <t>ИП740700630800000</t>
  </si>
  <si>
    <t>457040 Челябинская область город Южноуральск улица Мира дом 47   помещение 1003</t>
  </si>
  <si>
    <t>ИП740700630800001</t>
  </si>
  <si>
    <t>457040 Челябинская область город Южноуральск улица Космонавтов дом 12</t>
  </si>
  <si>
    <t>ИП Площик Валентина Михайловна</t>
  </si>
  <si>
    <t>742400117139</t>
  </si>
  <si>
    <t>ИП7407005748</t>
  </si>
  <si>
    <t>ИП740700574800000</t>
  </si>
  <si>
    <t>457040 Челябинская область город Южноуральск улица Советской Армии дом 4</t>
  </si>
  <si>
    <t>ИП740700574800001</t>
  </si>
  <si>
    <t>457040 Челябинская область город Южноуральск улица Космонавтов дом 9   нежилое помещение (магазин)</t>
  </si>
  <si>
    <t>ИП Инчина Наталия Анатольевна</t>
  </si>
  <si>
    <t>742400126366</t>
  </si>
  <si>
    <t>ИП7407003446</t>
  </si>
  <si>
    <t>ИП740700344600000</t>
  </si>
  <si>
    <t>457040 Челябинская область город Южноуральск улица Советской Армии дом 10   нежилое помещение № 1001</t>
  </si>
  <si>
    <t>ИП740700344600002</t>
  </si>
  <si>
    <t>457040 Челябинская область город Южноуральск улица Победы  дом 22   часть нежилого помещения №55</t>
  </si>
  <si>
    <t>ИП740700344600003</t>
  </si>
  <si>
    <t>457040 Челябинская область город Южноуральск улица Спортивная дом 60 А   нежилое помещение</t>
  </si>
  <si>
    <t>ИП740700344600004</t>
  </si>
  <si>
    <t>456800 Челябинская область город Верхний Уфалей улица Ленина дом 161   нежилое помещение № 1</t>
  </si>
  <si>
    <t>ИП740700344600006</t>
  </si>
  <si>
    <t>ИП Бирюкова Юлия Вадимовна</t>
  </si>
  <si>
    <t>742402887302</t>
  </si>
  <si>
    <t>ИП7407032198</t>
  </si>
  <si>
    <t>ИП740703219800000</t>
  </si>
  <si>
    <t>ИП740703219800001</t>
  </si>
  <si>
    <t>457400 Челябинская область Агаповка  Пролетарская  25    4</t>
  </si>
  <si>
    <t>ООО "ЛОМБАРД-А"</t>
  </si>
  <si>
    <t>7425758883</t>
  </si>
  <si>
    <t>ЮЛ7407014179</t>
  </si>
  <si>
    <t>ЮЛ740701417900000</t>
  </si>
  <si>
    <t>456881 Челябинская область село Аргаяш улица Гагарина, площадь автостанции  строение 2</t>
  </si>
  <si>
    <t>ИП Чернышев Сергей Николаевич</t>
  </si>
  <si>
    <t>742601440389</t>
  </si>
  <si>
    <t>ИП7407012749</t>
  </si>
  <si>
    <t>ИП740701274900000</t>
  </si>
  <si>
    <t>457310 Челябинская область поселок Бреды улица Пушкина дом 54Г</t>
  </si>
  <si>
    <t>ИП Рожкова Елена Геннадьевна</t>
  </si>
  <si>
    <t>742700065273</t>
  </si>
  <si>
    <t>ИП7407011109</t>
  </si>
  <si>
    <t>ИП740701110900000</t>
  </si>
  <si>
    <t>457310 Челябинская область поселок Бреды улица Гербанова дом 42</t>
  </si>
  <si>
    <t>ИП Дрозд Светлана Николаевна</t>
  </si>
  <si>
    <t>742701645870</t>
  </si>
  <si>
    <t>ИП7407001074</t>
  </si>
  <si>
    <t>ИП740700107400000</t>
  </si>
  <si>
    <t>ООО "ЛОМБАРД КОПИ"</t>
  </si>
  <si>
    <t>7430024775</t>
  </si>
  <si>
    <t>ЮЛ7407007126</t>
  </si>
  <si>
    <t>ЮЛ740700712600000</t>
  </si>
  <si>
    <t>ЮЛ740700712600001</t>
  </si>
  <si>
    <t>454091 Челябинская область город Челябинск улица Свободы дом 80   пом.13</t>
  </si>
  <si>
    <t>ООО "СНЕЖИНКА"</t>
  </si>
  <si>
    <t>7434004160</t>
  </si>
  <si>
    <t>ЮЛ7407013271</t>
  </si>
  <si>
    <t>ЮЛ740701327100000</t>
  </si>
  <si>
    <t>456940 Челябинская область город Куса улица Михаила Бубнова дом 11 корпус 3</t>
  </si>
  <si>
    <t>ЮЛ740701327100001</t>
  </si>
  <si>
    <t>457351 Челябинская область город Карталы улица Ленина дом 10   помещение 3</t>
  </si>
  <si>
    <t>ЮЛ740701327100002</t>
  </si>
  <si>
    <t>457650 Челябинская область село Фершампенуаз улица Карла Маркса дом 50   помещение 10</t>
  </si>
  <si>
    <t>ИП Левковская Зинаида Витальевна</t>
  </si>
  <si>
    <t>743500002951</t>
  </si>
  <si>
    <t>ИП7407016284</t>
  </si>
  <si>
    <t>ИП740701628400000</t>
  </si>
  <si>
    <t>455044 Челябинская область город Магнитогорск проспект Карла Маркса дом 89  литер А нежилое помещение №4</t>
  </si>
  <si>
    <t>ООО ПКФ "КАМЕННЫЙ ЦВЕТОК"</t>
  </si>
  <si>
    <t>7444006455</t>
  </si>
  <si>
    <t>ЮЛ7407000646</t>
  </si>
  <si>
    <t>ЮЛ740700064600000</t>
  </si>
  <si>
    <t>455000 Челябинская область город Магнитогорск улица Горького дом 19</t>
  </si>
  <si>
    <t>ЮЛ740700064600001</t>
  </si>
  <si>
    <t>455001 Челябинская область город Магнитогорск улица Герцена дом 6</t>
  </si>
  <si>
    <t>ЮЛ740700064600002</t>
  </si>
  <si>
    <t>455044 Челябинская область город Магнитогорск проспект Карла Маркса дом 99   квартира 61</t>
  </si>
  <si>
    <t>ЮЛ740700064600003</t>
  </si>
  <si>
    <t>455045 Челябинская область город Магнитогорск проспект Карла Маркса дом 153</t>
  </si>
  <si>
    <t>ЮЛ740700064600004</t>
  </si>
  <si>
    <t>ЮЛ740700064600005</t>
  </si>
  <si>
    <t>455049 Челябинская область город Магнитогорск проспект Карла Маркса дом 172</t>
  </si>
  <si>
    <t>ЮЛ740700064600006</t>
  </si>
  <si>
    <t>455000 Челябинская область город Магнитогорск проспект Металлургов дом 15     нежилое помещение №1а</t>
  </si>
  <si>
    <t>ИП Шмойлов Андрей Николаевич</t>
  </si>
  <si>
    <t>744408045970</t>
  </si>
  <si>
    <t>ИП7407000151</t>
  </si>
  <si>
    <t>ИП740700015100000</t>
  </si>
  <si>
    <t>455000 Челябинская область город Магнитогорск улица Труда дом 25     нежилое помещение №5</t>
  </si>
  <si>
    <t>ИП740700015100001</t>
  </si>
  <si>
    <t>455045 Челябинская область город Магнитогорск Улица Советская Дом 86А</t>
  </si>
  <si>
    <t>ИП Власов Валерий Викторович</t>
  </si>
  <si>
    <t>744409366503</t>
  </si>
  <si>
    <t>ИП7407011010</t>
  </si>
  <si>
    <t>ИП740701101000000</t>
  </si>
  <si>
    <t>455008 Челябинская область город Магнитогорск проспект Ленина  дом 143   нежилое помещение №7б</t>
  </si>
  <si>
    <t>ИП Алиманов Антон Павлович</t>
  </si>
  <si>
    <t>744409446364</t>
  </si>
  <si>
    <t>ИП7407007201</t>
  </si>
  <si>
    <t>ИП740700720100000</t>
  </si>
  <si>
    <t>455023 Челябинская область город Магнитогорск улица Ленинградская дом 33   помещение 12</t>
  </si>
  <si>
    <t>ИП Левин Вадим Евгеньевич</t>
  </si>
  <si>
    <t>744500315473</t>
  </si>
  <si>
    <t>ИП7407013568</t>
  </si>
  <si>
    <t>ИП740701356800000</t>
  </si>
  <si>
    <t>455045 Челябинская область город Магнитогорск проспект Карла Маркса дом 153 этаж 1  место №2</t>
  </si>
  <si>
    <t>ИП740701356800001</t>
  </si>
  <si>
    <t>455037 Челябинская область город Магнитогорск проспект Карла Маркса дом 142   помещение 12</t>
  </si>
  <si>
    <t>ООО "ЛОМБАРД" АНДРЕЙ"</t>
  </si>
  <si>
    <t>7445023710</t>
  </si>
  <si>
    <t>ЮЛ7407001610</t>
  </si>
  <si>
    <t>ЮЛ740700161000000</t>
  </si>
  <si>
    <t>455045 Челябинская область город Магнитогорск проспект Карла Маркса дом 161   помещение 10</t>
  </si>
  <si>
    <t>ЮЛ740700161000001</t>
  </si>
  <si>
    <t>455049 Челябинская область город Магнитогорск улица Труда дом 32   помещение 4</t>
  </si>
  <si>
    <t>ЮЛ740700161000002</t>
  </si>
  <si>
    <t>455045 Челябинская область город Магнитогорск улица Завенягина дом 5   нежилое помещение №7</t>
  </si>
  <si>
    <t>ООО "ЛОМБАРД ЗОЛОТОЙ ЛАРЕЦ"</t>
  </si>
  <si>
    <t>7445042946</t>
  </si>
  <si>
    <t>ЮЛ7407004367</t>
  </si>
  <si>
    <t>ЮЛ740700436700000</t>
  </si>
  <si>
    <t>455044 Челябинская область город Магнитогорск проспект Карла Маркса дом 105</t>
  </si>
  <si>
    <t>ИП Татаурова Ольга Александровна</t>
  </si>
  <si>
    <t>744507762431</t>
  </si>
  <si>
    <t>ИП7407038262</t>
  </si>
  <si>
    <t>ИП740703826200000</t>
  </si>
  <si>
    <t>454004 Челябинская область город Челябинск улица Академика Макеева дом 36   пом.1</t>
  </si>
  <si>
    <t>ИП740700505000000</t>
  </si>
  <si>
    <t>455045 Челябинская область город Магнитогорск проспект Карла Маркса дом 153   место №о20</t>
  </si>
  <si>
    <t>ИП740700505000002</t>
  </si>
  <si>
    <t>457671 Челябинская область город Верхнеуральск улица Мира дом 133   часть нежилого помещения №4</t>
  </si>
  <si>
    <t>ИП740700505000005</t>
  </si>
  <si>
    <t>455000 Челябинская область город Магнитогорск проспект Ленина дом 83   место №32</t>
  </si>
  <si>
    <t>ИП740700505000012</t>
  </si>
  <si>
    <t>457671 Челябинская область город Верхнеуральск улица Мира дом 133</t>
  </si>
  <si>
    <t>ИП Рыков Александр Алексеевич</t>
  </si>
  <si>
    <t>744515680454</t>
  </si>
  <si>
    <t>ИП7407035068</t>
  </si>
  <si>
    <t>ИП740703506800002</t>
  </si>
  <si>
    <t>455023 Челябинская область город Магнитогорск улица Ленинградская дом 33 1  Салон "Женева"</t>
  </si>
  <si>
    <t>ИП Колотилин Евгений Викторович</t>
  </si>
  <si>
    <t>744600034042</t>
  </si>
  <si>
    <t>ИП7407016262</t>
  </si>
  <si>
    <t>ИП740701626200000</t>
  </si>
  <si>
    <t>455044 Челябинская область город Магнитогорск проспект Карла Маркса дом 108   помещение 3</t>
  </si>
  <si>
    <t>ЮЛ740700747200000</t>
  </si>
  <si>
    <t>455030 Челябинская область город Магнитогорск улица Грязнова дом 4   нежилое помещение  №2</t>
  </si>
  <si>
    <t>ЮЛ740700747200011</t>
  </si>
  <si>
    <t>455037 Челябинская область город Магнитогорск проспект Карла Маркса дом 142   часть нежилого помещения</t>
  </si>
  <si>
    <t>ЮЛ740700747200014</t>
  </si>
  <si>
    <t>455045 Челябинская область город Магнитогорск улица Бориса Ручьева дом 3а   помещение №5</t>
  </si>
  <si>
    <t>ЮЛ740700747200016</t>
  </si>
  <si>
    <t>455019 Челябинская область город Магнитогорск улица Маяковского дом 56   часть нежилого помещения №7</t>
  </si>
  <si>
    <t>ЮЛ740700747200017</t>
  </si>
  <si>
    <t>457100 Челябинская область город Троицк улица им. Ю.А. Гагарина дом 45   нежилое помещение № 4</t>
  </si>
  <si>
    <t>ЮЛ740700747200018</t>
  </si>
  <si>
    <t>454008 Челябинская область город Челябинск проспект Победы дом 200   нежилое помещение 1</t>
  </si>
  <si>
    <t>ЮЛ740700747200030</t>
  </si>
  <si>
    <t>454017 Челябинская область город Челябинск улица Богдана Хмельницкого дом 14   помещение 17/2</t>
  </si>
  <si>
    <t>ЮЛ740700747200035</t>
  </si>
  <si>
    <t>455025 Челябинская область город Магнитогорск улица Советская дом 54   помещение 20</t>
  </si>
  <si>
    <t>ИП Мисионжник Ирина Владимировна</t>
  </si>
  <si>
    <t>744608048914</t>
  </si>
  <si>
    <t>ИП7407037802</t>
  </si>
  <si>
    <t>ИП740703780200000</t>
  </si>
  <si>
    <t>456800 Челябинская область город Верхний Уфалей улица Ленина дом 192</t>
  </si>
  <si>
    <t>ИП740701061100000</t>
  </si>
  <si>
    <t>456730 Челябинская область село Кунашак улица Ленина дом 84</t>
  </si>
  <si>
    <t>ИП740701061100001</t>
  </si>
  <si>
    <t>456880 Челябинская область село Аргаяш улица Комсомольская дом 25   нежилое помещение 3</t>
  </si>
  <si>
    <t>ИП740701061100002</t>
  </si>
  <si>
    <t>456880 Челябинская область село Аргаяш улица 8 Марта дом 25А</t>
  </si>
  <si>
    <t>ИП740701061100005</t>
  </si>
  <si>
    <t>456440 Челябинская область город Чебаркуль улица Ленина дом 32   помещение 4</t>
  </si>
  <si>
    <t>ИП740701061100006</t>
  </si>
  <si>
    <t>ИП740701061100007</t>
  </si>
  <si>
    <t>456584 Челябинская область город Еманжелинск улица Титова дом 5</t>
  </si>
  <si>
    <t>ИП740701061100008</t>
  </si>
  <si>
    <t>457200 Челябинская область село Варна улица Мира дом 10   помещение №44</t>
  </si>
  <si>
    <t>ИП Зыков Вячеслав Владимирович</t>
  </si>
  <si>
    <t>744702727279</t>
  </si>
  <si>
    <t>ИП7407012758</t>
  </si>
  <si>
    <t>ИП740701275800000</t>
  </si>
  <si>
    <t>454091 Челябинская область город Челябинск улица Степана Разина дом 9   сектор 12\20</t>
  </si>
  <si>
    <t>ИП740701275800001</t>
  </si>
  <si>
    <t>456550 Челябинская область город Коркино улица Цвиллинга дом 48</t>
  </si>
  <si>
    <t>ИП Герасимов Сергей Константинович</t>
  </si>
  <si>
    <t>744705743656</t>
  </si>
  <si>
    <t>ИП7407008779</t>
  </si>
  <si>
    <t>ИП740700877900000</t>
  </si>
  <si>
    <t>454078 Челябинская область город Челябинск улица Дзержинского дом 128   №4 (офис)</t>
  </si>
  <si>
    <t>7447117562</t>
  </si>
  <si>
    <t>ЮЛ7407006837</t>
  </si>
  <si>
    <t>ЮЛ740700683700001</t>
  </si>
  <si>
    <t>454071 Челябинская область город Челябинск улица Героев Танкограда дом 116   №3 (ломбард)</t>
  </si>
  <si>
    <t>ЮЛ740700683700002</t>
  </si>
  <si>
    <t>454052 Челябинская область город Челябинск шоссе Металлургов дом 70   №11 (непродовольственный магазин)</t>
  </si>
  <si>
    <t>ЮЛ740700683700003</t>
  </si>
  <si>
    <t>454081 Челябинская область город Челябинск улица Горького дом 81   №10 (ломбард)</t>
  </si>
  <si>
    <t>ЮЛ740700683700004</t>
  </si>
  <si>
    <t>454084 Челябинская область город Челябинск проспект Победы дом 159А   №1 (непродовольственный магазин)</t>
  </si>
  <si>
    <t>ЮЛ740700683700005</t>
  </si>
  <si>
    <t>454016 Челябинская область город Челябинск улица Братьев Кашириных дом 95А   салон-магазин "Фототовары"</t>
  </si>
  <si>
    <t>ЮЛ740700683700006</t>
  </si>
  <si>
    <t>454074 Челябинская область город Челябинск улица Бажова дом 52   №13 (непродовольственный магазин)</t>
  </si>
  <si>
    <t>ЮЛ740700683700007</t>
  </si>
  <si>
    <t>454091 Челябинская область город Челябинск улица Тимирязева дом 33   51</t>
  </si>
  <si>
    <t>ИП Захарова Ирина Владимировна</t>
  </si>
  <si>
    <t>744715636163</t>
  </si>
  <si>
    <t>ИП7407038590</t>
  </si>
  <si>
    <t>ИП740703859000000</t>
  </si>
  <si>
    <t>454036 Челябинская область город Челябинск улица Черкасская дом 15   помещение 17</t>
  </si>
  <si>
    <t>ИП Бердников Александр Александрович</t>
  </si>
  <si>
    <t>744720374869</t>
  </si>
  <si>
    <t>ИП7407011684</t>
  </si>
  <si>
    <t>ИП740701168400000</t>
  </si>
  <si>
    <t>454091 Челябинская область город Челябинск улица Тимирязева дом 33   нежилое помещение № 51</t>
  </si>
  <si>
    <t>ИП Шумков Сергей Михайлович</t>
  </si>
  <si>
    <t>744803251677</t>
  </si>
  <si>
    <t>ИП7407006981</t>
  </si>
  <si>
    <t>ИП740700698100001</t>
  </si>
  <si>
    <t>454021 Челябинская область город Челябинск улица Молдавская дом 16   комнаты №59, №61, №62</t>
  </si>
  <si>
    <t>7448064793</t>
  </si>
  <si>
    <t>ЮЛ7407000177</t>
  </si>
  <si>
    <t>ЮЛ740700017700001</t>
  </si>
  <si>
    <t>454138 Челябинская область город Челябинск улица Молодогвардейцев дом 7   часть нежилого помещения №165</t>
  </si>
  <si>
    <t>ЮЛ740700017700002</t>
  </si>
  <si>
    <t>457103 Челябинская область город Троицк улица Рабочая дом 41</t>
  </si>
  <si>
    <t>ЮЛ740700017700005</t>
  </si>
  <si>
    <t>457351 Челябинская область город Карталы улица Ленина дом 14</t>
  </si>
  <si>
    <t>ЮЛ740700017700006</t>
  </si>
  <si>
    <t>454003 Челябинская область город Челябинск улица Чичерина дом 28   нежилое помещение №9</t>
  </si>
  <si>
    <t>ЮЛ740700017700007</t>
  </si>
  <si>
    <t>454010 Челябинская область город Челябинск шоссе Копейское дом 64   часть нежилого помещения №16 в составе комнаты №284</t>
  </si>
  <si>
    <t>ЮЛ740700017700009</t>
  </si>
  <si>
    <t>454014 Челябинская область город Челябинск проспект Комсомольский дом 65   нежилое помещение №136</t>
  </si>
  <si>
    <t>ЮЛ740700017700010</t>
  </si>
  <si>
    <t>456550 Челябинская область город Коркино улица Цвиллинга дом 40   часть нежилого помещения 25</t>
  </si>
  <si>
    <t>ЮЛ740700017700011</t>
  </si>
  <si>
    <t>454084 Челябинская область город Челябинск улица Кирова дом 3   часть нежилого помещения 7</t>
  </si>
  <si>
    <t>ЮЛ740700017700012</t>
  </si>
  <si>
    <t>454100 Челябинская область город Челябинск улица 40-летия Победы дом 16   часть нежилого помещения 1</t>
  </si>
  <si>
    <t>ЮЛ740700017700013</t>
  </si>
  <si>
    <t>456304 Челябинская область город Миасс проспект Автозаводцев дом 18   часть нежилого помещения</t>
  </si>
  <si>
    <t>ЮЛ740700017700014</t>
  </si>
  <si>
    <t>454138 Челябинская область город Челябинск проспект Комсомольский дом 22   часть нежилого помещения 3</t>
  </si>
  <si>
    <t>ЮЛ740700017700015</t>
  </si>
  <si>
    <t>454007 Челябинская область город Челябинск проспект Ленина дом 18   часть нежилого помещения 11</t>
  </si>
  <si>
    <t>ЮЛ740700017700016</t>
  </si>
  <si>
    <t>454071 Челябинская область город Челябинск улица Героев Танкограда дом 57   неж. пом. № 14, литер А, этаж 1, бокс № 12</t>
  </si>
  <si>
    <t>ИП Рожкова Оксана Анатольевна</t>
  </si>
  <si>
    <t>744808647545</t>
  </si>
  <si>
    <t>ИП7407041068</t>
  </si>
  <si>
    <t>ИП740704106800000</t>
  </si>
  <si>
    <t>454000 Челябинская область город Челябинск улица Мамина дом 15</t>
  </si>
  <si>
    <t>ИП Полянский Евгений Владимирович</t>
  </si>
  <si>
    <t>744813553726</t>
  </si>
  <si>
    <t>ИП7407011852</t>
  </si>
  <si>
    <t>ИП740701185200001</t>
  </si>
  <si>
    <t>454080 Челябинская область город Челябинск проспект Свердловский дом 78   часть нежилого помещения № ½ (часть помещения №1), цокольный этаж</t>
  </si>
  <si>
    <t>ИП Мареева Анна Борисовна</t>
  </si>
  <si>
    <t>744816545804</t>
  </si>
  <si>
    <t>ИП7407038778</t>
  </si>
  <si>
    <t>ИП740703877800000</t>
  </si>
  <si>
    <t>454071 Челябинская область город Челябинск улица Салютная дом 27   часть нежилого помещения</t>
  </si>
  <si>
    <t>ИП Белешев Павел Олегович</t>
  </si>
  <si>
    <t>744842972954</t>
  </si>
  <si>
    <t>ИП7407032247</t>
  </si>
  <si>
    <t>ИП740703224700000</t>
  </si>
  <si>
    <t>454071 Челябинская область город Челябинск улица Героев Танкограда дом 57  бокс № 12, литера А нежилое помещение № 14</t>
  </si>
  <si>
    <t>ИП Яшенкова Галина Геннадьевна</t>
  </si>
  <si>
    <t>744900306385</t>
  </si>
  <si>
    <t>ИП7407039493</t>
  </si>
  <si>
    <t>ИП740703949300000</t>
  </si>
  <si>
    <t>454133 Челябинская область город Челябинск улица Звездная дом 5 А</t>
  </si>
  <si>
    <t>ИП Хайкин К. Б.</t>
  </si>
  <si>
    <t>744905123508</t>
  </si>
  <si>
    <t>ИП7407001190</t>
  </si>
  <si>
    <t>ИП740700119000000</t>
  </si>
  <si>
    <t>454133 Челябинская область город Челябинск Звёздная 5А   0</t>
  </si>
  <si>
    <t>ИП740700119000002</t>
  </si>
  <si>
    <t>454091 Челябинская область город Челябинск улица Кирова дом 90</t>
  </si>
  <si>
    <t>ИП Землякова Татьяна Федоровна</t>
  </si>
  <si>
    <t>744905489020</t>
  </si>
  <si>
    <t>ИП7407011794</t>
  </si>
  <si>
    <t>ИП740701179400000</t>
  </si>
  <si>
    <t>454010 Челябинская область город Челябинск шоссе Копейское дом 64   часть нежилого помещения № 16 в составе комнаты № 269</t>
  </si>
  <si>
    <t>ИП Еремина Анна Николаевна</t>
  </si>
  <si>
    <t>744908649088</t>
  </si>
  <si>
    <t>ИП7407007400</t>
  </si>
  <si>
    <t>ИП740700740000007</t>
  </si>
  <si>
    <t>ИП740700740000008</t>
  </si>
  <si>
    <t>454138 Челябинская область город Челябинск улица Молодогвардейцев дом 7   нежилое помещение 165</t>
  </si>
  <si>
    <t>ИП740700740000009</t>
  </si>
  <si>
    <t>454091 Челябинская область город Челябинск улица Цвиллинга дом 25   часть нежилого помещения 42</t>
  </si>
  <si>
    <t>ИП740700740000012</t>
  </si>
  <si>
    <t>454036 Челябинская область город Челябинск улица Черкасская дом 15   часть помещения 21</t>
  </si>
  <si>
    <t>ИП740700740000013</t>
  </si>
  <si>
    <t>456870 Челябинская область город Кыштым улица Ленина дом 2   этаж 2, бокс № 21</t>
  </si>
  <si>
    <t>ООО "КАССИОПЕЯ"</t>
  </si>
  <si>
    <t>7449099090</t>
  </si>
  <si>
    <t>ЮЛ7407006524</t>
  </si>
  <si>
    <t>ЮЛ740700652400001</t>
  </si>
  <si>
    <t>456835 Челябинская область город Касли улица Ленина дом 8 корпус 1  помещение 29/1</t>
  </si>
  <si>
    <t>ЮЛ740700652400002</t>
  </si>
  <si>
    <t>ООО "ФОРТУНА ГРАНД"</t>
  </si>
  <si>
    <t>7449104181</t>
  </si>
  <si>
    <t>ЮЛ7407036125</t>
  </si>
  <si>
    <t>ЮЛ740703612500000</t>
  </si>
  <si>
    <t>454128 Челябинская область город Челябинск проспект Победы дом 325</t>
  </si>
  <si>
    <t>ИП Бакшаева Юлия Александровна</t>
  </si>
  <si>
    <t>744913285220</t>
  </si>
  <si>
    <t>ИП7407011069</t>
  </si>
  <si>
    <t>ИП740701106900000</t>
  </si>
  <si>
    <t>ИП740701106900001</t>
  </si>
  <si>
    <t>454084 Челябинская область город Челябинск проспект Победы дом 160   офис 210, ячейка № 4</t>
  </si>
  <si>
    <t>ИП740700755200000</t>
  </si>
  <si>
    <t>457100 Челябинская область город Троицк улица им. Ю.А. Гагарина дом 27А   Помещения 1,2,3</t>
  </si>
  <si>
    <t>ИП740700755200009</t>
  </si>
  <si>
    <t>456300 Челябинская область город Миасс проспект Автозаводцев дом 65   Помещения №6</t>
  </si>
  <si>
    <t>ИП740700755200011</t>
  </si>
  <si>
    <t>456227 Челябинская область город Златоуст поселок Айский дом 70   часть нежилого помещения №1 в составе части нежилого помещения №121</t>
  </si>
  <si>
    <t>ИП740700755200012</t>
  </si>
  <si>
    <t>456440 Челябинская область город Чебаркуль улица 9 Мая дом 15   часть нежилого помещения №3</t>
  </si>
  <si>
    <t>ИП740700755200016</t>
  </si>
  <si>
    <t>456143 Челябинская область город Карабаш улица Металлургов дом 4   часть нежилого помещения № 2 (под условным номером № 3)</t>
  </si>
  <si>
    <t>ИП740700755200021</t>
  </si>
  <si>
    <t>457040 Челябинская область город Южноуральск улица Мира дом 66   помещение С85-АГ-4</t>
  </si>
  <si>
    <t>ИП740700755200024</t>
  </si>
  <si>
    <t>456318 Челябинская область город Миасс проспект Октября дом 69а   нежилое помещение №С25-АГ-14</t>
  </si>
  <si>
    <t>ИП740700755200025</t>
  </si>
  <si>
    <t>454036 Челябинская область город Челябинск улица Черкасская дом 15   помещение 101</t>
  </si>
  <si>
    <t>ИП Рыбаков Алексей Николаевич</t>
  </si>
  <si>
    <t>745003090920</t>
  </si>
  <si>
    <t>ИП7407038756</t>
  </si>
  <si>
    <t>ИП740703875600000</t>
  </si>
  <si>
    <t>454036 Челябинская область город Челябинск улица Черкасская дом 15   помещение № 101</t>
  </si>
  <si>
    <t>ИП Бугаенко Владимир Витальевич</t>
  </si>
  <si>
    <t>745006787980</t>
  </si>
  <si>
    <t>ИП7407007598</t>
  </si>
  <si>
    <t>ИП740700759800000</t>
  </si>
  <si>
    <t>454036 Челябинская область город Челябинск улица Черкасская дом 15   помещение 21</t>
  </si>
  <si>
    <t>ИП740700759800001</t>
  </si>
  <si>
    <t>454091 Челябинская область город Челябинск улица Степана Разина дом 9   часть нежилого помещения № 65</t>
  </si>
  <si>
    <t>ООО "Н-САПФИР"</t>
  </si>
  <si>
    <t>7451041570</t>
  </si>
  <si>
    <t>ЮЛ7407015594</t>
  </si>
  <si>
    <t>ЮЛ740701559400000</t>
  </si>
  <si>
    <t>454081 Челябинская область город Челябинск улица Героев Танкограда дом 57  литер А этаж 1,помещение №12, бокс №4</t>
  </si>
  <si>
    <t>ИП Кузнецова Елена Владимировна</t>
  </si>
  <si>
    <t>745106912441</t>
  </si>
  <si>
    <t>ИП7407010702</t>
  </si>
  <si>
    <t>ИП740701070200000</t>
  </si>
  <si>
    <t>ИП740701070200001</t>
  </si>
  <si>
    <t>454091 Челябинская область город Челябинск площадь Революции 1Б   115.6</t>
  </si>
  <si>
    <t>ИП Кондрашова Светлана Валерьевна</t>
  </si>
  <si>
    <t>745107105070</t>
  </si>
  <si>
    <t>ИП7407013099</t>
  </si>
  <si>
    <t>ИП740701309900000</t>
  </si>
  <si>
    <t>454036 Челябинская область город Челябинск улица Черкасская дом 15   часть помещения №21, №145 на поэтажном плане</t>
  </si>
  <si>
    <t>ИП740701309900007</t>
  </si>
  <si>
    <t>454138 Челябинская область город Челябинск улица Молодогвардейцев дом 7   часть помещения в нежилом №165</t>
  </si>
  <si>
    <t>ИП740701309900010</t>
  </si>
  <si>
    <t>454080 Челябинская область город Челябинск улица Лесопарковая дом 7   пом. 224/3</t>
  </si>
  <si>
    <t>ИП Гатина Татьяна Викторовна</t>
  </si>
  <si>
    <t>745109066123</t>
  </si>
  <si>
    <t>ИП7407031163</t>
  </si>
  <si>
    <t>ИП740703116300000</t>
  </si>
  <si>
    <t>454007 Челябинская область город Челябинск проспект Ленина дом 11   помещение 17</t>
  </si>
  <si>
    <t>ИП740703116300001</t>
  </si>
  <si>
    <t>454091 Челябинская область город Челябинск улица Цвиллинга дом 38   помещение 6</t>
  </si>
  <si>
    <t>ИП740703116300002</t>
  </si>
  <si>
    <t>456580 Челябинская область город Еманжелинск улица Ленина дом 7   помещение 3</t>
  </si>
  <si>
    <t>ИП740703116300003</t>
  </si>
  <si>
    <t>454007 Челябинская область город Челябинск проспект Ленина дом 11   помещение 6</t>
  </si>
  <si>
    <t>ИП740703116300004</t>
  </si>
  <si>
    <t>454091 Челябинская область город Челябинск улица Тимирязева дом 33   помещение 24</t>
  </si>
  <si>
    <t>ИП740703116300005</t>
  </si>
  <si>
    <t>454091 Челябинская область город Челябинск улица Цвиллинга дом 40   помещение 5</t>
  </si>
  <si>
    <t>ИП740703116300006</t>
  </si>
  <si>
    <t>456550 Челябинская область город Коркино улица Ленина дом 15   помещение 55</t>
  </si>
  <si>
    <t>ИП740703116300007</t>
  </si>
  <si>
    <t>454010 Челябинская область город Челябинск улица Гагарина дом 31</t>
  </si>
  <si>
    <t>ИП740703116300008</t>
  </si>
  <si>
    <t>454000 Челябинская область город Челябинск улица Лесопарковая дом 7   помещение 224/2</t>
  </si>
  <si>
    <t>ИП740703116300010</t>
  </si>
  <si>
    <t>454904 Челябинская область город Челябинск улица Клубная (Новосинеглазово) дом 1   помещение 2</t>
  </si>
  <si>
    <t>ООО "ЛОМБАРД СП"</t>
  </si>
  <si>
    <t>7451389664</t>
  </si>
  <si>
    <t>ЮЛ7407007444</t>
  </si>
  <si>
    <t>ЮЛ740700744400000</t>
  </si>
  <si>
    <t>454004 Челябинская область город Челябинск улица Академика Королева дом 31   нежилое помещение 2</t>
  </si>
  <si>
    <t>ЮЛ740700744400001</t>
  </si>
  <si>
    <t>454076 Челябинская область город Челябинск Краснопольский проспект дом 13  литера А нежилое помещение 2</t>
  </si>
  <si>
    <t>ЮЛ740700744400002</t>
  </si>
  <si>
    <t>454021 Челябинская область город Челябинск улица Братьев Кашириных дом 119   нежилое помещение 1</t>
  </si>
  <si>
    <t>ЮЛ740700744400003</t>
  </si>
  <si>
    <t>454904 Челябинская область город Челябинск  улица Челябинская   дом 18   нежилое помещение 3</t>
  </si>
  <si>
    <t>ЮЛ740700744400004</t>
  </si>
  <si>
    <t>456656 Челябинская область город Копейск улица Электровозная дом 26   помещения №1,6,8,9,11</t>
  </si>
  <si>
    <t>ЮЛ740700744400005</t>
  </si>
  <si>
    <t>456618 Челябинская область город Копейск  улица Ленина дом 14  литера Б помещения № 1,17,16,15,часть 11</t>
  </si>
  <si>
    <t>ЮЛ740700744400006</t>
  </si>
  <si>
    <t>456653 Челябинская область город Копейск улица Бажова дом 3   нежилое помещение 2</t>
  </si>
  <si>
    <t>ЮЛ740700744400007</t>
  </si>
  <si>
    <t>456520 Челябинская область поселок Полетаево улица Пионерская дом 8   помещение № 1</t>
  </si>
  <si>
    <t>ЮЛ740700744400008</t>
  </si>
  <si>
    <t>454119 Челябинская область город Челябинск улица Энергетиков дом 8   1/2 помещения 37.1</t>
  </si>
  <si>
    <t>ЮЛ740700744400009</t>
  </si>
  <si>
    <t>454028 Челябинская область город Челябинск улица Ярославская дом 2    помещение 1</t>
  </si>
  <si>
    <t>ЮЛ740700744400010</t>
  </si>
  <si>
    <t>454047 Челябинская область город Челябинск улица 60-летия Октября дом 2</t>
  </si>
  <si>
    <t>ИП Попова Юлия Анатольевна</t>
  </si>
  <si>
    <t>745200157676</t>
  </si>
  <si>
    <t>ИП7407030748</t>
  </si>
  <si>
    <t>ИП740703074800000</t>
  </si>
  <si>
    <t>454085 Челябинская область город Челябинск улица Марченко дом 22   помещение № 4</t>
  </si>
  <si>
    <t>ИП Вихляева Татьяна Владимировна</t>
  </si>
  <si>
    <t>745200271386</t>
  </si>
  <si>
    <t>ИП7407007576</t>
  </si>
  <si>
    <t>ИП740700757600000</t>
  </si>
  <si>
    <t>454018 Челябинская область город Челябинск улица Братьев Кашириных  дом 60А   2 этаж, п.18,4,5,6,7,9,10,14а,15,16,17,17а,18,19,20,22; 1-эт. 12,17; 3-эт. 2,3,4,10,15,16,19.</t>
  </si>
  <si>
    <t>ООО "ФИАНИТ-ЛОМБАРД"</t>
  </si>
  <si>
    <t>7452031712</t>
  </si>
  <si>
    <t>ЮЛ7407004984</t>
  </si>
  <si>
    <t>ЮЛ740700498400000</t>
  </si>
  <si>
    <t>454084 Челябинская область город Челябинск проспект Победы дом 160   офис 210, ячейка № 2</t>
  </si>
  <si>
    <t>ИП Манакова Лариса Геннадьевна</t>
  </si>
  <si>
    <t>745204254670</t>
  </si>
  <si>
    <t>ИП7407031785</t>
  </si>
  <si>
    <t>ИП740703178500000</t>
  </si>
  <si>
    <t>456625 Челябинская область город Копейск проспект Славы дом 8   часть нежилого помещения № 2</t>
  </si>
  <si>
    <t>ИП740703178500001</t>
  </si>
  <si>
    <t>454031 Челябинская область город Челябинск улица Сталеваров дом 66   помещения с кодовыми номерами 6.1К131, 6.1К132, 6.1к138/3, 6.1К131</t>
  </si>
  <si>
    <t>ИП740703178500002</t>
  </si>
  <si>
    <t>454010 Челябинская область город Челябинск шоссе Копейское дом 64   , часть нежилого помещения №16, в составе комнаты № 270</t>
  </si>
  <si>
    <t>ИП740703178500004</t>
  </si>
  <si>
    <t>454010 Челябинская область город Челябинск шоссе Копейское дом 64   часть нежилого помещения 23, в составе комнаты № 206</t>
  </si>
  <si>
    <t>ИП740703178500006</t>
  </si>
  <si>
    <t>454007 Челябинская область город Челябинск улица Артиллерийская дом 136   нежилое помещение № 4</t>
  </si>
  <si>
    <t>ИП740703178500007</t>
  </si>
  <si>
    <t>454036 Челябинская область город Челябинск улица Черкасская дом 15   часть помещения 101</t>
  </si>
  <si>
    <t>ИП740703178500008</t>
  </si>
  <si>
    <t>454036 Челябинская область город Челябинск улица Черкасская дом 15   часть помещения 101 (№14,15,16)</t>
  </si>
  <si>
    <t>ИП740703178500009</t>
  </si>
  <si>
    <t>454007 Челябинская область город Челябинск улица Артиллерийская дом 136   часть нежилого помещения № 4</t>
  </si>
  <si>
    <t>ИП740703178500010</t>
  </si>
  <si>
    <t>456625 Челябинская область город Копейск проспект Славы дом 8   часть нежилого помещения № 34</t>
  </si>
  <si>
    <t>ИП740703178500011</t>
  </si>
  <si>
    <t>454085 Челябинская область город Челябинск улица Марченко дом 22</t>
  </si>
  <si>
    <t>ООО "ЛОМБАРД-ЮВЕЛИРЪ"</t>
  </si>
  <si>
    <t>7452058231</t>
  </si>
  <si>
    <t>ЮЛ7407007392</t>
  </si>
  <si>
    <t>ЮЛ740700739200000</t>
  </si>
  <si>
    <t>456913 Челябинская область город Сатка проспект Мира дом 7     магазин Универсам 2 Этаж</t>
  </si>
  <si>
    <t>ЮЛ740700212600002</t>
  </si>
  <si>
    <t>454031 Челябинская область город Челябинск улица Сталеваров дом 66</t>
  </si>
  <si>
    <t>ЮЛ740700212600003</t>
  </si>
  <si>
    <t>454085 Челябинская область город Челябинск улица Марченко дом 18   помещение 1</t>
  </si>
  <si>
    <t>ЮЛ740700212600007</t>
  </si>
  <si>
    <t>457040 Челябинская область город Южноуральск улица Мира дом 49   помещение 8</t>
  </si>
  <si>
    <t>ЮЛ740700212600008</t>
  </si>
  <si>
    <t>454052 Челябинская область город Челябинск улица Черкасская дом 8   помещение 3</t>
  </si>
  <si>
    <t>ЮЛ740700212600009</t>
  </si>
  <si>
    <t>456228 Челябинская область город Златоуст проспект им Ю.А.Гагарина 3-й мкр дом 35</t>
  </si>
  <si>
    <t>ЮЛ740700212600010</t>
  </si>
  <si>
    <t>456800 Челябинская область город Верхний Уфалей улица Ленина дом 161</t>
  </si>
  <si>
    <t>ЮЛ740700212600012</t>
  </si>
  <si>
    <t>456300 Челябинская область город Миасс проспект Автозаводцев дом 56</t>
  </si>
  <si>
    <t>ЮЛ740700212600013</t>
  </si>
  <si>
    <t>456440 Челябинская область город Чебаркуль улица Ленина дом 23</t>
  </si>
  <si>
    <t>ЮЛ740700212600016</t>
  </si>
  <si>
    <t>454080 Челябинская область город Челябинск улица Лесопарковая дом 7   помещение 224/3</t>
  </si>
  <si>
    <t>ЮЛ740700212600017</t>
  </si>
  <si>
    <t>454138 Челябинская область город Челябинск проспект Комсомольский дом 22   помещение 51 комната 2</t>
  </si>
  <si>
    <t>ЮЛ740700212600018</t>
  </si>
  <si>
    <t>454087 Челябинская область город Челябинск улица Дарвина дом 18 А</t>
  </si>
  <si>
    <t>ИП Панюкова Наталья Евгеньевна</t>
  </si>
  <si>
    <t>745210545501</t>
  </si>
  <si>
    <t>ИП7407000732</t>
  </si>
  <si>
    <t>ИП740700073200000</t>
  </si>
  <si>
    <t>457220 Челябинская область село Чесма улица Ленина дом 78   помещение 2</t>
  </si>
  <si>
    <t>ИП740700073200002</t>
  </si>
  <si>
    <t>454085 Челябинская область город Челябинск улица Марченко дом 16   помещение 4 (1)</t>
  </si>
  <si>
    <t>7452151488</t>
  </si>
  <si>
    <t>ЮЛ7407005813</t>
  </si>
  <si>
    <t>ЮЛ740700581300000</t>
  </si>
  <si>
    <t>454047 Челябинская область город Челябинск улица Богдана Хмельницкого дом 25   помещение 7</t>
  </si>
  <si>
    <t>ЮЛ740700581300001</t>
  </si>
  <si>
    <t>454082 Челябинская область город Челябинск улица Гагарина (Смолино) дом 31   помещение 5</t>
  </si>
  <si>
    <t>ЮЛ740700581300002</t>
  </si>
  <si>
    <t>454010 Челябинская область город Челябинск улица Гагарина дом 35А   помещение 6</t>
  </si>
  <si>
    <t>ЮЛ740700581300003</t>
  </si>
  <si>
    <t>454071 Челябинская область город Челябинск улица Героев Танкограда дом 55   часть помещения 3</t>
  </si>
  <si>
    <t>ЮЛ740700581300004</t>
  </si>
  <si>
    <t>454084 Челябинская область город Челябинск улица Кирова дом 2   помещение 16</t>
  </si>
  <si>
    <t>ЮЛ740700581300005</t>
  </si>
  <si>
    <t>454080 Челябинская область город Челябинск проспект Ленина дом 73   помещение 9</t>
  </si>
  <si>
    <t>ЮЛ740700581300006</t>
  </si>
  <si>
    <t>454047 Челябинская область город Челябинск улица 60-летия Октября дом 2   помещение100/2</t>
  </si>
  <si>
    <t>ЮЛ740700581300007</t>
  </si>
  <si>
    <t>454100 Челябинская область город Челябинск проспект Победы дом 392   помещение 12</t>
  </si>
  <si>
    <t>ЮЛ740700581300008</t>
  </si>
  <si>
    <t>454010 Челябинская область город Челябинск улица Руставели дом 10   помещение 7</t>
  </si>
  <si>
    <t>ЮЛ740700581300009</t>
  </si>
  <si>
    <t>454031 Челябинская область город Челябинск улица Сталеваров дом 66   помещение 17</t>
  </si>
  <si>
    <t>ЮЛ740700581300010</t>
  </si>
  <si>
    <t>454112 Челябинская область город Челябинск улица Красного Урала дом 10   помещение 1</t>
  </si>
  <si>
    <t>ЮЛ740700581300011</t>
  </si>
  <si>
    <t>454081 Челябинская область город Челябинск улица Горького дом 81   помещение 14</t>
  </si>
  <si>
    <t>ЮЛ740700581300013</t>
  </si>
  <si>
    <t>454014 Челябинская область город Челябинск улица Молодогвардейцев дом 32   помещение 4</t>
  </si>
  <si>
    <t>ЮЛ740700581300015</t>
  </si>
  <si>
    <t>454119 Челябинская область город Челябинск улица Дзержинского дом 4   помещение 4</t>
  </si>
  <si>
    <t>ЮЛ740700581300017</t>
  </si>
  <si>
    <t>454015 Челябинская область город Челябинск улица Шагольская дом 41   помещение 15</t>
  </si>
  <si>
    <t>ЮЛ740700581300018</t>
  </si>
  <si>
    <t>454071 Челябинская область город Челябинск улица Комарова дом 129   помещение 8</t>
  </si>
  <si>
    <t>ЮЛ740700581300019</t>
  </si>
  <si>
    <t>454084 Челябинская область город Челябинск проспект Победы дом 160   офис 210, ячейка № 1</t>
  </si>
  <si>
    <t>ИП660703013900000</t>
  </si>
  <si>
    <t>455047 Челябинская область город Магнитогорск улица Советская дом 170   № 31,32</t>
  </si>
  <si>
    <t>ИП660703013900007</t>
  </si>
  <si>
    <t>455001 Челябинская область город Магнитогорск улица Герцена дом 6   № 192</t>
  </si>
  <si>
    <t>ИП660703013900008</t>
  </si>
  <si>
    <t>455044 Челябинская область город Магнитогорск проспект Ленина дом 83   118</t>
  </si>
  <si>
    <t>ИП660703013900009</t>
  </si>
  <si>
    <t>455045 Челябинская область город Магнитогорск проспект Карла Маркса дом 153   помещение 43</t>
  </si>
  <si>
    <t>ИП660703013900010</t>
  </si>
  <si>
    <t>455045 Челябинская область город Магнитогорск проспект Карла Маркса дом 153   помещение 6</t>
  </si>
  <si>
    <t>ИП660703013900011</t>
  </si>
  <si>
    <t>455044 Челябинская область город Магнитогорск проспект Карла Маркса дом 99   помещение 4</t>
  </si>
  <si>
    <t>ИП660703013900012</t>
  </si>
  <si>
    <t>454079 Челябинская область город Челябинск улица Зальцмана дом 30</t>
  </si>
  <si>
    <t>ИП Баракова Елена Сергеевна</t>
  </si>
  <si>
    <t>745300222664</t>
  </si>
  <si>
    <t>ИП7407011156</t>
  </si>
  <si>
    <t>ИП740701115600000</t>
  </si>
  <si>
    <t>457100 Челябинская область город Троицк улица Малышева дом 38</t>
  </si>
  <si>
    <t>ИП Бумагина Светлана Геннадьевна</t>
  </si>
  <si>
    <t>745301034511</t>
  </si>
  <si>
    <t>ИП7407038118</t>
  </si>
  <si>
    <t>ИП740703811800000</t>
  </si>
  <si>
    <t>454010 Челябинская область город Челябинск улица Гагарина дом 4-Д</t>
  </si>
  <si>
    <t>ООО "ФИРМА ЯНТАРЬ"</t>
  </si>
  <si>
    <t>7453015223</t>
  </si>
  <si>
    <t>ЮЛ7407003225</t>
  </si>
  <si>
    <t>ЮЛ740700322500000</t>
  </si>
  <si>
    <t>454084 Челябинская область город Челябинск проспект Победы дом 160   офис 210, ячейка № 3</t>
  </si>
  <si>
    <t>ИП Манакова Наталья Владимировна</t>
  </si>
  <si>
    <t>745304434194</t>
  </si>
  <si>
    <t>ИП6607031316</t>
  </si>
  <si>
    <t>ИП660703131600000</t>
  </si>
  <si>
    <t>454021 Челябинская область город Челябинск улица Молдавская дом 16   часть нежилого помещения № 138: комнаты № № 91, 92</t>
  </si>
  <si>
    <t>ИП660703131600002</t>
  </si>
  <si>
    <t>454087 Челябинская область город Челябинск улица Дарвина дом 18А   часть помещения № 10</t>
  </si>
  <si>
    <t>ИП660703131600003</t>
  </si>
  <si>
    <t>454091 Челябинская область Челябинск Степана Разина 9   часть нежилого помещения № 111, первый этаж, сектор 11/20</t>
  </si>
  <si>
    <t>ИП660703131600007</t>
  </si>
  <si>
    <t>454014 Челябинская область город Челябинск проспект Комсомольский дом 65   нежилое помещение №138,139</t>
  </si>
  <si>
    <t>ИП660703131600008</t>
  </si>
  <si>
    <t>454091 Челябинская область город Челябинск улица Цвиллинга дом 25   нежилое помещение  (часть нежилого помещения №143)</t>
  </si>
  <si>
    <t>ИП660703131600009</t>
  </si>
  <si>
    <t>454091 Челябинская область город Челябинск улица Тимирязева дом 33   нежилое помещение №55</t>
  </si>
  <si>
    <t>ИП660703131600012</t>
  </si>
  <si>
    <t>454003 Челябинская область город Челябинск улица Чичерина дом 28   помещение №10</t>
  </si>
  <si>
    <t>ИП660703131600013</t>
  </si>
  <si>
    <t>454138 Челябинская область город Челябинск улица Молодогвардейцев дом 7   часть нежилого помещения 182</t>
  </si>
  <si>
    <t>ИП660703131600014</t>
  </si>
  <si>
    <t>454021 Челябинская область город Челябинск улица Молдавская дом 16   часть нежилого помещения № 23: часть комнаты 55</t>
  </si>
  <si>
    <t>ИП660703131600015</t>
  </si>
  <si>
    <t>454080 Челябинская область город Челябинск улица Труда дом 203   часть нежилого помещения 45</t>
  </si>
  <si>
    <t>ИП660703131600017</t>
  </si>
  <si>
    <t>454091 Челябинская область город Челябинск проспект Ленина дом 46</t>
  </si>
  <si>
    <t>ООО "ГОСТИНЫЙ ДВОР"</t>
  </si>
  <si>
    <t>7453075293</t>
  </si>
  <si>
    <t>ЮЛ7407008598</t>
  </si>
  <si>
    <t>ЮЛ740700859800000</t>
  </si>
  <si>
    <t>454084 Челябинская область город Челябинск проспект Победы дом  160   5 этаж,нежилое помещение 68</t>
  </si>
  <si>
    <t>ИП Манакова Милана Вячеславовна</t>
  </si>
  <si>
    <t>745310168110</t>
  </si>
  <si>
    <t>ИП7407037087</t>
  </si>
  <si>
    <t>ИП740703708700000</t>
  </si>
  <si>
    <t>454091 Челябинская область город Челябинск улица Коммуны дом 60   помещение 101</t>
  </si>
  <si>
    <t>ООО "ДИАМАНТ ПРЕСТИЖ"</t>
  </si>
  <si>
    <t>7453223343</t>
  </si>
  <si>
    <t>ЮЛ7407007279</t>
  </si>
  <si>
    <t>ЮЛ740700727900000</t>
  </si>
  <si>
    <t>454080 Челябинская область город Челябинск улица Лесопарковая дом 9А   помещение 7,8</t>
  </si>
  <si>
    <t>ООО "ДЖЕЙ-СПОРТ"</t>
  </si>
  <si>
    <t>7453321661</t>
  </si>
  <si>
    <t>ЮЛ7407011017</t>
  </si>
  <si>
    <t>ЮЛ740701101700000</t>
  </si>
  <si>
    <t>454103 Челябинская область город Челябинск улица Академика Макеева дом 36   помещ.1</t>
  </si>
  <si>
    <t>7453338320</t>
  </si>
  <si>
    <t>ЮЛ7407031229</t>
  </si>
  <si>
    <t>ЮЛ740703122900000</t>
  </si>
  <si>
    <t>454091 Челябинская область город Челябинск улица Кирова дом 159   офис 315</t>
  </si>
  <si>
    <t>ООО "СОЛНЦЕ"</t>
  </si>
  <si>
    <t>7453343030</t>
  </si>
  <si>
    <t>ЮЛ7407030872</t>
  </si>
  <si>
    <t>ЮЛ740703087200000</t>
  </si>
  <si>
    <t>455047 Челябинская область Магнитогорск  Тевосяна  4    13</t>
  </si>
  <si>
    <t>ООО "ЛОМБАРД ИМПЕРИАЛ"</t>
  </si>
  <si>
    <t>7455005647</t>
  </si>
  <si>
    <t>ЮЛ7407014150</t>
  </si>
  <si>
    <t>ЮЛ740701415000000</t>
  </si>
  <si>
    <t>455000 Челябинская область город Магнитогорск улица Ленинградская дом 22   офис 41</t>
  </si>
  <si>
    <t>ЮЛ740700699600000</t>
  </si>
  <si>
    <t>455049 Челябинская область город Магнитогорск проспект Карла Маркса дом 194</t>
  </si>
  <si>
    <t>ИП Рыкова Дарья Алексеевна</t>
  </si>
  <si>
    <t>745501834233</t>
  </si>
  <si>
    <t>ИП7407031499</t>
  </si>
  <si>
    <t>ИП740703149900000</t>
  </si>
  <si>
    <t>454004 Челябинская область город Челябинск улица Академика Сахарова дом 11   помещение 1</t>
  </si>
  <si>
    <t>ИП Лихачёв Александр Сергеевич</t>
  </si>
  <si>
    <t>745502147385</t>
  </si>
  <si>
    <t>ИП7407011412</t>
  </si>
  <si>
    <t>ИП740701141200000</t>
  </si>
  <si>
    <t>455000 Челябинская область город Магнитогорск улица Строителей дом 41   помещение 7</t>
  </si>
  <si>
    <t>ЮЛ740700065400000</t>
  </si>
  <si>
    <t>457351 Челябинская область Город Карталы Улица Славы  Дом 2   помещение 1</t>
  </si>
  <si>
    <t>ЮЛ740700065400005</t>
  </si>
  <si>
    <t>454036 Челябинская область город Челябинск улица Черкасская дом 15   101</t>
  </si>
  <si>
    <t>7456024459</t>
  </si>
  <si>
    <t>ЮЛ7407000652</t>
  </si>
  <si>
    <t>ЮЛ740700065200000</t>
  </si>
  <si>
    <t>455037 Челябинская область город Магнитогорск проспект Карла Маркса дом 152   помещение 7</t>
  </si>
  <si>
    <t>ООО ЛОМБАРД "100 ПРОЦЕНТОВ"</t>
  </si>
  <si>
    <t>7456030903</t>
  </si>
  <si>
    <t>ЮЛ7407002147</t>
  </si>
  <si>
    <t>ЮЛ740700214700000</t>
  </si>
  <si>
    <t>455044 Челябинская область город Магнитогорск проспект Карла Маркса дом 134   помещение 5</t>
  </si>
  <si>
    <t>ООО "ЛОМБАРД 777"</t>
  </si>
  <si>
    <t>7456046124</t>
  </si>
  <si>
    <t>ЮЛ7407001230</t>
  </si>
  <si>
    <t>ЮЛ740700123000000</t>
  </si>
  <si>
    <t>456010 Челябинская область город Аша Озимина улица дом 16   помещение 3</t>
  </si>
  <si>
    <t>ООО "УРАЛ РУБИН"</t>
  </si>
  <si>
    <t>7457010339</t>
  </si>
  <si>
    <t>ЮЛ7407035849</t>
  </si>
  <si>
    <t>ЮЛ740703584900002</t>
  </si>
  <si>
    <t>456010 Челябинская область город Аша улица Ленина дом 14</t>
  </si>
  <si>
    <t>ЮЛ740703584900004</t>
  </si>
  <si>
    <t>ЮЛ740703584900005</t>
  </si>
  <si>
    <t>456010 Челябинская область город  Аша улица Ленина  дом 14</t>
  </si>
  <si>
    <t>ИП Мингазова Эльвина Радиковна</t>
  </si>
  <si>
    <t>745702440895</t>
  </si>
  <si>
    <t>ИП7407032890</t>
  </si>
  <si>
    <t>ИП740703289000000</t>
  </si>
  <si>
    <t>456010 Челябинская область город  Аша Озимина улица дом 16   пом 3</t>
  </si>
  <si>
    <t>ИП740703289000002</t>
  </si>
  <si>
    <t>455045 Челябинская область город Магнитогорск проспект Карла Маркса дом 153   22</t>
  </si>
  <si>
    <t>ЮЛ760201190700052</t>
  </si>
  <si>
    <t>455044 Челябинская область город Магнитогорск проспект Ленина дом 83   место 44</t>
  </si>
  <si>
    <t>ЮЛ760201190700055</t>
  </si>
  <si>
    <t>456554 Челябинская область город Коркино улица 30 лет ВЛКСМ дом 140А/1</t>
  </si>
  <si>
    <t>ЮЛ770100201500549</t>
  </si>
  <si>
    <t>456601 Челябинская область город Копейск улица Сутягина дом 5   помещение 1</t>
  </si>
  <si>
    <t>ЮЛ770100201500556</t>
  </si>
  <si>
    <t>454031 Челябинская область город Челябинск улица Сталеваров дом 66   помещение 13</t>
  </si>
  <si>
    <t>ЮЛ770100201500590</t>
  </si>
  <si>
    <t>454085 Челябинская область город Челябинск улица Марченко дом 18   помещение 10</t>
  </si>
  <si>
    <t>ЮЛ770100201500593</t>
  </si>
  <si>
    <t>454021 Челябинская область город Челябинск улица Солнечная дом 40   помещение 51</t>
  </si>
  <si>
    <t>ЮЛ770100201500594</t>
  </si>
  <si>
    <t>454015 Челябинская область город Челябинск улица Шагольская, квартал 1 дом 6   помещение 4</t>
  </si>
  <si>
    <t>ЮЛ770100201500595</t>
  </si>
  <si>
    <t>456550 Челябинская область город Коркино улица Ленина дом 14   помещение 1</t>
  </si>
  <si>
    <t>ЮЛ770100201500712</t>
  </si>
  <si>
    <t>456550 Челябинская область город Коркино улица Цвиллинга дом 29</t>
  </si>
  <si>
    <t>ЮЛ770100201500727</t>
  </si>
  <si>
    <t>456227 Челябинская область город Златоуст поселок Айский Дом 70   чать помещения 1, этаж 1</t>
  </si>
  <si>
    <t>ЮЛ770101216600082</t>
  </si>
  <si>
    <t>454080 Челябинская область город Челябинск улица Труда дом 203   нежилое помещение 56, этаж 1</t>
  </si>
  <si>
    <t>ЮЛ770101216600156</t>
  </si>
  <si>
    <t>454010 Челябинская область город Челябинск шоссе Копейское дом 64   часть нежилого помещения 16, комната 260</t>
  </si>
  <si>
    <t>ЮЛ770101216600180</t>
  </si>
  <si>
    <t>454036 Челябинская область город Челябинск улица Черкасская дом 15   часть помещения 101, этаж 1</t>
  </si>
  <si>
    <t>ЮЛ770101216600214</t>
  </si>
  <si>
    <t>455045 Челябинская область город Магнитогорск проспект Карла Маркса дом 153   помещение 31-32, этаж 1</t>
  </si>
  <si>
    <t>ЮЛ770101216600230</t>
  </si>
  <si>
    <t>455044 Челябинская область город Магнитогорск проспект Ленина дом 83   помещение 130, этаж 1</t>
  </si>
  <si>
    <t>ЮЛ770101216600231</t>
  </si>
  <si>
    <t>455049 Челябинская область город Магнитогорск проспект Карла Маркса дом 172   помещение 112, этаж 1</t>
  </si>
  <si>
    <t>ЮЛ770101216600232</t>
  </si>
  <si>
    <t>454007 Челябинская область город Челябинск улица Артиллерийская дом 136   этаж 1, часть нежилого помещения № 4</t>
  </si>
  <si>
    <t>ЮЛ770101216600271</t>
  </si>
  <si>
    <t>454087 Челябинская область город Челябинск улица Дарвина дом 18А   помещение 10, этаж 1</t>
  </si>
  <si>
    <t>ЮЛ770101216600272</t>
  </si>
  <si>
    <t>454138 Челябинская область город Челябинск улица Молодогвардейцев дом 7   часть помещения 184, этаж 1</t>
  </si>
  <si>
    <t>ЮЛ770101216600303</t>
  </si>
  <si>
    <t>454021 Челябинская область город Челябинск улица Молдавская дом 16   этаж 1, часть нежилого помещения №138, комнат №93,94</t>
  </si>
  <si>
    <t>ЮЛ770101216600496</t>
  </si>
  <si>
    <t>454090 Челябинская область город Челябинск улица Российская дом 194   этаж 1</t>
  </si>
  <si>
    <t>ЮЛ770101216600551</t>
  </si>
  <si>
    <t>454003 Челябинская область город Челябинск улица Чичерина дом 28   этаж 1, часть нежилого помещения №77</t>
  </si>
  <si>
    <t>ЮЛ770101216600558</t>
  </si>
  <si>
    <t>456625 Челябинская область город Копейск проспект Славы дом 8   этаж 1, часть нежилого помещения № 53, в составе нежилых помещений №4а, 4б, 4в, 4г, 4д, 4ж, часть №3в, часть № 4</t>
  </si>
  <si>
    <t>ЮЛ770101216600573</t>
  </si>
  <si>
    <t>457100 Челябинская область город Троицк улица им. Ю.А. Гагарина дом 46Б   этаж 1, нежилые помещения № 1,2,3,4,5,13,14</t>
  </si>
  <si>
    <t>ЮЛ770101216600620</t>
  </si>
  <si>
    <t>456318 Челябинская область город Миасс проспект Октября дом 69а   этаж 1, часть нежилого помещения  №5</t>
  </si>
  <si>
    <t>ЮЛ770101216600668</t>
  </si>
  <si>
    <t>454100 Челябинская область город Челябинск улица 40-летия Победы дом 1   этаж 1, часть нежилого помещения 1</t>
  </si>
  <si>
    <t>ЮЛ770101216600676</t>
  </si>
  <si>
    <t>454091 Челябинская область город Челябинск улица Цвиллинга дом 25   этаж 1, часть нежилого помещения №143</t>
  </si>
  <si>
    <t>ЮЛ770101216600682</t>
  </si>
  <si>
    <t>456300 Челябинская область город Миасс проспект Автозаводцев здание  65   этаж 1, часть нежилого помещения №4, помещение №15</t>
  </si>
  <si>
    <t>ЮЛ770101216600705</t>
  </si>
  <si>
    <t>454003 Челябинская область город Челябинск улица Братьев Кашириных дом 133   1 этаж, пом 13</t>
  </si>
  <si>
    <t>ЮЛ770101216600714</t>
  </si>
  <si>
    <t>454080 Челябинская область город Челябинск улица Воровского дом 6   1 этаж, часть помещения №АП-15, АП-16</t>
  </si>
  <si>
    <t>ЮЛ770101216600746</t>
  </si>
  <si>
    <t>454091 Челябинская область город Челябинск улица Разина дом 9   1 этаж, часть нежилого помещения №131</t>
  </si>
  <si>
    <t>ЮЛ770101216600885</t>
  </si>
  <si>
    <t>457040 Челябинская область город Южноуральск улица Спортивная дом 27 строение 4  этаж 1</t>
  </si>
  <si>
    <t>ЮЛ770101216600931</t>
  </si>
  <si>
    <t>454080 Челябинская область город Челябинск улица Труда дом 166   этаж 1, часть нежилого помещения №31</t>
  </si>
  <si>
    <t>ЮЛ770101216600987</t>
  </si>
  <si>
    <t>ИП Батурин Андрей Владимирович</t>
  </si>
  <si>
    <t>771903862377</t>
  </si>
  <si>
    <t>ИП7701037824</t>
  </si>
  <si>
    <t>ИП770103782400000</t>
  </si>
  <si>
    <t>454007 Челябинская область город Челябинск улица Артиллерийская дом 136   помещение №4</t>
  </si>
  <si>
    <t>ЮЛ770100419400064</t>
  </si>
  <si>
    <t>ЮЛ770100419400170</t>
  </si>
  <si>
    <t>455045 Челябинская область город Магнитогорск проспект Карла Маркса дом 153   часть помещения №24</t>
  </si>
  <si>
    <t>ЮЛ770100419400171</t>
  </si>
  <si>
    <t>456227 Челябинская область город Златоуст, поселок Айский  дом 70    часть помещения № 1 в составе помещения № 108</t>
  </si>
  <si>
    <t>ЮЛ770100193500277</t>
  </si>
  <si>
    <t>456300 Челябинская область город Миасс проспект Автозаводцев дом 61А</t>
  </si>
  <si>
    <t>ЮЛ770100193500278</t>
  </si>
  <si>
    <t>454003 Челябинская область город Челябинск улица Чичерина дом 28   помещение 19, 1 этаж</t>
  </si>
  <si>
    <t>ЮЛ770100193500279</t>
  </si>
  <si>
    <t>454036 Челябинская область город Челябинск улица Черкасская дом 15    часть помещения 101 (часть помещения 89), 1 этаж</t>
  </si>
  <si>
    <t>ЮЛ770100193500281</t>
  </si>
  <si>
    <t>454010 Челябинская область город Челябинск Копейское шоссе дом 64   часть помещения № 16, комната № 264, 2 (второй) этаж</t>
  </si>
  <si>
    <t>ЮЛ770100193500282</t>
  </si>
  <si>
    <t>454087 Челябинская область город Челябинск улица Дарвина дом 18а   часть помещения № 10, 1 этаж</t>
  </si>
  <si>
    <t>ЮЛ770100193500283</t>
  </si>
  <si>
    <t>ЮЛ770100193500285</t>
  </si>
  <si>
    <t>455045 Челябинская область город Магнитогорск проспект Карла Маркса дом 153   часть помещения № 35</t>
  </si>
  <si>
    <t>ЮЛ770100193500286</t>
  </si>
  <si>
    <t>457100 Челябинская область город Троицк улица им. Ю.А. Гагарина дом 46А   помещение, этаж 1 (первый)</t>
  </si>
  <si>
    <t>ЮЛ770100193500635</t>
  </si>
  <si>
    <t>456604 Челябинская область город Копейск проспект Победы дом 16   помещение № 10</t>
  </si>
  <si>
    <t>ЮЛ770100193500696</t>
  </si>
  <si>
    <t>454091 Челябинская область город Челябинск улица Цвиллинга дом 25   часть нежилого помещения № 143, этаж 1 (первый)</t>
  </si>
  <si>
    <t>ЮЛ770100193500724</t>
  </si>
  <si>
    <t>454138 Челябинская область город Челябинск улица Молодогвардейцев дом 7   нежилое помещение № 164, этаж 1 (первый)</t>
  </si>
  <si>
    <t>ЮЛ770100193500728</t>
  </si>
  <si>
    <t>454007 Челябинская область город Челябинск улица Артиллерийская дом 136   нежилое помещение № 4, этаж 1 (первый)</t>
  </si>
  <si>
    <t>ЮЛ770100193500742</t>
  </si>
  <si>
    <t>454091 Челябинская область город Челябинск улица Разина дом 9   часть помещения 60, 1 этаж</t>
  </si>
  <si>
    <t>ЮЛ770100193500820</t>
  </si>
  <si>
    <t>454080 Челябинская область город Челябинск улица Труда дом 203   часть помещения АП-9, АП-14, этаж 1 (первый)</t>
  </si>
  <si>
    <t>ЮЛ770100193500824</t>
  </si>
  <si>
    <t>456910 Челябинская область город Сатка улица Пролетарская дом 41   нежилое помещение № 1 , этаж 1 (первый)</t>
  </si>
  <si>
    <t>ЮЛ770100193500829</t>
  </si>
  <si>
    <t>ЮЛ770100193500890</t>
  </si>
  <si>
    <t>456601 Челябинская область город Копейск улица Сутягина дом 2   помещение 3</t>
  </si>
  <si>
    <t>ЮЛ770100193500906</t>
  </si>
  <si>
    <t>454015 Челябинская область город Челябинск улица Шагольская квартал 1 дом 6   часть нежилого помещения № 4</t>
  </si>
  <si>
    <t>ЮЛ770100193500937</t>
  </si>
  <si>
    <t>454031 Челябинская область город Челябинск улица Сталеваров дом 66   часть нежилого помещения № 13</t>
  </si>
  <si>
    <t>ЮЛ770100193500939</t>
  </si>
  <si>
    <t>ЮЛ770100193500966</t>
  </si>
  <si>
    <t>454084 Челябинская область город Челябинск улица Кирова дом 4   часть помещения 13</t>
  </si>
  <si>
    <t>ЮЛ770100193500979</t>
  </si>
  <si>
    <t>ЮЛ770100193500980</t>
  </si>
  <si>
    <t>454085 Челябинская область город Челябинск улица Марченко дом 18   часть помещения 10</t>
  </si>
  <si>
    <t>ЮЛ770100193501000</t>
  </si>
  <si>
    <t>ЮЛ770100193501028</t>
  </si>
  <si>
    <t>454080 Челябинская область город Челябинск улица Труда дом 203   часть помещения 53, комнаты 301,301а, 1 (первый) этаж</t>
  </si>
  <si>
    <t>ЮЛ770100193501072</t>
  </si>
  <si>
    <t>454078 Челябинская область город Челябинск улица Гагарина дом 24А</t>
  </si>
  <si>
    <t>ЮЛ770100193501108</t>
  </si>
  <si>
    <t>454133 Челябинская область город Челябинск улица Звездная дом 5А</t>
  </si>
  <si>
    <t>ЮЛ160600373100010</t>
  </si>
  <si>
    <t>455037 Челябинская область город Магнитогорск проспект Карла Маркса дом 115</t>
  </si>
  <si>
    <t>ЮЛ770103181900002</t>
  </si>
  <si>
    <t>454078 Челябинская область город Челябинск улица Дзержинского дом 102   1 этаж, часть нежилого помещения № 15</t>
  </si>
  <si>
    <t>ИП780300226000006</t>
  </si>
  <si>
    <t>454084 Челябинская область город Челябинск улица Кирова дом 9-а   часть нежилого помещения № 1, помещения №2,3,4,6</t>
  </si>
  <si>
    <t>ЮЛ780300131300163</t>
  </si>
  <si>
    <t>454078 Челябинская область город Челябинск улица Дзержинского дом 102</t>
  </si>
  <si>
    <t>ЮЛ780300131300165</t>
  </si>
  <si>
    <t>455045 Челябинская область город Магнитогорск проспект Карла Маркса дом 153   часть нежилого помещения №1</t>
  </si>
  <si>
    <t>ЮЛ780300131300531</t>
  </si>
  <si>
    <t>456618 Челябинская область город Копейск проспект Славы дом 1</t>
  </si>
  <si>
    <t>ЮЛ780300323500013</t>
  </si>
  <si>
    <t>454020 Челябинская область город Челябинск улица Воровского дом 40   помещение 17</t>
  </si>
  <si>
    <t>ЮЛ780300323500187</t>
  </si>
  <si>
    <t>ЮЛ780300323500188</t>
  </si>
  <si>
    <t>454091 Челябинская область город Челябинск проспект Ленина дом 53   помещения 56, 59, 60</t>
  </si>
  <si>
    <t>ЮЛ780300323500189</t>
  </si>
  <si>
    <t>454071 Челябинская область город Челябинск улица Комарова дом 116</t>
  </si>
  <si>
    <t>ЮЛ780300323500216</t>
  </si>
  <si>
    <t>456300 Челябинская область город Миасс проспект Автозаводцев дом 65   часть нежилого помещения 3</t>
  </si>
  <si>
    <t>ЮЛ780300308200145</t>
  </si>
  <si>
    <t>454007 Челябинская область город Челябинск улица Артиллерийская дом 136   часть нежилого помещения 360</t>
  </si>
  <si>
    <t>ЮЛ780300308200148</t>
  </si>
  <si>
    <t>455045 Челябинская область город Магнитогорск проспект Карла Маркса дом 153   часть нежилого помещения 1</t>
  </si>
  <si>
    <t>ЮЛ780300308200164</t>
  </si>
  <si>
    <t>456770 Челябинская область город Снежинск улица Транспортная дом 35   часть нежилых помещений 65-70</t>
  </si>
  <si>
    <t>ЮЛ780300308200178</t>
  </si>
  <si>
    <t>457103 Челябинская область город Троицк улица им. Ю.А. Гагарина дом 46Г</t>
  </si>
  <si>
    <t>ЮЛ780300308200183</t>
  </si>
  <si>
    <t>454087 Челябинская область город Челябинск улица Дарвина дом 18А   часть помещения №62</t>
  </si>
  <si>
    <t>ЮЛ780300308200245</t>
  </si>
  <si>
    <t>ЮЛ780300308200263</t>
  </si>
  <si>
    <t>456219 Челябинская область город Златоуст проспект им Ю.А.Гагарина 1-я линия дом 10А   часть нежилых помещений №15, №18, №19 на втором этаже и часть остекленной входной группы</t>
  </si>
  <si>
    <t>ЮЛ780300308200407</t>
  </si>
  <si>
    <t>456227 Челябинская область город Златоуст поселок Айский дом 70   часть помещения 111</t>
  </si>
  <si>
    <t>ЮЛ780300308200408</t>
  </si>
  <si>
    <t>455044 Челябинская область город Магнитогорск проспект Ленина дом 83   часть помещения 107</t>
  </si>
  <si>
    <t>ЮЛ780300308200485</t>
  </si>
  <si>
    <t>ЮЛ780300308200501</t>
  </si>
  <si>
    <t>ЮЛ780300308200502</t>
  </si>
  <si>
    <t>454138 Челябинская область город Челябинск улица Молодогвардейцев дом 7</t>
  </si>
  <si>
    <t>ЮЛ780300308200503</t>
  </si>
  <si>
    <t>454003 Челябинская область город Челябинск улица Чичерина дом 28   часть нежилого помещения №10</t>
  </si>
  <si>
    <t>ЮЛ780300308200504</t>
  </si>
  <si>
    <t>455049 Челябинская область город Магнитогорск, Правобережный район проспект Карла Маркса дом 172   часть нежилого помещения №112</t>
  </si>
  <si>
    <t>ЮЛ780300308200603</t>
  </si>
  <si>
    <t>456625 Челябинская область город Копейск проспект Славы дом 8   часть нежилого помещения № 53</t>
  </si>
  <si>
    <t>ЮЛ780300308200643</t>
  </si>
  <si>
    <t>ЮЛ780300308200920</t>
  </si>
  <si>
    <t>454084 Челябинская область город Челябинск улица Кирова дом 9А</t>
  </si>
  <si>
    <t>ЮЛ780300308200936</t>
  </si>
  <si>
    <t>456785 Челябинская область город Озерск улица Дзержинского дом 35а   часть нежилого помещения № 51</t>
  </si>
  <si>
    <t>ЮЛ780300308201110</t>
  </si>
  <si>
    <t>454010 Челябинская область город Челябинск шоссе Копейское дом 64   часть помещения №16 в составе комнаты № 273</t>
  </si>
  <si>
    <t>ЮЛ780300308201146</t>
  </si>
  <si>
    <t>454087 Челябинская область город Челябинск улица Дарвина дом 18А   часть нежилого помещения № 10</t>
  </si>
  <si>
    <t>ЮЛ780300308201151</t>
  </si>
  <si>
    <t>456601 Челябинская область город Копейск улица Сутягина дом 6   нежилое помещение п.5</t>
  </si>
  <si>
    <t>ЮЛ780300308201242</t>
  </si>
  <si>
    <t>ЮЛ780300363500021</t>
  </si>
  <si>
    <t>454020 Челябинская область город Челябинск улица Воровского дом 40   помещение 11</t>
  </si>
  <si>
    <t>ЮЛ780300363500253</t>
  </si>
  <si>
    <t>ЮЛ780300363500254</t>
  </si>
  <si>
    <t>ЮЛ780300363500255</t>
  </si>
  <si>
    <t>454091 Челябинская область город Челябинск проспект Ленина дом 53   помещения 2, 4, 57, 58, 60</t>
  </si>
  <si>
    <t>ЮЛ780300363500257</t>
  </si>
  <si>
    <t>454080 Челябинская область город Челябинск улица Воровского дом 6   подвал, цокольный этаж, нежилое помещение №7, Литера А/1, инв.№4445</t>
  </si>
  <si>
    <t>ЮЛ770100439200138</t>
  </si>
  <si>
    <t>454010 Челябинская область город Челябинск шоссе Копейское дом 64   2 этаж, часть нежилого помещения в составе части комнаты № 210</t>
  </si>
  <si>
    <t>ЮЛ770100439200219</t>
  </si>
  <si>
    <t>455044 Челябинская область город Магнитогорск проспект Ленина дом 83   часть нежилого помещения № 130 на 1-м этаже</t>
  </si>
  <si>
    <t>ЮЛ770100439200262</t>
  </si>
  <si>
    <t>Чеченская Республика</t>
  </si>
  <si>
    <t>364024 Чеченская Республика город Грозный проспект им В.В.Путина здание 40   пом. 1.1.54</t>
  </si>
  <si>
    <t>ИП050501418700001</t>
  </si>
  <si>
    <t>364024 Чеченская Республика город Грозный улица им Шейха Али Митаева здание 65   офис 2</t>
  </si>
  <si>
    <t>ИП Бакаева Петимат Ахмедовна</t>
  </si>
  <si>
    <t>60300959702</t>
  </si>
  <si>
    <t>ИП2005002225</t>
  </si>
  <si>
    <t>ИП200500222500000</t>
  </si>
  <si>
    <t>364024 Чеченская Республика город Грозный проспект А.А.Кадырова дом 40   помещение 1-22</t>
  </si>
  <si>
    <t>2014016100</t>
  </si>
  <si>
    <t>ЮЛ2005015344</t>
  </si>
  <si>
    <t>ЮЛ200501534400000</t>
  </si>
  <si>
    <t>364024 Чеченская Республика город Грозный улица им Шейха Али Митаева здание 65   3</t>
  </si>
  <si>
    <t>ГКФХ Тайсумова Кубани Мусаевна</t>
  </si>
  <si>
    <t>201402424906</t>
  </si>
  <si>
    <t>ИП2005002576</t>
  </si>
  <si>
    <t>ИП200500257600000</t>
  </si>
  <si>
    <t>364024 Чеченская Республика город Грозный бульвар им. М.А. Эсамбаева дом 4   квартира 61</t>
  </si>
  <si>
    <t>2014256278</t>
  </si>
  <si>
    <t>ЮЛ2005002266</t>
  </si>
  <si>
    <t>ЮЛ200500226600000</t>
  </si>
  <si>
    <t>364024 Чеченская Республика город Грозный проспект им В.В.Путина здание 40   этаж 2, помещение № 2.1.06</t>
  </si>
  <si>
    <t>ООО "ЛБС"</t>
  </si>
  <si>
    <t>2015011792</t>
  </si>
  <si>
    <t>ЮЛ2005039533</t>
  </si>
  <si>
    <t>ЮЛ200503953300000</t>
  </si>
  <si>
    <t>364024 Чеченская Республика город Грозный проспект им В.В.Путина здание 40</t>
  </si>
  <si>
    <t>ИП Испахиев Расул Магомедович</t>
  </si>
  <si>
    <t>201579418666</t>
  </si>
  <si>
    <t>ИП2005040147</t>
  </si>
  <si>
    <t>ИП200504014700000</t>
  </si>
  <si>
    <t>364024 Чеченская Республика город Грозный проспект имени Владимира Владимировича Путина дом 40</t>
  </si>
  <si>
    <t>ИП500100445500041</t>
  </si>
  <si>
    <t>364024 Чеченская Республика город Грозный проспект им В.В.Путина здание 40   этаж 1,  помещение №1.1.15</t>
  </si>
  <si>
    <t>ЮЛ770101216600481</t>
  </si>
  <si>
    <t>ЮЛ770100419400219</t>
  </si>
  <si>
    <t>364029 Чеченская Республика город Грозный, р-н Октябрьский проспект Кунта-Хаджи Кишиева дом 151   объект 1/195</t>
  </si>
  <si>
    <t>ЮЛ780300308200365</t>
  </si>
  <si>
    <t>364024 Чеченская Республика город Грозный проспект им В.В.Путина дом 40   помещение 1.1.75</t>
  </si>
  <si>
    <t>ЮЛ780300308200585</t>
  </si>
  <si>
    <t>364024 Чеченская Республика город Грозный проспект им В.В.Путина здание 40   1 этаж, , помещение 1.1.43</t>
  </si>
  <si>
    <t>ЮЛ770100439200202</t>
  </si>
  <si>
    <t>Чувашская Республика</t>
  </si>
  <si>
    <t>428031 Чувашская Республика город Чебоксары проспект Тракторостроителей дом 1/34</t>
  </si>
  <si>
    <t>ИП120600364300002</t>
  </si>
  <si>
    <t>428003 Чувашская Республика город Чебоксары улица Николая Ильбекова дом 2   помещение 1</t>
  </si>
  <si>
    <t>ЮЛ120600100400012</t>
  </si>
  <si>
    <t>429530 Чувашская Республика Село Моргауши Улица 50 лет Октября Дом 6</t>
  </si>
  <si>
    <t>ИП120600483700001</t>
  </si>
  <si>
    <t>429700 Чувашская Республика Поселок городского типа Ибреси Улица Маресьева Дом 33   Помещение 10.24</t>
  </si>
  <si>
    <t>ИП120600483700002</t>
  </si>
  <si>
    <t>429335 Чувашская Республика город Канаш улица Кооперативная дом 6   помещение 6</t>
  </si>
  <si>
    <t>ИП Федоров Юрий Исаакович</t>
  </si>
  <si>
    <t>210600764401</t>
  </si>
  <si>
    <t>ИП2106004744</t>
  </si>
  <si>
    <t>ИП210600474400000</t>
  </si>
  <si>
    <t>429350 Чувашская Республика село Батырево улица Мира дом 13</t>
  </si>
  <si>
    <t>ИП210600474400005</t>
  </si>
  <si>
    <t>429430 Чувашская Республика город Козловка улица Лобачевского дом 26Б</t>
  </si>
  <si>
    <t>ИП210600474400006</t>
  </si>
  <si>
    <t>429330 Чувашская Республика город Канаш улица Московская дом 10   помещение 5</t>
  </si>
  <si>
    <t>ИП210600474400007</t>
  </si>
  <si>
    <t>429140 Чувашская Республика село Комсомольское улица Ленина дом 2а</t>
  </si>
  <si>
    <t>ИП Краснова Надежда Валентиновна</t>
  </si>
  <si>
    <t>210800007840</t>
  </si>
  <si>
    <t>ИП2106002542</t>
  </si>
  <si>
    <t>ИП210600254200000</t>
  </si>
  <si>
    <t>428038 Чувашская Республика город Чебоксары улица Энтузиастов дом 34   помещение 10</t>
  </si>
  <si>
    <t>ИП Медведева Александра Геннадьевна</t>
  </si>
  <si>
    <t>210801077913</t>
  </si>
  <si>
    <t>ИП2106031372</t>
  </si>
  <si>
    <t>ИП210603137200000</t>
  </si>
  <si>
    <t>428003 Чувашская Республика город Чебоксары улица 50 лет Октября дом 15   помещения 2, комната 3</t>
  </si>
  <si>
    <t>ИП Константинова Светлана Алексеевна</t>
  </si>
  <si>
    <t>211201791395</t>
  </si>
  <si>
    <t>ИП2106006371</t>
  </si>
  <si>
    <t>ИП210600637100000</t>
  </si>
  <si>
    <t>428003 Чувашская Республика город Чебоксары улица Кооперативная дом 6 часть нежилого помещения №1</t>
  </si>
  <si>
    <t>ИП520600153500004</t>
  </si>
  <si>
    <t>429380 Чувашская Республика село Яльчики улица Кооперативная дом 67</t>
  </si>
  <si>
    <t>ИП Горшков Сергей Александрович</t>
  </si>
  <si>
    <t>212000014866</t>
  </si>
  <si>
    <t>ИП2106005508</t>
  </si>
  <si>
    <t>ИП210600550800000</t>
  </si>
  <si>
    <t>429800 Чувашская Республика город Алатырь улица Московская 125А</t>
  </si>
  <si>
    <t>ИП Фролова Людмила Юрьевна</t>
  </si>
  <si>
    <t>212200167556</t>
  </si>
  <si>
    <t>ИП2106002315</t>
  </si>
  <si>
    <t>ИП210600231500000</t>
  </si>
  <si>
    <t>428000 Чувашская Республика город Чебоксары бульвар Президентский дом 20</t>
  </si>
  <si>
    <t>ИП Сергеева Елена Александровна</t>
  </si>
  <si>
    <t>212203504464</t>
  </si>
  <si>
    <t>ИП2106032778</t>
  </si>
  <si>
    <t>ИП210603277800000</t>
  </si>
  <si>
    <t>429820 Чувашская Республика город Алатырь улица Московская дом 125</t>
  </si>
  <si>
    <t>ИП Арефьев Андрей Иванович</t>
  </si>
  <si>
    <t>212203518594</t>
  </si>
  <si>
    <t>ИП2106030548</t>
  </si>
  <si>
    <t>ИП210603054800000</t>
  </si>
  <si>
    <t>429330 Чувашская Республика город Канаш проспект Ленина дом 12   Помещение 5</t>
  </si>
  <si>
    <t>ИП Андреева Татьяна Валерьевна</t>
  </si>
  <si>
    <t>212301550998</t>
  </si>
  <si>
    <t>ИП2106035166</t>
  </si>
  <si>
    <t>ИП210603516600000</t>
  </si>
  <si>
    <t>429330 Чувашская Республика город Канаш проспект Ленина дом 11   помещение 5</t>
  </si>
  <si>
    <t>ИП210603516600001</t>
  </si>
  <si>
    <t>429330 Чувашская Республика город Канаш проспект Ленина дом 19   помещение 6</t>
  </si>
  <si>
    <t>ИП Николаева Ольга Юрьевна</t>
  </si>
  <si>
    <t>212301697119</t>
  </si>
  <si>
    <t>ИП2106004236</t>
  </si>
  <si>
    <t>ИП210600423600000</t>
  </si>
  <si>
    <t>429140 Чувашская Республика село Комсомольское улица Канашская дом 33/1</t>
  </si>
  <si>
    <t>ИП210600423600003</t>
  </si>
  <si>
    <t>429334 Чувашская Республика город Канаш проспект Ленина дом 33   помещение 8</t>
  </si>
  <si>
    <t>ИП Степанова Ольга Евгеньевна</t>
  </si>
  <si>
    <t>212302676136</t>
  </si>
  <si>
    <t>ИП2106002567</t>
  </si>
  <si>
    <t>ИП210600256700000</t>
  </si>
  <si>
    <t>429960 Чувашская Республика город Новочебоксарск улица Первомайская дом 47   помещение 77</t>
  </si>
  <si>
    <t>ИП Семенов Вячеслав Иванович</t>
  </si>
  <si>
    <t>212400193779</t>
  </si>
  <si>
    <t>ИП2106015658</t>
  </si>
  <si>
    <t>ИП210601565800000</t>
  </si>
  <si>
    <t>428000 Чувашская Республика город Чебоксары улица Ярославская дом 29   помещение 2</t>
  </si>
  <si>
    <t>ИП Калагина Любовь Владимировна</t>
  </si>
  <si>
    <t>212400314624</t>
  </si>
  <si>
    <t>ИП2106009235</t>
  </si>
  <si>
    <t>ИП210600923500000</t>
  </si>
  <si>
    <t>429965 Чувашская Республика город Новочебоксарск улица Винокурова дом 22</t>
  </si>
  <si>
    <t>ИП Андреев Александр Андреевич</t>
  </si>
  <si>
    <t>212401023071</t>
  </si>
  <si>
    <t>ИП2106032231</t>
  </si>
  <si>
    <t>ИП210603223100000</t>
  </si>
  <si>
    <t>429951 Чувашская Республика город Новочебоксарск улица Винокурова дом 22</t>
  </si>
  <si>
    <t>ООО "ЛОМБАРД ТАТ"</t>
  </si>
  <si>
    <t>2124022593</t>
  </si>
  <si>
    <t>ЮЛ2106005203</t>
  </si>
  <si>
    <t>ЮЛ210600520300000</t>
  </si>
  <si>
    <t>428000 Чувашская Республика город Чебоксары проспект И.Я.Яковлева дом 4 строение Б  Центральный склад</t>
  </si>
  <si>
    <t>ИП180600271400000</t>
  </si>
  <si>
    <t>428003 Чувашская Республика город Чебоксары улица Композиторов Воробьевых здание 20 1 этаж   Ювелирный салон "KARATLINE"</t>
  </si>
  <si>
    <t>ИП180600271400002</t>
  </si>
  <si>
    <t>429335 Чувашская Республика город Канаш улица Свободы дом 26 1 этаж  Ювелирный салон "Карат"</t>
  </si>
  <si>
    <t>ИП180600271400004</t>
  </si>
  <si>
    <t>428000 Чувашская Республика город Чебоксары улица Калинина дом 105А цокольный этаж  Ювелирный салон "Карат"</t>
  </si>
  <si>
    <t>ИП180600271400005</t>
  </si>
  <si>
    <t>428031 Чувашская Республика город Чебоксары улица Ленинского Комсомола дом 21А 1 этаж  Ювелирный салон "Карат"</t>
  </si>
  <si>
    <t>ИП180600271400006</t>
  </si>
  <si>
    <t>428034 Чувашская Республика город Чебоксары проспект Максима Горького дом 10 2 этаж, строение 1  Ювелирный салон "Карат"</t>
  </si>
  <si>
    <t>ИП180600271400007</t>
  </si>
  <si>
    <t>428024 Чувашская Республика город Чебоксары проспект И.Я.Яковлева дом 4Б   Ювелирный салон "Карат" Помещение 1-90</t>
  </si>
  <si>
    <t>ИП180600271400008</t>
  </si>
  <si>
    <t>428024 Чувашская Республика город Чебоксары проспект И.Я.Яковлева дом 4Б 1 этаж  Ювелирный салон "Золото" Помещение 1-098</t>
  </si>
  <si>
    <t>ИП180600271400009</t>
  </si>
  <si>
    <t>429950 Чувашская Республика город Новочебоксарск улица 10-ой Пятилетки дом 64   Ювелирный салон "Эстет"</t>
  </si>
  <si>
    <t>ИП180600271400010</t>
  </si>
  <si>
    <t>428003 Чувашская Республика город Чебоксары улица К.Маркса дом 47 1 этаж  Ювелирный салон "Карат"</t>
  </si>
  <si>
    <t>ИП180600271400011</t>
  </si>
  <si>
    <t>429965 Чувашская Республика город Новочебоксарск улица Советская дом 15 1 этаж  Ювелирный салон "Эстет"</t>
  </si>
  <si>
    <t>ИП180600271400012</t>
  </si>
  <si>
    <t>428903 Чувашская Республика город Чебоксары проспект И.Я.Яковлева дом 4Б   Ювелирный салон "Эстет" Помещение 1-012</t>
  </si>
  <si>
    <t>ИП180600271400013</t>
  </si>
  <si>
    <t>428000 Чувашская Республика город Чебоксары улица Калинина дом 105А   Ювелирный салон "Эстет"</t>
  </si>
  <si>
    <t>ИП180600271400016</t>
  </si>
  <si>
    <t>428001 Чувашская Республика город Чебоксары проспект Максима Горького дом 10 Строение 1  Ювелирный салон "Эстет"</t>
  </si>
  <si>
    <t>ИП180600271400017</t>
  </si>
  <si>
    <t>429965 Чувашская Республика город Новочебоксарск улица Винокурова дом 109   Ювелирный салон "Золото"</t>
  </si>
  <si>
    <t>ИП180600271400018</t>
  </si>
  <si>
    <t>428000 Чувашская Республика город Чебоксары проспект И.Я.Яковлева дом 4Б   Ювелирный салон "KARATLINE" Помещение 1-05</t>
  </si>
  <si>
    <t>ИП180600271400020</t>
  </si>
  <si>
    <t>428000 Чувашская Республика город Новочебоксарск улица 10 Пятилетки дом 64   Ювелирный салон "Карат"</t>
  </si>
  <si>
    <t>ИП180600271400022</t>
  </si>
  <si>
    <t>428027 Чувашская Республика город Чебоксары проспект И.Я.Яковлева дом 4 строение Б  Интернет магазин</t>
  </si>
  <si>
    <t>ИП180600271400023</t>
  </si>
  <si>
    <t>428023 Чувашская Республика город Чебоксары улица Энтузиастов дом 34 Помещение 10 Ювелирный салон "KARATLINE"</t>
  </si>
  <si>
    <t>ИП180600271400024</t>
  </si>
  <si>
    <t>429965 Чувашская Республика город Новочебоксарск проезд Ельниковский дом 2   комната 70</t>
  </si>
  <si>
    <t>ООО "ВОЛГА ЛОМБАРД"</t>
  </si>
  <si>
    <t>2124040088</t>
  </si>
  <si>
    <t>ЮЛ2106001257</t>
  </si>
  <si>
    <t>ЮЛ210600125700000</t>
  </si>
  <si>
    <t>428038 Чувашская Республика город Чебоксары улица Гражданская дом 119Б</t>
  </si>
  <si>
    <t>ЮЛ210600125700001</t>
  </si>
  <si>
    <t>428009 Чувашская Республика город Чебоксары улица Университетская дом 10   помещение 20</t>
  </si>
  <si>
    <t>ЮЛ210600125700002</t>
  </si>
  <si>
    <t>428038 Чувашская Республика город Чебоксары улица Энтузиастов дом 34   помещение 12</t>
  </si>
  <si>
    <t>ЮЛ210600125700003</t>
  </si>
  <si>
    <t>428027 Чувашская Республика город Чебоксары проспект 9-й Пятилетки  дом 5   помещение 3</t>
  </si>
  <si>
    <t>ЮЛ210600125700004</t>
  </si>
  <si>
    <t>428031 Чувашская Республика город Чебоксары улица Ленинского Комсомола дом 34/8 корпус 1  помещение 2</t>
  </si>
  <si>
    <t>ЮЛ210600125700006</t>
  </si>
  <si>
    <t>429960 Чувашская Республика город Новочебоксарск улица 10 Пятилетки дом 62   помещение 148</t>
  </si>
  <si>
    <t>ЮЛ210600125700007</t>
  </si>
  <si>
    <t>428003 Чувашская Республика город Чебоксары проспект Ленина дом 32   помещение 5</t>
  </si>
  <si>
    <t>ЮЛ210600125700008</t>
  </si>
  <si>
    <t>429965 Чувашская Республика город Новочебоксарск улица Советская дом 11   помещение 5,6,8</t>
  </si>
  <si>
    <t>ЮЛ210600125700009</t>
  </si>
  <si>
    <t>428028 Чувашская Республика город Чебоксары проспект Тракторостроителей дом 63/21   помещение 8</t>
  </si>
  <si>
    <t>ЮЛ210600125700011</t>
  </si>
  <si>
    <t>428027 Чувашская Республика город Чебоксары проспект 9-й Пятилетки дом 19/37   помещение №7</t>
  </si>
  <si>
    <t>ЮЛ210600125700013</t>
  </si>
  <si>
    <t>428022 Чувашская Республика город Чебоксары улица Калинина дом 101   помещение №3</t>
  </si>
  <si>
    <t>ЮЛ210600125700014</t>
  </si>
  <si>
    <t>429951 Чувашская Республика город Новочебоксарск улица Винокурова дом 18   помещение 7</t>
  </si>
  <si>
    <t>ЮЛ210600125700016</t>
  </si>
  <si>
    <t>428010 Чувашская Республика город Чебоксары улица Богдана Хмельницкого дом 109 корпус 3</t>
  </si>
  <si>
    <t>ЮЛ210600125700017</t>
  </si>
  <si>
    <t>ИП Иванов Дмитрий Станиславич</t>
  </si>
  <si>
    <t>212405809525</t>
  </si>
  <si>
    <t>ИП2106001095</t>
  </si>
  <si>
    <t>ИП210600109500000</t>
  </si>
  <si>
    <t>ИП210600109500001</t>
  </si>
  <si>
    <t>ИП210600109500002</t>
  </si>
  <si>
    <t>429965 Чувашская Республика город Новочебоксарск улица Советская дом 11   помещение 7</t>
  </si>
  <si>
    <t>ИП210600109500003</t>
  </si>
  <si>
    <t>ИП210600109500004</t>
  </si>
  <si>
    <t>ИП210600109500006</t>
  </si>
  <si>
    <t>428027 Чувашская Республика город Чебоксары проспект 9-й Пятилетки дом 5   помещение 3</t>
  </si>
  <si>
    <t>ИП210600109500007</t>
  </si>
  <si>
    <t>ИП210600109500009</t>
  </si>
  <si>
    <t>ИП210600109500015</t>
  </si>
  <si>
    <t>ИП210600109500019</t>
  </si>
  <si>
    <t>429950 Чувашская Республика город Новочебоксарск проспект 10-й Пятилетки здание 24</t>
  </si>
  <si>
    <t>ИП Калугина Любовь Александровна</t>
  </si>
  <si>
    <t>212411190530</t>
  </si>
  <si>
    <t>ИП2106032598</t>
  </si>
  <si>
    <t>ИП210603259800000</t>
  </si>
  <si>
    <t>429120 Чувашская Республика город Шумерля улица Чайковского дом 1   помещение 14-17</t>
  </si>
  <si>
    <t>ИП Никитин Антон Геннадьевич</t>
  </si>
  <si>
    <t>212412944719</t>
  </si>
  <si>
    <t>ИП2106007939</t>
  </si>
  <si>
    <t>ИП210600793900000</t>
  </si>
  <si>
    <t>429120 Чувашская Республика Город Шумерля Улица Ленина Дом 4   Ювелирный магазин "25 Карат"</t>
  </si>
  <si>
    <t>ИП Арюхина Татьяна Владимировна</t>
  </si>
  <si>
    <t>212500401609</t>
  </si>
  <si>
    <t>ИП2106017069</t>
  </si>
  <si>
    <t>ИП210601706900000</t>
  </si>
  <si>
    <t>ООО "РУССКОЕ ЗОЛОТО"</t>
  </si>
  <si>
    <t>2127023161</t>
  </si>
  <si>
    <t>ЮЛ2106035160</t>
  </si>
  <si>
    <t>ЮЛ210603516000000</t>
  </si>
  <si>
    <t>428009 Чувашская Республика город Чебоксары улица Университетская дом 10   помещение №20</t>
  </si>
  <si>
    <t>ИП Филиппова Надежда Николаевна</t>
  </si>
  <si>
    <t>212705361890</t>
  </si>
  <si>
    <t>ИП2106036949</t>
  </si>
  <si>
    <t>ИП210603694900000</t>
  </si>
  <si>
    <t>ИП210603694900002</t>
  </si>
  <si>
    <t>428027 Чувашская Республика город Чебоксары проспект 9-й Пятилетки 19 37  помещение №7</t>
  </si>
  <si>
    <t>ИП210603694900004</t>
  </si>
  <si>
    <t>429951 Чувашская Республика город Новочебоксарск Винокурова 18   помещение 7</t>
  </si>
  <si>
    <t>ИП210603694900005</t>
  </si>
  <si>
    <t>428003 Чувашская Республика город Чебоксары улица Космонавта Николаева А.Г. дом 2   помещение 1/2</t>
  </si>
  <si>
    <t>ИП Дианская Эльвира Николаевна</t>
  </si>
  <si>
    <t>212707993969</t>
  </si>
  <si>
    <t>ИП2106007720</t>
  </si>
  <si>
    <t>ИП210600772000000</t>
  </si>
  <si>
    <t>428000 Чувашская Республика город Чебоксары улица Калинина дом 105А</t>
  </si>
  <si>
    <t>ИП Савинова Лариса Владимировна</t>
  </si>
  <si>
    <t>212708789229</t>
  </si>
  <si>
    <t>ИП2106002828</t>
  </si>
  <si>
    <t>ИП210600282800000</t>
  </si>
  <si>
    <t>428022 Чувашская Республика город Чебоксары улица Гагарина Ю. дом 31</t>
  </si>
  <si>
    <t>ИП Калашникова Наталья Николаевна</t>
  </si>
  <si>
    <t>212803332760</t>
  </si>
  <si>
    <t>ИП7701011714</t>
  </si>
  <si>
    <t>ИП770101171400000</t>
  </si>
  <si>
    <t>428031 Чувашская Республика город Чебоксары улица 324 Стрелковой дивизии 28 помещение 1</t>
  </si>
  <si>
    <t>ИП Козлов Александр Вячеславович</t>
  </si>
  <si>
    <t>212803345209</t>
  </si>
  <si>
    <t>ИП2106019651</t>
  </si>
  <si>
    <t>ИП210601965100000</t>
  </si>
  <si>
    <t>428000 Чувашская Республика город Чебоксары улица К.Маркса дом 47 помещение 9/помещение 1</t>
  </si>
  <si>
    <t>ООО "ДТ"</t>
  </si>
  <si>
    <t>2128050471</t>
  </si>
  <si>
    <t>ЮЛ2106012405</t>
  </si>
  <si>
    <t>ЮЛ210601240500000</t>
  </si>
  <si>
    <t>428000 Чувашская Республика город Чебоксары улица К.Маркса дом 52 корпус 2  помещение 2, офис 244</t>
  </si>
  <si>
    <t>ООО "САХАЮВЕЛИР-ЧЕБОКСАРЫ"</t>
  </si>
  <si>
    <t>2129033550</t>
  </si>
  <si>
    <t>ЮЛ2106002725</t>
  </si>
  <si>
    <t>ЮЛ210600272500000</t>
  </si>
  <si>
    <t>428003 Чувашская Республика город Чебоксары улица Карла Маркса дом 47   часть помещения №9</t>
  </si>
  <si>
    <t>ЮЛ210600272500001</t>
  </si>
  <si>
    <t>428009 Чувашская Республика город Чебоксары улица Университетская дом 2 корпус 1</t>
  </si>
  <si>
    <t>ЮЛ210600272500002</t>
  </si>
  <si>
    <t>429170 Чувашская Республика село Шемурша улица Космовского  дом 22</t>
  </si>
  <si>
    <t>ИП Горшкова Надежда Анатольевна</t>
  </si>
  <si>
    <t>212906088360</t>
  </si>
  <si>
    <t>ИП2106031949</t>
  </si>
  <si>
    <t>ИП210603194900000</t>
  </si>
  <si>
    <t>428003 Чувашская Республика город Чебоксары улица К.Маркса дом 35   помещение 1</t>
  </si>
  <si>
    <t>ИП Петрянкин Сергей Гранитович</t>
  </si>
  <si>
    <t>212907684527</t>
  </si>
  <si>
    <t>ИП2106002160</t>
  </si>
  <si>
    <t>ИП210600216000000</t>
  </si>
  <si>
    <t>428003 Чувашская Республика город Чебоксары улица К.Маркса дом 35   помещение 3</t>
  </si>
  <si>
    <t>ИП210600216000001</t>
  </si>
  <si>
    <t>428903 Чувашская Республика город Чебоксары проезд Березовый дом 7</t>
  </si>
  <si>
    <t>ООО "ТИМОФЕЕВЪ"</t>
  </si>
  <si>
    <t>2130042037</t>
  </si>
  <si>
    <t>ЮЛ2106001237</t>
  </si>
  <si>
    <t>ЮЛ210600123700000</t>
  </si>
  <si>
    <t>428038 Чувашская Республика город Чебоксары улица Энтузиастов дом 34   помещение 3</t>
  </si>
  <si>
    <t>ИП Савельева Екатерина Александровна</t>
  </si>
  <si>
    <t>213005580169</t>
  </si>
  <si>
    <t>ИП2106032129</t>
  </si>
  <si>
    <t>ИП210603212900000</t>
  </si>
  <si>
    <t>428027 Чувашская Республика город Чебоксары проспект 9-й Пятилетки дом 19/37   помещение №3</t>
  </si>
  <si>
    <t>2130080811</t>
  </si>
  <si>
    <t>ЮЛ2106013060</t>
  </si>
  <si>
    <t>ЮЛ210601306000000</t>
  </si>
  <si>
    <t>428010 Чувашская Республика город Чебоксары улица Правая Набережная Сугутки дом 1   бокс 8</t>
  </si>
  <si>
    <t>ООО "НОВИКОМ"</t>
  </si>
  <si>
    <t>2130164596</t>
  </si>
  <si>
    <t>ЮЛ2106038104</t>
  </si>
  <si>
    <t>ЮЛ210603810400000</t>
  </si>
  <si>
    <t>429250 Чувашская Республика село Аликово улица Советская дом 25 А</t>
  </si>
  <si>
    <t>ИП Овсянников Игорь Алексеевич</t>
  </si>
  <si>
    <t>261102061505</t>
  </si>
  <si>
    <t>ИП1206033782</t>
  </si>
  <si>
    <t>ИП120603378200000</t>
  </si>
  <si>
    <t>428003 Чувашская Республика город Чебоксары улица Калинина дом 105А цокольный этаж  ТЦ Мега Молл</t>
  </si>
  <si>
    <t>ИП Тарасова Наталья Леонидовна</t>
  </si>
  <si>
    <t>431300879419</t>
  </si>
  <si>
    <t>ИП1206001218</t>
  </si>
  <si>
    <t>ИП120600121800000</t>
  </si>
  <si>
    <t>428003 Чувашская Республика город Чебоксары улица Композиторов Воробьевых здание 20   помещение б/н на первом этаже - ТЦ Дом Мод</t>
  </si>
  <si>
    <t>ИП120600121800001</t>
  </si>
  <si>
    <t>429965 Чувашская Республика город Новочебоксарск улица Винокурова дом 64   помещение №20 - ТЦ Новочебоксарский</t>
  </si>
  <si>
    <t>ИП120600121800002</t>
  </si>
  <si>
    <t>428003 Чувашская Республика город Чебоксары проспект И.Я.Яковлева дом 4Б   помещение №1-029 - ТЦ МТВ - Центр</t>
  </si>
  <si>
    <t>ИП120600121800003</t>
  </si>
  <si>
    <t>428031 Чувашская Республика город Чебоксары улица Ленинского Комсомола здание 21А   помещение б/н на первом этаже - ТЦ Мадагаскар (Дисконт)</t>
  </si>
  <si>
    <t>ИП120600121800004</t>
  </si>
  <si>
    <t>428031 Чувашская Республика город Чебоксары улица Ленинского Комсомола дом 21а   1-ый этаж - ТЦ Мадагаскар (Яхонт)</t>
  </si>
  <si>
    <t>ИП120600121800005</t>
  </si>
  <si>
    <t>428003 Чувашская Республика город Чебоксары проспект Ленина дом 19   пом 2</t>
  </si>
  <si>
    <t>ИП440200864400006</t>
  </si>
  <si>
    <t>428903 Чувашская Республика город Чебоксары проспект И.Яковлева дом 4 строение Б  помещение 1-053</t>
  </si>
  <si>
    <t>ЮЛ500100602500046</t>
  </si>
  <si>
    <t>429965 Чувашская Республика город Новочебоксарск улица Советская дом 40</t>
  </si>
  <si>
    <t>ИП350300596400013</t>
  </si>
  <si>
    <t>429965 Чувашская Республика город Новочебоксарск улица Винокурова здание 109</t>
  </si>
  <si>
    <t>ИП350300596400014</t>
  </si>
  <si>
    <t>428031 Чувашская Республика город Чебоксары улица Ленинского Комсомола здание 21А</t>
  </si>
  <si>
    <t>ИП350300596400016</t>
  </si>
  <si>
    <t>428038 Чувашская Республика город Чебоксары улица Энтузиастов дом 34</t>
  </si>
  <si>
    <t>ИП350300596400017</t>
  </si>
  <si>
    <t>428003 Чувашская Республика город Чебоксары улица Композиторов Воробьевых здание 20</t>
  </si>
  <si>
    <t>ИП350300596400018</t>
  </si>
  <si>
    <t>428034 Чувашская Республика город Чебоксары проспект Московский дом 40</t>
  </si>
  <si>
    <t>ИП350300596400035</t>
  </si>
  <si>
    <t>ИП350300596400037</t>
  </si>
  <si>
    <t>428000 Чувашская Республика город Чебоксары проспект И.Я.Яковлева дом 4Б   помещ 2-51</t>
  </si>
  <si>
    <t>ИП350300596400043</t>
  </si>
  <si>
    <t>428031 Чувашская Республика город Чебоксары улица Ленинского Комсомола здание 21А   ТРЦ Мадагаскар</t>
  </si>
  <si>
    <t>ИП500100445500107</t>
  </si>
  <si>
    <t>428003 Чувашская Республика город Чебоксары улица К.Маркса дом 31</t>
  </si>
  <si>
    <t>ИП500100525400000</t>
  </si>
  <si>
    <t>429820 Чувашская Республика город Алатырь улица Ленина дом 56   помещение 1</t>
  </si>
  <si>
    <t>ИП500100525400001</t>
  </si>
  <si>
    <t>429530 Чувашская Республика село Моргауши улица 50 лет Октября дом 4   помещение 4</t>
  </si>
  <si>
    <t>ИП500100525400006</t>
  </si>
  <si>
    <t>428031 Чувашская Республика город Чебоксары улица Ленинского Комсомола дом 21А</t>
  </si>
  <si>
    <t>ИП500100525400010</t>
  </si>
  <si>
    <t>429123 Чувашская Республика город Шумерля улица Октябрьская дом 8</t>
  </si>
  <si>
    <t>ИП500100525400011</t>
  </si>
  <si>
    <t>429061 Чувашская Республика год Ядрин улица Садовая дом 19А</t>
  </si>
  <si>
    <t>ИП500100525400012</t>
  </si>
  <si>
    <t>429330 Чувашская Республика город Канаш проспект Ленина дом 12</t>
  </si>
  <si>
    <t>ИП500100525400013</t>
  </si>
  <si>
    <t>428031 Чувашская Республика город Чебоксары улица Ленинского Комсомола здание 21А   помещение №о1-14</t>
  </si>
  <si>
    <t>ИП610400426600019</t>
  </si>
  <si>
    <t>ИП630601425400013</t>
  </si>
  <si>
    <t>429965 Чувашская Республика город Новочебоксарск улица Винокурова дом 55</t>
  </si>
  <si>
    <t>ИП630601425400016</t>
  </si>
  <si>
    <t>428000 Чувашская Республика город Чебоксары проспект И.Я.Яковлева дом 4Б   помещение №23</t>
  </si>
  <si>
    <t>ИП630601425400056</t>
  </si>
  <si>
    <t>ИП630601425400057</t>
  </si>
  <si>
    <t>428003 Чувашская Республика город Чебоксары бульвар Президентский дом 20</t>
  </si>
  <si>
    <t>ИП630601425400096</t>
  </si>
  <si>
    <t>428009 Чувашская Республика город Чебоксары улица Эльгера дом 11 строение 1</t>
  </si>
  <si>
    <t>ЮЛ630603037200071</t>
  </si>
  <si>
    <t>428038 Чувашская Республика город Чебоксары улица Энтузиастов дом 29</t>
  </si>
  <si>
    <t>ЮЛ630603037200072</t>
  </si>
  <si>
    <t>ИП630600581600007</t>
  </si>
  <si>
    <t>ИП630600581600018</t>
  </si>
  <si>
    <t>429965 Чувашская Республика город Новочебоксарск проезд Ельниковский дом 2   помещение бн69</t>
  </si>
  <si>
    <t>ЮЛ770100201500576</t>
  </si>
  <si>
    <t>429826 Чувашская Республика город Алатырь улица Московская дом 110а   помещение 1.3 на 1 этаже</t>
  </si>
  <si>
    <t>ИП770100417900040</t>
  </si>
  <si>
    <t>428000 Чувашская Республика город Чебоксары бульвар Президентский дом 20   этаж 1</t>
  </si>
  <si>
    <t>ЮЛ770101216600167</t>
  </si>
  <si>
    <t>428003 Чувашская Республика город Чебоксары улица Калинина дом 105А   помещение 33-Ц, этаж цокольный</t>
  </si>
  <si>
    <t>ЮЛ770101216600270</t>
  </si>
  <si>
    <t>428032 Чувашская Республика город Чебоксары улица Композиторов Воробьевых дом 20   1 этаж, нежилое помещение</t>
  </si>
  <si>
    <t>ЮЛ770101216600744</t>
  </si>
  <si>
    <t>428001 Чувашская Республика город Чебоксары проспект Максима Горького дом 10 строение 1  1 этаж, нежилое помещение № 8</t>
  </si>
  <si>
    <t>ЮЛ770101216600782</t>
  </si>
  <si>
    <t>428031 Чувашская Республика город Чебоксары улица Ленинского Комсомола дом 21А   этаж 1, нежилое помещение № 1-18</t>
  </si>
  <si>
    <t>ЮЛ770101216600930</t>
  </si>
  <si>
    <t>428024 Чувашская Республика город Чебоксары проспект И.Я.Яковлева дом 4Б   помещение № 23/2, этаж 1, нежилое помещение № 1-03</t>
  </si>
  <si>
    <t>ЮЛ770101216600949</t>
  </si>
  <si>
    <t>429965 Чувашская Республика город Новочебоксарск улица Винокурова дом 42Д   этаж 1</t>
  </si>
  <si>
    <t>ЮЛ770101216600999</t>
  </si>
  <si>
    <t>428000 Чувашская Республика город Чебоксары бульвар Президентский дом 20   часть помещения № 3</t>
  </si>
  <si>
    <t>ЮЛ770100193500305</t>
  </si>
  <si>
    <t>428000 Чувашская Республика город Чебоксары улица Калинина дом 105а   часть помещения 5-Ц, цокольный этаж</t>
  </si>
  <si>
    <t>ЮЛ770100193500517</t>
  </si>
  <si>
    <t>ЮЛ770100193500986</t>
  </si>
  <si>
    <t>428000 Чувашская Республика город Чебоксары улица Калинина дом 105А   помещение 6-Ц</t>
  </si>
  <si>
    <t>ЮЛ780300323500185</t>
  </si>
  <si>
    <t>428003 Чувашская Республика город Чебоксары улица Привокзальная дом 8   помещение 2</t>
  </si>
  <si>
    <t>ЮЛ780300323500186</t>
  </si>
  <si>
    <t>428003 Чувашская Республика город Чебоксары улица Гагарина Ю. дом 1</t>
  </si>
  <si>
    <t>ЮЛ780300308200135</t>
  </si>
  <si>
    <t>429965 Чувашская Республика город Новочебоксарск улица Винокурова дом 42 Д   нежилое помещение №48</t>
  </si>
  <si>
    <t>ЮЛ780300308200412</t>
  </si>
  <si>
    <t>429330 Чувашская Республика город Канаш улица Московская дом 11   часть нежилых помещений на 1 этаже: помещения №1, №2, №3, №4, №5,№ 6</t>
  </si>
  <si>
    <t>ЮЛ780300308200563</t>
  </si>
  <si>
    <t>428024 Чувашская Республика город Чебоксары проспект И.Яковлева дом 4б   нежилое помещение №1-64</t>
  </si>
  <si>
    <t>ЮЛ780300308201209</t>
  </si>
  <si>
    <t>428022 Чувашская Республика город Чебоксары улица Калинина дом 105а   нежилое помещение № 45-Ц</t>
  </si>
  <si>
    <t>ЮЛ780300308201215</t>
  </si>
  <si>
    <t>428000 Чувашская Республика город Чебоксары улица Калинина дом 105А   место 6-ц</t>
  </si>
  <si>
    <t>ЮЛ780300363500249</t>
  </si>
  <si>
    <t>ЮЛ780300363500251</t>
  </si>
  <si>
    <t>Чукотский автономный округ</t>
  </si>
  <si>
    <t>689450 Чукотский автономный округ город Билибино улица Комсомольская дом 6</t>
  </si>
  <si>
    <t>ИП Новицкая Валентина Анатольевна</t>
  </si>
  <si>
    <t>772141026560</t>
  </si>
  <si>
    <t>ИП7701007158</t>
  </si>
  <si>
    <t>ИП770100715800000</t>
  </si>
  <si>
    <t>689503 Чукотский автономный округ поселок городского типа Угольные Копи улица Портовая дом 24   помещение II</t>
  </si>
  <si>
    <t>ИП Азизова Розахан Каимовна</t>
  </si>
  <si>
    <t>870100022653</t>
  </si>
  <si>
    <t>ИП8109014671</t>
  </si>
  <si>
    <t>ИП810901467100000</t>
  </si>
  <si>
    <t>689450 Чукотский автономный округ город Билибино улица Комсомольская дом 3</t>
  </si>
  <si>
    <t>ИП Хоменко Ирина Владимировна</t>
  </si>
  <si>
    <t>870300386087</t>
  </si>
  <si>
    <t>ИП8709035582</t>
  </si>
  <si>
    <t>ИП870903558200000</t>
  </si>
  <si>
    <t>689202 Чукотский автономный округ поселок городского типа Эгвекинот улица Советская строение 5</t>
  </si>
  <si>
    <t>АКЦИОНЕРНОЕ ОБЩЕСТВО "ИУЛЬТИНТОРГ"</t>
  </si>
  <si>
    <t>8704000280</t>
  </si>
  <si>
    <t>ЮЛ8109013554</t>
  </si>
  <si>
    <t>ЮЛ810901355400000</t>
  </si>
  <si>
    <t>689000 Чукотский автономный округ Анадырь Ленина 38   IX</t>
  </si>
  <si>
    <t>ИП Машкова Ирина Анатольевна</t>
  </si>
  <si>
    <t>870500208243</t>
  </si>
  <si>
    <t>ИП8109016883</t>
  </si>
  <si>
    <t>ИП810901688300000</t>
  </si>
  <si>
    <t>689400 Чукотский автономный округ город Певек улица Советская дом 23</t>
  </si>
  <si>
    <t>ИП Титова Ольга Витальевна</t>
  </si>
  <si>
    <t>870600004719</t>
  </si>
  <si>
    <t>ИП7701018467</t>
  </si>
  <si>
    <t>ИП770101846700000</t>
  </si>
  <si>
    <t>689400 Чукотский автономный округ город Певек улица Пугачева дом 44</t>
  </si>
  <si>
    <t>ИП Онопко Галина Николаевна</t>
  </si>
  <si>
    <t>870600558192</t>
  </si>
  <si>
    <t>ИП7701009604</t>
  </si>
  <si>
    <t>ИП770100960400000</t>
  </si>
  <si>
    <t>689400 Чукотский автономный округ город Певек улица Пугачева 42/1</t>
  </si>
  <si>
    <t>ООО "ВИВА ГОЛД"</t>
  </si>
  <si>
    <t>8706007066</t>
  </si>
  <si>
    <t>ЮЛ8109002079</t>
  </si>
  <si>
    <t>ЮЛ810900207900000</t>
  </si>
  <si>
    <t>689000 Чукотский автономный округ Анадырь Отке 24</t>
  </si>
  <si>
    <t>ИП Макатрова Наталья Викторовна</t>
  </si>
  <si>
    <t>870900017229</t>
  </si>
  <si>
    <t>ИП8109005861</t>
  </si>
  <si>
    <t>ИП810900586100000</t>
  </si>
  <si>
    <t>Ямало-Ненецкий автономный округ</t>
  </si>
  <si>
    <t>629306 Ямало-Ненецкий автономный округ город Новый Уренгой улица 26 Съезда КПСС дом 7</t>
  </si>
  <si>
    <t>2130083523</t>
  </si>
  <si>
    <t>ЮЛ2106012032</t>
  </si>
  <si>
    <t>ЮЛ210601203200003</t>
  </si>
  <si>
    <t>629305 Ямало-Ненецкий автономный округ город Новый Уренгой микрорайон Авиатор дом 1Б</t>
  </si>
  <si>
    <t>ИП Шеметова Светлана Витальевна</t>
  </si>
  <si>
    <t>410501588408</t>
  </si>
  <si>
    <t>ИП4109036368</t>
  </si>
  <si>
    <t>ИП410903636800000</t>
  </si>
  <si>
    <t>629400 Ямало-Ненецкий автономный округ город Лабытнанги улица Гагарина дом 20</t>
  </si>
  <si>
    <t>ИП890700622900000</t>
  </si>
  <si>
    <t>629007 Ямало-Ненецкий автономный округ город Салехард улица Ленина дом 44   помещение 3</t>
  </si>
  <si>
    <t>ИП890700622900003</t>
  </si>
  <si>
    <t>629400 Ямало-Ненецкий автономный округ город Лабытнанги улица Гагарина дом 15</t>
  </si>
  <si>
    <t>ИП890700622900006</t>
  </si>
  <si>
    <t>629305 Ямало-Ненецкий автономный округ город Новый Уренгой улица Сибирская дом 26   помещение 34</t>
  </si>
  <si>
    <t>ЮЛ520603376600004</t>
  </si>
  <si>
    <t>629305 Ямало-Ненецкий автономный округ город Новый Уренгой улица Сибирская дом 26</t>
  </si>
  <si>
    <t>ИП540801169300004</t>
  </si>
  <si>
    <t>629303 Ямало-Ненецкий автономный округ город Новый Уренгой улица Имени Подшибякина В.Т. 1 2 А  отдел "Хризолит"</t>
  </si>
  <si>
    <t>ЮЛ540800575000008</t>
  </si>
  <si>
    <t>629305 Ямало-Ненецкий автономный округ город Новый Уренгой улица Сибирская дом 26   отдел "Хризолит"</t>
  </si>
  <si>
    <t>ЮЛ540800575000014</t>
  </si>
  <si>
    <t>629000 Ямало-Ненецкий автономный округ город Салехард Ленина 44  пом.37 отдел "Хризолит"</t>
  </si>
  <si>
    <t>ЮЛ540800575100012</t>
  </si>
  <si>
    <t>629736 Ямало-Ненецкий автономный округ город Надым улица Игоря Шаповалова здание 8/1   помещение 14</t>
  </si>
  <si>
    <t>ИП590601426900025</t>
  </si>
  <si>
    <t>629602 Ямало-Ненецкий автономный округ город Муравленко улица Ленина дом 93   квартира 48</t>
  </si>
  <si>
    <t>ИП590601426900028</t>
  </si>
  <si>
    <t>629851 Ямало-Ненецкий автономный округ город Тарко-Сале улица Губкина дом 14а</t>
  </si>
  <si>
    <t>ИП590601426900029</t>
  </si>
  <si>
    <t>629305 Ямало-Ненецкий автономный округ город Новый Уренгой улица Сибирская дом 26   помещение 188, этаж 1</t>
  </si>
  <si>
    <t>ЮЛ770101216600089</t>
  </si>
  <si>
    <t>629736 Ямало-Ненецкий автономный округ город Надым улица Игоря Шаповалова здание 8/1   помещение 2</t>
  </si>
  <si>
    <t>ЮЛ770101216600241</t>
  </si>
  <si>
    <t>629806 Ямало-Ненецкий автономный округ город Ноябрьск улица Новоселов дом 6а   этаж 1</t>
  </si>
  <si>
    <t>ЮЛ770101216600304</t>
  </si>
  <si>
    <t>629803 Ямало-Ненецкий автономный округ город Ноябрьск улица Цоя дом 22   часть нежилого помещения</t>
  </si>
  <si>
    <t>ЮЛ770101216600802</t>
  </si>
  <si>
    <t>629002 Ямало-Ненецкий автономный округ город Салехард улица Игарская дом 25 корпус 4  помещение № 30</t>
  </si>
  <si>
    <t>ЮЛ770100193500428</t>
  </si>
  <si>
    <t>629736 Ямало-Ненецкий автономный округ город Надым улица Игоря Шаповалова здание 8/1   помещение 2, этаж 1 (первый)</t>
  </si>
  <si>
    <t>ЮЛ770100193500429</t>
  </si>
  <si>
    <t>629305 Ямало-Ненецкий автономный округ город Новый Уренгой улица Сибирская дом 26   помещение № 48</t>
  </si>
  <si>
    <t>ЮЛ770100193500430</t>
  </si>
  <si>
    <t>629806 Ямало-Ненецкий автономный округ город Ноябрьск улица Советская дом 31а   помещения № 3, 4</t>
  </si>
  <si>
    <t>ЮЛ770100193500464</t>
  </si>
  <si>
    <t>629400 Ямало-Ненецкий автономный округ город Лабытнанги улица Гагарина дом 17б   этаж 1 (первый)</t>
  </si>
  <si>
    <t>ЮЛ770100193500715</t>
  </si>
  <si>
    <t>629735 Ямало-Ненецкий автономный округ город Надым улица Зверева дом 37а   павильон 52-55; 66-67, 1 этаж</t>
  </si>
  <si>
    <t>ЮЛ770100193500859</t>
  </si>
  <si>
    <t>629309 Ямало-Ненецкий автономный округ город Новый Уренгой микрорайон Советский дом 2 корпус 2  часть нежилых помещений №1,5, нежилые помещения № 2,3,4, нежилое помещение № 7</t>
  </si>
  <si>
    <t>ЮЛ780300131300408</t>
  </si>
  <si>
    <t>629807 Ямало-Ненецкий автономный округ город Ноябрьск улица Советская дом 88А</t>
  </si>
  <si>
    <t>ЮЛ780300131300409</t>
  </si>
  <si>
    <t>629008 Ямало-Ненецкий автономный округ город Салехард улица Республики дом 75   часть нежилого помещения № 197</t>
  </si>
  <si>
    <t>ЮЛ780300131300480</t>
  </si>
  <si>
    <t>629735 Ямало-Ненецкий автономный округ город Надым улица Зверева дом 37«а»   павильон № 20-23, 18-19</t>
  </si>
  <si>
    <t>ЮЛ780300131300563</t>
  </si>
  <si>
    <t>629602 Ямало-Ненецкий автономный округ город Муравленко улица Ленина дом 64а   часть нежилого помещения № 2</t>
  </si>
  <si>
    <t>ЮЛ780300131300581</t>
  </si>
  <si>
    <t>ЮЛ780300131300659</t>
  </si>
  <si>
    <t>166000 Ямало-Ненецкий автономный округ город Нарьян-Мар улица им В.И.Ленина дом 19   помещение 3-Н</t>
  </si>
  <si>
    <t>ЮЛ780300328000179</t>
  </si>
  <si>
    <t>629806 Ямало-Ненецкий автономный округ город Ноябрьск улица Новоселов дом 6а</t>
  </si>
  <si>
    <t>ЮЛ780300328000195</t>
  </si>
  <si>
    <t>629802 Ямало-Ненецкий автономный округ город Ноябрьск улица Космонавтов дом 16</t>
  </si>
  <si>
    <t>ЮЛ780300328000202</t>
  </si>
  <si>
    <t>ЮЛ780300331800036</t>
  </si>
  <si>
    <t>629602 Ямало-Ненецкий автономный округ город Муравленко улица Ленина дом 64-А   нежилые помещения № 2,3</t>
  </si>
  <si>
    <t>ЮЛ780300331800041</t>
  </si>
  <si>
    <t>629735 Ямало-Ненецкий автономный округ город Надым улица Зверева дом 37"а"   павильон №20-23, 18-19</t>
  </si>
  <si>
    <t>ЮЛ780300331800042</t>
  </si>
  <si>
    <t>629806 Ямало-Ненецкий автономный округ город Ноябрьск улица Новоселов дом 6А</t>
  </si>
  <si>
    <t>ЮЛ780300308200168</t>
  </si>
  <si>
    <t>ЮЛ780300308200169</t>
  </si>
  <si>
    <t>629832 Ямало-Ненецкий автономный округ город Губкинский микрорайон 12 дом 25</t>
  </si>
  <si>
    <t>ЮЛ780300308200295</t>
  </si>
  <si>
    <t>ЮЛ780300308200482</t>
  </si>
  <si>
    <t>629002 Ямало-Ненецкий автономный округ город Муравленко улица Ленина дом 64 "А"</t>
  </si>
  <si>
    <t>ЮЛ780300308200486</t>
  </si>
  <si>
    <t>ЮЛ780300308200607</t>
  </si>
  <si>
    <t>629309 Ямало-Ненецкий автономный округ город Новый Уренгой микрорайон Советский дом 2 корпус 2</t>
  </si>
  <si>
    <t>ЮЛ780300308200758</t>
  </si>
  <si>
    <t>629735 Ямало-Ненецкий автономный округ город Надым улица Зверева дом 37</t>
  </si>
  <si>
    <t>ЮЛ780300308200760</t>
  </si>
  <si>
    <t>629008 Ямало-Ненецкий автономный округ город Салехард улица Республики дом 75   часть нежилых помещений № 197</t>
  </si>
  <si>
    <t>ЮЛ780300308200980</t>
  </si>
  <si>
    <t>629008 Ямало-Ненецкий автономный округ город Салехард улица Республики дом 62   первый этаж, помещение № 39</t>
  </si>
  <si>
    <t>ИП Куренов Егор Сергеевич</t>
  </si>
  <si>
    <t>890105514066</t>
  </si>
  <si>
    <t>ИП8907000486</t>
  </si>
  <si>
    <t>ИП890700048600000</t>
  </si>
  <si>
    <t>629735 Ямало-Ненецкий автономный округ город Надым улица Зверева дом 43   помещение 51,52,53</t>
  </si>
  <si>
    <t>ИП Каплан Оксана Вячеславовна</t>
  </si>
  <si>
    <t>890300247294</t>
  </si>
  <si>
    <t>ИП8907032379</t>
  </si>
  <si>
    <t>ИП890703237900000</t>
  </si>
  <si>
    <t>629757 Ямало-Ненецкий автономный округ поселок городского типа Пангоды улица Ленина дом 27</t>
  </si>
  <si>
    <t>ИП Снигур Ирина Валентиновна</t>
  </si>
  <si>
    <t>890300546745</t>
  </si>
  <si>
    <t>ИП8907010681</t>
  </si>
  <si>
    <t>ИП890701068100000</t>
  </si>
  <si>
    <t>629735 Ямало-Ненецкий автономный округ город Надым проспект Ленинградский дом 4</t>
  </si>
  <si>
    <t>ИП Попов Артур Викторович</t>
  </si>
  <si>
    <t>890306063007</t>
  </si>
  <si>
    <t>ИП8907016064</t>
  </si>
  <si>
    <t>ИП890701606400000</t>
  </si>
  <si>
    <t>629306 Ямало-Ненецкий автономный округ город Новый Уренгой улица Молодежная дом 13   квартира 1 этаж 1</t>
  </si>
  <si>
    <t>ИП Кольцов Игорь Сергеевич</t>
  </si>
  <si>
    <t>890405050697</t>
  </si>
  <si>
    <t>ИП8907017860</t>
  </si>
  <si>
    <t>ИП890701786000000</t>
  </si>
  <si>
    <t>629305 Ямало-Ненецкий автономный округ город Новый Уренгой улица Сибирская дом 26   Помещение 124</t>
  </si>
  <si>
    <t>ИП890700267400000</t>
  </si>
  <si>
    <t>629305 Ямало-Ненецкий автономный округ город Новый Уренгой улица Сибирская дом 26   Помещения 129-130</t>
  </si>
  <si>
    <t>ИП890700267400001</t>
  </si>
  <si>
    <t>629303 Ямало-Ненецкий автономный округ город Новый Уренгой улица Имени Подшибякина В.Т. дом 1 корпус 2а</t>
  </si>
  <si>
    <t>ИП890700267400003</t>
  </si>
  <si>
    <t>629305 Ямало-Ненецкий автономный округ город Новый Уренгой микрорайон Оптимистов домовладение 1</t>
  </si>
  <si>
    <t>ИП Шоймарь Юлия</t>
  </si>
  <si>
    <t>890414233489</t>
  </si>
  <si>
    <t>ИП8907036674</t>
  </si>
  <si>
    <t>ИП890703667400000</t>
  </si>
  <si>
    <t>629810 Ямало-Ненецкий автономный округ город Ноябрьск проспект Мира дом 88а</t>
  </si>
  <si>
    <t>ИП Арчакова Хава Идрисовна</t>
  </si>
  <si>
    <t>890500919000</t>
  </si>
  <si>
    <t>ИП8907012004</t>
  </si>
  <si>
    <t>ИП890701200400000</t>
  </si>
  <si>
    <t>629806 Ямало-Ненецкий автономный округ Город Ноябрьск Улица Республики Дом 56А</t>
  </si>
  <si>
    <t>ИП Столярчук Людмила Александровна</t>
  </si>
  <si>
    <t>890501183330</t>
  </si>
  <si>
    <t>ИП8907003135</t>
  </si>
  <si>
    <t>ИП890700313500000</t>
  </si>
  <si>
    <t>629800 Ямало-Ненецкий автономный округ Город Ноябрьск улица Советская дом 100</t>
  </si>
  <si>
    <t>ИП Лекина Тамара Николаевна</t>
  </si>
  <si>
    <t>890503132210</t>
  </si>
  <si>
    <t>ИП8907011013</t>
  </si>
  <si>
    <t>ИП890701101300000</t>
  </si>
  <si>
    <t>629801 Ямало-Ненецкий автономный округ город Ноябрьск улица Советская дом 95В   помещение 14</t>
  </si>
  <si>
    <t>8905067422</t>
  </si>
  <si>
    <t>ЮЛ8907017181</t>
  </si>
  <si>
    <t>ЮЛ890701718100000</t>
  </si>
  <si>
    <t>629700 Ямало-Ненецкий автономный округ село Яр-Сале Улица Советская дом 14</t>
  </si>
  <si>
    <t>ИП Саитова Лариса Сатыковна</t>
  </si>
  <si>
    <t>890900062802</t>
  </si>
  <si>
    <t>ИП8907017027</t>
  </si>
  <si>
    <t>ИП890701702700000</t>
  </si>
  <si>
    <t>629832 Ямало-Ненецкий автономный округ город Губкинский микрорайон 12 дом 33</t>
  </si>
  <si>
    <t>ИП Фомина Лариса Александровна</t>
  </si>
  <si>
    <t>891100109796</t>
  </si>
  <si>
    <t>ИП8907006348</t>
  </si>
  <si>
    <t>ИП890700634800000</t>
  </si>
  <si>
    <t>629380 Ямало-Ненецкий автономный округ село Красноселькуп улица Молодежная дом 1</t>
  </si>
  <si>
    <t>ИП Харитонова Альбина Раудатовна</t>
  </si>
  <si>
    <t>891200417297</t>
  </si>
  <si>
    <t>ИП7207032754</t>
  </si>
  <si>
    <t>ИП720703275400000</t>
  </si>
  <si>
    <t>629830 Ямало-Ненецкий автономный округ г.Губкинский 12 микрорайон  дом 25   зал №5, павильон 19</t>
  </si>
  <si>
    <t>ИП890701607700001</t>
  </si>
  <si>
    <t>629305 Ямало-Ненецкий автономный округ город Новый Уренгой улица Сибирская дом 26   часть здания (помещение №140)</t>
  </si>
  <si>
    <t>ЮЛ770100439200237</t>
  </si>
  <si>
    <t>Ярославская область</t>
  </si>
  <si>
    <t>150014 Ярославская область Ярославль Володарского  28   407</t>
  </si>
  <si>
    <t>ИП Билетеева Надежда Леонидовна</t>
  </si>
  <si>
    <t>290122864272</t>
  </si>
  <si>
    <t>ИП7602035774</t>
  </si>
  <si>
    <t>ИП760203577400000</t>
  </si>
  <si>
    <t>152925 Ярославская область город Рыбинск улица Бабушкина дом 29   нежилые помещения № 9</t>
  </si>
  <si>
    <t>ЮЛ290300549300006</t>
  </si>
  <si>
    <t>152260 Ярославская область рабочий поселок Некрасовское улица Строителей дом 6А</t>
  </si>
  <si>
    <t>ИП Филин Сергей Игоревич</t>
  </si>
  <si>
    <t>330100468590</t>
  </si>
  <si>
    <t>ИП3301031891</t>
  </si>
  <si>
    <t>ИП330103189100000</t>
  </si>
  <si>
    <t>150051 Ярославская область город Ярославль улица Малая Пролетарская здание 18д</t>
  </si>
  <si>
    <t>ИП Каныгина Надежда Викторовна</t>
  </si>
  <si>
    <t>371902305943</t>
  </si>
  <si>
    <t>ИП7602030825</t>
  </si>
  <si>
    <t>ИП760203082500000</t>
  </si>
  <si>
    <t>150045 Ярославская область город Ярославль улица Труфанова здание 24в строение 2  офис 60</t>
  </si>
  <si>
    <t>ИП Румянцев Александр Борисович</t>
  </si>
  <si>
    <t>440101613842</t>
  </si>
  <si>
    <t>ИП7602007351</t>
  </si>
  <si>
    <t>ИП760200735100000</t>
  </si>
  <si>
    <t>150065 Ярославская область город Ярославль проспект Машиностроителей дом 30/18</t>
  </si>
  <si>
    <t>ИП760200735100002</t>
  </si>
  <si>
    <t>150007 Ярославская область город Ярославль улица Урочская здание 7а</t>
  </si>
  <si>
    <t>ИП Коваленко Игорь Владимирович</t>
  </si>
  <si>
    <t>440103543301</t>
  </si>
  <si>
    <t>ИП4402035603</t>
  </si>
  <si>
    <t>ИП440203560300000</t>
  </si>
  <si>
    <t>150060 Ярославская область город Ярославль улица Труфанова дом 19</t>
  </si>
  <si>
    <t>ИП Воропаев Сергей Николаевич</t>
  </si>
  <si>
    <t>440105653300</t>
  </si>
  <si>
    <t>ИП4402000058</t>
  </si>
  <si>
    <t>ИП440200005800000</t>
  </si>
  <si>
    <t>150030 Ярославская область город Ярославль улица Гоголя дом 2   помещение 18</t>
  </si>
  <si>
    <t>ИП Минеев Алексей Николаевич</t>
  </si>
  <si>
    <t>440113353476</t>
  </si>
  <si>
    <t>ИП4402032688</t>
  </si>
  <si>
    <t>ИП440203268800000</t>
  </si>
  <si>
    <t>150052 Ярославская область город Ярославль проспект Ленинградский дом 53</t>
  </si>
  <si>
    <t>ЮЛ440200810200031</t>
  </si>
  <si>
    <t>150000 Ярославская область город Ярославль улица Победы дом 41   нп 1068</t>
  </si>
  <si>
    <t>4401157422</t>
  </si>
  <si>
    <t>ЮЛ4402004676</t>
  </si>
  <si>
    <t>ЮЛ440200467600001</t>
  </si>
  <si>
    <t>150044 Ярославская область город Ярославль шоссе Тутаевское дом 1   помещение 214</t>
  </si>
  <si>
    <t>ЮЛ440200467600003</t>
  </si>
  <si>
    <t>ИП Русецкая Наталья Ильинична</t>
  </si>
  <si>
    <t>440117152900</t>
  </si>
  <si>
    <t>ИП4402030606</t>
  </si>
  <si>
    <t>ИП440203060600000</t>
  </si>
  <si>
    <t>150062 Ярославская область город Ярославль проспект Авиаторов дом 86</t>
  </si>
  <si>
    <t>ИП Мягкова Герта Валерьевна</t>
  </si>
  <si>
    <t>440118967832</t>
  </si>
  <si>
    <t>ИП7602034405</t>
  </si>
  <si>
    <t>ИП760203440500000</t>
  </si>
  <si>
    <t>150010 Ярославская область город Ярославль пр-т Машиностроителей 26</t>
  </si>
  <si>
    <t>ИП760203440500001</t>
  </si>
  <si>
    <t>150006 Ярославская область город Ярославль проспект Фрунзе здание 46</t>
  </si>
  <si>
    <t>ИП760203440500004</t>
  </si>
  <si>
    <t>150051 Ярославская область город Ярославль проспект Машиностроителей дом 11б</t>
  </si>
  <si>
    <t>ИП760203440500005</t>
  </si>
  <si>
    <t>150000 Ярославская область город Ярославль улица Свободы дом 41</t>
  </si>
  <si>
    <t>ИП440200822300003</t>
  </si>
  <si>
    <t>150521 Ярославская область поселок Нагорный улица Дорожная здание 6А</t>
  </si>
  <si>
    <t>ИП350300596400007</t>
  </si>
  <si>
    <t>150044 Ярославская область город Ярославль шоссе Тутаевское дом 1   офис 209</t>
  </si>
  <si>
    <t>ИП Горбунова Ольга Анатольевна</t>
  </si>
  <si>
    <t>441500062370</t>
  </si>
  <si>
    <t>ИП4402006148</t>
  </si>
  <si>
    <t>ИП440200614800000</t>
  </si>
  <si>
    <t>152901 Ярославская область город Рыбинск улица Стоялая дом 4   помещение 1</t>
  </si>
  <si>
    <t>ИП Кужахметов Федор Салаватович</t>
  </si>
  <si>
    <t>441500152634</t>
  </si>
  <si>
    <t>ИП4402011515</t>
  </si>
  <si>
    <t>ИП440201151500000</t>
  </si>
  <si>
    <t>150000 Ярославская область Ярославль Свободы 46   нежилые помещения 1 этажа №№121.122</t>
  </si>
  <si>
    <t>ИП Егоров Александр Владимирович</t>
  </si>
  <si>
    <t>444400026825</t>
  </si>
  <si>
    <t>ИП4402017978</t>
  </si>
  <si>
    <t>ИП440201797800000</t>
  </si>
  <si>
    <t>150040 Ярославская область город Ярославль улица Некрасова здание 41 строение 1</t>
  </si>
  <si>
    <t>ИП440201797800001</t>
  </si>
  <si>
    <t>150000 Ярославская область город Ярославль улица Победы дом 41   1 этаж, часть помещения 4.К_1</t>
  </si>
  <si>
    <t>ИП500100445500032</t>
  </si>
  <si>
    <t>150000 Ярославская область город Ярославль улица Победы дом 41   ТЦ «Аура» моно-casio 4.R_1</t>
  </si>
  <si>
    <t>ИП500100445500119</t>
  </si>
  <si>
    <t>150000 Ярославская область город Ярославль улица Дорожная дом 6А</t>
  </si>
  <si>
    <t>ЮЛ520603376600059</t>
  </si>
  <si>
    <t>150000 Ярославская область город Ярославль улица Победы дом 41   помещение 3к_1,1</t>
  </si>
  <si>
    <t>ЮЛ520603376600103</t>
  </si>
  <si>
    <t>152900 Ярославская область город Рыбинск улица Бабушкина дом 29   часть помещения №131</t>
  </si>
  <si>
    <t>ЮЛ520603376600137</t>
  </si>
  <si>
    <t>150000 Ярославская область город Ярославль улица Победы дом 41</t>
  </si>
  <si>
    <t>ИП520600697000017</t>
  </si>
  <si>
    <t>ИП520601790200033</t>
  </si>
  <si>
    <t>150044 Ярославская область город Ярославль шоссе Тутаевское дом 1</t>
  </si>
  <si>
    <t>ИП520601790200035</t>
  </si>
  <si>
    <t>152925 Ярославская область город Рыбинск улица Бабушкина дом 29</t>
  </si>
  <si>
    <t>ИП520601790200058</t>
  </si>
  <si>
    <t>150000 Ярославская область город Ростов Великий площадь Соборная дом 8</t>
  </si>
  <si>
    <t>ИП Ладонникова Елена Владимировна</t>
  </si>
  <si>
    <t>760204165248</t>
  </si>
  <si>
    <t>ИП7602019221</t>
  </si>
  <si>
    <t>ИП760201922100000</t>
  </si>
  <si>
    <t>150000 Ярославская область город Ярославль улица Первомайская дом 25/26   помещения №3,49 лит.А, 4,50,51,52</t>
  </si>
  <si>
    <t>ИП Петухова Анна Леонидовна</t>
  </si>
  <si>
    <t>760204958938</t>
  </si>
  <si>
    <t>ИП7602010447</t>
  </si>
  <si>
    <t>ИП760201044700000</t>
  </si>
  <si>
    <t>152151 Ярославская область город Ростов улица Луначарского дом 23а</t>
  </si>
  <si>
    <t>ИП Рогозин Алексей Владимирович</t>
  </si>
  <si>
    <t>760210461929</t>
  </si>
  <si>
    <t>ИП7602032148</t>
  </si>
  <si>
    <t>ИП760203214800000</t>
  </si>
  <si>
    <t>150045 Ярославская область город Ярославль проспект Ленинградский здание 54а</t>
  </si>
  <si>
    <t>ИП760203214800001</t>
  </si>
  <si>
    <t>150006 Ярославская область город Ярославль проспект Фрунзе дом 56д</t>
  </si>
  <si>
    <t>ИП760203214800004</t>
  </si>
  <si>
    <t>150051 Ярославская область город Ярославль проспект Авиаторов 86   № О2-I</t>
  </si>
  <si>
    <t>ИП Егоров Валерий Владимирович</t>
  </si>
  <si>
    <t>760300209480</t>
  </si>
  <si>
    <t>ИП7602006968</t>
  </si>
  <si>
    <t>ИП760200696800000</t>
  </si>
  <si>
    <t>150000 Ярославская область город Ярославль пр-т Машиностроителей 26</t>
  </si>
  <si>
    <t>ИП760200696800009</t>
  </si>
  <si>
    <t>150000 Ярославская область город Ярославль пр-т Фрунзе 46   12</t>
  </si>
  <si>
    <t>ИП760200696800010</t>
  </si>
  <si>
    <t>150000 Ярославская область город Ярославль Депутатский переулок дом 3   1 этаж пом.№1-8, 2 этаж пом.№1</t>
  </si>
  <si>
    <t>ИП Исаев Валентин Павлович</t>
  </si>
  <si>
    <t>760403206379</t>
  </si>
  <si>
    <t>ИП7602002044</t>
  </si>
  <si>
    <t>ИП760200204400000</t>
  </si>
  <si>
    <t>150014 Ярославская область город Ярославль улица Малая Октябрьская дом 6</t>
  </si>
  <si>
    <t>ФГУП ЦЕНТР "РУССКИЕ РЕМЕСЛА"</t>
  </si>
  <si>
    <t>7604034510</t>
  </si>
  <si>
    <t>ЮЛ7602000497</t>
  </si>
  <si>
    <t>ЮЛ760200049700000</t>
  </si>
  <si>
    <t>150000 Ярославская область город Ярославль Победы 41</t>
  </si>
  <si>
    <t>ИП Судакова Евгения Андреевна</t>
  </si>
  <si>
    <t>760405852561</t>
  </si>
  <si>
    <t>ИП7602035210</t>
  </si>
  <si>
    <t>ИП760203521000000</t>
  </si>
  <si>
    <t>150049 Ярославская область город Ярославль улица Свободы дом 95   пом 1 эт. № 49-51</t>
  </si>
  <si>
    <t>ИП Пижицкий Михаил Александрович</t>
  </si>
  <si>
    <t>760410334660</t>
  </si>
  <si>
    <t>ИП7602002052</t>
  </si>
  <si>
    <t>ИП760200205200000</t>
  </si>
  <si>
    <t>152153 Ярославская область город Ростов площадь Соборная дом 5   помещение 1, 2, 2а, 2б</t>
  </si>
  <si>
    <t>ЮЛ760201041800002</t>
  </si>
  <si>
    <t>150517 Ярославская область поселок Красный Холм Волжская 2   помещение № 100</t>
  </si>
  <si>
    <t>ЮЛ760201041800013</t>
  </si>
  <si>
    <t>150014 Ярославская область город Ярославль улица Кирова дом 12 Здание 2</t>
  </si>
  <si>
    <t>ЮЛ760201041800017</t>
  </si>
  <si>
    <t>150014 Ярославская область город Ярославль улица Свободы дом 63</t>
  </si>
  <si>
    <t>ЮЛ760201041800018</t>
  </si>
  <si>
    <t>152153 Ярославская область город Ростов Великий улица Каменный Мост 5</t>
  </si>
  <si>
    <t>ЮЛ760201041800019</t>
  </si>
  <si>
    <t>150054 Ярославская область город Ярославль проспект Ленина дом 20/53</t>
  </si>
  <si>
    <t>ЮЛ760201041800020</t>
  </si>
  <si>
    <t>150062 Ярославская область город Ярославль проспект Авиаторов дом 149</t>
  </si>
  <si>
    <t>ЮЛ760201041800021</t>
  </si>
  <si>
    <t>150052 Ярославская область город Ярославль проспект Ленинградский дом 49а</t>
  </si>
  <si>
    <t>ЮЛ760201041800022</t>
  </si>
  <si>
    <t>150014 Ярославская область город Ярославль улица Свердлова дом 16</t>
  </si>
  <si>
    <t>ЮЛ760201041800023</t>
  </si>
  <si>
    <t>150045 Ярославская область город Ярославль Ленинградский проспект 52б   13</t>
  </si>
  <si>
    <t>ООО "ЛОМБАРД 2005"</t>
  </si>
  <si>
    <t>7604242855</t>
  </si>
  <si>
    <t>ЮЛ7602013768</t>
  </si>
  <si>
    <t>ЮЛ760201376800000</t>
  </si>
  <si>
    <t>150000 Ярославская область город Ярославль улица Победы дом 41   комната 1040</t>
  </si>
  <si>
    <t>7604247331</t>
  </si>
  <si>
    <t>ЮЛ7602012425</t>
  </si>
  <si>
    <t>ЮЛ760201242500000</t>
  </si>
  <si>
    <t>150000 Ярославская область город Ярославль улица Первомайская дом 25/26   помещение 16</t>
  </si>
  <si>
    <t>ООО "ЛОМБАРД "ЯРОСЛАВСКИЙ КРЕДИТ"</t>
  </si>
  <si>
    <t>7604303762</t>
  </si>
  <si>
    <t>ЮЛ7602011491</t>
  </si>
  <si>
    <t>ЮЛ760201149100000</t>
  </si>
  <si>
    <t>150048 Ярославская область Ярославль проспект Московский дом 149   офис 3</t>
  </si>
  <si>
    <t>ООО"ЮЗ"ТРАДИЦИИ"</t>
  </si>
  <si>
    <t>7604330815</t>
  </si>
  <si>
    <t>ЮЛ7602000109</t>
  </si>
  <si>
    <t>ЮЛ760200010900000</t>
  </si>
  <si>
    <t>150030 Ярославская область город Ярославль проспект Московский дом 119 корпус 2  помещение 3</t>
  </si>
  <si>
    <t>ООО "ВЕРБА"</t>
  </si>
  <si>
    <t>7604393854</t>
  </si>
  <si>
    <t>ЮЛ7602035577</t>
  </si>
  <si>
    <t>ЮЛ760203557700000</t>
  </si>
  <si>
    <t>150023 Ярославская область город Ярославль проспект Московский дом 100</t>
  </si>
  <si>
    <t>7604397898</t>
  </si>
  <si>
    <t>ЮЛ7602037523</t>
  </si>
  <si>
    <t>ЮЛ760203752300001</t>
  </si>
  <si>
    <t>150000 Ярославская область город Ярославль улица Собинова дом 37 корпус 2  помещение 14</t>
  </si>
  <si>
    <t>ЮЛ760203752300003</t>
  </si>
  <si>
    <t>150014 Ярославская область город Ярославль улица Угличская дом 4   пом. 11-14</t>
  </si>
  <si>
    <t>ИП Пижицкий Александр Вениаминович</t>
  </si>
  <si>
    <t>760500058422</t>
  </si>
  <si>
    <t>ИП7602001923</t>
  </si>
  <si>
    <t>ИП760200192300000</t>
  </si>
  <si>
    <t>150035 Ярославская область город Ярославль улица Ньютона дом 63</t>
  </si>
  <si>
    <t>ИП Макаров Евгений Владимирович</t>
  </si>
  <si>
    <t>760500072610</t>
  </si>
  <si>
    <t>ИП7602000225</t>
  </si>
  <si>
    <t>ИП760200022500000</t>
  </si>
  <si>
    <t>150002 Ярославская область город Ярославль улица Будкина дом 7   11,12,15</t>
  </si>
  <si>
    <t>ИП760200022500001</t>
  </si>
  <si>
    <t>150000 Ярославская область город Ярославль улица Кирова дом 11   22</t>
  </si>
  <si>
    <t>ИП Пятковский Игорь Витальевич</t>
  </si>
  <si>
    <t>760502553133</t>
  </si>
  <si>
    <t>ИП7602000372</t>
  </si>
  <si>
    <t>ИП760200037200000</t>
  </si>
  <si>
    <t>150000 Ярославская область город Ярославль улица Кирова дом 7/8</t>
  </si>
  <si>
    <t>ИП760200037200002</t>
  </si>
  <si>
    <t>150014 Ярославская область горд Ярославль проспект Ленина дом 20/53</t>
  </si>
  <si>
    <t>ИП МУХИНА ВЕРА АЛЕКСАНДРОВНА</t>
  </si>
  <si>
    <t>760600897608</t>
  </si>
  <si>
    <t>ИП7602004269</t>
  </si>
  <si>
    <t>ИП760200426900000</t>
  </si>
  <si>
    <t>ИП760200426900001</t>
  </si>
  <si>
    <t>150000 Ярославская область город Ярославль улица Кирова дом 11</t>
  </si>
  <si>
    <t>ИП760200426900005</t>
  </si>
  <si>
    <t>ИП760200426900006</t>
  </si>
  <si>
    <t>ИП760200426900007</t>
  </si>
  <si>
    <t>150000 Ярославская область город Ярославль улица Кирова дом 12   здание 1</t>
  </si>
  <si>
    <t>ИП760200426900011</t>
  </si>
  <si>
    <t>150000 Ярославская область город Ярославль улица Кирова дом 11   магазин 6 "Часы"</t>
  </si>
  <si>
    <t>ИП760200426900014</t>
  </si>
  <si>
    <t>150000 Ярославская область город Ярославль проспект Ленинградский дом 49а   магазин 7 "серебро"</t>
  </si>
  <si>
    <t>ИП760200426900015</t>
  </si>
  <si>
    <t>150003 Ярославская область город Ярославль улица Полушкина Роща дом 9Б - - кабинет 203</t>
  </si>
  <si>
    <t>ЮЛ760201190700000</t>
  </si>
  <si>
    <t>150054 Ярославская область город Ярославль проспект Ленина дом 20/53   24-28</t>
  </si>
  <si>
    <t>7606134911</t>
  </si>
  <si>
    <t>ЮЛ7602034834</t>
  </si>
  <si>
    <t>ЮЛ760203483400000</t>
  </si>
  <si>
    <t>150044 Ярославская область город Ярославль улица Промышленная дом 12</t>
  </si>
  <si>
    <t>ООО "ДРУИДФЛОУ"</t>
  </si>
  <si>
    <t>7606141524</t>
  </si>
  <si>
    <t>ЮЛ7602040161</t>
  </si>
  <si>
    <t>ЮЛ760204016100000</t>
  </si>
  <si>
    <t>150000 Ярославская область город Ярославль улица Кирова дом 7/8   2 этаж</t>
  </si>
  <si>
    <t>ИП Румянцев Александр Николаевич</t>
  </si>
  <si>
    <t>760700009165</t>
  </si>
  <si>
    <t>ИП7602002667</t>
  </si>
  <si>
    <t>ИП760200266700000</t>
  </si>
  <si>
    <t>150000 Ярославская область город Ярославль набережная Волжская дом 45/1   офис 16</t>
  </si>
  <si>
    <t>ИП Комаров Андрей Леонидович</t>
  </si>
  <si>
    <t>760700440396</t>
  </si>
  <si>
    <t>ИП7602006428</t>
  </si>
  <si>
    <t>ИП760200642800000</t>
  </si>
  <si>
    <t>ИП760200642800003</t>
  </si>
  <si>
    <t>152020 Ярославская область город Переславль-Залесский улица Свободы дом 7</t>
  </si>
  <si>
    <t>ИП Архиреев Артем Владимирович</t>
  </si>
  <si>
    <t>760800010809</t>
  </si>
  <si>
    <t>ИП7602033570</t>
  </si>
  <si>
    <t>ИП760203357000000</t>
  </si>
  <si>
    <t>152025 Ярославская область город Переславль-Залесский улица Строителей дом 24</t>
  </si>
  <si>
    <t>ИП Бакланова Галина Павловна</t>
  </si>
  <si>
    <t>760800155410</t>
  </si>
  <si>
    <t>ИП7602013287</t>
  </si>
  <si>
    <t>ИП760201328700000</t>
  </si>
  <si>
    <t>152025 Ярославская область город Переславль-Залесский улица Строителей дом 40   1 этаж</t>
  </si>
  <si>
    <t>ИП Архиреева Людмила Владимировна</t>
  </si>
  <si>
    <t>760800738404</t>
  </si>
  <si>
    <t>ИП7602005649</t>
  </si>
  <si>
    <t>ИП760200564900000</t>
  </si>
  <si>
    <t>152153 Ярославская область город Ростов улица Карла Маркса дом 10   Помещения № 14,15,16,17,17а,18</t>
  </si>
  <si>
    <t>ИП Волкова Ирина Борисовна</t>
  </si>
  <si>
    <t>760900315427</t>
  </si>
  <si>
    <t>ИП7602003203</t>
  </si>
  <si>
    <t>ИП760200320300000</t>
  </si>
  <si>
    <t>152150 Ярославская область город Ростов улица Пролетарская дом 86</t>
  </si>
  <si>
    <t>ИП760200320300002</t>
  </si>
  <si>
    <t>152155 Ярославская область город Ростов шоссе Борисоглебское дом 3</t>
  </si>
  <si>
    <t>ЗАО "Фабрика "Ростовская финифть"</t>
  </si>
  <si>
    <t>7609013908</t>
  </si>
  <si>
    <t>ЮЛ7602006702</t>
  </si>
  <si>
    <t>ЮЛ760200670200000</t>
  </si>
  <si>
    <t>152153 Ярославская область город Ростов улица Карла Маркса дом 13</t>
  </si>
  <si>
    <t>ИП Дворникова Ольга Александровна</t>
  </si>
  <si>
    <t>760901811851</t>
  </si>
  <si>
    <t>ИП7602012943</t>
  </si>
  <si>
    <t>ИП760201294300000</t>
  </si>
  <si>
    <t>152153 Ярославская область город Ростов улица Добролюбова дом 20   офис</t>
  </si>
  <si>
    <t>ООО "ХРИЗОЛИТ"</t>
  </si>
  <si>
    <t>7609026840</t>
  </si>
  <si>
    <t>ЮЛ7602006342</t>
  </si>
  <si>
    <t>ЮЛ760200634200000</t>
  </si>
  <si>
    <t>152155 Ярославская область город Ростов площадь Соборная дом 2</t>
  </si>
  <si>
    <t>ООО "ЮВЕЛИРНЫЙ ДОМ АЛЕКСАНДР РУДНИК"</t>
  </si>
  <si>
    <t>7609027410</t>
  </si>
  <si>
    <t>ЮЛ7602019340</t>
  </si>
  <si>
    <t>ЮЛ760201934000000</t>
  </si>
  <si>
    <t>152153 Ярославская область город Ростов площадь Соборная дом 5</t>
  </si>
  <si>
    <t>ИП Лепнёва Ева Викторовна</t>
  </si>
  <si>
    <t>760904263890</t>
  </si>
  <si>
    <t>ИП7602005354</t>
  </si>
  <si>
    <t>ИП760200535400000</t>
  </si>
  <si>
    <t>ИП760200535400001</t>
  </si>
  <si>
    <t>152153 Ярославская область город Ростов улица Московская дом 17б   помещения №1,2,4,5,7,8</t>
  </si>
  <si>
    <t>ИП Тотушкина Анна Евгеньевна</t>
  </si>
  <si>
    <t>760906912677</t>
  </si>
  <si>
    <t>ИП7602016000</t>
  </si>
  <si>
    <t>ИП760201600000000</t>
  </si>
  <si>
    <t>152903 Ярославская область город Рыбинск улица Свободы / проспект Ленина дом 8/ дом 157</t>
  </si>
  <si>
    <t>7610009800</t>
  </si>
  <si>
    <t>ЮЛ7602001757</t>
  </si>
  <si>
    <t>ЮЛ760200175700000</t>
  </si>
  <si>
    <t>152901 Ярославская область город Рыбинск площадь Красная дом 3</t>
  </si>
  <si>
    <t>ЮЛ760200175700001</t>
  </si>
  <si>
    <t>152903 Ярославская область город Рыбинск улица Кирова дом 6</t>
  </si>
  <si>
    <t>ИП Медовикова Светлана Ивановна</t>
  </si>
  <si>
    <t>761010930075</t>
  </si>
  <si>
    <t>ИП7602004124</t>
  </si>
  <si>
    <t>ИП760200412400000</t>
  </si>
  <si>
    <t>152903 Ярославская область город Рыбинск улица Крестовая дом 107</t>
  </si>
  <si>
    <t>ИП760200412400001</t>
  </si>
  <si>
    <t>152934 Ярославская область город Рыбинск улица Пушкина дом 8   пом.2; пом.10</t>
  </si>
  <si>
    <t>ИП Северцова Галина Алексеевна</t>
  </si>
  <si>
    <t>761014580713</t>
  </si>
  <si>
    <t>ИП7602001144</t>
  </si>
  <si>
    <t>ИП760200114400000</t>
  </si>
  <si>
    <t>152901 Ярославская область город Рыбинск улица Большая Казанская дом 48</t>
  </si>
  <si>
    <t>ИП Гавва Александр Сергеевич</t>
  </si>
  <si>
    <t>761016293055</t>
  </si>
  <si>
    <t>ИП7602004259</t>
  </si>
  <si>
    <t>ИП760200425900000</t>
  </si>
  <si>
    <t>ИП Лисицына Марина Сергеевна</t>
  </si>
  <si>
    <t>761018120756</t>
  </si>
  <si>
    <t>ИП7602005357</t>
  </si>
  <si>
    <t>ИП760200535700000</t>
  </si>
  <si>
    <t>152925 Ярославская область город Рыбинск улица Бабушкина дом 29   нежилое помещение 164</t>
  </si>
  <si>
    <t>ИП Федорова Ольга Николаевна</t>
  </si>
  <si>
    <t>761018252368</t>
  </si>
  <si>
    <t>ИП7602005121</t>
  </si>
  <si>
    <t>ИП760200512100000</t>
  </si>
  <si>
    <t>152615 Ярославская область город Углич улица Ольги Берггольц дом  5</t>
  </si>
  <si>
    <t>ИП Мельникова Елена Евгеньевна</t>
  </si>
  <si>
    <t>761200051403</t>
  </si>
  <si>
    <t>ИП7602000424</t>
  </si>
  <si>
    <t>ИП760200042400000</t>
  </si>
  <si>
    <t>152615 Ярославская область город Углич улица Ленина дом 1</t>
  </si>
  <si>
    <t>ИП760200042400001</t>
  </si>
  <si>
    <t>152610 Ярославская область город Углич  улица Гражданская дом 10   помещение 1</t>
  </si>
  <si>
    <t>ИП Насыров Айрат Мансурович</t>
  </si>
  <si>
    <t>761200098112</t>
  </si>
  <si>
    <t>ИП7602003695</t>
  </si>
  <si>
    <t>ИП760200369500000</t>
  </si>
  <si>
    <t>152615 Ярославская область город Углич улица Ростовская дом 1/3</t>
  </si>
  <si>
    <t>ИП Мароков Григорий Юрьевич</t>
  </si>
  <si>
    <t>761200112575</t>
  </si>
  <si>
    <t>ИП7602010389</t>
  </si>
  <si>
    <t>ИП760201038900000</t>
  </si>
  <si>
    <t>152615 Ярославская область город Углич улица Ростовская дом 13   помещение 1-6</t>
  </si>
  <si>
    <t>ИП Солдатова Светлана Юрьевна</t>
  </si>
  <si>
    <t>761200185661</t>
  </si>
  <si>
    <t>ИП7602000578</t>
  </si>
  <si>
    <t>ИП760200057800000</t>
  </si>
  <si>
    <t>152615 Ярославская область город Углич площадь Успенская дом 8</t>
  </si>
  <si>
    <t>ИП Смирнова Ирина Леонидовна</t>
  </si>
  <si>
    <t>761200726374</t>
  </si>
  <si>
    <t>ИП7602034406</t>
  </si>
  <si>
    <t>ИП760203440600000</t>
  </si>
  <si>
    <t>152610 Ярославская область город Углич Рыбинское шоссе дом 5   офис 3</t>
  </si>
  <si>
    <t>ИП Баклыкова Елена Анатольевна</t>
  </si>
  <si>
    <t>761200873763</t>
  </si>
  <si>
    <t>ИП7602001404</t>
  </si>
  <si>
    <t>ИП760200140400000</t>
  </si>
  <si>
    <t>152615 Ярославская область город Углич площадь Успенская дом 3</t>
  </si>
  <si>
    <t>ООО "ФИРМЕННЫЙ МАГАЗИН "ЧАЙКА"</t>
  </si>
  <si>
    <t>7612033943</t>
  </si>
  <si>
    <t>ЮЛ7602013882</t>
  </si>
  <si>
    <t>ЮЛ760201388200000</t>
  </si>
  <si>
    <t>152613 Ярославская область город Углич шоссе Рыбинское дом 20А корпус 39</t>
  </si>
  <si>
    <t>ООО "ПРОИЗВОДСТВО "ЧАЙКА"</t>
  </si>
  <si>
    <t>7612047907</t>
  </si>
  <si>
    <t>ЮЛ7602000687</t>
  </si>
  <si>
    <t>ЮЛ760200068700000</t>
  </si>
  <si>
    <t>152613 Ярославская область Углич Рыбинское шоссе 20а 37</t>
  </si>
  <si>
    <t>ИП Шелепугина Ольга Андреевна</t>
  </si>
  <si>
    <t>761205182167</t>
  </si>
  <si>
    <t>ИП7602000913</t>
  </si>
  <si>
    <t>ИП760200091300000</t>
  </si>
  <si>
    <t>152613 Ярославская область Углич Рыбинское шоссе 3а</t>
  </si>
  <si>
    <t>ИП760200091300001</t>
  </si>
  <si>
    <t>152760 Ярославская область село Брейтово улица Республиканская дом 20</t>
  </si>
  <si>
    <t>ИП Стрельникова Юлия Анатольевна</t>
  </si>
  <si>
    <t>761500434710</t>
  </si>
  <si>
    <t>ИП7602001400</t>
  </si>
  <si>
    <t>ИП760200140000000</t>
  </si>
  <si>
    <t>152850 Ярославская область город Пошехонье площадь Свободы дом 3Б</t>
  </si>
  <si>
    <t>ГОРПО ПОШЕХОНСКОГО РАЙПОТРЕБСОЮЗА</t>
  </si>
  <si>
    <t>7624000075</t>
  </si>
  <si>
    <t>ЮЛ7602010161</t>
  </si>
  <si>
    <t>ЮЛ760201016100000</t>
  </si>
  <si>
    <t>150003 Ярославская область город Ярославль улица Республиканская дом 7   пом. № 58</t>
  </si>
  <si>
    <t>ИП Зверева Екатерина Сергеевна</t>
  </si>
  <si>
    <t>762703289764</t>
  </si>
  <si>
    <t>ИП7602041011</t>
  </si>
  <si>
    <t>ИП760204101100000</t>
  </si>
  <si>
    <t>152303 Ярославская область город Тутаев улица Моторостроителей здание 70б</t>
  </si>
  <si>
    <t>ИП770100417900051</t>
  </si>
  <si>
    <t>150000 Ярославская область город Ярославль улица Победы дом 41   помещение 1033</t>
  </si>
  <si>
    <t>ЮЛ770101216600099</t>
  </si>
  <si>
    <t>150521 Ярославская область поселок Нагорный улица Дорожная здание 6А   помещения 18,372,554, этаж 1</t>
  </si>
  <si>
    <t>ЮЛ770101216600158</t>
  </si>
  <si>
    <t>150042 Ярославская область город Ярославль шоссе Тутаевское дом 1   помещение 0-1-3, этаж 1</t>
  </si>
  <si>
    <t>ЮЛ770101216600275</t>
  </si>
  <si>
    <t>150060 Ярославская область город Ярославль проспект Ленинградский дом 123   помещения 108, 109, 124</t>
  </si>
  <si>
    <t>ЮЛ770101216600352</t>
  </si>
  <si>
    <t>152925 Ярославская область город Рыбинск улица Бабушкина дом 29   этаж 1, часть нежилого помещения №147</t>
  </si>
  <si>
    <t>ЮЛ770101216600395</t>
  </si>
  <si>
    <t>150067 Ярославская область Заволжское сельское поселение Территория Комплексная строение 1   1 этаж, нежилое помещение №МI14</t>
  </si>
  <si>
    <t>ЮЛ770101216600755</t>
  </si>
  <si>
    <t>152150 Ярославская область город Ростов улица Пролетарская дом 86   этаж 1, часть нежилого помещения 1-8</t>
  </si>
  <si>
    <t>ЮЛ770101216600807</t>
  </si>
  <si>
    <t>152934 Ярославская область город Рыбинск улица Кирова дом 9 корпус 1  этаж 1, торговое место № 114</t>
  </si>
  <si>
    <t>ЮЛ770101216600942</t>
  </si>
  <si>
    <t>ЮЛ770100419400112</t>
  </si>
  <si>
    <t>150014 Ярославская область город Ярославль улица Свободы дом 55</t>
  </si>
  <si>
    <t>ИП770103178200008</t>
  </si>
  <si>
    <t>150060 Ярославская область город Ярославль проспект Ленинградский дом 123   помещения № 367, 368, 369, 435, 444, часть помещения № 374</t>
  </si>
  <si>
    <t>ЮЛ770100193500289</t>
  </si>
  <si>
    <t>150000 Ярославская область город Ярославль улица Победы дом 41   помещение № 1023</t>
  </si>
  <si>
    <t>ЮЛ770100193500311</t>
  </si>
  <si>
    <t>152901 Ярославская область город Рыбинск улица Крестовая дом 21    помещение № 1, часть помещения № 2</t>
  </si>
  <si>
    <t>ЮЛ770100193500312</t>
  </si>
  <si>
    <t>150521 Ярославская область Телегинский сельский округ \ поселок Нагорный улица Дорожная дом 6 А   помещения № 551, 552, 553</t>
  </si>
  <si>
    <t>ЮЛ770100193500313</t>
  </si>
  <si>
    <t>150044 Ярославская область город Ярославль шоссе Тутаевское дом 1   помещение № 207.1, первый этаж</t>
  </si>
  <si>
    <t>ЮЛ770100193500805</t>
  </si>
  <si>
    <t>152901 Ярославская область город Рыбинск улица Крестовая/Ломоносова дом 50/4</t>
  </si>
  <si>
    <t>ЮЛ780300131300169</t>
  </si>
  <si>
    <t>150000 Ярославская область город Ярославль улица Первомайская дом 33   часть нежилого помещения № 4</t>
  </si>
  <si>
    <t>ЮЛ780300328000122</t>
  </si>
  <si>
    <t>152300 Ярославская область город Тутаев улица Моторостроителей дом 63а</t>
  </si>
  <si>
    <t>ЮЛ780300328000123</t>
  </si>
  <si>
    <t>150040 Ярославская область город Ярославль проспект Октября дом 47   помещения 30-32, 34, 36</t>
  </si>
  <si>
    <t>ЮЛ780300323500037</t>
  </si>
  <si>
    <t>152925 Ярославская область город Рыбинск улица Бабушкина дом 29   помещения 153, 154, 155</t>
  </si>
  <si>
    <t>ЮЛ780300323500123</t>
  </si>
  <si>
    <t>152934 Ярославская область город Рыбинск улица Герцена дом 87   помещения 17-22, 71-73</t>
  </si>
  <si>
    <t>ЮЛ780300323500124</t>
  </si>
  <si>
    <t>152901 Ярославская область город Рыбинск улица Крестовая дом 57   помещение III</t>
  </si>
  <si>
    <t>ЮЛ780300323500125</t>
  </si>
  <si>
    <t>152300 Ярославская область город Тутаев улица Моторостроителей дом 63А</t>
  </si>
  <si>
    <t>ЮЛ780300308200092</t>
  </si>
  <si>
    <t>150060 Ярославская область город Ярославль проспект Ленинградский дом 123</t>
  </si>
  <si>
    <t>ЮЛ780300308200136</t>
  </si>
  <si>
    <t>150521 Ярославская область поселок Нагорный улица Дорожная здание 6а   помещения 70, 453, 454</t>
  </si>
  <si>
    <t>ЮЛ780300308200394</t>
  </si>
  <si>
    <t>150000 Ярославская область город Ярославль улица Первомайская дом 33</t>
  </si>
  <si>
    <t>ЮЛ780300308200571</t>
  </si>
  <si>
    <t>152901 Ярославская область город Рыбинск улица Крестовая/Ломоносова дом 50/4   часть нежилого помещения №1, нежилые помещения №№2,4,5,8,9,10</t>
  </si>
  <si>
    <t>ЮЛ780300308200751</t>
  </si>
  <si>
    <t>150000 Ярославская область город Ярославль улица Победы дом 41   архитектурный номер 1051</t>
  </si>
  <si>
    <t>ЮЛ780300308201015</t>
  </si>
  <si>
    <t>ЮЛ780300363500194</t>
  </si>
  <si>
    <t>152934 Ярославская область город Рыбинск улица Герцена дом 87</t>
  </si>
  <si>
    <t>ЮЛ780300363500195</t>
  </si>
  <si>
    <t>152901 Ярославская область город Рыбинск улица Крестовая дом 57</t>
  </si>
  <si>
    <t>ЮЛ780300363500196</t>
  </si>
  <si>
    <t>150040 Ярославская область город Ярославль проспект Октября дом 47</t>
  </si>
  <si>
    <t>ЮЛ780300363500270</t>
  </si>
  <si>
    <t>150000 Ярославская область город Ярославль улица Победы дом 41   помещение 1049</t>
  </si>
  <si>
    <t>ЮЛ780301261200051</t>
  </si>
  <si>
    <t>150521 Ярославская область поселок Нагорный улица Дорожная здание 6а   1 этаж пом. 2, 1 этаж пом. 362</t>
  </si>
  <si>
    <t>ЮЛ780301261200059</t>
  </si>
  <si>
    <t>150060 Ярославская область город Ярославль проспект Ленинградский дом 123   1 этаж, пом. 52</t>
  </si>
  <si>
    <t>ЮЛ780301261200068</t>
  </si>
  <si>
    <t>150000 Ярославская область город Ярославль улица Победы дом 41   1 этаж, комната №1040</t>
  </si>
  <si>
    <t>ЮЛ770103713100001</t>
  </si>
  <si>
    <t>150042 Ярославская область город Ярославль шоссе Тутаевское дом 1   нежилые помещения на 1 этаже ТЦ - часть помещения №19, помещение №24</t>
  </si>
  <si>
    <t>ЮЛ770100439200139</t>
  </si>
  <si>
    <t>150000 Ярославская область город Ярославль улица Победы дом 41   помещение №1024 на 1 этаже в части здания МТЦ "Аура"</t>
  </si>
  <si>
    <t>ЮЛ770100439200140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</si>
</sst>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ont>
    <font>
      <sz val="11"/>
      <color theme="7"/>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
    <xf numFmtId="0" fontId="0" fillId="0" borderId="0" xfId="0"/>
    <xf numFmtId="0" fontId="1" fillId="0" borderId="1" xfId="0" applyFont="1" applyBorder="1" applyAlignment="1">
      <alignment horizontal="center" vertical="top"/>
    </xf>
    <xf numFmtId="0" fontId="2" fillId="0" borderId="0" xfId="0" applyFont="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722"/>
  <sheetViews>
    <sheetView tabSelected="1" workbookViewId="0">
      <selection sqref="A1:G1048576"/>
    </sheetView>
  </sheetViews>
  <sheetFormatPr defaultRowHeight="15" x14ac:dyDescent="0.25"/>
  <cols>
    <col min="1" max="1" width="46.42578125" bestFit="1" customWidth="1"/>
    <col min="2" max="2" width="255.7109375" bestFit="1" customWidth="1"/>
    <col min="3" max="3" width="222.85546875" bestFit="1" customWidth="1"/>
    <col min="4" max="4" width="13.140625" bestFit="1" customWidth="1"/>
    <col min="5" max="5" width="22" bestFit="1" customWidth="1"/>
    <col min="6" max="6" width="19.42578125" bestFit="1" customWidth="1"/>
    <col min="7" max="7" width="40.85546875" bestFit="1" customWidth="1"/>
  </cols>
  <sheetData>
    <row r="1" spans="1:7" x14ac:dyDescent="0.25">
      <c r="A1" s="1" t="s">
        <v>0</v>
      </c>
      <c r="B1" s="1" t="s">
        <v>1</v>
      </c>
      <c r="C1" s="1" t="s">
        <v>2</v>
      </c>
      <c r="D1" s="1" t="s">
        <v>3</v>
      </c>
      <c r="E1" s="1" t="s">
        <v>4</v>
      </c>
      <c r="F1" s="1" t="s">
        <v>5</v>
      </c>
      <c r="G1" s="1" t="s">
        <v>6</v>
      </c>
    </row>
    <row r="2" spans="1:7" x14ac:dyDescent="0.25">
      <c r="A2" t="s">
        <v>7</v>
      </c>
      <c r="B2" t="s">
        <v>8</v>
      </c>
      <c r="C2" t="s">
        <v>9</v>
      </c>
      <c r="D2" t="s">
        <v>10</v>
      </c>
      <c r="E2" t="s">
        <v>11</v>
      </c>
      <c r="F2" t="s">
        <v>12</v>
      </c>
      <c r="G2" s="2" t="str">
        <f>HYPERLINK("https://probpalata.gov.ru/files/ИП230403581200000.jpeg","Скачать индивидуальный QR-код магазина")</f>
        <v>Скачать индивидуальный QR-код магазина</v>
      </c>
    </row>
    <row r="3" spans="1:7" x14ac:dyDescent="0.25">
      <c r="A3" t="s">
        <v>7</v>
      </c>
      <c r="B3" t="s">
        <v>13</v>
      </c>
      <c r="C3" t="s">
        <v>9</v>
      </c>
      <c r="D3" t="s">
        <v>10</v>
      </c>
      <c r="E3" t="s">
        <v>11</v>
      </c>
      <c r="F3" t="s">
        <v>14</v>
      </c>
      <c r="G3" s="2" t="str">
        <f>HYPERLINK("https://probpalata.gov.ru/files/ИП230403581200001.jpeg","Скачать индивидуальный QR-код магазина")</f>
        <v>Скачать индивидуальный QR-код магазина</v>
      </c>
    </row>
    <row r="4" spans="1:7" x14ac:dyDescent="0.25">
      <c r="A4" t="s">
        <v>7</v>
      </c>
      <c r="B4" t="s">
        <v>15</v>
      </c>
      <c r="C4" t="s">
        <v>16</v>
      </c>
      <c r="D4" t="s">
        <v>17</v>
      </c>
      <c r="E4" t="s">
        <v>18</v>
      </c>
      <c r="F4" t="s">
        <v>19</v>
      </c>
      <c r="G4" s="2" t="str">
        <f>HYPERLINK("https://probpalata.gov.ru/files/ИП220801395700000.jpeg","Скачать индивидуальный QR-код магазина")</f>
        <v>Скачать индивидуальный QR-код магазина</v>
      </c>
    </row>
    <row r="5" spans="1:7" x14ac:dyDescent="0.25">
      <c r="A5" t="s">
        <v>7</v>
      </c>
      <c r="B5" t="s">
        <v>20</v>
      </c>
      <c r="C5" t="s">
        <v>16</v>
      </c>
      <c r="D5" t="s">
        <v>17</v>
      </c>
      <c r="E5" t="s">
        <v>18</v>
      </c>
      <c r="F5" t="s">
        <v>21</v>
      </c>
      <c r="G5" s="2" t="str">
        <f>HYPERLINK("https://probpalata.gov.ru/files/ИП220801395700001.jpeg","Скачать индивидуальный QR-код магазина")</f>
        <v>Скачать индивидуальный QR-код магазина</v>
      </c>
    </row>
    <row r="6" spans="1:7" x14ac:dyDescent="0.25">
      <c r="A6" t="s">
        <v>7</v>
      </c>
      <c r="B6" t="s">
        <v>22</v>
      </c>
      <c r="C6" t="s">
        <v>16</v>
      </c>
      <c r="D6" t="s">
        <v>17</v>
      </c>
      <c r="E6" t="s">
        <v>18</v>
      </c>
      <c r="F6" t="s">
        <v>23</v>
      </c>
      <c r="G6" s="2" t="str">
        <f>HYPERLINK("https://probpalata.gov.ru/files/ИП220801395700002.jpeg","Скачать индивидуальный QR-код магазина")</f>
        <v>Скачать индивидуальный QR-код магазина</v>
      </c>
    </row>
    <row r="7" spans="1:7" x14ac:dyDescent="0.25">
      <c r="A7" t="s">
        <v>7</v>
      </c>
      <c r="B7" t="s">
        <v>24</v>
      </c>
      <c r="C7" t="s">
        <v>16</v>
      </c>
      <c r="D7" t="s">
        <v>17</v>
      </c>
      <c r="E7" t="s">
        <v>18</v>
      </c>
      <c r="F7" t="s">
        <v>25</v>
      </c>
      <c r="G7" s="2" t="str">
        <f>HYPERLINK("https://probpalata.gov.ru/files/ИП220801395700003.jpeg","Скачать индивидуальный QR-код магазина")</f>
        <v>Скачать индивидуальный QR-код магазина</v>
      </c>
    </row>
    <row r="8" spans="1:7" x14ac:dyDescent="0.25">
      <c r="A8" t="s">
        <v>7</v>
      </c>
      <c r="B8" t="s">
        <v>26</v>
      </c>
      <c r="C8" t="s">
        <v>16</v>
      </c>
      <c r="D8" t="s">
        <v>17</v>
      </c>
      <c r="E8" t="s">
        <v>18</v>
      </c>
      <c r="F8" t="s">
        <v>27</v>
      </c>
      <c r="G8" s="2" t="str">
        <f>HYPERLINK("https://probpalata.gov.ru/files/ИП220801395700004.jpeg","Скачать индивидуальный QR-код магазина")</f>
        <v>Скачать индивидуальный QR-код магазина</v>
      </c>
    </row>
    <row r="9" spans="1:7" x14ac:dyDescent="0.25">
      <c r="A9" t="s">
        <v>7</v>
      </c>
      <c r="B9" t="s">
        <v>28</v>
      </c>
      <c r="C9" t="s">
        <v>16</v>
      </c>
      <c r="D9" t="s">
        <v>17</v>
      </c>
      <c r="E9" t="s">
        <v>18</v>
      </c>
      <c r="F9" t="s">
        <v>29</v>
      </c>
      <c r="G9" s="2" t="str">
        <f>HYPERLINK("https://probpalata.gov.ru/files/ИП220801395700005.jpeg","Скачать индивидуальный QR-код магазина")</f>
        <v>Скачать индивидуальный QR-код магазина</v>
      </c>
    </row>
    <row r="10" spans="1:7" x14ac:dyDescent="0.25">
      <c r="A10" t="s">
        <v>7</v>
      </c>
      <c r="B10" t="s">
        <v>30</v>
      </c>
      <c r="C10" t="s">
        <v>31</v>
      </c>
      <c r="D10" t="s">
        <v>32</v>
      </c>
      <c r="E10" t="s">
        <v>33</v>
      </c>
      <c r="F10" t="s">
        <v>34</v>
      </c>
      <c r="G10" s="2" t="str">
        <f>HYPERLINK("https://probpalata.gov.ru/files/ИП220801164500000.jpeg","Скачать индивидуальный QR-код магазина")</f>
        <v>Скачать индивидуальный QR-код магазина</v>
      </c>
    </row>
    <row r="11" spans="1:7" x14ac:dyDescent="0.25">
      <c r="A11" t="s">
        <v>7</v>
      </c>
      <c r="B11" t="s">
        <v>35</v>
      </c>
      <c r="C11" t="s">
        <v>31</v>
      </c>
      <c r="D11" t="s">
        <v>32</v>
      </c>
      <c r="E11" t="s">
        <v>33</v>
      </c>
      <c r="F11" t="s">
        <v>36</v>
      </c>
      <c r="G11" s="2" t="str">
        <f>HYPERLINK("https://probpalata.gov.ru/files/ИП220801164500001.jpeg","Скачать индивидуальный QR-код магазина")</f>
        <v>Скачать индивидуальный QR-код магазина</v>
      </c>
    </row>
    <row r="12" spans="1:7" x14ac:dyDescent="0.25">
      <c r="A12" t="s">
        <v>7</v>
      </c>
      <c r="B12" t="s">
        <v>37</v>
      </c>
      <c r="C12" t="s">
        <v>31</v>
      </c>
      <c r="D12" t="s">
        <v>32</v>
      </c>
      <c r="E12" t="s">
        <v>33</v>
      </c>
      <c r="F12" t="s">
        <v>38</v>
      </c>
      <c r="G12" s="2" t="str">
        <f>HYPERLINK("https://probpalata.gov.ru/files/ИП220801164500004.jpeg","Скачать индивидуальный QR-код магазина")</f>
        <v>Скачать индивидуальный QR-код магазина</v>
      </c>
    </row>
    <row r="13" spans="1:7" x14ac:dyDescent="0.25">
      <c r="A13" t="s">
        <v>7</v>
      </c>
      <c r="B13" t="s">
        <v>39</v>
      </c>
      <c r="C13" t="s">
        <v>40</v>
      </c>
      <c r="D13" t="s">
        <v>41</v>
      </c>
      <c r="E13" t="s">
        <v>42</v>
      </c>
      <c r="F13" t="s">
        <v>43</v>
      </c>
      <c r="G13" s="2" t="str">
        <f>HYPERLINK("https://probpalata.gov.ru/files/ИП220801679200000.jpeg","Скачать индивидуальный QR-код магазина")</f>
        <v>Скачать индивидуальный QR-код магазина</v>
      </c>
    </row>
    <row r="14" spans="1:7" x14ac:dyDescent="0.25">
      <c r="A14" t="s">
        <v>7</v>
      </c>
      <c r="B14" t="s">
        <v>44</v>
      </c>
      <c r="C14" t="s">
        <v>45</v>
      </c>
      <c r="D14" t="s">
        <v>46</v>
      </c>
      <c r="E14" t="s">
        <v>47</v>
      </c>
      <c r="F14" t="s">
        <v>48</v>
      </c>
      <c r="G14" s="2" t="str">
        <f>HYPERLINK("https://probpalata.gov.ru/files/ИП220801194300000.jpeg","Скачать индивидуальный QR-код магазина")</f>
        <v>Скачать индивидуальный QR-код магазина</v>
      </c>
    </row>
    <row r="15" spans="1:7" x14ac:dyDescent="0.25">
      <c r="A15" t="s">
        <v>7</v>
      </c>
      <c r="B15" t="s">
        <v>49</v>
      </c>
      <c r="C15" t="s">
        <v>45</v>
      </c>
      <c r="D15" t="s">
        <v>46</v>
      </c>
      <c r="E15" t="s">
        <v>47</v>
      </c>
      <c r="F15" t="s">
        <v>50</v>
      </c>
      <c r="G15" s="2" t="str">
        <f>HYPERLINK("https://probpalata.gov.ru/files/ИП220801194300002.jpeg","Скачать индивидуальный QR-код магазина")</f>
        <v>Скачать индивидуальный QR-код магазина</v>
      </c>
    </row>
    <row r="16" spans="1:7" x14ac:dyDescent="0.25">
      <c r="A16" t="s">
        <v>7</v>
      </c>
      <c r="B16" t="s">
        <v>51</v>
      </c>
      <c r="C16" t="s">
        <v>52</v>
      </c>
      <c r="D16" t="s">
        <v>53</v>
      </c>
      <c r="E16" t="s">
        <v>54</v>
      </c>
      <c r="F16" t="s">
        <v>55</v>
      </c>
      <c r="G16" s="2" t="str">
        <f>HYPERLINK("https://probpalata.gov.ru/files/ИП220800907400000.jpeg","Скачать индивидуальный QR-код магазина")</f>
        <v>Скачать индивидуальный QR-код магазина</v>
      </c>
    </row>
    <row r="17" spans="1:7" x14ac:dyDescent="0.25">
      <c r="A17" t="s">
        <v>7</v>
      </c>
      <c r="B17" t="s">
        <v>56</v>
      </c>
      <c r="C17" t="s">
        <v>52</v>
      </c>
      <c r="D17" t="s">
        <v>53</v>
      </c>
      <c r="E17" t="s">
        <v>54</v>
      </c>
      <c r="F17" t="s">
        <v>57</v>
      </c>
      <c r="G17" s="2" t="str">
        <f>HYPERLINK("https://probpalata.gov.ru/files/ИП220800907400004.jpeg","Скачать индивидуальный QR-код магазина")</f>
        <v>Скачать индивидуальный QR-код магазина</v>
      </c>
    </row>
    <row r="18" spans="1:7" x14ac:dyDescent="0.25">
      <c r="A18" t="s">
        <v>7</v>
      </c>
      <c r="B18" t="s">
        <v>58</v>
      </c>
      <c r="C18" t="s">
        <v>59</v>
      </c>
      <c r="D18" t="s">
        <v>60</v>
      </c>
      <c r="E18" t="s">
        <v>61</v>
      </c>
      <c r="F18" t="s">
        <v>62</v>
      </c>
      <c r="G18" s="2" t="str">
        <f>HYPERLINK("https://probpalata.gov.ru/files/ЮЛ220803643800001.jpeg","Скачать индивидуальный QR-код магазина")</f>
        <v>Скачать индивидуальный QR-код магазина</v>
      </c>
    </row>
    <row r="19" spans="1:7" x14ac:dyDescent="0.25">
      <c r="A19" t="s">
        <v>7</v>
      </c>
      <c r="B19" t="s">
        <v>63</v>
      </c>
      <c r="C19" t="s">
        <v>59</v>
      </c>
      <c r="D19" t="s">
        <v>60</v>
      </c>
      <c r="E19" t="s">
        <v>61</v>
      </c>
      <c r="F19" t="s">
        <v>64</v>
      </c>
      <c r="G19" s="2" t="str">
        <f>HYPERLINK("https://probpalata.gov.ru/files/ЮЛ220803643800002.jpeg","Скачать индивидуальный QR-код магазина")</f>
        <v>Скачать индивидуальный QR-код магазина</v>
      </c>
    </row>
    <row r="20" spans="1:7" x14ac:dyDescent="0.25">
      <c r="A20" t="s">
        <v>7</v>
      </c>
      <c r="B20" t="s">
        <v>65</v>
      </c>
      <c r="C20" t="s">
        <v>59</v>
      </c>
      <c r="D20" t="s">
        <v>60</v>
      </c>
      <c r="E20" t="s">
        <v>61</v>
      </c>
      <c r="F20" t="s">
        <v>66</v>
      </c>
      <c r="G20" s="2" t="str">
        <f>HYPERLINK("https://probpalata.gov.ru/files/ЮЛ220803643800003.jpeg","Скачать индивидуальный QR-код магазина")</f>
        <v>Скачать индивидуальный QR-код магазина</v>
      </c>
    </row>
    <row r="21" spans="1:7" x14ac:dyDescent="0.25">
      <c r="A21" t="s">
        <v>7</v>
      </c>
      <c r="B21" t="s">
        <v>67</v>
      </c>
      <c r="C21" t="s">
        <v>59</v>
      </c>
      <c r="D21" t="s">
        <v>60</v>
      </c>
      <c r="E21" t="s">
        <v>61</v>
      </c>
      <c r="F21" t="s">
        <v>68</v>
      </c>
      <c r="G21" s="2" t="str">
        <f>HYPERLINK("https://probpalata.gov.ru/files/ЮЛ220803643800004.jpeg","Скачать индивидуальный QR-код магазина")</f>
        <v>Скачать индивидуальный QR-код магазина</v>
      </c>
    </row>
    <row r="22" spans="1:7" x14ac:dyDescent="0.25">
      <c r="A22" t="s">
        <v>7</v>
      </c>
      <c r="B22" t="s">
        <v>69</v>
      </c>
      <c r="C22" t="s">
        <v>70</v>
      </c>
      <c r="D22" t="s">
        <v>71</v>
      </c>
      <c r="E22" t="s">
        <v>72</v>
      </c>
      <c r="F22" t="s">
        <v>73</v>
      </c>
      <c r="G22" s="2" t="str">
        <f>HYPERLINK("https://probpalata.gov.ru/files/ЮЛ220801526100000.jpeg","Скачать индивидуальный QR-код магазина")</f>
        <v>Скачать индивидуальный QR-код магазина</v>
      </c>
    </row>
    <row r="23" spans="1:7" x14ac:dyDescent="0.25">
      <c r="A23" t="s">
        <v>7</v>
      </c>
      <c r="B23" t="s">
        <v>74</v>
      </c>
      <c r="C23" t="s">
        <v>70</v>
      </c>
      <c r="D23" t="s">
        <v>71</v>
      </c>
      <c r="E23" t="s">
        <v>72</v>
      </c>
      <c r="F23" t="s">
        <v>75</v>
      </c>
      <c r="G23" s="2" t="str">
        <f>HYPERLINK("https://probpalata.gov.ru/files/ЮЛ220801526100001.jpeg","Скачать индивидуальный QR-код магазина")</f>
        <v>Скачать индивидуальный QR-код магазина</v>
      </c>
    </row>
    <row r="24" spans="1:7" x14ac:dyDescent="0.25">
      <c r="A24" t="s">
        <v>7</v>
      </c>
      <c r="B24" t="s">
        <v>76</v>
      </c>
      <c r="C24" t="s">
        <v>70</v>
      </c>
      <c r="D24" t="s">
        <v>71</v>
      </c>
      <c r="E24" t="s">
        <v>72</v>
      </c>
      <c r="F24" t="s">
        <v>77</v>
      </c>
      <c r="G24" s="2" t="str">
        <f>HYPERLINK("https://probpalata.gov.ru/files/ЮЛ220801526100002.jpeg","Скачать индивидуальный QR-код магазина")</f>
        <v>Скачать индивидуальный QR-код магазина</v>
      </c>
    </row>
    <row r="25" spans="1:7" x14ac:dyDescent="0.25">
      <c r="A25" t="s">
        <v>7</v>
      </c>
      <c r="B25" t="s">
        <v>78</v>
      </c>
      <c r="C25" t="s">
        <v>79</v>
      </c>
      <c r="D25" t="s">
        <v>80</v>
      </c>
      <c r="E25" t="s">
        <v>81</v>
      </c>
      <c r="F25" t="s">
        <v>82</v>
      </c>
      <c r="G25" s="2" t="str">
        <f>HYPERLINK("https://probpalata.gov.ru/files/ИП220801408800000.jpeg","Скачать индивидуальный QR-код магазина")</f>
        <v>Скачать индивидуальный QR-код магазина</v>
      </c>
    </row>
    <row r="26" spans="1:7" x14ac:dyDescent="0.25">
      <c r="A26" t="s">
        <v>7</v>
      </c>
      <c r="B26" t="s">
        <v>83</v>
      </c>
      <c r="C26" t="s">
        <v>84</v>
      </c>
      <c r="D26" t="s">
        <v>85</v>
      </c>
      <c r="E26" t="s">
        <v>86</v>
      </c>
      <c r="F26" t="s">
        <v>87</v>
      </c>
      <c r="G26" s="2" t="str">
        <f>HYPERLINK("https://probpalata.gov.ru/files/ИП220801161600000.jpeg","Скачать индивидуальный QR-код магазина")</f>
        <v>Скачать индивидуальный QR-код магазина</v>
      </c>
    </row>
    <row r="27" spans="1:7" x14ac:dyDescent="0.25">
      <c r="A27" t="s">
        <v>7</v>
      </c>
      <c r="B27" t="s">
        <v>88</v>
      </c>
      <c r="C27" t="s">
        <v>84</v>
      </c>
      <c r="D27" t="s">
        <v>85</v>
      </c>
      <c r="E27" t="s">
        <v>86</v>
      </c>
      <c r="F27" t="s">
        <v>89</v>
      </c>
      <c r="G27" s="2" t="str">
        <f>HYPERLINK("https://probpalata.gov.ru/files/ИП220801161600001.jpeg","Скачать индивидуальный QR-код магазина")</f>
        <v>Скачать индивидуальный QR-код магазина</v>
      </c>
    </row>
    <row r="28" spans="1:7" x14ac:dyDescent="0.25">
      <c r="A28" t="s">
        <v>7</v>
      </c>
      <c r="B28" t="s">
        <v>90</v>
      </c>
      <c r="C28" t="s">
        <v>84</v>
      </c>
      <c r="D28" t="s">
        <v>85</v>
      </c>
      <c r="E28" t="s">
        <v>86</v>
      </c>
      <c r="F28" t="s">
        <v>91</v>
      </c>
      <c r="G28" s="2" t="str">
        <f>HYPERLINK("https://probpalata.gov.ru/files/ИП220801161600002.jpeg","Скачать индивидуальный QR-код магазина")</f>
        <v>Скачать индивидуальный QR-код магазина</v>
      </c>
    </row>
    <row r="29" spans="1:7" x14ac:dyDescent="0.25">
      <c r="A29" t="s">
        <v>7</v>
      </c>
      <c r="B29" t="s">
        <v>92</v>
      </c>
      <c r="C29" t="s">
        <v>93</v>
      </c>
      <c r="D29" t="s">
        <v>94</v>
      </c>
      <c r="E29" t="s">
        <v>95</v>
      </c>
      <c r="F29" t="s">
        <v>96</v>
      </c>
      <c r="G29" s="2" t="str">
        <f>HYPERLINK("https://probpalata.gov.ru/files/ИП220801480400000.jpeg","Скачать индивидуальный QR-код магазина")</f>
        <v>Скачать индивидуальный QR-код магазина</v>
      </c>
    </row>
    <row r="30" spans="1:7" x14ac:dyDescent="0.25">
      <c r="A30" t="s">
        <v>7</v>
      </c>
      <c r="B30" t="s">
        <v>97</v>
      </c>
      <c r="C30" t="s">
        <v>98</v>
      </c>
      <c r="D30" t="s">
        <v>99</v>
      </c>
      <c r="E30" t="s">
        <v>100</v>
      </c>
      <c r="F30" t="s">
        <v>101</v>
      </c>
      <c r="G30" s="2" t="str">
        <f>HYPERLINK("https://probpalata.gov.ru/files/ИП220803610000000.jpeg","Скачать индивидуальный QR-код магазина")</f>
        <v>Скачать индивидуальный QR-код магазина</v>
      </c>
    </row>
    <row r="31" spans="1:7" x14ac:dyDescent="0.25">
      <c r="A31" t="s">
        <v>7</v>
      </c>
      <c r="B31" t="s">
        <v>102</v>
      </c>
      <c r="C31" t="s">
        <v>98</v>
      </c>
      <c r="D31" t="s">
        <v>99</v>
      </c>
      <c r="E31" t="s">
        <v>100</v>
      </c>
      <c r="F31" t="s">
        <v>103</v>
      </c>
      <c r="G31" s="2" t="str">
        <f>HYPERLINK("https://probpalata.gov.ru/files/ИП220803610000001.jpeg","Скачать индивидуальный QR-код магазина")</f>
        <v>Скачать индивидуальный QR-код магазина</v>
      </c>
    </row>
    <row r="32" spans="1:7" x14ac:dyDescent="0.25">
      <c r="A32" t="s">
        <v>7</v>
      </c>
      <c r="B32" t="s">
        <v>104</v>
      </c>
      <c r="C32" t="s">
        <v>105</v>
      </c>
      <c r="D32" t="s">
        <v>106</v>
      </c>
      <c r="E32" t="s">
        <v>107</v>
      </c>
      <c r="F32" t="s">
        <v>108</v>
      </c>
      <c r="G32" s="2" t="str">
        <f>HYPERLINK("https://probpalata.gov.ru/files/ИП220801443700000.jpeg","Скачать индивидуальный QR-код магазина")</f>
        <v>Скачать индивидуальный QR-код магазина</v>
      </c>
    </row>
    <row r="33" spans="1:7" x14ac:dyDescent="0.25">
      <c r="A33" t="s">
        <v>7</v>
      </c>
      <c r="B33" t="s">
        <v>109</v>
      </c>
      <c r="C33" t="s">
        <v>110</v>
      </c>
      <c r="D33" t="s">
        <v>111</v>
      </c>
      <c r="E33" t="s">
        <v>112</v>
      </c>
      <c r="F33" t="s">
        <v>113</v>
      </c>
      <c r="G33" s="2" t="str">
        <f>HYPERLINK("https://probpalata.gov.ru/files/ИП780301272200000.jpeg","Скачать индивидуальный QR-код магазина")</f>
        <v>Скачать индивидуальный QR-код магазина</v>
      </c>
    </row>
    <row r="34" spans="1:7" x14ac:dyDescent="0.25">
      <c r="A34" t="s">
        <v>7</v>
      </c>
      <c r="B34" t="s">
        <v>114</v>
      </c>
      <c r="C34" t="s">
        <v>110</v>
      </c>
      <c r="D34" t="s">
        <v>111</v>
      </c>
      <c r="E34" t="s">
        <v>112</v>
      </c>
      <c r="F34" t="s">
        <v>115</v>
      </c>
      <c r="G34" s="2" t="str">
        <f>HYPERLINK("https://probpalata.gov.ru/files/ИП780301272200001.jpeg","Скачать индивидуальный QR-код магазина")</f>
        <v>Скачать индивидуальный QR-код магазина</v>
      </c>
    </row>
    <row r="35" spans="1:7" x14ac:dyDescent="0.25">
      <c r="A35" t="s">
        <v>7</v>
      </c>
      <c r="B35" t="s">
        <v>116</v>
      </c>
      <c r="C35" t="s">
        <v>117</v>
      </c>
      <c r="D35" t="s">
        <v>118</v>
      </c>
      <c r="E35" t="s">
        <v>119</v>
      </c>
      <c r="F35" t="s">
        <v>120</v>
      </c>
      <c r="G35" s="2" t="str">
        <f>HYPERLINK("https://probpalata.gov.ru/files/ИП220800512600000.jpeg","Скачать индивидуальный QR-код магазина")</f>
        <v>Скачать индивидуальный QR-код магазина</v>
      </c>
    </row>
    <row r="36" spans="1:7" x14ac:dyDescent="0.25">
      <c r="A36" t="s">
        <v>7</v>
      </c>
      <c r="B36" t="s">
        <v>121</v>
      </c>
      <c r="C36" t="s">
        <v>117</v>
      </c>
      <c r="D36" t="s">
        <v>118</v>
      </c>
      <c r="E36" t="s">
        <v>119</v>
      </c>
      <c r="F36" t="s">
        <v>122</v>
      </c>
      <c r="G36" s="2" t="str">
        <f>HYPERLINK("https://probpalata.gov.ru/files/ИП220800512600001.jpeg","Скачать индивидуальный QR-код магазина")</f>
        <v>Скачать индивидуальный QR-код магазина</v>
      </c>
    </row>
    <row r="37" spans="1:7" x14ac:dyDescent="0.25">
      <c r="A37" t="s">
        <v>7</v>
      </c>
      <c r="B37" t="s">
        <v>123</v>
      </c>
      <c r="C37" t="s">
        <v>117</v>
      </c>
      <c r="D37" t="s">
        <v>118</v>
      </c>
      <c r="E37" t="s">
        <v>119</v>
      </c>
      <c r="F37" t="s">
        <v>124</v>
      </c>
      <c r="G37" s="2" t="str">
        <f>HYPERLINK("https://probpalata.gov.ru/files/ИП220800512600002.jpeg","Скачать индивидуальный QR-код магазина")</f>
        <v>Скачать индивидуальный QR-код магазина</v>
      </c>
    </row>
    <row r="38" spans="1:7" x14ac:dyDescent="0.25">
      <c r="A38" t="s">
        <v>7</v>
      </c>
      <c r="B38" t="s">
        <v>125</v>
      </c>
      <c r="C38" t="s">
        <v>117</v>
      </c>
      <c r="D38" t="s">
        <v>118</v>
      </c>
      <c r="E38" t="s">
        <v>119</v>
      </c>
      <c r="F38" t="s">
        <v>126</v>
      </c>
      <c r="G38" s="2" t="str">
        <f>HYPERLINK("https://probpalata.gov.ru/files/ИП220800512600003.jpeg","Скачать индивидуальный QR-код магазина")</f>
        <v>Скачать индивидуальный QR-код магазина</v>
      </c>
    </row>
    <row r="39" spans="1:7" x14ac:dyDescent="0.25">
      <c r="A39" t="s">
        <v>7</v>
      </c>
      <c r="B39" t="s">
        <v>127</v>
      </c>
      <c r="C39" t="s">
        <v>128</v>
      </c>
      <c r="D39" t="s">
        <v>129</v>
      </c>
      <c r="E39" t="s">
        <v>130</v>
      </c>
      <c r="F39" t="s">
        <v>131</v>
      </c>
      <c r="G39" s="2" t="str">
        <f>HYPERLINK("https://probpalata.gov.ru/files/ИП220801834500000.jpeg","Скачать индивидуальный QR-код магазина")</f>
        <v>Скачать индивидуальный QR-код магазина</v>
      </c>
    </row>
    <row r="40" spans="1:7" x14ac:dyDescent="0.25">
      <c r="A40" t="s">
        <v>7</v>
      </c>
      <c r="B40" t="s">
        <v>132</v>
      </c>
      <c r="C40" t="s">
        <v>133</v>
      </c>
      <c r="D40" t="s">
        <v>134</v>
      </c>
      <c r="E40" t="s">
        <v>135</v>
      </c>
      <c r="F40" t="s">
        <v>136</v>
      </c>
      <c r="G40" s="2" t="str">
        <f>HYPERLINK("https://probpalata.gov.ru/files/ИП220800603700000.jpeg","Скачать индивидуальный QR-код магазина")</f>
        <v>Скачать индивидуальный QR-код магазина</v>
      </c>
    </row>
    <row r="41" spans="1:7" x14ac:dyDescent="0.25">
      <c r="A41" t="s">
        <v>7</v>
      </c>
      <c r="B41" t="s">
        <v>137</v>
      </c>
      <c r="C41" t="s">
        <v>138</v>
      </c>
      <c r="D41" t="s">
        <v>139</v>
      </c>
      <c r="E41" t="s">
        <v>140</v>
      </c>
      <c r="F41" t="s">
        <v>141</v>
      </c>
      <c r="G41" s="2" t="str">
        <f>HYPERLINK("https://probpalata.gov.ru/files/ИП220801269500000.jpeg","Скачать индивидуальный QR-код магазина")</f>
        <v>Скачать индивидуальный QR-код магазина</v>
      </c>
    </row>
    <row r="42" spans="1:7" x14ac:dyDescent="0.25">
      <c r="A42" t="s">
        <v>7</v>
      </c>
      <c r="B42" t="s">
        <v>142</v>
      </c>
      <c r="C42" t="s">
        <v>143</v>
      </c>
      <c r="D42" t="s">
        <v>144</v>
      </c>
      <c r="E42" t="s">
        <v>145</v>
      </c>
      <c r="F42" t="s">
        <v>146</v>
      </c>
      <c r="G42" s="2" t="str">
        <f>HYPERLINK("https://probpalata.gov.ru/files/ИП220800581200000.jpeg","Скачать индивидуальный QR-код магазина")</f>
        <v>Скачать индивидуальный QR-код магазина</v>
      </c>
    </row>
    <row r="43" spans="1:7" x14ac:dyDescent="0.25">
      <c r="A43" t="s">
        <v>7</v>
      </c>
      <c r="B43" t="s">
        <v>147</v>
      </c>
      <c r="C43" t="s">
        <v>148</v>
      </c>
      <c r="D43" t="s">
        <v>149</v>
      </c>
      <c r="E43" t="s">
        <v>150</v>
      </c>
      <c r="F43" t="s">
        <v>151</v>
      </c>
      <c r="G43" s="2" t="str">
        <f>HYPERLINK("https://probpalata.gov.ru/files/ИП220801688800000.jpeg","Скачать индивидуальный QR-код магазина")</f>
        <v>Скачать индивидуальный QR-код магазина</v>
      </c>
    </row>
    <row r="44" spans="1:7" x14ac:dyDescent="0.25">
      <c r="A44" t="s">
        <v>7</v>
      </c>
      <c r="B44" t="s">
        <v>152</v>
      </c>
      <c r="C44" t="s">
        <v>153</v>
      </c>
      <c r="D44" t="s">
        <v>154</v>
      </c>
      <c r="E44" t="s">
        <v>155</v>
      </c>
      <c r="F44" t="s">
        <v>156</v>
      </c>
      <c r="G44" s="2" t="str">
        <f>HYPERLINK("https://probpalata.gov.ru/files/ИП220801689200000.jpeg","Скачать индивидуальный QR-код магазина")</f>
        <v>Скачать индивидуальный QR-код магазина</v>
      </c>
    </row>
    <row r="45" spans="1:7" x14ac:dyDescent="0.25">
      <c r="A45" t="s">
        <v>7</v>
      </c>
      <c r="B45" t="s">
        <v>157</v>
      </c>
      <c r="C45" t="s">
        <v>158</v>
      </c>
      <c r="D45" t="s">
        <v>159</v>
      </c>
      <c r="E45" t="s">
        <v>160</v>
      </c>
      <c r="F45" t="s">
        <v>161</v>
      </c>
      <c r="G45" s="2" t="str">
        <f>HYPERLINK("https://probpalata.gov.ru/files/ИП220801163600000.jpeg","Скачать индивидуальный QR-код магазина")</f>
        <v>Скачать индивидуальный QR-код магазина</v>
      </c>
    </row>
    <row r="46" spans="1:7" x14ac:dyDescent="0.25">
      <c r="A46" t="s">
        <v>7</v>
      </c>
      <c r="B46" t="s">
        <v>162</v>
      </c>
      <c r="C46" t="s">
        <v>163</v>
      </c>
      <c r="D46" t="s">
        <v>164</v>
      </c>
      <c r="E46" t="s">
        <v>165</v>
      </c>
      <c r="F46" t="s">
        <v>166</v>
      </c>
      <c r="G46" s="2" t="str">
        <f>HYPERLINK("https://probpalata.gov.ru/files/ЮЛ220801591900000.jpeg","Скачать индивидуальный QR-код магазина")</f>
        <v>Скачать индивидуальный QR-код магазина</v>
      </c>
    </row>
    <row r="47" spans="1:7" x14ac:dyDescent="0.25">
      <c r="A47" t="s">
        <v>7</v>
      </c>
      <c r="B47" t="s">
        <v>167</v>
      </c>
      <c r="C47" t="s">
        <v>168</v>
      </c>
      <c r="D47" t="s">
        <v>169</v>
      </c>
      <c r="E47" t="s">
        <v>170</v>
      </c>
      <c r="F47" t="s">
        <v>171</v>
      </c>
      <c r="G47" s="2" t="str">
        <f>HYPERLINK("https://probpalata.gov.ru/files/ИП540803193200000.jpeg","Скачать индивидуальный QR-код магазина")</f>
        <v>Скачать индивидуальный QR-код магазина</v>
      </c>
    </row>
    <row r="48" spans="1:7" x14ac:dyDescent="0.25">
      <c r="A48" t="s">
        <v>7</v>
      </c>
      <c r="B48" t="s">
        <v>172</v>
      </c>
      <c r="C48" t="s">
        <v>173</v>
      </c>
      <c r="D48" t="s">
        <v>174</v>
      </c>
      <c r="E48" t="s">
        <v>175</v>
      </c>
      <c r="F48" t="s">
        <v>176</v>
      </c>
      <c r="G48" s="2" t="str">
        <f>HYPERLINK("https://probpalata.gov.ru/files/ИП220803278900000.jpeg","Скачать индивидуальный QR-код магазина")</f>
        <v>Скачать индивидуальный QR-код магазина</v>
      </c>
    </row>
    <row r="49" spans="1:7" x14ac:dyDescent="0.25">
      <c r="A49" t="s">
        <v>7</v>
      </c>
      <c r="B49" t="s">
        <v>177</v>
      </c>
      <c r="C49" t="s">
        <v>178</v>
      </c>
      <c r="D49" t="s">
        <v>179</v>
      </c>
      <c r="E49" t="s">
        <v>180</v>
      </c>
      <c r="F49" t="s">
        <v>181</v>
      </c>
      <c r="G49" s="2" t="str">
        <f>HYPERLINK("https://probpalata.gov.ru/files/ИП220803205500000.jpeg","Скачать индивидуальный QR-код магазина")</f>
        <v>Скачать индивидуальный QR-код магазина</v>
      </c>
    </row>
    <row r="50" spans="1:7" x14ac:dyDescent="0.25">
      <c r="A50" t="s">
        <v>7</v>
      </c>
      <c r="B50" t="s">
        <v>182</v>
      </c>
      <c r="C50" t="s">
        <v>183</v>
      </c>
      <c r="D50" t="s">
        <v>184</v>
      </c>
      <c r="E50" t="s">
        <v>185</v>
      </c>
      <c r="F50" t="s">
        <v>186</v>
      </c>
      <c r="G50" s="2" t="str">
        <f>HYPERLINK("https://probpalata.gov.ru/files/ИП220804081600000.jpeg","Скачать индивидуальный QR-код магазина")</f>
        <v>Скачать индивидуальный QR-код магазина</v>
      </c>
    </row>
    <row r="51" spans="1:7" x14ac:dyDescent="0.25">
      <c r="A51" t="s">
        <v>7</v>
      </c>
      <c r="B51" t="s">
        <v>187</v>
      </c>
      <c r="C51" t="s">
        <v>188</v>
      </c>
      <c r="D51" t="s">
        <v>189</v>
      </c>
      <c r="E51" t="s">
        <v>190</v>
      </c>
      <c r="F51" t="s">
        <v>191</v>
      </c>
      <c r="G51" s="2" t="str">
        <f>HYPERLINK("https://probpalata.gov.ru/files/ИП220801336700000.jpeg","Скачать индивидуальный QR-код магазина")</f>
        <v>Скачать индивидуальный QR-код магазина</v>
      </c>
    </row>
    <row r="52" spans="1:7" x14ac:dyDescent="0.25">
      <c r="A52" t="s">
        <v>7</v>
      </c>
      <c r="B52" t="s">
        <v>192</v>
      </c>
      <c r="C52" t="s">
        <v>193</v>
      </c>
      <c r="D52" t="s">
        <v>194</v>
      </c>
      <c r="E52" t="s">
        <v>195</v>
      </c>
      <c r="F52" t="s">
        <v>196</v>
      </c>
      <c r="G52" s="2" t="str">
        <f>HYPERLINK("https://probpalata.gov.ru/files/ИП220800845800000.jpeg","Скачать индивидуальный QR-код магазина")</f>
        <v>Скачать индивидуальный QR-код магазина</v>
      </c>
    </row>
    <row r="53" spans="1:7" x14ac:dyDescent="0.25">
      <c r="A53" t="s">
        <v>7</v>
      </c>
      <c r="B53" t="s">
        <v>197</v>
      </c>
      <c r="C53" t="s">
        <v>198</v>
      </c>
      <c r="D53" t="s">
        <v>199</v>
      </c>
      <c r="E53" t="s">
        <v>200</v>
      </c>
      <c r="F53" t="s">
        <v>201</v>
      </c>
      <c r="G53" s="2" t="str">
        <f>HYPERLINK("https://probpalata.gov.ru/files/ИП220801161300000.jpeg","Скачать индивидуальный QR-код магазина")</f>
        <v>Скачать индивидуальный QR-код магазина</v>
      </c>
    </row>
    <row r="54" spans="1:7" x14ac:dyDescent="0.25">
      <c r="A54" t="s">
        <v>7</v>
      </c>
      <c r="B54" t="s">
        <v>202</v>
      </c>
      <c r="C54" t="s">
        <v>198</v>
      </c>
      <c r="D54" t="s">
        <v>199</v>
      </c>
      <c r="E54" t="s">
        <v>200</v>
      </c>
      <c r="F54" t="s">
        <v>203</v>
      </c>
      <c r="G54" s="2" t="str">
        <f>HYPERLINK("https://probpalata.gov.ru/files/ИП220801161300001.jpeg","Скачать индивидуальный QR-код магазина")</f>
        <v>Скачать индивидуальный QR-код магазина</v>
      </c>
    </row>
    <row r="55" spans="1:7" x14ac:dyDescent="0.25">
      <c r="A55" t="s">
        <v>7</v>
      </c>
      <c r="B55" t="s">
        <v>204</v>
      </c>
      <c r="C55" t="s">
        <v>198</v>
      </c>
      <c r="D55" t="s">
        <v>199</v>
      </c>
      <c r="E55" t="s">
        <v>200</v>
      </c>
      <c r="F55" t="s">
        <v>205</v>
      </c>
      <c r="G55" s="2" t="str">
        <f>HYPERLINK("https://probpalata.gov.ru/files/ИП220801161300002.jpeg","Скачать индивидуальный QR-код магазина")</f>
        <v>Скачать индивидуальный QR-код магазина</v>
      </c>
    </row>
    <row r="56" spans="1:7" x14ac:dyDescent="0.25">
      <c r="A56" t="s">
        <v>7</v>
      </c>
      <c r="B56" t="s">
        <v>206</v>
      </c>
      <c r="C56" t="s">
        <v>198</v>
      </c>
      <c r="D56" t="s">
        <v>199</v>
      </c>
      <c r="E56" t="s">
        <v>200</v>
      </c>
      <c r="F56" t="s">
        <v>207</v>
      </c>
      <c r="G56" s="2" t="str">
        <f>HYPERLINK("https://probpalata.gov.ru/files/ИП220801161300003.jpeg","Скачать индивидуальный QR-код магазина")</f>
        <v>Скачать индивидуальный QR-код магазина</v>
      </c>
    </row>
    <row r="57" spans="1:7" x14ac:dyDescent="0.25">
      <c r="A57" t="s">
        <v>7</v>
      </c>
      <c r="B57" t="s">
        <v>208</v>
      </c>
      <c r="C57" t="s">
        <v>209</v>
      </c>
      <c r="D57" t="s">
        <v>210</v>
      </c>
      <c r="E57" t="s">
        <v>211</v>
      </c>
      <c r="F57" t="s">
        <v>212</v>
      </c>
      <c r="G57" s="2" t="str">
        <f>HYPERLINK("https://probpalata.gov.ru/files/ИП220801917400000.jpeg","Скачать индивидуальный QR-код магазина")</f>
        <v>Скачать индивидуальный QR-код магазина</v>
      </c>
    </row>
    <row r="58" spans="1:7" x14ac:dyDescent="0.25">
      <c r="A58" t="s">
        <v>7</v>
      </c>
      <c r="B58" t="s">
        <v>187</v>
      </c>
      <c r="C58" t="s">
        <v>213</v>
      </c>
      <c r="D58" t="s">
        <v>214</v>
      </c>
      <c r="E58" t="s">
        <v>215</v>
      </c>
      <c r="F58" t="s">
        <v>216</v>
      </c>
      <c r="G58" s="2" t="str">
        <f>HYPERLINK("https://probpalata.gov.ru/files/ИП220800685400000.jpeg","Скачать индивидуальный QR-код магазина")</f>
        <v>Скачать индивидуальный QR-код магазина</v>
      </c>
    </row>
    <row r="59" spans="1:7" x14ac:dyDescent="0.25">
      <c r="A59" t="s">
        <v>7</v>
      </c>
      <c r="B59" t="s">
        <v>217</v>
      </c>
      <c r="C59" t="s">
        <v>218</v>
      </c>
      <c r="D59" t="s">
        <v>219</v>
      </c>
      <c r="E59" t="s">
        <v>220</v>
      </c>
      <c r="F59" t="s">
        <v>221</v>
      </c>
      <c r="G59" s="2" t="str">
        <f>HYPERLINK("https://probpalata.gov.ru/files/ИП220801524100000.jpeg","Скачать индивидуальный QR-код магазина")</f>
        <v>Скачать индивидуальный QR-код магазина</v>
      </c>
    </row>
    <row r="60" spans="1:7" x14ac:dyDescent="0.25">
      <c r="A60" t="s">
        <v>7</v>
      </c>
      <c r="B60" t="s">
        <v>222</v>
      </c>
      <c r="C60" t="s">
        <v>223</v>
      </c>
      <c r="D60" t="s">
        <v>224</v>
      </c>
      <c r="E60" t="s">
        <v>225</v>
      </c>
      <c r="F60" t="s">
        <v>226</v>
      </c>
      <c r="G60" s="2" t="str">
        <f>HYPERLINK("https://probpalata.gov.ru/files/ИП220800373400000.jpeg","Скачать индивидуальный QR-код магазина")</f>
        <v>Скачать индивидуальный QR-код магазина</v>
      </c>
    </row>
    <row r="61" spans="1:7" x14ac:dyDescent="0.25">
      <c r="A61" t="s">
        <v>7</v>
      </c>
      <c r="B61" t="s">
        <v>227</v>
      </c>
      <c r="C61" t="s">
        <v>228</v>
      </c>
      <c r="D61" t="s">
        <v>229</v>
      </c>
      <c r="E61" t="s">
        <v>230</v>
      </c>
      <c r="F61" t="s">
        <v>231</v>
      </c>
      <c r="G61" s="2" t="str">
        <f>HYPERLINK("https://probpalata.gov.ru/files/ИП220801739800000.jpeg","Скачать индивидуальный QR-код магазина")</f>
        <v>Скачать индивидуальный QR-код магазина</v>
      </c>
    </row>
    <row r="62" spans="1:7" x14ac:dyDescent="0.25">
      <c r="A62" t="s">
        <v>7</v>
      </c>
      <c r="B62" t="s">
        <v>232</v>
      </c>
      <c r="C62" t="s">
        <v>233</v>
      </c>
      <c r="D62" t="s">
        <v>234</v>
      </c>
      <c r="E62" t="s">
        <v>235</v>
      </c>
      <c r="F62" t="s">
        <v>236</v>
      </c>
      <c r="G62" s="2" t="str">
        <f>HYPERLINK("https://probpalata.gov.ru/files/ИП220800697300001.jpeg","Скачать индивидуальный QR-код магазина")</f>
        <v>Скачать индивидуальный QR-код магазина</v>
      </c>
    </row>
    <row r="63" spans="1:7" x14ac:dyDescent="0.25">
      <c r="A63" t="s">
        <v>7</v>
      </c>
      <c r="B63" t="s">
        <v>237</v>
      </c>
      <c r="C63" t="s">
        <v>233</v>
      </c>
      <c r="D63" t="s">
        <v>234</v>
      </c>
      <c r="E63" t="s">
        <v>235</v>
      </c>
      <c r="F63" t="s">
        <v>238</v>
      </c>
      <c r="G63" s="2" t="str">
        <f>HYPERLINK("https://probpalata.gov.ru/files/ИП220800697300002.jpeg","Скачать индивидуальный QR-код магазина")</f>
        <v>Скачать индивидуальный QR-код магазина</v>
      </c>
    </row>
    <row r="64" spans="1:7" x14ac:dyDescent="0.25">
      <c r="A64" t="s">
        <v>7</v>
      </c>
      <c r="B64" t="s">
        <v>239</v>
      </c>
      <c r="C64" t="s">
        <v>233</v>
      </c>
      <c r="D64" t="s">
        <v>234</v>
      </c>
      <c r="E64" t="s">
        <v>235</v>
      </c>
      <c r="F64" t="s">
        <v>240</v>
      </c>
      <c r="G64" s="2" t="str">
        <f>HYPERLINK("https://probpalata.gov.ru/files/ИП220800697300003.jpeg","Скачать индивидуальный QR-код магазина")</f>
        <v>Скачать индивидуальный QR-код магазина</v>
      </c>
    </row>
    <row r="65" spans="1:7" x14ac:dyDescent="0.25">
      <c r="A65" t="s">
        <v>7</v>
      </c>
      <c r="B65" t="s">
        <v>241</v>
      </c>
      <c r="C65" t="s">
        <v>242</v>
      </c>
      <c r="D65" t="s">
        <v>243</v>
      </c>
      <c r="E65" t="s">
        <v>244</v>
      </c>
      <c r="F65" t="s">
        <v>245</v>
      </c>
      <c r="G65" s="2" t="str">
        <f>HYPERLINK("https://probpalata.gov.ru/files/ИП220800682400000.jpeg","Скачать индивидуальный QR-код магазина")</f>
        <v>Скачать индивидуальный QR-код магазина</v>
      </c>
    </row>
    <row r="66" spans="1:7" x14ac:dyDescent="0.25">
      <c r="A66" t="s">
        <v>7</v>
      </c>
      <c r="B66" t="s">
        <v>246</v>
      </c>
      <c r="C66" t="s">
        <v>247</v>
      </c>
      <c r="D66" t="s">
        <v>248</v>
      </c>
      <c r="E66" t="s">
        <v>249</v>
      </c>
      <c r="F66" t="s">
        <v>250</v>
      </c>
      <c r="G66" s="2" t="str">
        <f>HYPERLINK("https://probpalata.gov.ru/files/ИП220800394100000.jpeg","Скачать индивидуальный QR-код магазина")</f>
        <v>Скачать индивидуальный QR-код магазина</v>
      </c>
    </row>
    <row r="67" spans="1:7" x14ac:dyDescent="0.25">
      <c r="A67" t="s">
        <v>7</v>
      </c>
      <c r="B67" t="s">
        <v>251</v>
      </c>
      <c r="C67" t="s">
        <v>252</v>
      </c>
      <c r="D67" t="s">
        <v>253</v>
      </c>
      <c r="E67" t="s">
        <v>254</v>
      </c>
      <c r="F67" t="s">
        <v>255</v>
      </c>
      <c r="G67" s="2" t="str">
        <f>HYPERLINK("https://probpalata.gov.ru/files/ИП220801475400000.jpeg","Скачать индивидуальный QR-код магазина")</f>
        <v>Скачать индивидуальный QR-код магазина</v>
      </c>
    </row>
    <row r="68" spans="1:7" x14ac:dyDescent="0.25">
      <c r="A68" t="s">
        <v>7</v>
      </c>
      <c r="B68" t="s">
        <v>256</v>
      </c>
      <c r="C68" t="s">
        <v>252</v>
      </c>
      <c r="D68" t="s">
        <v>253</v>
      </c>
      <c r="E68" t="s">
        <v>254</v>
      </c>
      <c r="F68" t="s">
        <v>257</v>
      </c>
      <c r="G68" s="2" t="str">
        <f>HYPERLINK("https://probpalata.gov.ru/files/ИП220801475400001.jpeg","Скачать индивидуальный QR-код магазина")</f>
        <v>Скачать индивидуальный QR-код магазина</v>
      </c>
    </row>
    <row r="69" spans="1:7" x14ac:dyDescent="0.25">
      <c r="A69" t="s">
        <v>7</v>
      </c>
      <c r="B69" t="s">
        <v>37</v>
      </c>
      <c r="C69" t="s">
        <v>258</v>
      </c>
      <c r="D69" t="s">
        <v>259</v>
      </c>
      <c r="E69" t="s">
        <v>260</v>
      </c>
      <c r="F69" t="s">
        <v>261</v>
      </c>
      <c r="G69" s="2" t="str">
        <f>HYPERLINK("https://probpalata.gov.ru/files/ИП220801109300000.jpeg","Скачать индивидуальный QR-код магазина")</f>
        <v>Скачать индивидуальный QR-код магазина</v>
      </c>
    </row>
    <row r="70" spans="1:7" x14ac:dyDescent="0.25">
      <c r="A70" t="s">
        <v>7</v>
      </c>
      <c r="B70" t="s">
        <v>262</v>
      </c>
      <c r="C70" t="s">
        <v>263</v>
      </c>
      <c r="D70" t="s">
        <v>264</v>
      </c>
      <c r="E70" t="s">
        <v>265</v>
      </c>
      <c r="F70" t="s">
        <v>266</v>
      </c>
      <c r="G70" s="2" t="str">
        <f>HYPERLINK("https://probpalata.gov.ru/files/ИП220800585500000.jpeg","Скачать индивидуальный QR-код магазина")</f>
        <v>Скачать индивидуальный QR-код магазина</v>
      </c>
    </row>
    <row r="71" spans="1:7" x14ac:dyDescent="0.25">
      <c r="A71" t="s">
        <v>7</v>
      </c>
      <c r="B71" t="s">
        <v>267</v>
      </c>
      <c r="C71" t="s">
        <v>268</v>
      </c>
      <c r="D71" t="s">
        <v>269</v>
      </c>
      <c r="E71" t="s">
        <v>270</v>
      </c>
      <c r="F71" t="s">
        <v>271</v>
      </c>
      <c r="G71" s="2" t="str">
        <f>HYPERLINK("https://probpalata.gov.ru/files/ИП220800678200002.jpeg","Скачать индивидуальный QR-код магазина")</f>
        <v>Скачать индивидуальный QR-код магазина</v>
      </c>
    </row>
    <row r="72" spans="1:7" x14ac:dyDescent="0.25">
      <c r="A72" t="s">
        <v>7</v>
      </c>
      <c r="B72" t="s">
        <v>37</v>
      </c>
      <c r="C72" t="s">
        <v>268</v>
      </c>
      <c r="D72" t="s">
        <v>269</v>
      </c>
      <c r="E72" t="s">
        <v>270</v>
      </c>
      <c r="F72" t="s">
        <v>272</v>
      </c>
      <c r="G72" s="2" t="str">
        <f>HYPERLINK("https://probpalata.gov.ru/files/ИП220800678200003.jpeg","Скачать индивидуальный QR-код магазина")</f>
        <v>Скачать индивидуальный QR-код магазина</v>
      </c>
    </row>
    <row r="73" spans="1:7" x14ac:dyDescent="0.25">
      <c r="A73" t="s">
        <v>7</v>
      </c>
      <c r="B73" t="s">
        <v>273</v>
      </c>
      <c r="C73" t="s">
        <v>268</v>
      </c>
      <c r="D73" t="s">
        <v>269</v>
      </c>
      <c r="E73" t="s">
        <v>270</v>
      </c>
      <c r="F73" t="s">
        <v>274</v>
      </c>
      <c r="G73" s="2" t="str">
        <f>HYPERLINK("https://probpalata.gov.ru/files/ИП220800678200006.jpeg","Скачать индивидуальный QR-код магазина")</f>
        <v>Скачать индивидуальный QR-код магазина</v>
      </c>
    </row>
    <row r="74" spans="1:7" x14ac:dyDescent="0.25">
      <c r="A74" t="s">
        <v>7</v>
      </c>
      <c r="B74" t="s">
        <v>275</v>
      </c>
      <c r="C74" t="s">
        <v>268</v>
      </c>
      <c r="D74" t="s">
        <v>269</v>
      </c>
      <c r="E74" t="s">
        <v>270</v>
      </c>
      <c r="F74" t="s">
        <v>276</v>
      </c>
      <c r="G74" s="2" t="str">
        <f>HYPERLINK("https://probpalata.gov.ru/files/ИП220800678200008.jpeg","Скачать индивидуальный QR-код магазина")</f>
        <v>Скачать индивидуальный QR-код магазина</v>
      </c>
    </row>
    <row r="75" spans="1:7" x14ac:dyDescent="0.25">
      <c r="A75" t="s">
        <v>7</v>
      </c>
      <c r="B75" t="s">
        <v>277</v>
      </c>
      <c r="C75" t="s">
        <v>278</v>
      </c>
      <c r="D75" t="s">
        <v>279</v>
      </c>
      <c r="E75" t="s">
        <v>280</v>
      </c>
      <c r="F75" t="s">
        <v>281</v>
      </c>
      <c r="G75" s="2" t="str">
        <f>HYPERLINK("https://probpalata.gov.ru/files/ИП220801013000000.jpeg","Скачать индивидуальный QR-код магазина")</f>
        <v>Скачать индивидуальный QR-код магазина</v>
      </c>
    </row>
    <row r="76" spans="1:7" x14ac:dyDescent="0.25">
      <c r="A76" t="s">
        <v>7</v>
      </c>
      <c r="B76" t="s">
        <v>282</v>
      </c>
      <c r="C76" t="s">
        <v>283</v>
      </c>
      <c r="D76" t="s">
        <v>284</v>
      </c>
      <c r="E76" t="s">
        <v>285</v>
      </c>
      <c r="F76" t="s">
        <v>286</v>
      </c>
      <c r="G76" s="2" t="str">
        <f>HYPERLINK("https://probpalata.gov.ru/files/ЮЛ220800844100000.jpeg","Скачать индивидуальный QR-код магазина")</f>
        <v>Скачать индивидуальный QR-код магазина</v>
      </c>
    </row>
    <row r="77" spans="1:7" x14ac:dyDescent="0.25">
      <c r="A77" t="s">
        <v>7</v>
      </c>
      <c r="B77" t="s">
        <v>287</v>
      </c>
      <c r="C77" t="s">
        <v>288</v>
      </c>
      <c r="D77" t="s">
        <v>289</v>
      </c>
      <c r="E77" t="s">
        <v>290</v>
      </c>
      <c r="F77" t="s">
        <v>291</v>
      </c>
      <c r="G77" s="2" t="str">
        <f>HYPERLINK("https://probpalata.gov.ru/files/ЮЛ220800451900000.jpeg","Скачать индивидуальный QR-код магазина")</f>
        <v>Скачать индивидуальный QR-код магазина</v>
      </c>
    </row>
    <row r="78" spans="1:7" x14ac:dyDescent="0.25">
      <c r="A78" t="s">
        <v>7</v>
      </c>
      <c r="B78" t="s">
        <v>292</v>
      </c>
      <c r="C78" t="s">
        <v>288</v>
      </c>
      <c r="D78" t="s">
        <v>289</v>
      </c>
      <c r="E78" t="s">
        <v>290</v>
      </c>
      <c r="F78" t="s">
        <v>293</v>
      </c>
      <c r="G78" s="2" t="str">
        <f>HYPERLINK("https://probpalata.gov.ru/files/ЮЛ220800451900001.jpeg","Скачать индивидуальный QR-код магазина")</f>
        <v>Скачать индивидуальный QR-код магазина</v>
      </c>
    </row>
    <row r="79" spans="1:7" x14ac:dyDescent="0.25">
      <c r="A79" t="s">
        <v>7</v>
      </c>
      <c r="B79" t="s">
        <v>287</v>
      </c>
      <c r="C79" t="s">
        <v>294</v>
      </c>
      <c r="D79" t="s">
        <v>295</v>
      </c>
      <c r="E79" t="s">
        <v>296</v>
      </c>
      <c r="F79" t="s">
        <v>297</v>
      </c>
      <c r="G79" s="2" t="str">
        <f>HYPERLINK("https://probpalata.gov.ru/files/ИП220800497100000.jpeg","Скачать индивидуальный QR-код магазина")</f>
        <v>Скачать индивидуальный QR-код магазина</v>
      </c>
    </row>
    <row r="80" spans="1:7" x14ac:dyDescent="0.25">
      <c r="A80" t="s">
        <v>7</v>
      </c>
      <c r="B80" t="s">
        <v>298</v>
      </c>
      <c r="C80" t="s">
        <v>299</v>
      </c>
      <c r="D80" t="s">
        <v>300</v>
      </c>
      <c r="E80" t="s">
        <v>301</v>
      </c>
      <c r="F80" t="s">
        <v>302</v>
      </c>
      <c r="G80" s="2" t="str">
        <f>HYPERLINK("https://probpalata.gov.ru/files/ИП220801949000000.jpeg","Скачать индивидуальный QR-код магазина")</f>
        <v>Скачать индивидуальный QR-код магазина</v>
      </c>
    </row>
    <row r="81" spans="1:7" x14ac:dyDescent="0.25">
      <c r="A81" t="s">
        <v>7</v>
      </c>
      <c r="B81" t="s">
        <v>275</v>
      </c>
      <c r="C81" t="s">
        <v>303</v>
      </c>
      <c r="D81" t="s">
        <v>304</v>
      </c>
      <c r="E81" t="s">
        <v>305</v>
      </c>
      <c r="F81" t="s">
        <v>306</v>
      </c>
      <c r="G81" s="2" t="str">
        <f>HYPERLINK("https://probpalata.gov.ru/files/ЮЛ220801572400000.jpeg","Скачать индивидуальный QR-код магазина")</f>
        <v>Скачать индивидуальный QR-код магазина</v>
      </c>
    </row>
    <row r="82" spans="1:7" x14ac:dyDescent="0.25">
      <c r="A82" t="s">
        <v>7</v>
      </c>
      <c r="B82" t="s">
        <v>37</v>
      </c>
      <c r="C82" t="s">
        <v>303</v>
      </c>
      <c r="D82" t="s">
        <v>304</v>
      </c>
      <c r="E82" t="s">
        <v>305</v>
      </c>
      <c r="F82" t="s">
        <v>307</v>
      </c>
      <c r="G82" s="2" t="str">
        <f>HYPERLINK("https://probpalata.gov.ru/files/ЮЛ220801572400001.jpeg","Скачать индивидуальный QR-код магазина")</f>
        <v>Скачать индивидуальный QR-код магазина</v>
      </c>
    </row>
    <row r="83" spans="1:7" x14ac:dyDescent="0.25">
      <c r="A83" t="s">
        <v>7</v>
      </c>
      <c r="B83" t="s">
        <v>308</v>
      </c>
      <c r="C83" t="s">
        <v>309</v>
      </c>
      <c r="D83" t="s">
        <v>310</v>
      </c>
      <c r="E83" t="s">
        <v>311</v>
      </c>
      <c r="F83" t="s">
        <v>312</v>
      </c>
      <c r="G83" s="2" t="str">
        <f>HYPERLINK("https://probpalata.gov.ru/files/ЮЛ220800780000001.jpeg","Скачать индивидуальный QR-код магазина")</f>
        <v>Скачать индивидуальный QR-код магазина</v>
      </c>
    </row>
    <row r="84" spans="1:7" x14ac:dyDescent="0.25">
      <c r="A84" t="s">
        <v>7</v>
      </c>
      <c r="B84" t="s">
        <v>313</v>
      </c>
      <c r="C84" t="s">
        <v>314</v>
      </c>
      <c r="D84" t="s">
        <v>315</v>
      </c>
      <c r="E84" t="s">
        <v>316</v>
      </c>
      <c r="F84" t="s">
        <v>317</v>
      </c>
      <c r="G84" s="2" t="str">
        <f>HYPERLINK("https://probpalata.gov.ru/files/ИП220801550900000.jpeg","Скачать индивидуальный QR-код магазина")</f>
        <v>Скачать индивидуальный QR-код магазина</v>
      </c>
    </row>
    <row r="85" spans="1:7" x14ac:dyDescent="0.25">
      <c r="A85" t="s">
        <v>7</v>
      </c>
      <c r="B85" t="s">
        <v>267</v>
      </c>
      <c r="C85" t="s">
        <v>318</v>
      </c>
      <c r="D85" t="s">
        <v>319</v>
      </c>
      <c r="E85" t="s">
        <v>320</v>
      </c>
      <c r="F85" t="s">
        <v>321</v>
      </c>
      <c r="G85" s="2" t="str">
        <f>HYPERLINK("https://probpalata.gov.ru/files/ИП220803492900000.jpeg","Скачать индивидуальный QR-код магазина")</f>
        <v>Скачать индивидуальный QR-код магазина</v>
      </c>
    </row>
    <row r="86" spans="1:7" x14ac:dyDescent="0.25">
      <c r="A86" t="s">
        <v>7</v>
      </c>
      <c r="B86" t="s">
        <v>322</v>
      </c>
      <c r="C86" t="s">
        <v>323</v>
      </c>
      <c r="D86" t="s">
        <v>324</v>
      </c>
      <c r="E86" t="s">
        <v>325</v>
      </c>
      <c r="F86" t="s">
        <v>326</v>
      </c>
      <c r="G86" s="2" t="str">
        <f>HYPERLINK("https://probpalata.gov.ru/files/ЮЛ220801799900000.jpeg","Скачать индивидуальный QR-код магазина")</f>
        <v>Скачать индивидуальный QR-код магазина</v>
      </c>
    </row>
    <row r="87" spans="1:7" x14ac:dyDescent="0.25">
      <c r="A87" t="s">
        <v>7</v>
      </c>
      <c r="B87" t="s">
        <v>327</v>
      </c>
      <c r="C87" t="s">
        <v>328</v>
      </c>
      <c r="D87" t="s">
        <v>329</v>
      </c>
      <c r="E87" t="s">
        <v>330</v>
      </c>
      <c r="F87" t="s">
        <v>331</v>
      </c>
      <c r="G87" s="2" t="str">
        <f>HYPERLINK("https://probpalata.gov.ru/files/ЮЛ220800392900000.jpeg","Скачать индивидуальный QR-код магазина")</f>
        <v>Скачать индивидуальный QR-код магазина</v>
      </c>
    </row>
    <row r="88" spans="1:7" x14ac:dyDescent="0.25">
      <c r="A88" t="s">
        <v>7</v>
      </c>
      <c r="B88" t="s">
        <v>332</v>
      </c>
      <c r="C88" t="s">
        <v>333</v>
      </c>
      <c r="D88" t="s">
        <v>334</v>
      </c>
      <c r="E88" t="s">
        <v>335</v>
      </c>
      <c r="F88" t="s">
        <v>336</v>
      </c>
      <c r="G88" s="2" t="str">
        <f>HYPERLINK("https://probpalata.gov.ru/files/ИП220801648700000.jpeg","Скачать индивидуальный QR-код магазина")</f>
        <v>Скачать индивидуальный QR-код магазина</v>
      </c>
    </row>
    <row r="89" spans="1:7" x14ac:dyDescent="0.25">
      <c r="A89" t="s">
        <v>7</v>
      </c>
      <c r="B89" t="s">
        <v>337</v>
      </c>
      <c r="C89" t="s">
        <v>338</v>
      </c>
      <c r="D89" t="s">
        <v>339</v>
      </c>
      <c r="E89" t="s">
        <v>340</v>
      </c>
      <c r="F89" t="s">
        <v>341</v>
      </c>
      <c r="G89" s="2" t="str">
        <f>HYPERLINK("https://probpalata.gov.ru/files/ИП220800522900000.jpeg","Скачать индивидуальный QR-код магазина")</f>
        <v>Скачать индивидуальный QR-код магазина</v>
      </c>
    </row>
    <row r="90" spans="1:7" x14ac:dyDescent="0.25">
      <c r="A90" t="s">
        <v>7</v>
      </c>
      <c r="B90" t="s">
        <v>342</v>
      </c>
      <c r="C90" t="s">
        <v>343</v>
      </c>
      <c r="D90" t="s">
        <v>344</v>
      </c>
      <c r="E90" t="s">
        <v>345</v>
      </c>
      <c r="F90" t="s">
        <v>346</v>
      </c>
      <c r="G90" s="2" t="str">
        <f>HYPERLINK("https://probpalata.gov.ru/files/ЮЛ220800678300000.jpeg","Скачать индивидуальный QR-код магазина")</f>
        <v>Скачать индивидуальный QR-код магазина</v>
      </c>
    </row>
    <row r="91" spans="1:7" x14ac:dyDescent="0.25">
      <c r="A91" t="s">
        <v>7</v>
      </c>
      <c r="B91" t="s">
        <v>347</v>
      </c>
      <c r="C91" t="s">
        <v>343</v>
      </c>
      <c r="D91" t="s">
        <v>344</v>
      </c>
      <c r="E91" t="s">
        <v>345</v>
      </c>
      <c r="F91" t="s">
        <v>348</v>
      </c>
      <c r="G91" s="2" t="str">
        <f>HYPERLINK("https://probpalata.gov.ru/files/ЮЛ220800678300004.jpeg","Скачать индивидуальный QR-код магазина")</f>
        <v>Скачать индивидуальный QR-код магазина</v>
      </c>
    </row>
    <row r="92" spans="1:7" x14ac:dyDescent="0.25">
      <c r="A92" t="s">
        <v>7</v>
      </c>
      <c r="B92" t="s">
        <v>349</v>
      </c>
      <c r="C92" t="s">
        <v>343</v>
      </c>
      <c r="D92" t="s">
        <v>344</v>
      </c>
      <c r="E92" t="s">
        <v>345</v>
      </c>
      <c r="F92" t="s">
        <v>350</v>
      </c>
      <c r="G92" s="2" t="str">
        <f>HYPERLINK("https://probpalata.gov.ru/files/ЮЛ220800678300005.jpeg","Скачать индивидуальный QR-код магазина")</f>
        <v>Скачать индивидуальный QR-код магазина</v>
      </c>
    </row>
    <row r="93" spans="1:7" x14ac:dyDescent="0.25">
      <c r="A93" t="s">
        <v>7</v>
      </c>
      <c r="B93" t="s">
        <v>83</v>
      </c>
      <c r="C93" t="s">
        <v>343</v>
      </c>
      <c r="D93" t="s">
        <v>344</v>
      </c>
      <c r="E93" t="s">
        <v>345</v>
      </c>
      <c r="F93" t="s">
        <v>351</v>
      </c>
      <c r="G93" s="2" t="str">
        <f>HYPERLINK("https://probpalata.gov.ru/files/ЮЛ220800678300006.jpeg","Скачать индивидуальный QR-код магазина")</f>
        <v>Скачать индивидуальный QR-код магазина</v>
      </c>
    </row>
    <row r="94" spans="1:7" x14ac:dyDescent="0.25">
      <c r="A94" t="s">
        <v>7</v>
      </c>
      <c r="B94" t="s">
        <v>352</v>
      </c>
      <c r="C94" t="s">
        <v>343</v>
      </c>
      <c r="D94" t="s">
        <v>344</v>
      </c>
      <c r="E94" t="s">
        <v>345</v>
      </c>
      <c r="F94" t="s">
        <v>353</v>
      </c>
      <c r="G94" s="2" t="str">
        <f>HYPERLINK("https://probpalata.gov.ru/files/ЮЛ220800678300007.jpeg","Скачать индивидуальный QR-код магазина")</f>
        <v>Скачать индивидуальный QR-код магазина</v>
      </c>
    </row>
    <row r="95" spans="1:7" x14ac:dyDescent="0.25">
      <c r="A95" t="s">
        <v>7</v>
      </c>
      <c r="B95" t="s">
        <v>275</v>
      </c>
      <c r="C95" t="s">
        <v>343</v>
      </c>
      <c r="D95" t="s">
        <v>344</v>
      </c>
      <c r="E95" t="s">
        <v>345</v>
      </c>
      <c r="F95" t="s">
        <v>354</v>
      </c>
      <c r="G95" s="2" t="str">
        <f>HYPERLINK("https://probpalata.gov.ru/files/ЮЛ220800678300011.jpeg","Скачать индивидуальный QR-код магазина")</f>
        <v>Скачать индивидуальный QR-код магазина</v>
      </c>
    </row>
    <row r="96" spans="1:7" x14ac:dyDescent="0.25">
      <c r="A96" t="s">
        <v>7</v>
      </c>
      <c r="B96" t="s">
        <v>37</v>
      </c>
      <c r="C96" t="s">
        <v>343</v>
      </c>
      <c r="D96" t="s">
        <v>344</v>
      </c>
      <c r="E96" t="s">
        <v>345</v>
      </c>
      <c r="F96" t="s">
        <v>355</v>
      </c>
      <c r="G96" s="2" t="str">
        <f>HYPERLINK("https://probpalata.gov.ru/files/ЮЛ220800678300012.jpeg","Скачать индивидуальный QR-код магазина")</f>
        <v>Скачать индивидуальный QR-код магазина</v>
      </c>
    </row>
    <row r="97" spans="1:7" x14ac:dyDescent="0.25">
      <c r="A97" t="s">
        <v>7</v>
      </c>
      <c r="B97" t="s">
        <v>356</v>
      </c>
      <c r="C97" t="s">
        <v>343</v>
      </c>
      <c r="D97" t="s">
        <v>344</v>
      </c>
      <c r="E97" t="s">
        <v>345</v>
      </c>
      <c r="F97" t="s">
        <v>357</v>
      </c>
      <c r="G97" s="2" t="str">
        <f>HYPERLINK("https://probpalata.gov.ru/files/ЮЛ220800678300013.jpeg","Скачать индивидуальный QR-код магазина")</f>
        <v>Скачать индивидуальный QR-код магазина</v>
      </c>
    </row>
    <row r="98" spans="1:7" x14ac:dyDescent="0.25">
      <c r="A98" t="s">
        <v>7</v>
      </c>
      <c r="B98" t="s">
        <v>358</v>
      </c>
      <c r="C98" t="s">
        <v>359</v>
      </c>
      <c r="D98" t="s">
        <v>360</v>
      </c>
      <c r="E98" t="s">
        <v>361</v>
      </c>
      <c r="F98" t="s">
        <v>362</v>
      </c>
      <c r="G98" s="2" t="str">
        <f>HYPERLINK("https://probpalata.gov.ru/files/ЮЛ220800779500000.jpeg","Скачать индивидуальный QR-код магазина")</f>
        <v>Скачать индивидуальный QR-код магазина</v>
      </c>
    </row>
    <row r="99" spans="1:7" x14ac:dyDescent="0.25">
      <c r="A99" t="s">
        <v>7</v>
      </c>
      <c r="B99" t="s">
        <v>363</v>
      </c>
      <c r="C99" t="s">
        <v>359</v>
      </c>
      <c r="D99" t="s">
        <v>360</v>
      </c>
      <c r="E99" t="s">
        <v>361</v>
      </c>
      <c r="F99" t="s">
        <v>364</v>
      </c>
      <c r="G99" s="2" t="str">
        <f>HYPERLINK("https://probpalata.gov.ru/files/ЮЛ220800779500002.jpeg","Скачать индивидуальный QR-код магазина")</f>
        <v>Скачать индивидуальный QR-код магазина</v>
      </c>
    </row>
    <row r="100" spans="1:7" x14ac:dyDescent="0.25">
      <c r="A100" t="s">
        <v>7</v>
      </c>
      <c r="B100" t="s">
        <v>365</v>
      </c>
      <c r="C100" t="s">
        <v>366</v>
      </c>
      <c r="D100" t="s">
        <v>367</v>
      </c>
      <c r="E100" t="s">
        <v>368</v>
      </c>
      <c r="F100" t="s">
        <v>369</v>
      </c>
      <c r="G100" s="2" t="str">
        <f>HYPERLINK("https://probpalata.gov.ru/files/ЮЛ220801007100000.jpeg","Скачать индивидуальный QR-код магазина")</f>
        <v>Скачать индивидуальный QR-код магазина</v>
      </c>
    </row>
    <row r="101" spans="1:7" x14ac:dyDescent="0.25">
      <c r="A101" t="s">
        <v>7</v>
      </c>
      <c r="B101" t="s">
        <v>370</v>
      </c>
      <c r="C101" t="s">
        <v>366</v>
      </c>
      <c r="D101" t="s">
        <v>367</v>
      </c>
      <c r="E101" t="s">
        <v>368</v>
      </c>
      <c r="F101" t="s">
        <v>371</v>
      </c>
      <c r="G101" s="2" t="str">
        <f>HYPERLINK("https://probpalata.gov.ru/files/ЮЛ220801007100001.jpeg","Скачать индивидуальный QR-код магазина")</f>
        <v>Скачать индивидуальный QR-код магазина</v>
      </c>
    </row>
    <row r="102" spans="1:7" x14ac:dyDescent="0.25">
      <c r="A102" t="s">
        <v>7</v>
      </c>
      <c r="B102" t="s">
        <v>372</v>
      </c>
      <c r="C102" t="s">
        <v>373</v>
      </c>
      <c r="D102" t="s">
        <v>374</v>
      </c>
      <c r="E102" t="s">
        <v>375</v>
      </c>
      <c r="F102" t="s">
        <v>376</v>
      </c>
      <c r="G102" s="2" t="str">
        <f>HYPERLINK("https://probpalata.gov.ru/files/ИП220801102600000.jpeg","Скачать индивидуальный QR-код магазина")</f>
        <v>Скачать индивидуальный QR-код магазина</v>
      </c>
    </row>
    <row r="103" spans="1:7" x14ac:dyDescent="0.25">
      <c r="A103" t="s">
        <v>7</v>
      </c>
      <c r="B103" t="s">
        <v>37</v>
      </c>
      <c r="C103" t="s">
        <v>373</v>
      </c>
      <c r="D103" t="s">
        <v>374</v>
      </c>
      <c r="E103" t="s">
        <v>375</v>
      </c>
      <c r="F103" t="s">
        <v>377</v>
      </c>
      <c r="G103" s="2" t="str">
        <f>HYPERLINK("https://probpalata.gov.ru/files/ИП220801102600001.jpeg","Скачать индивидуальный QR-код магазина")</f>
        <v>Скачать индивидуальный QR-код магазина</v>
      </c>
    </row>
    <row r="104" spans="1:7" x14ac:dyDescent="0.25">
      <c r="A104" t="s">
        <v>7</v>
      </c>
      <c r="B104" t="s">
        <v>378</v>
      </c>
      <c r="C104" t="s">
        <v>379</v>
      </c>
      <c r="D104" t="s">
        <v>380</v>
      </c>
      <c r="E104" t="s">
        <v>381</v>
      </c>
      <c r="F104" t="s">
        <v>382</v>
      </c>
      <c r="G104" s="2" t="str">
        <f>HYPERLINK("https://probpalata.gov.ru/files/ИП220801469700000.jpeg","Скачать индивидуальный QR-код магазина")</f>
        <v>Скачать индивидуальный QR-код магазина</v>
      </c>
    </row>
    <row r="105" spans="1:7" x14ac:dyDescent="0.25">
      <c r="A105" t="s">
        <v>7</v>
      </c>
      <c r="B105" t="s">
        <v>383</v>
      </c>
      <c r="C105" t="s">
        <v>379</v>
      </c>
      <c r="D105" t="s">
        <v>380</v>
      </c>
      <c r="E105" t="s">
        <v>381</v>
      </c>
      <c r="F105" t="s">
        <v>384</v>
      </c>
      <c r="G105" s="2" t="str">
        <f>HYPERLINK("https://probpalata.gov.ru/files/ИП220801469700002.jpeg","Скачать индивидуальный QR-код магазина")</f>
        <v>Скачать индивидуальный QR-код магазина</v>
      </c>
    </row>
    <row r="106" spans="1:7" x14ac:dyDescent="0.25">
      <c r="A106" t="s">
        <v>7</v>
      </c>
      <c r="B106" t="s">
        <v>385</v>
      </c>
      <c r="C106" t="s">
        <v>386</v>
      </c>
      <c r="D106" t="s">
        <v>387</v>
      </c>
      <c r="E106" t="s">
        <v>388</v>
      </c>
      <c r="F106" t="s">
        <v>389</v>
      </c>
      <c r="G106" s="2" t="str">
        <f>HYPERLINK("https://probpalata.gov.ru/files/ЮЛ220801207700000.jpeg","Скачать индивидуальный QR-код магазина")</f>
        <v>Скачать индивидуальный QR-код магазина</v>
      </c>
    </row>
    <row r="107" spans="1:7" x14ac:dyDescent="0.25">
      <c r="A107" t="s">
        <v>7</v>
      </c>
      <c r="B107" t="s">
        <v>390</v>
      </c>
      <c r="C107" t="s">
        <v>391</v>
      </c>
      <c r="D107" t="s">
        <v>392</v>
      </c>
      <c r="E107" t="s">
        <v>393</v>
      </c>
      <c r="F107" t="s">
        <v>394</v>
      </c>
      <c r="G107" s="2" t="str">
        <f>HYPERLINK("https://probpalata.gov.ru/files/ИП220801343100000.jpeg","Скачать индивидуальный QR-код магазина")</f>
        <v>Скачать индивидуальный QR-код магазина</v>
      </c>
    </row>
    <row r="108" spans="1:7" x14ac:dyDescent="0.25">
      <c r="A108" t="s">
        <v>7</v>
      </c>
      <c r="B108" t="s">
        <v>395</v>
      </c>
      <c r="C108" t="s">
        <v>396</v>
      </c>
      <c r="D108" t="s">
        <v>397</v>
      </c>
      <c r="E108" t="s">
        <v>398</v>
      </c>
      <c r="F108" t="s">
        <v>399</v>
      </c>
      <c r="G108" s="2" t="str">
        <f>HYPERLINK("https://probpalata.gov.ru/files/ИП220801822600000.jpeg","Скачать индивидуальный QR-код магазина")</f>
        <v>Скачать индивидуальный QR-код магазина</v>
      </c>
    </row>
    <row r="109" spans="1:7" x14ac:dyDescent="0.25">
      <c r="A109" t="s">
        <v>7</v>
      </c>
      <c r="B109" t="s">
        <v>400</v>
      </c>
      <c r="C109" t="s">
        <v>401</v>
      </c>
      <c r="D109" t="s">
        <v>402</v>
      </c>
      <c r="E109" t="s">
        <v>403</v>
      </c>
      <c r="F109" t="s">
        <v>404</v>
      </c>
      <c r="G109" s="2" t="str">
        <f>HYPERLINK("https://probpalata.gov.ru/files/ИП220801109600000.jpeg","Скачать индивидуальный QR-код магазина")</f>
        <v>Скачать индивидуальный QR-код магазина</v>
      </c>
    </row>
    <row r="110" spans="1:7" x14ac:dyDescent="0.25">
      <c r="A110" t="s">
        <v>7</v>
      </c>
      <c r="B110" t="s">
        <v>405</v>
      </c>
      <c r="C110" t="s">
        <v>406</v>
      </c>
      <c r="D110" t="s">
        <v>407</v>
      </c>
      <c r="E110" t="s">
        <v>408</v>
      </c>
      <c r="F110" t="s">
        <v>409</v>
      </c>
      <c r="G110" s="2" t="str">
        <f>HYPERLINK("https://probpalata.gov.ru/files/ИП220801109200000.jpeg","Скачать индивидуальный QR-код магазина")</f>
        <v>Скачать индивидуальный QR-код магазина</v>
      </c>
    </row>
    <row r="111" spans="1:7" x14ac:dyDescent="0.25">
      <c r="A111" t="s">
        <v>7</v>
      </c>
      <c r="B111" t="s">
        <v>410</v>
      </c>
      <c r="C111" t="s">
        <v>406</v>
      </c>
      <c r="D111" t="s">
        <v>407</v>
      </c>
      <c r="E111" t="s">
        <v>408</v>
      </c>
      <c r="F111" t="s">
        <v>411</v>
      </c>
      <c r="G111" s="2" t="str">
        <f>HYPERLINK("https://probpalata.gov.ru/files/ИП220801109200001.jpeg","Скачать индивидуальный QR-код магазина")</f>
        <v>Скачать индивидуальный QR-код магазина</v>
      </c>
    </row>
    <row r="112" spans="1:7" x14ac:dyDescent="0.25">
      <c r="A112" t="s">
        <v>7</v>
      </c>
      <c r="B112" t="s">
        <v>412</v>
      </c>
      <c r="C112" t="s">
        <v>413</v>
      </c>
      <c r="D112" t="s">
        <v>414</v>
      </c>
      <c r="E112" t="s">
        <v>415</v>
      </c>
      <c r="F112" t="s">
        <v>416</v>
      </c>
      <c r="G112" s="2" t="str">
        <f>HYPERLINK("https://probpalata.gov.ru/files/ЮЛ220801117300000.jpeg","Скачать индивидуальный QR-код магазина")</f>
        <v>Скачать индивидуальный QR-код магазина</v>
      </c>
    </row>
    <row r="113" spans="1:7" x14ac:dyDescent="0.25">
      <c r="A113" t="s">
        <v>7</v>
      </c>
      <c r="B113" t="s">
        <v>417</v>
      </c>
      <c r="C113" t="s">
        <v>413</v>
      </c>
      <c r="D113" t="s">
        <v>414</v>
      </c>
      <c r="E113" t="s">
        <v>415</v>
      </c>
      <c r="F113" t="s">
        <v>418</v>
      </c>
      <c r="G113" s="2" t="str">
        <f>HYPERLINK("https://probpalata.gov.ru/files/ЮЛ220801117300001.jpeg","Скачать индивидуальный QR-код магазина")</f>
        <v>Скачать индивидуальный QR-код магазина</v>
      </c>
    </row>
    <row r="114" spans="1:7" x14ac:dyDescent="0.25">
      <c r="A114" t="s">
        <v>7</v>
      </c>
      <c r="B114" t="s">
        <v>419</v>
      </c>
      <c r="C114" t="s">
        <v>420</v>
      </c>
      <c r="D114" t="s">
        <v>421</v>
      </c>
      <c r="E114" t="s">
        <v>422</v>
      </c>
      <c r="F114" t="s">
        <v>423</v>
      </c>
      <c r="G114" s="2" t="str">
        <f>HYPERLINK("https://probpalata.gov.ru/files/ИП220801418400000.jpeg","Скачать индивидуальный QR-код магазина")</f>
        <v>Скачать индивидуальный QR-код магазина</v>
      </c>
    </row>
    <row r="115" spans="1:7" x14ac:dyDescent="0.25">
      <c r="A115" t="s">
        <v>7</v>
      </c>
      <c r="B115" t="s">
        <v>424</v>
      </c>
      <c r="C115" t="s">
        <v>425</v>
      </c>
      <c r="D115" t="s">
        <v>426</v>
      </c>
      <c r="E115" t="s">
        <v>427</v>
      </c>
      <c r="F115" t="s">
        <v>428</v>
      </c>
      <c r="G115" s="2" t="str">
        <f>HYPERLINK("https://probpalata.gov.ru/files/ИП220801258200000.jpeg","Скачать индивидуальный QR-код магазина")</f>
        <v>Скачать индивидуальный QR-код магазина</v>
      </c>
    </row>
    <row r="116" spans="1:7" x14ac:dyDescent="0.25">
      <c r="A116" t="s">
        <v>7</v>
      </c>
      <c r="B116" t="s">
        <v>429</v>
      </c>
      <c r="C116" t="s">
        <v>430</v>
      </c>
      <c r="D116" t="s">
        <v>431</v>
      </c>
      <c r="E116" t="s">
        <v>432</v>
      </c>
      <c r="F116" t="s">
        <v>433</v>
      </c>
      <c r="G116" s="2" t="str">
        <f>HYPERLINK("https://probpalata.gov.ru/files/ИП220800139100000.jpeg","Скачать индивидуальный QR-код магазина")</f>
        <v>Скачать индивидуальный QR-код магазина</v>
      </c>
    </row>
    <row r="117" spans="1:7" x14ac:dyDescent="0.25">
      <c r="A117" t="s">
        <v>7</v>
      </c>
      <c r="B117" t="s">
        <v>434</v>
      </c>
      <c r="C117" t="s">
        <v>435</v>
      </c>
      <c r="D117" t="s">
        <v>436</v>
      </c>
      <c r="E117" t="s">
        <v>437</v>
      </c>
      <c r="F117" t="s">
        <v>438</v>
      </c>
      <c r="G117" s="2" t="str">
        <f>HYPERLINK("https://probpalata.gov.ru/files/ИП220801619600000.jpeg","Скачать индивидуальный QR-код магазина")</f>
        <v>Скачать индивидуальный QR-код магазина</v>
      </c>
    </row>
    <row r="118" spans="1:7" x14ac:dyDescent="0.25">
      <c r="A118" t="s">
        <v>7</v>
      </c>
      <c r="B118" t="s">
        <v>439</v>
      </c>
      <c r="C118" t="s">
        <v>440</v>
      </c>
      <c r="D118" t="s">
        <v>441</v>
      </c>
      <c r="E118" t="s">
        <v>442</v>
      </c>
      <c r="F118" t="s">
        <v>443</v>
      </c>
      <c r="G118" s="2" t="str">
        <f>HYPERLINK("https://probpalata.gov.ru/files/ИП220801635800000.jpeg","Скачать индивидуальный QR-код магазина")</f>
        <v>Скачать индивидуальный QR-код магазина</v>
      </c>
    </row>
    <row r="119" spans="1:7" x14ac:dyDescent="0.25">
      <c r="A119" t="s">
        <v>7</v>
      </c>
      <c r="B119" t="s">
        <v>444</v>
      </c>
      <c r="C119" t="s">
        <v>440</v>
      </c>
      <c r="D119" t="s">
        <v>441</v>
      </c>
      <c r="E119" t="s">
        <v>442</v>
      </c>
      <c r="F119" t="s">
        <v>445</v>
      </c>
      <c r="G119" s="2" t="str">
        <f>HYPERLINK("https://probpalata.gov.ru/files/ИП220801635800003.jpeg","Скачать индивидуальный QR-код магазина")</f>
        <v>Скачать индивидуальный QR-код магазина</v>
      </c>
    </row>
    <row r="120" spans="1:7" x14ac:dyDescent="0.25">
      <c r="A120" t="s">
        <v>7</v>
      </c>
      <c r="B120" t="s">
        <v>446</v>
      </c>
      <c r="C120" t="s">
        <v>447</v>
      </c>
      <c r="D120" t="s">
        <v>448</v>
      </c>
      <c r="E120" t="s">
        <v>449</v>
      </c>
      <c r="F120" t="s">
        <v>450</v>
      </c>
      <c r="G120" s="2" t="str">
        <f>HYPERLINK("https://probpalata.gov.ru/files/ИП220801393400000.jpeg","Скачать индивидуальный QR-код магазина")</f>
        <v>Скачать индивидуальный QR-код магазина</v>
      </c>
    </row>
    <row r="121" spans="1:7" x14ac:dyDescent="0.25">
      <c r="A121" t="s">
        <v>7</v>
      </c>
      <c r="B121" t="s">
        <v>451</v>
      </c>
      <c r="C121" t="s">
        <v>452</v>
      </c>
      <c r="D121" t="s">
        <v>453</v>
      </c>
      <c r="E121" t="s">
        <v>454</v>
      </c>
      <c r="F121" t="s">
        <v>455</v>
      </c>
      <c r="G121" s="2" t="str">
        <f>HYPERLINK("https://probpalata.gov.ru/files/ИП220801106500000.jpeg","Скачать индивидуальный QR-код магазина")</f>
        <v>Скачать индивидуальный QR-код магазина</v>
      </c>
    </row>
    <row r="122" spans="1:7" x14ac:dyDescent="0.25">
      <c r="A122" t="s">
        <v>7</v>
      </c>
      <c r="B122" t="s">
        <v>35</v>
      </c>
      <c r="C122" t="s">
        <v>452</v>
      </c>
      <c r="D122" t="s">
        <v>453</v>
      </c>
      <c r="E122" t="s">
        <v>454</v>
      </c>
      <c r="F122" t="s">
        <v>456</v>
      </c>
      <c r="G122" s="2" t="str">
        <f>HYPERLINK("https://probpalata.gov.ru/files/ИП220801106500009.jpeg","Скачать индивидуальный QR-код магазина")</f>
        <v>Скачать индивидуальный QR-код магазина</v>
      </c>
    </row>
    <row r="123" spans="1:7" x14ac:dyDescent="0.25">
      <c r="A123" t="s">
        <v>7</v>
      </c>
      <c r="B123" t="s">
        <v>457</v>
      </c>
      <c r="C123" t="s">
        <v>458</v>
      </c>
      <c r="D123" t="s">
        <v>459</v>
      </c>
      <c r="E123" t="s">
        <v>460</v>
      </c>
      <c r="F123" t="s">
        <v>461</v>
      </c>
      <c r="G123" s="2" t="str">
        <f>HYPERLINK("https://probpalata.gov.ru/files/ИП220801258100000.jpeg","Скачать индивидуальный QR-код магазина")</f>
        <v>Скачать индивидуальный QR-код магазина</v>
      </c>
    </row>
    <row r="124" spans="1:7" x14ac:dyDescent="0.25">
      <c r="A124" t="s">
        <v>7</v>
      </c>
      <c r="B124" t="s">
        <v>462</v>
      </c>
      <c r="C124" t="s">
        <v>463</v>
      </c>
      <c r="D124" t="s">
        <v>464</v>
      </c>
      <c r="E124" t="s">
        <v>465</v>
      </c>
      <c r="F124" t="s">
        <v>466</v>
      </c>
      <c r="G124" s="2" t="str">
        <f>HYPERLINK("https://probpalata.gov.ru/files/ИП220801002800000.jpeg","Скачать индивидуальный QR-код магазина")</f>
        <v>Скачать индивидуальный QR-код магазина</v>
      </c>
    </row>
    <row r="125" spans="1:7" x14ac:dyDescent="0.25">
      <c r="A125" t="s">
        <v>7</v>
      </c>
      <c r="B125" t="s">
        <v>467</v>
      </c>
      <c r="C125" t="s">
        <v>468</v>
      </c>
      <c r="D125" t="s">
        <v>469</v>
      </c>
      <c r="E125" t="s">
        <v>470</v>
      </c>
      <c r="F125" t="s">
        <v>471</v>
      </c>
      <c r="G125" s="2" t="str">
        <f>HYPERLINK("https://probpalata.gov.ru/files/ИП230400744800000.jpeg","Скачать индивидуальный QR-код магазина")</f>
        <v>Скачать индивидуальный QR-код магазина</v>
      </c>
    </row>
    <row r="126" spans="1:7" x14ac:dyDescent="0.25">
      <c r="A126" t="s">
        <v>7</v>
      </c>
      <c r="B126" t="s">
        <v>472</v>
      </c>
      <c r="C126" t="s">
        <v>468</v>
      </c>
      <c r="D126" t="s">
        <v>469</v>
      </c>
      <c r="E126" t="s">
        <v>470</v>
      </c>
      <c r="F126" t="s">
        <v>473</v>
      </c>
      <c r="G126" s="2" t="str">
        <f>HYPERLINK("https://probpalata.gov.ru/files/ИП230400744800001.jpeg","Скачать индивидуальный QR-код магазина")</f>
        <v>Скачать индивидуальный QR-код магазина</v>
      </c>
    </row>
    <row r="127" spans="1:7" x14ac:dyDescent="0.25">
      <c r="A127" t="s">
        <v>7</v>
      </c>
      <c r="B127" t="s">
        <v>474</v>
      </c>
      <c r="C127" t="s">
        <v>468</v>
      </c>
      <c r="D127" t="s">
        <v>469</v>
      </c>
      <c r="E127" t="s">
        <v>470</v>
      </c>
      <c r="F127" t="s">
        <v>475</v>
      </c>
      <c r="G127" s="2" t="str">
        <f>HYPERLINK("https://probpalata.gov.ru/files/ИП230400744800003.jpeg","Скачать индивидуальный QR-код магазина")</f>
        <v>Скачать индивидуальный QR-код магазина</v>
      </c>
    </row>
    <row r="128" spans="1:7" x14ac:dyDescent="0.25">
      <c r="A128" t="s">
        <v>7</v>
      </c>
      <c r="B128" t="s">
        <v>476</v>
      </c>
      <c r="C128" t="s">
        <v>477</v>
      </c>
      <c r="D128" t="s">
        <v>478</v>
      </c>
      <c r="E128" t="s">
        <v>479</v>
      </c>
      <c r="F128" t="s">
        <v>480</v>
      </c>
      <c r="G128" s="2" t="str">
        <f>HYPERLINK("https://probpalata.gov.ru/files/ИП220801107100000.jpeg","Скачать индивидуальный QR-код магазина")</f>
        <v>Скачать индивидуальный QR-код магазина</v>
      </c>
    </row>
    <row r="129" spans="1:7" x14ac:dyDescent="0.25">
      <c r="A129" t="s">
        <v>7</v>
      </c>
      <c r="B129" t="s">
        <v>481</v>
      </c>
      <c r="C129" t="s">
        <v>477</v>
      </c>
      <c r="D129" t="s">
        <v>478</v>
      </c>
      <c r="E129" t="s">
        <v>479</v>
      </c>
      <c r="F129" t="s">
        <v>482</v>
      </c>
      <c r="G129" s="2" t="str">
        <f>HYPERLINK("https://probpalata.gov.ru/files/ИП220801107100001.jpeg","Скачать индивидуальный QR-код магазина")</f>
        <v>Скачать индивидуальный QR-код магазина</v>
      </c>
    </row>
    <row r="130" spans="1:7" x14ac:dyDescent="0.25">
      <c r="A130" t="s">
        <v>7</v>
      </c>
      <c r="B130" t="s">
        <v>483</v>
      </c>
      <c r="C130" t="s">
        <v>484</v>
      </c>
      <c r="D130" t="s">
        <v>485</v>
      </c>
      <c r="E130" t="s">
        <v>486</v>
      </c>
      <c r="F130" t="s">
        <v>487</v>
      </c>
      <c r="G130" s="2" t="str">
        <f>HYPERLINK("https://probpalata.gov.ru/files/ИП220803712400000.jpeg","Скачать индивидуальный QR-код магазина")</f>
        <v>Скачать индивидуальный QR-код магазина</v>
      </c>
    </row>
    <row r="131" spans="1:7" x14ac:dyDescent="0.25">
      <c r="A131" t="s">
        <v>7</v>
      </c>
      <c r="B131" t="s">
        <v>488</v>
      </c>
      <c r="C131" t="s">
        <v>489</v>
      </c>
      <c r="D131" t="s">
        <v>490</v>
      </c>
      <c r="E131" t="s">
        <v>491</v>
      </c>
      <c r="F131" t="s">
        <v>492</v>
      </c>
      <c r="G131" s="2" t="str">
        <f>HYPERLINK("https://probpalata.gov.ru/files/ЮЛ220801659700000.jpeg","Скачать индивидуальный QR-код магазина")</f>
        <v>Скачать индивидуальный QR-код магазина</v>
      </c>
    </row>
    <row r="132" spans="1:7" x14ac:dyDescent="0.25">
      <c r="A132" t="s">
        <v>7</v>
      </c>
      <c r="B132" t="s">
        <v>493</v>
      </c>
      <c r="C132" t="s">
        <v>494</v>
      </c>
      <c r="D132" t="s">
        <v>495</v>
      </c>
      <c r="E132" t="s">
        <v>496</v>
      </c>
      <c r="F132" t="s">
        <v>497</v>
      </c>
      <c r="G132" s="2" t="str">
        <f>HYPERLINK("https://probpalata.gov.ru/files/ИП220801107600000.jpeg","Скачать индивидуальный QR-код магазина")</f>
        <v>Скачать индивидуальный QR-код магазина</v>
      </c>
    </row>
    <row r="133" spans="1:7" x14ac:dyDescent="0.25">
      <c r="A133" t="s">
        <v>7</v>
      </c>
      <c r="B133" t="s">
        <v>498</v>
      </c>
      <c r="C133" t="s">
        <v>499</v>
      </c>
      <c r="D133" t="s">
        <v>500</v>
      </c>
      <c r="E133" t="s">
        <v>501</v>
      </c>
      <c r="F133" t="s">
        <v>502</v>
      </c>
      <c r="G133" s="2" t="str">
        <f>HYPERLINK("https://probpalata.gov.ru/files/ЮЛ220803608600000.jpeg","Скачать индивидуальный QR-код магазина")</f>
        <v>Скачать индивидуальный QR-код магазина</v>
      </c>
    </row>
    <row r="134" spans="1:7" x14ac:dyDescent="0.25">
      <c r="A134" t="s">
        <v>7</v>
      </c>
      <c r="B134" t="s">
        <v>503</v>
      </c>
      <c r="C134" t="s">
        <v>504</v>
      </c>
      <c r="D134" t="s">
        <v>505</v>
      </c>
      <c r="E134" t="s">
        <v>506</v>
      </c>
      <c r="F134" t="s">
        <v>507</v>
      </c>
      <c r="G134" s="2" t="str">
        <f>HYPERLINK("https://probpalata.gov.ru/files/ИП220800362300000.jpeg","Скачать индивидуальный QR-код магазина")</f>
        <v>Скачать индивидуальный QR-код магазина</v>
      </c>
    </row>
    <row r="135" spans="1:7" x14ac:dyDescent="0.25">
      <c r="A135" t="s">
        <v>7</v>
      </c>
      <c r="B135" t="s">
        <v>508</v>
      </c>
      <c r="C135" t="s">
        <v>509</v>
      </c>
      <c r="D135" t="s">
        <v>510</v>
      </c>
      <c r="E135" t="s">
        <v>511</v>
      </c>
      <c r="F135" t="s">
        <v>512</v>
      </c>
      <c r="G135" s="2" t="str">
        <f>HYPERLINK("https://probpalata.gov.ru/files/ИП220800501400000.jpeg","Скачать индивидуальный QR-код магазина")</f>
        <v>Скачать индивидуальный QR-код магазина</v>
      </c>
    </row>
    <row r="136" spans="1:7" x14ac:dyDescent="0.25">
      <c r="A136" t="s">
        <v>7</v>
      </c>
      <c r="B136" t="s">
        <v>513</v>
      </c>
      <c r="C136" t="s">
        <v>509</v>
      </c>
      <c r="D136" t="s">
        <v>510</v>
      </c>
      <c r="E136" t="s">
        <v>511</v>
      </c>
      <c r="F136" t="s">
        <v>514</v>
      </c>
      <c r="G136" s="2" t="str">
        <f>HYPERLINK("https://probpalata.gov.ru/files/ИП220800501400001.jpeg","Скачать индивидуальный QR-код магазина")</f>
        <v>Скачать индивидуальный QR-код магазина</v>
      </c>
    </row>
    <row r="137" spans="1:7" x14ac:dyDescent="0.25">
      <c r="A137" t="s">
        <v>7</v>
      </c>
      <c r="B137" t="s">
        <v>515</v>
      </c>
      <c r="C137" t="s">
        <v>509</v>
      </c>
      <c r="D137" t="s">
        <v>510</v>
      </c>
      <c r="E137" t="s">
        <v>511</v>
      </c>
      <c r="F137" t="s">
        <v>516</v>
      </c>
      <c r="G137" s="2" t="str">
        <f>HYPERLINK("https://probpalata.gov.ru/files/ИП220800501400003.jpeg","Скачать индивидуальный QR-код магазина")</f>
        <v>Скачать индивидуальный QR-код магазина</v>
      </c>
    </row>
    <row r="138" spans="1:7" x14ac:dyDescent="0.25">
      <c r="A138" t="s">
        <v>7</v>
      </c>
      <c r="B138" t="s">
        <v>517</v>
      </c>
      <c r="C138" t="s">
        <v>509</v>
      </c>
      <c r="D138" t="s">
        <v>510</v>
      </c>
      <c r="E138" t="s">
        <v>511</v>
      </c>
      <c r="F138" t="s">
        <v>518</v>
      </c>
      <c r="G138" s="2" t="str">
        <f>HYPERLINK("https://probpalata.gov.ru/files/ИП220800501400006.jpeg","Скачать индивидуальный QR-код магазина")</f>
        <v>Скачать индивидуальный QR-код магазина</v>
      </c>
    </row>
    <row r="139" spans="1:7" x14ac:dyDescent="0.25">
      <c r="A139" t="s">
        <v>7</v>
      </c>
      <c r="B139" t="s">
        <v>519</v>
      </c>
      <c r="C139" t="s">
        <v>520</v>
      </c>
      <c r="D139" t="s">
        <v>521</v>
      </c>
      <c r="E139" t="s">
        <v>522</v>
      </c>
      <c r="F139" t="s">
        <v>523</v>
      </c>
      <c r="G139" s="2" t="str">
        <f>HYPERLINK("https://probpalata.gov.ru/files/ИП220800119500000.jpeg","Скачать индивидуальный QR-код магазина")</f>
        <v>Скачать индивидуальный QR-код магазина</v>
      </c>
    </row>
    <row r="140" spans="1:7" x14ac:dyDescent="0.25">
      <c r="A140" t="s">
        <v>7</v>
      </c>
      <c r="B140" t="s">
        <v>524</v>
      </c>
      <c r="C140" t="s">
        <v>525</v>
      </c>
      <c r="D140" t="s">
        <v>526</v>
      </c>
      <c r="E140" t="s">
        <v>527</v>
      </c>
      <c r="F140" t="s">
        <v>528</v>
      </c>
      <c r="G140" s="2" t="str">
        <f>HYPERLINK("https://probpalata.gov.ru/files/ЮЛ220803267600000.jpeg","Скачать индивидуальный QR-код магазина")</f>
        <v>Скачать индивидуальный QR-код магазина</v>
      </c>
    </row>
    <row r="141" spans="1:7" x14ac:dyDescent="0.25">
      <c r="A141" t="s">
        <v>7</v>
      </c>
      <c r="B141" t="s">
        <v>529</v>
      </c>
      <c r="C141" t="s">
        <v>530</v>
      </c>
      <c r="D141" t="s">
        <v>531</v>
      </c>
      <c r="E141" t="s">
        <v>532</v>
      </c>
      <c r="F141" t="s">
        <v>533</v>
      </c>
      <c r="G141" s="2" t="str">
        <f>HYPERLINK("https://probpalata.gov.ru/files/ИП220800526300000.jpeg","Скачать индивидуальный QR-код магазина")</f>
        <v>Скачать индивидуальный QR-код магазина</v>
      </c>
    </row>
    <row r="142" spans="1:7" x14ac:dyDescent="0.25">
      <c r="A142" t="s">
        <v>7</v>
      </c>
      <c r="B142" t="s">
        <v>534</v>
      </c>
      <c r="C142" t="s">
        <v>535</v>
      </c>
      <c r="D142" t="s">
        <v>536</v>
      </c>
      <c r="E142" t="s">
        <v>537</v>
      </c>
      <c r="F142" t="s">
        <v>538</v>
      </c>
      <c r="G142" s="2" t="str">
        <f>HYPERLINK("https://probpalata.gov.ru/files/ИП220800714000000.jpeg","Скачать индивидуальный QR-код магазина")</f>
        <v>Скачать индивидуальный QR-код магазина</v>
      </c>
    </row>
    <row r="143" spans="1:7" x14ac:dyDescent="0.25">
      <c r="A143" t="s">
        <v>7</v>
      </c>
      <c r="B143" t="s">
        <v>539</v>
      </c>
      <c r="C143" t="s">
        <v>540</v>
      </c>
      <c r="D143" t="s">
        <v>541</v>
      </c>
      <c r="E143" t="s">
        <v>542</v>
      </c>
      <c r="F143" t="s">
        <v>543</v>
      </c>
      <c r="G143" s="2" t="str">
        <f>HYPERLINK("https://probpalata.gov.ru/files/ИП220800780400000.jpeg","Скачать индивидуальный QR-код магазина")</f>
        <v>Скачать индивидуальный QR-код магазина</v>
      </c>
    </row>
    <row r="144" spans="1:7" x14ac:dyDescent="0.25">
      <c r="A144" t="s">
        <v>7</v>
      </c>
      <c r="B144" t="s">
        <v>544</v>
      </c>
      <c r="C144" t="s">
        <v>545</v>
      </c>
      <c r="D144" t="s">
        <v>546</v>
      </c>
      <c r="E144" t="s">
        <v>547</v>
      </c>
      <c r="F144" t="s">
        <v>548</v>
      </c>
      <c r="G144" s="2" t="str">
        <f>HYPERLINK("https://probpalata.gov.ru/files/ИП540800111100000.jpeg","Скачать индивидуальный QR-код магазина")</f>
        <v>Скачать индивидуальный QR-код магазина</v>
      </c>
    </row>
    <row r="145" spans="1:7" x14ac:dyDescent="0.25">
      <c r="A145" t="s">
        <v>7</v>
      </c>
      <c r="B145" t="s">
        <v>549</v>
      </c>
      <c r="C145" t="s">
        <v>545</v>
      </c>
      <c r="D145" t="s">
        <v>546</v>
      </c>
      <c r="E145" t="s">
        <v>547</v>
      </c>
      <c r="F145" t="s">
        <v>550</v>
      </c>
      <c r="G145" s="2" t="str">
        <f>HYPERLINK("https://probpalata.gov.ru/files/ИП540800111100002.jpeg","Скачать индивидуальный QR-код магазина")</f>
        <v>Скачать индивидуальный QR-код магазина</v>
      </c>
    </row>
    <row r="146" spans="1:7" x14ac:dyDescent="0.25">
      <c r="A146" t="s">
        <v>7</v>
      </c>
      <c r="B146" t="s">
        <v>551</v>
      </c>
      <c r="C146" t="s">
        <v>552</v>
      </c>
      <c r="D146" t="s">
        <v>553</v>
      </c>
      <c r="E146" t="s">
        <v>554</v>
      </c>
      <c r="F146" t="s">
        <v>555</v>
      </c>
      <c r="G146" s="2" t="str">
        <f>HYPERLINK("https://probpalata.gov.ru/files/ИП220800600700000.jpeg","Скачать индивидуальный QR-код магазина")</f>
        <v>Скачать индивидуальный QR-код магазина</v>
      </c>
    </row>
    <row r="147" spans="1:7" x14ac:dyDescent="0.25">
      <c r="A147" t="s">
        <v>7</v>
      </c>
      <c r="B147" t="s">
        <v>556</v>
      </c>
      <c r="C147" t="s">
        <v>557</v>
      </c>
      <c r="D147" t="s">
        <v>558</v>
      </c>
      <c r="E147" t="s">
        <v>559</v>
      </c>
      <c r="F147" t="s">
        <v>560</v>
      </c>
      <c r="G147" s="2" t="str">
        <f>HYPERLINK("https://probpalata.gov.ru/files/ИП540800598400000.jpeg","Скачать индивидуальный QR-код магазина")</f>
        <v>Скачать индивидуальный QR-код магазина</v>
      </c>
    </row>
    <row r="148" spans="1:7" x14ac:dyDescent="0.25">
      <c r="A148" t="s">
        <v>7</v>
      </c>
      <c r="B148" t="s">
        <v>561</v>
      </c>
      <c r="C148" t="s">
        <v>562</v>
      </c>
      <c r="D148" t="s">
        <v>563</v>
      </c>
      <c r="E148" t="s">
        <v>564</v>
      </c>
      <c r="F148" t="s">
        <v>565</v>
      </c>
      <c r="G148" s="2" t="str">
        <f>HYPERLINK("https://probpalata.gov.ru/files/ИП220801553500000.jpeg","Скачать индивидуальный QR-код магазина")</f>
        <v>Скачать индивидуальный QR-код магазина</v>
      </c>
    </row>
    <row r="149" spans="1:7" x14ac:dyDescent="0.25">
      <c r="A149" t="s">
        <v>7</v>
      </c>
      <c r="B149" t="s">
        <v>566</v>
      </c>
      <c r="C149" t="s">
        <v>567</v>
      </c>
      <c r="D149" t="s">
        <v>568</v>
      </c>
      <c r="E149" t="s">
        <v>569</v>
      </c>
      <c r="F149" t="s">
        <v>570</v>
      </c>
      <c r="G149" s="2" t="str">
        <f>HYPERLINK("https://probpalata.gov.ru/files/ИП220801600400000.jpeg","Скачать индивидуальный QR-код магазина")</f>
        <v>Скачать индивидуальный QR-код магазина</v>
      </c>
    </row>
    <row r="150" spans="1:7" x14ac:dyDescent="0.25">
      <c r="A150" t="s">
        <v>7</v>
      </c>
      <c r="B150" t="s">
        <v>571</v>
      </c>
      <c r="C150" t="s">
        <v>572</v>
      </c>
      <c r="D150" t="s">
        <v>573</v>
      </c>
      <c r="E150" t="s">
        <v>574</v>
      </c>
      <c r="F150" t="s">
        <v>575</v>
      </c>
      <c r="G150" s="2" t="str">
        <f>HYPERLINK("https://probpalata.gov.ru/files/ИП220800783700000.jpeg","Скачать индивидуальный QR-код магазина")</f>
        <v>Скачать индивидуальный QR-код магазина</v>
      </c>
    </row>
    <row r="151" spans="1:7" x14ac:dyDescent="0.25">
      <c r="A151" t="s">
        <v>7</v>
      </c>
      <c r="B151" t="s">
        <v>576</v>
      </c>
      <c r="C151" t="s">
        <v>577</v>
      </c>
      <c r="D151" t="s">
        <v>578</v>
      </c>
      <c r="E151" t="s">
        <v>579</v>
      </c>
      <c r="F151" t="s">
        <v>580</v>
      </c>
      <c r="G151" s="2" t="str">
        <f>HYPERLINK("https://probpalata.gov.ru/files/ИП220800138800000.jpeg","Скачать индивидуальный QR-код магазина")</f>
        <v>Скачать индивидуальный QR-код магазина</v>
      </c>
    </row>
    <row r="152" spans="1:7" x14ac:dyDescent="0.25">
      <c r="A152" t="s">
        <v>7</v>
      </c>
      <c r="B152" t="s">
        <v>581</v>
      </c>
      <c r="C152" t="s">
        <v>582</v>
      </c>
      <c r="D152" t="s">
        <v>583</v>
      </c>
      <c r="E152" t="s">
        <v>584</v>
      </c>
      <c r="F152" t="s">
        <v>585</v>
      </c>
      <c r="G152" s="2" t="str">
        <f>HYPERLINK("https://probpalata.gov.ru/files/ЮЛ220801471700000.jpeg","Скачать индивидуальный QR-код магазина")</f>
        <v>Скачать индивидуальный QR-код магазина</v>
      </c>
    </row>
    <row r="153" spans="1:7" x14ac:dyDescent="0.25">
      <c r="A153" t="s">
        <v>7</v>
      </c>
      <c r="B153" t="s">
        <v>586</v>
      </c>
      <c r="C153" t="s">
        <v>587</v>
      </c>
      <c r="D153" t="s">
        <v>588</v>
      </c>
      <c r="E153" t="s">
        <v>589</v>
      </c>
      <c r="F153" t="s">
        <v>590</v>
      </c>
      <c r="G153" s="2" t="str">
        <f>HYPERLINK("https://probpalata.gov.ru/files/ИП220800523200000.jpeg","Скачать индивидуальный QR-код магазина")</f>
        <v>Скачать индивидуальный QR-код магазина</v>
      </c>
    </row>
    <row r="154" spans="1:7" x14ac:dyDescent="0.25">
      <c r="A154" t="s">
        <v>7</v>
      </c>
      <c r="B154" t="s">
        <v>561</v>
      </c>
      <c r="C154" t="s">
        <v>591</v>
      </c>
      <c r="D154" t="s">
        <v>592</v>
      </c>
      <c r="E154" t="s">
        <v>593</v>
      </c>
      <c r="F154" t="s">
        <v>594</v>
      </c>
      <c r="G154" s="2" t="str">
        <f>HYPERLINK("https://probpalata.gov.ru/files/ИП220803718000000.jpeg","Скачать индивидуальный QR-код магазина")</f>
        <v>Скачать индивидуальный QR-код магазина</v>
      </c>
    </row>
    <row r="155" spans="1:7" x14ac:dyDescent="0.25">
      <c r="A155" t="s">
        <v>7</v>
      </c>
      <c r="B155" t="s">
        <v>595</v>
      </c>
      <c r="C155" t="s">
        <v>596</v>
      </c>
      <c r="D155" t="s">
        <v>597</v>
      </c>
      <c r="E155" t="s">
        <v>598</v>
      </c>
      <c r="F155" t="s">
        <v>599</v>
      </c>
      <c r="G155" s="2" t="str">
        <f>HYPERLINK("https://probpalata.gov.ru/files/ИП220803812100000.jpeg","Скачать индивидуальный QR-код магазина")</f>
        <v>Скачать индивидуальный QR-код магазина</v>
      </c>
    </row>
    <row r="156" spans="1:7" x14ac:dyDescent="0.25">
      <c r="A156" t="s">
        <v>7</v>
      </c>
      <c r="B156" t="s">
        <v>600</v>
      </c>
      <c r="C156" t="s">
        <v>601</v>
      </c>
      <c r="D156" t="s">
        <v>602</v>
      </c>
      <c r="E156" t="s">
        <v>603</v>
      </c>
      <c r="F156" t="s">
        <v>604</v>
      </c>
      <c r="G156" s="2" t="str">
        <f>HYPERLINK("https://probpalata.gov.ru/files/ИП220800201700000.jpeg","Скачать индивидуальный QR-код магазина")</f>
        <v>Скачать индивидуальный QR-код магазина</v>
      </c>
    </row>
    <row r="157" spans="1:7" x14ac:dyDescent="0.25">
      <c r="A157" t="s">
        <v>7</v>
      </c>
      <c r="B157" t="s">
        <v>605</v>
      </c>
      <c r="C157" t="s">
        <v>606</v>
      </c>
      <c r="D157" t="s">
        <v>607</v>
      </c>
      <c r="E157" t="s">
        <v>608</v>
      </c>
      <c r="F157" t="s">
        <v>609</v>
      </c>
      <c r="G157" s="2" t="str">
        <f>HYPERLINK("https://probpalata.gov.ru/files/ИП220800393200000.jpeg","Скачать индивидуальный QR-код магазина")</f>
        <v>Скачать индивидуальный QR-код магазина</v>
      </c>
    </row>
    <row r="158" spans="1:7" x14ac:dyDescent="0.25">
      <c r="A158" t="s">
        <v>7</v>
      </c>
      <c r="B158" t="s">
        <v>610</v>
      </c>
      <c r="C158" t="s">
        <v>611</v>
      </c>
      <c r="D158" t="s">
        <v>612</v>
      </c>
      <c r="E158" t="s">
        <v>613</v>
      </c>
      <c r="F158" t="s">
        <v>614</v>
      </c>
      <c r="G158" s="2" t="str">
        <f>HYPERLINK("https://probpalata.gov.ru/files/ИП220801155900000.jpeg","Скачать индивидуальный QR-код магазина")</f>
        <v>Скачать индивидуальный QR-код магазина</v>
      </c>
    </row>
    <row r="159" spans="1:7" x14ac:dyDescent="0.25">
      <c r="A159" t="s">
        <v>7</v>
      </c>
      <c r="B159" t="s">
        <v>615</v>
      </c>
      <c r="C159" t="s">
        <v>616</v>
      </c>
      <c r="D159" t="s">
        <v>617</v>
      </c>
      <c r="E159" t="s">
        <v>618</v>
      </c>
      <c r="F159" t="s">
        <v>619</v>
      </c>
      <c r="G159" s="2" t="str">
        <f>HYPERLINK("https://probpalata.gov.ru/files/ЮЛ220800344500000.jpeg","Скачать индивидуальный QR-код магазина")</f>
        <v>Скачать индивидуальный QR-код магазина</v>
      </c>
    </row>
    <row r="160" spans="1:7" x14ac:dyDescent="0.25">
      <c r="A160" t="s">
        <v>7</v>
      </c>
      <c r="B160" t="s">
        <v>620</v>
      </c>
      <c r="C160" t="s">
        <v>621</v>
      </c>
      <c r="D160" t="s">
        <v>622</v>
      </c>
      <c r="E160" t="s">
        <v>623</v>
      </c>
      <c r="F160" t="s">
        <v>624</v>
      </c>
      <c r="G160" s="2" t="str">
        <f>HYPERLINK("https://probpalata.gov.ru/files/ИП220801689300000.jpeg","Скачать индивидуальный QR-код магазина")</f>
        <v>Скачать индивидуальный QR-код магазина</v>
      </c>
    </row>
    <row r="161" spans="1:7" x14ac:dyDescent="0.25">
      <c r="A161" t="s">
        <v>7</v>
      </c>
      <c r="B161" t="s">
        <v>625</v>
      </c>
      <c r="C161" t="s">
        <v>626</v>
      </c>
      <c r="D161" t="s">
        <v>627</v>
      </c>
      <c r="E161" t="s">
        <v>628</v>
      </c>
      <c r="F161" t="s">
        <v>629</v>
      </c>
      <c r="G161" s="2" t="str">
        <f>HYPERLINK("https://probpalata.gov.ru/files/ИП220801678800000.jpeg","Скачать индивидуальный QR-код магазина")</f>
        <v>Скачать индивидуальный QR-код магазина</v>
      </c>
    </row>
    <row r="162" spans="1:7" x14ac:dyDescent="0.25">
      <c r="A162" t="s">
        <v>7</v>
      </c>
      <c r="B162" t="s">
        <v>630</v>
      </c>
      <c r="C162" t="s">
        <v>626</v>
      </c>
      <c r="D162" t="s">
        <v>627</v>
      </c>
      <c r="E162" t="s">
        <v>628</v>
      </c>
      <c r="F162" t="s">
        <v>631</v>
      </c>
      <c r="G162" s="2" t="str">
        <f>HYPERLINK("https://probpalata.gov.ru/files/ИП220801678800001.jpeg","Скачать индивидуальный QR-код магазина")</f>
        <v>Скачать индивидуальный QR-код магазина</v>
      </c>
    </row>
    <row r="163" spans="1:7" x14ac:dyDescent="0.25">
      <c r="A163" t="s">
        <v>7</v>
      </c>
      <c r="B163" t="s">
        <v>632</v>
      </c>
      <c r="C163" t="s">
        <v>633</v>
      </c>
      <c r="D163" t="s">
        <v>634</v>
      </c>
      <c r="E163" t="s">
        <v>635</v>
      </c>
      <c r="F163" t="s">
        <v>636</v>
      </c>
      <c r="G163" s="2" t="str">
        <f>HYPERLINK("https://probpalata.gov.ru/files/ИП220801593300000.jpeg","Скачать индивидуальный QR-код магазина")</f>
        <v>Скачать индивидуальный QR-код магазина</v>
      </c>
    </row>
    <row r="164" spans="1:7" x14ac:dyDescent="0.25">
      <c r="A164" t="s">
        <v>7</v>
      </c>
      <c r="B164" t="s">
        <v>637</v>
      </c>
      <c r="C164" t="s">
        <v>633</v>
      </c>
      <c r="D164" t="s">
        <v>634</v>
      </c>
      <c r="E164" t="s">
        <v>635</v>
      </c>
      <c r="F164" t="s">
        <v>638</v>
      </c>
      <c r="G164" s="2" t="str">
        <f>HYPERLINK("https://probpalata.gov.ru/files/ИП220801593300002.jpeg","Скачать индивидуальный QR-код магазина")</f>
        <v>Скачать индивидуальный QR-код магазина</v>
      </c>
    </row>
    <row r="165" spans="1:7" x14ac:dyDescent="0.25">
      <c r="A165" t="s">
        <v>7</v>
      </c>
      <c r="B165" t="s">
        <v>639</v>
      </c>
      <c r="C165" t="s">
        <v>640</v>
      </c>
      <c r="D165" t="s">
        <v>641</v>
      </c>
      <c r="E165" t="s">
        <v>642</v>
      </c>
      <c r="F165" t="s">
        <v>643</v>
      </c>
      <c r="G165" s="2" t="str">
        <f>HYPERLINK("https://probpalata.gov.ru/files/ИП220801660100000.jpeg","Скачать индивидуальный QR-код магазина")</f>
        <v>Скачать индивидуальный QR-код магазина</v>
      </c>
    </row>
    <row r="166" spans="1:7" x14ac:dyDescent="0.25">
      <c r="A166" t="s">
        <v>7</v>
      </c>
      <c r="B166" t="s">
        <v>644</v>
      </c>
      <c r="C166" t="s">
        <v>645</v>
      </c>
      <c r="D166" t="s">
        <v>646</v>
      </c>
      <c r="E166" t="s">
        <v>647</v>
      </c>
      <c r="F166" t="s">
        <v>648</v>
      </c>
      <c r="G166" s="2" t="str">
        <f>HYPERLINK("https://probpalata.gov.ru/files/ИП220801917700000.jpeg","Скачать индивидуальный QR-код магазина")</f>
        <v>Скачать индивидуальный QR-код магазина</v>
      </c>
    </row>
    <row r="167" spans="1:7" x14ac:dyDescent="0.25">
      <c r="A167" t="s">
        <v>7</v>
      </c>
      <c r="B167" t="s">
        <v>649</v>
      </c>
      <c r="C167" t="s">
        <v>650</v>
      </c>
      <c r="D167" t="s">
        <v>651</v>
      </c>
      <c r="E167" t="s">
        <v>652</v>
      </c>
      <c r="F167" t="s">
        <v>653</v>
      </c>
      <c r="G167" s="2" t="str">
        <f>HYPERLINK("https://probpalata.gov.ru/files/ИП220801378500000.jpeg","Скачать индивидуальный QR-код магазина")</f>
        <v>Скачать индивидуальный QR-код магазина</v>
      </c>
    </row>
    <row r="168" spans="1:7" x14ac:dyDescent="0.25">
      <c r="A168" t="s">
        <v>7</v>
      </c>
      <c r="B168" t="s">
        <v>654</v>
      </c>
      <c r="C168" t="s">
        <v>655</v>
      </c>
      <c r="D168" t="s">
        <v>656</v>
      </c>
      <c r="E168" t="s">
        <v>657</v>
      </c>
      <c r="F168" t="s">
        <v>658</v>
      </c>
      <c r="G168" s="2" t="str">
        <f>HYPERLINK("https://probpalata.gov.ru/files/ИП220801200100000.jpeg","Скачать индивидуальный QR-код магазина")</f>
        <v>Скачать индивидуальный QR-код магазина</v>
      </c>
    </row>
    <row r="169" spans="1:7" x14ac:dyDescent="0.25">
      <c r="A169" t="s">
        <v>7</v>
      </c>
      <c r="B169" t="s">
        <v>659</v>
      </c>
      <c r="C169" t="s">
        <v>660</v>
      </c>
      <c r="D169" t="s">
        <v>661</v>
      </c>
      <c r="E169" t="s">
        <v>662</v>
      </c>
      <c r="F169" t="s">
        <v>663</v>
      </c>
      <c r="G169" s="2" t="str">
        <f>HYPERLINK("https://probpalata.gov.ru/files/ИП380801916600002.jpeg","Скачать индивидуальный QR-код магазина")</f>
        <v>Скачать индивидуальный QR-код магазина</v>
      </c>
    </row>
    <row r="170" spans="1:7" x14ac:dyDescent="0.25">
      <c r="A170" t="s">
        <v>7</v>
      </c>
      <c r="B170" t="s">
        <v>664</v>
      </c>
      <c r="C170" t="s">
        <v>665</v>
      </c>
      <c r="D170" t="s">
        <v>666</v>
      </c>
      <c r="E170" t="s">
        <v>667</v>
      </c>
      <c r="F170" t="s">
        <v>668</v>
      </c>
      <c r="G170" s="2" t="str">
        <f>HYPERLINK("https://probpalata.gov.ru/files/ЮЛ420801320200012.jpeg","Скачать индивидуальный QR-код магазина")</f>
        <v>Скачать индивидуальный QR-код магазина</v>
      </c>
    </row>
    <row r="171" spans="1:7" x14ac:dyDescent="0.25">
      <c r="A171" t="s">
        <v>7</v>
      </c>
      <c r="B171" t="s">
        <v>669</v>
      </c>
      <c r="C171" t="s">
        <v>665</v>
      </c>
      <c r="D171" t="s">
        <v>666</v>
      </c>
      <c r="E171" t="s">
        <v>667</v>
      </c>
      <c r="F171" t="s">
        <v>670</v>
      </c>
      <c r="G171" s="2" t="str">
        <f>HYPERLINK("https://probpalata.gov.ru/files/ЮЛ420801320200016.jpeg","Скачать индивидуальный QR-код магазина")</f>
        <v>Скачать индивидуальный QR-код магазина</v>
      </c>
    </row>
    <row r="172" spans="1:7" x14ac:dyDescent="0.25">
      <c r="A172" t="s">
        <v>7</v>
      </c>
      <c r="B172" t="s">
        <v>267</v>
      </c>
      <c r="C172" t="s">
        <v>671</v>
      </c>
      <c r="D172" t="s">
        <v>672</v>
      </c>
      <c r="E172" t="s">
        <v>673</v>
      </c>
      <c r="F172" t="s">
        <v>674</v>
      </c>
      <c r="G172" s="2" t="str">
        <f>HYPERLINK("https://probpalata.gov.ru/files/ИП500100445500037.jpeg","Скачать индивидуальный QR-код магазина")</f>
        <v>Скачать индивидуальный QR-код магазина</v>
      </c>
    </row>
    <row r="173" spans="1:7" x14ac:dyDescent="0.25">
      <c r="A173" t="s">
        <v>7</v>
      </c>
      <c r="B173" t="s">
        <v>675</v>
      </c>
      <c r="C173" t="s">
        <v>676</v>
      </c>
      <c r="D173" t="s">
        <v>677</v>
      </c>
      <c r="E173" t="s">
        <v>678</v>
      </c>
      <c r="F173" t="s">
        <v>679</v>
      </c>
      <c r="G173" s="2" t="str">
        <f>HYPERLINK("https://probpalata.gov.ru/files/ЮЛ500100709200000.jpeg","Скачать индивидуальный QR-код магазина")</f>
        <v>Скачать индивидуальный QR-код магазина</v>
      </c>
    </row>
    <row r="174" spans="1:7" x14ac:dyDescent="0.25">
      <c r="A174" t="s">
        <v>7</v>
      </c>
      <c r="B174" t="s">
        <v>680</v>
      </c>
      <c r="C174" t="s">
        <v>681</v>
      </c>
      <c r="D174" t="s">
        <v>682</v>
      </c>
      <c r="E174" t="s">
        <v>683</v>
      </c>
      <c r="F174" t="s">
        <v>684</v>
      </c>
      <c r="G174" s="2" t="str">
        <f>HYPERLINK("https://probpalata.gov.ru/files/ИП520600807800034.jpeg","Скачать индивидуальный QR-код магазина")</f>
        <v>Скачать индивидуальный QR-код магазина</v>
      </c>
    </row>
    <row r="175" spans="1:7" x14ac:dyDescent="0.25">
      <c r="A175" t="s">
        <v>7</v>
      </c>
      <c r="B175" t="s">
        <v>685</v>
      </c>
      <c r="C175" t="s">
        <v>686</v>
      </c>
      <c r="D175" t="s">
        <v>687</v>
      </c>
      <c r="E175" t="s">
        <v>688</v>
      </c>
      <c r="F175" t="s">
        <v>689</v>
      </c>
      <c r="G175" s="2" t="str">
        <f>HYPERLINK("https://probpalata.gov.ru/files/ЮЛ540801321100002.jpeg","Скачать индивидуальный QR-код магазина")</f>
        <v>Скачать индивидуальный QR-код магазина</v>
      </c>
    </row>
    <row r="176" spans="1:7" x14ac:dyDescent="0.25">
      <c r="A176" t="s">
        <v>7</v>
      </c>
      <c r="B176" t="s">
        <v>690</v>
      </c>
      <c r="C176" t="s">
        <v>686</v>
      </c>
      <c r="D176" t="s">
        <v>687</v>
      </c>
      <c r="E176" t="s">
        <v>688</v>
      </c>
      <c r="F176" t="s">
        <v>691</v>
      </c>
      <c r="G176" s="2" t="str">
        <f>HYPERLINK("https://probpalata.gov.ru/files/ЮЛ540801321100008.jpeg","Скачать индивидуальный QR-код магазина")</f>
        <v>Скачать индивидуальный QR-код магазина</v>
      </c>
    </row>
    <row r="177" spans="1:7" x14ac:dyDescent="0.25">
      <c r="A177" t="s">
        <v>7</v>
      </c>
      <c r="B177" t="s">
        <v>88</v>
      </c>
      <c r="C177" t="s">
        <v>686</v>
      </c>
      <c r="D177" t="s">
        <v>687</v>
      </c>
      <c r="E177" t="s">
        <v>688</v>
      </c>
      <c r="F177" t="s">
        <v>692</v>
      </c>
      <c r="G177" s="2" t="str">
        <f>HYPERLINK("https://probpalata.gov.ru/files/ЮЛ540801321100009.jpeg","Скачать индивидуальный QR-код магазина")</f>
        <v>Скачать индивидуальный QR-код магазина</v>
      </c>
    </row>
    <row r="178" spans="1:7" x14ac:dyDescent="0.25">
      <c r="A178" t="s">
        <v>7</v>
      </c>
      <c r="B178" t="s">
        <v>693</v>
      </c>
      <c r="C178" t="s">
        <v>694</v>
      </c>
      <c r="D178" t="s">
        <v>695</v>
      </c>
      <c r="E178" t="s">
        <v>696</v>
      </c>
      <c r="F178" t="s">
        <v>697</v>
      </c>
      <c r="G178" s="2" t="str">
        <f>HYPERLINK("https://probpalata.gov.ru/files/ЮЛ540801200600004.jpeg","Скачать индивидуальный QR-код магазина")</f>
        <v>Скачать индивидуальный QR-код магазина</v>
      </c>
    </row>
    <row r="179" spans="1:7" x14ac:dyDescent="0.25">
      <c r="A179" t="s">
        <v>7</v>
      </c>
      <c r="B179" t="s">
        <v>698</v>
      </c>
      <c r="C179" t="s">
        <v>699</v>
      </c>
      <c r="D179" t="s">
        <v>700</v>
      </c>
      <c r="E179" t="s">
        <v>701</v>
      </c>
      <c r="F179" t="s">
        <v>702</v>
      </c>
      <c r="G179" s="2" t="str">
        <f>HYPERLINK("https://probpalata.gov.ru/files/ИП540801120600000.jpeg","Скачать индивидуальный QR-код магазина")</f>
        <v>Скачать индивидуальный QR-код магазина</v>
      </c>
    </row>
    <row r="180" spans="1:7" x14ac:dyDescent="0.25">
      <c r="A180" t="s">
        <v>7</v>
      </c>
      <c r="B180" t="s">
        <v>187</v>
      </c>
      <c r="C180" t="s">
        <v>703</v>
      </c>
      <c r="D180" t="s">
        <v>704</v>
      </c>
      <c r="E180" t="s">
        <v>705</v>
      </c>
      <c r="F180" t="s">
        <v>706</v>
      </c>
      <c r="G180" s="2" t="str">
        <f>HYPERLINK("https://probpalata.gov.ru/files/ИП610400426600012.jpeg","Скачать индивидуальный QR-код магазина")</f>
        <v>Скачать индивидуальный QR-код магазина</v>
      </c>
    </row>
    <row r="181" spans="1:7" x14ac:dyDescent="0.25">
      <c r="A181" t="s">
        <v>7</v>
      </c>
      <c r="B181" t="s">
        <v>707</v>
      </c>
      <c r="C181" t="s">
        <v>708</v>
      </c>
      <c r="D181" t="s">
        <v>709</v>
      </c>
      <c r="E181" t="s">
        <v>710</v>
      </c>
      <c r="F181" t="s">
        <v>711</v>
      </c>
      <c r="G181" s="2" t="str">
        <f>HYPERLINK("https://probpalata.gov.ru/files/ИП220800782600004.jpeg","Скачать индивидуальный QR-код магазина")</f>
        <v>Скачать индивидуальный QR-код магазина</v>
      </c>
    </row>
    <row r="182" spans="1:7" x14ac:dyDescent="0.25">
      <c r="A182" t="s">
        <v>7</v>
      </c>
      <c r="B182" t="s">
        <v>712</v>
      </c>
      <c r="C182" t="s">
        <v>713</v>
      </c>
      <c r="D182" t="s">
        <v>714</v>
      </c>
      <c r="E182" t="s">
        <v>715</v>
      </c>
      <c r="F182" t="s">
        <v>716</v>
      </c>
      <c r="G182" s="2" t="str">
        <f>HYPERLINK("https://probpalata.gov.ru/files/ЮЛ770101216600132.jpeg","Скачать индивидуальный QR-код магазина")</f>
        <v>Скачать индивидуальный QR-код магазина</v>
      </c>
    </row>
    <row r="183" spans="1:7" x14ac:dyDescent="0.25">
      <c r="A183" t="s">
        <v>7</v>
      </c>
      <c r="B183" t="s">
        <v>717</v>
      </c>
      <c r="C183" t="s">
        <v>713</v>
      </c>
      <c r="D183" t="s">
        <v>714</v>
      </c>
      <c r="E183" t="s">
        <v>715</v>
      </c>
      <c r="F183" t="s">
        <v>718</v>
      </c>
      <c r="G183" s="2" t="str">
        <f>HYPERLINK("https://probpalata.gov.ru/files/ЮЛ770101216600295.jpeg","Скачать индивидуальный QR-код магазина")</f>
        <v>Скачать индивидуальный QR-код магазина</v>
      </c>
    </row>
    <row r="184" spans="1:7" x14ac:dyDescent="0.25">
      <c r="A184" t="s">
        <v>7</v>
      </c>
      <c r="B184" t="s">
        <v>719</v>
      </c>
      <c r="C184" t="s">
        <v>713</v>
      </c>
      <c r="D184" t="s">
        <v>714</v>
      </c>
      <c r="E184" t="s">
        <v>715</v>
      </c>
      <c r="F184" t="s">
        <v>720</v>
      </c>
      <c r="G184" s="2" t="str">
        <f>HYPERLINK("https://probpalata.gov.ru/files/ЮЛ770101216600309.jpeg","Скачать индивидуальный QR-код магазина")</f>
        <v>Скачать индивидуальный QR-код магазина</v>
      </c>
    </row>
    <row r="185" spans="1:7" x14ac:dyDescent="0.25">
      <c r="A185" t="s">
        <v>7</v>
      </c>
      <c r="B185" t="s">
        <v>721</v>
      </c>
      <c r="C185" t="s">
        <v>713</v>
      </c>
      <c r="D185" t="s">
        <v>714</v>
      </c>
      <c r="E185" t="s">
        <v>715</v>
      </c>
      <c r="F185" t="s">
        <v>722</v>
      </c>
      <c r="G185" s="2" t="str">
        <f>HYPERLINK("https://probpalata.gov.ru/files/ЮЛ770101216600468.jpeg","Скачать индивидуальный QR-код магазина")</f>
        <v>Скачать индивидуальный QR-код магазина</v>
      </c>
    </row>
    <row r="186" spans="1:7" x14ac:dyDescent="0.25">
      <c r="A186" t="s">
        <v>7</v>
      </c>
      <c r="B186" t="s">
        <v>723</v>
      </c>
      <c r="C186" t="s">
        <v>713</v>
      </c>
      <c r="D186" t="s">
        <v>714</v>
      </c>
      <c r="E186" t="s">
        <v>715</v>
      </c>
      <c r="F186" t="s">
        <v>724</v>
      </c>
      <c r="G186" s="2" t="str">
        <f>HYPERLINK("https://probpalata.gov.ru/files/ЮЛ770101216600488.jpeg","Скачать индивидуальный QR-код магазина")</f>
        <v>Скачать индивидуальный QR-код магазина</v>
      </c>
    </row>
    <row r="187" spans="1:7" x14ac:dyDescent="0.25">
      <c r="A187" t="s">
        <v>7</v>
      </c>
      <c r="B187" t="s">
        <v>725</v>
      </c>
      <c r="C187" t="s">
        <v>713</v>
      </c>
      <c r="D187" t="s">
        <v>714</v>
      </c>
      <c r="E187" t="s">
        <v>715</v>
      </c>
      <c r="F187" t="s">
        <v>726</v>
      </c>
      <c r="G187" s="2" t="str">
        <f>HYPERLINK("https://probpalata.gov.ru/files/ЮЛ770101216600545.jpeg","Скачать индивидуальный QR-код магазина")</f>
        <v>Скачать индивидуальный QR-код магазина</v>
      </c>
    </row>
    <row r="188" spans="1:7" x14ac:dyDescent="0.25">
      <c r="A188" t="s">
        <v>7</v>
      </c>
      <c r="B188" t="s">
        <v>727</v>
      </c>
      <c r="C188" t="s">
        <v>713</v>
      </c>
      <c r="D188" t="s">
        <v>714</v>
      </c>
      <c r="E188" t="s">
        <v>715</v>
      </c>
      <c r="F188" t="s">
        <v>728</v>
      </c>
      <c r="G188" s="2" t="str">
        <f>HYPERLINK("https://probpalata.gov.ru/files/ЮЛ770101216600546.jpeg","Скачать индивидуальный QR-код магазина")</f>
        <v>Скачать индивидуальный QR-код магазина</v>
      </c>
    </row>
    <row r="189" spans="1:7" x14ac:dyDescent="0.25">
      <c r="A189" t="s">
        <v>7</v>
      </c>
      <c r="B189" t="s">
        <v>729</v>
      </c>
      <c r="C189" t="s">
        <v>713</v>
      </c>
      <c r="D189" t="s">
        <v>714</v>
      </c>
      <c r="E189" t="s">
        <v>715</v>
      </c>
      <c r="F189" t="s">
        <v>730</v>
      </c>
      <c r="G189" s="2" t="str">
        <f>HYPERLINK("https://probpalata.gov.ru/files/ЮЛ770101216600599.jpeg","Скачать индивидуальный QR-код магазина")</f>
        <v>Скачать индивидуальный QR-код магазина</v>
      </c>
    </row>
    <row r="190" spans="1:7" x14ac:dyDescent="0.25">
      <c r="A190" t="s">
        <v>7</v>
      </c>
      <c r="B190" t="s">
        <v>731</v>
      </c>
      <c r="C190" t="s">
        <v>713</v>
      </c>
      <c r="D190" t="s">
        <v>714</v>
      </c>
      <c r="E190" t="s">
        <v>715</v>
      </c>
      <c r="F190" t="s">
        <v>732</v>
      </c>
      <c r="G190" s="2" t="str">
        <f>HYPERLINK("https://probpalata.gov.ru/files/ЮЛ770101216600664.jpeg","Скачать индивидуальный QR-код магазина")</f>
        <v>Скачать индивидуальный QR-код магазина</v>
      </c>
    </row>
    <row r="191" spans="1:7" x14ac:dyDescent="0.25">
      <c r="A191" t="s">
        <v>7</v>
      </c>
      <c r="B191" t="s">
        <v>733</v>
      </c>
      <c r="C191" t="s">
        <v>713</v>
      </c>
      <c r="D191" t="s">
        <v>714</v>
      </c>
      <c r="E191" t="s">
        <v>715</v>
      </c>
      <c r="F191" t="s">
        <v>734</v>
      </c>
      <c r="G191" s="2" t="str">
        <f>HYPERLINK("https://probpalata.gov.ru/files/ЮЛ770101216600715.jpeg","Скачать индивидуальный QR-код магазина")</f>
        <v>Скачать индивидуальный QR-код магазина</v>
      </c>
    </row>
    <row r="192" spans="1:7" x14ac:dyDescent="0.25">
      <c r="A192" t="s">
        <v>7</v>
      </c>
      <c r="B192" t="s">
        <v>735</v>
      </c>
      <c r="C192" t="s">
        <v>713</v>
      </c>
      <c r="D192" t="s">
        <v>714</v>
      </c>
      <c r="E192" t="s">
        <v>715</v>
      </c>
      <c r="F192" t="s">
        <v>736</v>
      </c>
      <c r="G192" s="2" t="str">
        <f>HYPERLINK("https://probpalata.gov.ru/files/ЮЛ770101216600738.jpeg","Скачать индивидуальный QR-код магазина")</f>
        <v>Скачать индивидуальный QR-код магазина</v>
      </c>
    </row>
    <row r="193" spans="1:7" x14ac:dyDescent="0.25">
      <c r="A193" t="s">
        <v>7</v>
      </c>
      <c r="B193" t="s">
        <v>737</v>
      </c>
      <c r="C193" t="s">
        <v>713</v>
      </c>
      <c r="D193" t="s">
        <v>714</v>
      </c>
      <c r="E193" t="s">
        <v>715</v>
      </c>
      <c r="F193" t="s">
        <v>738</v>
      </c>
      <c r="G193" s="2" t="str">
        <f>HYPERLINK("https://probpalata.gov.ru/files/ЮЛ770101216600758.jpeg","Скачать индивидуальный QR-код магазина")</f>
        <v>Скачать индивидуальный QR-код магазина</v>
      </c>
    </row>
    <row r="194" spans="1:7" x14ac:dyDescent="0.25">
      <c r="A194" t="s">
        <v>7</v>
      </c>
      <c r="B194" t="s">
        <v>739</v>
      </c>
      <c r="C194" t="s">
        <v>713</v>
      </c>
      <c r="D194" t="s">
        <v>714</v>
      </c>
      <c r="E194" t="s">
        <v>715</v>
      </c>
      <c r="F194" t="s">
        <v>740</v>
      </c>
      <c r="G194" s="2" t="str">
        <f>HYPERLINK("https://probpalata.gov.ru/files/ЮЛ770101216600824.jpeg","Скачать индивидуальный QR-код магазина")</f>
        <v>Скачать индивидуальный QR-код магазина</v>
      </c>
    </row>
    <row r="195" spans="1:7" x14ac:dyDescent="0.25">
      <c r="A195" t="s">
        <v>7</v>
      </c>
      <c r="B195" t="s">
        <v>741</v>
      </c>
      <c r="C195" t="s">
        <v>713</v>
      </c>
      <c r="D195" t="s">
        <v>714</v>
      </c>
      <c r="E195" t="s">
        <v>715</v>
      </c>
      <c r="F195" t="s">
        <v>742</v>
      </c>
      <c r="G195" s="2" t="str">
        <f>HYPERLINK("https://probpalata.gov.ru/files/ЮЛ770101216600876.jpeg","Скачать индивидуальный QR-код магазина")</f>
        <v>Скачать индивидуальный QR-код магазина</v>
      </c>
    </row>
    <row r="196" spans="1:7" x14ac:dyDescent="0.25">
      <c r="A196" t="s">
        <v>7</v>
      </c>
      <c r="B196" t="s">
        <v>743</v>
      </c>
      <c r="C196" t="s">
        <v>713</v>
      </c>
      <c r="D196" t="s">
        <v>714</v>
      </c>
      <c r="E196" t="s">
        <v>715</v>
      </c>
      <c r="F196" t="s">
        <v>744</v>
      </c>
      <c r="G196" s="2" t="str">
        <f>HYPERLINK("https://probpalata.gov.ru/files/ЮЛ770101216600922.jpeg","Скачать индивидуальный QR-код магазина")</f>
        <v>Скачать индивидуальный QR-код магазина</v>
      </c>
    </row>
    <row r="197" spans="1:7" x14ac:dyDescent="0.25">
      <c r="A197" t="s">
        <v>7</v>
      </c>
      <c r="B197" t="s">
        <v>745</v>
      </c>
      <c r="C197" t="s">
        <v>713</v>
      </c>
      <c r="D197" t="s">
        <v>714</v>
      </c>
      <c r="E197" t="s">
        <v>715</v>
      </c>
      <c r="F197" t="s">
        <v>746</v>
      </c>
      <c r="G197" s="2" t="str">
        <f>HYPERLINK("https://probpalata.gov.ru/files/ЮЛ770101216601006.jpeg","Скачать индивидуальный QR-код магазина")</f>
        <v>Скачать индивидуальный QR-код магазина</v>
      </c>
    </row>
    <row r="198" spans="1:7" x14ac:dyDescent="0.25">
      <c r="A198" t="s">
        <v>7</v>
      </c>
      <c r="B198" t="s">
        <v>747</v>
      </c>
      <c r="C198" t="s">
        <v>748</v>
      </c>
      <c r="D198" t="s">
        <v>749</v>
      </c>
      <c r="E198" t="s">
        <v>750</v>
      </c>
      <c r="F198" t="s">
        <v>751</v>
      </c>
      <c r="G198" s="2" t="str">
        <f>HYPERLINK("https://probpalata.gov.ru/files/ЮЛ770100193500306.jpeg","Скачать индивидуальный QR-код магазина")</f>
        <v>Скачать индивидуальный QR-код магазина</v>
      </c>
    </row>
    <row r="199" spans="1:7" x14ac:dyDescent="0.25">
      <c r="A199" t="s">
        <v>7</v>
      </c>
      <c r="B199" t="s">
        <v>752</v>
      </c>
      <c r="C199" t="s">
        <v>748</v>
      </c>
      <c r="D199" t="s">
        <v>749</v>
      </c>
      <c r="E199" t="s">
        <v>750</v>
      </c>
      <c r="F199" t="s">
        <v>753</v>
      </c>
      <c r="G199" s="2" t="str">
        <f>HYPERLINK("https://probpalata.gov.ru/files/ЮЛ770100193500307.jpeg","Скачать индивидуальный QR-код магазина")</f>
        <v>Скачать индивидуальный QR-код магазина</v>
      </c>
    </row>
    <row r="200" spans="1:7" x14ac:dyDescent="0.25">
      <c r="A200" t="s">
        <v>7</v>
      </c>
      <c r="B200" t="s">
        <v>754</v>
      </c>
      <c r="C200" t="s">
        <v>748</v>
      </c>
      <c r="D200" t="s">
        <v>749</v>
      </c>
      <c r="E200" t="s">
        <v>750</v>
      </c>
      <c r="F200" t="s">
        <v>755</v>
      </c>
      <c r="G200" s="2" t="str">
        <f>HYPERLINK("https://probpalata.gov.ru/files/ЮЛ770100193500308.jpeg","Скачать индивидуальный QR-код магазина")</f>
        <v>Скачать индивидуальный QR-код магазина</v>
      </c>
    </row>
    <row r="201" spans="1:7" x14ac:dyDescent="0.25">
      <c r="A201" t="s">
        <v>7</v>
      </c>
      <c r="B201" t="s">
        <v>756</v>
      </c>
      <c r="C201" t="s">
        <v>748</v>
      </c>
      <c r="D201" t="s">
        <v>749</v>
      </c>
      <c r="E201" t="s">
        <v>750</v>
      </c>
      <c r="F201" t="s">
        <v>757</v>
      </c>
      <c r="G201" s="2" t="str">
        <f>HYPERLINK("https://probpalata.gov.ru/files/ЮЛ770100193500309.jpeg","Скачать индивидуальный QR-код магазина")</f>
        <v>Скачать индивидуальный QR-код магазина</v>
      </c>
    </row>
    <row r="202" spans="1:7" x14ac:dyDescent="0.25">
      <c r="A202" t="s">
        <v>7</v>
      </c>
      <c r="B202" t="s">
        <v>758</v>
      </c>
      <c r="C202" t="s">
        <v>748</v>
      </c>
      <c r="D202" t="s">
        <v>749</v>
      </c>
      <c r="E202" t="s">
        <v>750</v>
      </c>
      <c r="F202" t="s">
        <v>759</v>
      </c>
      <c r="G202" s="2" t="str">
        <f>HYPERLINK("https://probpalata.gov.ru/files/ЮЛ770100193500659.jpeg","Скачать индивидуальный QR-код магазина")</f>
        <v>Скачать индивидуальный QR-код магазина</v>
      </c>
    </row>
    <row r="203" spans="1:7" x14ac:dyDescent="0.25">
      <c r="A203" t="s">
        <v>7</v>
      </c>
      <c r="B203" t="s">
        <v>760</v>
      </c>
      <c r="C203" t="s">
        <v>748</v>
      </c>
      <c r="D203" t="s">
        <v>749</v>
      </c>
      <c r="E203" t="s">
        <v>750</v>
      </c>
      <c r="F203" t="s">
        <v>761</v>
      </c>
      <c r="G203" s="2" t="str">
        <f>HYPERLINK("https://probpalata.gov.ru/files/ЮЛ770100193500706.jpeg","Скачать индивидуальный QR-код магазина")</f>
        <v>Скачать индивидуальный QR-код магазина</v>
      </c>
    </row>
    <row r="204" spans="1:7" x14ac:dyDescent="0.25">
      <c r="A204" t="s">
        <v>7</v>
      </c>
      <c r="B204" t="s">
        <v>762</v>
      </c>
      <c r="C204" t="s">
        <v>748</v>
      </c>
      <c r="D204" t="s">
        <v>749</v>
      </c>
      <c r="E204" t="s">
        <v>750</v>
      </c>
      <c r="F204" t="s">
        <v>763</v>
      </c>
      <c r="G204" s="2" t="str">
        <f>HYPERLINK("https://probpalata.gov.ru/files/ЮЛ770100193500747.jpeg","Скачать индивидуальный QR-код магазина")</f>
        <v>Скачать индивидуальный QR-код магазина</v>
      </c>
    </row>
    <row r="205" spans="1:7" x14ac:dyDescent="0.25">
      <c r="A205" t="s">
        <v>7</v>
      </c>
      <c r="B205" t="s">
        <v>764</v>
      </c>
      <c r="C205" t="s">
        <v>748</v>
      </c>
      <c r="D205" t="s">
        <v>749</v>
      </c>
      <c r="E205" t="s">
        <v>750</v>
      </c>
      <c r="F205" t="s">
        <v>765</v>
      </c>
      <c r="G205" s="2" t="str">
        <f>HYPERLINK("https://probpalata.gov.ru/files/ЮЛ770100193500793.jpeg","Скачать индивидуальный QR-код магазина")</f>
        <v>Скачать индивидуальный QR-код магазина</v>
      </c>
    </row>
    <row r="206" spans="1:7" x14ac:dyDescent="0.25">
      <c r="A206" t="s">
        <v>7</v>
      </c>
      <c r="B206" t="s">
        <v>766</v>
      </c>
      <c r="C206" t="s">
        <v>748</v>
      </c>
      <c r="D206" t="s">
        <v>749</v>
      </c>
      <c r="E206" t="s">
        <v>750</v>
      </c>
      <c r="F206" t="s">
        <v>767</v>
      </c>
      <c r="G206" s="2" t="str">
        <f>HYPERLINK("https://probpalata.gov.ru/files/ЮЛ770100193500827.jpeg","Скачать индивидуальный QR-код магазина")</f>
        <v>Скачать индивидуальный QR-код магазина</v>
      </c>
    </row>
    <row r="207" spans="1:7" x14ac:dyDescent="0.25">
      <c r="A207" t="s">
        <v>7</v>
      </c>
      <c r="B207" t="s">
        <v>768</v>
      </c>
      <c r="C207" t="s">
        <v>748</v>
      </c>
      <c r="D207" t="s">
        <v>749</v>
      </c>
      <c r="E207" t="s">
        <v>750</v>
      </c>
      <c r="F207" t="s">
        <v>769</v>
      </c>
      <c r="G207" s="2" t="str">
        <f>HYPERLINK("https://probpalata.gov.ru/files/ЮЛ770100193501122.jpeg","Скачать индивидуальный QR-код магазина")</f>
        <v>Скачать индивидуальный QR-код магазина</v>
      </c>
    </row>
    <row r="208" spans="1:7" x14ac:dyDescent="0.25">
      <c r="A208" t="s">
        <v>7</v>
      </c>
      <c r="B208" t="s">
        <v>770</v>
      </c>
      <c r="C208" t="s">
        <v>748</v>
      </c>
      <c r="D208" t="s">
        <v>749</v>
      </c>
      <c r="E208" t="s">
        <v>750</v>
      </c>
      <c r="F208" t="s">
        <v>771</v>
      </c>
      <c r="G208" s="2" t="str">
        <f>HYPERLINK("https://probpalata.gov.ru/files/ЮЛ770100193501140.jpeg","Скачать индивидуальный QR-код магазина")</f>
        <v>Скачать индивидуальный QR-код магазина</v>
      </c>
    </row>
    <row r="209" spans="1:7" x14ac:dyDescent="0.25">
      <c r="A209" t="s">
        <v>7</v>
      </c>
      <c r="B209" t="s">
        <v>772</v>
      </c>
      <c r="C209" t="s">
        <v>773</v>
      </c>
      <c r="D209" t="s">
        <v>774</v>
      </c>
      <c r="E209" t="s">
        <v>775</v>
      </c>
      <c r="F209" t="s">
        <v>776</v>
      </c>
      <c r="G209" s="2" t="str">
        <f>HYPERLINK("https://probpalata.gov.ru/files/ЮЛ780300131300094.jpeg","Скачать индивидуальный QR-код магазина")</f>
        <v>Скачать индивидуальный QR-код магазина</v>
      </c>
    </row>
    <row r="210" spans="1:7" x14ac:dyDescent="0.25">
      <c r="A210" t="s">
        <v>7</v>
      </c>
      <c r="B210" t="s">
        <v>777</v>
      </c>
      <c r="C210" t="s">
        <v>773</v>
      </c>
      <c r="D210" t="s">
        <v>774</v>
      </c>
      <c r="E210" t="s">
        <v>775</v>
      </c>
      <c r="F210" t="s">
        <v>778</v>
      </c>
      <c r="G210" s="2" t="str">
        <f>HYPERLINK("https://probpalata.gov.ru/files/ЮЛ780300131300309.jpeg","Скачать индивидуальный QR-код магазина")</f>
        <v>Скачать индивидуальный QR-код магазина</v>
      </c>
    </row>
    <row r="211" spans="1:7" x14ac:dyDescent="0.25">
      <c r="A211" t="s">
        <v>7</v>
      </c>
      <c r="B211" t="s">
        <v>779</v>
      </c>
      <c r="C211" t="s">
        <v>773</v>
      </c>
      <c r="D211" t="s">
        <v>774</v>
      </c>
      <c r="E211" t="s">
        <v>775</v>
      </c>
      <c r="F211" t="s">
        <v>780</v>
      </c>
      <c r="G211" s="2" t="str">
        <f>HYPERLINK("https://probpalata.gov.ru/files/ЮЛ780300131300310.jpeg","Скачать индивидуальный QR-код магазина")</f>
        <v>Скачать индивидуальный QR-код магазина</v>
      </c>
    </row>
    <row r="212" spans="1:7" x14ac:dyDescent="0.25">
      <c r="A212" t="s">
        <v>7</v>
      </c>
      <c r="B212" t="s">
        <v>187</v>
      </c>
      <c r="C212" t="s">
        <v>773</v>
      </c>
      <c r="D212" t="s">
        <v>774</v>
      </c>
      <c r="E212" t="s">
        <v>775</v>
      </c>
      <c r="F212" t="s">
        <v>781</v>
      </c>
      <c r="G212" s="2" t="str">
        <f>HYPERLINK("https://probpalata.gov.ru/files/ЮЛ780300131300311.jpeg","Скачать индивидуальный QR-код магазина")</f>
        <v>Скачать индивидуальный QR-код магазина</v>
      </c>
    </row>
    <row r="213" spans="1:7" x14ac:dyDescent="0.25">
      <c r="A213" t="s">
        <v>7</v>
      </c>
      <c r="B213" t="s">
        <v>782</v>
      </c>
      <c r="C213" t="s">
        <v>773</v>
      </c>
      <c r="D213" t="s">
        <v>774</v>
      </c>
      <c r="E213" t="s">
        <v>775</v>
      </c>
      <c r="F213" t="s">
        <v>783</v>
      </c>
      <c r="G213" s="2" t="str">
        <f>HYPERLINK("https://probpalata.gov.ru/files/ЮЛ780300131300314.jpeg","Скачать индивидуальный QR-код магазина")</f>
        <v>Скачать индивидуальный QR-код магазина</v>
      </c>
    </row>
    <row r="214" spans="1:7" x14ac:dyDescent="0.25">
      <c r="A214" t="s">
        <v>7</v>
      </c>
      <c r="B214" t="s">
        <v>784</v>
      </c>
      <c r="C214" t="s">
        <v>773</v>
      </c>
      <c r="D214" t="s">
        <v>774</v>
      </c>
      <c r="E214" t="s">
        <v>775</v>
      </c>
      <c r="F214" t="s">
        <v>785</v>
      </c>
      <c r="G214" s="2" t="str">
        <f>HYPERLINK("https://probpalata.gov.ru/files/ЮЛ780300131300387.jpeg","Скачать индивидуальный QR-код магазина")</f>
        <v>Скачать индивидуальный QR-код магазина</v>
      </c>
    </row>
    <row r="215" spans="1:7" x14ac:dyDescent="0.25">
      <c r="A215" t="s">
        <v>7</v>
      </c>
      <c r="B215" t="s">
        <v>786</v>
      </c>
      <c r="C215" t="s">
        <v>787</v>
      </c>
      <c r="D215" t="s">
        <v>788</v>
      </c>
      <c r="E215" t="s">
        <v>789</v>
      </c>
      <c r="F215" t="s">
        <v>790</v>
      </c>
      <c r="G215" s="2" t="str">
        <f>HYPERLINK("https://probpalata.gov.ru/files/ЮЛ780300328000143.jpeg","Скачать индивидуальный QR-код магазина")</f>
        <v>Скачать индивидуальный QR-код магазина</v>
      </c>
    </row>
    <row r="216" spans="1:7" x14ac:dyDescent="0.25">
      <c r="A216" t="s">
        <v>7</v>
      </c>
      <c r="B216" t="s">
        <v>273</v>
      </c>
      <c r="C216" t="s">
        <v>791</v>
      </c>
      <c r="D216" t="s">
        <v>792</v>
      </c>
      <c r="E216" t="s">
        <v>793</v>
      </c>
      <c r="F216" t="s">
        <v>794</v>
      </c>
      <c r="G216" s="2" t="str">
        <f>HYPERLINK("https://probpalata.gov.ru/files/ЮЛ780300323500039.jpeg","Скачать индивидуальный QR-код магазина")</f>
        <v>Скачать индивидуальный QR-код магазина</v>
      </c>
    </row>
    <row r="217" spans="1:7" x14ac:dyDescent="0.25">
      <c r="A217" t="s">
        <v>7</v>
      </c>
      <c r="B217" t="s">
        <v>795</v>
      </c>
      <c r="C217" t="s">
        <v>791</v>
      </c>
      <c r="D217" t="s">
        <v>792</v>
      </c>
      <c r="E217" t="s">
        <v>793</v>
      </c>
      <c r="F217" t="s">
        <v>796</v>
      </c>
      <c r="G217" s="2" t="str">
        <f>HYPERLINK("https://probpalata.gov.ru/files/ЮЛ780300323500207.jpeg","Скачать индивидуальный QR-код магазина")</f>
        <v>Скачать индивидуальный QR-код магазина</v>
      </c>
    </row>
    <row r="218" spans="1:7" x14ac:dyDescent="0.25">
      <c r="A218" t="s">
        <v>7</v>
      </c>
      <c r="B218" t="s">
        <v>797</v>
      </c>
      <c r="C218" t="s">
        <v>798</v>
      </c>
      <c r="D218" t="s">
        <v>799</v>
      </c>
      <c r="E218" t="s">
        <v>800</v>
      </c>
      <c r="F218" t="s">
        <v>801</v>
      </c>
      <c r="G218" s="2" t="str">
        <f>HYPERLINK("https://probpalata.gov.ru/files/ЮЛ780300308200159.jpeg","Скачать индивидуальный QR-код магазина")</f>
        <v>Скачать индивидуальный QR-код магазина</v>
      </c>
    </row>
    <row r="219" spans="1:7" x14ac:dyDescent="0.25">
      <c r="A219" t="s">
        <v>7</v>
      </c>
      <c r="B219" t="s">
        <v>267</v>
      </c>
      <c r="C219" t="s">
        <v>798</v>
      </c>
      <c r="D219" t="s">
        <v>799</v>
      </c>
      <c r="E219" t="s">
        <v>800</v>
      </c>
      <c r="F219" t="s">
        <v>802</v>
      </c>
      <c r="G219" s="2" t="str">
        <f>HYPERLINK("https://probpalata.gov.ru/files/ЮЛ780300308200160.jpeg","Скачать индивидуальный QR-код магазина")</f>
        <v>Скачать индивидуальный QR-код магазина</v>
      </c>
    </row>
    <row r="220" spans="1:7" x14ac:dyDescent="0.25">
      <c r="A220" t="s">
        <v>7</v>
      </c>
      <c r="B220" t="s">
        <v>803</v>
      </c>
      <c r="C220" t="s">
        <v>798</v>
      </c>
      <c r="D220" t="s">
        <v>799</v>
      </c>
      <c r="E220" t="s">
        <v>800</v>
      </c>
      <c r="F220" t="s">
        <v>804</v>
      </c>
      <c r="G220" s="2" t="str">
        <f>HYPERLINK("https://probpalata.gov.ru/files/ЮЛ780300308200305.jpeg","Скачать индивидуальный QR-код магазина")</f>
        <v>Скачать индивидуальный QR-код магазина</v>
      </c>
    </row>
    <row r="221" spans="1:7" x14ac:dyDescent="0.25">
      <c r="A221" t="s">
        <v>7</v>
      </c>
      <c r="B221" t="s">
        <v>273</v>
      </c>
      <c r="C221" t="s">
        <v>798</v>
      </c>
      <c r="D221" t="s">
        <v>799</v>
      </c>
      <c r="E221" t="s">
        <v>800</v>
      </c>
      <c r="F221" t="s">
        <v>805</v>
      </c>
      <c r="G221" s="2" t="str">
        <f>HYPERLINK("https://probpalata.gov.ru/files/ЮЛ780300308200334.jpeg","Скачать индивидуальный QR-код магазина")</f>
        <v>Скачать индивидуальный QR-код магазина</v>
      </c>
    </row>
    <row r="222" spans="1:7" x14ac:dyDescent="0.25">
      <c r="A222" t="s">
        <v>7</v>
      </c>
      <c r="B222" t="s">
        <v>786</v>
      </c>
      <c r="C222" t="s">
        <v>798</v>
      </c>
      <c r="D222" t="s">
        <v>799</v>
      </c>
      <c r="E222" t="s">
        <v>800</v>
      </c>
      <c r="F222" t="s">
        <v>806</v>
      </c>
      <c r="G222" s="2" t="str">
        <f>HYPERLINK("https://probpalata.gov.ru/files/ЮЛ780300308200335.jpeg","Скачать индивидуальный QR-код магазина")</f>
        <v>Скачать индивидуальный QR-код магазина</v>
      </c>
    </row>
    <row r="223" spans="1:7" x14ac:dyDescent="0.25">
      <c r="A223" t="s">
        <v>7</v>
      </c>
      <c r="B223" t="s">
        <v>807</v>
      </c>
      <c r="C223" t="s">
        <v>798</v>
      </c>
      <c r="D223" t="s">
        <v>799</v>
      </c>
      <c r="E223" t="s">
        <v>800</v>
      </c>
      <c r="F223" t="s">
        <v>808</v>
      </c>
      <c r="G223" s="2" t="str">
        <f>HYPERLINK("https://probpalata.gov.ru/files/ЮЛ780300308200336.jpeg","Скачать индивидуальный QR-код магазина")</f>
        <v>Скачать индивидуальный QR-код магазина</v>
      </c>
    </row>
    <row r="224" spans="1:7" x14ac:dyDescent="0.25">
      <c r="A224" t="s">
        <v>7</v>
      </c>
      <c r="B224" t="s">
        <v>809</v>
      </c>
      <c r="C224" t="s">
        <v>798</v>
      </c>
      <c r="D224" t="s">
        <v>799</v>
      </c>
      <c r="E224" t="s">
        <v>800</v>
      </c>
      <c r="F224" t="s">
        <v>810</v>
      </c>
      <c r="G224" s="2" t="str">
        <f>HYPERLINK("https://probpalata.gov.ru/files/ЮЛ780300308200350.jpeg","Скачать индивидуальный QR-код магазина")</f>
        <v>Скачать индивидуальный QR-код магазина</v>
      </c>
    </row>
    <row r="225" spans="1:7" x14ac:dyDescent="0.25">
      <c r="A225" t="s">
        <v>7</v>
      </c>
      <c r="B225" t="s">
        <v>811</v>
      </c>
      <c r="C225" t="s">
        <v>798</v>
      </c>
      <c r="D225" t="s">
        <v>799</v>
      </c>
      <c r="E225" t="s">
        <v>800</v>
      </c>
      <c r="F225" t="s">
        <v>812</v>
      </c>
      <c r="G225" s="2" t="str">
        <f>HYPERLINK("https://probpalata.gov.ru/files/ЮЛ780300308200366.jpeg","Скачать индивидуальный QR-код магазина")</f>
        <v>Скачать индивидуальный QR-код магазина</v>
      </c>
    </row>
    <row r="226" spans="1:7" x14ac:dyDescent="0.25">
      <c r="A226" t="s">
        <v>7</v>
      </c>
      <c r="B226" t="s">
        <v>813</v>
      </c>
      <c r="C226" t="s">
        <v>798</v>
      </c>
      <c r="D226" t="s">
        <v>799</v>
      </c>
      <c r="E226" t="s">
        <v>800</v>
      </c>
      <c r="F226" t="s">
        <v>814</v>
      </c>
      <c r="G226" s="2" t="str">
        <f>HYPERLINK("https://probpalata.gov.ru/files/ЮЛ780300308200905.jpeg","Скачать индивидуальный QR-код магазина")</f>
        <v>Скачать индивидуальный QR-код магазина</v>
      </c>
    </row>
    <row r="227" spans="1:7" x14ac:dyDescent="0.25">
      <c r="A227" t="s">
        <v>7</v>
      </c>
      <c r="B227" t="s">
        <v>349</v>
      </c>
      <c r="C227" t="s">
        <v>798</v>
      </c>
      <c r="D227" t="s">
        <v>799</v>
      </c>
      <c r="E227" t="s">
        <v>800</v>
      </c>
      <c r="F227" t="s">
        <v>815</v>
      </c>
      <c r="G227" s="2" t="str">
        <f>HYPERLINK("https://probpalata.gov.ru/files/ЮЛ780300308200918.jpeg","Скачать индивидуальный QR-код магазина")</f>
        <v>Скачать индивидуальный QR-код магазина</v>
      </c>
    </row>
    <row r="228" spans="1:7" x14ac:dyDescent="0.25">
      <c r="A228" t="s">
        <v>7</v>
      </c>
      <c r="B228" t="s">
        <v>313</v>
      </c>
      <c r="C228" t="s">
        <v>798</v>
      </c>
      <c r="D228" t="s">
        <v>799</v>
      </c>
      <c r="E228" t="s">
        <v>800</v>
      </c>
      <c r="F228" t="s">
        <v>816</v>
      </c>
      <c r="G228" s="2" t="str">
        <f>HYPERLINK("https://probpalata.gov.ru/files/ЮЛ780300308200942.jpeg","Скачать индивидуальный QR-код магазина")</f>
        <v>Скачать индивидуальный QR-код магазина</v>
      </c>
    </row>
    <row r="229" spans="1:7" x14ac:dyDescent="0.25">
      <c r="A229" t="s">
        <v>7</v>
      </c>
      <c r="B229" t="s">
        <v>784</v>
      </c>
      <c r="C229" t="s">
        <v>798</v>
      </c>
      <c r="D229" t="s">
        <v>799</v>
      </c>
      <c r="E229" t="s">
        <v>800</v>
      </c>
      <c r="F229" t="s">
        <v>817</v>
      </c>
      <c r="G229" s="2" t="str">
        <f>HYPERLINK("https://probpalata.gov.ru/files/ЮЛ780300308200954.jpeg","Скачать индивидуальный QR-код магазина")</f>
        <v>Скачать индивидуальный QR-код магазина</v>
      </c>
    </row>
    <row r="230" spans="1:7" x14ac:dyDescent="0.25">
      <c r="A230" t="s">
        <v>7</v>
      </c>
      <c r="B230" t="s">
        <v>187</v>
      </c>
      <c r="C230" t="s">
        <v>798</v>
      </c>
      <c r="D230" t="s">
        <v>799</v>
      </c>
      <c r="E230" t="s">
        <v>800</v>
      </c>
      <c r="F230" t="s">
        <v>818</v>
      </c>
      <c r="G230" s="2" t="str">
        <f>HYPERLINK("https://probpalata.gov.ru/files/ЮЛ780300308201040.jpeg","Скачать индивидуальный QR-код магазина")</f>
        <v>Скачать индивидуальный QR-код магазина</v>
      </c>
    </row>
    <row r="231" spans="1:7" x14ac:dyDescent="0.25">
      <c r="A231" t="s">
        <v>7</v>
      </c>
      <c r="B231" t="s">
        <v>819</v>
      </c>
      <c r="C231" t="s">
        <v>798</v>
      </c>
      <c r="D231" t="s">
        <v>799</v>
      </c>
      <c r="E231" t="s">
        <v>800</v>
      </c>
      <c r="F231" t="s">
        <v>820</v>
      </c>
      <c r="G231" s="2" t="str">
        <f>HYPERLINK("https://probpalata.gov.ru/files/ЮЛ780300308201102.jpeg","Скачать индивидуальный QR-код магазина")</f>
        <v>Скачать индивидуальный QR-код магазина</v>
      </c>
    </row>
    <row r="232" spans="1:7" x14ac:dyDescent="0.25">
      <c r="A232" t="s">
        <v>7</v>
      </c>
      <c r="B232" t="s">
        <v>821</v>
      </c>
      <c r="C232" t="s">
        <v>798</v>
      </c>
      <c r="D232" t="s">
        <v>799</v>
      </c>
      <c r="E232" t="s">
        <v>800</v>
      </c>
      <c r="F232" t="s">
        <v>822</v>
      </c>
      <c r="G232" s="2" t="str">
        <f>HYPERLINK("https://probpalata.gov.ru/files/ЮЛ780300308201117.jpeg","Скачать индивидуальный QR-код магазина")</f>
        <v>Скачать индивидуальный QR-код магазина</v>
      </c>
    </row>
    <row r="233" spans="1:7" x14ac:dyDescent="0.25">
      <c r="A233" t="s">
        <v>7</v>
      </c>
      <c r="B233" t="s">
        <v>273</v>
      </c>
      <c r="C233" t="s">
        <v>823</v>
      </c>
      <c r="D233" t="s">
        <v>824</v>
      </c>
      <c r="E233" t="s">
        <v>825</v>
      </c>
      <c r="F233" t="s">
        <v>826</v>
      </c>
      <c r="G233" s="2" t="str">
        <f>HYPERLINK("https://probpalata.gov.ru/files/ЮЛ780300363500061.jpeg","Скачать индивидуальный QR-код магазина")</f>
        <v>Скачать индивидуальный QR-код магазина</v>
      </c>
    </row>
    <row r="234" spans="1:7" x14ac:dyDescent="0.25">
      <c r="A234" t="s">
        <v>7</v>
      </c>
      <c r="B234" t="s">
        <v>827</v>
      </c>
      <c r="C234" t="s">
        <v>823</v>
      </c>
      <c r="D234" t="s">
        <v>824</v>
      </c>
      <c r="E234" t="s">
        <v>825</v>
      </c>
      <c r="F234" t="s">
        <v>828</v>
      </c>
      <c r="G234" s="2" t="str">
        <f>HYPERLINK("https://probpalata.gov.ru/files/ЮЛ780300363500300.jpeg","Скачать индивидуальный QR-код магазина")</f>
        <v>Скачать индивидуальный QR-код магазина</v>
      </c>
    </row>
    <row r="235" spans="1:7" x14ac:dyDescent="0.25">
      <c r="A235" t="s">
        <v>829</v>
      </c>
      <c r="B235" t="s">
        <v>830</v>
      </c>
      <c r="C235" t="s">
        <v>831</v>
      </c>
      <c r="D235" t="s">
        <v>832</v>
      </c>
      <c r="E235" t="s">
        <v>833</v>
      </c>
      <c r="F235" t="s">
        <v>834</v>
      </c>
      <c r="G235" s="2" t="str">
        <f>HYPERLINK("https://probpalata.gov.ru/files/ИП280901821700000.jpeg","Скачать индивидуальный QR-код магазина")</f>
        <v>Скачать индивидуальный QR-код магазина</v>
      </c>
    </row>
    <row r="236" spans="1:7" x14ac:dyDescent="0.25">
      <c r="A236" t="s">
        <v>829</v>
      </c>
      <c r="B236" t="s">
        <v>835</v>
      </c>
      <c r="C236" t="s">
        <v>831</v>
      </c>
      <c r="D236" t="s">
        <v>832</v>
      </c>
      <c r="E236" t="s">
        <v>833</v>
      </c>
      <c r="F236" t="s">
        <v>836</v>
      </c>
      <c r="G236" s="2" t="str">
        <f>HYPERLINK("https://probpalata.gov.ru/files/ИП280901821700001.jpeg","Скачать индивидуальный QR-код магазина")</f>
        <v>Скачать индивидуальный QR-код магазина</v>
      </c>
    </row>
    <row r="237" spans="1:7" x14ac:dyDescent="0.25">
      <c r="A237" t="s">
        <v>829</v>
      </c>
      <c r="B237" t="s">
        <v>837</v>
      </c>
      <c r="C237" t="s">
        <v>838</v>
      </c>
      <c r="D237" t="s">
        <v>839</v>
      </c>
      <c r="E237" t="s">
        <v>840</v>
      </c>
      <c r="F237" t="s">
        <v>841</v>
      </c>
      <c r="G237" s="2" t="str">
        <f>HYPERLINK("https://probpalata.gov.ru/files/ЮЛ140900343400006.jpeg","Скачать индивидуальный QR-код магазина")</f>
        <v>Скачать индивидуальный QR-код магазина</v>
      </c>
    </row>
    <row r="238" spans="1:7" x14ac:dyDescent="0.25">
      <c r="A238" t="s">
        <v>829</v>
      </c>
      <c r="B238" t="s">
        <v>842</v>
      </c>
      <c r="C238" t="s">
        <v>843</v>
      </c>
      <c r="D238" t="s">
        <v>844</v>
      </c>
      <c r="E238" t="s">
        <v>845</v>
      </c>
      <c r="F238" t="s">
        <v>846</v>
      </c>
      <c r="G238" s="2" t="str">
        <f>HYPERLINK("https://probpalata.gov.ru/files/ИП250903190200013.jpeg","Скачать индивидуальный QR-код магазина")</f>
        <v>Скачать индивидуальный QR-код магазина</v>
      </c>
    </row>
    <row r="239" spans="1:7" x14ac:dyDescent="0.25">
      <c r="A239" t="s">
        <v>829</v>
      </c>
      <c r="B239" t="s">
        <v>847</v>
      </c>
      <c r="C239" t="s">
        <v>848</v>
      </c>
      <c r="D239" t="s">
        <v>849</v>
      </c>
      <c r="E239" t="s">
        <v>850</v>
      </c>
      <c r="F239" t="s">
        <v>851</v>
      </c>
      <c r="G239" s="2" t="str">
        <f>HYPERLINK("https://probpalata.gov.ru/files/ИП270901193700005.jpeg","Скачать индивидуальный QR-код магазина")</f>
        <v>Скачать индивидуальный QR-код магазина</v>
      </c>
    </row>
    <row r="240" spans="1:7" x14ac:dyDescent="0.25">
      <c r="A240" t="s">
        <v>829</v>
      </c>
      <c r="B240" t="s">
        <v>852</v>
      </c>
      <c r="C240" t="s">
        <v>853</v>
      </c>
      <c r="D240" t="s">
        <v>854</v>
      </c>
      <c r="E240" t="s">
        <v>855</v>
      </c>
      <c r="F240" t="s">
        <v>856</v>
      </c>
      <c r="G240" s="2" t="str">
        <f>HYPERLINK("https://probpalata.gov.ru/files/ИП270900039700002.jpeg","Скачать индивидуальный QR-код магазина")</f>
        <v>Скачать индивидуальный QR-код магазина</v>
      </c>
    </row>
    <row r="241" spans="1:7" x14ac:dyDescent="0.25">
      <c r="A241" t="s">
        <v>829</v>
      </c>
      <c r="B241" t="s">
        <v>857</v>
      </c>
      <c r="C241" t="s">
        <v>858</v>
      </c>
      <c r="D241" t="s">
        <v>859</v>
      </c>
      <c r="E241" t="s">
        <v>860</v>
      </c>
      <c r="F241" t="s">
        <v>861</v>
      </c>
      <c r="G241" s="2" t="str">
        <f>HYPERLINK("https://probpalata.gov.ru/files/ИП270900340900005.jpeg","Скачать индивидуальный QR-код магазина")</f>
        <v>Скачать индивидуальный QR-код магазина</v>
      </c>
    </row>
    <row r="242" spans="1:7" x14ac:dyDescent="0.25">
      <c r="A242" t="s">
        <v>829</v>
      </c>
      <c r="B242" t="s">
        <v>862</v>
      </c>
      <c r="C242" t="s">
        <v>863</v>
      </c>
      <c r="D242" t="s">
        <v>864</v>
      </c>
      <c r="E242" t="s">
        <v>865</v>
      </c>
      <c r="F242" t="s">
        <v>866</v>
      </c>
      <c r="G242" s="2" t="str">
        <f>HYPERLINK("https://probpalata.gov.ru/files/ЮЛ270900211200014.jpeg","Скачать индивидуальный QR-код магазина")</f>
        <v>Скачать индивидуальный QR-код магазина</v>
      </c>
    </row>
    <row r="243" spans="1:7" x14ac:dyDescent="0.25">
      <c r="A243" t="s">
        <v>829</v>
      </c>
      <c r="B243" t="s">
        <v>867</v>
      </c>
      <c r="C243" t="s">
        <v>863</v>
      </c>
      <c r="D243" t="s">
        <v>864</v>
      </c>
      <c r="E243" t="s">
        <v>865</v>
      </c>
      <c r="F243" t="s">
        <v>868</v>
      </c>
      <c r="G243" s="2" t="str">
        <f>HYPERLINK("https://probpalata.gov.ru/files/ЮЛ270900211200015.jpeg","Скачать индивидуальный QR-код магазина")</f>
        <v>Скачать индивидуальный QR-код магазина</v>
      </c>
    </row>
    <row r="244" spans="1:7" x14ac:dyDescent="0.25">
      <c r="A244" t="s">
        <v>829</v>
      </c>
      <c r="B244" t="s">
        <v>869</v>
      </c>
      <c r="C244" t="s">
        <v>863</v>
      </c>
      <c r="D244" t="s">
        <v>864</v>
      </c>
      <c r="E244" t="s">
        <v>865</v>
      </c>
      <c r="F244" t="s">
        <v>870</v>
      </c>
      <c r="G244" s="2" t="str">
        <f>HYPERLINK("https://probpalata.gov.ru/files/ЮЛ270900211200016.jpeg","Скачать индивидуальный QR-код магазина")</f>
        <v>Скачать индивидуальный QR-код магазина</v>
      </c>
    </row>
    <row r="245" spans="1:7" x14ac:dyDescent="0.25">
      <c r="A245" t="s">
        <v>829</v>
      </c>
      <c r="B245" t="s">
        <v>871</v>
      </c>
      <c r="C245" t="s">
        <v>863</v>
      </c>
      <c r="D245" t="s">
        <v>864</v>
      </c>
      <c r="E245" t="s">
        <v>865</v>
      </c>
      <c r="F245" t="s">
        <v>872</v>
      </c>
      <c r="G245" s="2" t="str">
        <f>HYPERLINK("https://probpalata.gov.ru/files/ЮЛ270900211200020.jpeg","Скачать индивидуальный QR-код магазина")</f>
        <v>Скачать индивидуальный QR-код магазина</v>
      </c>
    </row>
    <row r="246" spans="1:7" x14ac:dyDescent="0.25">
      <c r="A246" t="s">
        <v>829</v>
      </c>
      <c r="B246" t="s">
        <v>873</v>
      </c>
      <c r="C246" t="s">
        <v>863</v>
      </c>
      <c r="D246" t="s">
        <v>864</v>
      </c>
      <c r="E246" t="s">
        <v>865</v>
      </c>
      <c r="F246" t="s">
        <v>874</v>
      </c>
      <c r="G246" s="2" t="str">
        <f>HYPERLINK("https://probpalata.gov.ru/files/ЮЛ270900211200037.jpeg","Скачать индивидуальный QR-код магазина")</f>
        <v>Скачать индивидуальный QR-код магазина</v>
      </c>
    </row>
    <row r="247" spans="1:7" x14ac:dyDescent="0.25">
      <c r="A247" t="s">
        <v>829</v>
      </c>
      <c r="B247" t="s">
        <v>875</v>
      </c>
      <c r="C247" t="s">
        <v>863</v>
      </c>
      <c r="D247" t="s">
        <v>864</v>
      </c>
      <c r="E247" t="s">
        <v>865</v>
      </c>
      <c r="F247" t="s">
        <v>876</v>
      </c>
      <c r="G247" s="2" t="str">
        <f>HYPERLINK("https://probpalata.gov.ru/files/ЮЛ270900211200038.jpeg","Скачать индивидуальный QR-код магазина")</f>
        <v>Скачать индивидуальный QR-код магазина</v>
      </c>
    </row>
    <row r="248" spans="1:7" x14ac:dyDescent="0.25">
      <c r="A248" t="s">
        <v>829</v>
      </c>
      <c r="B248" t="s">
        <v>877</v>
      </c>
      <c r="C248" t="s">
        <v>863</v>
      </c>
      <c r="D248" t="s">
        <v>864</v>
      </c>
      <c r="E248" t="s">
        <v>865</v>
      </c>
      <c r="F248" t="s">
        <v>878</v>
      </c>
      <c r="G248" s="2" t="str">
        <f>HYPERLINK("https://probpalata.gov.ru/files/ЮЛ270900211200046.jpeg","Скачать индивидуальный QR-код магазина")</f>
        <v>Скачать индивидуальный QR-код магазина</v>
      </c>
    </row>
    <row r="249" spans="1:7" x14ac:dyDescent="0.25">
      <c r="A249" t="s">
        <v>829</v>
      </c>
      <c r="B249" t="s">
        <v>879</v>
      </c>
      <c r="C249" t="s">
        <v>863</v>
      </c>
      <c r="D249" t="s">
        <v>864</v>
      </c>
      <c r="E249" t="s">
        <v>865</v>
      </c>
      <c r="F249" t="s">
        <v>880</v>
      </c>
      <c r="G249" s="2" t="str">
        <f>HYPERLINK("https://probpalata.gov.ru/files/ЮЛ270900211200050.jpeg","Скачать индивидуальный QR-код магазина")</f>
        <v>Скачать индивидуальный QR-код магазина</v>
      </c>
    </row>
    <row r="250" spans="1:7" x14ac:dyDescent="0.25">
      <c r="A250" t="s">
        <v>829</v>
      </c>
      <c r="B250" t="s">
        <v>881</v>
      </c>
      <c r="C250" t="s">
        <v>863</v>
      </c>
      <c r="D250" t="s">
        <v>864</v>
      </c>
      <c r="E250" t="s">
        <v>865</v>
      </c>
      <c r="F250" t="s">
        <v>882</v>
      </c>
      <c r="G250" s="2" t="str">
        <f>HYPERLINK("https://probpalata.gov.ru/files/ЮЛ270900211200051.jpeg","Скачать индивидуальный QR-код магазина")</f>
        <v>Скачать индивидуальный QR-код магазина</v>
      </c>
    </row>
    <row r="251" spans="1:7" x14ac:dyDescent="0.25">
      <c r="A251" t="s">
        <v>829</v>
      </c>
      <c r="B251" t="s">
        <v>883</v>
      </c>
      <c r="C251" t="s">
        <v>863</v>
      </c>
      <c r="D251" t="s">
        <v>864</v>
      </c>
      <c r="E251" t="s">
        <v>865</v>
      </c>
      <c r="F251" t="s">
        <v>884</v>
      </c>
      <c r="G251" s="2" t="str">
        <f>HYPERLINK("https://probpalata.gov.ru/files/ЮЛ270900211200075.jpeg","Скачать индивидуальный QR-код магазина")</f>
        <v>Скачать индивидуальный QR-код магазина</v>
      </c>
    </row>
    <row r="252" spans="1:7" x14ac:dyDescent="0.25">
      <c r="A252" t="s">
        <v>829</v>
      </c>
      <c r="B252" t="s">
        <v>852</v>
      </c>
      <c r="C252" t="s">
        <v>885</v>
      </c>
      <c r="D252" t="s">
        <v>886</v>
      </c>
      <c r="E252" t="s">
        <v>887</v>
      </c>
      <c r="F252" t="s">
        <v>888</v>
      </c>
      <c r="G252" s="2" t="str">
        <f>HYPERLINK("https://probpalata.gov.ru/files/ИП270900018300005.jpeg","Скачать индивидуальный QR-код магазина")</f>
        <v>Скачать индивидуальный QR-код магазина</v>
      </c>
    </row>
    <row r="253" spans="1:7" x14ac:dyDescent="0.25">
      <c r="A253" t="s">
        <v>829</v>
      </c>
      <c r="B253" t="s">
        <v>889</v>
      </c>
      <c r="C253" t="s">
        <v>890</v>
      </c>
      <c r="D253" t="s">
        <v>891</v>
      </c>
      <c r="E253" t="s">
        <v>892</v>
      </c>
      <c r="F253" t="s">
        <v>893</v>
      </c>
      <c r="G253" s="2" t="str">
        <f>HYPERLINK("https://probpalata.gov.ru/files/ИП280900288700001.jpeg","Скачать индивидуальный QR-код магазина")</f>
        <v>Скачать индивидуальный QR-код магазина</v>
      </c>
    </row>
    <row r="254" spans="1:7" x14ac:dyDescent="0.25">
      <c r="A254" t="s">
        <v>829</v>
      </c>
      <c r="B254" t="s">
        <v>894</v>
      </c>
      <c r="C254" t="s">
        <v>890</v>
      </c>
      <c r="D254" t="s">
        <v>891</v>
      </c>
      <c r="E254" t="s">
        <v>892</v>
      </c>
      <c r="F254" t="s">
        <v>895</v>
      </c>
      <c r="G254" s="2" t="str">
        <f>HYPERLINK("https://probpalata.gov.ru/files/ИП280900288700002.jpeg","Скачать индивидуальный QR-код магазина")</f>
        <v>Скачать индивидуальный QR-код магазина</v>
      </c>
    </row>
    <row r="255" spans="1:7" x14ac:dyDescent="0.25">
      <c r="A255" t="s">
        <v>829</v>
      </c>
      <c r="B255" t="s">
        <v>896</v>
      </c>
      <c r="C255" t="s">
        <v>890</v>
      </c>
      <c r="D255" t="s">
        <v>891</v>
      </c>
      <c r="E255" t="s">
        <v>892</v>
      </c>
      <c r="F255" t="s">
        <v>897</v>
      </c>
      <c r="G255" s="2" t="str">
        <f>HYPERLINK("https://probpalata.gov.ru/files/ИП280900288700003.jpeg","Скачать индивидуальный QR-код магазина")</f>
        <v>Скачать индивидуальный QR-код магазина</v>
      </c>
    </row>
    <row r="256" spans="1:7" x14ac:dyDescent="0.25">
      <c r="A256" t="s">
        <v>829</v>
      </c>
      <c r="B256" t="s">
        <v>898</v>
      </c>
      <c r="C256" t="s">
        <v>890</v>
      </c>
      <c r="D256" t="s">
        <v>891</v>
      </c>
      <c r="E256" t="s">
        <v>892</v>
      </c>
      <c r="F256" t="s">
        <v>899</v>
      </c>
      <c r="G256" s="2" t="str">
        <f>HYPERLINK("https://probpalata.gov.ru/files/ИП280900288700004.jpeg","Скачать индивидуальный QR-код магазина")</f>
        <v>Скачать индивидуальный QR-код магазина</v>
      </c>
    </row>
    <row r="257" spans="1:7" x14ac:dyDescent="0.25">
      <c r="A257" t="s">
        <v>829</v>
      </c>
      <c r="B257" t="s">
        <v>900</v>
      </c>
      <c r="C257" t="s">
        <v>890</v>
      </c>
      <c r="D257" t="s">
        <v>891</v>
      </c>
      <c r="E257" t="s">
        <v>892</v>
      </c>
      <c r="F257" t="s">
        <v>901</v>
      </c>
      <c r="G257" s="2" t="str">
        <f>HYPERLINK("https://probpalata.gov.ru/files/ИП280900288700005.jpeg","Скачать индивидуальный QR-код магазина")</f>
        <v>Скачать индивидуальный QR-код магазина</v>
      </c>
    </row>
    <row r="258" spans="1:7" x14ac:dyDescent="0.25">
      <c r="A258" t="s">
        <v>829</v>
      </c>
      <c r="B258" t="s">
        <v>902</v>
      </c>
      <c r="C258" t="s">
        <v>903</v>
      </c>
      <c r="D258" t="s">
        <v>904</v>
      </c>
      <c r="E258" t="s">
        <v>905</v>
      </c>
      <c r="F258" t="s">
        <v>906</v>
      </c>
      <c r="G258" s="2" t="str">
        <f>HYPERLINK("https://probpalata.gov.ru/files/ИП280901090600001.jpeg","Скачать индивидуальный QR-код магазина")</f>
        <v>Скачать индивидуальный QR-код магазина</v>
      </c>
    </row>
    <row r="259" spans="1:7" x14ac:dyDescent="0.25">
      <c r="A259" t="s">
        <v>829</v>
      </c>
      <c r="B259" t="s">
        <v>907</v>
      </c>
      <c r="C259" t="s">
        <v>903</v>
      </c>
      <c r="D259" t="s">
        <v>904</v>
      </c>
      <c r="E259" t="s">
        <v>905</v>
      </c>
      <c r="F259" t="s">
        <v>908</v>
      </c>
      <c r="G259" s="2" t="str">
        <f>HYPERLINK("https://probpalata.gov.ru/files/ИП280901090600002.jpeg","Скачать индивидуальный QR-код магазина")</f>
        <v>Скачать индивидуальный QR-код магазина</v>
      </c>
    </row>
    <row r="260" spans="1:7" x14ac:dyDescent="0.25">
      <c r="A260" t="s">
        <v>829</v>
      </c>
      <c r="B260" t="s">
        <v>909</v>
      </c>
      <c r="C260" t="s">
        <v>903</v>
      </c>
      <c r="D260" t="s">
        <v>904</v>
      </c>
      <c r="E260" t="s">
        <v>905</v>
      </c>
      <c r="F260" t="s">
        <v>910</v>
      </c>
      <c r="G260" s="2" t="str">
        <f>HYPERLINK("https://probpalata.gov.ru/files/ИП280901090600004.jpeg","Скачать индивидуальный QR-код магазина")</f>
        <v>Скачать индивидуальный QR-код магазина</v>
      </c>
    </row>
    <row r="261" spans="1:7" x14ac:dyDescent="0.25">
      <c r="A261" t="s">
        <v>829</v>
      </c>
      <c r="B261" t="s">
        <v>911</v>
      </c>
      <c r="C261" t="s">
        <v>903</v>
      </c>
      <c r="D261" t="s">
        <v>904</v>
      </c>
      <c r="E261" t="s">
        <v>905</v>
      </c>
      <c r="F261" t="s">
        <v>912</v>
      </c>
      <c r="G261" s="2" t="str">
        <f>HYPERLINK("https://probpalata.gov.ru/files/ИП280901090600005.jpeg","Скачать индивидуальный QR-код магазина")</f>
        <v>Скачать индивидуальный QR-код магазина</v>
      </c>
    </row>
    <row r="262" spans="1:7" x14ac:dyDescent="0.25">
      <c r="A262" t="s">
        <v>829</v>
      </c>
      <c r="B262" t="s">
        <v>913</v>
      </c>
      <c r="C262" t="s">
        <v>903</v>
      </c>
      <c r="D262" t="s">
        <v>904</v>
      </c>
      <c r="E262" t="s">
        <v>905</v>
      </c>
      <c r="F262" t="s">
        <v>914</v>
      </c>
      <c r="G262" s="2" t="str">
        <f>HYPERLINK("https://probpalata.gov.ru/files/ИП280901090600006.jpeg","Скачать индивидуальный QR-код магазина")</f>
        <v>Скачать индивидуальный QR-код магазина</v>
      </c>
    </row>
    <row r="263" spans="1:7" x14ac:dyDescent="0.25">
      <c r="A263" t="s">
        <v>829</v>
      </c>
      <c r="B263" t="s">
        <v>915</v>
      </c>
      <c r="C263" t="s">
        <v>903</v>
      </c>
      <c r="D263" t="s">
        <v>904</v>
      </c>
      <c r="E263" t="s">
        <v>905</v>
      </c>
      <c r="F263" t="s">
        <v>916</v>
      </c>
      <c r="G263" s="2" t="str">
        <f>HYPERLINK("https://probpalata.gov.ru/files/ИП280901090600007.jpeg","Скачать индивидуальный QR-код магазина")</f>
        <v>Скачать индивидуальный QR-код магазина</v>
      </c>
    </row>
    <row r="264" spans="1:7" x14ac:dyDescent="0.25">
      <c r="A264" t="s">
        <v>829</v>
      </c>
      <c r="B264" t="s">
        <v>917</v>
      </c>
      <c r="C264" t="s">
        <v>903</v>
      </c>
      <c r="D264" t="s">
        <v>904</v>
      </c>
      <c r="E264" t="s">
        <v>905</v>
      </c>
      <c r="F264" t="s">
        <v>918</v>
      </c>
      <c r="G264" s="2" t="str">
        <f>HYPERLINK("https://probpalata.gov.ru/files/ИП280901090600009.jpeg","Скачать индивидуальный QR-код магазина")</f>
        <v>Скачать индивидуальный QR-код магазина</v>
      </c>
    </row>
    <row r="265" spans="1:7" x14ac:dyDescent="0.25">
      <c r="A265" t="s">
        <v>829</v>
      </c>
      <c r="B265" t="s">
        <v>919</v>
      </c>
      <c r="C265" t="s">
        <v>903</v>
      </c>
      <c r="D265" t="s">
        <v>904</v>
      </c>
      <c r="E265" t="s">
        <v>905</v>
      </c>
      <c r="F265" t="s">
        <v>920</v>
      </c>
      <c r="G265" s="2" t="str">
        <f>HYPERLINK("https://probpalata.gov.ru/files/ИП280901090600010.jpeg","Скачать индивидуальный QR-код магазина")</f>
        <v>Скачать индивидуальный QR-код магазина</v>
      </c>
    </row>
    <row r="266" spans="1:7" x14ac:dyDescent="0.25">
      <c r="A266" t="s">
        <v>829</v>
      </c>
      <c r="B266" t="s">
        <v>921</v>
      </c>
      <c r="C266" t="s">
        <v>903</v>
      </c>
      <c r="D266" t="s">
        <v>904</v>
      </c>
      <c r="E266" t="s">
        <v>905</v>
      </c>
      <c r="F266" t="s">
        <v>922</v>
      </c>
      <c r="G266" s="2" t="str">
        <f>HYPERLINK("https://probpalata.gov.ru/files/ИП280901090600011.jpeg","Скачать индивидуальный QR-код магазина")</f>
        <v>Скачать индивидуальный QR-код магазина</v>
      </c>
    </row>
    <row r="267" spans="1:7" x14ac:dyDescent="0.25">
      <c r="A267" t="s">
        <v>829</v>
      </c>
      <c r="B267" t="s">
        <v>923</v>
      </c>
      <c r="C267" t="s">
        <v>903</v>
      </c>
      <c r="D267" t="s">
        <v>904</v>
      </c>
      <c r="E267" t="s">
        <v>905</v>
      </c>
      <c r="F267" t="s">
        <v>924</v>
      </c>
      <c r="G267" s="2" t="str">
        <f>HYPERLINK("https://probpalata.gov.ru/files/ИП280901090600013.jpeg","Скачать индивидуальный QR-код магазина")</f>
        <v>Скачать индивидуальный QR-код магазина</v>
      </c>
    </row>
    <row r="268" spans="1:7" x14ac:dyDescent="0.25">
      <c r="A268" t="s">
        <v>829</v>
      </c>
      <c r="B268" t="s">
        <v>925</v>
      </c>
      <c r="C268" t="s">
        <v>903</v>
      </c>
      <c r="D268" t="s">
        <v>904</v>
      </c>
      <c r="E268" t="s">
        <v>905</v>
      </c>
      <c r="F268" t="s">
        <v>926</v>
      </c>
      <c r="G268" s="2" t="str">
        <f>HYPERLINK("https://probpalata.gov.ru/files/ИП280901090600014.jpeg","Скачать индивидуальный QR-код магазина")</f>
        <v>Скачать индивидуальный QR-код магазина</v>
      </c>
    </row>
    <row r="269" spans="1:7" x14ac:dyDescent="0.25">
      <c r="A269" t="s">
        <v>829</v>
      </c>
      <c r="B269" t="s">
        <v>927</v>
      </c>
      <c r="C269" t="s">
        <v>903</v>
      </c>
      <c r="D269" t="s">
        <v>904</v>
      </c>
      <c r="E269" t="s">
        <v>905</v>
      </c>
      <c r="F269" t="s">
        <v>928</v>
      </c>
      <c r="G269" s="2" t="str">
        <f>HYPERLINK("https://probpalata.gov.ru/files/ИП280901090600015.jpeg","Скачать индивидуальный QR-код магазина")</f>
        <v>Скачать индивидуальный QR-код магазина</v>
      </c>
    </row>
    <row r="270" spans="1:7" x14ac:dyDescent="0.25">
      <c r="A270" t="s">
        <v>829</v>
      </c>
      <c r="B270" t="s">
        <v>929</v>
      </c>
      <c r="C270" t="s">
        <v>903</v>
      </c>
      <c r="D270" t="s">
        <v>904</v>
      </c>
      <c r="E270" t="s">
        <v>905</v>
      </c>
      <c r="F270" t="s">
        <v>930</v>
      </c>
      <c r="G270" s="2" t="str">
        <f>HYPERLINK("https://probpalata.gov.ru/files/ИП280901090600016.jpeg","Скачать индивидуальный QR-код магазина")</f>
        <v>Скачать индивидуальный QR-код магазина</v>
      </c>
    </row>
    <row r="271" spans="1:7" x14ac:dyDescent="0.25">
      <c r="A271" t="s">
        <v>829</v>
      </c>
      <c r="B271" t="s">
        <v>931</v>
      </c>
      <c r="C271" t="s">
        <v>903</v>
      </c>
      <c r="D271" t="s">
        <v>904</v>
      </c>
      <c r="E271" t="s">
        <v>905</v>
      </c>
      <c r="F271" t="s">
        <v>932</v>
      </c>
      <c r="G271" s="2" t="str">
        <f>HYPERLINK("https://probpalata.gov.ru/files/ИП280901090600017.jpeg","Скачать индивидуальный QR-код магазина")</f>
        <v>Скачать индивидуальный QR-код магазина</v>
      </c>
    </row>
    <row r="272" spans="1:7" x14ac:dyDescent="0.25">
      <c r="A272" t="s">
        <v>829</v>
      </c>
      <c r="B272" t="s">
        <v>933</v>
      </c>
      <c r="C272" t="s">
        <v>903</v>
      </c>
      <c r="D272" t="s">
        <v>904</v>
      </c>
      <c r="E272" t="s">
        <v>905</v>
      </c>
      <c r="F272" t="s">
        <v>934</v>
      </c>
      <c r="G272" s="2" t="str">
        <f>HYPERLINK("https://probpalata.gov.ru/files/ИП280901090600020.jpeg","Скачать индивидуальный QR-код магазина")</f>
        <v>Скачать индивидуальный QR-код магазина</v>
      </c>
    </row>
    <row r="273" spans="1:7" x14ac:dyDescent="0.25">
      <c r="A273" t="s">
        <v>829</v>
      </c>
      <c r="B273" t="s">
        <v>935</v>
      </c>
      <c r="C273" t="s">
        <v>903</v>
      </c>
      <c r="D273" t="s">
        <v>904</v>
      </c>
      <c r="E273" t="s">
        <v>905</v>
      </c>
      <c r="F273" t="s">
        <v>936</v>
      </c>
      <c r="G273" s="2" t="str">
        <f>HYPERLINK("https://probpalata.gov.ru/files/ИП280901090600021.jpeg","Скачать индивидуальный QR-код магазина")</f>
        <v>Скачать индивидуальный QR-код магазина</v>
      </c>
    </row>
    <row r="274" spans="1:7" x14ac:dyDescent="0.25">
      <c r="A274" t="s">
        <v>829</v>
      </c>
      <c r="B274" t="s">
        <v>937</v>
      </c>
      <c r="C274" t="s">
        <v>938</v>
      </c>
      <c r="D274" t="s">
        <v>939</v>
      </c>
      <c r="E274" t="s">
        <v>940</v>
      </c>
      <c r="F274" t="s">
        <v>941</v>
      </c>
      <c r="G274" s="2" t="str">
        <f>HYPERLINK("https://probpalata.gov.ru/files/ИП280901156400000.jpeg","Скачать индивидуальный QR-код магазина")</f>
        <v>Скачать индивидуальный QR-код магазина</v>
      </c>
    </row>
    <row r="275" spans="1:7" x14ac:dyDescent="0.25">
      <c r="A275" t="s">
        <v>829</v>
      </c>
      <c r="B275" t="s">
        <v>942</v>
      </c>
      <c r="C275" t="s">
        <v>943</v>
      </c>
      <c r="D275" t="s">
        <v>944</v>
      </c>
      <c r="E275" t="s">
        <v>945</v>
      </c>
      <c r="F275" t="s">
        <v>946</v>
      </c>
      <c r="G275" s="2" t="str">
        <f>HYPERLINK("https://probpalata.gov.ru/files/ИП280900247500000.jpeg","Скачать индивидуальный QR-код магазина")</f>
        <v>Скачать индивидуальный QR-код магазина</v>
      </c>
    </row>
    <row r="276" spans="1:7" x14ac:dyDescent="0.25">
      <c r="A276" t="s">
        <v>829</v>
      </c>
      <c r="B276" t="s">
        <v>947</v>
      </c>
      <c r="C276" t="s">
        <v>943</v>
      </c>
      <c r="D276" t="s">
        <v>944</v>
      </c>
      <c r="E276" t="s">
        <v>945</v>
      </c>
      <c r="F276" t="s">
        <v>948</v>
      </c>
      <c r="G276" s="2" t="str">
        <f>HYPERLINK("https://probpalata.gov.ru/files/ИП280900247500001.jpeg","Скачать индивидуальный QR-код магазина")</f>
        <v>Скачать индивидуальный QR-код магазина</v>
      </c>
    </row>
    <row r="277" spans="1:7" x14ac:dyDescent="0.25">
      <c r="A277" t="s">
        <v>829</v>
      </c>
      <c r="B277" t="s">
        <v>883</v>
      </c>
      <c r="C277" t="s">
        <v>943</v>
      </c>
      <c r="D277" t="s">
        <v>944</v>
      </c>
      <c r="E277" t="s">
        <v>945</v>
      </c>
      <c r="F277" t="s">
        <v>949</v>
      </c>
      <c r="G277" s="2" t="str">
        <f>HYPERLINK("https://probpalata.gov.ru/files/ИП280900247500002.jpeg","Скачать индивидуальный QR-код магазина")</f>
        <v>Скачать индивидуальный QR-код магазина</v>
      </c>
    </row>
    <row r="278" spans="1:7" x14ac:dyDescent="0.25">
      <c r="A278" t="s">
        <v>829</v>
      </c>
      <c r="B278" t="s">
        <v>950</v>
      </c>
      <c r="C278" t="s">
        <v>951</v>
      </c>
      <c r="D278" t="s">
        <v>952</v>
      </c>
      <c r="E278" t="s">
        <v>953</v>
      </c>
      <c r="F278" t="s">
        <v>954</v>
      </c>
      <c r="G278" s="2" t="str">
        <f>HYPERLINK("https://probpalata.gov.ru/files/ИП280900494900001.jpeg","Скачать индивидуальный QR-код магазина")</f>
        <v>Скачать индивидуальный QR-код магазина</v>
      </c>
    </row>
    <row r="279" spans="1:7" x14ac:dyDescent="0.25">
      <c r="A279" t="s">
        <v>829</v>
      </c>
      <c r="B279" t="s">
        <v>955</v>
      </c>
      <c r="C279" t="s">
        <v>951</v>
      </c>
      <c r="D279" t="s">
        <v>952</v>
      </c>
      <c r="E279" t="s">
        <v>953</v>
      </c>
      <c r="F279" t="s">
        <v>956</v>
      </c>
      <c r="G279" s="2" t="str">
        <f>HYPERLINK("https://probpalata.gov.ru/files/ИП280900494900002.jpeg","Скачать индивидуальный QR-код магазина")</f>
        <v>Скачать индивидуальный QR-код магазина</v>
      </c>
    </row>
    <row r="280" spans="1:7" x14ac:dyDescent="0.25">
      <c r="A280" t="s">
        <v>829</v>
      </c>
      <c r="B280" t="s">
        <v>883</v>
      </c>
      <c r="C280" t="s">
        <v>951</v>
      </c>
      <c r="D280" t="s">
        <v>952</v>
      </c>
      <c r="E280" t="s">
        <v>953</v>
      </c>
      <c r="F280" t="s">
        <v>957</v>
      </c>
      <c r="G280" s="2" t="str">
        <f>HYPERLINK("https://probpalata.gov.ru/files/ИП280900494900003.jpeg","Скачать индивидуальный QR-код магазина")</f>
        <v>Скачать индивидуальный QR-код магазина</v>
      </c>
    </row>
    <row r="281" spans="1:7" x14ac:dyDescent="0.25">
      <c r="A281" t="s">
        <v>829</v>
      </c>
      <c r="B281" t="s">
        <v>883</v>
      </c>
      <c r="C281" t="s">
        <v>951</v>
      </c>
      <c r="D281" t="s">
        <v>952</v>
      </c>
      <c r="E281" t="s">
        <v>953</v>
      </c>
      <c r="F281" t="s">
        <v>958</v>
      </c>
      <c r="G281" s="2" t="str">
        <f>HYPERLINK("https://probpalata.gov.ru/files/ИП280900494900004.jpeg","Скачать индивидуальный QR-код магазина")</f>
        <v>Скачать индивидуальный QR-код магазина</v>
      </c>
    </row>
    <row r="282" spans="1:7" x14ac:dyDescent="0.25">
      <c r="A282" t="s">
        <v>829</v>
      </c>
      <c r="B282" t="s">
        <v>959</v>
      </c>
      <c r="C282" t="s">
        <v>951</v>
      </c>
      <c r="D282" t="s">
        <v>952</v>
      </c>
      <c r="E282" t="s">
        <v>953</v>
      </c>
      <c r="F282" t="s">
        <v>960</v>
      </c>
      <c r="G282" s="2" t="str">
        <f>HYPERLINK("https://probpalata.gov.ru/files/ИП280900494900005.jpeg","Скачать индивидуальный QR-код магазина")</f>
        <v>Скачать индивидуальный QR-код магазина</v>
      </c>
    </row>
    <row r="283" spans="1:7" x14ac:dyDescent="0.25">
      <c r="A283" t="s">
        <v>829</v>
      </c>
      <c r="B283" t="s">
        <v>961</v>
      </c>
      <c r="C283" t="s">
        <v>962</v>
      </c>
      <c r="D283" t="s">
        <v>963</v>
      </c>
      <c r="E283" t="s">
        <v>964</v>
      </c>
      <c r="F283" t="s">
        <v>965</v>
      </c>
      <c r="G283" s="2" t="str">
        <f>HYPERLINK("https://probpalata.gov.ru/files/ИП280900051000000.jpeg","Скачать индивидуальный QR-код магазина")</f>
        <v>Скачать индивидуальный QR-код магазина</v>
      </c>
    </row>
    <row r="284" spans="1:7" x14ac:dyDescent="0.25">
      <c r="A284" t="s">
        <v>829</v>
      </c>
      <c r="B284" t="s">
        <v>966</v>
      </c>
      <c r="C284" t="s">
        <v>962</v>
      </c>
      <c r="D284" t="s">
        <v>963</v>
      </c>
      <c r="E284" t="s">
        <v>964</v>
      </c>
      <c r="F284" t="s">
        <v>967</v>
      </c>
      <c r="G284" s="2" t="str">
        <f>HYPERLINK("https://probpalata.gov.ru/files/ИП280900051000003.jpeg","Скачать индивидуальный QR-код магазина")</f>
        <v>Скачать индивидуальный QR-код магазина</v>
      </c>
    </row>
    <row r="285" spans="1:7" x14ac:dyDescent="0.25">
      <c r="A285" t="s">
        <v>829</v>
      </c>
      <c r="B285" t="s">
        <v>968</v>
      </c>
      <c r="C285" t="s">
        <v>969</v>
      </c>
      <c r="D285" t="s">
        <v>970</v>
      </c>
      <c r="E285" t="s">
        <v>971</v>
      </c>
      <c r="F285" t="s">
        <v>972</v>
      </c>
      <c r="G285" s="2" t="str">
        <f>HYPERLINK("https://probpalata.gov.ru/files/ИП280901838800000.jpeg","Скачать индивидуальный QR-код магазина")</f>
        <v>Скачать индивидуальный QR-код магазина</v>
      </c>
    </row>
    <row r="286" spans="1:7" x14ac:dyDescent="0.25">
      <c r="A286" t="s">
        <v>829</v>
      </c>
      <c r="B286" t="s">
        <v>973</v>
      </c>
      <c r="C286" t="s">
        <v>974</v>
      </c>
      <c r="D286" t="s">
        <v>975</v>
      </c>
      <c r="E286" t="s">
        <v>976</v>
      </c>
      <c r="F286" t="s">
        <v>977</v>
      </c>
      <c r="G286" s="2" t="str">
        <f>HYPERLINK("https://probpalata.gov.ru/files/ИП280900567100000.jpeg","Скачать индивидуальный QR-код магазина")</f>
        <v>Скачать индивидуальный QR-код магазина</v>
      </c>
    </row>
    <row r="287" spans="1:7" x14ac:dyDescent="0.25">
      <c r="A287" t="s">
        <v>829</v>
      </c>
      <c r="B287" t="s">
        <v>978</v>
      </c>
      <c r="C287" t="s">
        <v>974</v>
      </c>
      <c r="D287" t="s">
        <v>975</v>
      </c>
      <c r="E287" t="s">
        <v>976</v>
      </c>
      <c r="F287" t="s">
        <v>979</v>
      </c>
      <c r="G287" s="2" t="str">
        <f>HYPERLINK("https://probpalata.gov.ru/files/ИП280900567100001.jpeg","Скачать индивидуальный QR-код магазина")</f>
        <v>Скачать индивидуальный QR-код магазина</v>
      </c>
    </row>
    <row r="288" spans="1:7" x14ac:dyDescent="0.25">
      <c r="A288" t="s">
        <v>829</v>
      </c>
      <c r="B288" t="s">
        <v>980</v>
      </c>
      <c r="C288" t="s">
        <v>981</v>
      </c>
      <c r="D288" t="s">
        <v>982</v>
      </c>
      <c r="E288" t="s">
        <v>983</v>
      </c>
      <c r="F288" t="s">
        <v>984</v>
      </c>
      <c r="G288" s="2" t="str">
        <f>HYPERLINK("https://probpalata.gov.ru/files/ИП280900339000000.jpeg","Скачать индивидуальный QR-код магазина")</f>
        <v>Скачать индивидуальный QR-код магазина</v>
      </c>
    </row>
    <row r="289" spans="1:7" x14ac:dyDescent="0.25">
      <c r="A289" t="s">
        <v>829</v>
      </c>
      <c r="B289" t="s">
        <v>985</v>
      </c>
      <c r="C289" t="s">
        <v>981</v>
      </c>
      <c r="D289" t="s">
        <v>982</v>
      </c>
      <c r="E289" t="s">
        <v>983</v>
      </c>
      <c r="F289" t="s">
        <v>986</v>
      </c>
      <c r="G289" s="2" t="str">
        <f>HYPERLINK("https://probpalata.gov.ru/files/ИП280900339000001.jpeg","Скачать индивидуальный QR-код магазина")</f>
        <v>Скачать индивидуальный QR-код магазина</v>
      </c>
    </row>
    <row r="290" spans="1:7" x14ac:dyDescent="0.25">
      <c r="A290" t="s">
        <v>829</v>
      </c>
      <c r="B290" t="s">
        <v>987</v>
      </c>
      <c r="C290" t="s">
        <v>981</v>
      </c>
      <c r="D290" t="s">
        <v>982</v>
      </c>
      <c r="E290" t="s">
        <v>983</v>
      </c>
      <c r="F290" t="s">
        <v>988</v>
      </c>
      <c r="G290" s="2" t="str">
        <f>HYPERLINK("https://probpalata.gov.ru/files/ИП280900339000002.jpeg","Скачать индивидуальный QR-код магазина")</f>
        <v>Скачать индивидуальный QR-код магазина</v>
      </c>
    </row>
    <row r="291" spans="1:7" x14ac:dyDescent="0.25">
      <c r="A291" t="s">
        <v>829</v>
      </c>
      <c r="B291" t="s">
        <v>989</v>
      </c>
      <c r="C291" t="s">
        <v>981</v>
      </c>
      <c r="D291" t="s">
        <v>982</v>
      </c>
      <c r="E291" t="s">
        <v>983</v>
      </c>
      <c r="F291" t="s">
        <v>990</v>
      </c>
      <c r="G291" s="2" t="str">
        <f>HYPERLINK("https://probpalata.gov.ru/files/ИП280900339000003.jpeg","Скачать индивидуальный QR-код магазина")</f>
        <v>Скачать индивидуальный QR-код магазина</v>
      </c>
    </row>
    <row r="292" spans="1:7" x14ac:dyDescent="0.25">
      <c r="A292" t="s">
        <v>829</v>
      </c>
      <c r="B292" t="s">
        <v>991</v>
      </c>
      <c r="C292" t="s">
        <v>981</v>
      </c>
      <c r="D292" t="s">
        <v>982</v>
      </c>
      <c r="E292" t="s">
        <v>983</v>
      </c>
      <c r="F292" t="s">
        <v>992</v>
      </c>
      <c r="G292" s="2" t="str">
        <f>HYPERLINK("https://probpalata.gov.ru/files/ИП280900339000004.jpeg","Скачать индивидуальный QR-код магазина")</f>
        <v>Скачать индивидуальный QR-код магазина</v>
      </c>
    </row>
    <row r="293" spans="1:7" x14ac:dyDescent="0.25">
      <c r="A293" t="s">
        <v>829</v>
      </c>
      <c r="B293" t="s">
        <v>877</v>
      </c>
      <c r="C293" t="s">
        <v>993</v>
      </c>
      <c r="D293" t="s">
        <v>994</v>
      </c>
      <c r="E293" t="s">
        <v>995</v>
      </c>
      <c r="F293" t="s">
        <v>996</v>
      </c>
      <c r="G293" s="2" t="str">
        <f>HYPERLINK("https://probpalata.gov.ru/files/ИП280900018400000.jpeg","Скачать индивидуальный QR-код магазина")</f>
        <v>Скачать индивидуальный QR-код магазина</v>
      </c>
    </row>
    <row r="294" spans="1:7" x14ac:dyDescent="0.25">
      <c r="A294" t="s">
        <v>829</v>
      </c>
      <c r="B294" t="s">
        <v>997</v>
      </c>
      <c r="C294" t="s">
        <v>998</v>
      </c>
      <c r="D294" t="s">
        <v>999</v>
      </c>
      <c r="E294" t="s">
        <v>1000</v>
      </c>
      <c r="F294" t="s">
        <v>1001</v>
      </c>
      <c r="G294" s="2" t="str">
        <f>HYPERLINK("https://probpalata.gov.ru/files/ИП280900213300000.jpeg","Скачать индивидуальный QR-код магазина")</f>
        <v>Скачать индивидуальный QR-код магазина</v>
      </c>
    </row>
    <row r="295" spans="1:7" x14ac:dyDescent="0.25">
      <c r="A295" t="s">
        <v>829</v>
      </c>
      <c r="B295" t="s">
        <v>1002</v>
      </c>
      <c r="C295" t="s">
        <v>998</v>
      </c>
      <c r="D295" t="s">
        <v>999</v>
      </c>
      <c r="E295" t="s">
        <v>1000</v>
      </c>
      <c r="F295" t="s">
        <v>1003</v>
      </c>
      <c r="G295" s="2" t="str">
        <f>HYPERLINK("https://probpalata.gov.ru/files/ИП280900213300003.jpeg","Скачать индивидуальный QR-код магазина")</f>
        <v>Скачать индивидуальный QR-код магазина</v>
      </c>
    </row>
    <row r="296" spans="1:7" x14ac:dyDescent="0.25">
      <c r="A296" t="s">
        <v>829</v>
      </c>
      <c r="B296" t="s">
        <v>1004</v>
      </c>
      <c r="C296" t="s">
        <v>1005</v>
      </c>
      <c r="D296" t="s">
        <v>1006</v>
      </c>
      <c r="E296" t="s">
        <v>1007</v>
      </c>
      <c r="F296" t="s">
        <v>1008</v>
      </c>
      <c r="G296" s="2" t="str">
        <f>HYPERLINK("https://probpalata.gov.ru/files/ИП280900570300000.jpeg","Скачать индивидуальный QR-код магазина")</f>
        <v>Скачать индивидуальный QR-код магазина</v>
      </c>
    </row>
    <row r="297" spans="1:7" x14ac:dyDescent="0.25">
      <c r="A297" t="s">
        <v>829</v>
      </c>
      <c r="B297" t="s">
        <v>1009</v>
      </c>
      <c r="C297" t="s">
        <v>1010</v>
      </c>
      <c r="D297" t="s">
        <v>1011</v>
      </c>
      <c r="E297" t="s">
        <v>1012</v>
      </c>
      <c r="F297" t="s">
        <v>1013</v>
      </c>
      <c r="G297" s="2" t="str">
        <f>HYPERLINK("https://probpalata.gov.ru/files/ИП280903500300000.jpeg","Скачать индивидуальный QR-код магазина")</f>
        <v>Скачать индивидуальный QR-код магазина</v>
      </c>
    </row>
    <row r="298" spans="1:7" x14ac:dyDescent="0.25">
      <c r="A298" t="s">
        <v>829</v>
      </c>
      <c r="B298" t="s">
        <v>1014</v>
      </c>
      <c r="C298" t="s">
        <v>1015</v>
      </c>
      <c r="D298" t="s">
        <v>1016</v>
      </c>
      <c r="E298" t="s">
        <v>1017</v>
      </c>
      <c r="F298" t="s">
        <v>1018</v>
      </c>
      <c r="G298" s="2" t="str">
        <f>HYPERLINK("https://probpalata.gov.ru/files/ИП280900496500000.jpeg","Скачать индивидуальный QR-код магазина")</f>
        <v>Скачать индивидуальный QR-код магазина</v>
      </c>
    </row>
    <row r="299" spans="1:7" x14ac:dyDescent="0.25">
      <c r="A299" t="s">
        <v>829</v>
      </c>
      <c r="B299" t="s">
        <v>1019</v>
      </c>
      <c r="C299" t="s">
        <v>1020</v>
      </c>
      <c r="D299" t="s">
        <v>1021</v>
      </c>
      <c r="E299" t="s">
        <v>1022</v>
      </c>
      <c r="F299" t="s">
        <v>1023</v>
      </c>
      <c r="G299" s="2" t="str">
        <f>HYPERLINK("https://probpalata.gov.ru/files/ЮЛ280900121600000.jpeg","Скачать индивидуальный QR-код магазина")</f>
        <v>Скачать индивидуальный QR-код магазина</v>
      </c>
    </row>
    <row r="300" spans="1:7" x14ac:dyDescent="0.25">
      <c r="A300" t="s">
        <v>829</v>
      </c>
      <c r="B300" t="s">
        <v>1024</v>
      </c>
      <c r="C300" t="s">
        <v>1025</v>
      </c>
      <c r="D300" t="s">
        <v>1026</v>
      </c>
      <c r="E300" t="s">
        <v>1027</v>
      </c>
      <c r="F300" t="s">
        <v>1028</v>
      </c>
      <c r="G300" s="2" t="str">
        <f>HYPERLINK("https://probpalata.gov.ru/files/ИП280901872300000.jpeg","Скачать индивидуальный QR-код магазина")</f>
        <v>Скачать индивидуальный QR-код магазина</v>
      </c>
    </row>
    <row r="301" spans="1:7" x14ac:dyDescent="0.25">
      <c r="A301" t="s">
        <v>829</v>
      </c>
      <c r="B301" t="s">
        <v>1029</v>
      </c>
      <c r="C301" t="s">
        <v>1030</v>
      </c>
      <c r="D301" t="s">
        <v>1031</v>
      </c>
      <c r="E301" t="s">
        <v>1032</v>
      </c>
      <c r="F301" t="s">
        <v>1033</v>
      </c>
      <c r="G301" s="2" t="str">
        <f>HYPERLINK("https://probpalata.gov.ru/files/ЮЛ280900297500000.jpeg","Скачать индивидуальный QR-код магазина")</f>
        <v>Скачать индивидуальный QR-код магазина</v>
      </c>
    </row>
    <row r="302" spans="1:7" x14ac:dyDescent="0.25">
      <c r="A302" t="s">
        <v>829</v>
      </c>
      <c r="B302" t="s">
        <v>1034</v>
      </c>
      <c r="C302" t="s">
        <v>1035</v>
      </c>
      <c r="D302" t="s">
        <v>1036</v>
      </c>
      <c r="E302" t="s">
        <v>1037</v>
      </c>
      <c r="F302" t="s">
        <v>1038</v>
      </c>
      <c r="G302" s="2" t="str">
        <f>HYPERLINK("https://probpalata.gov.ru/files/ЮЛ280903517200000.jpeg","Скачать индивидуальный QR-код магазина")</f>
        <v>Скачать индивидуальный QR-код магазина</v>
      </c>
    </row>
    <row r="303" spans="1:7" x14ac:dyDescent="0.25">
      <c r="A303" t="s">
        <v>829</v>
      </c>
      <c r="B303" t="s">
        <v>980</v>
      </c>
      <c r="C303" t="s">
        <v>1039</v>
      </c>
      <c r="D303" t="s">
        <v>1040</v>
      </c>
      <c r="E303" t="s">
        <v>1041</v>
      </c>
      <c r="F303" t="s">
        <v>1042</v>
      </c>
      <c r="G303" s="2" t="str">
        <f>HYPERLINK("https://probpalata.gov.ru/files/ИП280900015800000.jpeg","Скачать индивидуальный QR-код магазина")</f>
        <v>Скачать индивидуальный QR-код магазина</v>
      </c>
    </row>
    <row r="304" spans="1:7" x14ac:dyDescent="0.25">
      <c r="A304" t="s">
        <v>829</v>
      </c>
      <c r="B304" t="s">
        <v>985</v>
      </c>
      <c r="C304" t="s">
        <v>1039</v>
      </c>
      <c r="D304" t="s">
        <v>1040</v>
      </c>
      <c r="E304" t="s">
        <v>1041</v>
      </c>
      <c r="F304" t="s">
        <v>1043</v>
      </c>
      <c r="G304" s="2" t="str">
        <f>HYPERLINK("https://probpalata.gov.ru/files/ИП280900015800001.jpeg","Скачать индивидуальный QR-код магазина")</f>
        <v>Скачать индивидуальный QR-код магазина</v>
      </c>
    </row>
    <row r="305" spans="1:7" x14ac:dyDescent="0.25">
      <c r="A305" t="s">
        <v>829</v>
      </c>
      <c r="B305" t="s">
        <v>987</v>
      </c>
      <c r="C305" t="s">
        <v>1039</v>
      </c>
      <c r="D305" t="s">
        <v>1040</v>
      </c>
      <c r="E305" t="s">
        <v>1041</v>
      </c>
      <c r="F305" t="s">
        <v>1044</v>
      </c>
      <c r="G305" s="2" t="str">
        <f>HYPERLINK("https://probpalata.gov.ru/files/ИП280900015800002.jpeg","Скачать индивидуальный QR-код магазина")</f>
        <v>Скачать индивидуальный QR-код магазина</v>
      </c>
    </row>
    <row r="306" spans="1:7" x14ac:dyDescent="0.25">
      <c r="A306" t="s">
        <v>829</v>
      </c>
      <c r="B306" t="s">
        <v>1045</v>
      </c>
      <c r="C306" t="s">
        <v>1039</v>
      </c>
      <c r="D306" t="s">
        <v>1040</v>
      </c>
      <c r="E306" t="s">
        <v>1041</v>
      </c>
      <c r="F306" t="s">
        <v>1046</v>
      </c>
      <c r="G306" s="2" t="str">
        <f>HYPERLINK("https://probpalata.gov.ru/files/ИП280900015800003.jpeg","Скачать индивидуальный QR-код магазина")</f>
        <v>Скачать индивидуальный QR-код магазина</v>
      </c>
    </row>
    <row r="307" spans="1:7" x14ac:dyDescent="0.25">
      <c r="A307" t="s">
        <v>829</v>
      </c>
      <c r="B307" t="s">
        <v>1047</v>
      </c>
      <c r="C307" t="s">
        <v>1039</v>
      </c>
      <c r="D307" t="s">
        <v>1040</v>
      </c>
      <c r="E307" t="s">
        <v>1041</v>
      </c>
      <c r="F307" t="s">
        <v>1048</v>
      </c>
      <c r="G307" s="2" t="str">
        <f>HYPERLINK("https://probpalata.gov.ru/files/ИП280900015800004.jpeg","Скачать индивидуальный QR-код магазина")</f>
        <v>Скачать индивидуальный QR-код магазина</v>
      </c>
    </row>
    <row r="308" spans="1:7" x14ac:dyDescent="0.25">
      <c r="A308" t="s">
        <v>829</v>
      </c>
      <c r="B308" t="s">
        <v>1049</v>
      </c>
      <c r="C308" t="s">
        <v>1050</v>
      </c>
      <c r="D308" t="s">
        <v>1051</v>
      </c>
      <c r="E308" t="s">
        <v>1052</v>
      </c>
      <c r="F308" t="s">
        <v>1053</v>
      </c>
      <c r="G308" s="2" t="str">
        <f>HYPERLINK("https://probpalata.gov.ru/files/ЮЛ280900674600000.jpeg","Скачать индивидуальный QR-код магазина")</f>
        <v>Скачать индивидуальный QR-код магазина</v>
      </c>
    </row>
    <row r="309" spans="1:7" x14ac:dyDescent="0.25">
      <c r="A309" t="s">
        <v>829</v>
      </c>
      <c r="B309" t="s">
        <v>1054</v>
      </c>
      <c r="C309" t="s">
        <v>1050</v>
      </c>
      <c r="D309" t="s">
        <v>1051</v>
      </c>
      <c r="E309" t="s">
        <v>1052</v>
      </c>
      <c r="F309" t="s">
        <v>1055</v>
      </c>
      <c r="G309" s="2" t="str">
        <f>HYPERLINK("https://probpalata.gov.ru/files/ЮЛ280900674600001.jpeg","Скачать индивидуальный QR-код магазина")</f>
        <v>Скачать индивидуальный QR-код магазина</v>
      </c>
    </row>
    <row r="310" spans="1:7" x14ac:dyDescent="0.25">
      <c r="A310" t="s">
        <v>829</v>
      </c>
      <c r="B310" t="s">
        <v>1056</v>
      </c>
      <c r="C310" t="s">
        <v>1057</v>
      </c>
      <c r="D310" t="s">
        <v>1058</v>
      </c>
      <c r="E310" t="s">
        <v>1059</v>
      </c>
      <c r="F310" t="s">
        <v>1060</v>
      </c>
      <c r="G310" s="2" t="str">
        <f>HYPERLINK("https://probpalata.gov.ru/files/ЮЛ280903297100000.jpeg","Скачать индивидуальный QR-код магазина")</f>
        <v>Скачать индивидуальный QR-код магазина</v>
      </c>
    </row>
    <row r="311" spans="1:7" x14ac:dyDescent="0.25">
      <c r="A311" t="s">
        <v>829</v>
      </c>
      <c r="B311" t="s">
        <v>1061</v>
      </c>
      <c r="C311" t="s">
        <v>1057</v>
      </c>
      <c r="D311" t="s">
        <v>1058</v>
      </c>
      <c r="E311" t="s">
        <v>1059</v>
      </c>
      <c r="F311" t="s">
        <v>1062</v>
      </c>
      <c r="G311" s="2" t="str">
        <f>HYPERLINK("https://probpalata.gov.ru/files/ЮЛ280903297100001.jpeg","Скачать индивидуальный QR-код магазина")</f>
        <v>Скачать индивидуальный QR-код магазина</v>
      </c>
    </row>
    <row r="312" spans="1:7" x14ac:dyDescent="0.25">
      <c r="A312" t="s">
        <v>829</v>
      </c>
      <c r="B312" t="s">
        <v>1063</v>
      </c>
      <c r="C312" t="s">
        <v>1057</v>
      </c>
      <c r="D312" t="s">
        <v>1058</v>
      </c>
      <c r="E312" t="s">
        <v>1059</v>
      </c>
      <c r="F312" t="s">
        <v>1064</v>
      </c>
      <c r="G312" s="2" t="str">
        <f>HYPERLINK("https://probpalata.gov.ru/files/ЮЛ280903297100004.jpeg","Скачать индивидуальный QR-код магазина")</f>
        <v>Скачать индивидуальный QR-код магазина</v>
      </c>
    </row>
    <row r="313" spans="1:7" x14ac:dyDescent="0.25">
      <c r="A313" t="s">
        <v>829</v>
      </c>
      <c r="B313" t="s">
        <v>1065</v>
      </c>
      <c r="C313" t="s">
        <v>1066</v>
      </c>
      <c r="D313" t="s">
        <v>1067</v>
      </c>
      <c r="E313" t="s">
        <v>1068</v>
      </c>
      <c r="F313" t="s">
        <v>1069</v>
      </c>
      <c r="G313" s="2" t="str">
        <f>HYPERLINK("https://probpalata.gov.ru/files/ИП280903543000000.jpeg","Скачать индивидуальный QR-код магазина")</f>
        <v>Скачать индивидуальный QR-код магазина</v>
      </c>
    </row>
    <row r="314" spans="1:7" x14ac:dyDescent="0.25">
      <c r="A314" t="s">
        <v>829</v>
      </c>
      <c r="B314" t="s">
        <v>1070</v>
      </c>
      <c r="C314" t="s">
        <v>1071</v>
      </c>
      <c r="D314" t="s">
        <v>1072</v>
      </c>
      <c r="E314" t="s">
        <v>1073</v>
      </c>
      <c r="F314" t="s">
        <v>1074</v>
      </c>
      <c r="G314" s="2" t="str">
        <f>HYPERLINK("https://probpalata.gov.ru/files/ЮЛ280903795400000.jpeg","Скачать индивидуальный QR-код магазина")</f>
        <v>Скачать индивидуальный QR-код магазина</v>
      </c>
    </row>
    <row r="315" spans="1:7" x14ac:dyDescent="0.25">
      <c r="A315" t="s">
        <v>829</v>
      </c>
      <c r="B315" t="s">
        <v>1075</v>
      </c>
      <c r="C315" t="s">
        <v>1076</v>
      </c>
      <c r="D315" t="s">
        <v>1077</v>
      </c>
      <c r="E315" t="s">
        <v>1078</v>
      </c>
      <c r="F315" t="s">
        <v>1079</v>
      </c>
      <c r="G315" s="2" t="str">
        <f>HYPERLINK("https://probpalata.gov.ru/files/ИП280901496100000.jpeg","Скачать индивидуальный QR-код магазина")</f>
        <v>Скачать индивидуальный QR-код магазина</v>
      </c>
    </row>
    <row r="316" spans="1:7" x14ac:dyDescent="0.25">
      <c r="A316" t="s">
        <v>829</v>
      </c>
      <c r="B316" t="s">
        <v>1080</v>
      </c>
      <c r="C316" t="s">
        <v>1081</v>
      </c>
      <c r="D316" t="s">
        <v>1082</v>
      </c>
      <c r="E316" t="s">
        <v>1083</v>
      </c>
      <c r="F316" t="s">
        <v>1084</v>
      </c>
      <c r="G316" s="2" t="str">
        <f>HYPERLINK("https://probpalata.gov.ru/files/ИП280901092700000.jpeg","Скачать индивидуальный QR-код магазина")</f>
        <v>Скачать индивидуальный QR-код магазина</v>
      </c>
    </row>
    <row r="317" spans="1:7" x14ac:dyDescent="0.25">
      <c r="A317" t="s">
        <v>829</v>
      </c>
      <c r="B317" t="s">
        <v>1085</v>
      </c>
      <c r="C317" t="s">
        <v>1086</v>
      </c>
      <c r="D317" t="s">
        <v>1087</v>
      </c>
      <c r="E317" t="s">
        <v>1088</v>
      </c>
      <c r="F317" t="s">
        <v>1089</v>
      </c>
      <c r="G317" s="2" t="str">
        <f>HYPERLINK("https://probpalata.gov.ru/files/ИП280900571900002.jpeg","Скачать индивидуальный QR-код магазина")</f>
        <v>Скачать индивидуальный QR-код магазина</v>
      </c>
    </row>
    <row r="318" spans="1:7" x14ac:dyDescent="0.25">
      <c r="A318" t="s">
        <v>829</v>
      </c>
      <c r="B318" t="s">
        <v>1090</v>
      </c>
      <c r="C318" t="s">
        <v>1086</v>
      </c>
      <c r="D318" t="s">
        <v>1087</v>
      </c>
      <c r="E318" t="s">
        <v>1088</v>
      </c>
      <c r="F318" t="s">
        <v>1091</v>
      </c>
      <c r="G318" s="2" t="str">
        <f>HYPERLINK("https://probpalata.gov.ru/files/ИП280900571900003.jpeg","Скачать индивидуальный QR-код магазина")</f>
        <v>Скачать индивидуальный QR-код магазина</v>
      </c>
    </row>
    <row r="319" spans="1:7" x14ac:dyDescent="0.25">
      <c r="A319" t="s">
        <v>829</v>
      </c>
      <c r="B319" t="s">
        <v>1092</v>
      </c>
      <c r="C319" t="s">
        <v>1093</v>
      </c>
      <c r="D319" t="s">
        <v>1094</v>
      </c>
      <c r="E319" t="s">
        <v>1095</v>
      </c>
      <c r="F319" t="s">
        <v>1096</v>
      </c>
      <c r="G319" s="2" t="str">
        <f>HYPERLINK("https://probpalata.gov.ru/files/ИП280903378700000.jpeg","Скачать индивидуальный QR-код магазина")</f>
        <v>Скачать индивидуальный QR-код магазина</v>
      </c>
    </row>
    <row r="320" spans="1:7" x14ac:dyDescent="0.25">
      <c r="A320" t="s">
        <v>829</v>
      </c>
      <c r="B320" t="s">
        <v>1097</v>
      </c>
      <c r="C320" t="s">
        <v>1093</v>
      </c>
      <c r="D320" t="s">
        <v>1094</v>
      </c>
      <c r="E320" t="s">
        <v>1095</v>
      </c>
      <c r="F320" t="s">
        <v>1098</v>
      </c>
      <c r="G320" s="2" t="str">
        <f>HYPERLINK("https://probpalata.gov.ru/files/ИП280903378700001.jpeg","Скачать индивидуальный QR-код магазина")</f>
        <v>Скачать индивидуальный QR-код магазина</v>
      </c>
    </row>
    <row r="321" spans="1:7" x14ac:dyDescent="0.25">
      <c r="A321" t="s">
        <v>829</v>
      </c>
      <c r="B321" t="s">
        <v>1099</v>
      </c>
      <c r="C321" t="s">
        <v>1100</v>
      </c>
      <c r="D321" t="s">
        <v>1101</v>
      </c>
      <c r="E321" t="s">
        <v>1102</v>
      </c>
      <c r="F321" t="s">
        <v>1103</v>
      </c>
      <c r="G321" s="2" t="str">
        <f>HYPERLINK("https://probpalata.gov.ru/files/ИП280901738300000.jpeg","Скачать индивидуальный QR-код магазина")</f>
        <v>Скачать индивидуальный QR-код магазина</v>
      </c>
    </row>
    <row r="322" spans="1:7" x14ac:dyDescent="0.25">
      <c r="A322" t="s">
        <v>829</v>
      </c>
      <c r="B322" t="s">
        <v>1104</v>
      </c>
      <c r="C322" t="s">
        <v>1105</v>
      </c>
      <c r="D322" t="s">
        <v>1106</v>
      </c>
      <c r="E322" t="s">
        <v>1107</v>
      </c>
      <c r="F322" t="s">
        <v>1108</v>
      </c>
      <c r="G322" s="2" t="str">
        <f>HYPERLINK("https://probpalata.gov.ru/files/ЮЛ280901440700000.jpeg","Скачать индивидуальный QR-код магазина")</f>
        <v>Скачать индивидуальный QR-код магазина</v>
      </c>
    </row>
    <row r="323" spans="1:7" x14ac:dyDescent="0.25">
      <c r="A323" t="s">
        <v>829</v>
      </c>
      <c r="B323" t="s">
        <v>1109</v>
      </c>
      <c r="C323" t="s">
        <v>1110</v>
      </c>
      <c r="D323" t="s">
        <v>1111</v>
      </c>
      <c r="E323" t="s">
        <v>1112</v>
      </c>
      <c r="F323" t="s">
        <v>1113</v>
      </c>
      <c r="G323" s="2" t="str">
        <f>HYPERLINK("https://probpalata.gov.ru/files/ИП280903166600000.jpeg","Скачать индивидуальный QR-код магазина")</f>
        <v>Скачать индивидуальный QR-код магазина</v>
      </c>
    </row>
    <row r="324" spans="1:7" x14ac:dyDescent="0.25">
      <c r="A324" t="s">
        <v>829</v>
      </c>
      <c r="B324" t="s">
        <v>1114</v>
      </c>
      <c r="C324" t="s">
        <v>1115</v>
      </c>
      <c r="D324" t="s">
        <v>1116</v>
      </c>
      <c r="E324" t="s">
        <v>1117</v>
      </c>
      <c r="F324" t="s">
        <v>1118</v>
      </c>
      <c r="G324" s="2" t="str">
        <f>HYPERLINK("https://probpalata.gov.ru/files/ИП280900160200000.jpeg","Скачать индивидуальный QR-код магазина")</f>
        <v>Скачать индивидуальный QR-код магазина</v>
      </c>
    </row>
    <row r="325" spans="1:7" x14ac:dyDescent="0.25">
      <c r="A325" t="s">
        <v>829</v>
      </c>
      <c r="B325" t="s">
        <v>1119</v>
      </c>
      <c r="C325" t="s">
        <v>1120</v>
      </c>
      <c r="D325" t="s">
        <v>1121</v>
      </c>
      <c r="E325" t="s">
        <v>1122</v>
      </c>
      <c r="F325" t="s">
        <v>1123</v>
      </c>
      <c r="G325" s="2" t="str">
        <f>HYPERLINK("https://probpalata.gov.ru/files/ИП280901196400000.jpeg","Скачать индивидуальный QR-код магазина")</f>
        <v>Скачать индивидуальный QR-код магазина</v>
      </c>
    </row>
    <row r="326" spans="1:7" x14ac:dyDescent="0.25">
      <c r="A326" t="s">
        <v>829</v>
      </c>
      <c r="B326" t="s">
        <v>1119</v>
      </c>
      <c r="C326" t="s">
        <v>1124</v>
      </c>
      <c r="D326" t="s">
        <v>1125</v>
      </c>
      <c r="E326" t="s">
        <v>1126</v>
      </c>
      <c r="F326" t="s">
        <v>1127</v>
      </c>
      <c r="G326" s="2" t="str">
        <f>HYPERLINK("https://probpalata.gov.ru/files/ИП280903177600000.jpeg","Скачать индивидуальный QR-код магазина")</f>
        <v>Скачать индивидуальный QR-код магазина</v>
      </c>
    </row>
    <row r="327" spans="1:7" x14ac:dyDescent="0.25">
      <c r="A327" t="s">
        <v>829</v>
      </c>
      <c r="B327" t="s">
        <v>1128</v>
      </c>
      <c r="C327" t="s">
        <v>1129</v>
      </c>
      <c r="D327" t="s">
        <v>1130</v>
      </c>
      <c r="E327" t="s">
        <v>1131</v>
      </c>
      <c r="F327" t="s">
        <v>1132</v>
      </c>
      <c r="G327" s="2" t="str">
        <f>HYPERLINK("https://probpalata.gov.ru/files/ЮЛ280901252600000.jpeg","Скачать индивидуальный QR-код магазина")</f>
        <v>Скачать индивидуальный QR-код магазина</v>
      </c>
    </row>
    <row r="328" spans="1:7" x14ac:dyDescent="0.25">
      <c r="A328" t="s">
        <v>829</v>
      </c>
      <c r="B328" t="s">
        <v>1133</v>
      </c>
      <c r="C328" t="s">
        <v>1134</v>
      </c>
      <c r="D328" t="s">
        <v>1135</v>
      </c>
      <c r="E328" t="s">
        <v>1136</v>
      </c>
      <c r="F328" t="s">
        <v>1137</v>
      </c>
      <c r="G328" s="2" t="str">
        <f>HYPERLINK("https://probpalata.gov.ru/files/ИП280900514500000.jpeg","Скачать индивидуальный QR-код магазина")</f>
        <v>Скачать индивидуальный QR-код магазина</v>
      </c>
    </row>
    <row r="329" spans="1:7" x14ac:dyDescent="0.25">
      <c r="A329" t="s">
        <v>829</v>
      </c>
      <c r="B329" t="s">
        <v>1138</v>
      </c>
      <c r="C329" t="s">
        <v>1139</v>
      </c>
      <c r="D329" t="s">
        <v>1140</v>
      </c>
      <c r="E329" t="s">
        <v>1141</v>
      </c>
      <c r="F329" t="s">
        <v>1142</v>
      </c>
      <c r="G329" s="2" t="str">
        <f>HYPERLINK("https://probpalata.gov.ru/files/ИП280900522000000.jpeg","Скачать индивидуальный QR-код магазина")</f>
        <v>Скачать индивидуальный QR-код магазина</v>
      </c>
    </row>
    <row r="330" spans="1:7" x14ac:dyDescent="0.25">
      <c r="A330" t="s">
        <v>829</v>
      </c>
      <c r="B330" t="s">
        <v>1143</v>
      </c>
      <c r="C330" t="s">
        <v>1144</v>
      </c>
      <c r="D330" t="s">
        <v>1145</v>
      </c>
      <c r="E330" t="s">
        <v>1146</v>
      </c>
      <c r="F330" t="s">
        <v>1147</v>
      </c>
      <c r="G330" s="2" t="str">
        <f>HYPERLINK("https://probpalata.gov.ru/files/ИП280903517300000.jpeg","Скачать индивидуальный QR-код магазина")</f>
        <v>Скачать индивидуальный QR-код магазина</v>
      </c>
    </row>
    <row r="331" spans="1:7" x14ac:dyDescent="0.25">
      <c r="A331" t="s">
        <v>829</v>
      </c>
      <c r="B331" t="s">
        <v>1148</v>
      </c>
      <c r="C331" t="s">
        <v>1149</v>
      </c>
      <c r="D331" t="s">
        <v>1150</v>
      </c>
      <c r="E331" t="s">
        <v>1151</v>
      </c>
      <c r="F331" t="s">
        <v>1152</v>
      </c>
      <c r="G331" s="2" t="str">
        <f>HYPERLINK("https://probpalata.gov.ru/files/ИП270903216700000.jpeg","Скачать индивидуальный QR-код магазина")</f>
        <v>Скачать индивидуальный QR-код магазина</v>
      </c>
    </row>
    <row r="332" spans="1:7" x14ac:dyDescent="0.25">
      <c r="A332" t="s">
        <v>829</v>
      </c>
      <c r="B332" t="s">
        <v>1153</v>
      </c>
      <c r="C332" t="s">
        <v>1154</v>
      </c>
      <c r="D332" t="s">
        <v>1155</v>
      </c>
      <c r="E332" t="s">
        <v>1156</v>
      </c>
      <c r="F332" t="s">
        <v>1157</v>
      </c>
      <c r="G332" s="2" t="str">
        <f>HYPERLINK("https://probpalata.gov.ru/files/ИП280903052300000.jpeg","Скачать индивидуальный QR-код магазина")</f>
        <v>Скачать индивидуальный QR-код магазина</v>
      </c>
    </row>
    <row r="333" spans="1:7" x14ac:dyDescent="0.25">
      <c r="A333" t="s">
        <v>829</v>
      </c>
      <c r="B333" t="s">
        <v>1158</v>
      </c>
      <c r="C333" t="s">
        <v>1159</v>
      </c>
      <c r="D333" t="s">
        <v>1160</v>
      </c>
      <c r="E333" t="s">
        <v>1161</v>
      </c>
      <c r="F333" t="s">
        <v>1162</v>
      </c>
      <c r="G333" s="2" t="str">
        <f>HYPERLINK("https://probpalata.gov.ru/files/ИП280903907600000.jpeg","Скачать индивидуальный QR-код магазина")</f>
        <v>Скачать индивидуальный QR-код магазина</v>
      </c>
    </row>
    <row r="334" spans="1:7" x14ac:dyDescent="0.25">
      <c r="A334" t="s">
        <v>829</v>
      </c>
      <c r="B334" t="s">
        <v>1163</v>
      </c>
      <c r="C334" t="s">
        <v>1164</v>
      </c>
      <c r="D334" t="s">
        <v>1165</v>
      </c>
      <c r="E334" t="s">
        <v>1166</v>
      </c>
      <c r="F334" t="s">
        <v>1167</v>
      </c>
      <c r="G334" s="2" t="str">
        <f>HYPERLINK("https://probpalata.gov.ru/files/ИП280900013700000.jpeg","Скачать индивидуальный QR-код магазина")</f>
        <v>Скачать индивидуальный QR-код магазина</v>
      </c>
    </row>
    <row r="335" spans="1:7" x14ac:dyDescent="0.25">
      <c r="A335" t="s">
        <v>829</v>
      </c>
      <c r="B335" t="s">
        <v>1168</v>
      </c>
      <c r="C335" t="s">
        <v>1164</v>
      </c>
      <c r="D335" t="s">
        <v>1165</v>
      </c>
      <c r="E335" t="s">
        <v>1166</v>
      </c>
      <c r="F335" t="s">
        <v>1169</v>
      </c>
      <c r="G335" s="2" t="str">
        <f>HYPERLINK("https://probpalata.gov.ru/files/ИП280900013700001.jpeg","Скачать индивидуальный QR-код магазина")</f>
        <v>Скачать индивидуальный QR-код магазина</v>
      </c>
    </row>
    <row r="336" spans="1:7" x14ac:dyDescent="0.25">
      <c r="A336" t="s">
        <v>829</v>
      </c>
      <c r="B336" t="s">
        <v>1170</v>
      </c>
      <c r="C336" t="s">
        <v>748</v>
      </c>
      <c r="D336" t="s">
        <v>749</v>
      </c>
      <c r="E336" t="s">
        <v>750</v>
      </c>
      <c r="F336" t="s">
        <v>1171</v>
      </c>
      <c r="G336" s="2" t="str">
        <f>HYPERLINK("https://probpalata.gov.ru/files/ЮЛ770100193500068.jpeg","Скачать индивидуальный QR-код магазина")</f>
        <v>Скачать индивидуальный QR-код магазина</v>
      </c>
    </row>
    <row r="337" spans="1:7" x14ac:dyDescent="0.25">
      <c r="A337" t="s">
        <v>829</v>
      </c>
      <c r="B337" t="s">
        <v>1172</v>
      </c>
      <c r="C337" t="s">
        <v>748</v>
      </c>
      <c r="D337" t="s">
        <v>749</v>
      </c>
      <c r="E337" t="s">
        <v>750</v>
      </c>
      <c r="F337" t="s">
        <v>1173</v>
      </c>
      <c r="G337" s="2" t="str">
        <f>HYPERLINK("https://probpalata.gov.ru/files/ЮЛ770100193500069.jpeg","Скачать индивидуальный QR-код магазина")</f>
        <v>Скачать индивидуальный QR-код магазина</v>
      </c>
    </row>
    <row r="338" spans="1:7" x14ac:dyDescent="0.25">
      <c r="A338" t="s">
        <v>829</v>
      </c>
      <c r="B338" t="s">
        <v>1174</v>
      </c>
      <c r="C338" t="s">
        <v>748</v>
      </c>
      <c r="D338" t="s">
        <v>749</v>
      </c>
      <c r="E338" t="s">
        <v>750</v>
      </c>
      <c r="F338" t="s">
        <v>1175</v>
      </c>
      <c r="G338" s="2" t="str">
        <f>HYPERLINK("https://probpalata.gov.ru/files/ЮЛ770100193500661.jpeg","Скачать индивидуальный QR-код магазина")</f>
        <v>Скачать индивидуальный QR-код магазина</v>
      </c>
    </row>
    <row r="339" spans="1:7" x14ac:dyDescent="0.25">
      <c r="A339" t="s">
        <v>829</v>
      </c>
      <c r="B339" t="s">
        <v>1061</v>
      </c>
      <c r="C339" t="s">
        <v>798</v>
      </c>
      <c r="D339" t="s">
        <v>799</v>
      </c>
      <c r="E339" t="s">
        <v>800</v>
      </c>
      <c r="F339" t="s">
        <v>1176</v>
      </c>
      <c r="G339" s="2" t="str">
        <f>HYPERLINK("https://probpalata.gov.ru/files/ЮЛ780300308200026.jpeg","Скачать индивидуальный QR-код магазина")</f>
        <v>Скачать индивидуальный QR-код магазина</v>
      </c>
    </row>
    <row r="340" spans="1:7" x14ac:dyDescent="0.25">
      <c r="A340" t="s">
        <v>829</v>
      </c>
      <c r="B340" t="s">
        <v>1177</v>
      </c>
      <c r="C340" t="s">
        <v>798</v>
      </c>
      <c r="D340" t="s">
        <v>799</v>
      </c>
      <c r="E340" t="s">
        <v>800</v>
      </c>
      <c r="F340" t="s">
        <v>1178</v>
      </c>
      <c r="G340" s="2" t="str">
        <f>HYPERLINK("https://probpalata.gov.ru/files/ЮЛ780300308200058.jpeg","Скачать индивидуальный QR-код магазина")</f>
        <v>Скачать индивидуальный QR-код магазина</v>
      </c>
    </row>
    <row r="341" spans="1:7" x14ac:dyDescent="0.25">
      <c r="A341" t="s">
        <v>1179</v>
      </c>
      <c r="B341" t="s">
        <v>1180</v>
      </c>
      <c r="C341" t="s">
        <v>1181</v>
      </c>
      <c r="D341" t="s">
        <v>1182</v>
      </c>
      <c r="E341" t="s">
        <v>1183</v>
      </c>
      <c r="F341" t="s">
        <v>1184</v>
      </c>
      <c r="G341" s="2" t="str">
        <f>HYPERLINK("https://probpalata.gov.ru/files/ИП770103767000000.jpeg","Скачать индивидуальный QR-код магазина")</f>
        <v>Скачать индивидуальный QR-код магазина</v>
      </c>
    </row>
    <row r="342" spans="1:7" x14ac:dyDescent="0.25">
      <c r="A342" t="s">
        <v>1179</v>
      </c>
      <c r="B342" t="s">
        <v>1185</v>
      </c>
      <c r="C342" t="s">
        <v>1186</v>
      </c>
      <c r="D342" t="s">
        <v>1187</v>
      </c>
      <c r="E342" t="s">
        <v>1188</v>
      </c>
      <c r="F342" t="s">
        <v>1189</v>
      </c>
      <c r="G342" s="2" t="str">
        <f>HYPERLINK("https://probpalata.gov.ru/files/ИП800301733500000.jpeg","Скачать индивидуальный QR-код магазина")</f>
        <v>Скачать индивидуальный QR-код магазина</v>
      </c>
    </row>
    <row r="343" spans="1:7" x14ac:dyDescent="0.25">
      <c r="A343" t="s">
        <v>1179</v>
      </c>
      <c r="B343" t="s">
        <v>1190</v>
      </c>
      <c r="C343" t="s">
        <v>1186</v>
      </c>
      <c r="D343" t="s">
        <v>1187</v>
      </c>
      <c r="E343" t="s">
        <v>1188</v>
      </c>
      <c r="F343" t="s">
        <v>1191</v>
      </c>
      <c r="G343" s="2" t="str">
        <f>HYPERLINK("https://probpalata.gov.ru/files/ИП800301733500001.jpeg","Скачать индивидуальный QR-код магазина")</f>
        <v>Скачать индивидуальный QR-код магазина</v>
      </c>
    </row>
    <row r="344" spans="1:7" x14ac:dyDescent="0.25">
      <c r="A344" t="s">
        <v>1179</v>
      </c>
      <c r="B344" t="s">
        <v>1192</v>
      </c>
      <c r="C344" t="s">
        <v>1186</v>
      </c>
      <c r="D344" t="s">
        <v>1187</v>
      </c>
      <c r="E344" t="s">
        <v>1188</v>
      </c>
      <c r="F344" t="s">
        <v>1193</v>
      </c>
      <c r="G344" s="2" t="str">
        <f>HYPERLINK("https://probpalata.gov.ru/files/ИП800301733500002.jpeg","Скачать индивидуальный QR-код магазина")</f>
        <v>Скачать индивидуальный QR-код магазина</v>
      </c>
    </row>
    <row r="345" spans="1:7" x14ac:dyDescent="0.25">
      <c r="A345" t="s">
        <v>1179</v>
      </c>
      <c r="B345" t="s">
        <v>1194</v>
      </c>
      <c r="C345" t="s">
        <v>1186</v>
      </c>
      <c r="D345" t="s">
        <v>1187</v>
      </c>
      <c r="E345" t="s">
        <v>1188</v>
      </c>
      <c r="F345" t="s">
        <v>1195</v>
      </c>
      <c r="G345" s="2" t="str">
        <f>HYPERLINK("https://probpalata.gov.ru/files/ИП800301733500003.jpeg","Скачать индивидуальный QR-код магазина")</f>
        <v>Скачать индивидуальный QR-код магазина</v>
      </c>
    </row>
    <row r="346" spans="1:7" x14ac:dyDescent="0.25">
      <c r="A346" t="s">
        <v>1179</v>
      </c>
      <c r="B346" t="s">
        <v>1196</v>
      </c>
      <c r="C346" t="s">
        <v>1186</v>
      </c>
      <c r="D346" t="s">
        <v>1187</v>
      </c>
      <c r="E346" t="s">
        <v>1188</v>
      </c>
      <c r="F346" t="s">
        <v>1197</v>
      </c>
      <c r="G346" s="2" t="str">
        <f>HYPERLINK("https://probpalata.gov.ru/files/ИП800301733500005.jpeg","Скачать индивидуальный QR-код магазина")</f>
        <v>Скачать индивидуальный QR-код магазина</v>
      </c>
    </row>
    <row r="347" spans="1:7" x14ac:dyDescent="0.25">
      <c r="A347" t="s">
        <v>1179</v>
      </c>
      <c r="B347" t="s">
        <v>1198</v>
      </c>
      <c r="C347" t="s">
        <v>1186</v>
      </c>
      <c r="D347" t="s">
        <v>1187</v>
      </c>
      <c r="E347" t="s">
        <v>1188</v>
      </c>
      <c r="F347" t="s">
        <v>1199</v>
      </c>
      <c r="G347" s="2" t="str">
        <f>HYPERLINK("https://probpalata.gov.ru/files/ИП800301733500007.jpeg","Скачать индивидуальный QR-код магазина")</f>
        <v>Скачать индивидуальный QR-код магазина</v>
      </c>
    </row>
    <row r="348" spans="1:7" x14ac:dyDescent="0.25">
      <c r="A348" t="s">
        <v>1179</v>
      </c>
      <c r="B348" t="s">
        <v>1200</v>
      </c>
      <c r="C348" t="s">
        <v>1186</v>
      </c>
      <c r="D348" t="s">
        <v>1187</v>
      </c>
      <c r="E348" t="s">
        <v>1188</v>
      </c>
      <c r="F348" t="s">
        <v>1201</v>
      </c>
      <c r="G348" s="2" t="str">
        <f>HYPERLINK("https://probpalata.gov.ru/files/ИП800301733500008.jpeg","Скачать индивидуальный QR-код магазина")</f>
        <v>Скачать индивидуальный QR-код магазина</v>
      </c>
    </row>
    <row r="349" spans="1:7" x14ac:dyDescent="0.25">
      <c r="A349" t="s">
        <v>1179</v>
      </c>
      <c r="B349" t="s">
        <v>1202</v>
      </c>
      <c r="C349" t="s">
        <v>1186</v>
      </c>
      <c r="D349" t="s">
        <v>1187</v>
      </c>
      <c r="E349" t="s">
        <v>1188</v>
      </c>
      <c r="F349" t="s">
        <v>1203</v>
      </c>
      <c r="G349" s="2" t="str">
        <f>HYPERLINK("https://probpalata.gov.ru/files/ИП800301733500012.jpeg","Скачать индивидуальный QR-код магазина")</f>
        <v>Скачать индивидуальный QR-код магазина</v>
      </c>
    </row>
    <row r="350" spans="1:7" x14ac:dyDescent="0.25">
      <c r="A350" t="s">
        <v>1179</v>
      </c>
      <c r="B350" t="s">
        <v>1204</v>
      </c>
      <c r="C350" t="s">
        <v>1186</v>
      </c>
      <c r="D350" t="s">
        <v>1187</v>
      </c>
      <c r="E350" t="s">
        <v>1188</v>
      </c>
      <c r="F350" t="s">
        <v>1205</v>
      </c>
      <c r="G350" s="2" t="str">
        <f>HYPERLINK("https://probpalata.gov.ru/files/ИП800301733500013.jpeg","Скачать индивидуальный QR-код магазина")</f>
        <v>Скачать индивидуальный QR-код магазина</v>
      </c>
    </row>
    <row r="351" spans="1:7" x14ac:dyDescent="0.25">
      <c r="A351" t="s">
        <v>1179</v>
      </c>
      <c r="B351" t="s">
        <v>1206</v>
      </c>
      <c r="C351" t="s">
        <v>1186</v>
      </c>
      <c r="D351" t="s">
        <v>1187</v>
      </c>
      <c r="E351" t="s">
        <v>1188</v>
      </c>
      <c r="F351" t="s">
        <v>1207</v>
      </c>
      <c r="G351" s="2" t="str">
        <f>HYPERLINK("https://probpalata.gov.ru/files/ИП800301733500014.jpeg","Скачать индивидуальный QR-код магазина")</f>
        <v>Скачать индивидуальный QR-код магазина</v>
      </c>
    </row>
    <row r="352" spans="1:7" x14ac:dyDescent="0.25">
      <c r="A352" t="s">
        <v>1179</v>
      </c>
      <c r="B352" t="s">
        <v>1208</v>
      </c>
      <c r="C352" t="s">
        <v>1209</v>
      </c>
      <c r="D352" t="s">
        <v>1210</v>
      </c>
      <c r="E352" t="s">
        <v>1211</v>
      </c>
      <c r="F352" t="s">
        <v>1212</v>
      </c>
      <c r="G352" s="2" t="str">
        <f>HYPERLINK("https://probpalata.gov.ru/files/ЮЛ290300079300000.jpeg","Скачать индивидуальный QR-код магазина")</f>
        <v>Скачать индивидуальный QR-код магазина</v>
      </c>
    </row>
    <row r="353" spans="1:7" x14ac:dyDescent="0.25">
      <c r="A353" t="s">
        <v>1179</v>
      </c>
      <c r="B353" t="s">
        <v>1213</v>
      </c>
      <c r="C353" t="s">
        <v>1209</v>
      </c>
      <c r="D353" t="s">
        <v>1210</v>
      </c>
      <c r="E353" t="s">
        <v>1211</v>
      </c>
      <c r="F353" t="s">
        <v>1214</v>
      </c>
      <c r="G353" s="2" t="str">
        <f>HYPERLINK("https://probpalata.gov.ru/files/ЮЛ290300079300001.jpeg","Скачать индивидуальный QR-код магазина")</f>
        <v>Скачать индивидуальный QR-код магазина</v>
      </c>
    </row>
    <row r="354" spans="1:7" x14ac:dyDescent="0.25">
      <c r="A354" t="s">
        <v>1179</v>
      </c>
      <c r="B354" t="s">
        <v>1215</v>
      </c>
      <c r="C354" t="s">
        <v>1209</v>
      </c>
      <c r="D354" t="s">
        <v>1210</v>
      </c>
      <c r="E354" t="s">
        <v>1211</v>
      </c>
      <c r="F354" t="s">
        <v>1216</v>
      </c>
      <c r="G354" s="2" t="str">
        <f>HYPERLINK("https://probpalata.gov.ru/files/ЮЛ290300079300002.jpeg","Скачать индивидуальный QR-код магазина")</f>
        <v>Скачать индивидуальный QR-код магазина</v>
      </c>
    </row>
    <row r="355" spans="1:7" x14ac:dyDescent="0.25">
      <c r="A355" t="s">
        <v>1179</v>
      </c>
      <c r="B355" t="s">
        <v>1217</v>
      </c>
      <c r="C355" t="s">
        <v>1209</v>
      </c>
      <c r="D355" t="s">
        <v>1210</v>
      </c>
      <c r="E355" t="s">
        <v>1211</v>
      </c>
      <c r="F355" t="s">
        <v>1218</v>
      </c>
      <c r="G355" s="2" t="str">
        <f>HYPERLINK("https://probpalata.gov.ru/files/ЮЛ290300079300003.jpeg","Скачать индивидуальный QR-код магазина")</f>
        <v>Скачать индивидуальный QR-код магазина</v>
      </c>
    </row>
    <row r="356" spans="1:7" x14ac:dyDescent="0.25">
      <c r="A356" t="s">
        <v>1179</v>
      </c>
      <c r="B356" t="s">
        <v>1219</v>
      </c>
      <c r="C356" t="s">
        <v>1209</v>
      </c>
      <c r="D356" t="s">
        <v>1210</v>
      </c>
      <c r="E356" t="s">
        <v>1211</v>
      </c>
      <c r="F356" t="s">
        <v>1220</v>
      </c>
      <c r="G356" s="2" t="str">
        <f>HYPERLINK("https://probpalata.gov.ru/files/ЮЛ290300079300004.jpeg","Скачать индивидуальный QR-код магазина")</f>
        <v>Скачать индивидуальный QR-код магазина</v>
      </c>
    </row>
    <row r="357" spans="1:7" x14ac:dyDescent="0.25">
      <c r="A357" t="s">
        <v>1179</v>
      </c>
      <c r="B357" t="s">
        <v>1221</v>
      </c>
      <c r="C357" t="s">
        <v>1222</v>
      </c>
      <c r="D357" t="s">
        <v>1223</v>
      </c>
      <c r="E357" t="s">
        <v>1224</v>
      </c>
      <c r="F357" t="s">
        <v>1225</v>
      </c>
      <c r="G357" s="2" t="str">
        <f>HYPERLINK("https://probpalata.gov.ru/files/ЮЛ290300364200000.jpeg","Скачать индивидуальный QR-код магазина")</f>
        <v>Скачать индивидуальный QR-код магазина</v>
      </c>
    </row>
    <row r="358" spans="1:7" x14ac:dyDescent="0.25">
      <c r="A358" t="s">
        <v>1179</v>
      </c>
      <c r="B358" t="s">
        <v>1190</v>
      </c>
      <c r="C358" t="s">
        <v>1222</v>
      </c>
      <c r="D358" t="s">
        <v>1223</v>
      </c>
      <c r="E358" t="s">
        <v>1224</v>
      </c>
      <c r="F358" t="s">
        <v>1226</v>
      </c>
      <c r="G358" s="2" t="str">
        <f>HYPERLINK("https://probpalata.gov.ru/files/ЮЛ290300364200006.jpeg","Скачать индивидуальный QR-код магазина")</f>
        <v>Скачать индивидуальный QR-код магазина</v>
      </c>
    </row>
    <row r="359" spans="1:7" x14ac:dyDescent="0.25">
      <c r="A359" t="s">
        <v>1179</v>
      </c>
      <c r="B359" t="s">
        <v>1227</v>
      </c>
      <c r="C359" t="s">
        <v>1228</v>
      </c>
      <c r="D359" t="s">
        <v>1229</v>
      </c>
      <c r="E359" t="s">
        <v>1230</v>
      </c>
      <c r="F359" t="s">
        <v>1231</v>
      </c>
      <c r="G359" s="2" t="str">
        <f>HYPERLINK("https://probpalata.gov.ru/files/ИП290301303200000.jpeg","Скачать индивидуальный QR-код магазина")</f>
        <v>Скачать индивидуальный QR-код магазина</v>
      </c>
    </row>
    <row r="360" spans="1:7" x14ac:dyDescent="0.25">
      <c r="A360" t="s">
        <v>1179</v>
      </c>
      <c r="B360" t="s">
        <v>1232</v>
      </c>
      <c r="C360" t="s">
        <v>1233</v>
      </c>
      <c r="D360" t="s">
        <v>1234</v>
      </c>
      <c r="E360" t="s">
        <v>1235</v>
      </c>
      <c r="F360" t="s">
        <v>1236</v>
      </c>
      <c r="G360" s="2" t="str">
        <f>HYPERLINK("https://probpalata.gov.ru/files/ИП290304002500000.jpeg","Скачать индивидуальный QR-код магазина")</f>
        <v>Скачать индивидуальный QR-код магазина</v>
      </c>
    </row>
    <row r="361" spans="1:7" x14ac:dyDescent="0.25">
      <c r="A361" t="s">
        <v>1179</v>
      </c>
      <c r="B361" t="s">
        <v>1237</v>
      </c>
      <c r="C361" t="s">
        <v>1238</v>
      </c>
      <c r="D361" t="s">
        <v>1239</v>
      </c>
      <c r="E361" t="s">
        <v>1240</v>
      </c>
      <c r="F361" t="s">
        <v>1241</v>
      </c>
      <c r="G361" s="2" t="str">
        <f>HYPERLINK("https://probpalata.gov.ru/files/ЮЛ290300958900000.jpeg","Скачать индивидуальный QR-код магазина")</f>
        <v>Скачать индивидуальный QR-код магазина</v>
      </c>
    </row>
    <row r="362" spans="1:7" x14ac:dyDescent="0.25">
      <c r="A362" t="s">
        <v>1179</v>
      </c>
      <c r="B362" t="s">
        <v>1242</v>
      </c>
      <c r="C362" t="s">
        <v>1238</v>
      </c>
      <c r="D362" t="s">
        <v>1239</v>
      </c>
      <c r="E362" t="s">
        <v>1240</v>
      </c>
      <c r="F362" t="s">
        <v>1243</v>
      </c>
      <c r="G362" s="2" t="str">
        <f>HYPERLINK("https://probpalata.gov.ru/files/ЮЛ290300958900009.jpeg","Скачать индивидуальный QR-код магазина")</f>
        <v>Скачать индивидуальный QR-код магазина</v>
      </c>
    </row>
    <row r="363" spans="1:7" x14ac:dyDescent="0.25">
      <c r="A363" t="s">
        <v>1179</v>
      </c>
      <c r="B363" t="s">
        <v>1244</v>
      </c>
      <c r="C363" t="s">
        <v>1238</v>
      </c>
      <c r="D363" t="s">
        <v>1239</v>
      </c>
      <c r="E363" t="s">
        <v>1240</v>
      </c>
      <c r="F363" t="s">
        <v>1245</v>
      </c>
      <c r="G363" s="2" t="str">
        <f>HYPERLINK("https://probpalata.gov.ru/files/ЮЛ290300958900010.jpeg","Скачать индивидуальный QR-код магазина")</f>
        <v>Скачать индивидуальный QR-код магазина</v>
      </c>
    </row>
    <row r="364" spans="1:7" x14ac:dyDescent="0.25">
      <c r="A364" t="s">
        <v>1179</v>
      </c>
      <c r="B364" t="s">
        <v>1246</v>
      </c>
      <c r="C364" t="s">
        <v>1238</v>
      </c>
      <c r="D364" t="s">
        <v>1239</v>
      </c>
      <c r="E364" t="s">
        <v>1240</v>
      </c>
      <c r="F364" t="s">
        <v>1247</v>
      </c>
      <c r="G364" s="2" t="str">
        <f>HYPERLINK("https://probpalata.gov.ru/files/ЮЛ290300958900011.jpeg","Скачать индивидуальный QR-код магазина")</f>
        <v>Скачать индивидуальный QR-код магазина</v>
      </c>
    </row>
    <row r="365" spans="1:7" x14ac:dyDescent="0.25">
      <c r="A365" t="s">
        <v>1179</v>
      </c>
      <c r="B365" t="s">
        <v>1248</v>
      </c>
      <c r="C365" t="s">
        <v>1238</v>
      </c>
      <c r="D365" t="s">
        <v>1239</v>
      </c>
      <c r="E365" t="s">
        <v>1240</v>
      </c>
      <c r="F365" t="s">
        <v>1249</v>
      </c>
      <c r="G365" s="2" t="str">
        <f>HYPERLINK("https://probpalata.gov.ru/files/ЮЛ290300958900012.jpeg","Скачать индивидуальный QR-код магазина")</f>
        <v>Скачать индивидуальный QR-код магазина</v>
      </c>
    </row>
    <row r="366" spans="1:7" x14ac:dyDescent="0.25">
      <c r="A366" t="s">
        <v>1179</v>
      </c>
      <c r="B366" t="s">
        <v>1250</v>
      </c>
      <c r="C366" t="s">
        <v>1251</v>
      </c>
      <c r="D366" t="s">
        <v>1252</v>
      </c>
      <c r="E366" t="s">
        <v>1253</v>
      </c>
      <c r="F366" t="s">
        <v>1254</v>
      </c>
      <c r="G366" s="2" t="str">
        <f>HYPERLINK("https://probpalata.gov.ru/files/ИП290301808300000.jpeg","Скачать индивидуальный QR-код магазина")</f>
        <v>Скачать индивидуальный QR-код магазина</v>
      </c>
    </row>
    <row r="367" spans="1:7" x14ac:dyDescent="0.25">
      <c r="A367" t="s">
        <v>1179</v>
      </c>
      <c r="B367" t="s">
        <v>1255</v>
      </c>
      <c r="C367" t="s">
        <v>1256</v>
      </c>
      <c r="D367" t="s">
        <v>1257</v>
      </c>
      <c r="E367" t="s">
        <v>1258</v>
      </c>
      <c r="F367" t="s">
        <v>1259</v>
      </c>
      <c r="G367" s="2" t="str">
        <f>HYPERLINK("https://probpalata.gov.ru/files/ИП290301351900000.jpeg","Скачать индивидуальный QR-код магазина")</f>
        <v>Скачать индивидуальный QR-код магазина</v>
      </c>
    </row>
    <row r="368" spans="1:7" x14ac:dyDescent="0.25">
      <c r="A368" t="s">
        <v>1179</v>
      </c>
      <c r="B368" t="s">
        <v>1260</v>
      </c>
      <c r="C368" t="s">
        <v>1261</v>
      </c>
      <c r="D368" t="s">
        <v>1262</v>
      </c>
      <c r="E368" t="s">
        <v>1263</v>
      </c>
      <c r="F368" t="s">
        <v>1264</v>
      </c>
      <c r="G368" s="2" t="str">
        <f>HYPERLINK("https://probpalata.gov.ru/files/ИП290300757900000.jpeg","Скачать индивидуальный QR-код магазина")</f>
        <v>Скачать индивидуальный QR-код магазина</v>
      </c>
    </row>
    <row r="369" spans="1:7" x14ac:dyDescent="0.25">
      <c r="A369" t="s">
        <v>1179</v>
      </c>
      <c r="B369" t="s">
        <v>1265</v>
      </c>
      <c r="C369" t="s">
        <v>1261</v>
      </c>
      <c r="D369" t="s">
        <v>1262</v>
      </c>
      <c r="E369" t="s">
        <v>1263</v>
      </c>
      <c r="F369" t="s">
        <v>1266</v>
      </c>
      <c r="G369" s="2" t="str">
        <f>HYPERLINK("https://probpalata.gov.ru/files/ИП290300757900001.jpeg","Скачать индивидуальный QR-код магазина")</f>
        <v>Скачать индивидуальный QR-код магазина</v>
      </c>
    </row>
    <row r="370" spans="1:7" x14ac:dyDescent="0.25">
      <c r="A370" t="s">
        <v>1179</v>
      </c>
      <c r="B370" t="s">
        <v>1267</v>
      </c>
      <c r="C370" t="s">
        <v>1268</v>
      </c>
      <c r="D370" t="s">
        <v>1269</v>
      </c>
      <c r="E370" t="s">
        <v>1270</v>
      </c>
      <c r="F370" t="s">
        <v>1271</v>
      </c>
      <c r="G370" s="2" t="str">
        <f>HYPERLINK("https://probpalata.gov.ru/files/ЮЛ290300549300001.jpeg","Скачать индивидуальный QR-код магазина")</f>
        <v>Скачать индивидуальный QR-код магазина</v>
      </c>
    </row>
    <row r="371" spans="1:7" x14ac:dyDescent="0.25">
      <c r="A371" t="s">
        <v>1179</v>
      </c>
      <c r="B371" t="s">
        <v>1272</v>
      </c>
      <c r="C371" t="s">
        <v>1268</v>
      </c>
      <c r="D371" t="s">
        <v>1269</v>
      </c>
      <c r="E371" t="s">
        <v>1270</v>
      </c>
      <c r="F371" t="s">
        <v>1273</v>
      </c>
      <c r="G371" s="2" t="str">
        <f>HYPERLINK("https://probpalata.gov.ru/files/ЮЛ290300549300004.jpeg","Скачать индивидуальный QR-код магазина")</f>
        <v>Скачать индивидуальный QR-код магазина</v>
      </c>
    </row>
    <row r="372" spans="1:7" x14ac:dyDescent="0.25">
      <c r="A372" t="s">
        <v>1179</v>
      </c>
      <c r="B372" t="s">
        <v>1274</v>
      </c>
      <c r="C372" t="s">
        <v>1268</v>
      </c>
      <c r="D372" t="s">
        <v>1269</v>
      </c>
      <c r="E372" t="s">
        <v>1270</v>
      </c>
      <c r="F372" t="s">
        <v>1275</v>
      </c>
      <c r="G372" s="2" t="str">
        <f>HYPERLINK("https://probpalata.gov.ru/files/ЮЛ290300549300008.jpeg","Скачать индивидуальный QR-код магазина")</f>
        <v>Скачать индивидуальный QR-код магазина</v>
      </c>
    </row>
    <row r="373" spans="1:7" x14ac:dyDescent="0.25">
      <c r="A373" t="s">
        <v>1179</v>
      </c>
      <c r="B373" t="s">
        <v>1276</v>
      </c>
      <c r="C373" t="s">
        <v>1268</v>
      </c>
      <c r="D373" t="s">
        <v>1269</v>
      </c>
      <c r="E373" t="s">
        <v>1270</v>
      </c>
      <c r="F373" t="s">
        <v>1277</v>
      </c>
      <c r="G373" s="2" t="str">
        <f>HYPERLINK("https://probpalata.gov.ru/files/ЮЛ290300549300009.jpeg","Скачать индивидуальный QR-код магазина")</f>
        <v>Скачать индивидуальный QR-код магазина</v>
      </c>
    </row>
    <row r="374" spans="1:7" x14ac:dyDescent="0.25">
      <c r="A374" t="s">
        <v>1179</v>
      </c>
      <c r="B374" t="s">
        <v>1278</v>
      </c>
      <c r="C374" t="s">
        <v>1279</v>
      </c>
      <c r="D374" t="s">
        <v>1280</v>
      </c>
      <c r="E374" t="s">
        <v>1281</v>
      </c>
      <c r="F374" t="s">
        <v>1282</v>
      </c>
      <c r="G374" s="2" t="str">
        <f>HYPERLINK("https://probpalata.gov.ru/files/ИП290300265500000.jpeg","Скачать индивидуальный QR-код магазина")</f>
        <v>Скачать индивидуальный QR-код магазина</v>
      </c>
    </row>
    <row r="375" spans="1:7" x14ac:dyDescent="0.25">
      <c r="A375" t="s">
        <v>1179</v>
      </c>
      <c r="B375" t="s">
        <v>1283</v>
      </c>
      <c r="C375" t="s">
        <v>1279</v>
      </c>
      <c r="D375" t="s">
        <v>1280</v>
      </c>
      <c r="E375" t="s">
        <v>1281</v>
      </c>
      <c r="F375" t="s">
        <v>1284</v>
      </c>
      <c r="G375" s="2" t="str">
        <f>HYPERLINK("https://probpalata.gov.ru/files/ИП290300265500001.jpeg","Скачать индивидуальный QR-код магазина")</f>
        <v>Скачать индивидуальный QR-код магазина</v>
      </c>
    </row>
    <row r="376" spans="1:7" x14ac:dyDescent="0.25">
      <c r="A376" t="s">
        <v>1179</v>
      </c>
      <c r="B376" t="s">
        <v>1285</v>
      </c>
      <c r="C376" t="s">
        <v>1279</v>
      </c>
      <c r="D376" t="s">
        <v>1280</v>
      </c>
      <c r="E376" t="s">
        <v>1281</v>
      </c>
      <c r="F376" t="s">
        <v>1286</v>
      </c>
      <c r="G376" s="2" t="str">
        <f>HYPERLINK("https://probpalata.gov.ru/files/ИП290300265500003.jpeg","Скачать индивидуальный QR-код магазина")</f>
        <v>Скачать индивидуальный QR-код магазина</v>
      </c>
    </row>
    <row r="377" spans="1:7" x14ac:dyDescent="0.25">
      <c r="A377" t="s">
        <v>1179</v>
      </c>
      <c r="B377" t="s">
        <v>1287</v>
      </c>
      <c r="C377" t="s">
        <v>1288</v>
      </c>
      <c r="D377" t="s">
        <v>1289</v>
      </c>
      <c r="E377" t="s">
        <v>1290</v>
      </c>
      <c r="F377" t="s">
        <v>1291</v>
      </c>
      <c r="G377" s="2" t="str">
        <f>HYPERLINK("https://probpalata.gov.ru/files/ИП290300753600000.jpeg","Скачать индивидуальный QR-код магазина")</f>
        <v>Скачать индивидуальный QR-код магазина</v>
      </c>
    </row>
    <row r="378" spans="1:7" x14ac:dyDescent="0.25">
      <c r="A378" t="s">
        <v>1179</v>
      </c>
      <c r="B378" t="s">
        <v>1292</v>
      </c>
      <c r="C378" t="s">
        <v>1293</v>
      </c>
      <c r="D378" t="s">
        <v>1294</v>
      </c>
      <c r="E378" t="s">
        <v>1295</v>
      </c>
      <c r="F378" t="s">
        <v>1296</v>
      </c>
      <c r="G378" s="2" t="str">
        <f>HYPERLINK("https://probpalata.gov.ru/files/ИП290300349200000.jpeg","Скачать индивидуальный QR-код магазина")</f>
        <v>Скачать индивидуальный QR-код магазина</v>
      </c>
    </row>
    <row r="379" spans="1:7" x14ac:dyDescent="0.25">
      <c r="A379" t="s">
        <v>1179</v>
      </c>
      <c r="B379" t="s">
        <v>1297</v>
      </c>
      <c r="C379" t="s">
        <v>1298</v>
      </c>
      <c r="D379" t="s">
        <v>1299</v>
      </c>
      <c r="E379" t="s">
        <v>1300</v>
      </c>
      <c r="F379" t="s">
        <v>1301</v>
      </c>
      <c r="G379" s="2" t="str">
        <f>HYPERLINK("https://probpalata.gov.ru/files/ИП290301700400000.jpeg","Скачать индивидуальный QR-код магазина")</f>
        <v>Скачать индивидуальный QR-код магазина</v>
      </c>
    </row>
    <row r="380" spans="1:7" x14ac:dyDescent="0.25">
      <c r="A380" t="s">
        <v>1179</v>
      </c>
      <c r="B380" t="s">
        <v>1302</v>
      </c>
      <c r="C380" t="s">
        <v>1303</v>
      </c>
      <c r="D380" t="s">
        <v>1304</v>
      </c>
      <c r="E380" t="s">
        <v>1305</v>
      </c>
      <c r="F380" t="s">
        <v>1306</v>
      </c>
      <c r="G380" s="2" t="str">
        <f>HYPERLINK("https://probpalata.gov.ru/files/ЮЛ290301043900000.jpeg","Скачать индивидуальный QR-код магазина")</f>
        <v>Скачать индивидуальный QR-код магазина</v>
      </c>
    </row>
    <row r="381" spans="1:7" x14ac:dyDescent="0.25">
      <c r="A381" t="s">
        <v>1179</v>
      </c>
      <c r="B381" t="s">
        <v>1307</v>
      </c>
      <c r="C381" t="s">
        <v>1308</v>
      </c>
      <c r="D381" t="s">
        <v>1309</v>
      </c>
      <c r="E381" t="s">
        <v>1310</v>
      </c>
      <c r="F381" t="s">
        <v>1311</v>
      </c>
      <c r="G381" s="2" t="str">
        <f>HYPERLINK("https://probpalata.gov.ru/files/ИП290300035700000.jpeg","Скачать индивидуальный QR-код магазина")</f>
        <v>Скачать индивидуальный QR-код магазина</v>
      </c>
    </row>
    <row r="382" spans="1:7" x14ac:dyDescent="0.25">
      <c r="A382" t="s">
        <v>1179</v>
      </c>
      <c r="B382" t="s">
        <v>1312</v>
      </c>
      <c r="C382" t="s">
        <v>1313</v>
      </c>
      <c r="D382" t="s">
        <v>1314</v>
      </c>
      <c r="E382" t="s">
        <v>1315</v>
      </c>
      <c r="F382" t="s">
        <v>1316</v>
      </c>
      <c r="G382" s="2" t="str">
        <f>HYPERLINK("https://probpalata.gov.ru/files/ИП290301676400000.jpeg","Скачать индивидуальный QR-код магазина")</f>
        <v>Скачать индивидуальный QR-код магазина</v>
      </c>
    </row>
    <row r="383" spans="1:7" x14ac:dyDescent="0.25">
      <c r="A383" t="s">
        <v>1179</v>
      </c>
      <c r="B383" t="s">
        <v>1317</v>
      </c>
      <c r="C383" t="s">
        <v>1313</v>
      </c>
      <c r="D383" t="s">
        <v>1314</v>
      </c>
      <c r="E383" t="s">
        <v>1315</v>
      </c>
      <c r="F383" t="s">
        <v>1318</v>
      </c>
      <c r="G383" s="2" t="str">
        <f>HYPERLINK("https://probpalata.gov.ru/files/ИП290301676400002.jpeg","Скачать индивидуальный QR-код магазина")</f>
        <v>Скачать индивидуальный QR-код магазина</v>
      </c>
    </row>
    <row r="384" spans="1:7" x14ac:dyDescent="0.25">
      <c r="A384" t="s">
        <v>1179</v>
      </c>
      <c r="B384" t="s">
        <v>1319</v>
      </c>
      <c r="C384" t="s">
        <v>1320</v>
      </c>
      <c r="D384" t="s">
        <v>1321</v>
      </c>
      <c r="E384" t="s">
        <v>1322</v>
      </c>
      <c r="F384" t="s">
        <v>1323</v>
      </c>
      <c r="G384" s="2" t="str">
        <f>HYPERLINK("https://probpalata.gov.ru/files/ИП290303245100000.jpeg","Скачать индивидуальный QR-код магазина")</f>
        <v>Скачать индивидуальный QR-код магазина</v>
      </c>
    </row>
    <row r="385" spans="1:7" x14ac:dyDescent="0.25">
      <c r="A385" t="s">
        <v>1179</v>
      </c>
      <c r="B385" t="s">
        <v>1324</v>
      </c>
      <c r="C385" t="s">
        <v>1325</v>
      </c>
      <c r="D385" t="s">
        <v>1326</v>
      </c>
      <c r="E385" t="s">
        <v>1327</v>
      </c>
      <c r="F385" t="s">
        <v>1328</v>
      </c>
      <c r="G385" s="2" t="str">
        <f>HYPERLINK("https://probpalata.gov.ru/files/ЮЛ290301919500000.jpeg","Скачать индивидуальный QR-код магазина")</f>
        <v>Скачать индивидуальный QR-код магазина</v>
      </c>
    </row>
    <row r="386" spans="1:7" x14ac:dyDescent="0.25">
      <c r="A386" t="s">
        <v>1179</v>
      </c>
      <c r="B386" t="s">
        <v>1329</v>
      </c>
      <c r="C386" t="s">
        <v>1330</v>
      </c>
      <c r="D386" t="s">
        <v>1331</v>
      </c>
      <c r="E386" t="s">
        <v>1332</v>
      </c>
      <c r="F386" t="s">
        <v>1333</v>
      </c>
      <c r="G386" s="2" t="str">
        <f>HYPERLINK("https://probpalata.gov.ru/files/ИП290301149900000.jpeg","Скачать индивидуальный QR-код магазина")</f>
        <v>Скачать индивидуальный QR-код магазина</v>
      </c>
    </row>
    <row r="387" spans="1:7" x14ac:dyDescent="0.25">
      <c r="A387" t="s">
        <v>1179</v>
      </c>
      <c r="B387" t="s">
        <v>1334</v>
      </c>
      <c r="C387" t="s">
        <v>1335</v>
      </c>
      <c r="D387" t="s">
        <v>1336</v>
      </c>
      <c r="E387" t="s">
        <v>1337</v>
      </c>
      <c r="F387" t="s">
        <v>1338</v>
      </c>
      <c r="G387" s="2" t="str">
        <f>HYPERLINK("https://probpalata.gov.ru/files/ИП290301417700001.jpeg","Скачать индивидуальный QR-код магазина")</f>
        <v>Скачать индивидуальный QR-код магазина</v>
      </c>
    </row>
    <row r="388" spans="1:7" x14ac:dyDescent="0.25">
      <c r="A388" t="s">
        <v>1179</v>
      </c>
      <c r="B388" t="s">
        <v>1339</v>
      </c>
      <c r="C388" t="s">
        <v>1340</v>
      </c>
      <c r="D388" t="s">
        <v>1341</v>
      </c>
      <c r="E388" t="s">
        <v>1342</v>
      </c>
      <c r="F388" t="s">
        <v>1343</v>
      </c>
      <c r="G388" s="2" t="str">
        <f>HYPERLINK("https://probpalata.gov.ru/files/ЮЛ290303296900000.jpeg","Скачать индивидуальный QR-код магазина")</f>
        <v>Скачать индивидуальный QR-код магазина</v>
      </c>
    </row>
    <row r="389" spans="1:7" x14ac:dyDescent="0.25">
      <c r="A389" t="s">
        <v>1179</v>
      </c>
      <c r="B389" t="s">
        <v>1344</v>
      </c>
      <c r="C389" t="s">
        <v>1345</v>
      </c>
      <c r="D389" t="s">
        <v>1346</v>
      </c>
      <c r="E389" t="s">
        <v>1347</v>
      </c>
      <c r="F389" t="s">
        <v>1348</v>
      </c>
      <c r="G389" s="2" t="str">
        <f>HYPERLINK("https://probpalata.gov.ru/files/ИП290300388100000.jpeg","Скачать индивидуальный QR-код магазина")</f>
        <v>Скачать индивидуальный QR-код магазина</v>
      </c>
    </row>
    <row r="390" spans="1:7" x14ac:dyDescent="0.25">
      <c r="A390" t="s">
        <v>1179</v>
      </c>
      <c r="B390" t="s">
        <v>1349</v>
      </c>
      <c r="C390" t="s">
        <v>1350</v>
      </c>
      <c r="D390" t="s">
        <v>1351</v>
      </c>
      <c r="E390" t="s">
        <v>1352</v>
      </c>
      <c r="F390" t="s">
        <v>1353</v>
      </c>
      <c r="G390" s="2" t="str">
        <f>HYPERLINK("https://probpalata.gov.ru/files/ИП290300580100000.jpeg","Скачать индивидуальный QR-код магазина")</f>
        <v>Скачать индивидуальный QR-код магазина</v>
      </c>
    </row>
    <row r="391" spans="1:7" x14ac:dyDescent="0.25">
      <c r="A391" t="s">
        <v>1179</v>
      </c>
      <c r="B391" t="s">
        <v>1354</v>
      </c>
      <c r="C391" t="s">
        <v>1355</v>
      </c>
      <c r="D391" t="s">
        <v>1356</v>
      </c>
      <c r="E391" t="s">
        <v>1357</v>
      </c>
      <c r="F391" t="s">
        <v>1358</v>
      </c>
      <c r="G391" s="2" t="str">
        <f>HYPERLINK("https://probpalata.gov.ru/files/ИП290303493500000.jpeg","Скачать индивидуальный QR-код магазина")</f>
        <v>Скачать индивидуальный QR-код магазина</v>
      </c>
    </row>
    <row r="392" spans="1:7" x14ac:dyDescent="0.25">
      <c r="A392" t="s">
        <v>1179</v>
      </c>
      <c r="B392" t="s">
        <v>1248</v>
      </c>
      <c r="C392" t="s">
        <v>1359</v>
      </c>
      <c r="D392" t="s">
        <v>1360</v>
      </c>
      <c r="E392" t="s">
        <v>1361</v>
      </c>
      <c r="F392" t="s">
        <v>1362</v>
      </c>
      <c r="G392" s="2" t="str">
        <f>HYPERLINK("https://probpalata.gov.ru/files/ИП290300238100002.jpeg","Скачать индивидуальный QR-код магазина")</f>
        <v>Скачать индивидуальный QR-код магазина</v>
      </c>
    </row>
    <row r="393" spans="1:7" x14ac:dyDescent="0.25">
      <c r="A393" t="s">
        <v>1179</v>
      </c>
      <c r="B393" t="s">
        <v>1363</v>
      </c>
      <c r="C393" t="s">
        <v>1359</v>
      </c>
      <c r="D393" t="s">
        <v>1360</v>
      </c>
      <c r="E393" t="s">
        <v>1361</v>
      </c>
      <c r="F393" t="s">
        <v>1364</v>
      </c>
      <c r="G393" s="2" t="str">
        <f>HYPERLINK("https://probpalata.gov.ru/files/ИП290300238100003.jpeg","Скачать индивидуальный QR-код магазина")</f>
        <v>Скачать индивидуальный QR-код магазина</v>
      </c>
    </row>
    <row r="394" spans="1:7" x14ac:dyDescent="0.25">
      <c r="A394" t="s">
        <v>1179</v>
      </c>
      <c r="B394" t="s">
        <v>1365</v>
      </c>
      <c r="C394" t="s">
        <v>1359</v>
      </c>
      <c r="D394" t="s">
        <v>1360</v>
      </c>
      <c r="E394" t="s">
        <v>1361</v>
      </c>
      <c r="F394" t="s">
        <v>1366</v>
      </c>
      <c r="G394" s="2" t="str">
        <f>HYPERLINK("https://probpalata.gov.ru/files/ИП290300238100006.jpeg","Скачать индивидуальный QR-код магазина")</f>
        <v>Скачать индивидуальный QR-код магазина</v>
      </c>
    </row>
    <row r="395" spans="1:7" x14ac:dyDescent="0.25">
      <c r="A395" t="s">
        <v>1179</v>
      </c>
      <c r="B395" t="s">
        <v>1180</v>
      </c>
      <c r="C395" t="s">
        <v>1359</v>
      </c>
      <c r="D395" t="s">
        <v>1360</v>
      </c>
      <c r="E395" t="s">
        <v>1361</v>
      </c>
      <c r="F395" t="s">
        <v>1367</v>
      </c>
      <c r="G395" s="2" t="str">
        <f>HYPERLINK("https://probpalata.gov.ru/files/ИП290300238100008.jpeg","Скачать индивидуальный QR-код магазина")</f>
        <v>Скачать индивидуальный QR-код магазина</v>
      </c>
    </row>
    <row r="396" spans="1:7" x14ac:dyDescent="0.25">
      <c r="A396" t="s">
        <v>1179</v>
      </c>
      <c r="B396" t="s">
        <v>1368</v>
      </c>
      <c r="C396" t="s">
        <v>1369</v>
      </c>
      <c r="D396" t="s">
        <v>1370</v>
      </c>
      <c r="E396" t="s">
        <v>1371</v>
      </c>
      <c r="F396" t="s">
        <v>1372</v>
      </c>
      <c r="G396" s="2" t="str">
        <f>HYPERLINK("https://probpalata.gov.ru/files/ИП350303259500001.jpeg","Скачать индивидуальный QR-код магазина")</f>
        <v>Скачать индивидуальный QR-код магазина</v>
      </c>
    </row>
    <row r="397" spans="1:7" x14ac:dyDescent="0.25">
      <c r="A397" t="s">
        <v>1179</v>
      </c>
      <c r="B397" t="s">
        <v>1373</v>
      </c>
      <c r="C397" t="s">
        <v>1374</v>
      </c>
      <c r="D397" t="s">
        <v>1375</v>
      </c>
      <c r="E397" t="s">
        <v>1376</v>
      </c>
      <c r="F397" t="s">
        <v>1377</v>
      </c>
      <c r="G397" s="2" t="str">
        <f>HYPERLINK("https://probpalata.gov.ru/files/ИП290300742200000.jpeg","Скачать индивидуальный QR-код магазина")</f>
        <v>Скачать индивидуальный QR-код магазина</v>
      </c>
    </row>
    <row r="398" spans="1:7" x14ac:dyDescent="0.25">
      <c r="A398" t="s">
        <v>1179</v>
      </c>
      <c r="B398" t="s">
        <v>1378</v>
      </c>
      <c r="C398" t="s">
        <v>1374</v>
      </c>
      <c r="D398" t="s">
        <v>1375</v>
      </c>
      <c r="E398" t="s">
        <v>1376</v>
      </c>
      <c r="F398" t="s">
        <v>1379</v>
      </c>
      <c r="G398" s="2" t="str">
        <f>HYPERLINK("https://probpalata.gov.ru/files/ИП290300742200001.jpeg","Скачать индивидуальный QR-код магазина")</f>
        <v>Скачать индивидуальный QR-код магазина</v>
      </c>
    </row>
    <row r="399" spans="1:7" x14ac:dyDescent="0.25">
      <c r="A399" t="s">
        <v>1179</v>
      </c>
      <c r="B399" t="s">
        <v>1380</v>
      </c>
      <c r="C399" t="s">
        <v>1374</v>
      </c>
      <c r="D399" t="s">
        <v>1375</v>
      </c>
      <c r="E399" t="s">
        <v>1376</v>
      </c>
      <c r="F399" t="s">
        <v>1381</v>
      </c>
      <c r="G399" s="2" t="str">
        <f>HYPERLINK("https://probpalata.gov.ru/files/ИП290300742200003.jpeg","Скачать индивидуальный QR-код магазина")</f>
        <v>Скачать индивидуальный QR-код магазина</v>
      </c>
    </row>
    <row r="400" spans="1:7" x14ac:dyDescent="0.25">
      <c r="A400" t="s">
        <v>1179</v>
      </c>
      <c r="B400" t="s">
        <v>1382</v>
      </c>
      <c r="C400" t="s">
        <v>1374</v>
      </c>
      <c r="D400" t="s">
        <v>1375</v>
      </c>
      <c r="E400" t="s">
        <v>1376</v>
      </c>
      <c r="F400" t="s">
        <v>1383</v>
      </c>
      <c r="G400" s="2" t="str">
        <f>HYPERLINK("https://probpalata.gov.ru/files/ИП290300742200006.jpeg","Скачать индивидуальный QR-код магазина")</f>
        <v>Скачать индивидуальный QR-код магазина</v>
      </c>
    </row>
    <row r="401" spans="1:7" x14ac:dyDescent="0.25">
      <c r="A401" t="s">
        <v>1179</v>
      </c>
      <c r="B401" t="s">
        <v>1384</v>
      </c>
      <c r="C401" t="s">
        <v>1385</v>
      </c>
      <c r="D401" t="s">
        <v>1386</v>
      </c>
      <c r="E401" t="s">
        <v>1387</v>
      </c>
      <c r="F401" t="s">
        <v>1388</v>
      </c>
      <c r="G401" s="2" t="str">
        <f>HYPERLINK("https://probpalata.gov.ru/files/ИП500101774600014.jpeg","Скачать индивидуальный QR-код магазина")</f>
        <v>Скачать индивидуальный QR-код магазина</v>
      </c>
    </row>
    <row r="402" spans="1:7" x14ac:dyDescent="0.25">
      <c r="A402" t="s">
        <v>1179</v>
      </c>
      <c r="B402" t="s">
        <v>1389</v>
      </c>
      <c r="C402" t="s">
        <v>1390</v>
      </c>
      <c r="D402" t="s">
        <v>1391</v>
      </c>
      <c r="E402" t="s">
        <v>1392</v>
      </c>
      <c r="F402" t="s">
        <v>1393</v>
      </c>
      <c r="G402" s="2" t="str">
        <f>HYPERLINK("https://probpalata.gov.ru/files/ИП290301583900000.jpeg","Скачать индивидуальный QR-код магазина")</f>
        <v>Скачать индивидуальный QR-код магазина</v>
      </c>
    </row>
    <row r="403" spans="1:7" x14ac:dyDescent="0.25">
      <c r="A403" t="s">
        <v>1179</v>
      </c>
      <c r="B403" t="s">
        <v>1394</v>
      </c>
      <c r="C403" t="s">
        <v>1395</v>
      </c>
      <c r="D403" t="s">
        <v>1396</v>
      </c>
      <c r="E403" t="s">
        <v>1397</v>
      </c>
      <c r="F403" t="s">
        <v>1398</v>
      </c>
      <c r="G403" s="2" t="str">
        <f>HYPERLINK("https://probpalata.gov.ru/files/ИП290300191900000.jpeg","Скачать индивидуальный QR-код магазина")</f>
        <v>Скачать индивидуальный QR-код магазина</v>
      </c>
    </row>
    <row r="404" spans="1:7" x14ac:dyDescent="0.25">
      <c r="A404" t="s">
        <v>1179</v>
      </c>
      <c r="B404" t="s">
        <v>1399</v>
      </c>
      <c r="C404" t="s">
        <v>713</v>
      </c>
      <c r="D404" t="s">
        <v>714</v>
      </c>
      <c r="E404" t="s">
        <v>715</v>
      </c>
      <c r="F404" t="s">
        <v>1400</v>
      </c>
      <c r="G404" s="2" t="str">
        <f>HYPERLINK("https://probpalata.gov.ru/files/ЮЛ770101216600141.jpeg","Скачать индивидуальный QR-код магазина")</f>
        <v>Скачать индивидуальный QR-код магазина</v>
      </c>
    </row>
    <row r="405" spans="1:7" x14ac:dyDescent="0.25">
      <c r="A405" t="s">
        <v>1179</v>
      </c>
      <c r="B405" t="s">
        <v>1401</v>
      </c>
      <c r="C405" t="s">
        <v>713</v>
      </c>
      <c r="D405" t="s">
        <v>714</v>
      </c>
      <c r="E405" t="s">
        <v>715</v>
      </c>
      <c r="F405" t="s">
        <v>1402</v>
      </c>
      <c r="G405" s="2" t="str">
        <f>HYPERLINK("https://probpalata.gov.ru/files/ЮЛ770101216600147.jpeg","Скачать индивидуальный QR-код магазина")</f>
        <v>Скачать индивидуальный QR-код магазина</v>
      </c>
    </row>
    <row r="406" spans="1:7" x14ac:dyDescent="0.25">
      <c r="A406" t="s">
        <v>1179</v>
      </c>
      <c r="B406" t="s">
        <v>1403</v>
      </c>
      <c r="C406" t="s">
        <v>713</v>
      </c>
      <c r="D406" t="s">
        <v>714</v>
      </c>
      <c r="E406" t="s">
        <v>715</v>
      </c>
      <c r="F406" t="s">
        <v>1404</v>
      </c>
      <c r="G406" s="2" t="str">
        <f>HYPERLINK("https://probpalata.gov.ru/files/ЮЛ770101216600223.jpeg","Скачать индивидуальный QR-код магазина")</f>
        <v>Скачать индивидуальный QR-код магазина</v>
      </c>
    </row>
    <row r="407" spans="1:7" x14ac:dyDescent="0.25">
      <c r="A407" t="s">
        <v>1179</v>
      </c>
      <c r="B407" t="s">
        <v>1405</v>
      </c>
      <c r="C407" t="s">
        <v>713</v>
      </c>
      <c r="D407" t="s">
        <v>714</v>
      </c>
      <c r="E407" t="s">
        <v>715</v>
      </c>
      <c r="F407" t="s">
        <v>1406</v>
      </c>
      <c r="G407" s="2" t="str">
        <f>HYPERLINK("https://probpalata.gov.ru/files/ЮЛ770101216600257.jpeg","Скачать индивидуальный QR-код магазина")</f>
        <v>Скачать индивидуальный QR-код магазина</v>
      </c>
    </row>
    <row r="408" spans="1:7" x14ac:dyDescent="0.25">
      <c r="A408" t="s">
        <v>1179</v>
      </c>
      <c r="B408" t="s">
        <v>1407</v>
      </c>
      <c r="C408" t="s">
        <v>713</v>
      </c>
      <c r="D408" t="s">
        <v>714</v>
      </c>
      <c r="E408" t="s">
        <v>715</v>
      </c>
      <c r="F408" t="s">
        <v>1408</v>
      </c>
      <c r="G408" s="2" t="str">
        <f>HYPERLINK("https://probpalata.gov.ru/files/ЮЛ770101216600359.jpeg","Скачать индивидуальный QR-код магазина")</f>
        <v>Скачать индивидуальный QR-код магазина</v>
      </c>
    </row>
    <row r="409" spans="1:7" x14ac:dyDescent="0.25">
      <c r="A409" t="s">
        <v>1179</v>
      </c>
      <c r="B409" t="s">
        <v>1409</v>
      </c>
      <c r="C409" t="s">
        <v>713</v>
      </c>
      <c r="D409" t="s">
        <v>714</v>
      </c>
      <c r="E409" t="s">
        <v>715</v>
      </c>
      <c r="F409" t="s">
        <v>1410</v>
      </c>
      <c r="G409" s="2" t="str">
        <f>HYPERLINK("https://probpalata.gov.ru/files/ЮЛ770101216600853.jpeg","Скачать индивидуальный QR-код магазина")</f>
        <v>Скачать индивидуальный QR-код магазина</v>
      </c>
    </row>
    <row r="410" spans="1:7" x14ac:dyDescent="0.25">
      <c r="A410" t="s">
        <v>1179</v>
      </c>
      <c r="B410" t="s">
        <v>1411</v>
      </c>
      <c r="C410" t="s">
        <v>713</v>
      </c>
      <c r="D410" t="s">
        <v>714</v>
      </c>
      <c r="E410" t="s">
        <v>715</v>
      </c>
      <c r="F410" t="s">
        <v>1412</v>
      </c>
      <c r="G410" s="2" t="str">
        <f>HYPERLINK("https://probpalata.gov.ru/files/ЮЛ770101216600889.jpeg","Скачать индивидуальный QR-код магазина")</f>
        <v>Скачать индивидуальный QR-код магазина</v>
      </c>
    </row>
    <row r="411" spans="1:7" x14ac:dyDescent="0.25">
      <c r="A411" t="s">
        <v>1179</v>
      </c>
      <c r="B411" t="s">
        <v>1413</v>
      </c>
      <c r="C411" t="s">
        <v>713</v>
      </c>
      <c r="D411" t="s">
        <v>714</v>
      </c>
      <c r="E411" t="s">
        <v>715</v>
      </c>
      <c r="F411" t="s">
        <v>1414</v>
      </c>
      <c r="G411" s="2" t="str">
        <f>HYPERLINK("https://probpalata.gov.ru/files/ЮЛ770101216600914.jpeg","Скачать индивидуальный QR-код магазина")</f>
        <v>Скачать индивидуальный QR-код магазина</v>
      </c>
    </row>
    <row r="412" spans="1:7" x14ac:dyDescent="0.25">
      <c r="A412" t="s">
        <v>1179</v>
      </c>
      <c r="B412" t="s">
        <v>1415</v>
      </c>
      <c r="C412" t="s">
        <v>1416</v>
      </c>
      <c r="D412" t="s">
        <v>1417</v>
      </c>
      <c r="E412" t="s">
        <v>1418</v>
      </c>
      <c r="F412" t="s">
        <v>1419</v>
      </c>
      <c r="G412" s="2" t="str">
        <f>HYPERLINK("https://probpalata.gov.ru/files/ЮЛ770100419400206.jpeg","Скачать индивидуальный QR-код магазина")</f>
        <v>Скачать индивидуальный QR-код магазина</v>
      </c>
    </row>
    <row r="413" spans="1:7" x14ac:dyDescent="0.25">
      <c r="A413" t="s">
        <v>1179</v>
      </c>
      <c r="B413" t="s">
        <v>1420</v>
      </c>
      <c r="C413" t="s">
        <v>748</v>
      </c>
      <c r="D413" t="s">
        <v>749</v>
      </c>
      <c r="E413" t="s">
        <v>750</v>
      </c>
      <c r="F413" t="s">
        <v>1421</v>
      </c>
      <c r="G413" s="2" t="str">
        <f>HYPERLINK("https://probpalata.gov.ru/files/ЮЛ770100193500093.jpeg","Скачать индивидуальный QR-код магазина")</f>
        <v>Скачать индивидуальный QR-код магазина</v>
      </c>
    </row>
    <row r="414" spans="1:7" x14ac:dyDescent="0.25">
      <c r="A414" t="s">
        <v>1179</v>
      </c>
      <c r="B414" t="s">
        <v>1422</v>
      </c>
      <c r="C414" t="s">
        <v>748</v>
      </c>
      <c r="D414" t="s">
        <v>749</v>
      </c>
      <c r="E414" t="s">
        <v>750</v>
      </c>
      <c r="F414" t="s">
        <v>1423</v>
      </c>
      <c r="G414" s="2" t="str">
        <f>HYPERLINK("https://probpalata.gov.ru/files/ЮЛ770100193500094.jpeg","Скачать индивидуальный QR-код магазина")</f>
        <v>Скачать индивидуальный QR-код магазина</v>
      </c>
    </row>
    <row r="415" spans="1:7" x14ac:dyDescent="0.25">
      <c r="A415" t="s">
        <v>1179</v>
      </c>
      <c r="B415" t="s">
        <v>1424</v>
      </c>
      <c r="C415" t="s">
        <v>748</v>
      </c>
      <c r="D415" t="s">
        <v>749</v>
      </c>
      <c r="E415" t="s">
        <v>750</v>
      </c>
      <c r="F415" t="s">
        <v>1425</v>
      </c>
      <c r="G415" s="2" t="str">
        <f>HYPERLINK("https://probpalata.gov.ru/files/ЮЛ770100193500095.jpeg","Скачать индивидуальный QR-код магазина")</f>
        <v>Скачать индивидуальный QR-код магазина</v>
      </c>
    </row>
    <row r="416" spans="1:7" x14ac:dyDescent="0.25">
      <c r="A416" t="s">
        <v>1179</v>
      </c>
      <c r="B416" t="s">
        <v>1426</v>
      </c>
      <c r="C416" t="s">
        <v>748</v>
      </c>
      <c r="D416" t="s">
        <v>749</v>
      </c>
      <c r="E416" t="s">
        <v>750</v>
      </c>
      <c r="F416" t="s">
        <v>1427</v>
      </c>
      <c r="G416" s="2" t="str">
        <f>HYPERLINK("https://probpalata.gov.ru/files/ЮЛ770100193500096.jpeg","Скачать индивидуальный QR-код магазина")</f>
        <v>Скачать индивидуальный QR-код магазина</v>
      </c>
    </row>
    <row r="417" spans="1:7" x14ac:dyDescent="0.25">
      <c r="A417" t="s">
        <v>1179</v>
      </c>
      <c r="B417" t="s">
        <v>1428</v>
      </c>
      <c r="C417" t="s">
        <v>773</v>
      </c>
      <c r="D417" t="s">
        <v>774</v>
      </c>
      <c r="E417" t="s">
        <v>775</v>
      </c>
      <c r="F417" t="s">
        <v>1429</v>
      </c>
      <c r="G417" s="2" t="str">
        <f>HYPERLINK("https://probpalata.gov.ru/files/ЮЛ780300131300030.jpeg","Скачать индивидуальный QR-код магазина")</f>
        <v>Скачать индивидуальный QR-код магазина</v>
      </c>
    </row>
    <row r="418" spans="1:7" x14ac:dyDescent="0.25">
      <c r="A418" t="s">
        <v>1179</v>
      </c>
      <c r="B418" t="s">
        <v>1430</v>
      </c>
      <c r="C418" t="s">
        <v>773</v>
      </c>
      <c r="D418" t="s">
        <v>774</v>
      </c>
      <c r="E418" t="s">
        <v>775</v>
      </c>
      <c r="F418" t="s">
        <v>1431</v>
      </c>
      <c r="G418" s="2" t="str">
        <f>HYPERLINK("https://probpalata.gov.ru/files/ЮЛ780300131300031.jpeg","Скачать индивидуальный QR-код магазина")</f>
        <v>Скачать индивидуальный QR-код магазина</v>
      </c>
    </row>
    <row r="419" spans="1:7" x14ac:dyDescent="0.25">
      <c r="A419" t="s">
        <v>1179</v>
      </c>
      <c r="B419" t="s">
        <v>1287</v>
      </c>
      <c r="C419" t="s">
        <v>773</v>
      </c>
      <c r="D419" t="s">
        <v>774</v>
      </c>
      <c r="E419" t="s">
        <v>775</v>
      </c>
      <c r="F419" t="s">
        <v>1432</v>
      </c>
      <c r="G419" s="2" t="str">
        <f>HYPERLINK("https://probpalata.gov.ru/files/ЮЛ780300131300440.jpeg","Скачать индивидуальный QR-код магазина")</f>
        <v>Скачать индивидуальный QR-код магазина</v>
      </c>
    </row>
    <row r="420" spans="1:7" x14ac:dyDescent="0.25">
      <c r="A420" t="s">
        <v>1179</v>
      </c>
      <c r="B420" t="s">
        <v>1433</v>
      </c>
      <c r="C420" t="s">
        <v>1434</v>
      </c>
      <c r="D420" t="s">
        <v>1435</v>
      </c>
      <c r="E420" t="s">
        <v>1436</v>
      </c>
      <c r="F420" t="s">
        <v>1437</v>
      </c>
      <c r="G420" s="2" t="str">
        <f>HYPERLINK("https://probpalata.gov.ru/files/ЮЛ780300217900000.jpeg","Скачать индивидуальный QR-код магазина")</f>
        <v>Скачать индивидуальный QR-код магазина</v>
      </c>
    </row>
    <row r="421" spans="1:7" x14ac:dyDescent="0.25">
      <c r="A421" t="s">
        <v>1179</v>
      </c>
      <c r="B421" t="s">
        <v>1438</v>
      </c>
      <c r="C421" t="s">
        <v>787</v>
      </c>
      <c r="D421" t="s">
        <v>788</v>
      </c>
      <c r="E421" t="s">
        <v>789</v>
      </c>
      <c r="F421" t="s">
        <v>1439</v>
      </c>
      <c r="G421" s="2" t="str">
        <f>HYPERLINK("https://probpalata.gov.ru/files/ЮЛ780300328000178.jpeg","Скачать индивидуальный QR-код магазина")</f>
        <v>Скачать индивидуальный QR-код магазина</v>
      </c>
    </row>
    <row r="422" spans="1:7" x14ac:dyDescent="0.25">
      <c r="A422" t="s">
        <v>1179</v>
      </c>
      <c r="B422" t="s">
        <v>1440</v>
      </c>
      <c r="C422" t="s">
        <v>1441</v>
      </c>
      <c r="D422" t="s">
        <v>1442</v>
      </c>
      <c r="E422" t="s">
        <v>1443</v>
      </c>
      <c r="F422" t="s">
        <v>1444</v>
      </c>
      <c r="G422" s="2" t="str">
        <f>HYPERLINK("https://probpalata.gov.ru/files/ЮЛ780300179700013.jpeg","Скачать индивидуальный QR-код магазина")</f>
        <v>Скачать индивидуальный QR-код магазина</v>
      </c>
    </row>
    <row r="423" spans="1:7" x14ac:dyDescent="0.25">
      <c r="A423" t="s">
        <v>1179</v>
      </c>
      <c r="B423" t="s">
        <v>1445</v>
      </c>
      <c r="C423" t="s">
        <v>1441</v>
      </c>
      <c r="D423" t="s">
        <v>1442</v>
      </c>
      <c r="E423" t="s">
        <v>1443</v>
      </c>
      <c r="F423" t="s">
        <v>1446</v>
      </c>
      <c r="G423" s="2" t="str">
        <f>HYPERLINK("https://probpalata.gov.ru/files/ЮЛ780300179700021.jpeg","Скачать индивидуальный QR-код магазина")</f>
        <v>Скачать индивидуальный QR-код магазина</v>
      </c>
    </row>
    <row r="424" spans="1:7" x14ac:dyDescent="0.25">
      <c r="A424" t="s">
        <v>1179</v>
      </c>
      <c r="B424" t="s">
        <v>1447</v>
      </c>
      <c r="C424" t="s">
        <v>791</v>
      </c>
      <c r="D424" t="s">
        <v>792</v>
      </c>
      <c r="E424" t="s">
        <v>793</v>
      </c>
      <c r="F424" t="s">
        <v>1448</v>
      </c>
      <c r="G424" s="2" t="str">
        <f>HYPERLINK("https://probpalata.gov.ru/files/ЮЛ780300323500027.jpeg","Скачать индивидуальный QR-код магазина")</f>
        <v>Скачать индивидуальный QR-код магазина</v>
      </c>
    </row>
    <row r="425" spans="1:7" x14ac:dyDescent="0.25">
      <c r="A425" t="s">
        <v>1179</v>
      </c>
      <c r="B425" t="s">
        <v>1449</v>
      </c>
      <c r="C425" t="s">
        <v>791</v>
      </c>
      <c r="D425" t="s">
        <v>792</v>
      </c>
      <c r="E425" t="s">
        <v>793</v>
      </c>
      <c r="F425" t="s">
        <v>1450</v>
      </c>
      <c r="G425" s="2" t="str">
        <f>HYPERLINK("https://probpalata.gov.ru/files/ЮЛ780300323500071.jpeg","Скачать индивидуальный QR-код магазина")</f>
        <v>Скачать индивидуальный QR-код магазина</v>
      </c>
    </row>
    <row r="426" spans="1:7" x14ac:dyDescent="0.25">
      <c r="A426" t="s">
        <v>1179</v>
      </c>
      <c r="B426" t="s">
        <v>1451</v>
      </c>
      <c r="C426" t="s">
        <v>791</v>
      </c>
      <c r="D426" t="s">
        <v>792</v>
      </c>
      <c r="E426" t="s">
        <v>793</v>
      </c>
      <c r="F426" t="s">
        <v>1452</v>
      </c>
      <c r="G426" s="2" t="str">
        <f>HYPERLINK("https://probpalata.gov.ru/files/ЮЛ780300323500073.jpeg","Скачать индивидуальный QR-код магазина")</f>
        <v>Скачать индивидуальный QR-код магазина</v>
      </c>
    </row>
    <row r="427" spans="1:7" x14ac:dyDescent="0.25">
      <c r="A427" t="s">
        <v>1179</v>
      </c>
      <c r="B427" t="s">
        <v>1453</v>
      </c>
      <c r="C427" t="s">
        <v>791</v>
      </c>
      <c r="D427" t="s">
        <v>792</v>
      </c>
      <c r="E427" t="s">
        <v>793</v>
      </c>
      <c r="F427" t="s">
        <v>1454</v>
      </c>
      <c r="G427" s="2" t="str">
        <f>HYPERLINK("https://probpalata.gov.ru/files/ЮЛ780300323500074.jpeg","Скачать индивидуальный QR-код магазина")</f>
        <v>Скачать индивидуальный QR-код магазина</v>
      </c>
    </row>
    <row r="428" spans="1:7" x14ac:dyDescent="0.25">
      <c r="A428" t="s">
        <v>1179</v>
      </c>
      <c r="B428" t="s">
        <v>1455</v>
      </c>
      <c r="C428" t="s">
        <v>791</v>
      </c>
      <c r="D428" t="s">
        <v>792</v>
      </c>
      <c r="E428" t="s">
        <v>793</v>
      </c>
      <c r="F428" t="s">
        <v>1456</v>
      </c>
      <c r="G428" s="2" t="str">
        <f>HYPERLINK("https://probpalata.gov.ru/files/ЮЛ780300323500075.jpeg","Скачать индивидуальный QR-код магазина")</f>
        <v>Скачать индивидуальный QR-код магазина</v>
      </c>
    </row>
    <row r="429" spans="1:7" x14ac:dyDescent="0.25">
      <c r="A429" t="s">
        <v>1179</v>
      </c>
      <c r="B429" t="s">
        <v>1457</v>
      </c>
      <c r="C429" t="s">
        <v>791</v>
      </c>
      <c r="D429" t="s">
        <v>792</v>
      </c>
      <c r="E429" t="s">
        <v>793</v>
      </c>
      <c r="F429" t="s">
        <v>1458</v>
      </c>
      <c r="G429" s="2" t="str">
        <f>HYPERLINK("https://probpalata.gov.ru/files/ЮЛ780300323500076.jpeg","Скачать индивидуальный QR-код магазина")</f>
        <v>Скачать индивидуальный QR-код магазина</v>
      </c>
    </row>
    <row r="430" spans="1:7" x14ac:dyDescent="0.25">
      <c r="A430" t="s">
        <v>1179</v>
      </c>
      <c r="B430" t="s">
        <v>1430</v>
      </c>
      <c r="C430" t="s">
        <v>798</v>
      </c>
      <c r="D430" t="s">
        <v>799</v>
      </c>
      <c r="E430" t="s">
        <v>800</v>
      </c>
      <c r="F430" t="s">
        <v>1459</v>
      </c>
      <c r="G430" s="2" t="str">
        <f>HYPERLINK("https://probpalata.gov.ru/files/ЮЛ780300308200016.jpeg","Скачать индивидуальный QR-код магазина")</f>
        <v>Скачать индивидуальный QR-код магазина</v>
      </c>
    </row>
    <row r="431" spans="1:7" x14ac:dyDescent="0.25">
      <c r="A431" t="s">
        <v>1179</v>
      </c>
      <c r="B431" t="s">
        <v>1451</v>
      </c>
      <c r="C431" t="s">
        <v>798</v>
      </c>
      <c r="D431" t="s">
        <v>799</v>
      </c>
      <c r="E431" t="s">
        <v>800</v>
      </c>
      <c r="F431" t="s">
        <v>1460</v>
      </c>
      <c r="G431" s="2" t="str">
        <f>HYPERLINK("https://probpalata.gov.ru/files/ЮЛ780300308200039.jpeg","Скачать индивидуальный QR-код магазина")</f>
        <v>Скачать индивидуальный QR-код магазина</v>
      </c>
    </row>
    <row r="432" spans="1:7" x14ac:dyDescent="0.25">
      <c r="A432" t="s">
        <v>1179</v>
      </c>
      <c r="B432" t="s">
        <v>1461</v>
      </c>
      <c r="C432" t="s">
        <v>798</v>
      </c>
      <c r="D432" t="s">
        <v>799</v>
      </c>
      <c r="E432" t="s">
        <v>800</v>
      </c>
      <c r="F432" t="s">
        <v>1462</v>
      </c>
      <c r="G432" s="2" t="str">
        <f>HYPERLINK("https://probpalata.gov.ru/files/ЮЛ780300308200040.jpeg","Скачать индивидуальный QR-код магазина")</f>
        <v>Скачать индивидуальный QR-код магазина</v>
      </c>
    </row>
    <row r="433" spans="1:7" x14ac:dyDescent="0.25">
      <c r="A433" t="s">
        <v>1179</v>
      </c>
      <c r="B433" t="s">
        <v>1463</v>
      </c>
      <c r="C433" t="s">
        <v>798</v>
      </c>
      <c r="D433" t="s">
        <v>799</v>
      </c>
      <c r="E433" t="s">
        <v>800</v>
      </c>
      <c r="F433" t="s">
        <v>1464</v>
      </c>
      <c r="G433" s="2" t="str">
        <f>HYPERLINK("https://probpalata.gov.ru/files/ЮЛ780300308200041.jpeg","Скачать индивидуальный QR-код магазина")</f>
        <v>Скачать индивидуальный QR-код магазина</v>
      </c>
    </row>
    <row r="434" spans="1:7" x14ac:dyDescent="0.25">
      <c r="A434" t="s">
        <v>1179</v>
      </c>
      <c r="B434" t="s">
        <v>1465</v>
      </c>
      <c r="C434" t="s">
        <v>798</v>
      </c>
      <c r="D434" t="s">
        <v>799</v>
      </c>
      <c r="E434" t="s">
        <v>800</v>
      </c>
      <c r="F434" t="s">
        <v>1466</v>
      </c>
      <c r="G434" s="2" t="str">
        <f>HYPERLINK("https://probpalata.gov.ru/files/ЮЛ780300308200149.jpeg","Скачать индивидуальный QR-код магазина")</f>
        <v>Скачать индивидуальный QR-код магазина</v>
      </c>
    </row>
    <row r="435" spans="1:7" x14ac:dyDescent="0.25">
      <c r="A435" t="s">
        <v>1179</v>
      </c>
      <c r="B435" t="s">
        <v>1467</v>
      </c>
      <c r="C435" t="s">
        <v>798</v>
      </c>
      <c r="D435" t="s">
        <v>799</v>
      </c>
      <c r="E435" t="s">
        <v>800</v>
      </c>
      <c r="F435" t="s">
        <v>1468</v>
      </c>
      <c r="G435" s="2" t="str">
        <f>HYPERLINK("https://probpalata.gov.ru/files/ЮЛ780300308200373.jpeg","Скачать индивидуальный QR-код магазина")</f>
        <v>Скачать индивидуальный QR-код магазина</v>
      </c>
    </row>
    <row r="436" spans="1:7" x14ac:dyDescent="0.25">
      <c r="A436" t="s">
        <v>1179</v>
      </c>
      <c r="B436" t="s">
        <v>1469</v>
      </c>
      <c r="C436" t="s">
        <v>798</v>
      </c>
      <c r="D436" t="s">
        <v>799</v>
      </c>
      <c r="E436" t="s">
        <v>800</v>
      </c>
      <c r="F436" t="s">
        <v>1470</v>
      </c>
      <c r="G436" s="2" t="str">
        <f>HYPERLINK("https://probpalata.gov.ru/files/ЮЛ780300308200381.jpeg","Скачать индивидуальный QR-код магазина")</f>
        <v>Скачать индивидуальный QR-код магазина</v>
      </c>
    </row>
    <row r="437" spans="1:7" x14ac:dyDescent="0.25">
      <c r="A437" t="s">
        <v>1179</v>
      </c>
      <c r="B437" t="s">
        <v>1471</v>
      </c>
      <c r="C437" t="s">
        <v>798</v>
      </c>
      <c r="D437" t="s">
        <v>799</v>
      </c>
      <c r="E437" t="s">
        <v>800</v>
      </c>
      <c r="F437" t="s">
        <v>1472</v>
      </c>
      <c r="G437" s="2" t="str">
        <f>HYPERLINK("https://probpalata.gov.ru/files/ЮЛ780300308200382.jpeg","Скачать индивидуальный QR-код магазина")</f>
        <v>Скачать индивидуальный QR-код магазина</v>
      </c>
    </row>
    <row r="438" spans="1:7" x14ac:dyDescent="0.25">
      <c r="A438" t="s">
        <v>1179</v>
      </c>
      <c r="B438" t="s">
        <v>1378</v>
      </c>
      <c r="C438" t="s">
        <v>798</v>
      </c>
      <c r="D438" t="s">
        <v>799</v>
      </c>
      <c r="E438" t="s">
        <v>800</v>
      </c>
      <c r="F438" t="s">
        <v>1473</v>
      </c>
      <c r="G438" s="2" t="str">
        <f>HYPERLINK("https://probpalata.gov.ru/files/ЮЛ780300308200475.jpeg","Скачать индивидуальный QR-код магазина")</f>
        <v>Скачать индивидуальный QR-код магазина</v>
      </c>
    </row>
    <row r="439" spans="1:7" x14ac:dyDescent="0.25">
      <c r="A439" t="s">
        <v>1179</v>
      </c>
      <c r="B439" t="s">
        <v>1474</v>
      </c>
      <c r="C439" t="s">
        <v>798</v>
      </c>
      <c r="D439" t="s">
        <v>799</v>
      </c>
      <c r="E439" t="s">
        <v>800</v>
      </c>
      <c r="F439" t="s">
        <v>1475</v>
      </c>
      <c r="G439" s="2" t="str">
        <f>HYPERLINK("https://probpalata.gov.ru/files/ЮЛ780300308200840.jpeg","Скачать индивидуальный QR-код магазина")</f>
        <v>Скачать индивидуальный QR-код магазина</v>
      </c>
    </row>
    <row r="440" spans="1:7" x14ac:dyDescent="0.25">
      <c r="A440" t="s">
        <v>1179</v>
      </c>
      <c r="B440" t="s">
        <v>1476</v>
      </c>
      <c r="C440" t="s">
        <v>798</v>
      </c>
      <c r="D440" t="s">
        <v>799</v>
      </c>
      <c r="E440" t="s">
        <v>800</v>
      </c>
      <c r="F440" t="s">
        <v>1477</v>
      </c>
      <c r="G440" s="2" t="str">
        <f>HYPERLINK("https://probpalata.gov.ru/files/ЮЛ780300308201064.jpeg","Скачать индивидуальный QR-код магазина")</f>
        <v>Скачать индивидуальный QR-код магазина</v>
      </c>
    </row>
    <row r="441" spans="1:7" x14ac:dyDescent="0.25">
      <c r="A441" t="s">
        <v>1179</v>
      </c>
      <c r="B441" t="s">
        <v>1478</v>
      </c>
      <c r="C441" t="s">
        <v>798</v>
      </c>
      <c r="D441" t="s">
        <v>799</v>
      </c>
      <c r="E441" t="s">
        <v>800</v>
      </c>
      <c r="F441" t="s">
        <v>1479</v>
      </c>
      <c r="G441" s="2" t="str">
        <f>HYPERLINK("https://probpalata.gov.ru/files/ЮЛ780300308201169.jpeg","Скачать индивидуальный QR-код магазина")</f>
        <v>Скачать индивидуальный QR-код магазина</v>
      </c>
    </row>
    <row r="442" spans="1:7" x14ac:dyDescent="0.25">
      <c r="A442" t="s">
        <v>1179</v>
      </c>
      <c r="B442" t="s">
        <v>1246</v>
      </c>
      <c r="C442" t="s">
        <v>823</v>
      </c>
      <c r="D442" t="s">
        <v>824</v>
      </c>
      <c r="E442" t="s">
        <v>825</v>
      </c>
      <c r="F442" t="s">
        <v>1480</v>
      </c>
      <c r="G442" s="2" t="str">
        <f>HYPERLINK("https://probpalata.gov.ru/files/ЮЛ780300363500038.jpeg","Скачать индивидуальный QR-код магазина")</f>
        <v>Скачать индивидуальный QR-код магазина</v>
      </c>
    </row>
    <row r="443" spans="1:7" x14ac:dyDescent="0.25">
      <c r="A443" t="s">
        <v>1179</v>
      </c>
      <c r="B443" t="s">
        <v>1415</v>
      </c>
      <c r="C443" t="s">
        <v>823</v>
      </c>
      <c r="D443" t="s">
        <v>824</v>
      </c>
      <c r="E443" t="s">
        <v>825</v>
      </c>
      <c r="F443" t="s">
        <v>1481</v>
      </c>
      <c r="G443" s="2" t="str">
        <f>HYPERLINK("https://probpalata.gov.ru/files/ЮЛ780300363500049.jpeg","Скачать индивидуальный QR-код магазина")</f>
        <v>Скачать индивидуальный QR-код магазина</v>
      </c>
    </row>
    <row r="444" spans="1:7" x14ac:dyDescent="0.25">
      <c r="A444" t="s">
        <v>1179</v>
      </c>
      <c r="B444" t="s">
        <v>1451</v>
      </c>
      <c r="C444" t="s">
        <v>823</v>
      </c>
      <c r="D444" t="s">
        <v>824</v>
      </c>
      <c r="E444" t="s">
        <v>825</v>
      </c>
      <c r="F444" t="s">
        <v>1482</v>
      </c>
      <c r="G444" s="2" t="str">
        <f>HYPERLINK("https://probpalata.gov.ru/files/ЮЛ780300363500050.jpeg","Скачать индивидуальный QR-код магазина")</f>
        <v>Скачать индивидуальный QR-код магазина</v>
      </c>
    </row>
    <row r="445" spans="1:7" x14ac:dyDescent="0.25">
      <c r="A445" t="s">
        <v>1179</v>
      </c>
      <c r="B445" t="s">
        <v>1483</v>
      </c>
      <c r="C445" t="s">
        <v>823</v>
      </c>
      <c r="D445" t="s">
        <v>824</v>
      </c>
      <c r="E445" t="s">
        <v>825</v>
      </c>
      <c r="F445" t="s">
        <v>1484</v>
      </c>
      <c r="G445" s="2" t="str">
        <f>HYPERLINK("https://probpalata.gov.ru/files/ЮЛ780300363500051.jpeg","Скачать индивидуальный QR-код магазина")</f>
        <v>Скачать индивидуальный QR-код магазина</v>
      </c>
    </row>
    <row r="446" spans="1:7" x14ac:dyDescent="0.25">
      <c r="A446" t="s">
        <v>1179</v>
      </c>
      <c r="B446" t="s">
        <v>1485</v>
      </c>
      <c r="C446" t="s">
        <v>823</v>
      </c>
      <c r="D446" t="s">
        <v>824</v>
      </c>
      <c r="E446" t="s">
        <v>825</v>
      </c>
      <c r="F446" t="s">
        <v>1486</v>
      </c>
      <c r="G446" s="2" t="str">
        <f>HYPERLINK("https://probpalata.gov.ru/files/ЮЛ780300363500052.jpeg","Скачать индивидуальный QR-код магазина")</f>
        <v>Скачать индивидуальный QR-код магазина</v>
      </c>
    </row>
    <row r="447" spans="1:7" x14ac:dyDescent="0.25">
      <c r="A447" t="s">
        <v>1179</v>
      </c>
      <c r="B447" t="s">
        <v>1487</v>
      </c>
      <c r="C447" t="s">
        <v>823</v>
      </c>
      <c r="D447" t="s">
        <v>824</v>
      </c>
      <c r="E447" t="s">
        <v>825</v>
      </c>
      <c r="F447" t="s">
        <v>1488</v>
      </c>
      <c r="G447" s="2" t="str">
        <f>HYPERLINK("https://probpalata.gov.ru/files/ЮЛ780300363500053.jpeg","Скачать индивидуальный QR-код магазина")</f>
        <v>Скачать индивидуальный QR-код магазина</v>
      </c>
    </row>
    <row r="448" spans="1:7" x14ac:dyDescent="0.25">
      <c r="A448" t="s">
        <v>1179</v>
      </c>
      <c r="B448" t="s">
        <v>1489</v>
      </c>
      <c r="C448" t="s">
        <v>1490</v>
      </c>
      <c r="D448" t="s">
        <v>1491</v>
      </c>
      <c r="E448" t="s">
        <v>1492</v>
      </c>
      <c r="F448" t="s">
        <v>1493</v>
      </c>
      <c r="G448" s="2" t="str">
        <f>HYPERLINK("https://probpalata.gov.ru/files/ЮЛ780301261200025.jpeg","Скачать индивидуальный QR-код магазина")</f>
        <v>Скачать индивидуальный QR-код магазина</v>
      </c>
    </row>
    <row r="449" spans="1:7" x14ac:dyDescent="0.25">
      <c r="A449" t="s">
        <v>1179</v>
      </c>
      <c r="B449" t="s">
        <v>1494</v>
      </c>
      <c r="C449" t="s">
        <v>1495</v>
      </c>
      <c r="D449" t="s">
        <v>1496</v>
      </c>
      <c r="E449" t="s">
        <v>1497</v>
      </c>
      <c r="F449" t="s">
        <v>1498</v>
      </c>
      <c r="G449" s="2" t="str">
        <f>HYPERLINK("https://probpalata.gov.ru/files/ИП780303221500000.jpeg","Скачать индивидуальный QR-код магазина")</f>
        <v>Скачать индивидуальный QR-код магазина</v>
      </c>
    </row>
    <row r="450" spans="1:7" x14ac:dyDescent="0.25">
      <c r="A450" t="s">
        <v>1179</v>
      </c>
      <c r="B450" t="s">
        <v>1487</v>
      </c>
      <c r="C450" t="s">
        <v>1495</v>
      </c>
      <c r="D450" t="s">
        <v>1496</v>
      </c>
      <c r="E450" t="s">
        <v>1497</v>
      </c>
      <c r="F450" t="s">
        <v>1499</v>
      </c>
      <c r="G450" s="2" t="str">
        <f>HYPERLINK("https://probpalata.gov.ru/files/ИП780303221500001.jpeg","Скачать индивидуальный QR-код магазина")</f>
        <v>Скачать индивидуальный QR-код магазина</v>
      </c>
    </row>
    <row r="451" spans="1:7" x14ac:dyDescent="0.25">
      <c r="A451" t="s">
        <v>1179</v>
      </c>
      <c r="B451" t="s">
        <v>1500</v>
      </c>
      <c r="C451" t="s">
        <v>1501</v>
      </c>
      <c r="D451" t="s">
        <v>1502</v>
      </c>
      <c r="E451" t="s">
        <v>1503</v>
      </c>
      <c r="F451" t="s">
        <v>1504</v>
      </c>
      <c r="G451" s="2" t="str">
        <f>HYPERLINK("https://probpalata.gov.ru/files/ЮЛ770100439200177.jpeg","Скачать индивидуальный QR-код магазина")</f>
        <v>Скачать индивидуальный QR-код магазина</v>
      </c>
    </row>
    <row r="452" spans="1:7" x14ac:dyDescent="0.25">
      <c r="A452" t="s">
        <v>1505</v>
      </c>
      <c r="B452" t="s">
        <v>1506</v>
      </c>
      <c r="C452" t="s">
        <v>1507</v>
      </c>
      <c r="D452" t="s">
        <v>1508</v>
      </c>
      <c r="E452" t="s">
        <v>1509</v>
      </c>
      <c r="F452" t="s">
        <v>1510</v>
      </c>
      <c r="G452" s="2" t="str">
        <f>HYPERLINK("https://probpalata.gov.ru/files/ИП300400947500000.jpeg","Скачать индивидуальный QR-код магазина")</f>
        <v>Скачать индивидуальный QR-код магазина</v>
      </c>
    </row>
    <row r="453" spans="1:7" x14ac:dyDescent="0.25">
      <c r="A453" t="s">
        <v>1505</v>
      </c>
      <c r="B453" t="s">
        <v>1511</v>
      </c>
      <c r="C453" t="s">
        <v>1512</v>
      </c>
      <c r="D453" t="s">
        <v>1513</v>
      </c>
      <c r="E453" t="s">
        <v>1514</v>
      </c>
      <c r="F453" t="s">
        <v>1515</v>
      </c>
      <c r="G453" s="2" t="str">
        <f>HYPERLINK("https://probpalata.gov.ru/files/ИП130603912200000.jpeg","Скачать индивидуальный QR-код магазина")</f>
        <v>Скачать индивидуальный QR-код магазина</v>
      </c>
    </row>
    <row r="454" spans="1:7" x14ac:dyDescent="0.25">
      <c r="A454" t="s">
        <v>1505</v>
      </c>
      <c r="B454" t="s">
        <v>1516</v>
      </c>
      <c r="C454" t="s">
        <v>1517</v>
      </c>
      <c r="D454" t="s">
        <v>1518</v>
      </c>
      <c r="E454" t="s">
        <v>1519</v>
      </c>
      <c r="F454" t="s">
        <v>1520</v>
      </c>
      <c r="G454" s="2" t="str">
        <f>HYPERLINK("https://probpalata.gov.ru/files/ИП200503665300000.jpeg","Скачать индивидуальный QR-код магазина")</f>
        <v>Скачать индивидуальный QR-код магазина</v>
      </c>
    </row>
    <row r="455" spans="1:7" x14ac:dyDescent="0.25">
      <c r="A455" t="s">
        <v>1505</v>
      </c>
      <c r="B455" t="s">
        <v>1521</v>
      </c>
      <c r="C455" t="s">
        <v>1522</v>
      </c>
      <c r="D455" t="s">
        <v>1523</v>
      </c>
      <c r="E455" t="s">
        <v>1524</v>
      </c>
      <c r="F455" t="s">
        <v>1525</v>
      </c>
      <c r="G455" s="2" t="str">
        <f>HYPERLINK("https://probpalata.gov.ru/files/ИП300400971200000.jpeg","Скачать индивидуальный QR-код магазина")</f>
        <v>Скачать индивидуальный QR-код магазина</v>
      </c>
    </row>
    <row r="456" spans="1:7" x14ac:dyDescent="0.25">
      <c r="A456" t="s">
        <v>1505</v>
      </c>
      <c r="B456" t="s">
        <v>1526</v>
      </c>
      <c r="C456" t="s">
        <v>1527</v>
      </c>
      <c r="D456" t="s">
        <v>1528</v>
      </c>
      <c r="E456" t="s">
        <v>1529</v>
      </c>
      <c r="F456" t="s">
        <v>1530</v>
      </c>
      <c r="G456" s="2" t="str">
        <f>HYPERLINK("https://probpalata.gov.ru/files/ИП300400281900000.jpeg","Скачать индивидуальный QR-код магазина")</f>
        <v>Скачать индивидуальный QR-код магазина</v>
      </c>
    </row>
    <row r="457" spans="1:7" x14ac:dyDescent="0.25">
      <c r="A457" t="s">
        <v>1505</v>
      </c>
      <c r="B457" t="s">
        <v>1531</v>
      </c>
      <c r="C457" t="s">
        <v>1527</v>
      </c>
      <c r="D457" t="s">
        <v>1528</v>
      </c>
      <c r="E457" t="s">
        <v>1529</v>
      </c>
      <c r="F457" t="s">
        <v>1532</v>
      </c>
      <c r="G457" s="2" t="str">
        <f>HYPERLINK("https://probpalata.gov.ru/files/ИП300400281900002.jpeg","Скачать индивидуальный QR-код магазина")</f>
        <v>Скачать индивидуальный QR-код магазина</v>
      </c>
    </row>
    <row r="458" spans="1:7" x14ac:dyDescent="0.25">
      <c r="A458" t="s">
        <v>1505</v>
      </c>
      <c r="B458" t="s">
        <v>1533</v>
      </c>
      <c r="C458" t="s">
        <v>1527</v>
      </c>
      <c r="D458" t="s">
        <v>1528</v>
      </c>
      <c r="E458" t="s">
        <v>1529</v>
      </c>
      <c r="F458" t="s">
        <v>1534</v>
      </c>
      <c r="G458" s="2" t="str">
        <f>HYPERLINK("https://probpalata.gov.ru/files/ИП300400281900003.jpeg","Скачать индивидуальный QR-код магазина")</f>
        <v>Скачать индивидуальный QR-код магазина</v>
      </c>
    </row>
    <row r="459" spans="1:7" x14ac:dyDescent="0.25">
      <c r="A459" t="s">
        <v>1505</v>
      </c>
      <c r="B459" t="s">
        <v>1535</v>
      </c>
      <c r="C459" t="s">
        <v>1527</v>
      </c>
      <c r="D459" t="s">
        <v>1528</v>
      </c>
      <c r="E459" t="s">
        <v>1529</v>
      </c>
      <c r="F459" t="s">
        <v>1536</v>
      </c>
      <c r="G459" s="2" t="str">
        <f>HYPERLINK("https://probpalata.gov.ru/files/ИП300400281900004.jpeg","Скачать индивидуальный QR-код магазина")</f>
        <v>Скачать индивидуальный QR-код магазина</v>
      </c>
    </row>
    <row r="460" spans="1:7" x14ac:dyDescent="0.25">
      <c r="A460" t="s">
        <v>1505</v>
      </c>
      <c r="B460" t="s">
        <v>1537</v>
      </c>
      <c r="C460" t="s">
        <v>1527</v>
      </c>
      <c r="D460" t="s">
        <v>1528</v>
      </c>
      <c r="E460" t="s">
        <v>1529</v>
      </c>
      <c r="F460" t="s">
        <v>1538</v>
      </c>
      <c r="G460" s="2" t="str">
        <f>HYPERLINK("https://probpalata.gov.ru/files/ИП300400281900005.jpeg","Скачать индивидуальный QR-код магазина")</f>
        <v>Скачать индивидуальный QR-код магазина</v>
      </c>
    </row>
    <row r="461" spans="1:7" x14ac:dyDescent="0.25">
      <c r="A461" t="s">
        <v>1505</v>
      </c>
      <c r="B461" t="s">
        <v>1539</v>
      </c>
      <c r="C461" t="s">
        <v>1540</v>
      </c>
      <c r="D461" t="s">
        <v>1541</v>
      </c>
      <c r="E461" t="s">
        <v>1542</v>
      </c>
      <c r="F461" t="s">
        <v>1543</v>
      </c>
      <c r="G461" s="2" t="str">
        <f>HYPERLINK("https://probpalata.gov.ru/files/ИП300400612800000.jpeg","Скачать индивидуальный QR-код магазина")</f>
        <v>Скачать индивидуальный QR-код магазина</v>
      </c>
    </row>
    <row r="462" spans="1:7" x14ac:dyDescent="0.25">
      <c r="A462" t="s">
        <v>1505</v>
      </c>
      <c r="B462" t="s">
        <v>1544</v>
      </c>
      <c r="C462" t="s">
        <v>1545</v>
      </c>
      <c r="D462" t="s">
        <v>1546</v>
      </c>
      <c r="E462" t="s">
        <v>1547</v>
      </c>
      <c r="F462" t="s">
        <v>1548</v>
      </c>
      <c r="G462" s="2" t="str">
        <f>HYPERLINK("https://probpalata.gov.ru/files/ИП300400671900000.jpeg","Скачать индивидуальный QR-код магазина")</f>
        <v>Скачать индивидуальный QR-код магазина</v>
      </c>
    </row>
    <row r="463" spans="1:7" x14ac:dyDescent="0.25">
      <c r="A463" t="s">
        <v>1505</v>
      </c>
      <c r="B463" t="s">
        <v>1549</v>
      </c>
      <c r="C463" t="s">
        <v>1550</v>
      </c>
      <c r="D463" t="s">
        <v>1551</v>
      </c>
      <c r="E463" t="s">
        <v>1552</v>
      </c>
      <c r="F463" t="s">
        <v>1553</v>
      </c>
      <c r="G463" s="2" t="str">
        <f>HYPERLINK("https://probpalata.gov.ru/files/ИП300400368800000.jpeg","Скачать индивидуальный QR-код магазина")</f>
        <v>Скачать индивидуальный QR-код магазина</v>
      </c>
    </row>
    <row r="464" spans="1:7" x14ac:dyDescent="0.25">
      <c r="A464" t="s">
        <v>1505</v>
      </c>
      <c r="B464" t="s">
        <v>1554</v>
      </c>
      <c r="C464" t="s">
        <v>1555</v>
      </c>
      <c r="D464" t="s">
        <v>1556</v>
      </c>
      <c r="E464" t="s">
        <v>1557</v>
      </c>
      <c r="F464" t="s">
        <v>1558</v>
      </c>
      <c r="G464" s="2" t="str">
        <f>HYPERLINK("https://probpalata.gov.ru/files/ИП300403840500000.jpeg","Скачать индивидуальный QR-код магазина")</f>
        <v>Скачать индивидуальный QR-код магазина</v>
      </c>
    </row>
    <row r="465" spans="1:7" x14ac:dyDescent="0.25">
      <c r="A465" t="s">
        <v>1505</v>
      </c>
      <c r="B465" t="s">
        <v>1559</v>
      </c>
      <c r="C465" t="s">
        <v>1560</v>
      </c>
      <c r="D465" t="s">
        <v>1561</v>
      </c>
      <c r="E465" t="s">
        <v>1562</v>
      </c>
      <c r="F465" t="s">
        <v>1563</v>
      </c>
      <c r="G465" s="2" t="str">
        <f>HYPERLINK("https://probpalata.gov.ru/files/ИП300400311700000.jpeg","Скачать индивидуальный QR-код магазина")</f>
        <v>Скачать индивидуальный QR-код магазина</v>
      </c>
    </row>
    <row r="466" spans="1:7" x14ac:dyDescent="0.25">
      <c r="A466" t="s">
        <v>1505</v>
      </c>
      <c r="B466" t="s">
        <v>1564</v>
      </c>
      <c r="C466" t="s">
        <v>1560</v>
      </c>
      <c r="D466" t="s">
        <v>1561</v>
      </c>
      <c r="E466" t="s">
        <v>1562</v>
      </c>
      <c r="F466" t="s">
        <v>1565</v>
      </c>
      <c r="G466" s="2" t="str">
        <f>HYPERLINK("https://probpalata.gov.ru/files/ИП300400311700001.jpeg","Скачать индивидуальный QR-код магазина")</f>
        <v>Скачать индивидуальный QR-код магазина</v>
      </c>
    </row>
    <row r="467" spans="1:7" x14ac:dyDescent="0.25">
      <c r="A467" t="s">
        <v>1505</v>
      </c>
      <c r="B467" t="s">
        <v>1566</v>
      </c>
      <c r="C467" t="s">
        <v>1560</v>
      </c>
      <c r="D467" t="s">
        <v>1561</v>
      </c>
      <c r="E467" t="s">
        <v>1562</v>
      </c>
      <c r="F467" t="s">
        <v>1567</v>
      </c>
      <c r="G467" s="2" t="str">
        <f>HYPERLINK("https://probpalata.gov.ru/files/ИП300400311700002.jpeg","Скачать индивидуальный QR-код магазина")</f>
        <v>Скачать индивидуальный QR-код магазина</v>
      </c>
    </row>
    <row r="468" spans="1:7" x14ac:dyDescent="0.25">
      <c r="A468" t="s">
        <v>1505</v>
      </c>
      <c r="B468" t="s">
        <v>1568</v>
      </c>
      <c r="C468" t="s">
        <v>1560</v>
      </c>
      <c r="D468" t="s">
        <v>1561</v>
      </c>
      <c r="E468" t="s">
        <v>1562</v>
      </c>
      <c r="F468" t="s">
        <v>1569</v>
      </c>
      <c r="G468" s="2" t="str">
        <f>HYPERLINK("https://probpalata.gov.ru/files/ИП300400311700003.jpeg","Скачать индивидуальный QR-код магазина")</f>
        <v>Скачать индивидуальный QR-код магазина</v>
      </c>
    </row>
    <row r="469" spans="1:7" x14ac:dyDescent="0.25">
      <c r="A469" t="s">
        <v>1505</v>
      </c>
      <c r="B469" t="s">
        <v>1570</v>
      </c>
      <c r="C469" t="s">
        <v>1560</v>
      </c>
      <c r="D469" t="s">
        <v>1561</v>
      </c>
      <c r="E469" t="s">
        <v>1562</v>
      </c>
      <c r="F469" t="s">
        <v>1571</v>
      </c>
      <c r="G469" s="2" t="str">
        <f>HYPERLINK("https://probpalata.gov.ru/files/ИП300400311700004.jpeg","Скачать индивидуальный QR-код магазина")</f>
        <v>Скачать индивидуальный QR-код магазина</v>
      </c>
    </row>
    <row r="470" spans="1:7" x14ac:dyDescent="0.25">
      <c r="A470" t="s">
        <v>1505</v>
      </c>
      <c r="B470" t="s">
        <v>1572</v>
      </c>
      <c r="C470" t="s">
        <v>1573</v>
      </c>
      <c r="D470" t="s">
        <v>1574</v>
      </c>
      <c r="E470" t="s">
        <v>1575</v>
      </c>
      <c r="F470" t="s">
        <v>1576</v>
      </c>
      <c r="G470" s="2" t="str">
        <f>HYPERLINK("https://probpalata.gov.ru/files/ИП300400833700000.jpeg","Скачать индивидуальный QR-код магазина")</f>
        <v>Скачать индивидуальный QR-код магазина</v>
      </c>
    </row>
    <row r="471" spans="1:7" x14ac:dyDescent="0.25">
      <c r="A471" t="s">
        <v>1505</v>
      </c>
      <c r="B471" t="s">
        <v>1577</v>
      </c>
      <c r="C471" t="s">
        <v>1578</v>
      </c>
      <c r="D471" t="s">
        <v>1579</v>
      </c>
      <c r="E471" t="s">
        <v>1580</v>
      </c>
      <c r="F471" t="s">
        <v>1581</v>
      </c>
      <c r="G471" s="2" t="str">
        <f>HYPERLINK("https://probpalata.gov.ru/files/ИП300400254200000.jpeg","Скачать индивидуальный QR-код магазина")</f>
        <v>Скачать индивидуальный QR-код магазина</v>
      </c>
    </row>
    <row r="472" spans="1:7" x14ac:dyDescent="0.25">
      <c r="A472" t="s">
        <v>1505</v>
      </c>
      <c r="B472" t="s">
        <v>1582</v>
      </c>
      <c r="C472" t="s">
        <v>1583</v>
      </c>
      <c r="D472" t="s">
        <v>1584</v>
      </c>
      <c r="E472" t="s">
        <v>1585</v>
      </c>
      <c r="F472" t="s">
        <v>1586</v>
      </c>
      <c r="G472" s="2" t="str">
        <f>HYPERLINK("https://probpalata.gov.ru/files/ИП300400310600000.jpeg","Скачать индивидуальный QR-код магазина")</f>
        <v>Скачать индивидуальный QR-код магазина</v>
      </c>
    </row>
    <row r="473" spans="1:7" x14ac:dyDescent="0.25">
      <c r="A473" t="s">
        <v>1505</v>
      </c>
      <c r="B473" t="s">
        <v>1587</v>
      </c>
      <c r="C473" t="s">
        <v>1588</v>
      </c>
      <c r="D473" t="s">
        <v>1589</v>
      </c>
      <c r="E473" t="s">
        <v>1590</v>
      </c>
      <c r="F473" t="s">
        <v>1591</v>
      </c>
      <c r="G473" s="2" t="str">
        <f>HYPERLINK("https://probpalata.gov.ru/files/ИП300400213500000.jpeg","Скачать индивидуальный QR-код магазина")</f>
        <v>Скачать индивидуальный QR-код магазина</v>
      </c>
    </row>
    <row r="474" spans="1:7" x14ac:dyDescent="0.25">
      <c r="A474" t="s">
        <v>1505</v>
      </c>
      <c r="B474" t="s">
        <v>1592</v>
      </c>
      <c r="C474" t="s">
        <v>1593</v>
      </c>
      <c r="D474" t="s">
        <v>1594</v>
      </c>
      <c r="E474" t="s">
        <v>1595</v>
      </c>
      <c r="F474" t="s">
        <v>1596</v>
      </c>
      <c r="G474" s="2" t="str">
        <f>HYPERLINK("https://probpalata.gov.ru/files/ИП300400706700000.jpeg","Скачать индивидуальный QR-код магазина")</f>
        <v>Скачать индивидуальный QR-код магазина</v>
      </c>
    </row>
    <row r="475" spans="1:7" x14ac:dyDescent="0.25">
      <c r="A475" t="s">
        <v>1505</v>
      </c>
      <c r="B475" t="s">
        <v>1597</v>
      </c>
      <c r="C475" t="s">
        <v>1598</v>
      </c>
      <c r="D475" t="s">
        <v>1599</v>
      </c>
      <c r="E475" t="s">
        <v>1600</v>
      </c>
      <c r="F475" t="s">
        <v>1601</v>
      </c>
      <c r="G475" s="2" t="str">
        <f>HYPERLINK("https://probpalata.gov.ru/files/ИП500103238200000.jpeg","Скачать индивидуальный QR-код магазина")</f>
        <v>Скачать индивидуальный QR-код магазина</v>
      </c>
    </row>
    <row r="476" spans="1:7" x14ac:dyDescent="0.25">
      <c r="A476" t="s">
        <v>1505</v>
      </c>
      <c r="B476" t="s">
        <v>1602</v>
      </c>
      <c r="C476" t="s">
        <v>1598</v>
      </c>
      <c r="D476" t="s">
        <v>1599</v>
      </c>
      <c r="E476" t="s">
        <v>1600</v>
      </c>
      <c r="F476" t="s">
        <v>1603</v>
      </c>
      <c r="G476" s="2" t="str">
        <f>HYPERLINK("https://probpalata.gov.ru/files/ИП500103238200001.jpeg","Скачать индивидуальный QR-код магазина")</f>
        <v>Скачать индивидуальный QR-код магазина</v>
      </c>
    </row>
    <row r="477" spans="1:7" x14ac:dyDescent="0.25">
      <c r="A477" t="s">
        <v>1505</v>
      </c>
      <c r="B477" t="s">
        <v>1604</v>
      </c>
      <c r="C477" t="s">
        <v>1598</v>
      </c>
      <c r="D477" t="s">
        <v>1599</v>
      </c>
      <c r="E477" t="s">
        <v>1600</v>
      </c>
      <c r="F477" t="s">
        <v>1605</v>
      </c>
      <c r="G477" s="2" t="str">
        <f>HYPERLINK("https://probpalata.gov.ru/files/ИП500103238200002.jpeg","Скачать индивидуальный QR-код магазина")</f>
        <v>Скачать индивидуальный QR-код магазина</v>
      </c>
    </row>
    <row r="478" spans="1:7" x14ac:dyDescent="0.25">
      <c r="A478" t="s">
        <v>1505</v>
      </c>
      <c r="B478" t="s">
        <v>1606</v>
      </c>
      <c r="C478" t="s">
        <v>1607</v>
      </c>
      <c r="D478" t="s">
        <v>1608</v>
      </c>
      <c r="E478" t="s">
        <v>1609</v>
      </c>
      <c r="F478" t="s">
        <v>1610</v>
      </c>
      <c r="G478" s="2" t="str">
        <f>HYPERLINK("https://probpalata.gov.ru/files/ИП300400667800000.jpeg","Скачать индивидуальный QR-код магазина")</f>
        <v>Скачать индивидуальный QR-код магазина</v>
      </c>
    </row>
    <row r="479" spans="1:7" x14ac:dyDescent="0.25">
      <c r="A479" t="s">
        <v>1505</v>
      </c>
      <c r="B479" t="s">
        <v>1611</v>
      </c>
      <c r="C479" t="s">
        <v>1612</v>
      </c>
      <c r="D479" t="s">
        <v>1613</v>
      </c>
      <c r="E479" t="s">
        <v>1614</v>
      </c>
      <c r="F479" t="s">
        <v>1615</v>
      </c>
      <c r="G479" s="2" t="str">
        <f>HYPERLINK("https://probpalata.gov.ru/files/ЮЛ300400830900000.jpeg","Скачать индивидуальный QR-код магазина")</f>
        <v>Скачать индивидуальный QR-код магазина</v>
      </c>
    </row>
    <row r="480" spans="1:7" x14ac:dyDescent="0.25">
      <c r="A480" t="s">
        <v>1505</v>
      </c>
      <c r="B480" t="s">
        <v>1616</v>
      </c>
      <c r="C480" t="s">
        <v>1617</v>
      </c>
      <c r="D480" t="s">
        <v>1618</v>
      </c>
      <c r="E480" t="s">
        <v>1619</v>
      </c>
      <c r="F480" t="s">
        <v>1620</v>
      </c>
      <c r="G480" s="2" t="str">
        <f>HYPERLINK("https://probpalata.gov.ru/files/ЮЛ300400486200000.jpeg","Скачать индивидуальный QR-код магазина")</f>
        <v>Скачать индивидуальный QR-код магазина</v>
      </c>
    </row>
    <row r="481" spans="1:7" x14ac:dyDescent="0.25">
      <c r="A481" t="s">
        <v>1505</v>
      </c>
      <c r="B481" t="s">
        <v>1621</v>
      </c>
      <c r="C481" t="s">
        <v>1622</v>
      </c>
      <c r="D481" t="s">
        <v>1623</v>
      </c>
      <c r="E481" t="s">
        <v>1624</v>
      </c>
      <c r="F481" t="s">
        <v>1625</v>
      </c>
      <c r="G481" s="2" t="str">
        <f>HYPERLINK("https://probpalata.gov.ru/files/ЮЛ000401034500000.jpeg","Скачать индивидуальный QR-код магазина")</f>
        <v>Скачать индивидуальный QR-код магазина</v>
      </c>
    </row>
    <row r="482" spans="1:7" x14ac:dyDescent="0.25">
      <c r="A482" t="s">
        <v>1505</v>
      </c>
      <c r="B482" t="s">
        <v>1626</v>
      </c>
      <c r="C482" t="s">
        <v>1627</v>
      </c>
      <c r="D482" t="s">
        <v>1628</v>
      </c>
      <c r="E482" t="s">
        <v>1629</v>
      </c>
      <c r="F482" t="s">
        <v>1630</v>
      </c>
      <c r="G482" s="2" t="str">
        <f>HYPERLINK("https://probpalata.gov.ru/files/ЮЛ300401054200000.jpeg","Скачать индивидуальный QR-код магазина")</f>
        <v>Скачать индивидуальный QR-код магазина</v>
      </c>
    </row>
    <row r="483" spans="1:7" x14ac:dyDescent="0.25">
      <c r="A483" t="s">
        <v>1505</v>
      </c>
      <c r="B483" t="s">
        <v>1549</v>
      </c>
      <c r="C483" t="s">
        <v>1631</v>
      </c>
      <c r="D483" t="s">
        <v>1632</v>
      </c>
      <c r="E483" t="s">
        <v>1633</v>
      </c>
      <c r="F483" t="s">
        <v>1634</v>
      </c>
      <c r="G483" s="2" t="str">
        <f>HYPERLINK("https://probpalata.gov.ru/files/ИП300400830400000.jpeg","Скачать индивидуальный QR-код магазина")</f>
        <v>Скачать индивидуальный QR-код магазина</v>
      </c>
    </row>
    <row r="484" spans="1:7" x14ac:dyDescent="0.25">
      <c r="A484" t="s">
        <v>1505</v>
      </c>
      <c r="B484" t="s">
        <v>1635</v>
      </c>
      <c r="C484" t="s">
        <v>1636</v>
      </c>
      <c r="D484" t="s">
        <v>1637</v>
      </c>
      <c r="E484" t="s">
        <v>1638</v>
      </c>
      <c r="F484" t="s">
        <v>1639</v>
      </c>
      <c r="G484" s="2" t="str">
        <f>HYPERLINK("https://probpalata.gov.ru/files/ИП300400425600000.jpeg","Скачать индивидуальный QR-код магазина")</f>
        <v>Скачать индивидуальный QR-код магазина</v>
      </c>
    </row>
    <row r="485" spans="1:7" x14ac:dyDescent="0.25">
      <c r="A485" t="s">
        <v>1505</v>
      </c>
      <c r="B485" t="s">
        <v>1640</v>
      </c>
      <c r="C485" t="s">
        <v>1641</v>
      </c>
      <c r="D485" t="s">
        <v>1642</v>
      </c>
      <c r="E485" t="s">
        <v>1643</v>
      </c>
      <c r="F485" t="s">
        <v>1644</v>
      </c>
      <c r="G485" s="2" t="str">
        <f>HYPERLINK("https://probpalata.gov.ru/files/ИП300403861100000.jpeg","Скачать индивидуальный QR-код магазина")</f>
        <v>Скачать индивидуальный QR-код магазина</v>
      </c>
    </row>
    <row r="486" spans="1:7" x14ac:dyDescent="0.25">
      <c r="A486" t="s">
        <v>1505</v>
      </c>
      <c r="B486" t="s">
        <v>1645</v>
      </c>
      <c r="C486" t="s">
        <v>1646</v>
      </c>
      <c r="D486" t="s">
        <v>1647</v>
      </c>
      <c r="E486" t="s">
        <v>1648</v>
      </c>
      <c r="F486" t="s">
        <v>1649</v>
      </c>
      <c r="G486" s="2" t="str">
        <f>HYPERLINK("https://probpalata.gov.ru/files/ИП300400727500000.jpeg","Скачать индивидуальный QR-код магазина")</f>
        <v>Скачать индивидуальный QR-код магазина</v>
      </c>
    </row>
    <row r="487" spans="1:7" x14ac:dyDescent="0.25">
      <c r="A487" t="s">
        <v>1505</v>
      </c>
      <c r="B487" t="s">
        <v>1650</v>
      </c>
      <c r="C487" t="s">
        <v>1651</v>
      </c>
      <c r="D487" t="s">
        <v>1652</v>
      </c>
      <c r="E487" t="s">
        <v>1653</v>
      </c>
      <c r="F487" t="s">
        <v>1654</v>
      </c>
      <c r="G487" s="2" t="str">
        <f>HYPERLINK("https://probpalata.gov.ru/files/ИП300400425700000.jpeg","Скачать индивидуальный QR-код магазина")</f>
        <v>Скачать индивидуальный QR-код магазина</v>
      </c>
    </row>
    <row r="488" spans="1:7" x14ac:dyDescent="0.25">
      <c r="A488" t="s">
        <v>1505</v>
      </c>
      <c r="B488" t="s">
        <v>1655</v>
      </c>
      <c r="C488" t="s">
        <v>1651</v>
      </c>
      <c r="D488" t="s">
        <v>1652</v>
      </c>
      <c r="E488" t="s">
        <v>1653</v>
      </c>
      <c r="F488" t="s">
        <v>1656</v>
      </c>
      <c r="G488" s="2" t="str">
        <f>HYPERLINK("https://probpalata.gov.ru/files/ИП300400425700001.jpeg","Скачать индивидуальный QR-код магазина")</f>
        <v>Скачать индивидуальный QR-код магазина</v>
      </c>
    </row>
    <row r="489" spans="1:7" x14ac:dyDescent="0.25">
      <c r="A489" t="s">
        <v>1505</v>
      </c>
      <c r="B489" t="s">
        <v>1657</v>
      </c>
      <c r="C489" t="s">
        <v>1658</v>
      </c>
      <c r="D489" t="s">
        <v>1659</v>
      </c>
      <c r="E489" t="s">
        <v>1660</v>
      </c>
      <c r="F489" t="s">
        <v>1661</v>
      </c>
      <c r="G489" s="2" t="str">
        <f>HYPERLINK("https://probpalata.gov.ru/files/ИП300401250500000.jpeg","Скачать индивидуальный QR-код магазина")</f>
        <v>Скачать индивидуальный QR-код магазина</v>
      </c>
    </row>
    <row r="490" spans="1:7" x14ac:dyDescent="0.25">
      <c r="A490" t="s">
        <v>1505</v>
      </c>
      <c r="B490" t="s">
        <v>1662</v>
      </c>
      <c r="C490" t="s">
        <v>1663</v>
      </c>
      <c r="D490" t="s">
        <v>1664</v>
      </c>
      <c r="E490" t="s">
        <v>1665</v>
      </c>
      <c r="F490" t="s">
        <v>1666</v>
      </c>
      <c r="G490" s="2" t="str">
        <f>HYPERLINK("https://probpalata.gov.ru/files/ИП300403219400000.jpeg","Скачать индивидуальный QR-код магазина")</f>
        <v>Скачать индивидуальный QR-код магазина</v>
      </c>
    </row>
    <row r="491" spans="1:7" x14ac:dyDescent="0.25">
      <c r="A491" t="s">
        <v>1505</v>
      </c>
      <c r="B491" t="s">
        <v>1667</v>
      </c>
      <c r="C491" t="s">
        <v>1668</v>
      </c>
      <c r="D491" t="s">
        <v>1669</v>
      </c>
      <c r="E491" t="s">
        <v>1670</v>
      </c>
      <c r="F491" t="s">
        <v>1671</v>
      </c>
      <c r="G491" s="2" t="str">
        <f>HYPERLINK("https://probpalata.gov.ru/files/ИП300400836100000.jpeg","Скачать индивидуальный QR-код магазина")</f>
        <v>Скачать индивидуальный QR-код магазина</v>
      </c>
    </row>
    <row r="492" spans="1:7" x14ac:dyDescent="0.25">
      <c r="A492" t="s">
        <v>1505</v>
      </c>
      <c r="B492" t="s">
        <v>1672</v>
      </c>
      <c r="C492" t="s">
        <v>1673</v>
      </c>
      <c r="D492" t="s">
        <v>1674</v>
      </c>
      <c r="E492" t="s">
        <v>1675</v>
      </c>
      <c r="F492" t="s">
        <v>1676</v>
      </c>
      <c r="G492" s="2" t="str">
        <f>HYPERLINK("https://probpalata.gov.ru/files/ИП300400478900000.jpeg","Скачать индивидуальный QR-код магазина")</f>
        <v>Скачать индивидуальный QR-код магазина</v>
      </c>
    </row>
    <row r="493" spans="1:7" x14ac:dyDescent="0.25">
      <c r="A493" t="s">
        <v>1505</v>
      </c>
      <c r="B493" t="s">
        <v>1677</v>
      </c>
      <c r="C493" t="s">
        <v>1678</v>
      </c>
      <c r="D493" t="s">
        <v>1679</v>
      </c>
      <c r="E493" t="s">
        <v>1680</v>
      </c>
      <c r="F493" t="s">
        <v>1681</v>
      </c>
      <c r="G493" s="2" t="str">
        <f>HYPERLINK("https://probpalata.gov.ru/files/ИП500101185000000.jpeg","Скачать индивидуальный QR-код магазина")</f>
        <v>Скачать индивидуальный QR-код магазина</v>
      </c>
    </row>
    <row r="494" spans="1:7" x14ac:dyDescent="0.25">
      <c r="A494" t="s">
        <v>1505</v>
      </c>
      <c r="B494" t="s">
        <v>1682</v>
      </c>
      <c r="C494" t="s">
        <v>1683</v>
      </c>
      <c r="D494" t="s">
        <v>1684</v>
      </c>
      <c r="E494" t="s">
        <v>1685</v>
      </c>
      <c r="F494" t="s">
        <v>1686</v>
      </c>
      <c r="G494" s="2" t="str">
        <f>HYPERLINK("https://probpalata.gov.ru/files/ИП300401554800000.jpeg","Скачать индивидуальный QR-код магазина")</f>
        <v>Скачать индивидуальный QR-код магазина</v>
      </c>
    </row>
    <row r="495" spans="1:7" x14ac:dyDescent="0.25">
      <c r="A495" t="s">
        <v>1505</v>
      </c>
      <c r="B495" t="s">
        <v>1687</v>
      </c>
      <c r="C495" t="s">
        <v>1683</v>
      </c>
      <c r="D495" t="s">
        <v>1684</v>
      </c>
      <c r="E495" t="s">
        <v>1685</v>
      </c>
      <c r="F495" t="s">
        <v>1688</v>
      </c>
      <c r="G495" s="2" t="str">
        <f>HYPERLINK("https://probpalata.gov.ru/files/ИП300401554800001.jpeg","Скачать индивидуальный QR-код магазина")</f>
        <v>Скачать индивидуальный QR-код магазина</v>
      </c>
    </row>
    <row r="496" spans="1:7" x14ac:dyDescent="0.25">
      <c r="A496" t="s">
        <v>1505</v>
      </c>
      <c r="B496" t="s">
        <v>1689</v>
      </c>
      <c r="C496" t="s">
        <v>1683</v>
      </c>
      <c r="D496" t="s">
        <v>1684</v>
      </c>
      <c r="E496" t="s">
        <v>1685</v>
      </c>
      <c r="F496" t="s">
        <v>1690</v>
      </c>
      <c r="G496" s="2" t="str">
        <f>HYPERLINK("https://probpalata.gov.ru/files/ИП300401554800002.jpeg","Скачать индивидуальный QR-код магазина")</f>
        <v>Скачать индивидуальный QR-код магазина</v>
      </c>
    </row>
    <row r="497" spans="1:7" x14ac:dyDescent="0.25">
      <c r="A497" t="s">
        <v>1505</v>
      </c>
      <c r="B497" t="s">
        <v>1691</v>
      </c>
      <c r="C497" t="s">
        <v>1692</v>
      </c>
      <c r="D497" t="s">
        <v>1693</v>
      </c>
      <c r="E497" t="s">
        <v>1694</v>
      </c>
      <c r="F497" t="s">
        <v>1695</v>
      </c>
      <c r="G497" s="2" t="str">
        <f>HYPERLINK("https://probpalata.gov.ru/files/ИП300400538100000.jpeg","Скачать индивидуальный QR-код магазина")</f>
        <v>Скачать индивидуальный QR-код магазина</v>
      </c>
    </row>
    <row r="498" spans="1:7" x14ac:dyDescent="0.25">
      <c r="A498" t="s">
        <v>1505</v>
      </c>
      <c r="B498" t="s">
        <v>1696</v>
      </c>
      <c r="C498" t="s">
        <v>1697</v>
      </c>
      <c r="D498" t="s">
        <v>1698</v>
      </c>
      <c r="E498" t="s">
        <v>1699</v>
      </c>
      <c r="F498" t="s">
        <v>1700</v>
      </c>
      <c r="G498" s="2" t="str">
        <f>HYPERLINK("https://probpalata.gov.ru/files/ИП300400777900000.jpeg","Скачать индивидуальный QR-код магазина")</f>
        <v>Скачать индивидуальный QR-код магазина</v>
      </c>
    </row>
    <row r="499" spans="1:7" x14ac:dyDescent="0.25">
      <c r="A499" t="s">
        <v>1505</v>
      </c>
      <c r="B499" t="s">
        <v>1701</v>
      </c>
      <c r="C499" t="s">
        <v>1702</v>
      </c>
      <c r="D499" t="s">
        <v>1703</v>
      </c>
      <c r="E499" t="s">
        <v>1704</v>
      </c>
      <c r="F499" t="s">
        <v>1705</v>
      </c>
      <c r="G499" s="2" t="str">
        <f>HYPERLINK("https://probpalata.gov.ru/files/ИП300400047900000.jpeg","Скачать индивидуальный QR-код магазина")</f>
        <v>Скачать индивидуальный QR-код магазина</v>
      </c>
    </row>
    <row r="500" spans="1:7" x14ac:dyDescent="0.25">
      <c r="A500" t="s">
        <v>1505</v>
      </c>
      <c r="B500" t="s">
        <v>1706</v>
      </c>
      <c r="C500" t="s">
        <v>1707</v>
      </c>
      <c r="D500" t="s">
        <v>1708</v>
      </c>
      <c r="E500" t="s">
        <v>1709</v>
      </c>
      <c r="F500" t="s">
        <v>1710</v>
      </c>
      <c r="G500" s="2" t="str">
        <f>HYPERLINK("https://probpalata.gov.ru/files/ЮЛ300400080400009.jpeg","Скачать индивидуальный QR-код магазина")</f>
        <v>Скачать индивидуальный QR-код магазина</v>
      </c>
    </row>
    <row r="501" spans="1:7" x14ac:dyDescent="0.25">
      <c r="A501" t="s">
        <v>1505</v>
      </c>
      <c r="B501" t="s">
        <v>1521</v>
      </c>
      <c r="C501" t="s">
        <v>1711</v>
      </c>
      <c r="D501" t="s">
        <v>1712</v>
      </c>
      <c r="E501" t="s">
        <v>1713</v>
      </c>
      <c r="F501" t="s">
        <v>1714</v>
      </c>
      <c r="G501" s="2" t="str">
        <f>HYPERLINK("https://probpalata.gov.ru/files/ЮЛ300400991600000.jpeg","Скачать индивидуальный QR-код магазина")</f>
        <v>Скачать индивидуальный QR-код магазина</v>
      </c>
    </row>
    <row r="502" spans="1:7" x14ac:dyDescent="0.25">
      <c r="A502" t="s">
        <v>1505</v>
      </c>
      <c r="B502" t="s">
        <v>1715</v>
      </c>
      <c r="C502" t="s">
        <v>1716</v>
      </c>
      <c r="D502" t="s">
        <v>1717</v>
      </c>
      <c r="E502" t="s">
        <v>1718</v>
      </c>
      <c r="F502" t="s">
        <v>1719</v>
      </c>
      <c r="G502" s="2" t="str">
        <f>HYPERLINK("https://probpalata.gov.ru/files/ЮЛ300400117500000.jpeg","Скачать индивидуальный QR-код магазина")</f>
        <v>Скачать индивидуальный QR-код магазина</v>
      </c>
    </row>
    <row r="503" spans="1:7" x14ac:dyDescent="0.25">
      <c r="A503" t="s">
        <v>1505</v>
      </c>
      <c r="B503" t="s">
        <v>1720</v>
      </c>
      <c r="C503" t="s">
        <v>1721</v>
      </c>
      <c r="D503" t="s">
        <v>1722</v>
      </c>
      <c r="E503" t="s">
        <v>1723</v>
      </c>
      <c r="F503" t="s">
        <v>1724</v>
      </c>
      <c r="G503" s="2" t="str">
        <f>HYPERLINK("https://probpalata.gov.ru/files/ИП340400993200026.jpeg","Скачать индивидуальный QR-код магазина")</f>
        <v>Скачать индивидуальный QR-код магазина</v>
      </c>
    </row>
    <row r="504" spans="1:7" x14ac:dyDescent="0.25">
      <c r="A504" t="s">
        <v>1505</v>
      </c>
      <c r="B504" t="s">
        <v>1725</v>
      </c>
      <c r="C504" t="s">
        <v>1721</v>
      </c>
      <c r="D504" t="s">
        <v>1722</v>
      </c>
      <c r="E504" t="s">
        <v>1723</v>
      </c>
      <c r="F504" t="s">
        <v>1726</v>
      </c>
      <c r="G504" s="2" t="str">
        <f>HYPERLINK("https://probpalata.gov.ru/files/ИП340400993200027.jpeg","Скачать индивидуальный QR-код магазина")</f>
        <v>Скачать индивидуальный QR-код магазина</v>
      </c>
    </row>
    <row r="505" spans="1:7" x14ac:dyDescent="0.25">
      <c r="A505" t="s">
        <v>1505</v>
      </c>
      <c r="B505" t="s">
        <v>1720</v>
      </c>
      <c r="C505" t="s">
        <v>1727</v>
      </c>
      <c r="D505" t="s">
        <v>1728</v>
      </c>
      <c r="E505" t="s">
        <v>1729</v>
      </c>
      <c r="F505" t="s">
        <v>1730</v>
      </c>
      <c r="G505" s="2" t="str">
        <f>HYPERLINK("https://probpalata.gov.ru/files/ЮЛ340400964300027.jpeg","Скачать индивидуальный QR-код магазина")</f>
        <v>Скачать индивидуальный QR-код магазина</v>
      </c>
    </row>
    <row r="506" spans="1:7" x14ac:dyDescent="0.25">
      <c r="A506" t="s">
        <v>1505</v>
      </c>
      <c r="B506" t="s">
        <v>1725</v>
      </c>
      <c r="C506" t="s">
        <v>1727</v>
      </c>
      <c r="D506" t="s">
        <v>1728</v>
      </c>
      <c r="E506" t="s">
        <v>1729</v>
      </c>
      <c r="F506" t="s">
        <v>1731</v>
      </c>
      <c r="G506" s="2" t="str">
        <f>HYPERLINK("https://probpalata.gov.ru/files/ЮЛ340400964300028.jpeg","Скачать индивидуальный QR-код магазина")</f>
        <v>Скачать индивидуальный QR-код магазина</v>
      </c>
    </row>
    <row r="507" spans="1:7" x14ac:dyDescent="0.25">
      <c r="A507" t="s">
        <v>1505</v>
      </c>
      <c r="B507" t="s">
        <v>1732</v>
      </c>
      <c r="C507" t="s">
        <v>671</v>
      </c>
      <c r="D507" t="s">
        <v>672</v>
      </c>
      <c r="E507" t="s">
        <v>673</v>
      </c>
      <c r="F507" t="s">
        <v>1733</v>
      </c>
      <c r="G507" s="2" t="str">
        <f>HYPERLINK("https://probpalata.gov.ru/files/ИП500100445500039.jpeg","Скачать индивидуальный QR-код магазина")</f>
        <v>Скачать индивидуальный QR-код магазина</v>
      </c>
    </row>
    <row r="508" spans="1:7" x14ac:dyDescent="0.25">
      <c r="A508" t="s">
        <v>1505</v>
      </c>
      <c r="B508" t="s">
        <v>1734</v>
      </c>
      <c r="C508" t="s">
        <v>1735</v>
      </c>
      <c r="D508" t="s">
        <v>1736</v>
      </c>
      <c r="E508" t="s">
        <v>1737</v>
      </c>
      <c r="F508" t="s">
        <v>1738</v>
      </c>
      <c r="G508" s="2" t="str">
        <f>HYPERLINK("https://probpalata.gov.ru/files/ЮЛ520603376600104.jpeg","Скачать индивидуальный QR-код магазина")</f>
        <v>Скачать индивидуальный QR-код магазина</v>
      </c>
    </row>
    <row r="509" spans="1:7" x14ac:dyDescent="0.25">
      <c r="A509" t="s">
        <v>1505</v>
      </c>
      <c r="B509" t="s">
        <v>1739</v>
      </c>
      <c r="C509" t="s">
        <v>1740</v>
      </c>
      <c r="D509" t="s">
        <v>1741</v>
      </c>
      <c r="E509" t="s">
        <v>1742</v>
      </c>
      <c r="F509" t="s">
        <v>1743</v>
      </c>
      <c r="G509" s="2" t="str">
        <f>HYPERLINK("https://probpalata.gov.ru/files/ЮЛ760201190700081.jpeg","Скачать индивидуальный QR-код магазина")</f>
        <v>Скачать индивидуальный QR-код магазина</v>
      </c>
    </row>
    <row r="510" spans="1:7" x14ac:dyDescent="0.25">
      <c r="A510" t="s">
        <v>1505</v>
      </c>
      <c r="B510" t="s">
        <v>1744</v>
      </c>
      <c r="C510" t="s">
        <v>1745</v>
      </c>
      <c r="D510" t="s">
        <v>1746</v>
      </c>
      <c r="E510" t="s">
        <v>1747</v>
      </c>
      <c r="F510" t="s">
        <v>1748</v>
      </c>
      <c r="G510" s="2" t="str">
        <f>HYPERLINK("https://probpalata.gov.ru/files/ЮЛ770100201500512.jpeg","Скачать индивидуальный QR-код магазина")</f>
        <v>Скачать индивидуальный QR-код магазина</v>
      </c>
    </row>
    <row r="511" spans="1:7" x14ac:dyDescent="0.25">
      <c r="A511" t="s">
        <v>1505</v>
      </c>
      <c r="B511" t="s">
        <v>1749</v>
      </c>
      <c r="C511" t="s">
        <v>1745</v>
      </c>
      <c r="D511" t="s">
        <v>1746</v>
      </c>
      <c r="E511" t="s">
        <v>1747</v>
      </c>
      <c r="F511" t="s">
        <v>1750</v>
      </c>
      <c r="G511" s="2" t="str">
        <f>HYPERLINK("https://probpalata.gov.ru/files/ЮЛ770100201500515.jpeg","Скачать индивидуальный QR-код магазина")</f>
        <v>Скачать индивидуальный QR-код магазина</v>
      </c>
    </row>
    <row r="512" spans="1:7" x14ac:dyDescent="0.25">
      <c r="A512" t="s">
        <v>1505</v>
      </c>
      <c r="B512" t="s">
        <v>1751</v>
      </c>
      <c r="C512" t="s">
        <v>1745</v>
      </c>
      <c r="D512" t="s">
        <v>1746</v>
      </c>
      <c r="E512" t="s">
        <v>1747</v>
      </c>
      <c r="F512" t="s">
        <v>1752</v>
      </c>
      <c r="G512" s="2" t="str">
        <f>HYPERLINK("https://probpalata.gov.ru/files/ЮЛ770100201500516.jpeg","Скачать индивидуальный QR-код магазина")</f>
        <v>Скачать индивидуальный QR-код магазина</v>
      </c>
    </row>
    <row r="513" spans="1:7" x14ac:dyDescent="0.25">
      <c r="A513" t="s">
        <v>1505</v>
      </c>
      <c r="B513" t="s">
        <v>1753</v>
      </c>
      <c r="C513" t="s">
        <v>1745</v>
      </c>
      <c r="D513" t="s">
        <v>1746</v>
      </c>
      <c r="E513" t="s">
        <v>1747</v>
      </c>
      <c r="F513" t="s">
        <v>1754</v>
      </c>
      <c r="G513" s="2" t="str">
        <f>HYPERLINK("https://probpalata.gov.ru/files/ЮЛ770100201500517.jpeg","Скачать индивидуальный QR-код магазина")</f>
        <v>Скачать индивидуальный QR-код магазина</v>
      </c>
    </row>
    <row r="514" spans="1:7" x14ac:dyDescent="0.25">
      <c r="A514" t="s">
        <v>1505</v>
      </c>
      <c r="B514" t="s">
        <v>1755</v>
      </c>
      <c r="C514" t="s">
        <v>1745</v>
      </c>
      <c r="D514" t="s">
        <v>1746</v>
      </c>
      <c r="E514" t="s">
        <v>1747</v>
      </c>
      <c r="F514" t="s">
        <v>1756</v>
      </c>
      <c r="G514" s="2" t="str">
        <f>HYPERLINK("https://probpalata.gov.ru/files/ЮЛ770100201500518.jpeg","Скачать индивидуальный QR-код магазина")</f>
        <v>Скачать индивидуальный QR-код магазина</v>
      </c>
    </row>
    <row r="515" spans="1:7" x14ac:dyDescent="0.25">
      <c r="A515" t="s">
        <v>1505</v>
      </c>
      <c r="B515" t="s">
        <v>1757</v>
      </c>
      <c r="C515" t="s">
        <v>1745</v>
      </c>
      <c r="D515" t="s">
        <v>1746</v>
      </c>
      <c r="E515" t="s">
        <v>1747</v>
      </c>
      <c r="F515" t="s">
        <v>1758</v>
      </c>
      <c r="G515" s="2" t="str">
        <f>HYPERLINK("https://probpalata.gov.ru/files/ЮЛ770100201500711.jpeg","Скачать индивидуальный QR-код магазина")</f>
        <v>Скачать индивидуальный QR-код магазина</v>
      </c>
    </row>
    <row r="516" spans="1:7" x14ac:dyDescent="0.25">
      <c r="A516" t="s">
        <v>1505</v>
      </c>
      <c r="B516" t="s">
        <v>1759</v>
      </c>
      <c r="C516" t="s">
        <v>1745</v>
      </c>
      <c r="D516" t="s">
        <v>1746</v>
      </c>
      <c r="E516" t="s">
        <v>1747</v>
      </c>
      <c r="F516" t="s">
        <v>1760</v>
      </c>
      <c r="G516" s="2" t="str">
        <f>HYPERLINK("https://probpalata.gov.ru/files/ЮЛ770100201500871.jpeg","Скачать индивидуальный QR-код магазина")</f>
        <v>Скачать индивидуальный QR-код магазина</v>
      </c>
    </row>
    <row r="517" spans="1:7" x14ac:dyDescent="0.25">
      <c r="A517" t="s">
        <v>1505</v>
      </c>
      <c r="B517" t="s">
        <v>1761</v>
      </c>
      <c r="C517" t="s">
        <v>713</v>
      </c>
      <c r="D517" t="s">
        <v>714</v>
      </c>
      <c r="E517" t="s">
        <v>715</v>
      </c>
      <c r="F517" t="s">
        <v>1762</v>
      </c>
      <c r="G517" s="2" t="str">
        <f>HYPERLINK("https://probpalata.gov.ru/files/ЮЛ770101216600108.jpeg","Скачать индивидуальный QR-код магазина")</f>
        <v>Скачать индивидуальный QR-код магазина</v>
      </c>
    </row>
    <row r="518" spans="1:7" x14ac:dyDescent="0.25">
      <c r="A518" t="s">
        <v>1505</v>
      </c>
      <c r="B518" t="s">
        <v>1763</v>
      </c>
      <c r="C518" t="s">
        <v>713</v>
      </c>
      <c r="D518" t="s">
        <v>714</v>
      </c>
      <c r="E518" t="s">
        <v>715</v>
      </c>
      <c r="F518" t="s">
        <v>1764</v>
      </c>
      <c r="G518" s="2" t="str">
        <f>HYPERLINK("https://probpalata.gov.ru/files/ЮЛ770101216600165.jpeg","Скачать индивидуальный QR-код магазина")</f>
        <v>Скачать индивидуальный QR-код магазина</v>
      </c>
    </row>
    <row r="519" spans="1:7" x14ac:dyDescent="0.25">
      <c r="A519" t="s">
        <v>1505</v>
      </c>
      <c r="B519" t="s">
        <v>1765</v>
      </c>
      <c r="C519" t="s">
        <v>713</v>
      </c>
      <c r="D519" t="s">
        <v>714</v>
      </c>
      <c r="E519" t="s">
        <v>715</v>
      </c>
      <c r="F519" t="s">
        <v>1766</v>
      </c>
      <c r="G519" s="2" t="str">
        <f>HYPERLINK("https://probpalata.gov.ru/files/ЮЛ770101216600562.jpeg","Скачать индивидуальный QR-код магазина")</f>
        <v>Скачать индивидуальный QR-код магазина</v>
      </c>
    </row>
    <row r="520" spans="1:7" x14ac:dyDescent="0.25">
      <c r="A520" t="s">
        <v>1505</v>
      </c>
      <c r="B520" t="s">
        <v>1767</v>
      </c>
      <c r="C520" t="s">
        <v>713</v>
      </c>
      <c r="D520" t="s">
        <v>714</v>
      </c>
      <c r="E520" t="s">
        <v>715</v>
      </c>
      <c r="F520" t="s">
        <v>1768</v>
      </c>
      <c r="G520" s="2" t="str">
        <f>HYPERLINK("https://probpalata.gov.ru/files/ЮЛ770101216600644.jpeg","Скачать индивидуальный QR-код магазина")</f>
        <v>Скачать индивидуальный QR-код магазина</v>
      </c>
    </row>
    <row r="521" spans="1:7" x14ac:dyDescent="0.25">
      <c r="A521" t="s">
        <v>1505</v>
      </c>
      <c r="B521" t="s">
        <v>1769</v>
      </c>
      <c r="C521" t="s">
        <v>713</v>
      </c>
      <c r="D521" t="s">
        <v>714</v>
      </c>
      <c r="E521" t="s">
        <v>715</v>
      </c>
      <c r="F521" t="s">
        <v>1770</v>
      </c>
      <c r="G521" s="2" t="str">
        <f>HYPERLINK("https://probpalata.gov.ru/files/ЮЛ770101216600731.jpeg","Скачать индивидуальный QR-код магазина")</f>
        <v>Скачать индивидуальный QR-код магазина</v>
      </c>
    </row>
    <row r="522" spans="1:7" x14ac:dyDescent="0.25">
      <c r="A522" t="s">
        <v>1505</v>
      </c>
      <c r="B522" t="s">
        <v>1771</v>
      </c>
      <c r="C522" t="s">
        <v>713</v>
      </c>
      <c r="D522" t="s">
        <v>714</v>
      </c>
      <c r="E522" t="s">
        <v>715</v>
      </c>
      <c r="F522" t="s">
        <v>1772</v>
      </c>
      <c r="G522" s="2" t="str">
        <f>HYPERLINK("https://probpalata.gov.ru/files/ЮЛ770101216600771.jpeg","Скачать индивидуальный QR-код магазина")</f>
        <v>Скачать индивидуальный QR-код магазина</v>
      </c>
    </row>
    <row r="523" spans="1:7" x14ac:dyDescent="0.25">
      <c r="A523" t="s">
        <v>1505</v>
      </c>
      <c r="B523" t="s">
        <v>1773</v>
      </c>
      <c r="C523" t="s">
        <v>713</v>
      </c>
      <c r="D523" t="s">
        <v>714</v>
      </c>
      <c r="E523" t="s">
        <v>715</v>
      </c>
      <c r="F523" t="s">
        <v>1774</v>
      </c>
      <c r="G523" s="2" t="str">
        <f>HYPERLINK("https://probpalata.gov.ru/files/ЮЛ770101216600977.jpeg","Скачать индивидуальный QR-код магазина")</f>
        <v>Скачать индивидуальный QR-код магазина</v>
      </c>
    </row>
    <row r="524" spans="1:7" x14ac:dyDescent="0.25">
      <c r="A524" t="s">
        <v>1505</v>
      </c>
      <c r="B524" t="s">
        <v>1775</v>
      </c>
      <c r="C524" t="s">
        <v>1416</v>
      </c>
      <c r="D524" t="s">
        <v>1417</v>
      </c>
      <c r="E524" t="s">
        <v>1418</v>
      </c>
      <c r="F524" t="s">
        <v>1776</v>
      </c>
      <c r="G524" s="2" t="str">
        <f>HYPERLINK("https://probpalata.gov.ru/files/ЮЛ770100419400096.jpeg","Скачать индивидуальный QR-код магазина")</f>
        <v>Скачать индивидуальный QR-код магазина</v>
      </c>
    </row>
    <row r="525" spans="1:7" x14ac:dyDescent="0.25">
      <c r="A525" t="s">
        <v>1505</v>
      </c>
      <c r="B525" t="s">
        <v>1777</v>
      </c>
      <c r="C525" t="s">
        <v>1416</v>
      </c>
      <c r="D525" t="s">
        <v>1417</v>
      </c>
      <c r="E525" t="s">
        <v>1418</v>
      </c>
      <c r="F525" t="s">
        <v>1778</v>
      </c>
      <c r="G525" s="2" t="str">
        <f>HYPERLINK("https://probpalata.gov.ru/files/ЮЛ770100419400240.jpeg","Скачать индивидуальный QR-код магазина")</f>
        <v>Скачать индивидуальный QR-код магазина</v>
      </c>
    </row>
    <row r="526" spans="1:7" x14ac:dyDescent="0.25">
      <c r="A526" t="s">
        <v>1505</v>
      </c>
      <c r="B526" t="s">
        <v>1779</v>
      </c>
      <c r="C526" t="s">
        <v>748</v>
      </c>
      <c r="D526" t="s">
        <v>749</v>
      </c>
      <c r="E526" t="s">
        <v>750</v>
      </c>
      <c r="F526" t="s">
        <v>1780</v>
      </c>
      <c r="G526" s="2" t="str">
        <f>HYPERLINK("https://probpalata.gov.ru/files/ЮЛ770100193500097.jpeg","Скачать индивидуальный QR-код магазина")</f>
        <v>Скачать индивидуальный QR-код магазина</v>
      </c>
    </row>
    <row r="527" spans="1:7" x14ac:dyDescent="0.25">
      <c r="A527" t="s">
        <v>1505</v>
      </c>
      <c r="B527" t="s">
        <v>1781</v>
      </c>
      <c r="C527" t="s">
        <v>748</v>
      </c>
      <c r="D527" t="s">
        <v>749</v>
      </c>
      <c r="E527" t="s">
        <v>750</v>
      </c>
      <c r="F527" t="s">
        <v>1782</v>
      </c>
      <c r="G527" s="2" t="str">
        <f>HYPERLINK("https://probpalata.gov.ru/files/ЮЛ770100193500098.jpeg","Скачать индивидуальный QR-код магазина")</f>
        <v>Скачать индивидуальный QR-код магазина</v>
      </c>
    </row>
    <row r="528" spans="1:7" x14ac:dyDescent="0.25">
      <c r="A528" t="s">
        <v>1505</v>
      </c>
      <c r="B528" t="s">
        <v>1783</v>
      </c>
      <c r="C528" t="s">
        <v>748</v>
      </c>
      <c r="D528" t="s">
        <v>749</v>
      </c>
      <c r="E528" t="s">
        <v>750</v>
      </c>
      <c r="F528" t="s">
        <v>1784</v>
      </c>
      <c r="G528" s="2" t="str">
        <f>HYPERLINK("https://probpalata.gov.ru/files/ЮЛ770100193500505.jpeg","Скачать индивидуальный QR-код магазина")</f>
        <v>Скачать индивидуальный QR-код магазина</v>
      </c>
    </row>
    <row r="529" spans="1:7" x14ac:dyDescent="0.25">
      <c r="A529" t="s">
        <v>1505</v>
      </c>
      <c r="B529" t="s">
        <v>1751</v>
      </c>
      <c r="C529" t="s">
        <v>748</v>
      </c>
      <c r="D529" t="s">
        <v>749</v>
      </c>
      <c r="E529" t="s">
        <v>750</v>
      </c>
      <c r="F529" t="s">
        <v>1785</v>
      </c>
      <c r="G529" s="2" t="str">
        <f>HYPERLINK("https://probpalata.gov.ru/files/ЮЛ770100193500886.jpeg","Скачать индивидуальный QR-код магазина")</f>
        <v>Скачать индивидуальный QR-код магазина</v>
      </c>
    </row>
    <row r="530" spans="1:7" x14ac:dyDescent="0.25">
      <c r="A530" t="s">
        <v>1505</v>
      </c>
      <c r="B530" t="s">
        <v>1786</v>
      </c>
      <c r="C530" t="s">
        <v>748</v>
      </c>
      <c r="D530" t="s">
        <v>749</v>
      </c>
      <c r="E530" t="s">
        <v>750</v>
      </c>
      <c r="F530" t="s">
        <v>1787</v>
      </c>
      <c r="G530" s="2" t="str">
        <f>HYPERLINK("https://probpalata.gov.ru/files/ЮЛ770100193500888.jpeg","Скачать индивидуальный QR-код магазина")</f>
        <v>Скачать индивидуальный QR-код магазина</v>
      </c>
    </row>
    <row r="531" spans="1:7" x14ac:dyDescent="0.25">
      <c r="A531" t="s">
        <v>1505</v>
      </c>
      <c r="B531" t="s">
        <v>1788</v>
      </c>
      <c r="C531" t="s">
        <v>748</v>
      </c>
      <c r="D531" t="s">
        <v>749</v>
      </c>
      <c r="E531" t="s">
        <v>750</v>
      </c>
      <c r="F531" t="s">
        <v>1789</v>
      </c>
      <c r="G531" s="2" t="str">
        <f>HYPERLINK("https://probpalata.gov.ru/files/ЮЛ770100193500923.jpeg","Скачать индивидуальный QR-код магазина")</f>
        <v>Скачать индивидуальный QR-код магазина</v>
      </c>
    </row>
    <row r="532" spans="1:7" x14ac:dyDescent="0.25">
      <c r="A532" t="s">
        <v>1505</v>
      </c>
      <c r="B532" t="s">
        <v>1790</v>
      </c>
      <c r="C532" t="s">
        <v>748</v>
      </c>
      <c r="D532" t="s">
        <v>749</v>
      </c>
      <c r="E532" t="s">
        <v>750</v>
      </c>
      <c r="F532" t="s">
        <v>1791</v>
      </c>
      <c r="G532" s="2" t="str">
        <f>HYPERLINK("https://probpalata.gov.ru/files/ЮЛ770100193500941.jpeg","Скачать индивидуальный QR-код магазина")</f>
        <v>Скачать индивидуальный QR-код магазина</v>
      </c>
    </row>
    <row r="533" spans="1:7" x14ac:dyDescent="0.25">
      <c r="A533" t="s">
        <v>1505</v>
      </c>
      <c r="B533" t="s">
        <v>1792</v>
      </c>
      <c r="C533" t="s">
        <v>748</v>
      </c>
      <c r="D533" t="s">
        <v>749</v>
      </c>
      <c r="E533" t="s">
        <v>750</v>
      </c>
      <c r="F533" t="s">
        <v>1793</v>
      </c>
      <c r="G533" s="2" t="str">
        <f>HYPERLINK("https://probpalata.gov.ru/files/ЮЛ770100193500965.jpeg","Скачать индивидуальный QR-код магазина")</f>
        <v>Скачать индивидуальный QR-код магазина</v>
      </c>
    </row>
    <row r="534" spans="1:7" x14ac:dyDescent="0.25">
      <c r="A534" t="s">
        <v>1505</v>
      </c>
      <c r="B534" t="s">
        <v>1794</v>
      </c>
      <c r="C534" t="s">
        <v>748</v>
      </c>
      <c r="D534" t="s">
        <v>749</v>
      </c>
      <c r="E534" t="s">
        <v>750</v>
      </c>
      <c r="F534" t="s">
        <v>1795</v>
      </c>
      <c r="G534" s="2" t="str">
        <f>HYPERLINK("https://probpalata.gov.ru/files/ЮЛ770100193500969.jpeg","Скачать индивидуальный QR-код магазина")</f>
        <v>Скачать индивидуальный QR-код магазина</v>
      </c>
    </row>
    <row r="535" spans="1:7" x14ac:dyDescent="0.25">
      <c r="A535" t="s">
        <v>1505</v>
      </c>
      <c r="B535" t="s">
        <v>1796</v>
      </c>
      <c r="C535" t="s">
        <v>748</v>
      </c>
      <c r="D535" t="s">
        <v>749</v>
      </c>
      <c r="E535" t="s">
        <v>750</v>
      </c>
      <c r="F535" t="s">
        <v>1797</v>
      </c>
      <c r="G535" s="2" t="str">
        <f>HYPERLINK("https://probpalata.gov.ru/files/ЮЛ770100193500978.jpeg","Скачать индивидуальный QR-код магазина")</f>
        <v>Скачать индивидуальный QR-код магазина</v>
      </c>
    </row>
    <row r="536" spans="1:7" x14ac:dyDescent="0.25">
      <c r="A536" t="s">
        <v>1505</v>
      </c>
      <c r="B536" t="s">
        <v>1757</v>
      </c>
      <c r="C536" t="s">
        <v>748</v>
      </c>
      <c r="D536" t="s">
        <v>749</v>
      </c>
      <c r="E536" t="s">
        <v>750</v>
      </c>
      <c r="F536" t="s">
        <v>1798</v>
      </c>
      <c r="G536" s="2" t="str">
        <f>HYPERLINK("https://probpalata.gov.ru/files/ЮЛ770100193501005.jpeg","Скачать индивидуальный QR-код магазина")</f>
        <v>Скачать индивидуальный QR-код магазина</v>
      </c>
    </row>
    <row r="537" spans="1:7" x14ac:dyDescent="0.25">
      <c r="A537" t="s">
        <v>1505</v>
      </c>
      <c r="B537" t="s">
        <v>1799</v>
      </c>
      <c r="C537" t="s">
        <v>748</v>
      </c>
      <c r="D537" t="s">
        <v>749</v>
      </c>
      <c r="E537" t="s">
        <v>750</v>
      </c>
      <c r="F537" t="s">
        <v>1800</v>
      </c>
      <c r="G537" s="2" t="str">
        <f>HYPERLINK("https://probpalata.gov.ru/files/ЮЛ770100193501035.jpeg","Скачать индивидуальный QR-код магазина")</f>
        <v>Скачать индивидуальный QR-код магазина</v>
      </c>
    </row>
    <row r="538" spans="1:7" x14ac:dyDescent="0.25">
      <c r="A538" t="s">
        <v>1505</v>
      </c>
      <c r="B538" t="s">
        <v>1801</v>
      </c>
      <c r="C538" t="s">
        <v>748</v>
      </c>
      <c r="D538" t="s">
        <v>749</v>
      </c>
      <c r="E538" t="s">
        <v>750</v>
      </c>
      <c r="F538" t="s">
        <v>1802</v>
      </c>
      <c r="G538" s="2" t="str">
        <f>HYPERLINK("https://probpalata.gov.ru/files/ЮЛ770100193501063.jpeg","Скачать индивидуальный QR-код магазина")</f>
        <v>Скачать индивидуальный QR-код магазина</v>
      </c>
    </row>
    <row r="539" spans="1:7" x14ac:dyDescent="0.25">
      <c r="A539" t="s">
        <v>1505</v>
      </c>
      <c r="B539" t="s">
        <v>1803</v>
      </c>
      <c r="C539" t="s">
        <v>748</v>
      </c>
      <c r="D539" t="s">
        <v>749</v>
      </c>
      <c r="E539" t="s">
        <v>750</v>
      </c>
      <c r="F539" t="s">
        <v>1804</v>
      </c>
      <c r="G539" s="2" t="str">
        <f>HYPERLINK("https://probpalata.gov.ru/files/ЮЛ770100193501099.jpeg","Скачать индивидуальный QR-код магазина")</f>
        <v>Скачать индивидуальный QR-код магазина</v>
      </c>
    </row>
    <row r="540" spans="1:7" x14ac:dyDescent="0.25">
      <c r="A540" t="s">
        <v>1505</v>
      </c>
      <c r="B540" t="s">
        <v>1805</v>
      </c>
      <c r="C540" t="s">
        <v>748</v>
      </c>
      <c r="D540" t="s">
        <v>749</v>
      </c>
      <c r="E540" t="s">
        <v>750</v>
      </c>
      <c r="F540" t="s">
        <v>1806</v>
      </c>
      <c r="G540" s="2" t="str">
        <f>HYPERLINK("https://probpalata.gov.ru/files/ЮЛ770100193501103.jpeg","Скачать индивидуальный QR-код магазина")</f>
        <v>Скачать индивидуальный QR-код магазина</v>
      </c>
    </row>
    <row r="541" spans="1:7" x14ac:dyDescent="0.25">
      <c r="A541" t="s">
        <v>1505</v>
      </c>
      <c r="B541" t="s">
        <v>1807</v>
      </c>
      <c r="C541" t="s">
        <v>748</v>
      </c>
      <c r="D541" t="s">
        <v>749</v>
      </c>
      <c r="E541" t="s">
        <v>750</v>
      </c>
      <c r="F541" t="s">
        <v>1808</v>
      </c>
      <c r="G541" s="2" t="str">
        <f>HYPERLINK("https://probpalata.gov.ru/files/ЮЛ770100193501105.jpeg","Скачать индивидуальный QR-код магазина")</f>
        <v>Скачать индивидуальный QR-код магазина</v>
      </c>
    </row>
    <row r="542" spans="1:7" x14ac:dyDescent="0.25">
      <c r="A542" t="s">
        <v>1505</v>
      </c>
      <c r="B542" t="s">
        <v>1809</v>
      </c>
      <c r="C542" t="s">
        <v>748</v>
      </c>
      <c r="D542" t="s">
        <v>749</v>
      </c>
      <c r="E542" t="s">
        <v>750</v>
      </c>
      <c r="F542" t="s">
        <v>1810</v>
      </c>
      <c r="G542" s="2" t="str">
        <f>HYPERLINK("https://probpalata.gov.ru/files/ЮЛ770100193501109.jpeg","Скачать индивидуальный QR-код магазина")</f>
        <v>Скачать индивидуальный QR-код магазина</v>
      </c>
    </row>
    <row r="543" spans="1:7" x14ac:dyDescent="0.25">
      <c r="A543" t="s">
        <v>1505</v>
      </c>
      <c r="B543" t="s">
        <v>1811</v>
      </c>
      <c r="C543" t="s">
        <v>773</v>
      </c>
      <c r="D543" t="s">
        <v>774</v>
      </c>
      <c r="E543" t="s">
        <v>775</v>
      </c>
      <c r="F543" t="s">
        <v>1812</v>
      </c>
      <c r="G543" s="2" t="str">
        <f>HYPERLINK("https://probpalata.gov.ru/files/ЮЛ780300131300016.jpeg","Скачать индивидуальный QR-код магазина")</f>
        <v>Скачать индивидуальный QR-код магазина</v>
      </c>
    </row>
    <row r="544" spans="1:7" x14ac:dyDescent="0.25">
      <c r="A544" t="s">
        <v>1505</v>
      </c>
      <c r="B544" t="s">
        <v>1813</v>
      </c>
      <c r="C544" t="s">
        <v>773</v>
      </c>
      <c r="D544" t="s">
        <v>774</v>
      </c>
      <c r="E544" t="s">
        <v>775</v>
      </c>
      <c r="F544" t="s">
        <v>1814</v>
      </c>
      <c r="G544" s="2" t="str">
        <f>HYPERLINK("https://probpalata.gov.ru/files/ЮЛ780300131300017.jpeg","Скачать индивидуальный QR-код магазина")</f>
        <v>Скачать индивидуальный QR-код магазина</v>
      </c>
    </row>
    <row r="545" spans="1:7" x14ac:dyDescent="0.25">
      <c r="A545" t="s">
        <v>1505</v>
      </c>
      <c r="B545" t="s">
        <v>1815</v>
      </c>
      <c r="C545" t="s">
        <v>773</v>
      </c>
      <c r="D545" t="s">
        <v>774</v>
      </c>
      <c r="E545" t="s">
        <v>775</v>
      </c>
      <c r="F545" t="s">
        <v>1816</v>
      </c>
      <c r="G545" s="2" t="str">
        <f>HYPERLINK("https://probpalata.gov.ru/files/ЮЛ780300131300018.jpeg","Скачать индивидуальный QR-код магазина")</f>
        <v>Скачать индивидуальный QR-код магазина</v>
      </c>
    </row>
    <row r="546" spans="1:7" x14ac:dyDescent="0.25">
      <c r="A546" t="s">
        <v>1505</v>
      </c>
      <c r="B546" t="s">
        <v>1817</v>
      </c>
      <c r="C546" t="s">
        <v>773</v>
      </c>
      <c r="D546" t="s">
        <v>774</v>
      </c>
      <c r="E546" t="s">
        <v>775</v>
      </c>
      <c r="F546" t="s">
        <v>1818</v>
      </c>
      <c r="G546" s="2" t="str">
        <f>HYPERLINK("https://probpalata.gov.ru/files/ЮЛ780300131300297.jpeg","Скачать индивидуальный QR-код магазина")</f>
        <v>Скачать индивидуальный QR-код магазина</v>
      </c>
    </row>
    <row r="547" spans="1:7" x14ac:dyDescent="0.25">
      <c r="A547" t="s">
        <v>1505</v>
      </c>
      <c r="B547" t="s">
        <v>1819</v>
      </c>
      <c r="C547" t="s">
        <v>787</v>
      </c>
      <c r="D547" t="s">
        <v>788</v>
      </c>
      <c r="E547" t="s">
        <v>789</v>
      </c>
      <c r="F547" t="s">
        <v>1820</v>
      </c>
      <c r="G547" s="2" t="str">
        <f>HYPERLINK("https://probpalata.gov.ru/files/ЮЛ780300328000181.jpeg","Скачать индивидуальный QR-код магазина")</f>
        <v>Скачать индивидуальный QR-код магазина</v>
      </c>
    </row>
    <row r="548" spans="1:7" x14ac:dyDescent="0.25">
      <c r="A548" t="s">
        <v>1505</v>
      </c>
      <c r="B548" t="s">
        <v>1821</v>
      </c>
      <c r="C548" t="s">
        <v>787</v>
      </c>
      <c r="D548" t="s">
        <v>788</v>
      </c>
      <c r="E548" t="s">
        <v>789</v>
      </c>
      <c r="F548" t="s">
        <v>1822</v>
      </c>
      <c r="G548" s="2" t="str">
        <f>HYPERLINK("https://probpalata.gov.ru/files/ЮЛ780300328000182.jpeg","Скачать индивидуальный QR-код магазина")</f>
        <v>Скачать индивидуальный QR-код магазина</v>
      </c>
    </row>
    <row r="549" spans="1:7" x14ac:dyDescent="0.25">
      <c r="A549" t="s">
        <v>1505</v>
      </c>
      <c r="B549" t="s">
        <v>1823</v>
      </c>
      <c r="C549" t="s">
        <v>791</v>
      </c>
      <c r="D549" t="s">
        <v>792</v>
      </c>
      <c r="E549" t="s">
        <v>793</v>
      </c>
      <c r="F549" t="s">
        <v>1824</v>
      </c>
      <c r="G549" s="2" t="str">
        <f>HYPERLINK("https://probpalata.gov.ru/files/ЮЛ780300323500115.jpeg","Скачать индивидуальный QR-код магазина")</f>
        <v>Скачать индивидуальный QR-код магазина</v>
      </c>
    </row>
    <row r="550" spans="1:7" x14ac:dyDescent="0.25">
      <c r="A550" t="s">
        <v>1505</v>
      </c>
      <c r="B550" t="s">
        <v>1825</v>
      </c>
      <c r="C550" t="s">
        <v>798</v>
      </c>
      <c r="D550" t="s">
        <v>799</v>
      </c>
      <c r="E550" t="s">
        <v>800</v>
      </c>
      <c r="F550" t="s">
        <v>1826</v>
      </c>
      <c r="G550" s="2" t="str">
        <f>HYPERLINK("https://probpalata.gov.ru/files/ЮЛ780300308200508.jpeg","Скачать индивидуальный QR-код магазина")</f>
        <v>Скачать индивидуальный QR-код магазина</v>
      </c>
    </row>
    <row r="551" spans="1:7" x14ac:dyDescent="0.25">
      <c r="A551" t="s">
        <v>1505</v>
      </c>
      <c r="B551" t="s">
        <v>1827</v>
      </c>
      <c r="C551" t="s">
        <v>798</v>
      </c>
      <c r="D551" t="s">
        <v>799</v>
      </c>
      <c r="E551" t="s">
        <v>800</v>
      </c>
      <c r="F551" t="s">
        <v>1828</v>
      </c>
      <c r="G551" s="2" t="str">
        <f>HYPERLINK("https://probpalata.gov.ru/files/ЮЛ780300308200509.jpeg","Скачать индивидуальный QR-код магазина")</f>
        <v>Скачать индивидуальный QR-код магазина</v>
      </c>
    </row>
    <row r="552" spans="1:7" x14ac:dyDescent="0.25">
      <c r="A552" t="s">
        <v>1505</v>
      </c>
      <c r="B552" t="s">
        <v>1829</v>
      </c>
      <c r="C552" t="s">
        <v>798</v>
      </c>
      <c r="D552" t="s">
        <v>799</v>
      </c>
      <c r="E552" t="s">
        <v>800</v>
      </c>
      <c r="F552" t="s">
        <v>1830</v>
      </c>
      <c r="G552" s="2" t="str">
        <f>HYPERLINK("https://probpalata.gov.ru/files/ЮЛ780300308200510.jpeg","Скачать индивидуальный QR-код магазина")</f>
        <v>Скачать индивидуальный QR-код магазина</v>
      </c>
    </row>
    <row r="553" spans="1:7" x14ac:dyDescent="0.25">
      <c r="A553" t="s">
        <v>1505</v>
      </c>
      <c r="B553" t="s">
        <v>1831</v>
      </c>
      <c r="C553" t="s">
        <v>798</v>
      </c>
      <c r="D553" t="s">
        <v>799</v>
      </c>
      <c r="E553" t="s">
        <v>800</v>
      </c>
      <c r="F553" t="s">
        <v>1832</v>
      </c>
      <c r="G553" s="2" t="str">
        <f>HYPERLINK("https://probpalata.gov.ru/files/ЮЛ780300308200511.jpeg","Скачать индивидуальный QR-код магазина")</f>
        <v>Скачать индивидуальный QR-код магазина</v>
      </c>
    </row>
    <row r="554" spans="1:7" x14ac:dyDescent="0.25">
      <c r="A554" t="s">
        <v>1505</v>
      </c>
      <c r="B554" t="s">
        <v>1833</v>
      </c>
      <c r="C554" t="s">
        <v>798</v>
      </c>
      <c r="D554" t="s">
        <v>799</v>
      </c>
      <c r="E554" t="s">
        <v>800</v>
      </c>
      <c r="F554" t="s">
        <v>1834</v>
      </c>
      <c r="G554" s="2" t="str">
        <f>HYPERLINK("https://probpalata.gov.ru/files/ЮЛ780300308200845.jpeg","Скачать индивидуальный QR-код магазина")</f>
        <v>Скачать индивидуальный QR-код магазина</v>
      </c>
    </row>
    <row r="555" spans="1:7" x14ac:dyDescent="0.25">
      <c r="A555" t="s">
        <v>1505</v>
      </c>
      <c r="B555" t="s">
        <v>1835</v>
      </c>
      <c r="C555" t="s">
        <v>798</v>
      </c>
      <c r="D555" t="s">
        <v>799</v>
      </c>
      <c r="E555" t="s">
        <v>800</v>
      </c>
      <c r="F555" t="s">
        <v>1836</v>
      </c>
      <c r="G555" s="2" t="str">
        <f>HYPERLINK("https://probpalata.gov.ru/files/ЮЛ780300308200869.jpeg","Скачать индивидуальный QR-код магазина")</f>
        <v>Скачать индивидуальный QR-код магазина</v>
      </c>
    </row>
    <row r="556" spans="1:7" x14ac:dyDescent="0.25">
      <c r="A556" t="s">
        <v>1505</v>
      </c>
      <c r="B556" t="s">
        <v>1566</v>
      </c>
      <c r="C556" t="s">
        <v>798</v>
      </c>
      <c r="D556" t="s">
        <v>799</v>
      </c>
      <c r="E556" t="s">
        <v>800</v>
      </c>
      <c r="F556" t="s">
        <v>1837</v>
      </c>
      <c r="G556" s="2" t="str">
        <f>HYPERLINK("https://probpalata.gov.ru/files/ЮЛ780300308200987.jpeg","Скачать индивидуальный QR-код магазина")</f>
        <v>Скачать индивидуальный QR-код магазина</v>
      </c>
    </row>
    <row r="557" spans="1:7" x14ac:dyDescent="0.25">
      <c r="A557" t="s">
        <v>1505</v>
      </c>
      <c r="B557" t="s">
        <v>1838</v>
      </c>
      <c r="C557" t="s">
        <v>798</v>
      </c>
      <c r="D557" t="s">
        <v>799</v>
      </c>
      <c r="E557" t="s">
        <v>800</v>
      </c>
      <c r="F557" t="s">
        <v>1839</v>
      </c>
      <c r="G557" s="2" t="str">
        <f>HYPERLINK("https://probpalata.gov.ru/files/ЮЛ780300308200990.jpeg","Скачать индивидуальный QR-код магазина")</f>
        <v>Скачать индивидуальный QR-код магазина</v>
      </c>
    </row>
    <row r="558" spans="1:7" x14ac:dyDescent="0.25">
      <c r="A558" t="s">
        <v>1505</v>
      </c>
      <c r="B558" t="s">
        <v>1840</v>
      </c>
      <c r="C558" t="s">
        <v>798</v>
      </c>
      <c r="D558" t="s">
        <v>799</v>
      </c>
      <c r="E558" t="s">
        <v>800</v>
      </c>
      <c r="F558" t="s">
        <v>1841</v>
      </c>
      <c r="G558" s="2" t="str">
        <f>HYPERLINK("https://probpalata.gov.ru/files/ЮЛ780300308201199.jpeg","Скачать индивидуальный QR-код магазина")</f>
        <v>Скачать индивидуальный QR-код магазина</v>
      </c>
    </row>
    <row r="559" spans="1:7" x14ac:dyDescent="0.25">
      <c r="A559" t="s">
        <v>1505</v>
      </c>
      <c r="B559" t="s">
        <v>1842</v>
      </c>
      <c r="C559" t="s">
        <v>798</v>
      </c>
      <c r="D559" t="s">
        <v>799</v>
      </c>
      <c r="E559" t="s">
        <v>800</v>
      </c>
      <c r="F559" t="s">
        <v>1843</v>
      </c>
      <c r="G559" s="2" t="str">
        <f>HYPERLINK("https://probpalata.gov.ru/files/ЮЛ780300308201202.jpeg","Скачать индивидуальный QR-код магазина")</f>
        <v>Скачать индивидуальный QR-код магазина</v>
      </c>
    </row>
    <row r="560" spans="1:7" x14ac:dyDescent="0.25">
      <c r="A560" t="s">
        <v>1505</v>
      </c>
      <c r="B560" t="s">
        <v>1844</v>
      </c>
      <c r="C560" t="s">
        <v>798</v>
      </c>
      <c r="D560" t="s">
        <v>799</v>
      </c>
      <c r="E560" t="s">
        <v>800</v>
      </c>
      <c r="F560" t="s">
        <v>1845</v>
      </c>
      <c r="G560" s="2" t="str">
        <f>HYPERLINK("https://probpalata.gov.ru/files/ЮЛ780300308201247.jpeg","Скачать индивидуальный QR-код магазина")</f>
        <v>Скачать индивидуальный QR-код магазина</v>
      </c>
    </row>
    <row r="561" spans="1:7" x14ac:dyDescent="0.25">
      <c r="A561" t="s">
        <v>1505</v>
      </c>
      <c r="B561" t="s">
        <v>1846</v>
      </c>
      <c r="C561" t="s">
        <v>823</v>
      </c>
      <c r="D561" t="s">
        <v>824</v>
      </c>
      <c r="E561" t="s">
        <v>825</v>
      </c>
      <c r="F561" t="s">
        <v>1847</v>
      </c>
      <c r="G561" s="2" t="str">
        <f>HYPERLINK("https://probpalata.gov.ru/files/ЮЛ780300363500056.jpeg","Скачать индивидуальный QR-код магазина")</f>
        <v>Скачать индивидуальный QR-код магазина</v>
      </c>
    </row>
    <row r="562" spans="1:7" x14ac:dyDescent="0.25">
      <c r="A562" t="s">
        <v>1505</v>
      </c>
      <c r="B562" t="s">
        <v>1848</v>
      </c>
      <c r="C562" t="s">
        <v>1501</v>
      </c>
      <c r="D562" t="s">
        <v>1502</v>
      </c>
      <c r="E562" t="s">
        <v>1503</v>
      </c>
      <c r="F562" t="s">
        <v>1849</v>
      </c>
      <c r="G562" s="2" t="str">
        <f>HYPERLINK("https://probpalata.gov.ru/files/ЮЛ770100439200091.jpeg","Скачать индивидуальный QR-код магазина")</f>
        <v>Скачать индивидуальный QR-код магазина</v>
      </c>
    </row>
    <row r="563" spans="1:7" x14ac:dyDescent="0.25">
      <c r="A563" t="s">
        <v>1505</v>
      </c>
      <c r="B563" t="s">
        <v>1850</v>
      </c>
      <c r="C563" t="s">
        <v>1501</v>
      </c>
      <c r="D563" t="s">
        <v>1502</v>
      </c>
      <c r="E563" t="s">
        <v>1503</v>
      </c>
      <c r="F563" t="s">
        <v>1851</v>
      </c>
      <c r="G563" s="2" t="str">
        <f>HYPERLINK("https://probpalata.gov.ru/files/ЮЛ770100439200275.jpeg","Скачать индивидуальный QR-код магазина")</f>
        <v>Скачать индивидуальный QR-код магазина</v>
      </c>
    </row>
    <row r="564" spans="1:7" x14ac:dyDescent="0.25">
      <c r="A564" t="s">
        <v>1505</v>
      </c>
      <c r="B564" t="s">
        <v>1852</v>
      </c>
      <c r="C564" t="s">
        <v>1853</v>
      </c>
      <c r="D564" t="s">
        <v>1854</v>
      </c>
      <c r="E564" t="s">
        <v>1855</v>
      </c>
      <c r="F564" t="s">
        <v>1856</v>
      </c>
      <c r="G564" s="2" t="str">
        <f>HYPERLINK("https://probpalata.gov.ru/files/ЮЛ770104000500012.jpeg","Скачать индивидуальный QR-код магазина")</f>
        <v>Скачать индивидуальный QR-код магазина</v>
      </c>
    </row>
    <row r="565" spans="1:7" x14ac:dyDescent="0.25">
      <c r="A565" t="s">
        <v>1857</v>
      </c>
      <c r="B565" t="s">
        <v>1858</v>
      </c>
      <c r="C565" t="s">
        <v>1859</v>
      </c>
      <c r="D565" t="s">
        <v>1860</v>
      </c>
      <c r="E565" t="s">
        <v>1861</v>
      </c>
      <c r="F565" t="s">
        <v>1862</v>
      </c>
      <c r="G565" s="2" t="str">
        <f>HYPERLINK("https://probpalata.gov.ru/files/ИП990103272800000.jpeg","Скачать индивидуальный QR-код магазина")</f>
        <v>Скачать индивидуальный QR-код магазина</v>
      </c>
    </row>
    <row r="566" spans="1:7" x14ac:dyDescent="0.25">
      <c r="A566" t="s">
        <v>1857</v>
      </c>
      <c r="B566" t="s">
        <v>1863</v>
      </c>
      <c r="C566" t="s">
        <v>1864</v>
      </c>
      <c r="D566" t="s">
        <v>1865</v>
      </c>
      <c r="E566" t="s">
        <v>1866</v>
      </c>
      <c r="F566" t="s">
        <v>1867</v>
      </c>
      <c r="G566" s="2" t="str">
        <f>HYPERLINK("https://probpalata.gov.ru/files/ИП990101375300000.jpeg","Скачать индивидуальный QR-код магазина")</f>
        <v>Скачать индивидуальный QR-код магазина</v>
      </c>
    </row>
    <row r="567" spans="1:7" x14ac:dyDescent="0.25">
      <c r="A567" t="s">
        <v>1868</v>
      </c>
      <c r="B567" t="s">
        <v>1869</v>
      </c>
      <c r="C567" t="s">
        <v>1870</v>
      </c>
      <c r="D567" t="s">
        <v>1871</v>
      </c>
      <c r="E567" t="s">
        <v>1872</v>
      </c>
      <c r="F567" t="s">
        <v>1873</v>
      </c>
      <c r="G567" s="2" t="str">
        <f>HYPERLINK("https://probpalata.gov.ru/files/ИП310100798100000.jpeg","Скачать индивидуальный QR-код магазина")</f>
        <v>Скачать индивидуальный QR-код магазина</v>
      </c>
    </row>
    <row r="568" spans="1:7" x14ac:dyDescent="0.25">
      <c r="A568" t="s">
        <v>1868</v>
      </c>
      <c r="B568" t="s">
        <v>1874</v>
      </c>
      <c r="C568" t="s">
        <v>1870</v>
      </c>
      <c r="D568" t="s">
        <v>1871</v>
      </c>
      <c r="E568" t="s">
        <v>1872</v>
      </c>
      <c r="F568" t="s">
        <v>1875</v>
      </c>
      <c r="G568" s="2" t="str">
        <f>HYPERLINK("https://probpalata.gov.ru/files/ИП310100798100001.jpeg","Скачать индивидуальный QR-код магазина")</f>
        <v>Скачать индивидуальный QR-код магазина</v>
      </c>
    </row>
    <row r="569" spans="1:7" x14ac:dyDescent="0.25">
      <c r="A569" t="s">
        <v>1868</v>
      </c>
      <c r="B569" t="s">
        <v>1876</v>
      </c>
      <c r="C569" t="s">
        <v>1870</v>
      </c>
      <c r="D569" t="s">
        <v>1871</v>
      </c>
      <c r="E569" t="s">
        <v>1872</v>
      </c>
      <c r="F569" t="s">
        <v>1877</v>
      </c>
      <c r="G569" s="2" t="str">
        <f>HYPERLINK("https://probpalata.gov.ru/files/ИП310100798100002.jpeg","Скачать индивидуальный QR-код магазина")</f>
        <v>Скачать индивидуальный QR-код магазина</v>
      </c>
    </row>
    <row r="570" spans="1:7" x14ac:dyDescent="0.25">
      <c r="A570" t="s">
        <v>1868</v>
      </c>
      <c r="B570" t="s">
        <v>1878</v>
      </c>
      <c r="C570" t="s">
        <v>1870</v>
      </c>
      <c r="D570" t="s">
        <v>1871</v>
      </c>
      <c r="E570" t="s">
        <v>1872</v>
      </c>
      <c r="F570" t="s">
        <v>1879</v>
      </c>
      <c r="G570" s="2" t="str">
        <f>HYPERLINK("https://probpalata.gov.ru/files/ИП310100798100003.jpeg","Скачать индивидуальный QR-код магазина")</f>
        <v>Скачать индивидуальный QR-код магазина</v>
      </c>
    </row>
    <row r="571" spans="1:7" x14ac:dyDescent="0.25">
      <c r="A571" t="s">
        <v>1868</v>
      </c>
      <c r="B571" t="s">
        <v>1880</v>
      </c>
      <c r="C571" t="s">
        <v>1881</v>
      </c>
      <c r="D571" t="s">
        <v>1882</v>
      </c>
      <c r="E571" t="s">
        <v>1883</v>
      </c>
      <c r="F571" t="s">
        <v>1884</v>
      </c>
      <c r="G571" s="2" t="str">
        <f>HYPERLINK("https://probpalata.gov.ru/files/ИП310101579700000.jpeg","Скачать индивидуальный QR-код магазина")</f>
        <v>Скачать индивидуальный QR-код магазина</v>
      </c>
    </row>
    <row r="572" spans="1:7" x14ac:dyDescent="0.25">
      <c r="A572" t="s">
        <v>1868</v>
      </c>
      <c r="B572" t="s">
        <v>1885</v>
      </c>
      <c r="C572" t="s">
        <v>1886</v>
      </c>
      <c r="D572" t="s">
        <v>1887</v>
      </c>
      <c r="E572" t="s">
        <v>1888</v>
      </c>
      <c r="F572" t="s">
        <v>1889</v>
      </c>
      <c r="G572" s="2" t="str">
        <f>HYPERLINK("https://probpalata.gov.ru/files/ИП310100564000000.jpeg","Скачать индивидуальный QR-код магазина")</f>
        <v>Скачать индивидуальный QR-код магазина</v>
      </c>
    </row>
    <row r="573" spans="1:7" x14ac:dyDescent="0.25">
      <c r="A573" t="s">
        <v>1868</v>
      </c>
      <c r="B573" t="s">
        <v>1890</v>
      </c>
      <c r="C573" t="s">
        <v>1891</v>
      </c>
      <c r="D573" t="s">
        <v>1892</v>
      </c>
      <c r="E573" t="s">
        <v>1893</v>
      </c>
      <c r="F573" t="s">
        <v>1894</v>
      </c>
      <c r="G573" s="2" t="str">
        <f>HYPERLINK("https://probpalata.gov.ru/files/ИП310100776500000.jpeg","Скачать индивидуальный QR-код магазина")</f>
        <v>Скачать индивидуальный QR-код магазина</v>
      </c>
    </row>
    <row r="574" spans="1:7" x14ac:dyDescent="0.25">
      <c r="A574" t="s">
        <v>1868</v>
      </c>
      <c r="B574" t="s">
        <v>1895</v>
      </c>
      <c r="C574" t="s">
        <v>1891</v>
      </c>
      <c r="D574" t="s">
        <v>1892</v>
      </c>
      <c r="E574" t="s">
        <v>1893</v>
      </c>
      <c r="F574" t="s">
        <v>1896</v>
      </c>
      <c r="G574" s="2" t="str">
        <f>HYPERLINK("https://probpalata.gov.ru/files/ИП310100776500001.jpeg","Скачать индивидуальный QR-код магазина")</f>
        <v>Скачать индивидуальный QR-код магазина</v>
      </c>
    </row>
    <row r="575" spans="1:7" x14ac:dyDescent="0.25">
      <c r="A575" t="s">
        <v>1868</v>
      </c>
      <c r="B575" t="s">
        <v>1897</v>
      </c>
      <c r="C575" t="s">
        <v>1891</v>
      </c>
      <c r="D575" t="s">
        <v>1892</v>
      </c>
      <c r="E575" t="s">
        <v>1893</v>
      </c>
      <c r="F575" t="s">
        <v>1898</v>
      </c>
      <c r="G575" s="2" t="str">
        <f>HYPERLINK("https://probpalata.gov.ru/files/ИП310100776500002.jpeg","Скачать индивидуальный QR-код магазина")</f>
        <v>Скачать индивидуальный QR-код магазина</v>
      </c>
    </row>
    <row r="576" spans="1:7" x14ac:dyDescent="0.25">
      <c r="A576" t="s">
        <v>1868</v>
      </c>
      <c r="B576" t="s">
        <v>1899</v>
      </c>
      <c r="C576" t="s">
        <v>1891</v>
      </c>
      <c r="D576" t="s">
        <v>1892</v>
      </c>
      <c r="E576" t="s">
        <v>1893</v>
      </c>
      <c r="F576" t="s">
        <v>1900</v>
      </c>
      <c r="G576" s="2" t="str">
        <f>HYPERLINK("https://probpalata.gov.ru/files/ИП310100776500003.jpeg","Скачать индивидуальный QR-код магазина")</f>
        <v>Скачать индивидуальный QR-код магазина</v>
      </c>
    </row>
    <row r="577" spans="1:7" x14ac:dyDescent="0.25">
      <c r="A577" t="s">
        <v>1868</v>
      </c>
      <c r="B577" t="s">
        <v>1901</v>
      </c>
      <c r="C577" t="s">
        <v>1891</v>
      </c>
      <c r="D577" t="s">
        <v>1892</v>
      </c>
      <c r="E577" t="s">
        <v>1893</v>
      </c>
      <c r="F577" t="s">
        <v>1902</v>
      </c>
      <c r="G577" s="2" t="str">
        <f>HYPERLINK("https://probpalata.gov.ru/files/ИП310100776500004.jpeg","Скачать индивидуальный QR-код магазина")</f>
        <v>Скачать индивидуальный QR-код магазина</v>
      </c>
    </row>
    <row r="578" spans="1:7" x14ac:dyDescent="0.25">
      <c r="A578" t="s">
        <v>1868</v>
      </c>
      <c r="B578" t="s">
        <v>1903</v>
      </c>
      <c r="C578" t="s">
        <v>1891</v>
      </c>
      <c r="D578" t="s">
        <v>1892</v>
      </c>
      <c r="E578" t="s">
        <v>1893</v>
      </c>
      <c r="F578" t="s">
        <v>1904</v>
      </c>
      <c r="G578" s="2" t="str">
        <f>HYPERLINK("https://probpalata.gov.ru/files/ИП310100776500005.jpeg","Скачать индивидуальный QR-код магазина")</f>
        <v>Скачать индивидуальный QR-код магазина</v>
      </c>
    </row>
    <row r="579" spans="1:7" x14ac:dyDescent="0.25">
      <c r="A579" t="s">
        <v>1868</v>
      </c>
      <c r="B579" t="s">
        <v>1905</v>
      </c>
      <c r="C579" t="s">
        <v>1906</v>
      </c>
      <c r="D579" t="s">
        <v>1907</v>
      </c>
      <c r="E579" t="s">
        <v>1908</v>
      </c>
      <c r="F579" t="s">
        <v>1909</v>
      </c>
      <c r="G579" s="2" t="str">
        <f>HYPERLINK("https://probpalata.gov.ru/files/ИП310101263400000.jpeg","Скачать индивидуальный QR-код магазина")</f>
        <v>Скачать индивидуальный QR-код магазина</v>
      </c>
    </row>
    <row r="580" spans="1:7" x14ac:dyDescent="0.25">
      <c r="A580" t="s">
        <v>1868</v>
      </c>
      <c r="B580" t="s">
        <v>1910</v>
      </c>
      <c r="C580" t="s">
        <v>1911</v>
      </c>
      <c r="D580" t="s">
        <v>1912</v>
      </c>
      <c r="E580" t="s">
        <v>1913</v>
      </c>
      <c r="F580" t="s">
        <v>1914</v>
      </c>
      <c r="G580" s="2" t="str">
        <f>HYPERLINK("https://probpalata.gov.ru/files/ИП310100384500000.jpeg","Скачать индивидуальный QR-код магазина")</f>
        <v>Скачать индивидуальный QR-код магазина</v>
      </c>
    </row>
    <row r="581" spans="1:7" x14ac:dyDescent="0.25">
      <c r="A581" t="s">
        <v>1868</v>
      </c>
      <c r="B581" t="s">
        <v>1915</v>
      </c>
      <c r="C581" t="s">
        <v>1911</v>
      </c>
      <c r="D581" t="s">
        <v>1912</v>
      </c>
      <c r="E581" t="s">
        <v>1913</v>
      </c>
      <c r="F581" t="s">
        <v>1916</v>
      </c>
      <c r="G581" s="2" t="str">
        <f>HYPERLINK("https://probpalata.gov.ru/files/ИП310100384500001.jpeg","Скачать индивидуальный QR-код магазина")</f>
        <v>Скачать индивидуальный QR-код магазина</v>
      </c>
    </row>
    <row r="582" spans="1:7" x14ac:dyDescent="0.25">
      <c r="A582" t="s">
        <v>1868</v>
      </c>
      <c r="B582" t="s">
        <v>1917</v>
      </c>
      <c r="C582" t="s">
        <v>1918</v>
      </c>
      <c r="D582" t="s">
        <v>1919</v>
      </c>
      <c r="E582" t="s">
        <v>1920</v>
      </c>
      <c r="F582" t="s">
        <v>1921</v>
      </c>
      <c r="G582" s="2" t="str">
        <f>HYPERLINK("https://probpalata.gov.ru/files/ИП310104048100000.jpeg","Скачать индивидуальный QR-код магазина")</f>
        <v>Скачать индивидуальный QR-код магазина</v>
      </c>
    </row>
    <row r="583" spans="1:7" x14ac:dyDescent="0.25">
      <c r="A583" t="s">
        <v>1868</v>
      </c>
      <c r="B583" t="s">
        <v>1922</v>
      </c>
      <c r="C583" t="s">
        <v>1923</v>
      </c>
      <c r="D583" t="s">
        <v>1924</v>
      </c>
      <c r="E583" t="s">
        <v>1925</v>
      </c>
      <c r="F583" t="s">
        <v>1926</v>
      </c>
      <c r="G583" s="2" t="str">
        <f>HYPERLINK("https://probpalata.gov.ru/files/ИП310100064000000.jpeg","Скачать индивидуальный QR-код магазина")</f>
        <v>Скачать индивидуальный QR-код магазина</v>
      </c>
    </row>
    <row r="584" spans="1:7" x14ac:dyDescent="0.25">
      <c r="A584" t="s">
        <v>1868</v>
      </c>
      <c r="B584" t="s">
        <v>1927</v>
      </c>
      <c r="C584" t="s">
        <v>1928</v>
      </c>
      <c r="D584" t="s">
        <v>1929</v>
      </c>
      <c r="E584" t="s">
        <v>1930</v>
      </c>
      <c r="F584" t="s">
        <v>1931</v>
      </c>
      <c r="G584" s="2" t="str">
        <f>HYPERLINK("https://probpalata.gov.ru/files/ЮЛ310100768900000.jpeg","Скачать индивидуальный QR-код магазина")</f>
        <v>Скачать индивидуальный QR-код магазина</v>
      </c>
    </row>
    <row r="585" spans="1:7" x14ac:dyDescent="0.25">
      <c r="A585" t="s">
        <v>1868</v>
      </c>
      <c r="B585" t="s">
        <v>1932</v>
      </c>
      <c r="C585" t="s">
        <v>1933</v>
      </c>
      <c r="D585" t="s">
        <v>1934</v>
      </c>
      <c r="E585" t="s">
        <v>1935</v>
      </c>
      <c r="F585" t="s">
        <v>1936</v>
      </c>
      <c r="G585" s="2" t="str">
        <f>HYPERLINK("https://probpalata.gov.ru/files/ИП310100386700001.jpeg","Скачать индивидуальный QR-код магазина")</f>
        <v>Скачать индивидуальный QR-код магазина</v>
      </c>
    </row>
    <row r="586" spans="1:7" x14ac:dyDescent="0.25">
      <c r="A586" t="s">
        <v>1868</v>
      </c>
      <c r="B586" t="s">
        <v>1937</v>
      </c>
      <c r="C586" t="s">
        <v>1933</v>
      </c>
      <c r="D586" t="s">
        <v>1934</v>
      </c>
      <c r="E586" t="s">
        <v>1935</v>
      </c>
      <c r="F586" t="s">
        <v>1938</v>
      </c>
      <c r="G586" s="2" t="str">
        <f>HYPERLINK("https://probpalata.gov.ru/files/ИП310100386700002.jpeg","Скачать индивидуальный QR-код магазина")</f>
        <v>Скачать индивидуальный QR-код магазина</v>
      </c>
    </row>
    <row r="587" spans="1:7" x14ac:dyDescent="0.25">
      <c r="A587" t="s">
        <v>1868</v>
      </c>
      <c r="B587" t="s">
        <v>1939</v>
      </c>
      <c r="C587" t="s">
        <v>1933</v>
      </c>
      <c r="D587" t="s">
        <v>1934</v>
      </c>
      <c r="E587" t="s">
        <v>1935</v>
      </c>
      <c r="F587" t="s">
        <v>1940</v>
      </c>
      <c r="G587" s="2" t="str">
        <f>HYPERLINK("https://probpalata.gov.ru/files/ИП310100386700003.jpeg","Скачать индивидуальный QR-код магазина")</f>
        <v>Скачать индивидуальный QR-код магазина</v>
      </c>
    </row>
    <row r="588" spans="1:7" x14ac:dyDescent="0.25">
      <c r="A588" t="s">
        <v>1868</v>
      </c>
      <c r="B588" t="s">
        <v>1941</v>
      </c>
      <c r="C588" t="s">
        <v>1933</v>
      </c>
      <c r="D588" t="s">
        <v>1934</v>
      </c>
      <c r="E588" t="s">
        <v>1935</v>
      </c>
      <c r="F588" t="s">
        <v>1942</v>
      </c>
      <c r="G588" s="2" t="str">
        <f>HYPERLINK("https://probpalata.gov.ru/files/ИП310100386700004.jpeg","Скачать индивидуальный QR-код магазина")</f>
        <v>Скачать индивидуальный QR-код магазина</v>
      </c>
    </row>
    <row r="589" spans="1:7" x14ac:dyDescent="0.25">
      <c r="A589" t="s">
        <v>1868</v>
      </c>
      <c r="B589" t="s">
        <v>1943</v>
      </c>
      <c r="C589" t="s">
        <v>1944</v>
      </c>
      <c r="D589" t="s">
        <v>1945</v>
      </c>
      <c r="E589" t="s">
        <v>1946</v>
      </c>
      <c r="F589" t="s">
        <v>1947</v>
      </c>
      <c r="G589" s="2" t="str">
        <f>HYPERLINK("https://probpalata.gov.ru/files/ИП310100195000000.jpeg","Скачать индивидуальный QR-код магазина")</f>
        <v>Скачать индивидуальный QR-код магазина</v>
      </c>
    </row>
    <row r="590" spans="1:7" x14ac:dyDescent="0.25">
      <c r="A590" t="s">
        <v>1868</v>
      </c>
      <c r="B590" t="s">
        <v>1948</v>
      </c>
      <c r="C590" t="s">
        <v>1949</v>
      </c>
      <c r="D590" t="s">
        <v>1950</v>
      </c>
      <c r="E590" t="s">
        <v>1951</v>
      </c>
      <c r="F590" t="s">
        <v>1952</v>
      </c>
      <c r="G590" s="2" t="str">
        <f>HYPERLINK("https://probpalata.gov.ru/files/ИП310100382800000.jpeg","Скачать индивидуальный QR-код магазина")</f>
        <v>Скачать индивидуальный QR-код магазина</v>
      </c>
    </row>
    <row r="591" spans="1:7" x14ac:dyDescent="0.25">
      <c r="A591" t="s">
        <v>1868</v>
      </c>
      <c r="B591" t="s">
        <v>1953</v>
      </c>
      <c r="C591" t="s">
        <v>1949</v>
      </c>
      <c r="D591" t="s">
        <v>1950</v>
      </c>
      <c r="E591" t="s">
        <v>1951</v>
      </c>
      <c r="F591" t="s">
        <v>1954</v>
      </c>
      <c r="G591" s="2" t="str">
        <f>HYPERLINK("https://probpalata.gov.ru/files/ИП310100382800001.jpeg","Скачать индивидуальный QR-код магазина")</f>
        <v>Скачать индивидуальный QR-код магазина</v>
      </c>
    </row>
    <row r="592" spans="1:7" x14ac:dyDescent="0.25">
      <c r="A592" t="s">
        <v>1868</v>
      </c>
      <c r="B592" t="s">
        <v>1955</v>
      </c>
      <c r="C592" t="s">
        <v>1949</v>
      </c>
      <c r="D592" t="s">
        <v>1950</v>
      </c>
      <c r="E592" t="s">
        <v>1951</v>
      </c>
      <c r="F592" t="s">
        <v>1956</v>
      </c>
      <c r="G592" s="2" t="str">
        <f>HYPERLINK("https://probpalata.gov.ru/files/ИП310100382800003.jpeg","Скачать индивидуальный QR-код магазина")</f>
        <v>Скачать индивидуальный QR-код магазина</v>
      </c>
    </row>
    <row r="593" spans="1:7" x14ac:dyDescent="0.25">
      <c r="A593" t="s">
        <v>1868</v>
      </c>
      <c r="B593" t="s">
        <v>1957</v>
      </c>
      <c r="C593" t="s">
        <v>1949</v>
      </c>
      <c r="D593" t="s">
        <v>1950</v>
      </c>
      <c r="E593" t="s">
        <v>1951</v>
      </c>
      <c r="F593" t="s">
        <v>1958</v>
      </c>
      <c r="G593" s="2" t="str">
        <f>HYPERLINK("https://probpalata.gov.ru/files/ИП310100382800004.jpeg","Скачать индивидуальный QR-код магазина")</f>
        <v>Скачать индивидуальный QR-код магазина</v>
      </c>
    </row>
    <row r="594" spans="1:7" x14ac:dyDescent="0.25">
      <c r="A594" t="s">
        <v>1868</v>
      </c>
      <c r="B594" t="s">
        <v>1959</v>
      </c>
      <c r="C594" t="s">
        <v>1949</v>
      </c>
      <c r="D594" t="s">
        <v>1950</v>
      </c>
      <c r="E594" t="s">
        <v>1951</v>
      </c>
      <c r="F594" t="s">
        <v>1960</v>
      </c>
      <c r="G594" s="2" t="str">
        <f>HYPERLINK("https://probpalata.gov.ru/files/ИП310100382800006.jpeg","Скачать индивидуальный QR-код магазина")</f>
        <v>Скачать индивидуальный QR-код магазина</v>
      </c>
    </row>
    <row r="595" spans="1:7" x14ac:dyDescent="0.25">
      <c r="A595" t="s">
        <v>1868</v>
      </c>
      <c r="B595" t="s">
        <v>1961</v>
      </c>
      <c r="C595" t="s">
        <v>1962</v>
      </c>
      <c r="D595" t="s">
        <v>1963</v>
      </c>
      <c r="E595" t="s">
        <v>1964</v>
      </c>
      <c r="F595" t="s">
        <v>1965</v>
      </c>
      <c r="G595" s="2" t="str">
        <f>HYPERLINK("https://probpalata.gov.ru/files/ИП310104099700000.jpeg","Скачать индивидуальный QR-код магазина")</f>
        <v>Скачать индивидуальный QR-код магазина</v>
      </c>
    </row>
    <row r="596" spans="1:7" x14ac:dyDescent="0.25">
      <c r="A596" t="s">
        <v>1868</v>
      </c>
      <c r="B596" t="s">
        <v>1966</v>
      </c>
      <c r="C596" t="s">
        <v>1967</v>
      </c>
      <c r="D596" t="s">
        <v>1968</v>
      </c>
      <c r="E596" t="s">
        <v>1969</v>
      </c>
      <c r="F596" t="s">
        <v>1970</v>
      </c>
      <c r="G596" s="2" t="str">
        <f>HYPERLINK("https://probpalata.gov.ru/files/ИП310100117300000.jpeg","Скачать индивидуальный QR-код магазина")</f>
        <v>Скачать индивидуальный QR-код магазина</v>
      </c>
    </row>
    <row r="597" spans="1:7" x14ac:dyDescent="0.25">
      <c r="A597" t="s">
        <v>1868</v>
      </c>
      <c r="B597" t="s">
        <v>1971</v>
      </c>
      <c r="C597" t="s">
        <v>1967</v>
      </c>
      <c r="D597" t="s">
        <v>1968</v>
      </c>
      <c r="E597" t="s">
        <v>1969</v>
      </c>
      <c r="F597" t="s">
        <v>1972</v>
      </c>
      <c r="G597" s="2" t="str">
        <f>HYPERLINK("https://probpalata.gov.ru/files/ИП310100117300001.jpeg","Скачать индивидуальный QR-код магазина")</f>
        <v>Скачать индивидуальный QR-код магазина</v>
      </c>
    </row>
    <row r="598" spans="1:7" x14ac:dyDescent="0.25">
      <c r="A598" t="s">
        <v>1868</v>
      </c>
      <c r="B598" t="s">
        <v>1973</v>
      </c>
      <c r="C598" t="s">
        <v>1974</v>
      </c>
      <c r="D598" t="s">
        <v>1975</v>
      </c>
      <c r="E598" t="s">
        <v>1976</v>
      </c>
      <c r="F598" t="s">
        <v>1977</v>
      </c>
      <c r="G598" s="2" t="str">
        <f>HYPERLINK("https://probpalata.gov.ru/files/ЮЛ310101699900000.jpeg","Скачать индивидуальный QR-код магазина")</f>
        <v>Скачать индивидуальный QR-код магазина</v>
      </c>
    </row>
    <row r="599" spans="1:7" x14ac:dyDescent="0.25">
      <c r="A599" t="s">
        <v>1868</v>
      </c>
      <c r="B599" t="s">
        <v>1978</v>
      </c>
      <c r="C599" t="s">
        <v>1979</v>
      </c>
      <c r="D599" t="s">
        <v>1980</v>
      </c>
      <c r="E599" t="s">
        <v>1981</v>
      </c>
      <c r="F599" t="s">
        <v>1982</v>
      </c>
      <c r="G599" s="2" t="str">
        <f>HYPERLINK("https://probpalata.gov.ru/files/ИП310103412600000.jpeg","Скачать индивидуальный QR-код магазина")</f>
        <v>Скачать индивидуальный QR-код магазина</v>
      </c>
    </row>
    <row r="600" spans="1:7" x14ac:dyDescent="0.25">
      <c r="A600" t="s">
        <v>1868</v>
      </c>
      <c r="B600" t="s">
        <v>1983</v>
      </c>
      <c r="C600" t="s">
        <v>1979</v>
      </c>
      <c r="D600" t="s">
        <v>1980</v>
      </c>
      <c r="E600" t="s">
        <v>1981</v>
      </c>
      <c r="F600" t="s">
        <v>1984</v>
      </c>
      <c r="G600" s="2" t="str">
        <f>HYPERLINK("https://probpalata.gov.ru/files/ИП310103412600001.jpeg","Скачать индивидуальный QR-код магазина")</f>
        <v>Скачать индивидуальный QR-код магазина</v>
      </c>
    </row>
    <row r="601" spans="1:7" x14ac:dyDescent="0.25">
      <c r="A601" t="s">
        <v>1868</v>
      </c>
      <c r="B601" t="s">
        <v>1985</v>
      </c>
      <c r="C601" t="s">
        <v>1979</v>
      </c>
      <c r="D601" t="s">
        <v>1980</v>
      </c>
      <c r="E601" t="s">
        <v>1981</v>
      </c>
      <c r="F601" t="s">
        <v>1986</v>
      </c>
      <c r="G601" s="2" t="str">
        <f>HYPERLINK("https://probpalata.gov.ru/files/ИП310103412600003.jpeg","Скачать индивидуальный QR-код магазина")</f>
        <v>Скачать индивидуальный QR-код магазина</v>
      </c>
    </row>
    <row r="602" spans="1:7" x14ac:dyDescent="0.25">
      <c r="A602" t="s">
        <v>1868</v>
      </c>
      <c r="B602" t="s">
        <v>1987</v>
      </c>
      <c r="C602" t="s">
        <v>1979</v>
      </c>
      <c r="D602" t="s">
        <v>1980</v>
      </c>
      <c r="E602" t="s">
        <v>1981</v>
      </c>
      <c r="F602" t="s">
        <v>1988</v>
      </c>
      <c r="G602" s="2" t="str">
        <f>HYPERLINK("https://probpalata.gov.ru/files/ИП310103412600004.jpeg","Скачать индивидуальный QR-код магазина")</f>
        <v>Скачать индивидуальный QR-код магазина</v>
      </c>
    </row>
    <row r="603" spans="1:7" x14ac:dyDescent="0.25">
      <c r="A603" t="s">
        <v>1868</v>
      </c>
      <c r="B603" t="s">
        <v>1989</v>
      </c>
      <c r="C603" t="s">
        <v>1979</v>
      </c>
      <c r="D603" t="s">
        <v>1980</v>
      </c>
      <c r="E603" t="s">
        <v>1981</v>
      </c>
      <c r="F603" t="s">
        <v>1990</v>
      </c>
      <c r="G603" s="2" t="str">
        <f>HYPERLINK("https://probpalata.gov.ru/files/ИП310103412600010.jpeg","Скачать индивидуальный QR-код магазина")</f>
        <v>Скачать индивидуальный QR-код магазина</v>
      </c>
    </row>
    <row r="604" spans="1:7" x14ac:dyDescent="0.25">
      <c r="A604" t="s">
        <v>1868</v>
      </c>
      <c r="B604" t="s">
        <v>1991</v>
      </c>
      <c r="C604" t="s">
        <v>1992</v>
      </c>
      <c r="D604" t="s">
        <v>1993</v>
      </c>
      <c r="E604" t="s">
        <v>1994</v>
      </c>
      <c r="F604" t="s">
        <v>1995</v>
      </c>
      <c r="G604" s="2" t="str">
        <f>HYPERLINK("https://probpalata.gov.ru/files/ИП310101586000000.jpeg","Скачать индивидуальный QR-код магазина")</f>
        <v>Скачать индивидуальный QR-код магазина</v>
      </c>
    </row>
    <row r="605" spans="1:7" x14ac:dyDescent="0.25">
      <c r="A605" t="s">
        <v>1868</v>
      </c>
      <c r="B605" t="s">
        <v>1996</v>
      </c>
      <c r="C605" t="s">
        <v>1997</v>
      </c>
      <c r="D605" t="s">
        <v>1998</v>
      </c>
      <c r="E605" t="s">
        <v>1999</v>
      </c>
      <c r="F605" t="s">
        <v>2000</v>
      </c>
      <c r="G605" s="2" t="str">
        <f>HYPERLINK("https://probpalata.gov.ru/files/ЮЛ310100216200000.jpeg","Скачать индивидуальный QR-код магазина")</f>
        <v>Скачать индивидуальный QR-код магазина</v>
      </c>
    </row>
    <row r="606" spans="1:7" x14ac:dyDescent="0.25">
      <c r="A606" t="s">
        <v>1868</v>
      </c>
      <c r="B606" t="s">
        <v>2001</v>
      </c>
      <c r="C606" t="s">
        <v>1997</v>
      </c>
      <c r="D606" t="s">
        <v>1998</v>
      </c>
      <c r="E606" t="s">
        <v>1999</v>
      </c>
      <c r="F606" t="s">
        <v>2002</v>
      </c>
      <c r="G606" s="2" t="str">
        <f>HYPERLINK("https://probpalata.gov.ru/files/ЮЛ310100216200001.jpeg","Скачать индивидуальный QR-код магазина")</f>
        <v>Скачать индивидуальный QR-код магазина</v>
      </c>
    </row>
    <row r="607" spans="1:7" x14ac:dyDescent="0.25">
      <c r="A607" t="s">
        <v>1868</v>
      </c>
      <c r="B607" t="s">
        <v>2003</v>
      </c>
      <c r="C607" t="s">
        <v>1997</v>
      </c>
      <c r="D607" t="s">
        <v>1998</v>
      </c>
      <c r="E607" t="s">
        <v>1999</v>
      </c>
      <c r="F607" t="s">
        <v>2004</v>
      </c>
      <c r="G607" s="2" t="str">
        <f>HYPERLINK("https://probpalata.gov.ru/files/ЮЛ310100216200005.jpeg","Скачать индивидуальный QR-код магазина")</f>
        <v>Скачать индивидуальный QR-код магазина</v>
      </c>
    </row>
    <row r="608" spans="1:7" x14ac:dyDescent="0.25">
      <c r="A608" t="s">
        <v>1868</v>
      </c>
      <c r="B608" t="s">
        <v>2005</v>
      </c>
      <c r="C608" t="s">
        <v>1997</v>
      </c>
      <c r="D608" t="s">
        <v>1998</v>
      </c>
      <c r="E608" t="s">
        <v>1999</v>
      </c>
      <c r="F608" t="s">
        <v>2006</v>
      </c>
      <c r="G608" s="2" t="str">
        <f>HYPERLINK("https://probpalata.gov.ru/files/ЮЛ310100216200006.jpeg","Скачать индивидуальный QR-код магазина")</f>
        <v>Скачать индивидуальный QR-код магазина</v>
      </c>
    </row>
    <row r="609" spans="1:7" x14ac:dyDescent="0.25">
      <c r="A609" t="s">
        <v>1868</v>
      </c>
      <c r="B609" t="s">
        <v>2007</v>
      </c>
      <c r="C609" t="s">
        <v>1997</v>
      </c>
      <c r="D609" t="s">
        <v>1998</v>
      </c>
      <c r="E609" t="s">
        <v>1999</v>
      </c>
      <c r="F609" t="s">
        <v>2008</v>
      </c>
      <c r="G609" s="2" t="str">
        <f>HYPERLINK("https://probpalata.gov.ru/files/ЮЛ310100216200009.jpeg","Скачать индивидуальный QR-код магазина")</f>
        <v>Скачать индивидуальный QR-код магазина</v>
      </c>
    </row>
    <row r="610" spans="1:7" x14ac:dyDescent="0.25">
      <c r="A610" t="s">
        <v>1868</v>
      </c>
      <c r="B610" t="s">
        <v>2009</v>
      </c>
      <c r="C610" t="s">
        <v>2010</v>
      </c>
      <c r="D610" t="s">
        <v>2011</v>
      </c>
      <c r="E610" t="s">
        <v>2012</v>
      </c>
      <c r="F610" t="s">
        <v>2013</v>
      </c>
      <c r="G610" s="2" t="str">
        <f>HYPERLINK("https://probpalata.gov.ru/files/ЮЛ310100447400000.jpeg","Скачать индивидуальный QR-код магазина")</f>
        <v>Скачать индивидуальный QR-код магазина</v>
      </c>
    </row>
    <row r="611" spans="1:7" x14ac:dyDescent="0.25">
      <c r="A611" t="s">
        <v>1868</v>
      </c>
      <c r="B611" t="s">
        <v>2014</v>
      </c>
      <c r="C611" t="s">
        <v>2015</v>
      </c>
      <c r="D611" t="s">
        <v>2016</v>
      </c>
      <c r="E611" t="s">
        <v>2017</v>
      </c>
      <c r="F611" t="s">
        <v>2018</v>
      </c>
      <c r="G611" s="2" t="str">
        <f>HYPERLINK("https://probpalata.gov.ru/files/ИП310101364600000.jpeg","Скачать индивидуальный QR-код магазина")</f>
        <v>Скачать индивидуальный QR-код магазина</v>
      </c>
    </row>
    <row r="612" spans="1:7" x14ac:dyDescent="0.25">
      <c r="A612" t="s">
        <v>1868</v>
      </c>
      <c r="B612" t="s">
        <v>2019</v>
      </c>
      <c r="C612" t="s">
        <v>2020</v>
      </c>
      <c r="D612" t="s">
        <v>2021</v>
      </c>
      <c r="E612" t="s">
        <v>2022</v>
      </c>
      <c r="F612" t="s">
        <v>2023</v>
      </c>
      <c r="G612" s="2" t="str">
        <f>HYPERLINK("https://probpalata.gov.ru/files/ИП310103194600000.jpeg","Скачать индивидуальный QR-код магазина")</f>
        <v>Скачать индивидуальный QR-код магазина</v>
      </c>
    </row>
    <row r="613" spans="1:7" x14ac:dyDescent="0.25">
      <c r="A613" t="s">
        <v>1868</v>
      </c>
      <c r="B613" t="s">
        <v>2024</v>
      </c>
      <c r="C613" t="s">
        <v>2025</v>
      </c>
      <c r="D613" t="s">
        <v>2026</v>
      </c>
      <c r="E613" t="s">
        <v>2027</v>
      </c>
      <c r="F613" t="s">
        <v>2028</v>
      </c>
      <c r="G613" s="2" t="str">
        <f>HYPERLINK("https://probpalata.gov.ru/files/ИП310100354700000.jpeg","Скачать индивидуальный QR-код магазина")</f>
        <v>Скачать индивидуальный QR-код магазина</v>
      </c>
    </row>
    <row r="614" spans="1:7" x14ac:dyDescent="0.25">
      <c r="A614" t="s">
        <v>1868</v>
      </c>
      <c r="B614" t="s">
        <v>2029</v>
      </c>
      <c r="C614" t="s">
        <v>2030</v>
      </c>
      <c r="D614" t="s">
        <v>2031</v>
      </c>
      <c r="E614" t="s">
        <v>2032</v>
      </c>
      <c r="F614" t="s">
        <v>2033</v>
      </c>
      <c r="G614" s="2" t="str">
        <f>HYPERLINK("https://probpalata.gov.ru/files/ЮЛ310101150100000.jpeg","Скачать индивидуальный QR-код магазина")</f>
        <v>Скачать индивидуальный QR-код магазина</v>
      </c>
    </row>
    <row r="615" spans="1:7" x14ac:dyDescent="0.25">
      <c r="A615" t="s">
        <v>1868</v>
      </c>
      <c r="B615" t="s">
        <v>2034</v>
      </c>
      <c r="C615" t="s">
        <v>2030</v>
      </c>
      <c r="D615" t="s">
        <v>2031</v>
      </c>
      <c r="E615" t="s">
        <v>2032</v>
      </c>
      <c r="F615" t="s">
        <v>2035</v>
      </c>
      <c r="G615" s="2" t="str">
        <f>HYPERLINK("https://probpalata.gov.ru/files/ЮЛ310101150100001.jpeg","Скачать индивидуальный QR-код магазина")</f>
        <v>Скачать индивидуальный QR-код магазина</v>
      </c>
    </row>
    <row r="616" spans="1:7" x14ac:dyDescent="0.25">
      <c r="A616" t="s">
        <v>1868</v>
      </c>
      <c r="B616" t="s">
        <v>2036</v>
      </c>
      <c r="C616" t="s">
        <v>2030</v>
      </c>
      <c r="D616" t="s">
        <v>2031</v>
      </c>
      <c r="E616" t="s">
        <v>2032</v>
      </c>
      <c r="F616" t="s">
        <v>2037</v>
      </c>
      <c r="G616" s="2" t="str">
        <f>HYPERLINK("https://probpalata.gov.ru/files/ЮЛ310101150100002.jpeg","Скачать индивидуальный QR-код магазина")</f>
        <v>Скачать индивидуальный QR-код магазина</v>
      </c>
    </row>
    <row r="617" spans="1:7" x14ac:dyDescent="0.25">
      <c r="A617" t="s">
        <v>1868</v>
      </c>
      <c r="B617" t="s">
        <v>2038</v>
      </c>
      <c r="C617" t="s">
        <v>2039</v>
      </c>
      <c r="D617" t="s">
        <v>2040</v>
      </c>
      <c r="E617" t="s">
        <v>2041</v>
      </c>
      <c r="F617" t="s">
        <v>2042</v>
      </c>
      <c r="G617" s="2" t="str">
        <f>HYPERLINK("https://probpalata.gov.ru/files/ЮЛ310100189400005.jpeg","Скачать индивидуальный QR-код магазина")</f>
        <v>Скачать индивидуальный QR-код магазина</v>
      </c>
    </row>
    <row r="618" spans="1:7" x14ac:dyDescent="0.25">
      <c r="A618" t="s">
        <v>1868</v>
      </c>
      <c r="B618" t="s">
        <v>2043</v>
      </c>
      <c r="C618" t="s">
        <v>2039</v>
      </c>
      <c r="D618" t="s">
        <v>2040</v>
      </c>
      <c r="E618" t="s">
        <v>2041</v>
      </c>
      <c r="F618" t="s">
        <v>2044</v>
      </c>
      <c r="G618" s="2" t="str">
        <f>HYPERLINK("https://probpalata.gov.ru/files/ЮЛ310100189400007.jpeg","Скачать индивидуальный QR-код магазина")</f>
        <v>Скачать индивидуальный QR-код магазина</v>
      </c>
    </row>
    <row r="619" spans="1:7" x14ac:dyDescent="0.25">
      <c r="A619" t="s">
        <v>1868</v>
      </c>
      <c r="B619" t="s">
        <v>2045</v>
      </c>
      <c r="C619" t="s">
        <v>2046</v>
      </c>
      <c r="D619" t="s">
        <v>2047</v>
      </c>
      <c r="E619" t="s">
        <v>2048</v>
      </c>
      <c r="F619" t="s">
        <v>2049</v>
      </c>
      <c r="G619" s="2" t="str">
        <f>HYPERLINK("https://probpalata.gov.ru/files/ЮЛ310100168200000.jpeg","Скачать индивидуальный QR-код магазина")</f>
        <v>Скачать индивидуальный QR-код магазина</v>
      </c>
    </row>
    <row r="620" spans="1:7" x14ac:dyDescent="0.25">
      <c r="A620" t="s">
        <v>1868</v>
      </c>
      <c r="B620" t="s">
        <v>2050</v>
      </c>
      <c r="C620" t="s">
        <v>2046</v>
      </c>
      <c r="D620" t="s">
        <v>2047</v>
      </c>
      <c r="E620" t="s">
        <v>2048</v>
      </c>
      <c r="F620" t="s">
        <v>2051</v>
      </c>
      <c r="G620" s="2" t="str">
        <f>HYPERLINK("https://probpalata.gov.ru/files/ЮЛ310100168200012.jpeg","Скачать индивидуальный QR-код магазина")</f>
        <v>Скачать индивидуальный QR-код магазина</v>
      </c>
    </row>
    <row r="621" spans="1:7" x14ac:dyDescent="0.25">
      <c r="A621" t="s">
        <v>1868</v>
      </c>
      <c r="B621" t="s">
        <v>2052</v>
      </c>
      <c r="C621" t="s">
        <v>2053</v>
      </c>
      <c r="D621" t="s">
        <v>2054</v>
      </c>
      <c r="E621" t="s">
        <v>2055</v>
      </c>
      <c r="F621" t="s">
        <v>2056</v>
      </c>
      <c r="G621" s="2" t="str">
        <f>HYPERLINK("https://probpalata.gov.ru/files/ИП310100086800000.jpeg","Скачать индивидуальный QR-код магазина")</f>
        <v>Скачать индивидуальный QR-код магазина</v>
      </c>
    </row>
    <row r="622" spans="1:7" x14ac:dyDescent="0.25">
      <c r="A622" t="s">
        <v>1868</v>
      </c>
      <c r="B622" t="s">
        <v>2057</v>
      </c>
      <c r="C622" t="s">
        <v>2058</v>
      </c>
      <c r="D622" t="s">
        <v>2059</v>
      </c>
      <c r="E622" t="s">
        <v>2060</v>
      </c>
      <c r="F622" t="s">
        <v>2061</v>
      </c>
      <c r="G622" s="2" t="str">
        <f>HYPERLINK("https://probpalata.gov.ru/files/ИП000100716000000.jpeg","Скачать индивидуальный QR-код магазина")</f>
        <v>Скачать индивидуальный QR-код магазина</v>
      </c>
    </row>
    <row r="623" spans="1:7" x14ac:dyDescent="0.25">
      <c r="A623" t="s">
        <v>1868</v>
      </c>
      <c r="B623" t="s">
        <v>2062</v>
      </c>
      <c r="C623" t="s">
        <v>2063</v>
      </c>
      <c r="D623" t="s">
        <v>2064</v>
      </c>
      <c r="E623" t="s">
        <v>2065</v>
      </c>
      <c r="F623" t="s">
        <v>2066</v>
      </c>
      <c r="G623" s="2" t="str">
        <f>HYPERLINK("https://probpalata.gov.ru/files/ИП310100544000000.jpeg","Скачать индивидуальный QR-код магазина")</f>
        <v>Скачать индивидуальный QR-код магазина</v>
      </c>
    </row>
    <row r="624" spans="1:7" x14ac:dyDescent="0.25">
      <c r="A624" t="s">
        <v>1868</v>
      </c>
      <c r="B624" t="s">
        <v>2067</v>
      </c>
      <c r="C624" t="s">
        <v>2068</v>
      </c>
      <c r="D624" t="s">
        <v>2069</v>
      </c>
      <c r="E624" t="s">
        <v>2070</v>
      </c>
      <c r="F624" t="s">
        <v>2071</v>
      </c>
      <c r="G624" s="2" t="str">
        <f>HYPERLINK("https://probpalata.gov.ru/files/ИП310101270400000.jpeg","Скачать индивидуальный QR-код магазина")</f>
        <v>Скачать индивидуальный QR-код магазина</v>
      </c>
    </row>
    <row r="625" spans="1:7" x14ac:dyDescent="0.25">
      <c r="A625" t="s">
        <v>1868</v>
      </c>
      <c r="B625" t="s">
        <v>2072</v>
      </c>
      <c r="C625" t="s">
        <v>2073</v>
      </c>
      <c r="D625" t="s">
        <v>2074</v>
      </c>
      <c r="E625" t="s">
        <v>2075</v>
      </c>
      <c r="F625" t="s">
        <v>2076</v>
      </c>
      <c r="G625" s="2" t="str">
        <f>HYPERLINK("https://probpalata.gov.ru/files/ЮЛ310101271100001.jpeg","Скачать индивидуальный QR-код магазина")</f>
        <v>Скачать индивидуальный QR-код магазина</v>
      </c>
    </row>
    <row r="626" spans="1:7" x14ac:dyDescent="0.25">
      <c r="A626" t="s">
        <v>1868</v>
      </c>
      <c r="B626" t="s">
        <v>2077</v>
      </c>
      <c r="C626" t="s">
        <v>2073</v>
      </c>
      <c r="D626" t="s">
        <v>2074</v>
      </c>
      <c r="E626" t="s">
        <v>2075</v>
      </c>
      <c r="F626" t="s">
        <v>2078</v>
      </c>
      <c r="G626" s="2" t="str">
        <f>HYPERLINK("https://probpalata.gov.ru/files/ЮЛ310101271100002.jpeg","Скачать индивидуальный QR-код магазина")</f>
        <v>Скачать индивидуальный QR-код магазина</v>
      </c>
    </row>
    <row r="627" spans="1:7" x14ac:dyDescent="0.25">
      <c r="A627" t="s">
        <v>1868</v>
      </c>
      <c r="B627" t="s">
        <v>2079</v>
      </c>
      <c r="C627" t="s">
        <v>2080</v>
      </c>
      <c r="D627" t="s">
        <v>2081</v>
      </c>
      <c r="E627" t="s">
        <v>2082</v>
      </c>
      <c r="F627" t="s">
        <v>2083</v>
      </c>
      <c r="G627" s="2" t="str">
        <f>HYPERLINK("https://probpalata.gov.ru/files/ИП310103786300000.jpeg","Скачать индивидуальный QR-код магазина")</f>
        <v>Скачать индивидуальный QR-код магазина</v>
      </c>
    </row>
    <row r="628" spans="1:7" x14ac:dyDescent="0.25">
      <c r="A628" t="s">
        <v>1868</v>
      </c>
      <c r="B628" t="s">
        <v>2084</v>
      </c>
      <c r="C628" t="s">
        <v>2085</v>
      </c>
      <c r="D628" t="s">
        <v>2086</v>
      </c>
      <c r="E628" t="s">
        <v>2087</v>
      </c>
      <c r="F628" t="s">
        <v>2088</v>
      </c>
      <c r="G628" s="2" t="str">
        <f>HYPERLINK("https://probpalata.gov.ru/files/ИП770100756700000.jpeg","Скачать индивидуальный QR-код магазина")</f>
        <v>Скачать индивидуальный QR-код магазина</v>
      </c>
    </row>
    <row r="629" spans="1:7" x14ac:dyDescent="0.25">
      <c r="A629" t="s">
        <v>1868</v>
      </c>
      <c r="B629" t="s">
        <v>2089</v>
      </c>
      <c r="C629" t="s">
        <v>2085</v>
      </c>
      <c r="D629" t="s">
        <v>2086</v>
      </c>
      <c r="E629" t="s">
        <v>2087</v>
      </c>
      <c r="F629" t="s">
        <v>2090</v>
      </c>
      <c r="G629" s="2" t="str">
        <f>HYPERLINK("https://probpalata.gov.ru/files/ИП770100756700001.jpeg","Скачать индивидуальный QR-код магазина")</f>
        <v>Скачать индивидуальный QR-код магазина</v>
      </c>
    </row>
    <row r="630" spans="1:7" x14ac:dyDescent="0.25">
      <c r="A630" t="s">
        <v>1868</v>
      </c>
      <c r="B630" t="s">
        <v>2091</v>
      </c>
      <c r="C630" t="s">
        <v>2085</v>
      </c>
      <c r="D630" t="s">
        <v>2086</v>
      </c>
      <c r="E630" t="s">
        <v>2087</v>
      </c>
      <c r="F630" t="s">
        <v>2092</v>
      </c>
      <c r="G630" s="2" t="str">
        <f>HYPERLINK("https://probpalata.gov.ru/files/ИП770100756700002.jpeg","Скачать индивидуальный QR-код магазина")</f>
        <v>Скачать индивидуальный QR-код магазина</v>
      </c>
    </row>
    <row r="631" spans="1:7" x14ac:dyDescent="0.25">
      <c r="A631" t="s">
        <v>1868</v>
      </c>
      <c r="B631" t="s">
        <v>2093</v>
      </c>
      <c r="C631" t="s">
        <v>2085</v>
      </c>
      <c r="D631" t="s">
        <v>2086</v>
      </c>
      <c r="E631" t="s">
        <v>2087</v>
      </c>
      <c r="F631" t="s">
        <v>2094</v>
      </c>
      <c r="G631" s="2" t="str">
        <f>HYPERLINK("https://probpalata.gov.ru/files/ИП770100756700006.jpeg","Скачать индивидуальный QR-код магазина")</f>
        <v>Скачать индивидуальный QR-код магазина</v>
      </c>
    </row>
    <row r="632" spans="1:7" x14ac:dyDescent="0.25">
      <c r="A632" t="s">
        <v>1868</v>
      </c>
      <c r="B632" t="s">
        <v>2095</v>
      </c>
      <c r="C632" t="s">
        <v>2096</v>
      </c>
      <c r="D632" t="s">
        <v>2097</v>
      </c>
      <c r="E632" t="s">
        <v>2098</v>
      </c>
      <c r="F632" t="s">
        <v>2099</v>
      </c>
      <c r="G632" s="2" t="str">
        <f>HYPERLINK("https://probpalata.gov.ru/files/ИП310101699600000.jpeg","Скачать индивидуальный QR-код магазина")</f>
        <v>Скачать индивидуальный QR-код магазина</v>
      </c>
    </row>
    <row r="633" spans="1:7" x14ac:dyDescent="0.25">
      <c r="A633" t="s">
        <v>1868</v>
      </c>
      <c r="B633" t="s">
        <v>2100</v>
      </c>
      <c r="C633" t="s">
        <v>2101</v>
      </c>
      <c r="D633" t="s">
        <v>2102</v>
      </c>
      <c r="E633" t="s">
        <v>2103</v>
      </c>
      <c r="F633" t="s">
        <v>2104</v>
      </c>
      <c r="G633" s="2" t="str">
        <f>HYPERLINK("https://probpalata.gov.ru/files/ЮЛ310100661200000.jpeg","Скачать индивидуальный QR-код магазина")</f>
        <v>Скачать индивидуальный QR-код магазина</v>
      </c>
    </row>
    <row r="634" spans="1:7" x14ac:dyDescent="0.25">
      <c r="A634" t="s">
        <v>1868</v>
      </c>
      <c r="B634" t="s">
        <v>2105</v>
      </c>
      <c r="C634" t="s">
        <v>2106</v>
      </c>
      <c r="D634" t="s">
        <v>2107</v>
      </c>
      <c r="E634" t="s">
        <v>2108</v>
      </c>
      <c r="F634" t="s">
        <v>2109</v>
      </c>
      <c r="G634" s="2" t="str">
        <f>HYPERLINK("https://probpalata.gov.ru/files/ИП770100410600000.jpeg","Скачать индивидуальный QR-код магазина")</f>
        <v>Скачать индивидуальный QR-код магазина</v>
      </c>
    </row>
    <row r="635" spans="1:7" x14ac:dyDescent="0.25">
      <c r="A635" t="s">
        <v>1868</v>
      </c>
      <c r="B635" t="s">
        <v>2110</v>
      </c>
      <c r="C635" t="s">
        <v>2106</v>
      </c>
      <c r="D635" t="s">
        <v>2107</v>
      </c>
      <c r="E635" t="s">
        <v>2108</v>
      </c>
      <c r="F635" t="s">
        <v>2111</v>
      </c>
      <c r="G635" s="2" t="str">
        <f>HYPERLINK("https://probpalata.gov.ru/files/ИП770100410600001.jpeg","Скачать индивидуальный QR-код магазина")</f>
        <v>Скачать индивидуальный QR-код магазина</v>
      </c>
    </row>
    <row r="636" spans="1:7" x14ac:dyDescent="0.25">
      <c r="A636" t="s">
        <v>1868</v>
      </c>
      <c r="B636" t="s">
        <v>2112</v>
      </c>
      <c r="C636" t="s">
        <v>2106</v>
      </c>
      <c r="D636" t="s">
        <v>2107</v>
      </c>
      <c r="E636" t="s">
        <v>2108</v>
      </c>
      <c r="F636" t="s">
        <v>2113</v>
      </c>
      <c r="G636" s="2" t="str">
        <f>HYPERLINK("https://probpalata.gov.ru/files/ИП770100410600005.jpeg","Скачать индивидуальный QR-код магазина")</f>
        <v>Скачать индивидуальный QR-код магазина</v>
      </c>
    </row>
    <row r="637" spans="1:7" x14ac:dyDescent="0.25">
      <c r="A637" t="s">
        <v>1868</v>
      </c>
      <c r="B637" t="s">
        <v>2114</v>
      </c>
      <c r="C637" t="s">
        <v>2115</v>
      </c>
      <c r="D637" t="s">
        <v>2116</v>
      </c>
      <c r="E637" t="s">
        <v>2117</v>
      </c>
      <c r="F637" t="s">
        <v>2118</v>
      </c>
      <c r="G637" s="2" t="str">
        <f>HYPERLINK("https://probpalata.gov.ru/files/ИП310101533100000.jpeg","Скачать индивидуальный QR-код магазина")</f>
        <v>Скачать индивидуальный QR-код магазина</v>
      </c>
    </row>
    <row r="638" spans="1:7" x14ac:dyDescent="0.25">
      <c r="A638" t="s">
        <v>1868</v>
      </c>
      <c r="B638" t="s">
        <v>2119</v>
      </c>
      <c r="C638" t="s">
        <v>2120</v>
      </c>
      <c r="D638" t="s">
        <v>2121</v>
      </c>
      <c r="E638" t="s">
        <v>2122</v>
      </c>
      <c r="F638" t="s">
        <v>2123</v>
      </c>
      <c r="G638" s="2" t="str">
        <f>HYPERLINK("https://probpalata.gov.ru/files/ИП310100474000000.jpeg","Скачать индивидуальный QR-код магазина")</f>
        <v>Скачать индивидуальный QR-код магазина</v>
      </c>
    </row>
    <row r="639" spans="1:7" x14ac:dyDescent="0.25">
      <c r="A639" t="s">
        <v>1868</v>
      </c>
      <c r="B639" t="s">
        <v>2124</v>
      </c>
      <c r="C639" t="s">
        <v>2120</v>
      </c>
      <c r="D639" t="s">
        <v>2121</v>
      </c>
      <c r="E639" t="s">
        <v>2122</v>
      </c>
      <c r="F639" t="s">
        <v>2125</v>
      </c>
      <c r="G639" s="2" t="str">
        <f>HYPERLINK("https://probpalata.gov.ru/files/ИП310100474000001.jpeg","Скачать индивидуальный QR-код магазина")</f>
        <v>Скачать индивидуальный QR-код магазина</v>
      </c>
    </row>
    <row r="640" spans="1:7" x14ac:dyDescent="0.25">
      <c r="A640" t="s">
        <v>1868</v>
      </c>
      <c r="B640" t="s">
        <v>2126</v>
      </c>
      <c r="C640" t="s">
        <v>2120</v>
      </c>
      <c r="D640" t="s">
        <v>2121</v>
      </c>
      <c r="E640" t="s">
        <v>2122</v>
      </c>
      <c r="F640" t="s">
        <v>2127</v>
      </c>
      <c r="G640" s="2" t="str">
        <f>HYPERLINK("https://probpalata.gov.ru/files/ИП310100474000002.jpeg","Скачать индивидуальный QR-код магазина")</f>
        <v>Скачать индивидуальный QR-код магазина</v>
      </c>
    </row>
    <row r="641" spans="1:7" x14ac:dyDescent="0.25">
      <c r="A641" t="s">
        <v>1868</v>
      </c>
      <c r="B641" t="s">
        <v>2128</v>
      </c>
      <c r="C641" t="s">
        <v>2120</v>
      </c>
      <c r="D641" t="s">
        <v>2121</v>
      </c>
      <c r="E641" t="s">
        <v>2122</v>
      </c>
      <c r="F641" t="s">
        <v>2129</v>
      </c>
      <c r="G641" s="2" t="str">
        <f>HYPERLINK("https://probpalata.gov.ru/files/ИП310100474000003.jpeg","Скачать индивидуальный QR-код магазина")</f>
        <v>Скачать индивидуальный QR-код магазина</v>
      </c>
    </row>
    <row r="642" spans="1:7" x14ac:dyDescent="0.25">
      <c r="A642" t="s">
        <v>1868</v>
      </c>
      <c r="B642" t="s">
        <v>2130</v>
      </c>
      <c r="C642" t="s">
        <v>2120</v>
      </c>
      <c r="D642" t="s">
        <v>2121</v>
      </c>
      <c r="E642" t="s">
        <v>2122</v>
      </c>
      <c r="F642" t="s">
        <v>2131</v>
      </c>
      <c r="G642" s="2" t="str">
        <f>HYPERLINK("https://probpalata.gov.ru/files/ИП310100474000004.jpeg","Скачать индивидуальный QR-код магазина")</f>
        <v>Скачать индивидуальный QR-код магазина</v>
      </c>
    </row>
    <row r="643" spans="1:7" x14ac:dyDescent="0.25">
      <c r="A643" t="s">
        <v>1868</v>
      </c>
      <c r="B643" t="s">
        <v>2132</v>
      </c>
      <c r="C643" t="s">
        <v>2120</v>
      </c>
      <c r="D643" t="s">
        <v>2121</v>
      </c>
      <c r="E643" t="s">
        <v>2122</v>
      </c>
      <c r="F643" t="s">
        <v>2133</v>
      </c>
      <c r="G643" s="2" t="str">
        <f>HYPERLINK("https://probpalata.gov.ru/files/ИП310100474000005.jpeg","Скачать индивидуальный QR-код магазина")</f>
        <v>Скачать индивидуальный QR-код магазина</v>
      </c>
    </row>
    <row r="644" spans="1:7" x14ac:dyDescent="0.25">
      <c r="A644" t="s">
        <v>1868</v>
      </c>
      <c r="B644" t="s">
        <v>2134</v>
      </c>
      <c r="C644" t="s">
        <v>2135</v>
      </c>
      <c r="D644" t="s">
        <v>2136</v>
      </c>
      <c r="E644" t="s">
        <v>2137</v>
      </c>
      <c r="F644" t="s">
        <v>2138</v>
      </c>
      <c r="G644" s="2" t="str">
        <f>HYPERLINK("https://probpalata.gov.ru/files/ЮЛ310100521100000.jpeg","Скачать индивидуальный QR-код магазина")</f>
        <v>Скачать индивидуальный QR-код магазина</v>
      </c>
    </row>
    <row r="645" spans="1:7" x14ac:dyDescent="0.25">
      <c r="A645" t="s">
        <v>1868</v>
      </c>
      <c r="B645" t="s">
        <v>2139</v>
      </c>
      <c r="C645" t="s">
        <v>2135</v>
      </c>
      <c r="D645" t="s">
        <v>2136</v>
      </c>
      <c r="E645" t="s">
        <v>2137</v>
      </c>
      <c r="F645" t="s">
        <v>2140</v>
      </c>
      <c r="G645" s="2" t="str">
        <f>HYPERLINK("https://probpalata.gov.ru/files/ЮЛ310100521100001.jpeg","Скачать индивидуальный QR-код магазина")</f>
        <v>Скачать индивидуальный QR-код магазина</v>
      </c>
    </row>
    <row r="646" spans="1:7" x14ac:dyDescent="0.25">
      <c r="A646" t="s">
        <v>1868</v>
      </c>
      <c r="B646" t="s">
        <v>2141</v>
      </c>
      <c r="C646" t="s">
        <v>2135</v>
      </c>
      <c r="D646" t="s">
        <v>2136</v>
      </c>
      <c r="E646" t="s">
        <v>2137</v>
      </c>
      <c r="F646" t="s">
        <v>2142</v>
      </c>
      <c r="G646" s="2" t="str">
        <f>HYPERLINK("https://probpalata.gov.ru/files/ЮЛ310100521100002.jpeg","Скачать индивидуальный QR-код магазина")</f>
        <v>Скачать индивидуальный QR-код магазина</v>
      </c>
    </row>
    <row r="647" spans="1:7" x14ac:dyDescent="0.25">
      <c r="A647" t="s">
        <v>1868</v>
      </c>
      <c r="B647" t="s">
        <v>2143</v>
      </c>
      <c r="C647" t="s">
        <v>2135</v>
      </c>
      <c r="D647" t="s">
        <v>2136</v>
      </c>
      <c r="E647" t="s">
        <v>2137</v>
      </c>
      <c r="F647" t="s">
        <v>2144</v>
      </c>
      <c r="G647" s="2" t="str">
        <f>HYPERLINK("https://probpalata.gov.ru/files/ЮЛ310100521100003.jpeg","Скачать индивидуальный QR-код магазина")</f>
        <v>Скачать индивидуальный QR-код магазина</v>
      </c>
    </row>
    <row r="648" spans="1:7" x14ac:dyDescent="0.25">
      <c r="A648" t="s">
        <v>1868</v>
      </c>
      <c r="B648" t="s">
        <v>2145</v>
      </c>
      <c r="C648" t="s">
        <v>2146</v>
      </c>
      <c r="D648" t="s">
        <v>2147</v>
      </c>
      <c r="E648" t="s">
        <v>2148</v>
      </c>
      <c r="F648" t="s">
        <v>2149</v>
      </c>
      <c r="G648" s="2" t="str">
        <f>HYPERLINK("https://probpalata.gov.ru/files/ИП310101186200000.jpeg","Скачать индивидуальный QR-код магазина")</f>
        <v>Скачать индивидуальный QR-код магазина</v>
      </c>
    </row>
    <row r="649" spans="1:7" x14ac:dyDescent="0.25">
      <c r="A649" t="s">
        <v>1868</v>
      </c>
      <c r="B649" t="s">
        <v>2150</v>
      </c>
      <c r="C649" t="s">
        <v>2151</v>
      </c>
      <c r="D649" t="s">
        <v>2152</v>
      </c>
      <c r="E649" t="s">
        <v>2153</v>
      </c>
      <c r="F649" t="s">
        <v>2154</v>
      </c>
      <c r="G649" s="2" t="str">
        <f>HYPERLINK("https://probpalata.gov.ru/files/ЮЛ310100951700000.jpeg","Скачать индивидуальный QR-код магазина")</f>
        <v>Скачать индивидуальный QR-код магазина</v>
      </c>
    </row>
    <row r="650" spans="1:7" x14ac:dyDescent="0.25">
      <c r="A650" t="s">
        <v>1868</v>
      </c>
      <c r="B650" t="s">
        <v>2155</v>
      </c>
      <c r="C650" t="s">
        <v>2156</v>
      </c>
      <c r="D650" t="s">
        <v>2157</v>
      </c>
      <c r="E650" t="s">
        <v>2158</v>
      </c>
      <c r="F650" t="s">
        <v>2159</v>
      </c>
      <c r="G650" s="2" t="str">
        <f>HYPERLINK("https://probpalata.gov.ru/files/ИП310100208500000.jpeg","Скачать индивидуальный QR-код магазина")</f>
        <v>Скачать индивидуальный QR-код магазина</v>
      </c>
    </row>
    <row r="651" spans="1:7" x14ac:dyDescent="0.25">
      <c r="A651" t="s">
        <v>1868</v>
      </c>
      <c r="B651" t="s">
        <v>2160</v>
      </c>
      <c r="C651" t="s">
        <v>2161</v>
      </c>
      <c r="D651" t="s">
        <v>2162</v>
      </c>
      <c r="E651" t="s">
        <v>2163</v>
      </c>
      <c r="F651" t="s">
        <v>2164</v>
      </c>
      <c r="G651" s="2" t="str">
        <f>HYPERLINK("https://probpalata.gov.ru/files/ИП310101317800000.jpeg","Скачать индивидуальный QR-код магазина")</f>
        <v>Скачать индивидуальный QR-код магазина</v>
      </c>
    </row>
    <row r="652" spans="1:7" x14ac:dyDescent="0.25">
      <c r="A652" t="s">
        <v>1868</v>
      </c>
      <c r="B652" t="s">
        <v>2165</v>
      </c>
      <c r="C652" t="s">
        <v>2166</v>
      </c>
      <c r="D652" t="s">
        <v>2167</v>
      </c>
      <c r="E652" t="s">
        <v>2168</v>
      </c>
      <c r="F652" t="s">
        <v>2169</v>
      </c>
      <c r="G652" s="2" t="str">
        <f>HYPERLINK("https://probpalata.gov.ru/files/ИП310100322200000.jpeg","Скачать индивидуальный QR-код магазина")</f>
        <v>Скачать индивидуальный QR-код магазина</v>
      </c>
    </row>
    <row r="653" spans="1:7" x14ac:dyDescent="0.25">
      <c r="A653" t="s">
        <v>1868</v>
      </c>
      <c r="B653" t="s">
        <v>2170</v>
      </c>
      <c r="C653" t="s">
        <v>2171</v>
      </c>
      <c r="D653" t="s">
        <v>2172</v>
      </c>
      <c r="E653" t="s">
        <v>2173</v>
      </c>
      <c r="F653" t="s">
        <v>2174</v>
      </c>
      <c r="G653" s="2" t="str">
        <f>HYPERLINK("https://probpalata.gov.ru/files/ЮЛ500100602500021.jpeg","Скачать индивидуальный QR-код магазина")</f>
        <v>Скачать индивидуальный QR-код магазина</v>
      </c>
    </row>
    <row r="654" spans="1:7" x14ac:dyDescent="0.25">
      <c r="A654" t="s">
        <v>1868</v>
      </c>
      <c r="B654" t="s">
        <v>2175</v>
      </c>
      <c r="C654" t="s">
        <v>2176</v>
      </c>
      <c r="D654" t="s">
        <v>2177</v>
      </c>
      <c r="E654" t="s">
        <v>2178</v>
      </c>
      <c r="F654" t="s">
        <v>2179</v>
      </c>
      <c r="G654" s="2" t="str">
        <f>HYPERLINK("https://probpalata.gov.ru/files/ИП460103958400002.jpeg","Скачать индивидуальный QR-код магазина")</f>
        <v>Скачать индивидуальный QR-код магазина</v>
      </c>
    </row>
    <row r="655" spans="1:7" x14ac:dyDescent="0.25">
      <c r="A655" t="s">
        <v>1868</v>
      </c>
      <c r="B655" t="s">
        <v>2180</v>
      </c>
      <c r="C655" t="s">
        <v>2176</v>
      </c>
      <c r="D655" t="s">
        <v>2177</v>
      </c>
      <c r="E655" t="s">
        <v>2178</v>
      </c>
      <c r="F655" t="s">
        <v>2181</v>
      </c>
      <c r="G655" s="2" t="str">
        <f>HYPERLINK("https://probpalata.gov.ru/files/ИП460103958400005.jpeg","Скачать индивидуальный QR-код магазина")</f>
        <v>Скачать индивидуальный QR-код магазина</v>
      </c>
    </row>
    <row r="656" spans="1:7" x14ac:dyDescent="0.25">
      <c r="A656" t="s">
        <v>1868</v>
      </c>
      <c r="B656" t="s">
        <v>2182</v>
      </c>
      <c r="C656" t="s">
        <v>2176</v>
      </c>
      <c r="D656" t="s">
        <v>2177</v>
      </c>
      <c r="E656" t="s">
        <v>2178</v>
      </c>
      <c r="F656" t="s">
        <v>2183</v>
      </c>
      <c r="G656" s="2" t="str">
        <f>HYPERLINK("https://probpalata.gov.ru/files/ИП460103958400006.jpeg","Скачать индивидуальный QR-код магазина")</f>
        <v>Скачать индивидуальный QR-код магазина</v>
      </c>
    </row>
    <row r="657" spans="1:7" x14ac:dyDescent="0.25">
      <c r="A657" t="s">
        <v>1868</v>
      </c>
      <c r="B657" t="s">
        <v>2184</v>
      </c>
      <c r="C657" t="s">
        <v>2185</v>
      </c>
      <c r="D657" t="s">
        <v>2186</v>
      </c>
      <c r="E657" t="s">
        <v>2187</v>
      </c>
      <c r="F657" t="s">
        <v>2188</v>
      </c>
      <c r="G657" s="2" t="str">
        <f>HYPERLINK("https://probpalata.gov.ru/files/ЮЛ480100215000005.jpeg","Скачать индивидуальный QR-код магазина")</f>
        <v>Скачать индивидуальный QR-код магазина</v>
      </c>
    </row>
    <row r="658" spans="1:7" x14ac:dyDescent="0.25">
      <c r="A658" t="s">
        <v>1868</v>
      </c>
      <c r="B658" t="s">
        <v>2189</v>
      </c>
      <c r="C658" t="s">
        <v>2185</v>
      </c>
      <c r="D658" t="s">
        <v>2186</v>
      </c>
      <c r="E658" t="s">
        <v>2187</v>
      </c>
      <c r="F658" t="s">
        <v>2190</v>
      </c>
      <c r="G658" s="2" t="str">
        <f>HYPERLINK("https://probpalata.gov.ru/files/ЮЛ480100215000019.jpeg","Скачать индивидуальный QR-код магазина")</f>
        <v>Скачать индивидуальный QR-код магазина</v>
      </c>
    </row>
    <row r="659" spans="1:7" x14ac:dyDescent="0.25">
      <c r="A659" t="s">
        <v>1868</v>
      </c>
      <c r="B659" t="s">
        <v>2191</v>
      </c>
      <c r="C659" t="s">
        <v>671</v>
      </c>
      <c r="D659" t="s">
        <v>672</v>
      </c>
      <c r="E659" t="s">
        <v>673</v>
      </c>
      <c r="F659" t="s">
        <v>2192</v>
      </c>
      <c r="G659" s="2" t="str">
        <f>HYPERLINK("https://probpalata.gov.ru/files/ИП500100445500087.jpeg","Скачать индивидуальный QR-код магазина")</f>
        <v>Скачать индивидуальный QR-код магазина</v>
      </c>
    </row>
    <row r="660" spans="1:7" x14ac:dyDescent="0.25">
      <c r="A660" t="s">
        <v>1868</v>
      </c>
      <c r="B660" t="s">
        <v>2193</v>
      </c>
      <c r="C660" t="s">
        <v>1735</v>
      </c>
      <c r="D660" t="s">
        <v>1736</v>
      </c>
      <c r="E660" t="s">
        <v>1737</v>
      </c>
      <c r="F660" t="s">
        <v>2194</v>
      </c>
      <c r="G660" s="2" t="str">
        <f>HYPERLINK("https://probpalata.gov.ru/files/ЮЛ520603376600052.jpeg","Скачать индивидуальный QR-код магазина")</f>
        <v>Скачать индивидуальный QR-код магазина</v>
      </c>
    </row>
    <row r="661" spans="1:7" x14ac:dyDescent="0.25">
      <c r="A661" t="s">
        <v>1868</v>
      </c>
      <c r="B661" t="s">
        <v>2191</v>
      </c>
      <c r="C661" t="s">
        <v>1735</v>
      </c>
      <c r="D661" t="s">
        <v>1736</v>
      </c>
      <c r="E661" t="s">
        <v>1737</v>
      </c>
      <c r="F661" t="s">
        <v>2195</v>
      </c>
      <c r="G661" s="2" t="str">
        <f>HYPERLINK("https://probpalata.gov.ru/files/ЮЛ520603376600086.jpeg","Скачать индивидуальный QR-код магазина")</f>
        <v>Скачать индивидуальный QR-код магазина</v>
      </c>
    </row>
    <row r="662" spans="1:7" x14ac:dyDescent="0.25">
      <c r="A662" t="s">
        <v>1868</v>
      </c>
      <c r="B662" t="s">
        <v>2196</v>
      </c>
      <c r="C662" t="s">
        <v>2197</v>
      </c>
      <c r="D662" t="s">
        <v>2198</v>
      </c>
      <c r="E662" t="s">
        <v>2199</v>
      </c>
      <c r="F662" t="s">
        <v>2200</v>
      </c>
      <c r="G662" s="2" t="str">
        <f>HYPERLINK("https://probpalata.gov.ru/files/ИП630601425400034.jpeg","Скачать индивидуальный QR-код магазина")</f>
        <v>Скачать индивидуальный QR-код магазина</v>
      </c>
    </row>
    <row r="663" spans="1:7" x14ac:dyDescent="0.25">
      <c r="A663" t="s">
        <v>1868</v>
      </c>
      <c r="B663" t="s">
        <v>2201</v>
      </c>
      <c r="C663" t="s">
        <v>2197</v>
      </c>
      <c r="D663" t="s">
        <v>2198</v>
      </c>
      <c r="E663" t="s">
        <v>2199</v>
      </c>
      <c r="F663" t="s">
        <v>2202</v>
      </c>
      <c r="G663" s="2" t="str">
        <f>HYPERLINK("https://probpalata.gov.ru/files/ИП630601425400046.jpeg","Скачать индивидуальный QR-код магазина")</f>
        <v>Скачать индивидуальный QR-код магазина</v>
      </c>
    </row>
    <row r="664" spans="1:7" x14ac:dyDescent="0.25">
      <c r="A664" t="s">
        <v>1868</v>
      </c>
      <c r="B664" t="s">
        <v>2203</v>
      </c>
      <c r="C664" t="s">
        <v>2204</v>
      </c>
      <c r="D664" t="s">
        <v>2205</v>
      </c>
      <c r="E664" t="s">
        <v>2206</v>
      </c>
      <c r="F664" t="s">
        <v>2207</v>
      </c>
      <c r="G664" s="2" t="str">
        <f>HYPERLINK("https://probpalata.gov.ru/files/ЮЛ630603037200079.jpeg","Скачать индивидуальный QR-код магазина")</f>
        <v>Скачать индивидуальный QR-код магазина</v>
      </c>
    </row>
    <row r="665" spans="1:7" x14ac:dyDescent="0.25">
      <c r="A665" t="s">
        <v>1868</v>
      </c>
      <c r="B665" t="s">
        <v>2208</v>
      </c>
      <c r="C665" t="s">
        <v>2204</v>
      </c>
      <c r="D665" t="s">
        <v>2205</v>
      </c>
      <c r="E665" t="s">
        <v>2206</v>
      </c>
      <c r="F665" t="s">
        <v>2209</v>
      </c>
      <c r="G665" s="2" t="str">
        <f>HYPERLINK("https://probpalata.gov.ru/files/ЮЛ630603037200085.jpeg","Скачать индивидуальный QR-код магазина")</f>
        <v>Скачать индивидуальный QR-код магазина</v>
      </c>
    </row>
    <row r="666" spans="1:7" x14ac:dyDescent="0.25">
      <c r="A666" t="s">
        <v>1868</v>
      </c>
      <c r="B666" t="s">
        <v>2210</v>
      </c>
      <c r="C666" t="s">
        <v>2204</v>
      </c>
      <c r="D666" t="s">
        <v>2205</v>
      </c>
      <c r="E666" t="s">
        <v>2206</v>
      </c>
      <c r="F666" t="s">
        <v>2211</v>
      </c>
      <c r="G666" s="2" t="str">
        <f>HYPERLINK("https://probpalata.gov.ru/files/ЮЛ630603037200089.jpeg","Скачать индивидуальный QR-код магазина")</f>
        <v>Скачать индивидуальный QR-код магазина</v>
      </c>
    </row>
    <row r="667" spans="1:7" x14ac:dyDescent="0.25">
      <c r="A667" t="s">
        <v>1868</v>
      </c>
      <c r="B667" t="s">
        <v>2212</v>
      </c>
      <c r="C667" t="s">
        <v>2204</v>
      </c>
      <c r="D667" t="s">
        <v>2205</v>
      </c>
      <c r="E667" t="s">
        <v>2206</v>
      </c>
      <c r="F667" t="s">
        <v>2213</v>
      </c>
      <c r="G667" s="2" t="str">
        <f>HYPERLINK("https://probpalata.gov.ru/files/ЮЛ630603037200093.jpeg","Скачать индивидуальный QR-код магазина")</f>
        <v>Скачать индивидуальный QR-код магазина</v>
      </c>
    </row>
    <row r="668" spans="1:7" x14ac:dyDescent="0.25">
      <c r="A668" t="s">
        <v>1868</v>
      </c>
      <c r="B668" t="s">
        <v>2214</v>
      </c>
      <c r="C668" t="s">
        <v>2204</v>
      </c>
      <c r="D668" t="s">
        <v>2205</v>
      </c>
      <c r="E668" t="s">
        <v>2206</v>
      </c>
      <c r="F668" t="s">
        <v>2215</v>
      </c>
      <c r="G668" s="2" t="str">
        <f>HYPERLINK("https://probpalata.gov.ru/files/ЮЛ630603037200094.jpeg","Скачать индивидуальный QR-код магазина")</f>
        <v>Скачать индивидуальный QR-код магазина</v>
      </c>
    </row>
    <row r="669" spans="1:7" x14ac:dyDescent="0.25">
      <c r="A669" t="s">
        <v>1868</v>
      </c>
      <c r="B669" t="s">
        <v>2216</v>
      </c>
      <c r="C669" t="s">
        <v>2204</v>
      </c>
      <c r="D669" t="s">
        <v>2205</v>
      </c>
      <c r="E669" t="s">
        <v>2206</v>
      </c>
      <c r="F669" t="s">
        <v>2217</v>
      </c>
      <c r="G669" s="2" t="str">
        <f>HYPERLINK("https://probpalata.gov.ru/files/ЮЛ630603037200096.jpeg","Скачать индивидуальный QR-код магазина")</f>
        <v>Скачать индивидуальный QR-код магазина</v>
      </c>
    </row>
    <row r="670" spans="1:7" x14ac:dyDescent="0.25">
      <c r="A670" t="s">
        <v>1868</v>
      </c>
      <c r="B670" t="s">
        <v>2218</v>
      </c>
      <c r="C670" t="s">
        <v>2219</v>
      </c>
      <c r="D670" t="s">
        <v>2220</v>
      </c>
      <c r="E670" t="s">
        <v>2221</v>
      </c>
      <c r="F670" t="s">
        <v>2222</v>
      </c>
      <c r="G670" s="2" t="str">
        <f>HYPERLINK("https://probpalata.gov.ru/files/ИП710100775300001.jpeg","Скачать индивидуальный QR-код магазина")</f>
        <v>Скачать индивидуальный QR-код магазина</v>
      </c>
    </row>
    <row r="671" spans="1:7" x14ac:dyDescent="0.25">
      <c r="A671" t="s">
        <v>1868</v>
      </c>
      <c r="B671" t="s">
        <v>2223</v>
      </c>
      <c r="C671" t="s">
        <v>2219</v>
      </c>
      <c r="D671" t="s">
        <v>2220</v>
      </c>
      <c r="E671" t="s">
        <v>2221</v>
      </c>
      <c r="F671" t="s">
        <v>2224</v>
      </c>
      <c r="G671" s="2" t="str">
        <f>HYPERLINK("https://probpalata.gov.ru/files/ИП710100775300008.jpeg","Скачать индивидуальный QR-код магазина")</f>
        <v>Скачать индивидуальный QR-код магазина</v>
      </c>
    </row>
    <row r="672" spans="1:7" x14ac:dyDescent="0.25">
      <c r="A672" t="s">
        <v>1868</v>
      </c>
      <c r="B672" t="s">
        <v>2225</v>
      </c>
      <c r="C672" t="s">
        <v>2226</v>
      </c>
      <c r="D672" t="s">
        <v>2227</v>
      </c>
      <c r="E672" t="s">
        <v>2228</v>
      </c>
      <c r="F672" t="s">
        <v>2229</v>
      </c>
      <c r="G672" s="2" t="str">
        <f>HYPERLINK("https://probpalata.gov.ru/files/ИП710101061900005.jpeg","Скачать индивидуальный QR-код магазина")</f>
        <v>Скачать индивидуальный QR-код магазина</v>
      </c>
    </row>
    <row r="673" spans="1:7" x14ac:dyDescent="0.25">
      <c r="A673" t="s">
        <v>1868</v>
      </c>
      <c r="B673" t="s">
        <v>2230</v>
      </c>
      <c r="C673" t="s">
        <v>2231</v>
      </c>
      <c r="D673" t="s">
        <v>2232</v>
      </c>
      <c r="E673" t="s">
        <v>2233</v>
      </c>
      <c r="F673" t="s">
        <v>2234</v>
      </c>
      <c r="G673" s="2" t="str">
        <f>HYPERLINK("https://probpalata.gov.ru/files/ИП000100534900000.jpeg","Скачать индивидуальный QR-код магазина")</f>
        <v>Скачать индивидуальный QR-код магазина</v>
      </c>
    </row>
    <row r="674" spans="1:7" x14ac:dyDescent="0.25">
      <c r="A674" t="s">
        <v>1868</v>
      </c>
      <c r="B674" t="s">
        <v>2235</v>
      </c>
      <c r="C674" t="s">
        <v>2231</v>
      </c>
      <c r="D674" t="s">
        <v>2232</v>
      </c>
      <c r="E674" t="s">
        <v>2233</v>
      </c>
      <c r="F674" t="s">
        <v>2236</v>
      </c>
      <c r="G674" s="2" t="str">
        <f>HYPERLINK("https://probpalata.gov.ru/files/ИП000100534900028.jpeg","Скачать индивидуальный QR-код магазина")</f>
        <v>Скачать индивидуальный QR-код магазина</v>
      </c>
    </row>
    <row r="675" spans="1:7" x14ac:dyDescent="0.25">
      <c r="A675" t="s">
        <v>1868</v>
      </c>
      <c r="B675" t="s">
        <v>2237</v>
      </c>
      <c r="C675" t="s">
        <v>713</v>
      </c>
      <c r="D675" t="s">
        <v>714</v>
      </c>
      <c r="E675" t="s">
        <v>715</v>
      </c>
      <c r="F675" t="s">
        <v>2238</v>
      </c>
      <c r="G675" s="2" t="str">
        <f>HYPERLINK("https://probpalata.gov.ru/files/ЮЛ770101216600136.jpeg","Скачать индивидуальный QR-код магазина")</f>
        <v>Скачать индивидуальный QR-код магазина</v>
      </c>
    </row>
    <row r="676" spans="1:7" x14ac:dyDescent="0.25">
      <c r="A676" t="s">
        <v>1868</v>
      </c>
      <c r="B676" t="s">
        <v>2239</v>
      </c>
      <c r="C676" t="s">
        <v>713</v>
      </c>
      <c r="D676" t="s">
        <v>714</v>
      </c>
      <c r="E676" t="s">
        <v>715</v>
      </c>
      <c r="F676" t="s">
        <v>2240</v>
      </c>
      <c r="G676" s="2" t="str">
        <f>HYPERLINK("https://probpalata.gov.ru/files/ЮЛ770101216600278.jpeg","Скачать индивидуальный QR-код магазина")</f>
        <v>Скачать индивидуальный QR-код магазина</v>
      </c>
    </row>
    <row r="677" spans="1:7" x14ac:dyDescent="0.25">
      <c r="A677" t="s">
        <v>1868</v>
      </c>
      <c r="B677" t="s">
        <v>2241</v>
      </c>
      <c r="C677" t="s">
        <v>713</v>
      </c>
      <c r="D677" t="s">
        <v>714</v>
      </c>
      <c r="E677" t="s">
        <v>715</v>
      </c>
      <c r="F677" t="s">
        <v>2242</v>
      </c>
      <c r="G677" s="2" t="str">
        <f>HYPERLINK("https://probpalata.gov.ru/files/ЮЛ770101216600462.jpeg","Скачать индивидуальный QR-код магазина")</f>
        <v>Скачать индивидуальный QR-код магазина</v>
      </c>
    </row>
    <row r="678" spans="1:7" x14ac:dyDescent="0.25">
      <c r="A678" t="s">
        <v>1868</v>
      </c>
      <c r="B678" t="s">
        <v>2243</v>
      </c>
      <c r="C678" t="s">
        <v>713</v>
      </c>
      <c r="D678" t="s">
        <v>714</v>
      </c>
      <c r="E678" t="s">
        <v>715</v>
      </c>
      <c r="F678" t="s">
        <v>2244</v>
      </c>
      <c r="G678" s="2" t="str">
        <f>HYPERLINK("https://probpalata.gov.ru/files/ЮЛ770101216600640.jpeg","Скачать индивидуальный QR-код магазина")</f>
        <v>Скачать индивидуальный QR-код магазина</v>
      </c>
    </row>
    <row r="679" spans="1:7" x14ac:dyDescent="0.25">
      <c r="A679" t="s">
        <v>1868</v>
      </c>
      <c r="B679" t="s">
        <v>2245</v>
      </c>
      <c r="C679" t="s">
        <v>713</v>
      </c>
      <c r="D679" t="s">
        <v>714</v>
      </c>
      <c r="E679" t="s">
        <v>715</v>
      </c>
      <c r="F679" t="s">
        <v>2246</v>
      </c>
      <c r="G679" s="2" t="str">
        <f>HYPERLINK("https://probpalata.gov.ru/files/ЮЛ770101216600677.jpeg","Скачать индивидуальный QR-код магазина")</f>
        <v>Скачать индивидуальный QR-код магазина</v>
      </c>
    </row>
    <row r="680" spans="1:7" x14ac:dyDescent="0.25">
      <c r="A680" t="s">
        <v>1868</v>
      </c>
      <c r="B680" t="s">
        <v>2247</v>
      </c>
      <c r="C680" t="s">
        <v>748</v>
      </c>
      <c r="D680" t="s">
        <v>749</v>
      </c>
      <c r="E680" t="s">
        <v>750</v>
      </c>
      <c r="F680" t="s">
        <v>2248</v>
      </c>
      <c r="G680" s="2" t="str">
        <f>HYPERLINK("https://probpalata.gov.ru/files/ЮЛ770100193500100.jpeg","Скачать индивидуальный QR-код магазина")</f>
        <v>Скачать индивидуальный QR-код магазина</v>
      </c>
    </row>
    <row r="681" spans="1:7" x14ac:dyDescent="0.25">
      <c r="A681" t="s">
        <v>1868</v>
      </c>
      <c r="B681" t="s">
        <v>2249</v>
      </c>
      <c r="C681" t="s">
        <v>748</v>
      </c>
      <c r="D681" t="s">
        <v>749</v>
      </c>
      <c r="E681" t="s">
        <v>750</v>
      </c>
      <c r="F681" t="s">
        <v>2250</v>
      </c>
      <c r="G681" s="2" t="str">
        <f>HYPERLINK("https://probpalata.gov.ru/files/ЮЛ770100193500101.jpeg","Скачать индивидуальный QR-код магазина")</f>
        <v>Скачать индивидуальный QR-код магазина</v>
      </c>
    </row>
    <row r="682" spans="1:7" x14ac:dyDescent="0.25">
      <c r="A682" t="s">
        <v>1868</v>
      </c>
      <c r="B682" t="s">
        <v>2251</v>
      </c>
      <c r="C682" t="s">
        <v>748</v>
      </c>
      <c r="D682" t="s">
        <v>749</v>
      </c>
      <c r="E682" t="s">
        <v>750</v>
      </c>
      <c r="F682" t="s">
        <v>2252</v>
      </c>
      <c r="G682" s="2" t="str">
        <f>HYPERLINK("https://probpalata.gov.ru/files/ЮЛ770100193500104.jpeg","Скачать индивидуальный QR-код магазина")</f>
        <v>Скачать индивидуальный QR-код магазина</v>
      </c>
    </row>
    <row r="683" spans="1:7" x14ac:dyDescent="0.25">
      <c r="A683" t="s">
        <v>1868</v>
      </c>
      <c r="B683" t="s">
        <v>2253</v>
      </c>
      <c r="C683" t="s">
        <v>748</v>
      </c>
      <c r="D683" t="s">
        <v>749</v>
      </c>
      <c r="E683" t="s">
        <v>750</v>
      </c>
      <c r="F683" t="s">
        <v>2254</v>
      </c>
      <c r="G683" s="2" t="str">
        <f>HYPERLINK("https://probpalata.gov.ru/files/ЮЛ770100193500493.jpeg","Скачать индивидуальный QR-код магазина")</f>
        <v>Скачать индивидуальный QR-код магазина</v>
      </c>
    </row>
    <row r="684" spans="1:7" x14ac:dyDescent="0.25">
      <c r="A684" t="s">
        <v>1868</v>
      </c>
      <c r="B684" t="s">
        <v>2255</v>
      </c>
      <c r="C684" t="s">
        <v>748</v>
      </c>
      <c r="D684" t="s">
        <v>749</v>
      </c>
      <c r="E684" t="s">
        <v>750</v>
      </c>
      <c r="F684" t="s">
        <v>2256</v>
      </c>
      <c r="G684" s="2" t="str">
        <f>HYPERLINK("https://probpalata.gov.ru/files/ЮЛ770100193500516.jpeg","Скачать индивидуальный QR-код магазина")</f>
        <v>Скачать индивидуальный QR-код магазина</v>
      </c>
    </row>
    <row r="685" spans="1:7" x14ac:dyDescent="0.25">
      <c r="A685" t="s">
        <v>1868</v>
      </c>
      <c r="B685" t="s">
        <v>2257</v>
      </c>
      <c r="C685" t="s">
        <v>748</v>
      </c>
      <c r="D685" t="s">
        <v>749</v>
      </c>
      <c r="E685" t="s">
        <v>750</v>
      </c>
      <c r="F685" t="s">
        <v>2258</v>
      </c>
      <c r="G685" s="2" t="str">
        <f>HYPERLINK("https://probpalata.gov.ru/files/ЮЛ770100193500593.jpeg","Скачать индивидуальный QR-код магазина")</f>
        <v>Скачать индивидуальный QR-код магазина</v>
      </c>
    </row>
    <row r="686" spans="1:7" x14ac:dyDescent="0.25">
      <c r="A686" t="s">
        <v>1868</v>
      </c>
      <c r="B686" t="s">
        <v>2259</v>
      </c>
      <c r="C686" t="s">
        <v>748</v>
      </c>
      <c r="D686" t="s">
        <v>749</v>
      </c>
      <c r="E686" t="s">
        <v>750</v>
      </c>
      <c r="F686" t="s">
        <v>2260</v>
      </c>
      <c r="G686" s="2" t="str">
        <f>HYPERLINK("https://probpalata.gov.ru/files/ЮЛ770100193500664.jpeg","Скачать индивидуальный QR-код магазина")</f>
        <v>Скачать индивидуальный QR-код магазина</v>
      </c>
    </row>
    <row r="687" spans="1:7" x14ac:dyDescent="0.25">
      <c r="A687" t="s">
        <v>1868</v>
      </c>
      <c r="B687" t="s">
        <v>2261</v>
      </c>
      <c r="C687" t="s">
        <v>798</v>
      </c>
      <c r="D687" t="s">
        <v>799</v>
      </c>
      <c r="E687" t="s">
        <v>800</v>
      </c>
      <c r="F687" t="s">
        <v>2262</v>
      </c>
      <c r="G687" s="2" t="str">
        <f>HYPERLINK("https://probpalata.gov.ru/files/ЮЛ780300308200226.jpeg","Скачать индивидуальный QR-код магазина")</f>
        <v>Скачать индивидуальный QR-код магазина</v>
      </c>
    </row>
    <row r="688" spans="1:7" x14ac:dyDescent="0.25">
      <c r="A688" t="s">
        <v>1868</v>
      </c>
      <c r="B688" t="s">
        <v>2263</v>
      </c>
      <c r="C688" t="s">
        <v>798</v>
      </c>
      <c r="D688" t="s">
        <v>799</v>
      </c>
      <c r="E688" t="s">
        <v>800</v>
      </c>
      <c r="F688" t="s">
        <v>2264</v>
      </c>
      <c r="G688" s="2" t="str">
        <f>HYPERLINK("https://probpalata.gov.ru/files/ЮЛ780300308200277.jpeg","Скачать индивидуальный QR-код магазина")</f>
        <v>Скачать индивидуальный QR-код магазина</v>
      </c>
    </row>
    <row r="689" spans="1:7" x14ac:dyDescent="0.25">
      <c r="A689" t="s">
        <v>1868</v>
      </c>
      <c r="B689" t="s">
        <v>2265</v>
      </c>
      <c r="C689" t="s">
        <v>798</v>
      </c>
      <c r="D689" t="s">
        <v>799</v>
      </c>
      <c r="E689" t="s">
        <v>800</v>
      </c>
      <c r="F689" t="s">
        <v>2266</v>
      </c>
      <c r="G689" s="2" t="str">
        <f>HYPERLINK("https://probpalata.gov.ru/files/ЮЛ780300308200401.jpeg","Скачать индивидуальный QR-код магазина")</f>
        <v>Скачать индивидуальный QR-код магазина</v>
      </c>
    </row>
    <row r="690" spans="1:7" x14ac:dyDescent="0.25">
      <c r="A690" t="s">
        <v>1868</v>
      </c>
      <c r="B690" t="s">
        <v>2267</v>
      </c>
      <c r="C690" t="s">
        <v>798</v>
      </c>
      <c r="D690" t="s">
        <v>799</v>
      </c>
      <c r="E690" t="s">
        <v>800</v>
      </c>
      <c r="F690" t="s">
        <v>2268</v>
      </c>
      <c r="G690" s="2" t="str">
        <f>HYPERLINK("https://probpalata.gov.ru/files/ЮЛ780300308200425.jpeg","Скачать индивидуальный QR-код магазина")</f>
        <v>Скачать индивидуальный QR-код магазина</v>
      </c>
    </row>
    <row r="691" spans="1:7" x14ac:dyDescent="0.25">
      <c r="A691" t="s">
        <v>1868</v>
      </c>
      <c r="B691" t="s">
        <v>2196</v>
      </c>
      <c r="C691" t="s">
        <v>798</v>
      </c>
      <c r="D691" t="s">
        <v>799</v>
      </c>
      <c r="E691" t="s">
        <v>800</v>
      </c>
      <c r="F691" t="s">
        <v>2269</v>
      </c>
      <c r="G691" s="2" t="str">
        <f>HYPERLINK("https://probpalata.gov.ru/files/ЮЛ780300308200426.jpeg","Скачать индивидуальный QR-код магазина")</f>
        <v>Скачать индивидуальный QR-код магазина</v>
      </c>
    </row>
    <row r="692" spans="1:7" x14ac:dyDescent="0.25">
      <c r="A692" t="s">
        <v>1868</v>
      </c>
      <c r="B692" t="s">
        <v>2270</v>
      </c>
      <c r="C692" t="s">
        <v>798</v>
      </c>
      <c r="D692" t="s">
        <v>799</v>
      </c>
      <c r="E692" t="s">
        <v>800</v>
      </c>
      <c r="F692" t="s">
        <v>2271</v>
      </c>
      <c r="G692" s="2" t="str">
        <f>HYPERLINK("https://probpalata.gov.ru/files/ЮЛ780300308200552.jpeg","Скачать индивидуальный QR-код магазина")</f>
        <v>Скачать индивидуальный QR-код магазина</v>
      </c>
    </row>
    <row r="693" spans="1:7" x14ac:dyDescent="0.25">
      <c r="A693" t="s">
        <v>1868</v>
      </c>
      <c r="B693" t="s">
        <v>2272</v>
      </c>
      <c r="C693" t="s">
        <v>798</v>
      </c>
      <c r="D693" t="s">
        <v>799</v>
      </c>
      <c r="E693" t="s">
        <v>800</v>
      </c>
      <c r="F693" t="s">
        <v>2273</v>
      </c>
      <c r="G693" s="2" t="str">
        <f>HYPERLINK("https://probpalata.gov.ru/files/ЮЛ780300308200553.jpeg","Скачать индивидуальный QR-код магазина")</f>
        <v>Скачать индивидуальный QR-код магазина</v>
      </c>
    </row>
    <row r="694" spans="1:7" x14ac:dyDescent="0.25">
      <c r="A694" t="s">
        <v>1868</v>
      </c>
      <c r="B694" t="s">
        <v>2274</v>
      </c>
      <c r="C694" t="s">
        <v>798</v>
      </c>
      <c r="D694" t="s">
        <v>799</v>
      </c>
      <c r="E694" t="s">
        <v>800</v>
      </c>
      <c r="F694" t="s">
        <v>2275</v>
      </c>
      <c r="G694" s="2" t="str">
        <f>HYPERLINK("https://probpalata.gov.ru/files/ЮЛ780300308200773.jpeg","Скачать индивидуальный QR-код магазина")</f>
        <v>Скачать индивидуальный QR-код магазина</v>
      </c>
    </row>
    <row r="695" spans="1:7" x14ac:dyDescent="0.25">
      <c r="A695" t="s">
        <v>1868</v>
      </c>
      <c r="B695" t="s">
        <v>2276</v>
      </c>
      <c r="C695" t="s">
        <v>798</v>
      </c>
      <c r="D695" t="s">
        <v>799</v>
      </c>
      <c r="E695" t="s">
        <v>800</v>
      </c>
      <c r="F695" t="s">
        <v>2277</v>
      </c>
      <c r="G695" s="2" t="str">
        <f>HYPERLINK("https://probpalata.gov.ru/files/ЮЛ780300308201023.jpeg","Скачать индивидуальный QR-код магазина")</f>
        <v>Скачать индивидуальный QR-код магазина</v>
      </c>
    </row>
    <row r="696" spans="1:7" x14ac:dyDescent="0.25">
      <c r="A696" t="s">
        <v>1868</v>
      </c>
      <c r="B696" t="s">
        <v>2191</v>
      </c>
      <c r="C696" t="s">
        <v>798</v>
      </c>
      <c r="D696" t="s">
        <v>799</v>
      </c>
      <c r="E696" t="s">
        <v>800</v>
      </c>
      <c r="F696" t="s">
        <v>2278</v>
      </c>
      <c r="G696" s="2" t="str">
        <f>HYPERLINK("https://probpalata.gov.ru/files/ЮЛ780300308201122.jpeg","Скачать индивидуальный QR-код магазина")</f>
        <v>Скачать индивидуальный QR-код магазина</v>
      </c>
    </row>
    <row r="697" spans="1:7" x14ac:dyDescent="0.25">
      <c r="A697" t="s">
        <v>1868</v>
      </c>
      <c r="B697" t="s">
        <v>2279</v>
      </c>
      <c r="C697" t="s">
        <v>798</v>
      </c>
      <c r="D697" t="s">
        <v>799</v>
      </c>
      <c r="E697" t="s">
        <v>800</v>
      </c>
      <c r="F697" t="s">
        <v>2280</v>
      </c>
      <c r="G697" s="2" t="str">
        <f>HYPERLINK("https://probpalata.gov.ru/files/ЮЛ780300308201130.jpeg","Скачать индивидуальный QR-код магазина")</f>
        <v>Скачать индивидуальный QR-код магазина</v>
      </c>
    </row>
    <row r="698" spans="1:7" x14ac:dyDescent="0.25">
      <c r="A698" t="s">
        <v>1868</v>
      </c>
      <c r="B698" t="s">
        <v>2281</v>
      </c>
      <c r="C698" t="s">
        <v>1490</v>
      </c>
      <c r="D698" t="s">
        <v>1491</v>
      </c>
      <c r="E698" t="s">
        <v>1492</v>
      </c>
      <c r="F698" t="s">
        <v>2282</v>
      </c>
      <c r="G698" s="2" t="str">
        <f>HYPERLINK("https://probpalata.gov.ru/files/ЮЛ780301261200047.jpeg","Скачать индивидуальный QR-код магазина")</f>
        <v>Скачать индивидуальный QR-код магазина</v>
      </c>
    </row>
    <row r="699" spans="1:7" x14ac:dyDescent="0.25">
      <c r="A699" t="s">
        <v>1868</v>
      </c>
      <c r="B699" t="s">
        <v>2283</v>
      </c>
      <c r="C699" t="s">
        <v>1490</v>
      </c>
      <c r="D699" t="s">
        <v>1491</v>
      </c>
      <c r="E699" t="s">
        <v>1492</v>
      </c>
      <c r="F699" t="s">
        <v>2284</v>
      </c>
      <c r="G699" s="2" t="str">
        <f>HYPERLINK("https://probpalata.gov.ru/files/ЮЛ780301261200056.jpeg","Скачать индивидуальный QR-код магазина")</f>
        <v>Скачать индивидуальный QR-код магазина</v>
      </c>
    </row>
    <row r="700" spans="1:7" x14ac:dyDescent="0.25">
      <c r="A700" t="s">
        <v>1868</v>
      </c>
      <c r="B700" t="s">
        <v>2285</v>
      </c>
      <c r="C700" t="s">
        <v>2286</v>
      </c>
      <c r="D700" t="s">
        <v>2287</v>
      </c>
      <c r="E700" t="s">
        <v>2288</v>
      </c>
      <c r="F700" t="s">
        <v>2289</v>
      </c>
      <c r="G700" s="2" t="str">
        <f>HYPERLINK("https://probpalata.gov.ru/files/ЮЛ770104038200001.jpeg","Скачать индивидуальный QR-код магазина")</f>
        <v>Скачать индивидуальный QR-код магазина</v>
      </c>
    </row>
    <row r="701" spans="1:7" x14ac:dyDescent="0.25">
      <c r="A701" t="s">
        <v>1868</v>
      </c>
      <c r="B701" t="s">
        <v>2290</v>
      </c>
      <c r="C701" t="s">
        <v>2286</v>
      </c>
      <c r="D701" t="s">
        <v>2287</v>
      </c>
      <c r="E701" t="s">
        <v>2288</v>
      </c>
      <c r="F701" t="s">
        <v>2291</v>
      </c>
      <c r="G701" s="2" t="str">
        <f>HYPERLINK("https://probpalata.gov.ru/files/ЮЛ770104038200002.jpeg","Скачать индивидуальный QR-код магазина")</f>
        <v>Скачать индивидуальный QR-код магазина</v>
      </c>
    </row>
    <row r="702" spans="1:7" x14ac:dyDescent="0.25">
      <c r="A702" t="s">
        <v>1868</v>
      </c>
      <c r="B702" t="s">
        <v>2292</v>
      </c>
      <c r="C702" t="s">
        <v>2286</v>
      </c>
      <c r="D702" t="s">
        <v>2287</v>
      </c>
      <c r="E702" t="s">
        <v>2288</v>
      </c>
      <c r="F702" t="s">
        <v>2293</v>
      </c>
      <c r="G702" s="2" t="str">
        <f>HYPERLINK("https://probpalata.gov.ru/files/ЮЛ770104038200003.jpeg","Скачать индивидуальный QR-код магазина")</f>
        <v>Скачать индивидуальный QR-код магазина</v>
      </c>
    </row>
    <row r="703" spans="1:7" x14ac:dyDescent="0.25">
      <c r="A703" t="s">
        <v>1868</v>
      </c>
      <c r="B703" t="s">
        <v>2294</v>
      </c>
      <c r="C703" t="s">
        <v>2286</v>
      </c>
      <c r="D703" t="s">
        <v>2287</v>
      </c>
      <c r="E703" t="s">
        <v>2288</v>
      </c>
      <c r="F703" t="s">
        <v>2295</v>
      </c>
      <c r="G703" s="2" t="str">
        <f>HYPERLINK("https://probpalata.gov.ru/files/ЮЛ770104038200007.jpeg","Скачать индивидуальный QR-код магазина")</f>
        <v>Скачать индивидуальный QR-код магазина</v>
      </c>
    </row>
    <row r="704" spans="1:7" x14ac:dyDescent="0.25">
      <c r="A704" t="s">
        <v>1868</v>
      </c>
      <c r="B704" t="s">
        <v>2296</v>
      </c>
      <c r="C704" t="s">
        <v>2286</v>
      </c>
      <c r="D704" t="s">
        <v>2287</v>
      </c>
      <c r="E704" t="s">
        <v>2288</v>
      </c>
      <c r="F704" t="s">
        <v>2297</v>
      </c>
      <c r="G704" s="2" t="str">
        <f>HYPERLINK("https://probpalata.gov.ru/files/ЮЛ770104038200008.jpeg","Скачать индивидуальный QR-код магазина")</f>
        <v>Скачать индивидуальный QR-код магазина</v>
      </c>
    </row>
    <row r="705" spans="1:7" x14ac:dyDescent="0.25">
      <c r="A705" t="s">
        <v>1868</v>
      </c>
      <c r="B705" t="s">
        <v>2298</v>
      </c>
      <c r="C705" t="s">
        <v>2286</v>
      </c>
      <c r="D705" t="s">
        <v>2287</v>
      </c>
      <c r="E705" t="s">
        <v>2288</v>
      </c>
      <c r="F705" t="s">
        <v>2299</v>
      </c>
      <c r="G705" s="2" t="str">
        <f>HYPERLINK("https://probpalata.gov.ru/files/ЮЛ770104038200011.jpeg","Скачать индивидуальный QR-код магазина")</f>
        <v>Скачать индивидуальный QR-код магазина</v>
      </c>
    </row>
    <row r="706" spans="1:7" x14ac:dyDescent="0.25">
      <c r="A706" t="s">
        <v>1868</v>
      </c>
      <c r="B706" t="s">
        <v>2300</v>
      </c>
      <c r="C706" t="s">
        <v>2286</v>
      </c>
      <c r="D706" t="s">
        <v>2287</v>
      </c>
      <c r="E706" t="s">
        <v>2288</v>
      </c>
      <c r="F706" t="s">
        <v>2301</v>
      </c>
      <c r="G706" s="2" t="str">
        <f>HYPERLINK("https://probpalata.gov.ru/files/ЮЛ770104038200032.jpeg","Скачать индивидуальный QR-код магазина")</f>
        <v>Скачать индивидуальный QR-код магазина</v>
      </c>
    </row>
    <row r="707" spans="1:7" x14ac:dyDescent="0.25">
      <c r="A707" t="s">
        <v>1868</v>
      </c>
      <c r="B707" t="s">
        <v>2302</v>
      </c>
      <c r="C707" t="s">
        <v>2286</v>
      </c>
      <c r="D707" t="s">
        <v>2287</v>
      </c>
      <c r="E707" t="s">
        <v>2288</v>
      </c>
      <c r="F707" t="s">
        <v>2303</v>
      </c>
      <c r="G707" s="2" t="str">
        <f>HYPERLINK("https://probpalata.gov.ru/files/ЮЛ770104038200039.jpeg","Скачать индивидуальный QR-код магазина")</f>
        <v>Скачать индивидуальный QR-код магазина</v>
      </c>
    </row>
    <row r="708" spans="1:7" x14ac:dyDescent="0.25">
      <c r="A708" t="s">
        <v>1868</v>
      </c>
      <c r="B708" t="s">
        <v>2304</v>
      </c>
      <c r="C708" t="s">
        <v>1501</v>
      </c>
      <c r="D708" t="s">
        <v>1502</v>
      </c>
      <c r="E708" t="s">
        <v>1503</v>
      </c>
      <c r="F708" t="s">
        <v>2305</v>
      </c>
      <c r="G708" s="2" t="str">
        <f>HYPERLINK("https://probpalata.gov.ru/files/ЮЛ770100439200230.jpeg","Скачать индивидуальный QR-код магазина")</f>
        <v>Скачать индивидуальный QR-код магазина</v>
      </c>
    </row>
    <row r="709" spans="1:7" x14ac:dyDescent="0.25">
      <c r="A709" t="s">
        <v>1868</v>
      </c>
      <c r="B709" t="s">
        <v>2306</v>
      </c>
      <c r="C709" t="s">
        <v>1501</v>
      </c>
      <c r="D709" t="s">
        <v>1502</v>
      </c>
      <c r="E709" t="s">
        <v>1503</v>
      </c>
      <c r="F709" t="s">
        <v>2307</v>
      </c>
      <c r="G709" s="2" t="str">
        <f>HYPERLINK("https://probpalata.gov.ru/files/ЮЛ770100439200279.jpeg","Скачать индивидуальный QR-код магазина")</f>
        <v>Скачать индивидуальный QR-код магазина</v>
      </c>
    </row>
    <row r="710" spans="1:7" x14ac:dyDescent="0.25">
      <c r="A710" t="s">
        <v>2308</v>
      </c>
      <c r="B710" t="s">
        <v>2309</v>
      </c>
      <c r="C710" t="s">
        <v>2310</v>
      </c>
      <c r="D710" t="s">
        <v>2311</v>
      </c>
      <c r="E710" t="s">
        <v>2312</v>
      </c>
      <c r="F710" t="s">
        <v>2313</v>
      </c>
      <c r="G710" s="2" t="str">
        <f>HYPERLINK("https://probpalata.gov.ru/files/ИП320101967700000.jpeg","Скачать индивидуальный QR-код магазина")</f>
        <v>Скачать индивидуальный QR-код магазина</v>
      </c>
    </row>
    <row r="711" spans="1:7" x14ac:dyDescent="0.25">
      <c r="A711" t="s">
        <v>2308</v>
      </c>
      <c r="B711" t="s">
        <v>2314</v>
      </c>
      <c r="C711" t="s">
        <v>2315</v>
      </c>
      <c r="D711" t="s">
        <v>2316</v>
      </c>
      <c r="E711" t="s">
        <v>2317</v>
      </c>
      <c r="F711" t="s">
        <v>2318</v>
      </c>
      <c r="G711" s="2" t="str">
        <f>HYPERLINK("https://probpalata.gov.ru/files/ИП770100323800000.jpeg","Скачать индивидуальный QR-код магазина")</f>
        <v>Скачать индивидуальный QR-код магазина</v>
      </c>
    </row>
    <row r="712" spans="1:7" x14ac:dyDescent="0.25">
      <c r="A712" t="s">
        <v>2308</v>
      </c>
      <c r="B712" t="s">
        <v>2319</v>
      </c>
      <c r="C712" t="s">
        <v>2315</v>
      </c>
      <c r="D712" t="s">
        <v>2316</v>
      </c>
      <c r="E712" t="s">
        <v>2317</v>
      </c>
      <c r="F712" t="s">
        <v>2320</v>
      </c>
      <c r="G712" s="2" t="str">
        <f>HYPERLINK("https://probpalata.gov.ru/files/ИП770100323800001.jpeg","Скачать индивидуальный QR-код магазина")</f>
        <v>Скачать индивидуальный QR-код магазина</v>
      </c>
    </row>
    <row r="713" spans="1:7" x14ac:dyDescent="0.25">
      <c r="A713" t="s">
        <v>2308</v>
      </c>
      <c r="B713" t="s">
        <v>2321</v>
      </c>
      <c r="C713" t="s">
        <v>2315</v>
      </c>
      <c r="D713" t="s">
        <v>2316</v>
      </c>
      <c r="E713" t="s">
        <v>2317</v>
      </c>
      <c r="F713" t="s">
        <v>2322</v>
      </c>
      <c r="G713" s="2" t="str">
        <f>HYPERLINK("https://probpalata.gov.ru/files/ИП770100323800002.jpeg","Скачать индивидуальный QR-код магазина")</f>
        <v>Скачать индивидуальный QR-код магазина</v>
      </c>
    </row>
    <row r="714" spans="1:7" x14ac:dyDescent="0.25">
      <c r="A714" t="s">
        <v>2308</v>
      </c>
      <c r="B714" t="s">
        <v>2323</v>
      </c>
      <c r="C714" t="s">
        <v>2315</v>
      </c>
      <c r="D714" t="s">
        <v>2316</v>
      </c>
      <c r="E714" t="s">
        <v>2317</v>
      </c>
      <c r="F714" t="s">
        <v>2324</v>
      </c>
      <c r="G714" s="2" t="str">
        <f>HYPERLINK("https://probpalata.gov.ru/files/ИП770100323800003.jpeg","Скачать индивидуальный QR-код магазина")</f>
        <v>Скачать индивидуальный QR-код магазина</v>
      </c>
    </row>
    <row r="715" spans="1:7" x14ac:dyDescent="0.25">
      <c r="A715" t="s">
        <v>2308</v>
      </c>
      <c r="B715" t="s">
        <v>2325</v>
      </c>
      <c r="C715" t="s">
        <v>2326</v>
      </c>
      <c r="D715" t="s">
        <v>2327</v>
      </c>
      <c r="E715" t="s">
        <v>2328</v>
      </c>
      <c r="F715" t="s">
        <v>2329</v>
      </c>
      <c r="G715" s="2" t="str">
        <f>HYPERLINK("https://probpalata.gov.ru/files/ИП320101055200000.jpeg","Скачать индивидуальный QR-код магазина")</f>
        <v>Скачать индивидуальный QR-код магазина</v>
      </c>
    </row>
    <row r="716" spans="1:7" x14ac:dyDescent="0.25">
      <c r="A716" t="s">
        <v>2308</v>
      </c>
      <c r="B716" t="s">
        <v>2330</v>
      </c>
      <c r="C716" t="s">
        <v>2331</v>
      </c>
      <c r="D716" t="s">
        <v>2332</v>
      </c>
      <c r="E716" t="s">
        <v>2333</v>
      </c>
      <c r="F716" t="s">
        <v>2334</v>
      </c>
      <c r="G716" s="2" t="str">
        <f>HYPERLINK("https://probpalata.gov.ru/files/ИП320100194800000.jpeg","Скачать индивидуальный QR-код магазина")</f>
        <v>Скачать индивидуальный QR-код магазина</v>
      </c>
    </row>
    <row r="717" spans="1:7" x14ac:dyDescent="0.25">
      <c r="A717" t="s">
        <v>2308</v>
      </c>
      <c r="B717" t="s">
        <v>2335</v>
      </c>
      <c r="C717" t="s">
        <v>2331</v>
      </c>
      <c r="D717" t="s">
        <v>2332</v>
      </c>
      <c r="E717" t="s">
        <v>2333</v>
      </c>
      <c r="F717" t="s">
        <v>2336</v>
      </c>
      <c r="G717" s="2" t="str">
        <f>HYPERLINK("https://probpalata.gov.ru/files/ИП320100194800001.jpeg","Скачать индивидуальный QR-код магазина")</f>
        <v>Скачать индивидуальный QR-код магазина</v>
      </c>
    </row>
    <row r="718" spans="1:7" x14ac:dyDescent="0.25">
      <c r="A718" t="s">
        <v>2308</v>
      </c>
      <c r="B718" t="s">
        <v>2337</v>
      </c>
      <c r="C718" t="s">
        <v>2338</v>
      </c>
      <c r="D718" t="s">
        <v>2339</v>
      </c>
      <c r="E718" t="s">
        <v>2340</v>
      </c>
      <c r="F718" t="s">
        <v>2341</v>
      </c>
      <c r="G718" s="2" t="str">
        <f>HYPERLINK("https://probpalata.gov.ru/files/ИП320101238100000.jpeg","Скачать индивидуальный QR-код магазина")</f>
        <v>Скачать индивидуальный QR-код магазина</v>
      </c>
    </row>
    <row r="719" spans="1:7" x14ac:dyDescent="0.25">
      <c r="A719" t="s">
        <v>2308</v>
      </c>
      <c r="B719" t="s">
        <v>2342</v>
      </c>
      <c r="C719" t="s">
        <v>2343</v>
      </c>
      <c r="D719" t="s">
        <v>2344</v>
      </c>
      <c r="E719" t="s">
        <v>2345</v>
      </c>
      <c r="F719" t="s">
        <v>2346</v>
      </c>
      <c r="G719" s="2" t="str">
        <f>HYPERLINK("https://probpalata.gov.ru/files/ИП320100207700000.jpeg","Скачать индивидуальный QR-код магазина")</f>
        <v>Скачать индивидуальный QR-код магазина</v>
      </c>
    </row>
    <row r="720" spans="1:7" x14ac:dyDescent="0.25">
      <c r="A720" t="s">
        <v>2308</v>
      </c>
      <c r="B720" t="s">
        <v>2347</v>
      </c>
      <c r="C720" t="s">
        <v>2343</v>
      </c>
      <c r="D720" t="s">
        <v>2344</v>
      </c>
      <c r="E720" t="s">
        <v>2345</v>
      </c>
      <c r="F720" t="s">
        <v>2348</v>
      </c>
      <c r="G720" s="2" t="str">
        <f>HYPERLINK("https://probpalata.gov.ru/files/ИП320100207700001.jpeg","Скачать индивидуальный QR-код магазина")</f>
        <v>Скачать индивидуальный QR-код магазина</v>
      </c>
    </row>
    <row r="721" spans="1:7" x14ac:dyDescent="0.25">
      <c r="A721" t="s">
        <v>2308</v>
      </c>
      <c r="B721" t="s">
        <v>2349</v>
      </c>
      <c r="C721" t="s">
        <v>2350</v>
      </c>
      <c r="D721" t="s">
        <v>2351</v>
      </c>
      <c r="E721" t="s">
        <v>2352</v>
      </c>
      <c r="F721" t="s">
        <v>2353</v>
      </c>
      <c r="G721" s="2" t="str">
        <f>HYPERLINK("https://probpalata.gov.ru/files/ИП320100890300000.jpeg","Скачать индивидуальный QR-код магазина")</f>
        <v>Скачать индивидуальный QR-код магазина</v>
      </c>
    </row>
    <row r="722" spans="1:7" x14ac:dyDescent="0.25">
      <c r="A722" t="s">
        <v>2308</v>
      </c>
      <c r="B722" t="s">
        <v>2354</v>
      </c>
      <c r="C722" t="s">
        <v>2350</v>
      </c>
      <c r="D722" t="s">
        <v>2351</v>
      </c>
      <c r="E722" t="s">
        <v>2352</v>
      </c>
      <c r="F722" t="s">
        <v>2355</v>
      </c>
      <c r="G722" s="2" t="str">
        <f>HYPERLINK("https://probpalata.gov.ru/files/ИП320100890300001.jpeg","Скачать индивидуальный QR-код магазина")</f>
        <v>Скачать индивидуальный QR-код магазина</v>
      </c>
    </row>
    <row r="723" spans="1:7" x14ac:dyDescent="0.25">
      <c r="A723" t="s">
        <v>2308</v>
      </c>
      <c r="B723" t="s">
        <v>2356</v>
      </c>
      <c r="C723" t="s">
        <v>2350</v>
      </c>
      <c r="D723" t="s">
        <v>2351</v>
      </c>
      <c r="E723" t="s">
        <v>2352</v>
      </c>
      <c r="F723" t="s">
        <v>2357</v>
      </c>
      <c r="G723" s="2" t="str">
        <f>HYPERLINK("https://probpalata.gov.ru/files/ИП320100890300002.jpeg","Скачать индивидуальный QR-код магазина")</f>
        <v>Скачать индивидуальный QR-код магазина</v>
      </c>
    </row>
    <row r="724" spans="1:7" x14ac:dyDescent="0.25">
      <c r="A724" t="s">
        <v>2308</v>
      </c>
      <c r="B724" t="s">
        <v>2358</v>
      </c>
      <c r="C724" t="s">
        <v>2359</v>
      </c>
      <c r="D724" t="s">
        <v>2360</v>
      </c>
      <c r="E724" t="s">
        <v>2361</v>
      </c>
      <c r="F724" t="s">
        <v>2362</v>
      </c>
      <c r="G724" s="2" t="str">
        <f>HYPERLINK("https://probpalata.gov.ru/files/ИП320100850800000.jpeg","Скачать индивидуальный QR-код магазина")</f>
        <v>Скачать индивидуальный QR-код магазина</v>
      </c>
    </row>
    <row r="725" spans="1:7" x14ac:dyDescent="0.25">
      <c r="A725" t="s">
        <v>2308</v>
      </c>
      <c r="B725" t="s">
        <v>2363</v>
      </c>
      <c r="C725" t="s">
        <v>2359</v>
      </c>
      <c r="D725" t="s">
        <v>2360</v>
      </c>
      <c r="E725" t="s">
        <v>2361</v>
      </c>
      <c r="F725" t="s">
        <v>2364</v>
      </c>
      <c r="G725" s="2" t="str">
        <f>HYPERLINK("https://probpalata.gov.ru/files/ИП320100850800002.jpeg","Скачать индивидуальный QR-код магазина")</f>
        <v>Скачать индивидуальный QR-код магазина</v>
      </c>
    </row>
    <row r="726" spans="1:7" x14ac:dyDescent="0.25">
      <c r="A726" t="s">
        <v>2308</v>
      </c>
      <c r="B726" t="s">
        <v>2365</v>
      </c>
      <c r="C726" t="s">
        <v>2366</v>
      </c>
      <c r="D726" t="s">
        <v>2367</v>
      </c>
      <c r="E726" t="s">
        <v>2368</v>
      </c>
      <c r="F726" t="s">
        <v>2369</v>
      </c>
      <c r="G726" s="2" t="str">
        <f>HYPERLINK("https://probpalata.gov.ru/files/ИП320102026700000.jpeg","Скачать индивидуальный QR-код магазина")</f>
        <v>Скачать индивидуальный QR-код магазина</v>
      </c>
    </row>
    <row r="727" spans="1:7" x14ac:dyDescent="0.25">
      <c r="A727" t="s">
        <v>2308</v>
      </c>
      <c r="B727" t="s">
        <v>2363</v>
      </c>
      <c r="C727" t="s">
        <v>2370</v>
      </c>
      <c r="D727" t="s">
        <v>2371</v>
      </c>
      <c r="E727" t="s">
        <v>2372</v>
      </c>
      <c r="F727" t="s">
        <v>2373</v>
      </c>
      <c r="G727" s="2" t="str">
        <f>HYPERLINK("https://probpalata.gov.ru/files/ИП320100256500000.jpeg","Скачать индивидуальный QR-код магазина")</f>
        <v>Скачать индивидуальный QR-код магазина</v>
      </c>
    </row>
    <row r="728" spans="1:7" x14ac:dyDescent="0.25">
      <c r="A728" t="s">
        <v>2308</v>
      </c>
      <c r="B728" t="s">
        <v>2374</v>
      </c>
      <c r="C728" t="s">
        <v>2370</v>
      </c>
      <c r="D728" t="s">
        <v>2371</v>
      </c>
      <c r="E728" t="s">
        <v>2372</v>
      </c>
      <c r="F728" t="s">
        <v>2375</v>
      </c>
      <c r="G728" s="2" t="str">
        <f>HYPERLINK("https://probpalata.gov.ru/files/ИП320100256500001.jpeg","Скачать индивидуальный QR-код магазина")</f>
        <v>Скачать индивидуальный QR-код магазина</v>
      </c>
    </row>
    <row r="729" spans="1:7" x14ac:dyDescent="0.25">
      <c r="A729" t="s">
        <v>2308</v>
      </c>
      <c r="B729" t="s">
        <v>2376</v>
      </c>
      <c r="C729" t="s">
        <v>2370</v>
      </c>
      <c r="D729" t="s">
        <v>2371</v>
      </c>
      <c r="E729" t="s">
        <v>2372</v>
      </c>
      <c r="F729" t="s">
        <v>2377</v>
      </c>
      <c r="G729" s="2" t="str">
        <f>HYPERLINK("https://probpalata.gov.ru/files/ИП320100256500004.jpeg","Скачать индивидуальный QR-код магазина")</f>
        <v>Скачать индивидуальный QR-код магазина</v>
      </c>
    </row>
    <row r="730" spans="1:7" x14ac:dyDescent="0.25">
      <c r="A730" t="s">
        <v>2308</v>
      </c>
      <c r="B730" t="s">
        <v>2378</v>
      </c>
      <c r="C730" t="s">
        <v>2379</v>
      </c>
      <c r="D730" t="s">
        <v>2380</v>
      </c>
      <c r="E730" t="s">
        <v>2381</v>
      </c>
      <c r="F730" t="s">
        <v>2382</v>
      </c>
      <c r="G730" s="2" t="str">
        <f>HYPERLINK("https://probpalata.gov.ru/files/ИП320103103800000.jpeg","Скачать индивидуальный QR-код магазина")</f>
        <v>Скачать индивидуальный QR-код магазина</v>
      </c>
    </row>
    <row r="731" spans="1:7" x14ac:dyDescent="0.25">
      <c r="A731" t="s">
        <v>2308</v>
      </c>
      <c r="B731" t="s">
        <v>2383</v>
      </c>
      <c r="C731" t="s">
        <v>2384</v>
      </c>
      <c r="D731" t="s">
        <v>2385</v>
      </c>
      <c r="E731" t="s">
        <v>2386</v>
      </c>
      <c r="F731" t="s">
        <v>2387</v>
      </c>
      <c r="G731" s="2" t="str">
        <f>HYPERLINK("https://probpalata.gov.ru/files/ИП320101063500000.jpeg","Скачать индивидуальный QR-код магазина")</f>
        <v>Скачать индивидуальный QR-код магазина</v>
      </c>
    </row>
    <row r="732" spans="1:7" x14ac:dyDescent="0.25">
      <c r="A732" t="s">
        <v>2308</v>
      </c>
      <c r="B732" t="s">
        <v>2388</v>
      </c>
      <c r="C732" t="s">
        <v>2384</v>
      </c>
      <c r="D732" t="s">
        <v>2385</v>
      </c>
      <c r="E732" t="s">
        <v>2386</v>
      </c>
      <c r="F732" t="s">
        <v>2389</v>
      </c>
      <c r="G732" s="2" t="str">
        <f>HYPERLINK("https://probpalata.gov.ru/files/ИП320101063500002.jpeg","Скачать индивидуальный QR-код магазина")</f>
        <v>Скачать индивидуальный QR-код магазина</v>
      </c>
    </row>
    <row r="733" spans="1:7" x14ac:dyDescent="0.25">
      <c r="A733" t="s">
        <v>2308</v>
      </c>
      <c r="B733" t="s">
        <v>2390</v>
      </c>
      <c r="C733" t="s">
        <v>2384</v>
      </c>
      <c r="D733" t="s">
        <v>2385</v>
      </c>
      <c r="E733" t="s">
        <v>2386</v>
      </c>
      <c r="F733" t="s">
        <v>2391</v>
      </c>
      <c r="G733" s="2" t="str">
        <f>HYPERLINK("https://probpalata.gov.ru/files/ИП320101063500003.jpeg","Скачать индивидуальный QR-код магазина")</f>
        <v>Скачать индивидуальный QR-код магазина</v>
      </c>
    </row>
    <row r="734" spans="1:7" x14ac:dyDescent="0.25">
      <c r="A734" t="s">
        <v>2308</v>
      </c>
      <c r="B734" t="s">
        <v>2392</v>
      </c>
      <c r="C734" t="s">
        <v>2384</v>
      </c>
      <c r="D734" t="s">
        <v>2385</v>
      </c>
      <c r="E734" t="s">
        <v>2386</v>
      </c>
      <c r="F734" t="s">
        <v>2393</v>
      </c>
      <c r="G734" s="2" t="str">
        <f>HYPERLINK("https://probpalata.gov.ru/files/ИП320101063500006.jpeg","Скачать индивидуальный QR-код магазина")</f>
        <v>Скачать индивидуальный QR-код магазина</v>
      </c>
    </row>
    <row r="735" spans="1:7" x14ac:dyDescent="0.25">
      <c r="A735" t="s">
        <v>2308</v>
      </c>
      <c r="B735" t="s">
        <v>2394</v>
      </c>
      <c r="C735" t="s">
        <v>2384</v>
      </c>
      <c r="D735" t="s">
        <v>2385</v>
      </c>
      <c r="E735" t="s">
        <v>2386</v>
      </c>
      <c r="F735" t="s">
        <v>2395</v>
      </c>
      <c r="G735" s="2" t="str">
        <f>HYPERLINK("https://probpalata.gov.ru/files/ИП320101063500008.jpeg","Скачать индивидуальный QR-код магазина")</f>
        <v>Скачать индивидуальный QR-код магазина</v>
      </c>
    </row>
    <row r="736" spans="1:7" x14ac:dyDescent="0.25">
      <c r="A736" t="s">
        <v>2308</v>
      </c>
      <c r="B736" t="s">
        <v>2396</v>
      </c>
      <c r="C736" t="s">
        <v>2384</v>
      </c>
      <c r="D736" t="s">
        <v>2385</v>
      </c>
      <c r="E736" t="s">
        <v>2386</v>
      </c>
      <c r="F736" t="s">
        <v>2397</v>
      </c>
      <c r="G736" s="2" t="str">
        <f>HYPERLINK("https://probpalata.gov.ru/files/ИП320101063500009.jpeg","Скачать индивидуальный QR-код магазина")</f>
        <v>Скачать индивидуальный QR-код магазина</v>
      </c>
    </row>
    <row r="737" spans="1:7" x14ac:dyDescent="0.25">
      <c r="A737" t="s">
        <v>2308</v>
      </c>
      <c r="B737" t="s">
        <v>2398</v>
      </c>
      <c r="C737" t="s">
        <v>2399</v>
      </c>
      <c r="D737" t="s">
        <v>2400</v>
      </c>
      <c r="E737" t="s">
        <v>2401</v>
      </c>
      <c r="F737" t="s">
        <v>2402</v>
      </c>
      <c r="G737" s="2" t="str">
        <f>HYPERLINK("https://probpalata.gov.ru/files/ИП320100475400001.jpeg","Скачать индивидуальный QR-код магазина")</f>
        <v>Скачать индивидуальный QR-код магазина</v>
      </c>
    </row>
    <row r="738" spans="1:7" x14ac:dyDescent="0.25">
      <c r="A738" t="s">
        <v>2308</v>
      </c>
      <c r="B738" t="s">
        <v>2403</v>
      </c>
      <c r="C738" t="s">
        <v>2399</v>
      </c>
      <c r="D738" t="s">
        <v>2400</v>
      </c>
      <c r="E738" t="s">
        <v>2401</v>
      </c>
      <c r="F738" t="s">
        <v>2404</v>
      </c>
      <c r="G738" s="2" t="str">
        <f>HYPERLINK("https://probpalata.gov.ru/files/ИП320100475400002.jpeg","Скачать индивидуальный QR-код магазина")</f>
        <v>Скачать индивидуальный QR-код магазина</v>
      </c>
    </row>
    <row r="739" spans="1:7" x14ac:dyDescent="0.25">
      <c r="A739" t="s">
        <v>2308</v>
      </c>
      <c r="B739" t="s">
        <v>2405</v>
      </c>
      <c r="C739" t="s">
        <v>2406</v>
      </c>
      <c r="D739" t="s">
        <v>2407</v>
      </c>
      <c r="E739" t="s">
        <v>2408</v>
      </c>
      <c r="F739" t="s">
        <v>2409</v>
      </c>
      <c r="G739" s="2" t="str">
        <f>HYPERLINK("https://probpalata.gov.ru/files/ИП320100449300000.jpeg","Скачать индивидуальный QR-код магазина")</f>
        <v>Скачать индивидуальный QR-код магазина</v>
      </c>
    </row>
    <row r="740" spans="1:7" x14ac:dyDescent="0.25">
      <c r="A740" t="s">
        <v>2308</v>
      </c>
      <c r="B740" t="s">
        <v>2410</v>
      </c>
      <c r="C740" t="s">
        <v>2411</v>
      </c>
      <c r="D740" t="s">
        <v>2412</v>
      </c>
      <c r="E740" t="s">
        <v>2413</v>
      </c>
      <c r="F740" t="s">
        <v>2414</v>
      </c>
      <c r="G740" s="2" t="str">
        <f>HYPERLINK("https://probpalata.gov.ru/files/ИП320100475700000.jpeg","Скачать индивидуальный QR-код магазина")</f>
        <v>Скачать индивидуальный QR-код магазина</v>
      </c>
    </row>
    <row r="741" spans="1:7" x14ac:dyDescent="0.25">
      <c r="A741" t="s">
        <v>2308</v>
      </c>
      <c r="B741" t="s">
        <v>2415</v>
      </c>
      <c r="C741" t="s">
        <v>2411</v>
      </c>
      <c r="D741" t="s">
        <v>2412</v>
      </c>
      <c r="E741" t="s">
        <v>2413</v>
      </c>
      <c r="F741" t="s">
        <v>2416</v>
      </c>
      <c r="G741" s="2" t="str">
        <f>HYPERLINK("https://probpalata.gov.ru/files/ИП320100475700001.jpeg","Скачать индивидуальный QR-код магазина")</f>
        <v>Скачать индивидуальный QR-код магазина</v>
      </c>
    </row>
    <row r="742" spans="1:7" x14ac:dyDescent="0.25">
      <c r="A742" t="s">
        <v>2308</v>
      </c>
      <c r="B742" t="s">
        <v>2417</v>
      </c>
      <c r="C742" t="s">
        <v>2411</v>
      </c>
      <c r="D742" t="s">
        <v>2412</v>
      </c>
      <c r="E742" t="s">
        <v>2413</v>
      </c>
      <c r="F742" t="s">
        <v>2418</v>
      </c>
      <c r="G742" s="2" t="str">
        <f>HYPERLINK("https://probpalata.gov.ru/files/ИП320100475700002.jpeg","Скачать индивидуальный QR-код магазина")</f>
        <v>Скачать индивидуальный QR-код магазина</v>
      </c>
    </row>
    <row r="743" spans="1:7" x14ac:dyDescent="0.25">
      <c r="A743" t="s">
        <v>2308</v>
      </c>
      <c r="B743" t="s">
        <v>2419</v>
      </c>
      <c r="C743" t="s">
        <v>2411</v>
      </c>
      <c r="D743" t="s">
        <v>2412</v>
      </c>
      <c r="E743" t="s">
        <v>2413</v>
      </c>
      <c r="F743" t="s">
        <v>2420</v>
      </c>
      <c r="G743" s="2" t="str">
        <f>HYPERLINK("https://probpalata.gov.ru/files/ИП320100475700003.jpeg","Скачать индивидуальный QR-код магазина")</f>
        <v>Скачать индивидуальный QR-код магазина</v>
      </c>
    </row>
    <row r="744" spans="1:7" x14ac:dyDescent="0.25">
      <c r="A744" t="s">
        <v>2308</v>
      </c>
      <c r="B744" t="s">
        <v>2421</v>
      </c>
      <c r="C744" t="s">
        <v>2411</v>
      </c>
      <c r="D744" t="s">
        <v>2412</v>
      </c>
      <c r="E744" t="s">
        <v>2413</v>
      </c>
      <c r="F744" t="s">
        <v>2422</v>
      </c>
      <c r="G744" s="2" t="str">
        <f>HYPERLINK("https://probpalata.gov.ru/files/ИП320100475700004.jpeg","Скачать индивидуальный QR-код магазина")</f>
        <v>Скачать индивидуальный QR-код магазина</v>
      </c>
    </row>
    <row r="745" spans="1:7" x14ac:dyDescent="0.25">
      <c r="A745" t="s">
        <v>2308</v>
      </c>
      <c r="B745" t="s">
        <v>2423</v>
      </c>
      <c r="C745" t="s">
        <v>2424</v>
      </c>
      <c r="D745" t="s">
        <v>2425</v>
      </c>
      <c r="E745" t="s">
        <v>2426</v>
      </c>
      <c r="F745" t="s">
        <v>2427</v>
      </c>
      <c r="G745" s="2" t="str">
        <f>HYPERLINK("https://probpalata.gov.ru/files/ИП320100380700000.jpeg","Скачать индивидуальный QR-код магазина")</f>
        <v>Скачать индивидуальный QR-код магазина</v>
      </c>
    </row>
    <row r="746" spans="1:7" x14ac:dyDescent="0.25">
      <c r="A746" t="s">
        <v>2308</v>
      </c>
      <c r="B746" t="s">
        <v>2428</v>
      </c>
      <c r="C746" t="s">
        <v>2429</v>
      </c>
      <c r="D746" t="s">
        <v>2430</v>
      </c>
      <c r="E746" t="s">
        <v>2431</v>
      </c>
      <c r="F746" t="s">
        <v>2432</v>
      </c>
      <c r="G746" s="2" t="str">
        <f>HYPERLINK("https://probpalata.gov.ru/files/ЮЛ320101360200000.jpeg","Скачать индивидуальный QR-код магазина")</f>
        <v>Скачать индивидуальный QR-код магазина</v>
      </c>
    </row>
    <row r="747" spans="1:7" x14ac:dyDescent="0.25">
      <c r="A747" t="s">
        <v>2308</v>
      </c>
      <c r="B747" t="s">
        <v>2433</v>
      </c>
      <c r="C747" t="s">
        <v>2429</v>
      </c>
      <c r="D747" t="s">
        <v>2430</v>
      </c>
      <c r="E747" t="s">
        <v>2431</v>
      </c>
      <c r="F747" t="s">
        <v>2434</v>
      </c>
      <c r="G747" s="2" t="str">
        <f>HYPERLINK("https://probpalata.gov.ru/files/ЮЛ320101360200001.jpeg","Скачать индивидуальный QR-код магазина")</f>
        <v>Скачать индивидуальный QR-код магазина</v>
      </c>
    </row>
    <row r="748" spans="1:7" x14ac:dyDescent="0.25">
      <c r="A748" t="s">
        <v>2308</v>
      </c>
      <c r="B748" t="s">
        <v>2435</v>
      </c>
      <c r="C748" t="s">
        <v>2436</v>
      </c>
      <c r="D748" t="s">
        <v>2437</v>
      </c>
      <c r="E748" t="s">
        <v>2438</v>
      </c>
      <c r="F748" t="s">
        <v>2439</v>
      </c>
      <c r="G748" s="2" t="str">
        <f>HYPERLINK("https://probpalata.gov.ru/files/ЮЛ320100941600000.jpeg","Скачать индивидуальный QR-код магазина")</f>
        <v>Скачать индивидуальный QR-код магазина</v>
      </c>
    </row>
    <row r="749" spans="1:7" x14ac:dyDescent="0.25">
      <c r="A749" t="s">
        <v>2308</v>
      </c>
      <c r="B749" t="s">
        <v>2440</v>
      </c>
      <c r="C749" t="s">
        <v>2436</v>
      </c>
      <c r="D749" t="s">
        <v>2437</v>
      </c>
      <c r="E749" t="s">
        <v>2438</v>
      </c>
      <c r="F749" t="s">
        <v>2441</v>
      </c>
      <c r="G749" s="2" t="str">
        <f>HYPERLINK("https://probpalata.gov.ru/files/ЮЛ320100941600001.jpeg","Скачать индивидуальный QR-код магазина")</f>
        <v>Скачать индивидуальный QR-код магазина</v>
      </c>
    </row>
    <row r="750" spans="1:7" x14ac:dyDescent="0.25">
      <c r="A750" t="s">
        <v>2308</v>
      </c>
      <c r="B750" t="s">
        <v>2442</v>
      </c>
      <c r="C750" t="s">
        <v>2443</v>
      </c>
      <c r="D750" t="s">
        <v>2444</v>
      </c>
      <c r="E750" t="s">
        <v>2445</v>
      </c>
      <c r="F750" t="s">
        <v>2446</v>
      </c>
      <c r="G750" s="2" t="str">
        <f>HYPERLINK("https://probpalata.gov.ru/files/ИП770100193400004.jpeg","Скачать индивидуальный QR-код магазина")</f>
        <v>Скачать индивидуальный QR-код магазина</v>
      </c>
    </row>
    <row r="751" spans="1:7" x14ac:dyDescent="0.25">
      <c r="A751" t="s">
        <v>2308</v>
      </c>
      <c r="B751" t="s">
        <v>2447</v>
      </c>
      <c r="C751" t="s">
        <v>2448</v>
      </c>
      <c r="D751" t="s">
        <v>2449</v>
      </c>
      <c r="E751" t="s">
        <v>2450</v>
      </c>
      <c r="F751" t="s">
        <v>2451</v>
      </c>
      <c r="G751" s="2" t="str">
        <f>HYPERLINK("https://probpalata.gov.ru/files/ИП320100197600000.jpeg","Скачать индивидуальный QR-код магазина")</f>
        <v>Скачать индивидуальный QR-код магазина</v>
      </c>
    </row>
    <row r="752" spans="1:7" x14ac:dyDescent="0.25">
      <c r="A752" t="s">
        <v>2308</v>
      </c>
      <c r="B752" t="s">
        <v>2452</v>
      </c>
      <c r="C752" t="s">
        <v>2448</v>
      </c>
      <c r="D752" t="s">
        <v>2449</v>
      </c>
      <c r="E752" t="s">
        <v>2450</v>
      </c>
      <c r="F752" t="s">
        <v>2453</v>
      </c>
      <c r="G752" s="2" t="str">
        <f>HYPERLINK("https://probpalata.gov.ru/files/ИП320100197600001.jpeg","Скачать индивидуальный QR-код магазина")</f>
        <v>Скачать индивидуальный QR-код магазина</v>
      </c>
    </row>
    <row r="753" spans="1:7" x14ac:dyDescent="0.25">
      <c r="A753" t="s">
        <v>2308</v>
      </c>
      <c r="B753" t="s">
        <v>2454</v>
      </c>
      <c r="C753" t="s">
        <v>2455</v>
      </c>
      <c r="D753" t="s">
        <v>2456</v>
      </c>
      <c r="E753" t="s">
        <v>2457</v>
      </c>
      <c r="F753" t="s">
        <v>2458</v>
      </c>
      <c r="G753" s="2" t="str">
        <f>HYPERLINK("https://probpalata.gov.ru/files/ИП770100176600000.jpeg","Скачать индивидуальный QR-код магазина")</f>
        <v>Скачать индивидуальный QR-код магазина</v>
      </c>
    </row>
    <row r="754" spans="1:7" x14ac:dyDescent="0.25">
      <c r="A754" t="s">
        <v>2308</v>
      </c>
      <c r="B754" t="s">
        <v>2459</v>
      </c>
      <c r="C754" t="s">
        <v>2455</v>
      </c>
      <c r="D754" t="s">
        <v>2456</v>
      </c>
      <c r="E754" t="s">
        <v>2457</v>
      </c>
      <c r="F754" t="s">
        <v>2460</v>
      </c>
      <c r="G754" s="2" t="str">
        <f>HYPERLINK("https://probpalata.gov.ru/files/ИП770100176600001.jpeg","Скачать индивидуальный QR-код магазина")</f>
        <v>Скачать индивидуальный QR-код магазина</v>
      </c>
    </row>
    <row r="755" spans="1:7" x14ac:dyDescent="0.25">
      <c r="A755" t="s">
        <v>2308</v>
      </c>
      <c r="B755" t="s">
        <v>2461</v>
      </c>
      <c r="C755" t="s">
        <v>2455</v>
      </c>
      <c r="D755" t="s">
        <v>2456</v>
      </c>
      <c r="E755" t="s">
        <v>2457</v>
      </c>
      <c r="F755" t="s">
        <v>2462</v>
      </c>
      <c r="G755" s="2" t="str">
        <f>HYPERLINK("https://probpalata.gov.ru/files/ИП770100176600003.jpeg","Скачать индивидуальный QR-код магазина")</f>
        <v>Скачать индивидуальный QR-код магазина</v>
      </c>
    </row>
    <row r="756" spans="1:7" x14ac:dyDescent="0.25">
      <c r="A756" t="s">
        <v>2308</v>
      </c>
      <c r="B756" t="s">
        <v>2463</v>
      </c>
      <c r="C756" t="s">
        <v>2455</v>
      </c>
      <c r="D756" t="s">
        <v>2456</v>
      </c>
      <c r="E756" t="s">
        <v>2457</v>
      </c>
      <c r="F756" t="s">
        <v>2464</v>
      </c>
      <c r="G756" s="2" t="str">
        <f>HYPERLINK("https://probpalata.gov.ru/files/ИП770100176600004.jpeg","Скачать индивидуальный QR-код магазина")</f>
        <v>Скачать индивидуальный QR-код магазина</v>
      </c>
    </row>
    <row r="757" spans="1:7" x14ac:dyDescent="0.25">
      <c r="A757" t="s">
        <v>2308</v>
      </c>
      <c r="B757" t="s">
        <v>2465</v>
      </c>
      <c r="C757" t="s">
        <v>2455</v>
      </c>
      <c r="D757" t="s">
        <v>2456</v>
      </c>
      <c r="E757" t="s">
        <v>2457</v>
      </c>
      <c r="F757" t="s">
        <v>2466</v>
      </c>
      <c r="G757" s="2" t="str">
        <f>HYPERLINK("https://probpalata.gov.ru/files/ИП770100176600005.jpeg","Скачать индивидуальный QR-код магазина")</f>
        <v>Скачать индивидуальный QR-код магазина</v>
      </c>
    </row>
    <row r="758" spans="1:7" x14ac:dyDescent="0.25">
      <c r="A758" t="s">
        <v>2308</v>
      </c>
      <c r="B758" t="s">
        <v>2467</v>
      </c>
      <c r="C758" t="s">
        <v>2455</v>
      </c>
      <c r="D758" t="s">
        <v>2456</v>
      </c>
      <c r="E758" t="s">
        <v>2457</v>
      </c>
      <c r="F758" t="s">
        <v>2468</v>
      </c>
      <c r="G758" s="2" t="str">
        <f>HYPERLINK("https://probpalata.gov.ru/files/ИП770100176600007.jpeg","Скачать индивидуальный QR-код магазина")</f>
        <v>Скачать индивидуальный QR-код магазина</v>
      </c>
    </row>
    <row r="759" spans="1:7" x14ac:dyDescent="0.25">
      <c r="A759" t="s">
        <v>2308</v>
      </c>
      <c r="B759" t="s">
        <v>2469</v>
      </c>
      <c r="C759" t="s">
        <v>2455</v>
      </c>
      <c r="D759" t="s">
        <v>2456</v>
      </c>
      <c r="E759" t="s">
        <v>2457</v>
      </c>
      <c r="F759" t="s">
        <v>2470</v>
      </c>
      <c r="G759" s="2" t="str">
        <f>HYPERLINK("https://probpalata.gov.ru/files/ИП770100176600009.jpeg","Скачать индивидуальный QR-код магазина")</f>
        <v>Скачать индивидуальный QR-код магазина</v>
      </c>
    </row>
    <row r="760" spans="1:7" x14ac:dyDescent="0.25">
      <c r="A760" t="s">
        <v>2308</v>
      </c>
      <c r="B760" t="s">
        <v>2471</v>
      </c>
      <c r="C760" t="s">
        <v>2455</v>
      </c>
      <c r="D760" t="s">
        <v>2456</v>
      </c>
      <c r="E760" t="s">
        <v>2457</v>
      </c>
      <c r="F760" t="s">
        <v>2472</v>
      </c>
      <c r="G760" s="2" t="str">
        <f>HYPERLINK("https://probpalata.gov.ru/files/ИП770100176600010.jpeg","Скачать индивидуальный QR-код магазина")</f>
        <v>Скачать индивидуальный QR-код магазина</v>
      </c>
    </row>
    <row r="761" spans="1:7" x14ac:dyDescent="0.25">
      <c r="A761" t="s">
        <v>2308</v>
      </c>
      <c r="B761" t="s">
        <v>2473</v>
      </c>
      <c r="C761" t="s">
        <v>2455</v>
      </c>
      <c r="D761" t="s">
        <v>2456</v>
      </c>
      <c r="E761" t="s">
        <v>2457</v>
      </c>
      <c r="F761" t="s">
        <v>2474</v>
      </c>
      <c r="G761" s="2" t="str">
        <f>HYPERLINK("https://probpalata.gov.ru/files/ИП770100176600012.jpeg","Скачать индивидуальный QR-код магазина")</f>
        <v>Скачать индивидуальный QR-код магазина</v>
      </c>
    </row>
    <row r="762" spans="1:7" x14ac:dyDescent="0.25">
      <c r="A762" t="s">
        <v>2308</v>
      </c>
      <c r="B762" t="s">
        <v>2475</v>
      </c>
      <c r="C762" t="s">
        <v>2476</v>
      </c>
      <c r="D762" t="s">
        <v>2477</v>
      </c>
      <c r="E762" t="s">
        <v>2478</v>
      </c>
      <c r="F762" t="s">
        <v>2479</v>
      </c>
      <c r="G762" s="2" t="str">
        <f>HYPERLINK("https://probpalata.gov.ru/files/ЮЛ320101292600000.jpeg","Скачать индивидуальный QR-код магазина")</f>
        <v>Скачать индивидуальный QR-код магазина</v>
      </c>
    </row>
    <row r="763" spans="1:7" x14ac:dyDescent="0.25">
      <c r="A763" t="s">
        <v>2308</v>
      </c>
      <c r="B763" t="s">
        <v>2480</v>
      </c>
      <c r="C763" t="s">
        <v>2481</v>
      </c>
      <c r="D763" t="s">
        <v>2482</v>
      </c>
      <c r="E763" t="s">
        <v>2483</v>
      </c>
      <c r="F763" t="s">
        <v>2484</v>
      </c>
      <c r="G763" s="2" t="str">
        <f>HYPERLINK("https://probpalata.gov.ru/files/ЮЛ320103207400000.jpeg","Скачать индивидуальный QR-код магазина")</f>
        <v>Скачать индивидуальный QR-код магазина</v>
      </c>
    </row>
    <row r="764" spans="1:7" x14ac:dyDescent="0.25">
      <c r="A764" t="s">
        <v>2308</v>
      </c>
      <c r="B764" t="s">
        <v>2485</v>
      </c>
      <c r="C764" t="s">
        <v>2486</v>
      </c>
      <c r="D764" t="s">
        <v>2487</v>
      </c>
      <c r="E764" t="s">
        <v>2488</v>
      </c>
      <c r="F764" t="s">
        <v>2489</v>
      </c>
      <c r="G764" s="2" t="str">
        <f>HYPERLINK("https://probpalata.gov.ru/files/ЮЛ320100307600000.jpeg","Скачать индивидуальный QR-код магазина")</f>
        <v>Скачать индивидуальный QR-код магазина</v>
      </c>
    </row>
    <row r="765" spans="1:7" x14ac:dyDescent="0.25">
      <c r="A765" t="s">
        <v>2308</v>
      </c>
      <c r="B765" t="s">
        <v>2490</v>
      </c>
      <c r="C765" t="s">
        <v>2486</v>
      </c>
      <c r="D765" t="s">
        <v>2487</v>
      </c>
      <c r="E765" t="s">
        <v>2488</v>
      </c>
      <c r="F765" t="s">
        <v>2491</v>
      </c>
      <c r="G765" s="2" t="str">
        <f>HYPERLINK("https://probpalata.gov.ru/files/ЮЛ320100307600003.jpeg","Скачать индивидуальный QR-код магазина")</f>
        <v>Скачать индивидуальный QR-код магазина</v>
      </c>
    </row>
    <row r="766" spans="1:7" x14ac:dyDescent="0.25">
      <c r="A766" t="s">
        <v>2308</v>
      </c>
      <c r="B766" t="s">
        <v>2492</v>
      </c>
      <c r="C766" t="s">
        <v>2493</v>
      </c>
      <c r="D766" t="s">
        <v>2494</v>
      </c>
      <c r="E766" t="s">
        <v>2495</v>
      </c>
      <c r="F766" t="s">
        <v>2496</v>
      </c>
      <c r="G766" s="2" t="str">
        <f>HYPERLINK("https://probpalata.gov.ru/files/ИП770100094000001.jpeg","Скачать индивидуальный QR-код магазина")</f>
        <v>Скачать индивидуальный QR-код магазина</v>
      </c>
    </row>
    <row r="767" spans="1:7" x14ac:dyDescent="0.25">
      <c r="A767" t="s">
        <v>2308</v>
      </c>
      <c r="B767" t="s">
        <v>2497</v>
      </c>
      <c r="C767" t="s">
        <v>2493</v>
      </c>
      <c r="D767" t="s">
        <v>2494</v>
      </c>
      <c r="E767" t="s">
        <v>2495</v>
      </c>
      <c r="F767" t="s">
        <v>2498</v>
      </c>
      <c r="G767" s="2" t="str">
        <f>HYPERLINK("https://probpalata.gov.ru/files/ИП770100094000002.jpeg","Скачать индивидуальный QR-код магазина")</f>
        <v>Скачать индивидуальный QR-код магазина</v>
      </c>
    </row>
    <row r="768" spans="1:7" x14ac:dyDescent="0.25">
      <c r="A768" t="s">
        <v>2308</v>
      </c>
      <c r="B768" t="s">
        <v>2499</v>
      </c>
      <c r="C768" t="s">
        <v>2493</v>
      </c>
      <c r="D768" t="s">
        <v>2494</v>
      </c>
      <c r="E768" t="s">
        <v>2495</v>
      </c>
      <c r="F768" t="s">
        <v>2500</v>
      </c>
      <c r="G768" s="2" t="str">
        <f>HYPERLINK("https://probpalata.gov.ru/files/ИП770100094000003.jpeg","Скачать индивидуальный QR-код магазина")</f>
        <v>Скачать индивидуальный QR-код магазина</v>
      </c>
    </row>
    <row r="769" spans="1:7" x14ac:dyDescent="0.25">
      <c r="A769" t="s">
        <v>2308</v>
      </c>
      <c r="B769" t="s">
        <v>2501</v>
      </c>
      <c r="C769" t="s">
        <v>2493</v>
      </c>
      <c r="D769" t="s">
        <v>2494</v>
      </c>
      <c r="E769" t="s">
        <v>2495</v>
      </c>
      <c r="F769" t="s">
        <v>2502</v>
      </c>
      <c r="G769" s="2" t="str">
        <f>HYPERLINK("https://probpalata.gov.ru/files/ИП770100094000004.jpeg","Скачать индивидуальный QR-код магазина")</f>
        <v>Скачать индивидуальный QR-код магазина</v>
      </c>
    </row>
    <row r="770" spans="1:7" x14ac:dyDescent="0.25">
      <c r="A770" t="s">
        <v>2308</v>
      </c>
      <c r="B770" t="s">
        <v>2503</v>
      </c>
      <c r="C770" t="s">
        <v>2504</v>
      </c>
      <c r="D770" t="s">
        <v>2505</v>
      </c>
      <c r="E770" t="s">
        <v>2506</v>
      </c>
      <c r="F770" t="s">
        <v>2507</v>
      </c>
      <c r="G770" s="2" t="str">
        <f>HYPERLINK("https://probpalata.gov.ru/files/ИП320103754700000.jpeg","Скачать индивидуальный QR-код магазина")</f>
        <v>Скачать индивидуальный QR-код магазина</v>
      </c>
    </row>
    <row r="771" spans="1:7" x14ac:dyDescent="0.25">
      <c r="A771" t="s">
        <v>2308</v>
      </c>
      <c r="B771" t="s">
        <v>2508</v>
      </c>
      <c r="C771" t="s">
        <v>2509</v>
      </c>
      <c r="D771" t="s">
        <v>2510</v>
      </c>
      <c r="E771" t="s">
        <v>2511</v>
      </c>
      <c r="F771" t="s">
        <v>2512</v>
      </c>
      <c r="G771" s="2" t="str">
        <f>HYPERLINK("https://probpalata.gov.ru/files/ИП320101991400000.jpeg","Скачать индивидуальный QR-код магазина")</f>
        <v>Скачать индивидуальный QR-код магазина</v>
      </c>
    </row>
    <row r="772" spans="1:7" x14ac:dyDescent="0.25">
      <c r="A772" t="s">
        <v>2308</v>
      </c>
      <c r="B772" t="s">
        <v>2513</v>
      </c>
      <c r="C772" t="s">
        <v>2509</v>
      </c>
      <c r="D772" t="s">
        <v>2510</v>
      </c>
      <c r="E772" t="s">
        <v>2511</v>
      </c>
      <c r="F772" t="s">
        <v>2514</v>
      </c>
      <c r="G772" s="2" t="str">
        <f>HYPERLINK("https://probpalata.gov.ru/files/ИП320101991400007.jpeg","Скачать индивидуальный QR-код магазина")</f>
        <v>Скачать индивидуальный QR-код магазина</v>
      </c>
    </row>
    <row r="773" spans="1:7" x14ac:dyDescent="0.25">
      <c r="A773" t="s">
        <v>2308</v>
      </c>
      <c r="B773" t="s">
        <v>2515</v>
      </c>
      <c r="C773" t="s">
        <v>2509</v>
      </c>
      <c r="D773" t="s">
        <v>2510</v>
      </c>
      <c r="E773" t="s">
        <v>2511</v>
      </c>
      <c r="F773" t="s">
        <v>2516</v>
      </c>
      <c r="G773" s="2" t="str">
        <f>HYPERLINK("https://probpalata.gov.ru/files/ИП320101991400008.jpeg","Скачать индивидуальный QR-код магазина")</f>
        <v>Скачать индивидуальный QR-код магазина</v>
      </c>
    </row>
    <row r="774" spans="1:7" x14ac:dyDescent="0.25">
      <c r="A774" t="s">
        <v>2308</v>
      </c>
      <c r="B774" t="s">
        <v>2517</v>
      </c>
      <c r="C774" t="s">
        <v>2509</v>
      </c>
      <c r="D774" t="s">
        <v>2510</v>
      </c>
      <c r="E774" t="s">
        <v>2511</v>
      </c>
      <c r="F774" t="s">
        <v>2518</v>
      </c>
      <c r="G774" s="2" t="str">
        <f>HYPERLINK("https://probpalata.gov.ru/files/ИП320101991400010.jpeg","Скачать индивидуальный QR-код магазина")</f>
        <v>Скачать индивидуальный QR-код магазина</v>
      </c>
    </row>
    <row r="775" spans="1:7" x14ac:dyDescent="0.25">
      <c r="A775" t="s">
        <v>2308</v>
      </c>
      <c r="B775" t="s">
        <v>2519</v>
      </c>
      <c r="C775" t="s">
        <v>2509</v>
      </c>
      <c r="D775" t="s">
        <v>2510</v>
      </c>
      <c r="E775" t="s">
        <v>2511</v>
      </c>
      <c r="F775" t="s">
        <v>2520</v>
      </c>
      <c r="G775" s="2" t="str">
        <f>HYPERLINK("https://probpalata.gov.ru/files/ИП320101991400013.jpeg","Скачать индивидуальный QR-код магазина")</f>
        <v>Скачать индивидуальный QR-код магазина</v>
      </c>
    </row>
    <row r="776" spans="1:7" x14ac:dyDescent="0.25">
      <c r="A776" t="s">
        <v>2308</v>
      </c>
      <c r="B776" t="s">
        <v>2521</v>
      </c>
      <c r="C776" t="s">
        <v>2509</v>
      </c>
      <c r="D776" t="s">
        <v>2510</v>
      </c>
      <c r="E776" t="s">
        <v>2511</v>
      </c>
      <c r="F776" t="s">
        <v>2522</v>
      </c>
      <c r="G776" s="2" t="str">
        <f>HYPERLINK("https://probpalata.gov.ru/files/ИП320101991400015.jpeg","Скачать индивидуальный QR-код магазина")</f>
        <v>Скачать индивидуальный QR-код магазина</v>
      </c>
    </row>
    <row r="777" spans="1:7" x14ac:dyDescent="0.25">
      <c r="A777" t="s">
        <v>2308</v>
      </c>
      <c r="B777" t="s">
        <v>2523</v>
      </c>
      <c r="C777" t="s">
        <v>2524</v>
      </c>
      <c r="D777" t="s">
        <v>2525</v>
      </c>
      <c r="E777" t="s">
        <v>2526</v>
      </c>
      <c r="F777" t="s">
        <v>2527</v>
      </c>
      <c r="G777" s="2" t="str">
        <f>HYPERLINK("https://probpalata.gov.ru/files/ИП770103210100000.jpeg","Скачать индивидуальный QR-код магазина")</f>
        <v>Скачать индивидуальный QR-код магазина</v>
      </c>
    </row>
    <row r="778" spans="1:7" x14ac:dyDescent="0.25">
      <c r="A778" t="s">
        <v>2308</v>
      </c>
      <c r="B778" t="s">
        <v>2314</v>
      </c>
      <c r="C778" t="s">
        <v>2524</v>
      </c>
      <c r="D778" t="s">
        <v>2525</v>
      </c>
      <c r="E778" t="s">
        <v>2526</v>
      </c>
      <c r="F778" t="s">
        <v>2528</v>
      </c>
      <c r="G778" s="2" t="str">
        <f>HYPERLINK("https://probpalata.gov.ru/files/ИП770103210100001.jpeg","Скачать индивидуальный QR-код магазина")</f>
        <v>Скачать индивидуальный QR-код магазина</v>
      </c>
    </row>
    <row r="779" spans="1:7" x14ac:dyDescent="0.25">
      <c r="A779" t="s">
        <v>2308</v>
      </c>
      <c r="B779" t="s">
        <v>2529</v>
      </c>
      <c r="C779" t="s">
        <v>2524</v>
      </c>
      <c r="D779" t="s">
        <v>2525</v>
      </c>
      <c r="E779" t="s">
        <v>2526</v>
      </c>
      <c r="F779" t="s">
        <v>2530</v>
      </c>
      <c r="G779" s="2" t="str">
        <f>HYPERLINK("https://probpalata.gov.ru/files/ИП770103210100002.jpeg","Скачать индивидуальный QR-код магазина")</f>
        <v>Скачать индивидуальный QR-код магазина</v>
      </c>
    </row>
    <row r="780" spans="1:7" x14ac:dyDescent="0.25">
      <c r="A780" t="s">
        <v>2308</v>
      </c>
      <c r="B780" t="s">
        <v>2531</v>
      </c>
      <c r="C780" t="s">
        <v>2532</v>
      </c>
      <c r="D780" t="s">
        <v>2533</v>
      </c>
      <c r="E780" t="s">
        <v>2534</v>
      </c>
      <c r="F780" t="s">
        <v>2535</v>
      </c>
      <c r="G780" s="2" t="str">
        <f>HYPERLINK("https://probpalata.gov.ru/files/ИП320100449600000.jpeg","Скачать индивидуальный QR-код магазина")</f>
        <v>Скачать индивидуальный QR-код магазина</v>
      </c>
    </row>
    <row r="781" spans="1:7" x14ac:dyDescent="0.25">
      <c r="A781" t="s">
        <v>2308</v>
      </c>
      <c r="B781" t="s">
        <v>2536</v>
      </c>
      <c r="C781" t="s">
        <v>2185</v>
      </c>
      <c r="D781" t="s">
        <v>2186</v>
      </c>
      <c r="E781" t="s">
        <v>2187</v>
      </c>
      <c r="F781" t="s">
        <v>2537</v>
      </c>
      <c r="G781" s="2" t="str">
        <f>HYPERLINK("https://probpalata.gov.ru/files/ЮЛ480100215000021.jpeg","Скачать индивидуальный QR-код магазина")</f>
        <v>Скачать индивидуальный QR-код магазина</v>
      </c>
    </row>
    <row r="782" spans="1:7" x14ac:dyDescent="0.25">
      <c r="A782" t="s">
        <v>2308</v>
      </c>
      <c r="B782" t="s">
        <v>2314</v>
      </c>
      <c r="C782" t="s">
        <v>671</v>
      </c>
      <c r="D782" t="s">
        <v>672</v>
      </c>
      <c r="E782" t="s">
        <v>673</v>
      </c>
      <c r="F782" t="s">
        <v>2538</v>
      </c>
      <c r="G782" s="2" t="str">
        <f>HYPERLINK("https://probpalata.gov.ru/files/ИП500100445500076.jpeg","Скачать индивидуальный QR-код магазина")</f>
        <v>Скачать индивидуальный QR-код магазина</v>
      </c>
    </row>
    <row r="783" spans="1:7" x14ac:dyDescent="0.25">
      <c r="A783" t="s">
        <v>2308</v>
      </c>
      <c r="B783" t="s">
        <v>2539</v>
      </c>
      <c r="C783" t="s">
        <v>2540</v>
      </c>
      <c r="D783" t="s">
        <v>2541</v>
      </c>
      <c r="E783" t="s">
        <v>2542</v>
      </c>
      <c r="F783" t="s">
        <v>2543</v>
      </c>
      <c r="G783" s="2" t="str">
        <f>HYPERLINK("https://probpalata.gov.ru/files/ИП500103723800000.jpeg","Скачать индивидуальный QR-код магазина")</f>
        <v>Скачать индивидуальный QR-код магазина</v>
      </c>
    </row>
    <row r="784" spans="1:7" x14ac:dyDescent="0.25">
      <c r="A784" t="s">
        <v>2308</v>
      </c>
      <c r="B784" t="s">
        <v>2314</v>
      </c>
      <c r="C784" t="s">
        <v>1735</v>
      </c>
      <c r="D784" t="s">
        <v>1736</v>
      </c>
      <c r="E784" t="s">
        <v>1737</v>
      </c>
      <c r="F784" t="s">
        <v>2544</v>
      </c>
      <c r="G784" s="2" t="str">
        <f>HYPERLINK("https://probpalata.gov.ru/files/ЮЛ520603376600016.jpeg","Скачать индивидуальный QR-код магазина")</f>
        <v>Скачать индивидуальный QR-код магазина</v>
      </c>
    </row>
    <row r="785" spans="1:7" x14ac:dyDescent="0.25">
      <c r="A785" t="s">
        <v>2308</v>
      </c>
      <c r="B785" t="s">
        <v>2545</v>
      </c>
      <c r="C785" t="s">
        <v>2546</v>
      </c>
      <c r="D785" t="s">
        <v>2547</v>
      </c>
      <c r="E785" t="s">
        <v>2548</v>
      </c>
      <c r="F785" t="s">
        <v>2549</v>
      </c>
      <c r="G785" s="2" t="str">
        <f>HYPERLINK("https://probpalata.gov.ru/files/ЮЛ570100272800002.jpeg","Скачать индивидуальный QR-код магазина")</f>
        <v>Скачать индивидуальный QR-код магазина</v>
      </c>
    </row>
    <row r="786" spans="1:7" x14ac:dyDescent="0.25">
      <c r="A786" t="s">
        <v>2308</v>
      </c>
      <c r="B786" t="s">
        <v>2550</v>
      </c>
      <c r="C786" t="s">
        <v>2551</v>
      </c>
      <c r="D786" t="s">
        <v>2552</v>
      </c>
      <c r="E786" t="s">
        <v>2553</v>
      </c>
      <c r="F786" t="s">
        <v>2554</v>
      </c>
      <c r="G786" s="2" t="str">
        <f>HYPERLINK("https://probpalata.gov.ru/files/ИП670100293400001.jpeg","Скачать индивидуальный QR-код магазина")</f>
        <v>Скачать индивидуальный QR-код магазина</v>
      </c>
    </row>
    <row r="787" spans="1:7" x14ac:dyDescent="0.25">
      <c r="A787" t="s">
        <v>2308</v>
      </c>
      <c r="B787" t="s">
        <v>2555</v>
      </c>
      <c r="C787" t="s">
        <v>2551</v>
      </c>
      <c r="D787" t="s">
        <v>2552</v>
      </c>
      <c r="E787" t="s">
        <v>2553</v>
      </c>
      <c r="F787" t="s">
        <v>2556</v>
      </c>
      <c r="G787" s="2" t="str">
        <f>HYPERLINK("https://probpalata.gov.ru/files/ИП670100293400002.jpeg","Скачать индивидуальный QR-код магазина")</f>
        <v>Скачать индивидуальный QR-код магазина</v>
      </c>
    </row>
    <row r="788" spans="1:7" x14ac:dyDescent="0.25">
      <c r="A788" t="s">
        <v>2308</v>
      </c>
      <c r="B788" t="s">
        <v>2557</v>
      </c>
      <c r="C788" t="s">
        <v>2551</v>
      </c>
      <c r="D788" t="s">
        <v>2552</v>
      </c>
      <c r="E788" t="s">
        <v>2553</v>
      </c>
      <c r="F788" t="s">
        <v>2558</v>
      </c>
      <c r="G788" s="2" t="str">
        <f>HYPERLINK("https://probpalata.gov.ru/files/ИП670100293400004.jpeg","Скачать индивидуальный QR-код магазина")</f>
        <v>Скачать индивидуальный QR-код магазина</v>
      </c>
    </row>
    <row r="789" spans="1:7" x14ac:dyDescent="0.25">
      <c r="A789" t="s">
        <v>2308</v>
      </c>
      <c r="B789" t="s">
        <v>2559</v>
      </c>
      <c r="C789" t="s">
        <v>2551</v>
      </c>
      <c r="D789" t="s">
        <v>2552</v>
      </c>
      <c r="E789" t="s">
        <v>2553</v>
      </c>
      <c r="F789" t="s">
        <v>2560</v>
      </c>
      <c r="G789" s="2" t="str">
        <f>HYPERLINK("https://probpalata.gov.ru/files/ИП670100293400005.jpeg","Скачать индивидуальный QR-код магазина")</f>
        <v>Скачать индивидуальный QR-код магазина</v>
      </c>
    </row>
    <row r="790" spans="1:7" x14ac:dyDescent="0.25">
      <c r="A790" t="s">
        <v>2308</v>
      </c>
      <c r="B790" t="s">
        <v>2561</v>
      </c>
      <c r="C790" t="s">
        <v>2551</v>
      </c>
      <c r="D790" t="s">
        <v>2552</v>
      </c>
      <c r="E790" t="s">
        <v>2553</v>
      </c>
      <c r="F790" t="s">
        <v>2562</v>
      </c>
      <c r="G790" s="2" t="str">
        <f>HYPERLINK("https://probpalata.gov.ru/files/ИП670100293400008.jpeg","Скачать индивидуальный QR-код магазина")</f>
        <v>Скачать индивидуальный QR-код магазина</v>
      </c>
    </row>
    <row r="791" spans="1:7" x14ac:dyDescent="0.25">
      <c r="A791" t="s">
        <v>2308</v>
      </c>
      <c r="B791" t="s">
        <v>2563</v>
      </c>
      <c r="C791" t="s">
        <v>2551</v>
      </c>
      <c r="D791" t="s">
        <v>2552</v>
      </c>
      <c r="E791" t="s">
        <v>2553</v>
      </c>
      <c r="F791" t="s">
        <v>2564</v>
      </c>
      <c r="G791" s="2" t="str">
        <f>HYPERLINK("https://probpalata.gov.ru/files/ИП670100293400010.jpeg","Скачать индивидуальный QR-код магазина")</f>
        <v>Скачать индивидуальный QR-код магазина</v>
      </c>
    </row>
    <row r="792" spans="1:7" x14ac:dyDescent="0.25">
      <c r="A792" t="s">
        <v>2308</v>
      </c>
      <c r="B792" t="s">
        <v>2565</v>
      </c>
      <c r="C792" t="s">
        <v>2551</v>
      </c>
      <c r="D792" t="s">
        <v>2552</v>
      </c>
      <c r="E792" t="s">
        <v>2553</v>
      </c>
      <c r="F792" t="s">
        <v>2566</v>
      </c>
      <c r="G792" s="2" t="str">
        <f>HYPERLINK("https://probpalata.gov.ru/files/ИП670100293400012.jpeg","Скачать индивидуальный QR-код магазина")</f>
        <v>Скачать индивидуальный QR-код магазина</v>
      </c>
    </row>
    <row r="793" spans="1:7" x14ac:dyDescent="0.25">
      <c r="A793" t="s">
        <v>2308</v>
      </c>
      <c r="B793" t="s">
        <v>2567</v>
      </c>
      <c r="C793" t="s">
        <v>2551</v>
      </c>
      <c r="D793" t="s">
        <v>2552</v>
      </c>
      <c r="E793" t="s">
        <v>2553</v>
      </c>
      <c r="F793" t="s">
        <v>2568</v>
      </c>
      <c r="G793" s="2" t="str">
        <f>HYPERLINK("https://probpalata.gov.ru/files/ИП670100293400013.jpeg","Скачать индивидуальный QR-код магазина")</f>
        <v>Скачать индивидуальный QR-код магазина</v>
      </c>
    </row>
    <row r="794" spans="1:7" x14ac:dyDescent="0.25">
      <c r="A794" t="s">
        <v>2308</v>
      </c>
      <c r="B794" t="s">
        <v>2569</v>
      </c>
      <c r="C794" t="s">
        <v>2551</v>
      </c>
      <c r="D794" t="s">
        <v>2552</v>
      </c>
      <c r="E794" t="s">
        <v>2553</v>
      </c>
      <c r="F794" t="s">
        <v>2570</v>
      </c>
      <c r="G794" s="2" t="str">
        <f>HYPERLINK("https://probpalata.gov.ru/files/ИП670100293400016.jpeg","Скачать индивидуальный QR-код магазина")</f>
        <v>Скачать индивидуальный QR-код магазина</v>
      </c>
    </row>
    <row r="795" spans="1:7" x14ac:dyDescent="0.25">
      <c r="A795" t="s">
        <v>2308</v>
      </c>
      <c r="B795" t="s">
        <v>2550</v>
      </c>
      <c r="C795" t="s">
        <v>2571</v>
      </c>
      <c r="D795" t="s">
        <v>2572</v>
      </c>
      <c r="E795" t="s">
        <v>2573</v>
      </c>
      <c r="F795" t="s">
        <v>2574</v>
      </c>
      <c r="G795" s="2" t="str">
        <f>HYPERLINK("https://probpalata.gov.ru/files/ИП670100329400023.jpeg","Скачать индивидуальный QR-код магазина")</f>
        <v>Скачать индивидуальный QR-код магазина</v>
      </c>
    </row>
    <row r="796" spans="1:7" x14ac:dyDescent="0.25">
      <c r="A796" t="s">
        <v>2308</v>
      </c>
      <c r="B796" t="s">
        <v>2569</v>
      </c>
      <c r="C796" t="s">
        <v>2571</v>
      </c>
      <c r="D796" t="s">
        <v>2572</v>
      </c>
      <c r="E796" t="s">
        <v>2573</v>
      </c>
      <c r="F796" t="s">
        <v>2575</v>
      </c>
      <c r="G796" s="2" t="str">
        <f>HYPERLINK("https://probpalata.gov.ru/files/ИП670100329400026.jpeg","Скачать индивидуальный QR-код магазина")</f>
        <v>Скачать индивидуальный QR-код магазина</v>
      </c>
    </row>
    <row r="797" spans="1:7" x14ac:dyDescent="0.25">
      <c r="A797" t="s">
        <v>2308</v>
      </c>
      <c r="B797" t="s">
        <v>2576</v>
      </c>
      <c r="C797" t="s">
        <v>1745</v>
      </c>
      <c r="D797" t="s">
        <v>1746</v>
      </c>
      <c r="E797" t="s">
        <v>1747</v>
      </c>
      <c r="F797" t="s">
        <v>2577</v>
      </c>
      <c r="G797" s="2" t="str">
        <f>HYPERLINK("https://probpalata.gov.ru/files/ЮЛ770100201500522.jpeg","Скачать индивидуальный QR-код магазина")</f>
        <v>Скачать индивидуальный QR-код магазина</v>
      </c>
    </row>
    <row r="798" spans="1:7" x14ac:dyDescent="0.25">
      <c r="A798" t="s">
        <v>2308</v>
      </c>
      <c r="B798" t="s">
        <v>2578</v>
      </c>
      <c r="C798" t="s">
        <v>1745</v>
      </c>
      <c r="D798" t="s">
        <v>1746</v>
      </c>
      <c r="E798" t="s">
        <v>1747</v>
      </c>
      <c r="F798" t="s">
        <v>2579</v>
      </c>
      <c r="G798" s="2" t="str">
        <f>HYPERLINK("https://probpalata.gov.ru/files/ЮЛ770100201500527.jpeg","Скачать индивидуальный QR-код магазина")</f>
        <v>Скачать индивидуальный QR-код магазина</v>
      </c>
    </row>
    <row r="799" spans="1:7" x14ac:dyDescent="0.25">
      <c r="A799" t="s">
        <v>2308</v>
      </c>
      <c r="B799" t="s">
        <v>2580</v>
      </c>
      <c r="C799" t="s">
        <v>1745</v>
      </c>
      <c r="D799" t="s">
        <v>1746</v>
      </c>
      <c r="E799" t="s">
        <v>1747</v>
      </c>
      <c r="F799" t="s">
        <v>2581</v>
      </c>
      <c r="G799" s="2" t="str">
        <f>HYPERLINK("https://probpalata.gov.ru/files/ЮЛ770100201500529.jpeg","Скачать индивидуальный QR-код магазина")</f>
        <v>Скачать индивидуальный QR-код магазина</v>
      </c>
    </row>
    <row r="800" spans="1:7" x14ac:dyDescent="0.25">
      <c r="A800" t="s">
        <v>2308</v>
      </c>
      <c r="B800" t="s">
        <v>2582</v>
      </c>
      <c r="C800" t="s">
        <v>2583</v>
      </c>
      <c r="D800" t="s">
        <v>2584</v>
      </c>
      <c r="E800" t="s">
        <v>2585</v>
      </c>
      <c r="F800" t="s">
        <v>2586</v>
      </c>
      <c r="G800" s="2" t="str">
        <f>HYPERLINK("https://probpalata.gov.ru/files/ИП770100320100000.jpeg","Скачать индивидуальный QR-код магазина")</f>
        <v>Скачать индивидуальный QR-код магазина</v>
      </c>
    </row>
    <row r="801" spans="1:7" x14ac:dyDescent="0.25">
      <c r="A801" t="s">
        <v>2308</v>
      </c>
      <c r="B801" t="s">
        <v>2587</v>
      </c>
      <c r="C801" t="s">
        <v>2588</v>
      </c>
      <c r="D801" t="s">
        <v>2589</v>
      </c>
      <c r="E801" t="s">
        <v>2590</v>
      </c>
      <c r="F801" t="s">
        <v>2591</v>
      </c>
      <c r="G801" s="2" t="str">
        <f>HYPERLINK("https://probpalata.gov.ru/files/ИП770103242800000.jpeg","Скачать индивидуальный QR-код магазина")</f>
        <v>Скачать индивидуальный QR-код магазина</v>
      </c>
    </row>
    <row r="802" spans="1:7" x14ac:dyDescent="0.25">
      <c r="A802" t="s">
        <v>2308</v>
      </c>
      <c r="B802" t="s">
        <v>2592</v>
      </c>
      <c r="C802" t="s">
        <v>2593</v>
      </c>
      <c r="D802" t="s">
        <v>2594</v>
      </c>
      <c r="E802" t="s">
        <v>2595</v>
      </c>
      <c r="F802" t="s">
        <v>2596</v>
      </c>
      <c r="G802" s="2" t="str">
        <f>HYPERLINK("https://probpalata.gov.ru/files/ИП770100348800000.jpeg","Скачать индивидуальный QR-код магазина")</f>
        <v>Скачать индивидуальный QR-код магазина</v>
      </c>
    </row>
    <row r="803" spans="1:7" x14ac:dyDescent="0.25">
      <c r="A803" t="s">
        <v>2308</v>
      </c>
      <c r="B803" t="s">
        <v>2597</v>
      </c>
      <c r="C803" t="s">
        <v>2593</v>
      </c>
      <c r="D803" t="s">
        <v>2594</v>
      </c>
      <c r="E803" t="s">
        <v>2595</v>
      </c>
      <c r="F803" t="s">
        <v>2598</v>
      </c>
      <c r="G803" s="2" t="str">
        <f>HYPERLINK("https://probpalata.gov.ru/files/ИП770100348800001.jpeg","Скачать индивидуальный QR-код магазина")</f>
        <v>Скачать индивидуальный QR-код магазина</v>
      </c>
    </row>
    <row r="804" spans="1:7" x14ac:dyDescent="0.25">
      <c r="A804" t="s">
        <v>2308</v>
      </c>
      <c r="B804" t="s">
        <v>2314</v>
      </c>
      <c r="C804" t="s">
        <v>1416</v>
      </c>
      <c r="D804" t="s">
        <v>1417</v>
      </c>
      <c r="E804" t="s">
        <v>1418</v>
      </c>
      <c r="F804" t="s">
        <v>2599</v>
      </c>
      <c r="G804" s="2" t="str">
        <f>HYPERLINK("https://probpalata.gov.ru/files/ЮЛ770100419400126.jpeg","Скачать индивидуальный QR-код магазина")</f>
        <v>Скачать индивидуальный QR-код магазина</v>
      </c>
    </row>
    <row r="805" spans="1:7" x14ac:dyDescent="0.25">
      <c r="A805" t="s">
        <v>2308</v>
      </c>
      <c r="B805" t="s">
        <v>2600</v>
      </c>
      <c r="C805" t="s">
        <v>748</v>
      </c>
      <c r="D805" t="s">
        <v>749</v>
      </c>
      <c r="E805" t="s">
        <v>750</v>
      </c>
      <c r="F805" t="s">
        <v>2601</v>
      </c>
      <c r="G805" s="2" t="str">
        <f>HYPERLINK("https://probpalata.gov.ru/files/ЮЛ770100193500105.jpeg","Скачать индивидуальный QR-код магазина")</f>
        <v>Скачать индивидуальный QR-код магазина</v>
      </c>
    </row>
    <row r="806" spans="1:7" x14ac:dyDescent="0.25">
      <c r="A806" t="s">
        <v>2308</v>
      </c>
      <c r="B806" t="s">
        <v>2602</v>
      </c>
      <c r="C806" t="s">
        <v>748</v>
      </c>
      <c r="D806" t="s">
        <v>749</v>
      </c>
      <c r="E806" t="s">
        <v>750</v>
      </c>
      <c r="F806" t="s">
        <v>2603</v>
      </c>
      <c r="G806" s="2" t="str">
        <f>HYPERLINK("https://probpalata.gov.ru/files/ЮЛ770100193500106.jpeg","Скачать индивидуальный QR-код магазина")</f>
        <v>Скачать индивидуальный QR-код магазина</v>
      </c>
    </row>
    <row r="807" spans="1:7" x14ac:dyDescent="0.25">
      <c r="A807" t="s">
        <v>2308</v>
      </c>
      <c r="B807" t="s">
        <v>2576</v>
      </c>
      <c r="C807" t="s">
        <v>748</v>
      </c>
      <c r="D807" t="s">
        <v>749</v>
      </c>
      <c r="E807" t="s">
        <v>750</v>
      </c>
      <c r="F807" t="s">
        <v>2604</v>
      </c>
      <c r="G807" s="2" t="str">
        <f>HYPERLINK("https://probpalata.gov.ru/files/ЮЛ770100193500879.jpeg","Скачать индивидуальный QR-код магазина")</f>
        <v>Скачать индивидуальный QR-код магазина</v>
      </c>
    </row>
    <row r="808" spans="1:7" x14ac:dyDescent="0.25">
      <c r="A808" t="s">
        <v>2308</v>
      </c>
      <c r="B808" t="s">
        <v>2605</v>
      </c>
      <c r="C808" t="s">
        <v>748</v>
      </c>
      <c r="D808" t="s">
        <v>749</v>
      </c>
      <c r="E808" t="s">
        <v>750</v>
      </c>
      <c r="F808" t="s">
        <v>2606</v>
      </c>
      <c r="G808" s="2" t="str">
        <f>HYPERLINK("https://probpalata.gov.ru/files/ЮЛ770100193500891.jpeg","Скачать индивидуальный QR-код магазина")</f>
        <v>Скачать индивидуальный QR-код магазина</v>
      </c>
    </row>
    <row r="809" spans="1:7" x14ac:dyDescent="0.25">
      <c r="A809" t="s">
        <v>2308</v>
      </c>
      <c r="B809" t="s">
        <v>2607</v>
      </c>
      <c r="C809" t="s">
        <v>748</v>
      </c>
      <c r="D809" t="s">
        <v>749</v>
      </c>
      <c r="E809" t="s">
        <v>750</v>
      </c>
      <c r="F809" t="s">
        <v>2608</v>
      </c>
      <c r="G809" s="2" t="str">
        <f>HYPERLINK("https://probpalata.gov.ru/files/ЮЛ770100193500928.jpeg","Скачать индивидуальный QR-код магазина")</f>
        <v>Скачать индивидуальный QR-код магазина</v>
      </c>
    </row>
    <row r="810" spans="1:7" x14ac:dyDescent="0.25">
      <c r="A810" t="s">
        <v>2308</v>
      </c>
      <c r="B810" t="s">
        <v>2609</v>
      </c>
      <c r="C810" t="s">
        <v>748</v>
      </c>
      <c r="D810" t="s">
        <v>749</v>
      </c>
      <c r="E810" t="s">
        <v>750</v>
      </c>
      <c r="F810" t="s">
        <v>2610</v>
      </c>
      <c r="G810" s="2" t="str">
        <f>HYPERLINK("https://probpalata.gov.ru/files/ЮЛ770100193500935.jpeg","Скачать индивидуальный QR-код магазина")</f>
        <v>Скачать индивидуальный QR-код магазина</v>
      </c>
    </row>
    <row r="811" spans="1:7" x14ac:dyDescent="0.25">
      <c r="A811" t="s">
        <v>2308</v>
      </c>
      <c r="B811" t="s">
        <v>2314</v>
      </c>
      <c r="C811" t="s">
        <v>2611</v>
      </c>
      <c r="D811" t="s">
        <v>2612</v>
      </c>
      <c r="E811" t="s">
        <v>2613</v>
      </c>
      <c r="F811" t="s">
        <v>2614</v>
      </c>
      <c r="G811" s="2" t="str">
        <f>HYPERLINK("https://probpalata.gov.ru/files/ИП770103272100000.jpeg","Скачать индивидуальный QR-код магазина")</f>
        <v>Скачать индивидуальный QR-код магазина</v>
      </c>
    </row>
    <row r="812" spans="1:7" x14ac:dyDescent="0.25">
      <c r="A812" t="s">
        <v>2308</v>
      </c>
      <c r="B812" t="s">
        <v>2576</v>
      </c>
      <c r="C812" t="s">
        <v>773</v>
      </c>
      <c r="D812" t="s">
        <v>774</v>
      </c>
      <c r="E812" t="s">
        <v>775</v>
      </c>
      <c r="F812" t="s">
        <v>2615</v>
      </c>
      <c r="G812" s="2" t="str">
        <f>HYPERLINK("https://probpalata.gov.ru/files/ЮЛ780300131300037.jpeg","Скачать индивидуальный QR-код магазина")</f>
        <v>Скачать индивидуальный QR-код магазина</v>
      </c>
    </row>
    <row r="813" spans="1:7" x14ac:dyDescent="0.25">
      <c r="A813" t="s">
        <v>2308</v>
      </c>
      <c r="B813" t="s">
        <v>2616</v>
      </c>
      <c r="C813" t="s">
        <v>791</v>
      </c>
      <c r="D813" t="s">
        <v>792</v>
      </c>
      <c r="E813" t="s">
        <v>793</v>
      </c>
      <c r="F813" t="s">
        <v>2617</v>
      </c>
      <c r="G813" s="2" t="str">
        <f>HYPERLINK("https://probpalata.gov.ru/files/ЮЛ780300323500040.jpeg","Скачать индивидуальный QR-код магазина")</f>
        <v>Скачать индивидуальный QR-код магазина</v>
      </c>
    </row>
    <row r="814" spans="1:7" x14ac:dyDescent="0.25">
      <c r="A814" t="s">
        <v>2308</v>
      </c>
      <c r="B814" t="s">
        <v>2618</v>
      </c>
      <c r="C814" t="s">
        <v>791</v>
      </c>
      <c r="D814" t="s">
        <v>792</v>
      </c>
      <c r="E814" t="s">
        <v>793</v>
      </c>
      <c r="F814" t="s">
        <v>2619</v>
      </c>
      <c r="G814" s="2" t="str">
        <f>HYPERLINK("https://probpalata.gov.ru/files/ЮЛ780300323500041.jpeg","Скачать индивидуальный QR-код магазина")</f>
        <v>Скачать индивидуальный QR-код магазина</v>
      </c>
    </row>
    <row r="815" spans="1:7" x14ac:dyDescent="0.25">
      <c r="A815" t="s">
        <v>2308</v>
      </c>
      <c r="B815" t="s">
        <v>2433</v>
      </c>
      <c r="C815" t="s">
        <v>791</v>
      </c>
      <c r="D815" t="s">
        <v>792</v>
      </c>
      <c r="E815" t="s">
        <v>793</v>
      </c>
      <c r="F815" t="s">
        <v>2620</v>
      </c>
      <c r="G815" s="2" t="str">
        <f>HYPERLINK("https://probpalata.gov.ru/files/ЮЛ780300323500206.jpeg","Скачать индивидуальный QR-код магазина")</f>
        <v>Скачать индивидуальный QR-код магазина</v>
      </c>
    </row>
    <row r="816" spans="1:7" x14ac:dyDescent="0.25">
      <c r="A816" t="s">
        <v>2308</v>
      </c>
      <c r="B816" t="s">
        <v>2621</v>
      </c>
      <c r="C816" t="s">
        <v>798</v>
      </c>
      <c r="D816" t="s">
        <v>799</v>
      </c>
      <c r="E816" t="s">
        <v>800</v>
      </c>
      <c r="F816" t="s">
        <v>2622</v>
      </c>
      <c r="G816" s="2" t="str">
        <f>HYPERLINK("https://probpalata.gov.ru/files/ЮЛ780300308200207.jpeg","Скачать индивидуальный QR-код магазина")</f>
        <v>Скачать индивидуальный QR-код магазина</v>
      </c>
    </row>
    <row r="817" spans="1:7" x14ac:dyDescent="0.25">
      <c r="A817" t="s">
        <v>2308</v>
      </c>
      <c r="B817" t="s">
        <v>2623</v>
      </c>
      <c r="C817" t="s">
        <v>798</v>
      </c>
      <c r="D817" t="s">
        <v>799</v>
      </c>
      <c r="E817" t="s">
        <v>800</v>
      </c>
      <c r="F817" t="s">
        <v>2624</v>
      </c>
      <c r="G817" s="2" t="str">
        <f>HYPERLINK("https://probpalata.gov.ru/files/ЮЛ780300308200211.jpeg","Скачать индивидуальный QR-код магазина")</f>
        <v>Скачать индивидуальный QR-код магазина</v>
      </c>
    </row>
    <row r="818" spans="1:7" x14ac:dyDescent="0.25">
      <c r="A818" t="s">
        <v>2308</v>
      </c>
      <c r="B818" t="s">
        <v>2625</v>
      </c>
      <c r="C818" t="s">
        <v>798</v>
      </c>
      <c r="D818" t="s">
        <v>799</v>
      </c>
      <c r="E818" t="s">
        <v>800</v>
      </c>
      <c r="F818" t="s">
        <v>2626</v>
      </c>
      <c r="G818" s="2" t="str">
        <f>HYPERLINK("https://probpalata.gov.ru/files/ЮЛ780300308200554.jpeg","Скачать индивидуальный QR-код магазина")</f>
        <v>Скачать индивидуальный QR-код магазина</v>
      </c>
    </row>
    <row r="819" spans="1:7" x14ac:dyDescent="0.25">
      <c r="A819" t="s">
        <v>2308</v>
      </c>
      <c r="B819" t="s">
        <v>2627</v>
      </c>
      <c r="C819" t="s">
        <v>798</v>
      </c>
      <c r="D819" t="s">
        <v>799</v>
      </c>
      <c r="E819" t="s">
        <v>800</v>
      </c>
      <c r="F819" t="s">
        <v>2628</v>
      </c>
      <c r="G819" s="2" t="str">
        <f>HYPERLINK("https://probpalata.gov.ru/files/ЮЛ780300308200739.jpeg","Скачать индивидуальный QR-код магазина")</f>
        <v>Скачать индивидуальный QR-код магазина</v>
      </c>
    </row>
    <row r="820" spans="1:7" x14ac:dyDescent="0.25">
      <c r="A820" t="s">
        <v>2308</v>
      </c>
      <c r="B820" t="s">
        <v>2314</v>
      </c>
      <c r="C820" t="s">
        <v>798</v>
      </c>
      <c r="D820" t="s">
        <v>799</v>
      </c>
      <c r="E820" t="s">
        <v>800</v>
      </c>
      <c r="F820" t="s">
        <v>2629</v>
      </c>
      <c r="G820" s="2" t="str">
        <f>HYPERLINK("https://probpalata.gov.ru/files/ЮЛ780300308201124.jpeg","Скачать индивидуальный QR-код магазина")</f>
        <v>Скачать индивидуальный QR-код магазина</v>
      </c>
    </row>
    <row r="821" spans="1:7" x14ac:dyDescent="0.25">
      <c r="A821" t="s">
        <v>2308</v>
      </c>
      <c r="B821" t="s">
        <v>2630</v>
      </c>
      <c r="C821" t="s">
        <v>798</v>
      </c>
      <c r="D821" t="s">
        <v>799</v>
      </c>
      <c r="E821" t="s">
        <v>800</v>
      </c>
      <c r="F821" t="s">
        <v>2631</v>
      </c>
      <c r="G821" s="2" t="str">
        <f>HYPERLINK("https://probpalata.gov.ru/files/ЮЛ780300308201207.jpeg","Скачать индивидуальный QR-код магазина")</f>
        <v>Скачать индивидуальный QR-код магазина</v>
      </c>
    </row>
    <row r="822" spans="1:7" x14ac:dyDescent="0.25">
      <c r="A822" t="s">
        <v>2308</v>
      </c>
      <c r="B822" t="s">
        <v>2433</v>
      </c>
      <c r="C822" t="s">
        <v>823</v>
      </c>
      <c r="D822" t="s">
        <v>824</v>
      </c>
      <c r="E822" t="s">
        <v>825</v>
      </c>
      <c r="F822" t="s">
        <v>2632</v>
      </c>
      <c r="G822" s="2" t="str">
        <f>HYPERLINK("https://probpalata.gov.ru/files/ЮЛ780300363500070.jpeg","Скачать индивидуальный QR-код магазина")</f>
        <v>Скачать индивидуальный QR-код магазина</v>
      </c>
    </row>
    <row r="823" spans="1:7" x14ac:dyDescent="0.25">
      <c r="A823" t="s">
        <v>2308</v>
      </c>
      <c r="B823" t="s">
        <v>2616</v>
      </c>
      <c r="C823" t="s">
        <v>823</v>
      </c>
      <c r="D823" t="s">
        <v>824</v>
      </c>
      <c r="E823" t="s">
        <v>825</v>
      </c>
      <c r="F823" t="s">
        <v>2633</v>
      </c>
      <c r="G823" s="2" t="str">
        <f>HYPERLINK("https://probpalata.gov.ru/files/ЮЛ780300363500072.jpeg","Скачать индивидуальный QR-код магазина")</f>
        <v>Скачать индивидуальный QR-код магазина</v>
      </c>
    </row>
    <row r="824" spans="1:7" x14ac:dyDescent="0.25">
      <c r="A824" t="s">
        <v>2308</v>
      </c>
      <c r="B824" t="s">
        <v>2618</v>
      </c>
      <c r="C824" t="s">
        <v>823</v>
      </c>
      <c r="D824" t="s">
        <v>824</v>
      </c>
      <c r="E824" t="s">
        <v>825</v>
      </c>
      <c r="F824" t="s">
        <v>2634</v>
      </c>
      <c r="G824" s="2" t="str">
        <f>HYPERLINK("https://probpalata.gov.ru/files/ЮЛ780300363500073.jpeg","Скачать индивидуальный QR-код магазина")</f>
        <v>Скачать индивидуальный QR-код магазина</v>
      </c>
    </row>
    <row r="825" spans="1:7" x14ac:dyDescent="0.25">
      <c r="A825" t="s">
        <v>2308</v>
      </c>
      <c r="B825" t="s">
        <v>2635</v>
      </c>
      <c r="C825" t="s">
        <v>2636</v>
      </c>
      <c r="D825" t="s">
        <v>2637</v>
      </c>
      <c r="E825" t="s">
        <v>2638</v>
      </c>
      <c r="F825" t="s">
        <v>2639</v>
      </c>
      <c r="G825" s="2" t="str">
        <f>HYPERLINK("https://probpalata.gov.ru/files/ЮЛ770100902000061.jpeg","Скачать индивидуальный QR-код магазина")</f>
        <v>Скачать индивидуальный QR-код магазина</v>
      </c>
    </row>
    <row r="826" spans="1:7" x14ac:dyDescent="0.25">
      <c r="A826" t="s">
        <v>2640</v>
      </c>
      <c r="B826" t="s">
        <v>2641</v>
      </c>
      <c r="C826" t="s">
        <v>2642</v>
      </c>
      <c r="D826" t="s">
        <v>2643</v>
      </c>
      <c r="E826" t="s">
        <v>2644</v>
      </c>
      <c r="F826" t="s">
        <v>2645</v>
      </c>
      <c r="G826" s="2" t="str">
        <f>HYPERLINK("https://probpalata.gov.ru/files/ИП330100198200000.jpeg","Скачать индивидуальный QR-код магазина")</f>
        <v>Скачать индивидуальный QR-код магазина</v>
      </c>
    </row>
    <row r="827" spans="1:7" x14ac:dyDescent="0.25">
      <c r="A827" t="s">
        <v>2640</v>
      </c>
      <c r="B827" t="s">
        <v>2646</v>
      </c>
      <c r="C827" t="s">
        <v>2647</v>
      </c>
      <c r="D827" t="s">
        <v>2648</v>
      </c>
      <c r="E827" t="s">
        <v>2649</v>
      </c>
      <c r="F827" t="s">
        <v>2650</v>
      </c>
      <c r="G827" s="2" t="str">
        <f>HYPERLINK("https://probpalata.gov.ru/files/ИП610400007100047.jpeg","Скачать индивидуальный QR-код магазина")</f>
        <v>Скачать индивидуальный QR-код магазина</v>
      </c>
    </row>
    <row r="828" spans="1:7" x14ac:dyDescent="0.25">
      <c r="A828" t="s">
        <v>2640</v>
      </c>
      <c r="B828" t="s">
        <v>2651</v>
      </c>
      <c r="C828" t="s">
        <v>2647</v>
      </c>
      <c r="D828" t="s">
        <v>2648</v>
      </c>
      <c r="E828" t="s">
        <v>2649</v>
      </c>
      <c r="F828" t="s">
        <v>2652</v>
      </c>
      <c r="G828" s="2" t="str">
        <f>HYPERLINK("https://probpalata.gov.ru/files/ИП610400007100048.jpeg","Скачать индивидуальный QR-код магазина")</f>
        <v>Скачать индивидуальный QR-код магазина</v>
      </c>
    </row>
    <row r="829" spans="1:7" x14ac:dyDescent="0.25">
      <c r="A829" t="s">
        <v>2640</v>
      </c>
      <c r="B829" t="s">
        <v>2653</v>
      </c>
      <c r="C829" t="s">
        <v>2654</v>
      </c>
      <c r="D829" t="s">
        <v>2655</v>
      </c>
      <c r="E829" t="s">
        <v>2656</v>
      </c>
      <c r="F829" t="s">
        <v>2657</v>
      </c>
      <c r="G829" s="2" t="str">
        <f>HYPERLINK("https://probpalata.gov.ru/files/ЮЛ330103606800000.jpeg","Скачать индивидуальный QR-код магазина")</f>
        <v>Скачать индивидуальный QR-код магазина</v>
      </c>
    </row>
    <row r="830" spans="1:7" x14ac:dyDescent="0.25">
      <c r="A830" t="s">
        <v>2640</v>
      </c>
      <c r="B830" t="s">
        <v>2658</v>
      </c>
      <c r="C830" t="s">
        <v>2659</v>
      </c>
      <c r="D830" t="s">
        <v>2660</v>
      </c>
      <c r="E830" t="s">
        <v>2661</v>
      </c>
      <c r="F830" t="s">
        <v>2662</v>
      </c>
      <c r="G830" s="2" t="str">
        <f>HYPERLINK("https://probpalata.gov.ru/files/ИП330101039500000.jpeg","Скачать индивидуальный QR-код магазина")</f>
        <v>Скачать индивидуальный QR-код магазина</v>
      </c>
    </row>
    <row r="831" spans="1:7" x14ac:dyDescent="0.25">
      <c r="A831" t="s">
        <v>2640</v>
      </c>
      <c r="B831" t="s">
        <v>2663</v>
      </c>
      <c r="C831" t="s">
        <v>2664</v>
      </c>
      <c r="D831" t="s">
        <v>2665</v>
      </c>
      <c r="E831" t="s">
        <v>2666</v>
      </c>
      <c r="F831" t="s">
        <v>2667</v>
      </c>
      <c r="G831" s="2" t="str">
        <f>HYPERLINK("https://probpalata.gov.ru/files/ЮЛ330100093400000.jpeg","Скачать индивидуальный QR-код магазина")</f>
        <v>Скачать индивидуальный QR-код магазина</v>
      </c>
    </row>
    <row r="832" spans="1:7" x14ac:dyDescent="0.25">
      <c r="A832" t="s">
        <v>2640</v>
      </c>
      <c r="B832" t="s">
        <v>2668</v>
      </c>
      <c r="C832" t="s">
        <v>2669</v>
      </c>
      <c r="D832" t="s">
        <v>2670</v>
      </c>
      <c r="E832" t="s">
        <v>2671</v>
      </c>
      <c r="F832" t="s">
        <v>2672</v>
      </c>
      <c r="G832" s="2" t="str">
        <f>HYPERLINK("https://probpalata.gov.ru/files/ИП330101031500000.jpeg","Скачать индивидуальный QR-код магазина")</f>
        <v>Скачать индивидуальный QR-код магазина</v>
      </c>
    </row>
    <row r="833" spans="1:7" x14ac:dyDescent="0.25">
      <c r="A833" t="s">
        <v>2640</v>
      </c>
      <c r="B833" t="s">
        <v>2673</v>
      </c>
      <c r="C833" t="s">
        <v>2073</v>
      </c>
      <c r="D833" t="s">
        <v>2674</v>
      </c>
      <c r="E833" t="s">
        <v>2675</v>
      </c>
      <c r="F833" t="s">
        <v>2676</v>
      </c>
      <c r="G833" s="2" t="str">
        <f>HYPERLINK("https://probpalata.gov.ru/files/ЮЛ330100977600000.jpeg","Скачать индивидуальный QR-код магазина")</f>
        <v>Скачать индивидуальный QR-код магазина</v>
      </c>
    </row>
    <row r="834" spans="1:7" x14ac:dyDescent="0.25">
      <c r="A834" t="s">
        <v>2640</v>
      </c>
      <c r="B834" t="s">
        <v>2677</v>
      </c>
      <c r="C834" t="s">
        <v>2678</v>
      </c>
      <c r="D834" t="s">
        <v>2679</v>
      </c>
      <c r="E834" t="s">
        <v>2680</v>
      </c>
      <c r="F834" t="s">
        <v>2681</v>
      </c>
      <c r="G834" s="2" t="str">
        <f>HYPERLINK("https://probpalata.gov.ru/files/ИП330101507000000.jpeg","Скачать индивидуальный QR-код магазина")</f>
        <v>Скачать индивидуальный QR-код магазина</v>
      </c>
    </row>
    <row r="835" spans="1:7" x14ac:dyDescent="0.25">
      <c r="A835" t="s">
        <v>2640</v>
      </c>
      <c r="B835" t="s">
        <v>2682</v>
      </c>
      <c r="C835" t="s">
        <v>2678</v>
      </c>
      <c r="D835" t="s">
        <v>2679</v>
      </c>
      <c r="E835" t="s">
        <v>2680</v>
      </c>
      <c r="F835" t="s">
        <v>2683</v>
      </c>
      <c r="G835" s="2" t="str">
        <f>HYPERLINK("https://probpalata.gov.ru/files/ИП330101507000002.jpeg","Скачать индивидуальный QR-код магазина")</f>
        <v>Скачать индивидуальный QR-код магазина</v>
      </c>
    </row>
    <row r="836" spans="1:7" x14ac:dyDescent="0.25">
      <c r="A836" t="s">
        <v>2640</v>
      </c>
      <c r="B836" t="s">
        <v>2684</v>
      </c>
      <c r="C836" t="s">
        <v>2685</v>
      </c>
      <c r="D836" t="s">
        <v>2686</v>
      </c>
      <c r="E836" t="s">
        <v>2687</v>
      </c>
      <c r="F836" t="s">
        <v>2688</v>
      </c>
      <c r="G836" s="2" t="str">
        <f>HYPERLINK("https://probpalata.gov.ru/files/ЮЛ330101073800000.jpeg","Скачать индивидуальный QR-код магазина")</f>
        <v>Скачать индивидуальный QR-код магазина</v>
      </c>
    </row>
    <row r="837" spans="1:7" x14ac:dyDescent="0.25">
      <c r="A837" t="s">
        <v>2640</v>
      </c>
      <c r="B837" t="s">
        <v>2689</v>
      </c>
      <c r="C837" t="s">
        <v>2690</v>
      </c>
      <c r="D837" t="s">
        <v>2691</v>
      </c>
      <c r="E837" t="s">
        <v>2692</v>
      </c>
      <c r="F837" t="s">
        <v>2693</v>
      </c>
      <c r="G837" s="2" t="str">
        <f>HYPERLINK("https://probpalata.gov.ru/files/ИП330103225800000.jpeg","Скачать индивидуальный QR-код магазина")</f>
        <v>Скачать индивидуальный QR-код магазина</v>
      </c>
    </row>
    <row r="838" spans="1:7" x14ac:dyDescent="0.25">
      <c r="A838" t="s">
        <v>2640</v>
      </c>
      <c r="B838" t="s">
        <v>2694</v>
      </c>
      <c r="C838" t="s">
        <v>2695</v>
      </c>
      <c r="D838" t="s">
        <v>2696</v>
      </c>
      <c r="E838" t="s">
        <v>2697</v>
      </c>
      <c r="F838" t="s">
        <v>2698</v>
      </c>
      <c r="G838" s="2" t="str">
        <f>HYPERLINK("https://probpalata.gov.ru/files/ИП330103236400000.jpeg","Скачать индивидуальный QR-код магазина")</f>
        <v>Скачать индивидуальный QR-код магазина</v>
      </c>
    </row>
    <row r="839" spans="1:7" x14ac:dyDescent="0.25">
      <c r="A839" t="s">
        <v>2640</v>
      </c>
      <c r="B839" t="s">
        <v>2699</v>
      </c>
      <c r="C839" t="s">
        <v>2695</v>
      </c>
      <c r="D839" t="s">
        <v>2696</v>
      </c>
      <c r="E839" t="s">
        <v>2697</v>
      </c>
      <c r="F839" t="s">
        <v>2700</v>
      </c>
      <c r="G839" s="2" t="str">
        <f>HYPERLINK("https://probpalata.gov.ru/files/ИП330103236400001.jpeg","Скачать индивидуальный QR-код магазина")</f>
        <v>Скачать индивидуальный QR-код магазина</v>
      </c>
    </row>
    <row r="840" spans="1:7" x14ac:dyDescent="0.25">
      <c r="A840" t="s">
        <v>2640</v>
      </c>
      <c r="B840" t="s">
        <v>2701</v>
      </c>
      <c r="C840" t="s">
        <v>2702</v>
      </c>
      <c r="D840" t="s">
        <v>2703</v>
      </c>
      <c r="E840" t="s">
        <v>2704</v>
      </c>
      <c r="F840" t="s">
        <v>2705</v>
      </c>
      <c r="G840" s="2" t="str">
        <f>HYPERLINK("https://probpalata.gov.ru/files/ИП330100149100000.jpeg","Скачать индивидуальный QR-код магазина")</f>
        <v>Скачать индивидуальный QR-код магазина</v>
      </c>
    </row>
    <row r="841" spans="1:7" x14ac:dyDescent="0.25">
      <c r="A841" t="s">
        <v>2640</v>
      </c>
      <c r="B841" t="s">
        <v>2706</v>
      </c>
      <c r="C841" t="s">
        <v>2707</v>
      </c>
      <c r="D841" t="s">
        <v>2708</v>
      </c>
      <c r="E841" t="s">
        <v>2709</v>
      </c>
      <c r="F841" t="s">
        <v>2710</v>
      </c>
      <c r="G841" s="2" t="str">
        <f>HYPERLINK("https://probpalata.gov.ru/files/ИП330100446300000.jpeg","Скачать индивидуальный QR-код магазина")</f>
        <v>Скачать индивидуальный QR-код магазина</v>
      </c>
    </row>
    <row r="842" spans="1:7" x14ac:dyDescent="0.25">
      <c r="A842" t="s">
        <v>2640</v>
      </c>
      <c r="B842" t="s">
        <v>2711</v>
      </c>
      <c r="C842" t="s">
        <v>2712</v>
      </c>
      <c r="D842" t="s">
        <v>2713</v>
      </c>
      <c r="E842" t="s">
        <v>2714</v>
      </c>
      <c r="F842" t="s">
        <v>2715</v>
      </c>
      <c r="G842" s="2" t="str">
        <f>HYPERLINK("https://probpalata.gov.ru/files/ИП330100060600000.jpeg","Скачать индивидуальный QR-код магазина")</f>
        <v>Скачать индивидуальный QR-код магазина</v>
      </c>
    </row>
    <row r="843" spans="1:7" x14ac:dyDescent="0.25">
      <c r="A843" t="s">
        <v>2640</v>
      </c>
      <c r="B843" t="s">
        <v>2716</v>
      </c>
      <c r="C843" t="s">
        <v>2717</v>
      </c>
      <c r="D843" t="s">
        <v>2718</v>
      </c>
      <c r="E843" t="s">
        <v>2719</v>
      </c>
      <c r="F843" t="s">
        <v>2720</v>
      </c>
      <c r="G843" s="2" t="str">
        <f>HYPERLINK("https://probpalata.gov.ru/files/ЮЛ330101542100000.jpeg","Скачать индивидуальный QR-код магазина")</f>
        <v>Скачать индивидуальный QR-код магазина</v>
      </c>
    </row>
    <row r="844" spans="1:7" x14ac:dyDescent="0.25">
      <c r="A844" t="s">
        <v>2640</v>
      </c>
      <c r="B844" t="s">
        <v>2721</v>
      </c>
      <c r="C844" t="s">
        <v>2722</v>
      </c>
      <c r="D844" t="s">
        <v>2723</v>
      </c>
      <c r="E844" t="s">
        <v>2724</v>
      </c>
      <c r="F844" t="s">
        <v>2725</v>
      </c>
      <c r="G844" s="2" t="str">
        <f>HYPERLINK("https://probpalata.gov.ru/files/ЮЛ330103176500000.jpeg","Скачать индивидуальный QR-код магазина")</f>
        <v>Скачать индивидуальный QR-код магазина</v>
      </c>
    </row>
    <row r="845" spans="1:7" x14ac:dyDescent="0.25">
      <c r="A845" t="s">
        <v>2640</v>
      </c>
      <c r="B845" t="s">
        <v>2726</v>
      </c>
      <c r="C845" t="s">
        <v>2727</v>
      </c>
      <c r="D845" t="s">
        <v>2728</v>
      </c>
      <c r="E845" t="s">
        <v>2729</v>
      </c>
      <c r="F845" t="s">
        <v>2730</v>
      </c>
      <c r="G845" s="2" t="str">
        <f>HYPERLINK("https://probpalata.gov.ru/files/ИП330100732100000.jpeg","Скачать индивидуальный QR-код магазина")</f>
        <v>Скачать индивидуальный QR-код магазина</v>
      </c>
    </row>
    <row r="846" spans="1:7" x14ac:dyDescent="0.25">
      <c r="A846" t="s">
        <v>2640</v>
      </c>
      <c r="B846" t="s">
        <v>2731</v>
      </c>
      <c r="C846" t="s">
        <v>2727</v>
      </c>
      <c r="D846" t="s">
        <v>2728</v>
      </c>
      <c r="E846" t="s">
        <v>2729</v>
      </c>
      <c r="F846" t="s">
        <v>2732</v>
      </c>
      <c r="G846" s="2" t="str">
        <f>HYPERLINK("https://probpalata.gov.ru/files/ИП330100732100002.jpeg","Скачать индивидуальный QR-код магазина")</f>
        <v>Скачать индивидуальный QR-код магазина</v>
      </c>
    </row>
    <row r="847" spans="1:7" x14ac:dyDescent="0.25">
      <c r="A847" t="s">
        <v>2640</v>
      </c>
      <c r="B847" t="s">
        <v>2733</v>
      </c>
      <c r="C847" t="s">
        <v>2734</v>
      </c>
      <c r="D847" t="s">
        <v>2735</v>
      </c>
      <c r="E847" t="s">
        <v>2736</v>
      </c>
      <c r="F847" t="s">
        <v>2737</v>
      </c>
      <c r="G847" s="2" t="str">
        <f>HYPERLINK("https://probpalata.gov.ru/files/ИП330100903200000.jpeg","Скачать индивидуальный QR-код магазина")</f>
        <v>Скачать индивидуальный QR-код магазина</v>
      </c>
    </row>
    <row r="848" spans="1:7" x14ac:dyDescent="0.25">
      <c r="A848" t="s">
        <v>2640</v>
      </c>
      <c r="B848" t="s">
        <v>2738</v>
      </c>
      <c r="C848" t="s">
        <v>2739</v>
      </c>
      <c r="D848" t="s">
        <v>2740</v>
      </c>
      <c r="E848" t="s">
        <v>2741</v>
      </c>
      <c r="F848" t="s">
        <v>2742</v>
      </c>
      <c r="G848" s="2" t="str">
        <f>HYPERLINK("https://probpalata.gov.ru/files/ИП770103160700000.jpeg","Скачать индивидуальный QR-код магазина")</f>
        <v>Скачать индивидуальный QR-код магазина</v>
      </c>
    </row>
    <row r="849" spans="1:7" x14ac:dyDescent="0.25">
      <c r="A849" t="s">
        <v>2640</v>
      </c>
      <c r="B849" t="s">
        <v>2743</v>
      </c>
      <c r="C849" t="s">
        <v>2744</v>
      </c>
      <c r="D849" t="s">
        <v>2745</v>
      </c>
      <c r="E849" t="s">
        <v>2746</v>
      </c>
      <c r="F849" t="s">
        <v>2747</v>
      </c>
      <c r="G849" s="2" t="str">
        <f>HYPERLINK("https://probpalata.gov.ru/files/ИП330100545200000.jpeg","Скачать индивидуальный QR-код магазина")</f>
        <v>Скачать индивидуальный QR-код магазина</v>
      </c>
    </row>
    <row r="850" spans="1:7" x14ac:dyDescent="0.25">
      <c r="A850" t="s">
        <v>2640</v>
      </c>
      <c r="B850" t="s">
        <v>2748</v>
      </c>
      <c r="C850" t="s">
        <v>2744</v>
      </c>
      <c r="D850" t="s">
        <v>2745</v>
      </c>
      <c r="E850" t="s">
        <v>2746</v>
      </c>
      <c r="F850" t="s">
        <v>2749</v>
      </c>
      <c r="G850" s="2" t="str">
        <f>HYPERLINK("https://probpalata.gov.ru/files/ИП330100545200001.jpeg","Скачать индивидуальный QR-код магазина")</f>
        <v>Скачать индивидуальный QR-код магазина</v>
      </c>
    </row>
    <row r="851" spans="1:7" x14ac:dyDescent="0.25">
      <c r="A851" t="s">
        <v>2640</v>
      </c>
      <c r="B851" t="s">
        <v>2750</v>
      </c>
      <c r="C851" t="s">
        <v>2744</v>
      </c>
      <c r="D851" t="s">
        <v>2745</v>
      </c>
      <c r="E851" t="s">
        <v>2746</v>
      </c>
      <c r="F851" t="s">
        <v>2751</v>
      </c>
      <c r="G851" s="2" t="str">
        <f>HYPERLINK("https://probpalata.gov.ru/files/ИП330100545200004.jpeg","Скачать индивидуальный QR-код магазина")</f>
        <v>Скачать индивидуальный QR-код магазина</v>
      </c>
    </row>
    <row r="852" spans="1:7" x14ac:dyDescent="0.25">
      <c r="A852" t="s">
        <v>2640</v>
      </c>
      <c r="B852" t="s">
        <v>2752</v>
      </c>
      <c r="C852" t="s">
        <v>2753</v>
      </c>
      <c r="D852" t="s">
        <v>2754</v>
      </c>
      <c r="E852" t="s">
        <v>2755</v>
      </c>
      <c r="F852" t="s">
        <v>2756</v>
      </c>
      <c r="G852" s="2" t="str">
        <f>HYPERLINK("https://probpalata.gov.ru/files/ИП330100334000000.jpeg","Скачать индивидуальный QR-код магазина")</f>
        <v>Скачать индивидуальный QR-код магазина</v>
      </c>
    </row>
    <row r="853" spans="1:7" x14ac:dyDescent="0.25">
      <c r="A853" t="s">
        <v>2640</v>
      </c>
      <c r="B853" t="s">
        <v>2757</v>
      </c>
      <c r="C853" t="s">
        <v>2758</v>
      </c>
      <c r="D853" t="s">
        <v>2759</v>
      </c>
      <c r="E853" t="s">
        <v>2760</v>
      </c>
      <c r="F853" t="s">
        <v>2761</v>
      </c>
      <c r="G853" s="2" t="str">
        <f>HYPERLINK("https://probpalata.gov.ru/files/ИП330100452300000.jpeg","Скачать индивидуальный QR-код магазина")</f>
        <v>Скачать индивидуальный QR-код магазина</v>
      </c>
    </row>
    <row r="854" spans="1:7" x14ac:dyDescent="0.25">
      <c r="A854" t="s">
        <v>2640</v>
      </c>
      <c r="B854" t="s">
        <v>2762</v>
      </c>
      <c r="C854" t="s">
        <v>2763</v>
      </c>
      <c r="D854" t="s">
        <v>2764</v>
      </c>
      <c r="E854" t="s">
        <v>2765</v>
      </c>
      <c r="F854" t="s">
        <v>2766</v>
      </c>
      <c r="G854" s="2" t="str">
        <f>HYPERLINK("https://probpalata.gov.ru/files/ИП330100664900000.jpeg","Скачать индивидуальный QR-код магазина")</f>
        <v>Скачать индивидуальный QR-код магазина</v>
      </c>
    </row>
    <row r="855" spans="1:7" x14ac:dyDescent="0.25">
      <c r="A855" t="s">
        <v>2640</v>
      </c>
      <c r="B855" t="s">
        <v>2767</v>
      </c>
      <c r="C855" t="s">
        <v>2768</v>
      </c>
      <c r="D855" t="s">
        <v>2769</v>
      </c>
      <c r="E855" t="s">
        <v>2770</v>
      </c>
      <c r="F855" t="s">
        <v>2771</v>
      </c>
      <c r="G855" s="2" t="str">
        <f>HYPERLINK("https://probpalata.gov.ru/files/ИП330101685400000.jpeg","Скачать индивидуальный QR-код магазина")</f>
        <v>Скачать индивидуальный QR-код магазина</v>
      </c>
    </row>
    <row r="856" spans="1:7" x14ac:dyDescent="0.25">
      <c r="A856" t="s">
        <v>2640</v>
      </c>
      <c r="B856" t="s">
        <v>2772</v>
      </c>
      <c r="C856" t="s">
        <v>2773</v>
      </c>
      <c r="D856" t="s">
        <v>2774</v>
      </c>
      <c r="E856" t="s">
        <v>2775</v>
      </c>
      <c r="F856" t="s">
        <v>2776</v>
      </c>
      <c r="G856" s="2" t="str">
        <f>HYPERLINK("https://probpalata.gov.ru/files/ИП330103673500000.jpeg","Скачать индивидуальный QR-код магазина")</f>
        <v>Скачать индивидуальный QR-код магазина</v>
      </c>
    </row>
    <row r="857" spans="1:7" x14ac:dyDescent="0.25">
      <c r="A857" t="s">
        <v>2640</v>
      </c>
      <c r="B857" t="s">
        <v>2777</v>
      </c>
      <c r="C857" t="s">
        <v>2778</v>
      </c>
      <c r="D857" t="s">
        <v>2779</v>
      </c>
      <c r="E857" t="s">
        <v>2780</v>
      </c>
      <c r="F857" t="s">
        <v>2781</v>
      </c>
      <c r="G857" s="2" t="str">
        <f>HYPERLINK("https://probpalata.gov.ru/files/ИП330103780400000.jpeg","Скачать индивидуальный QR-код магазина")</f>
        <v>Скачать индивидуальный QR-код магазина</v>
      </c>
    </row>
    <row r="858" spans="1:7" x14ac:dyDescent="0.25">
      <c r="A858" t="s">
        <v>2640</v>
      </c>
      <c r="B858" t="s">
        <v>2782</v>
      </c>
      <c r="C858" t="s">
        <v>2783</v>
      </c>
      <c r="D858" t="s">
        <v>2784</v>
      </c>
      <c r="E858" t="s">
        <v>2785</v>
      </c>
      <c r="F858" t="s">
        <v>2786</v>
      </c>
      <c r="G858" s="2" t="str">
        <f>HYPERLINK("https://probpalata.gov.ru/files/ЮЛ330100645000000.jpeg","Скачать индивидуальный QR-код магазина")</f>
        <v>Скачать индивидуальный QR-код магазина</v>
      </c>
    </row>
    <row r="859" spans="1:7" x14ac:dyDescent="0.25">
      <c r="A859" t="s">
        <v>2640</v>
      </c>
      <c r="B859" t="s">
        <v>2787</v>
      </c>
      <c r="C859" t="s">
        <v>2788</v>
      </c>
      <c r="D859" t="s">
        <v>2789</v>
      </c>
      <c r="E859" t="s">
        <v>2790</v>
      </c>
      <c r="F859" t="s">
        <v>2791</v>
      </c>
      <c r="G859" s="2" t="str">
        <f>HYPERLINK("https://probpalata.gov.ru/files/ИП330101326800000.jpeg","Скачать индивидуальный QR-код магазина")</f>
        <v>Скачать индивидуальный QR-код магазина</v>
      </c>
    </row>
    <row r="860" spans="1:7" x14ac:dyDescent="0.25">
      <c r="A860" t="s">
        <v>2640</v>
      </c>
      <c r="B860" t="s">
        <v>2792</v>
      </c>
      <c r="C860" t="s">
        <v>2793</v>
      </c>
      <c r="D860" t="s">
        <v>2794</v>
      </c>
      <c r="E860" t="s">
        <v>2795</v>
      </c>
      <c r="F860" t="s">
        <v>2796</v>
      </c>
      <c r="G860" s="2" t="str">
        <f>HYPERLINK("https://probpalata.gov.ru/files/ЮЛ330100214900000.jpeg","Скачать индивидуальный QR-код магазина")</f>
        <v>Скачать индивидуальный QR-код магазина</v>
      </c>
    </row>
    <row r="861" spans="1:7" x14ac:dyDescent="0.25">
      <c r="A861" t="s">
        <v>2640</v>
      </c>
      <c r="B861" t="s">
        <v>2797</v>
      </c>
      <c r="C861" t="s">
        <v>2798</v>
      </c>
      <c r="D861" t="s">
        <v>2799</v>
      </c>
      <c r="E861" t="s">
        <v>2800</v>
      </c>
      <c r="F861" t="s">
        <v>2801</v>
      </c>
      <c r="G861" s="2" t="str">
        <f>HYPERLINK("https://probpalata.gov.ru/files/ИП330100631600000.jpeg","Скачать индивидуальный QR-код магазина")</f>
        <v>Скачать индивидуальный QR-код магазина</v>
      </c>
    </row>
    <row r="862" spans="1:7" x14ac:dyDescent="0.25">
      <c r="A862" t="s">
        <v>2640</v>
      </c>
      <c r="B862" t="s">
        <v>2802</v>
      </c>
      <c r="C862" t="s">
        <v>2803</v>
      </c>
      <c r="D862" t="s">
        <v>2804</v>
      </c>
      <c r="E862" t="s">
        <v>2805</v>
      </c>
      <c r="F862" t="s">
        <v>2806</v>
      </c>
      <c r="G862" s="2" t="str">
        <f>HYPERLINK("https://probpalata.gov.ru/files/ЮЛ330100940600000.jpeg","Скачать индивидуальный QR-код магазина")</f>
        <v>Скачать индивидуальный QR-код магазина</v>
      </c>
    </row>
    <row r="863" spans="1:7" x14ac:dyDescent="0.25">
      <c r="A863" t="s">
        <v>2640</v>
      </c>
      <c r="B863" t="s">
        <v>2807</v>
      </c>
      <c r="C863" t="s">
        <v>2803</v>
      </c>
      <c r="D863" t="s">
        <v>2804</v>
      </c>
      <c r="E863" t="s">
        <v>2805</v>
      </c>
      <c r="F863" t="s">
        <v>2808</v>
      </c>
      <c r="G863" s="2" t="str">
        <f>HYPERLINK("https://probpalata.gov.ru/files/ЮЛ330100940600001.jpeg","Скачать индивидуальный QR-код магазина")</f>
        <v>Скачать индивидуальный QR-код магазина</v>
      </c>
    </row>
    <row r="864" spans="1:7" x14ac:dyDescent="0.25">
      <c r="A864" t="s">
        <v>2640</v>
      </c>
      <c r="B864" t="s">
        <v>2809</v>
      </c>
      <c r="C864" t="s">
        <v>2810</v>
      </c>
      <c r="D864" t="s">
        <v>2811</v>
      </c>
      <c r="E864" t="s">
        <v>2812</v>
      </c>
      <c r="F864" t="s">
        <v>2813</v>
      </c>
      <c r="G864" s="2" t="str">
        <f>HYPERLINK("https://probpalata.gov.ru/files/ИП770103840000000.jpeg","Скачать индивидуальный QR-код магазина")</f>
        <v>Скачать индивидуальный QR-код магазина</v>
      </c>
    </row>
    <row r="865" spans="1:7" x14ac:dyDescent="0.25">
      <c r="A865" t="s">
        <v>2640</v>
      </c>
      <c r="B865" t="s">
        <v>2814</v>
      </c>
      <c r="C865" t="s">
        <v>2815</v>
      </c>
      <c r="D865" t="s">
        <v>2816</v>
      </c>
      <c r="E865" t="s">
        <v>2817</v>
      </c>
      <c r="F865" t="s">
        <v>2818</v>
      </c>
      <c r="G865" s="2" t="str">
        <f>HYPERLINK("https://probpalata.gov.ru/files/ЮЛ330100235500000.jpeg","Скачать индивидуальный QR-код магазина")</f>
        <v>Скачать индивидуальный QR-код магазина</v>
      </c>
    </row>
    <row r="866" spans="1:7" x14ac:dyDescent="0.25">
      <c r="A866" t="s">
        <v>2640</v>
      </c>
      <c r="B866" t="s">
        <v>2819</v>
      </c>
      <c r="C866" t="s">
        <v>2820</v>
      </c>
      <c r="D866" t="s">
        <v>2821</v>
      </c>
      <c r="E866" t="s">
        <v>2822</v>
      </c>
      <c r="F866" t="s">
        <v>2823</v>
      </c>
      <c r="G866" s="2" t="str">
        <f>HYPERLINK("https://probpalata.gov.ru/files/ИП770101390800000.jpeg","Скачать индивидуальный QR-код магазина")</f>
        <v>Скачать индивидуальный QR-код магазина</v>
      </c>
    </row>
    <row r="867" spans="1:7" x14ac:dyDescent="0.25">
      <c r="A867" t="s">
        <v>2640</v>
      </c>
      <c r="B867" t="s">
        <v>2824</v>
      </c>
      <c r="C867" t="s">
        <v>2825</v>
      </c>
      <c r="D867" t="s">
        <v>2826</v>
      </c>
      <c r="E867" t="s">
        <v>2827</v>
      </c>
      <c r="F867" t="s">
        <v>2828</v>
      </c>
      <c r="G867" s="2" t="str">
        <f>HYPERLINK("https://probpalata.gov.ru/files/ИП330100952600000.jpeg","Скачать индивидуальный QR-код магазина")</f>
        <v>Скачать индивидуальный QR-код магазина</v>
      </c>
    </row>
    <row r="868" spans="1:7" x14ac:dyDescent="0.25">
      <c r="A868" t="s">
        <v>2640</v>
      </c>
      <c r="B868" t="s">
        <v>2829</v>
      </c>
      <c r="C868" t="s">
        <v>2830</v>
      </c>
      <c r="D868" t="s">
        <v>2831</v>
      </c>
      <c r="E868" t="s">
        <v>2832</v>
      </c>
      <c r="F868" t="s">
        <v>2833</v>
      </c>
      <c r="G868" s="2" t="str">
        <f>HYPERLINK("https://probpalata.gov.ru/files/ИП330100261600000.jpeg","Скачать индивидуальный QR-код магазина")</f>
        <v>Скачать индивидуальный QR-код магазина</v>
      </c>
    </row>
    <row r="869" spans="1:7" x14ac:dyDescent="0.25">
      <c r="A869" t="s">
        <v>2640</v>
      </c>
      <c r="B869" t="s">
        <v>2834</v>
      </c>
      <c r="C869" t="s">
        <v>2835</v>
      </c>
      <c r="D869" t="s">
        <v>2836</v>
      </c>
      <c r="E869" t="s">
        <v>2837</v>
      </c>
      <c r="F869" t="s">
        <v>2838</v>
      </c>
      <c r="G869" s="2" t="str">
        <f>HYPERLINK("https://probpalata.gov.ru/files/ИП330101128000000.jpeg","Скачать индивидуальный QR-код магазина")</f>
        <v>Скачать индивидуальный QR-код магазина</v>
      </c>
    </row>
    <row r="870" spans="1:7" x14ac:dyDescent="0.25">
      <c r="A870" t="s">
        <v>2640</v>
      </c>
      <c r="B870" t="s">
        <v>2839</v>
      </c>
      <c r="C870" t="s">
        <v>2840</v>
      </c>
      <c r="D870" t="s">
        <v>2841</v>
      </c>
      <c r="E870" t="s">
        <v>2842</v>
      </c>
      <c r="F870" t="s">
        <v>2843</v>
      </c>
      <c r="G870" s="2" t="str">
        <f>HYPERLINK("https://probpalata.gov.ru/files/ИП330100653000000.jpeg","Скачать индивидуальный QR-код магазина")</f>
        <v>Скачать индивидуальный QR-код магазина</v>
      </c>
    </row>
    <row r="871" spans="1:7" x14ac:dyDescent="0.25">
      <c r="A871" t="s">
        <v>2640</v>
      </c>
      <c r="B871" t="s">
        <v>2844</v>
      </c>
      <c r="C871" t="s">
        <v>2845</v>
      </c>
      <c r="D871" t="s">
        <v>2846</v>
      </c>
      <c r="E871" t="s">
        <v>2847</v>
      </c>
      <c r="F871" t="s">
        <v>2848</v>
      </c>
      <c r="G871" s="2" t="str">
        <f>HYPERLINK("https://probpalata.gov.ru/files/ИП330101173600000.jpeg","Скачать индивидуальный QR-код магазина")</f>
        <v>Скачать индивидуальный QR-код магазина</v>
      </c>
    </row>
    <row r="872" spans="1:7" x14ac:dyDescent="0.25">
      <c r="A872" t="s">
        <v>2640</v>
      </c>
      <c r="B872" t="s">
        <v>2849</v>
      </c>
      <c r="C872" t="s">
        <v>2845</v>
      </c>
      <c r="D872" t="s">
        <v>2846</v>
      </c>
      <c r="E872" t="s">
        <v>2847</v>
      </c>
      <c r="F872" t="s">
        <v>2850</v>
      </c>
      <c r="G872" s="2" t="str">
        <f>HYPERLINK("https://probpalata.gov.ru/files/ИП330101173600002.jpeg","Скачать индивидуальный QR-код магазина")</f>
        <v>Скачать индивидуальный QR-код магазина</v>
      </c>
    </row>
    <row r="873" spans="1:7" x14ac:dyDescent="0.25">
      <c r="A873" t="s">
        <v>2640</v>
      </c>
      <c r="B873" t="s">
        <v>2851</v>
      </c>
      <c r="C873" t="s">
        <v>2852</v>
      </c>
      <c r="D873" t="s">
        <v>2853</v>
      </c>
      <c r="E873" t="s">
        <v>2854</v>
      </c>
      <c r="F873" t="s">
        <v>2855</v>
      </c>
      <c r="G873" s="2" t="str">
        <f>HYPERLINK("https://probpalata.gov.ru/files/ЮЛ330100038900000.jpeg","Скачать индивидуальный QR-код магазина")</f>
        <v>Скачать индивидуальный QR-код магазина</v>
      </c>
    </row>
    <row r="874" spans="1:7" x14ac:dyDescent="0.25">
      <c r="A874" t="s">
        <v>2640</v>
      </c>
      <c r="B874" t="s">
        <v>2856</v>
      </c>
      <c r="C874" t="s">
        <v>2857</v>
      </c>
      <c r="D874" t="s">
        <v>2858</v>
      </c>
      <c r="E874" t="s">
        <v>2859</v>
      </c>
      <c r="F874" t="s">
        <v>2860</v>
      </c>
      <c r="G874" s="2" t="str">
        <f>HYPERLINK("https://probpalata.gov.ru/files/ИП310100883000000.jpeg","Скачать индивидуальный QR-код магазина")</f>
        <v>Скачать индивидуальный QR-код магазина</v>
      </c>
    </row>
    <row r="875" spans="1:7" x14ac:dyDescent="0.25">
      <c r="A875" t="s">
        <v>2640</v>
      </c>
      <c r="B875" t="s">
        <v>2861</v>
      </c>
      <c r="C875" t="s">
        <v>2857</v>
      </c>
      <c r="D875" t="s">
        <v>2858</v>
      </c>
      <c r="E875" t="s">
        <v>2859</v>
      </c>
      <c r="F875" t="s">
        <v>2862</v>
      </c>
      <c r="G875" s="2" t="str">
        <f>HYPERLINK("https://probpalata.gov.ru/files/ИП310100883000001.jpeg","Скачать индивидуальный QR-код магазина")</f>
        <v>Скачать индивидуальный QR-код магазина</v>
      </c>
    </row>
    <row r="876" spans="1:7" x14ac:dyDescent="0.25">
      <c r="A876" t="s">
        <v>2640</v>
      </c>
      <c r="B876" t="s">
        <v>2863</v>
      </c>
      <c r="C876" t="s">
        <v>2864</v>
      </c>
      <c r="D876" t="s">
        <v>2865</v>
      </c>
      <c r="E876" t="s">
        <v>2866</v>
      </c>
      <c r="F876" t="s">
        <v>2867</v>
      </c>
      <c r="G876" s="2" t="str">
        <f>HYPERLINK("https://probpalata.gov.ru/files/ЮЛ330101151300000.jpeg","Скачать индивидуальный QR-код магазина")</f>
        <v>Скачать индивидуальный QR-код магазина</v>
      </c>
    </row>
    <row r="877" spans="1:7" x14ac:dyDescent="0.25">
      <c r="A877" t="s">
        <v>2640</v>
      </c>
      <c r="B877" t="s">
        <v>2868</v>
      </c>
      <c r="C877" t="s">
        <v>2869</v>
      </c>
      <c r="D877" t="s">
        <v>2870</v>
      </c>
      <c r="E877" t="s">
        <v>2871</v>
      </c>
      <c r="F877" t="s">
        <v>2872</v>
      </c>
      <c r="G877" s="2" t="str">
        <f>HYPERLINK("https://probpalata.gov.ru/files/ИП330100825900000.jpeg","Скачать индивидуальный QR-код магазина")</f>
        <v>Скачать индивидуальный QR-код магазина</v>
      </c>
    </row>
    <row r="878" spans="1:7" x14ac:dyDescent="0.25">
      <c r="A878" t="s">
        <v>2640</v>
      </c>
      <c r="B878" t="s">
        <v>2873</v>
      </c>
      <c r="C878" t="s">
        <v>2869</v>
      </c>
      <c r="D878" t="s">
        <v>2870</v>
      </c>
      <c r="E878" t="s">
        <v>2871</v>
      </c>
      <c r="F878" t="s">
        <v>2874</v>
      </c>
      <c r="G878" s="2" t="str">
        <f>HYPERLINK("https://probpalata.gov.ru/files/ИП330100825900001.jpeg","Скачать индивидуальный QR-код магазина")</f>
        <v>Скачать индивидуальный QR-код магазина</v>
      </c>
    </row>
    <row r="879" spans="1:7" x14ac:dyDescent="0.25">
      <c r="A879" t="s">
        <v>2640</v>
      </c>
      <c r="B879" t="s">
        <v>2875</v>
      </c>
      <c r="C879" t="s">
        <v>2876</v>
      </c>
      <c r="D879" t="s">
        <v>2877</v>
      </c>
      <c r="E879" t="s">
        <v>2878</v>
      </c>
      <c r="F879" t="s">
        <v>2879</v>
      </c>
      <c r="G879" s="2" t="str">
        <f>HYPERLINK("https://probpalata.gov.ru/files/ЮЛ330100098800000.jpeg","Скачать индивидуальный QR-код магазина")</f>
        <v>Скачать индивидуальный QR-код магазина</v>
      </c>
    </row>
    <row r="880" spans="1:7" x14ac:dyDescent="0.25">
      <c r="A880" t="s">
        <v>2640</v>
      </c>
      <c r="B880" t="s">
        <v>2880</v>
      </c>
      <c r="C880" t="s">
        <v>2881</v>
      </c>
      <c r="D880" t="s">
        <v>2882</v>
      </c>
      <c r="E880" t="s">
        <v>2883</v>
      </c>
      <c r="F880" t="s">
        <v>2884</v>
      </c>
      <c r="G880" s="2" t="str">
        <f>HYPERLINK("https://probpalata.gov.ru/files/ЮЛ330100249200000.jpeg","Скачать индивидуальный QR-код магазина")</f>
        <v>Скачать индивидуальный QR-код магазина</v>
      </c>
    </row>
    <row r="881" spans="1:7" x14ac:dyDescent="0.25">
      <c r="A881" t="s">
        <v>2640</v>
      </c>
      <c r="B881" t="s">
        <v>2885</v>
      </c>
      <c r="C881" t="s">
        <v>2886</v>
      </c>
      <c r="D881" t="s">
        <v>2887</v>
      </c>
      <c r="E881" t="s">
        <v>2888</v>
      </c>
      <c r="F881" t="s">
        <v>2889</v>
      </c>
      <c r="G881" s="2" t="str">
        <f>HYPERLINK("https://probpalata.gov.ru/files/ИП330100256800000.jpeg","Скачать индивидуальный QR-код магазина")</f>
        <v>Скачать индивидуальный QR-код магазина</v>
      </c>
    </row>
    <row r="882" spans="1:7" x14ac:dyDescent="0.25">
      <c r="A882" t="s">
        <v>2640</v>
      </c>
      <c r="B882" t="s">
        <v>2890</v>
      </c>
      <c r="C882" t="s">
        <v>2891</v>
      </c>
      <c r="D882" t="s">
        <v>2892</v>
      </c>
      <c r="E882" t="s">
        <v>2893</v>
      </c>
      <c r="F882" t="s">
        <v>2894</v>
      </c>
      <c r="G882" s="2" t="str">
        <f>HYPERLINK("https://probpalata.gov.ru/files/ИП330100652200000.jpeg","Скачать индивидуальный QR-код магазина")</f>
        <v>Скачать индивидуальный QR-код магазина</v>
      </c>
    </row>
    <row r="883" spans="1:7" x14ac:dyDescent="0.25">
      <c r="A883" t="s">
        <v>2640</v>
      </c>
      <c r="B883" t="s">
        <v>2895</v>
      </c>
      <c r="C883" t="s">
        <v>2896</v>
      </c>
      <c r="D883" t="s">
        <v>2897</v>
      </c>
      <c r="E883" t="s">
        <v>2898</v>
      </c>
      <c r="F883" t="s">
        <v>2899</v>
      </c>
      <c r="G883" s="2" t="str">
        <f>HYPERLINK("https://probpalata.gov.ru/files/ИП330100218300000.jpeg","Скачать индивидуальный QR-код магазина")</f>
        <v>Скачать индивидуальный QR-код магазина</v>
      </c>
    </row>
    <row r="884" spans="1:7" x14ac:dyDescent="0.25">
      <c r="A884" t="s">
        <v>2640</v>
      </c>
      <c r="B884" t="s">
        <v>2900</v>
      </c>
      <c r="C884" t="s">
        <v>2896</v>
      </c>
      <c r="D884" t="s">
        <v>2897</v>
      </c>
      <c r="E884" t="s">
        <v>2898</v>
      </c>
      <c r="F884" t="s">
        <v>2901</v>
      </c>
      <c r="G884" s="2" t="str">
        <f>HYPERLINK("https://probpalata.gov.ru/files/ИП330100218300002.jpeg","Скачать индивидуальный QR-код магазина")</f>
        <v>Скачать индивидуальный QR-код магазина</v>
      </c>
    </row>
    <row r="885" spans="1:7" x14ac:dyDescent="0.25">
      <c r="A885" t="s">
        <v>2640</v>
      </c>
      <c r="B885" t="s">
        <v>2902</v>
      </c>
      <c r="C885" t="s">
        <v>2896</v>
      </c>
      <c r="D885" t="s">
        <v>2897</v>
      </c>
      <c r="E885" t="s">
        <v>2898</v>
      </c>
      <c r="F885" t="s">
        <v>2903</v>
      </c>
      <c r="G885" s="2" t="str">
        <f>HYPERLINK("https://probpalata.gov.ru/files/ИП330100218300004.jpeg","Скачать индивидуальный QR-код магазина")</f>
        <v>Скачать индивидуальный QR-код магазина</v>
      </c>
    </row>
    <row r="886" spans="1:7" x14ac:dyDescent="0.25">
      <c r="A886" t="s">
        <v>2640</v>
      </c>
      <c r="B886" t="s">
        <v>2904</v>
      </c>
      <c r="C886" t="s">
        <v>2896</v>
      </c>
      <c r="D886" t="s">
        <v>2897</v>
      </c>
      <c r="E886" t="s">
        <v>2898</v>
      </c>
      <c r="F886" t="s">
        <v>2905</v>
      </c>
      <c r="G886" s="2" t="str">
        <f>HYPERLINK("https://probpalata.gov.ru/files/ИП330100218300005.jpeg","Скачать индивидуальный QR-код магазина")</f>
        <v>Скачать индивидуальный QR-код магазина</v>
      </c>
    </row>
    <row r="887" spans="1:7" x14ac:dyDescent="0.25">
      <c r="A887" t="s">
        <v>2640</v>
      </c>
      <c r="B887" t="s">
        <v>2906</v>
      </c>
      <c r="C887" t="s">
        <v>2907</v>
      </c>
      <c r="D887" t="s">
        <v>2908</v>
      </c>
      <c r="E887" t="s">
        <v>2909</v>
      </c>
      <c r="F887" t="s">
        <v>2910</v>
      </c>
      <c r="G887" s="2" t="str">
        <f>HYPERLINK("https://probpalata.gov.ru/files/ИП330100456100000.jpeg","Скачать индивидуальный QR-код магазина")</f>
        <v>Скачать индивидуальный QR-код магазина</v>
      </c>
    </row>
    <row r="888" spans="1:7" x14ac:dyDescent="0.25">
      <c r="A888" t="s">
        <v>2640</v>
      </c>
      <c r="B888" t="s">
        <v>2911</v>
      </c>
      <c r="C888" t="s">
        <v>2912</v>
      </c>
      <c r="D888" t="s">
        <v>2913</v>
      </c>
      <c r="E888" t="s">
        <v>2914</v>
      </c>
      <c r="F888" t="s">
        <v>2915</v>
      </c>
      <c r="G888" s="2" t="str">
        <f>HYPERLINK("https://probpalata.gov.ru/files/ИП330101359900000.jpeg","Скачать индивидуальный QR-код магазина")</f>
        <v>Скачать индивидуальный QR-код магазина</v>
      </c>
    </row>
    <row r="889" spans="1:7" x14ac:dyDescent="0.25">
      <c r="A889" t="s">
        <v>2640</v>
      </c>
      <c r="B889" t="s">
        <v>2916</v>
      </c>
      <c r="C889" t="s">
        <v>2912</v>
      </c>
      <c r="D889" t="s">
        <v>2913</v>
      </c>
      <c r="E889" t="s">
        <v>2914</v>
      </c>
      <c r="F889" t="s">
        <v>2917</v>
      </c>
      <c r="G889" s="2" t="str">
        <f>HYPERLINK("https://probpalata.gov.ru/files/ИП330101359900001.jpeg","Скачать индивидуальный QR-код магазина")</f>
        <v>Скачать индивидуальный QR-код магазина</v>
      </c>
    </row>
    <row r="890" spans="1:7" x14ac:dyDescent="0.25">
      <c r="A890" t="s">
        <v>2640</v>
      </c>
      <c r="B890" t="s">
        <v>2918</v>
      </c>
      <c r="C890" t="s">
        <v>2912</v>
      </c>
      <c r="D890" t="s">
        <v>2913</v>
      </c>
      <c r="E890" t="s">
        <v>2914</v>
      </c>
      <c r="F890" t="s">
        <v>2919</v>
      </c>
      <c r="G890" s="2" t="str">
        <f>HYPERLINK("https://probpalata.gov.ru/files/ИП330101359900002.jpeg","Скачать индивидуальный QR-код магазина")</f>
        <v>Скачать индивидуальный QR-код магазина</v>
      </c>
    </row>
    <row r="891" spans="1:7" x14ac:dyDescent="0.25">
      <c r="A891" t="s">
        <v>2640</v>
      </c>
      <c r="B891" t="s">
        <v>2920</v>
      </c>
      <c r="C891" t="s">
        <v>2921</v>
      </c>
      <c r="D891" t="s">
        <v>2922</v>
      </c>
      <c r="E891" t="s">
        <v>2923</v>
      </c>
      <c r="F891" t="s">
        <v>2924</v>
      </c>
      <c r="G891" s="2" t="str">
        <f>HYPERLINK("https://probpalata.gov.ru/files/ИП330101015800000.jpeg","Скачать индивидуальный QR-код магазина")</f>
        <v>Скачать индивидуальный QR-код магазина</v>
      </c>
    </row>
    <row r="892" spans="1:7" x14ac:dyDescent="0.25">
      <c r="A892" t="s">
        <v>2640</v>
      </c>
      <c r="B892" t="s">
        <v>2925</v>
      </c>
      <c r="C892" t="s">
        <v>2926</v>
      </c>
      <c r="D892" t="s">
        <v>2927</v>
      </c>
      <c r="E892" t="s">
        <v>2928</v>
      </c>
      <c r="F892" t="s">
        <v>2929</v>
      </c>
      <c r="G892" s="2" t="str">
        <f>HYPERLINK("https://probpalata.gov.ru/files/ИП330100900300000.jpeg","Скачать индивидуальный QR-код магазина")</f>
        <v>Скачать индивидуальный QR-код магазина</v>
      </c>
    </row>
    <row r="893" spans="1:7" x14ac:dyDescent="0.25">
      <c r="A893" t="s">
        <v>2640</v>
      </c>
      <c r="B893" t="s">
        <v>2930</v>
      </c>
      <c r="C893" t="s">
        <v>2931</v>
      </c>
      <c r="D893" t="s">
        <v>2932</v>
      </c>
      <c r="E893" t="s">
        <v>2933</v>
      </c>
      <c r="F893" t="s">
        <v>2934</v>
      </c>
      <c r="G893" s="2" t="str">
        <f>HYPERLINK("https://probpalata.gov.ru/files/ИП330100399400001.jpeg","Скачать индивидуальный QR-код магазина")</f>
        <v>Скачать индивидуальный QR-код магазина</v>
      </c>
    </row>
    <row r="894" spans="1:7" x14ac:dyDescent="0.25">
      <c r="A894" t="s">
        <v>2640</v>
      </c>
      <c r="B894" t="s">
        <v>2935</v>
      </c>
      <c r="C894" t="s">
        <v>2936</v>
      </c>
      <c r="D894" t="s">
        <v>2937</v>
      </c>
      <c r="E894" t="s">
        <v>2938</v>
      </c>
      <c r="F894" t="s">
        <v>2939</v>
      </c>
      <c r="G894" s="2" t="str">
        <f>HYPERLINK("https://probpalata.gov.ru/files/ИП330100824100000.jpeg","Скачать индивидуальный QR-код магазина")</f>
        <v>Скачать индивидуальный QR-код магазина</v>
      </c>
    </row>
    <row r="895" spans="1:7" x14ac:dyDescent="0.25">
      <c r="A895" t="s">
        <v>2640</v>
      </c>
      <c r="B895" t="s">
        <v>2940</v>
      </c>
      <c r="C895" t="s">
        <v>2941</v>
      </c>
      <c r="D895" t="s">
        <v>2942</v>
      </c>
      <c r="E895" t="s">
        <v>2943</v>
      </c>
      <c r="F895" t="s">
        <v>2944</v>
      </c>
      <c r="G895" s="2" t="str">
        <f>HYPERLINK("https://probpalata.gov.ru/files/ИП330100453100000.jpeg","Скачать индивидуальный QR-код магазина")</f>
        <v>Скачать индивидуальный QR-код магазина</v>
      </c>
    </row>
    <row r="896" spans="1:7" x14ac:dyDescent="0.25">
      <c r="A896" t="s">
        <v>2640</v>
      </c>
      <c r="B896" t="s">
        <v>2945</v>
      </c>
      <c r="C896" t="s">
        <v>2941</v>
      </c>
      <c r="D896" t="s">
        <v>2942</v>
      </c>
      <c r="E896" t="s">
        <v>2943</v>
      </c>
      <c r="F896" t="s">
        <v>2946</v>
      </c>
      <c r="G896" s="2" t="str">
        <f>HYPERLINK("https://probpalata.gov.ru/files/ИП330100453100002.jpeg","Скачать индивидуальный QR-код магазина")</f>
        <v>Скачать индивидуальный QR-код магазина</v>
      </c>
    </row>
    <row r="897" spans="1:7" x14ac:dyDescent="0.25">
      <c r="A897" t="s">
        <v>2640</v>
      </c>
      <c r="B897" t="s">
        <v>2947</v>
      </c>
      <c r="C897" t="s">
        <v>2948</v>
      </c>
      <c r="D897" t="s">
        <v>2949</v>
      </c>
      <c r="E897" t="s">
        <v>2950</v>
      </c>
      <c r="F897" t="s">
        <v>2951</v>
      </c>
      <c r="G897" s="2" t="str">
        <f>HYPERLINK("https://probpalata.gov.ru/files/ИП330100823600000.jpeg","Скачать индивидуальный QR-код магазина")</f>
        <v>Скачать индивидуальный QR-код магазина</v>
      </c>
    </row>
    <row r="898" spans="1:7" x14ac:dyDescent="0.25">
      <c r="A898" t="s">
        <v>2640</v>
      </c>
      <c r="B898" t="s">
        <v>2952</v>
      </c>
      <c r="C898" t="s">
        <v>2953</v>
      </c>
      <c r="D898" t="s">
        <v>2954</v>
      </c>
      <c r="E898" t="s">
        <v>2955</v>
      </c>
      <c r="F898" t="s">
        <v>2956</v>
      </c>
      <c r="G898" s="2" t="str">
        <f>HYPERLINK("https://probpalata.gov.ru/files/ИП300403734400000.jpeg","Скачать индивидуальный QR-код магазина")</f>
        <v>Скачать индивидуальный QR-код магазина</v>
      </c>
    </row>
    <row r="899" spans="1:7" x14ac:dyDescent="0.25">
      <c r="A899" t="s">
        <v>2640</v>
      </c>
      <c r="B899" t="s">
        <v>2957</v>
      </c>
      <c r="C899" t="s">
        <v>2958</v>
      </c>
      <c r="D899" t="s">
        <v>2959</v>
      </c>
      <c r="E899" t="s">
        <v>2960</v>
      </c>
      <c r="F899" t="s">
        <v>2961</v>
      </c>
      <c r="G899" s="2" t="str">
        <f>HYPERLINK("https://probpalata.gov.ru/files/ИП330100019500000.jpeg","Скачать индивидуальный QR-код магазина")</f>
        <v>Скачать индивидуальный QR-код магазина</v>
      </c>
    </row>
    <row r="900" spans="1:7" x14ac:dyDescent="0.25">
      <c r="A900" t="s">
        <v>2640</v>
      </c>
      <c r="B900" t="s">
        <v>2962</v>
      </c>
      <c r="C900" t="s">
        <v>2963</v>
      </c>
      <c r="D900" t="s">
        <v>2964</v>
      </c>
      <c r="E900" t="s">
        <v>2965</v>
      </c>
      <c r="F900" t="s">
        <v>2966</v>
      </c>
      <c r="G900" s="2" t="str">
        <f>HYPERLINK("https://probpalata.gov.ru/files/ЮЛ330101730800000.jpeg","Скачать индивидуальный QR-код магазина")</f>
        <v>Скачать индивидуальный QR-код магазина</v>
      </c>
    </row>
    <row r="901" spans="1:7" x14ac:dyDescent="0.25">
      <c r="A901" t="s">
        <v>2640</v>
      </c>
      <c r="B901" t="s">
        <v>2967</v>
      </c>
      <c r="C901" t="s">
        <v>2968</v>
      </c>
      <c r="D901" t="s">
        <v>2969</v>
      </c>
      <c r="E901" t="s">
        <v>2970</v>
      </c>
      <c r="F901" t="s">
        <v>2971</v>
      </c>
      <c r="G901" s="2" t="str">
        <f>HYPERLINK("https://probpalata.gov.ru/files/ЮЛ330100374100000.jpeg","Скачать индивидуальный QR-код магазина")</f>
        <v>Скачать индивидуальный QR-код магазина</v>
      </c>
    </row>
    <row r="902" spans="1:7" x14ac:dyDescent="0.25">
      <c r="A902" t="s">
        <v>2640</v>
      </c>
      <c r="B902" t="s">
        <v>2972</v>
      </c>
      <c r="C902" t="s">
        <v>2973</v>
      </c>
      <c r="D902" t="s">
        <v>2974</v>
      </c>
      <c r="E902" t="s">
        <v>2975</v>
      </c>
      <c r="F902" t="s">
        <v>2976</v>
      </c>
      <c r="G902" s="2" t="str">
        <f>HYPERLINK("https://probpalata.gov.ru/files/ЮЛ330100266000000.jpeg","Скачать индивидуальный QR-код магазина")</f>
        <v>Скачать индивидуальный QR-код магазина</v>
      </c>
    </row>
    <row r="903" spans="1:7" x14ac:dyDescent="0.25">
      <c r="A903" t="s">
        <v>2640</v>
      </c>
      <c r="B903" t="s">
        <v>2977</v>
      </c>
      <c r="C903" t="s">
        <v>2978</v>
      </c>
      <c r="D903" t="s">
        <v>2979</v>
      </c>
      <c r="E903" t="s">
        <v>2980</v>
      </c>
      <c r="F903" t="s">
        <v>2981</v>
      </c>
      <c r="G903" s="2" t="str">
        <f>HYPERLINK("https://probpalata.gov.ru/files/ЮЛ330100742600000.jpeg","Скачать индивидуальный QR-код магазина")</f>
        <v>Скачать индивидуальный QR-код магазина</v>
      </c>
    </row>
    <row r="904" spans="1:7" x14ac:dyDescent="0.25">
      <c r="A904" t="s">
        <v>2640</v>
      </c>
      <c r="B904" t="s">
        <v>2982</v>
      </c>
      <c r="C904" t="s">
        <v>2983</v>
      </c>
      <c r="D904" t="s">
        <v>2984</v>
      </c>
      <c r="E904" t="s">
        <v>2985</v>
      </c>
      <c r="F904" t="s">
        <v>2986</v>
      </c>
      <c r="G904" s="2" t="str">
        <f>HYPERLINK("https://probpalata.gov.ru/files/ЮЛ330100646700000.jpeg","Скачать индивидуальный QR-код магазина")</f>
        <v>Скачать индивидуальный QR-код магазина</v>
      </c>
    </row>
    <row r="905" spans="1:7" x14ac:dyDescent="0.25">
      <c r="A905" t="s">
        <v>2640</v>
      </c>
      <c r="B905" t="s">
        <v>2987</v>
      </c>
      <c r="C905" t="s">
        <v>2983</v>
      </c>
      <c r="D905" t="s">
        <v>2984</v>
      </c>
      <c r="E905" t="s">
        <v>2985</v>
      </c>
      <c r="F905" t="s">
        <v>2988</v>
      </c>
      <c r="G905" s="2" t="str">
        <f>HYPERLINK("https://probpalata.gov.ru/files/ЮЛ330100646700001.jpeg","Скачать индивидуальный QR-код магазина")</f>
        <v>Скачать индивидуальный QR-код магазина</v>
      </c>
    </row>
    <row r="906" spans="1:7" x14ac:dyDescent="0.25">
      <c r="A906" t="s">
        <v>2640</v>
      </c>
      <c r="B906" t="s">
        <v>2989</v>
      </c>
      <c r="C906" t="s">
        <v>2983</v>
      </c>
      <c r="D906" t="s">
        <v>2984</v>
      </c>
      <c r="E906" t="s">
        <v>2985</v>
      </c>
      <c r="F906" t="s">
        <v>2990</v>
      </c>
      <c r="G906" s="2" t="str">
        <f>HYPERLINK("https://probpalata.gov.ru/files/ЮЛ330100646700004.jpeg","Скачать индивидуальный QR-код магазина")</f>
        <v>Скачать индивидуальный QR-код магазина</v>
      </c>
    </row>
    <row r="907" spans="1:7" x14ac:dyDescent="0.25">
      <c r="A907" t="s">
        <v>2640</v>
      </c>
      <c r="B907" t="s">
        <v>2991</v>
      </c>
      <c r="C907" t="s">
        <v>2983</v>
      </c>
      <c r="D907" t="s">
        <v>2984</v>
      </c>
      <c r="E907" t="s">
        <v>2985</v>
      </c>
      <c r="F907" t="s">
        <v>2992</v>
      </c>
      <c r="G907" s="2" t="str">
        <f>HYPERLINK("https://probpalata.gov.ru/files/ЮЛ330100646700005.jpeg","Скачать индивидуальный QR-код магазина")</f>
        <v>Скачать индивидуальный QR-код магазина</v>
      </c>
    </row>
    <row r="908" spans="1:7" x14ac:dyDescent="0.25">
      <c r="A908" t="s">
        <v>2640</v>
      </c>
      <c r="B908" t="s">
        <v>2993</v>
      </c>
      <c r="C908" t="s">
        <v>2983</v>
      </c>
      <c r="D908" t="s">
        <v>2984</v>
      </c>
      <c r="E908" t="s">
        <v>2985</v>
      </c>
      <c r="F908" t="s">
        <v>2994</v>
      </c>
      <c r="G908" s="2" t="str">
        <f>HYPERLINK("https://probpalata.gov.ru/files/ЮЛ330100646700006.jpeg","Скачать индивидуальный QR-код магазина")</f>
        <v>Скачать индивидуальный QR-код магазина</v>
      </c>
    </row>
    <row r="909" spans="1:7" x14ac:dyDescent="0.25">
      <c r="A909" t="s">
        <v>2640</v>
      </c>
      <c r="B909" t="s">
        <v>2995</v>
      </c>
      <c r="C909" t="s">
        <v>2983</v>
      </c>
      <c r="D909" t="s">
        <v>2984</v>
      </c>
      <c r="E909" t="s">
        <v>2985</v>
      </c>
      <c r="F909" t="s">
        <v>2996</v>
      </c>
      <c r="G909" s="2" t="str">
        <f>HYPERLINK("https://probpalata.gov.ru/files/ЮЛ330100646700007.jpeg","Скачать индивидуальный QR-код магазина")</f>
        <v>Скачать индивидуальный QR-код магазина</v>
      </c>
    </row>
    <row r="910" spans="1:7" x14ac:dyDescent="0.25">
      <c r="A910" t="s">
        <v>2640</v>
      </c>
      <c r="B910" t="s">
        <v>2997</v>
      </c>
      <c r="C910" t="s">
        <v>2998</v>
      </c>
      <c r="D910" t="s">
        <v>2999</v>
      </c>
      <c r="E910" t="s">
        <v>3000</v>
      </c>
      <c r="F910" t="s">
        <v>3001</v>
      </c>
      <c r="G910" s="2" t="str">
        <f>HYPERLINK("https://probpalata.gov.ru/files/ИП330100034500000.jpeg","Скачать индивидуальный QR-код магазина")</f>
        <v>Скачать индивидуальный QR-код магазина</v>
      </c>
    </row>
    <row r="911" spans="1:7" x14ac:dyDescent="0.25">
      <c r="A911" t="s">
        <v>2640</v>
      </c>
      <c r="B911" t="s">
        <v>3002</v>
      </c>
      <c r="C911" t="s">
        <v>3003</v>
      </c>
      <c r="D911" t="s">
        <v>3004</v>
      </c>
      <c r="E911" t="s">
        <v>3005</v>
      </c>
      <c r="F911" t="s">
        <v>3006</v>
      </c>
      <c r="G911" s="2" t="str">
        <f>HYPERLINK("https://probpalata.gov.ru/files/ИП330101389200000.jpeg","Скачать индивидуальный QR-код магазина")</f>
        <v>Скачать индивидуальный QR-код магазина</v>
      </c>
    </row>
    <row r="912" spans="1:7" x14ac:dyDescent="0.25">
      <c r="A912" t="s">
        <v>2640</v>
      </c>
      <c r="B912" t="s">
        <v>3007</v>
      </c>
      <c r="C912" t="s">
        <v>3003</v>
      </c>
      <c r="D912" t="s">
        <v>3004</v>
      </c>
      <c r="E912" t="s">
        <v>3005</v>
      </c>
      <c r="F912" t="s">
        <v>3008</v>
      </c>
      <c r="G912" s="2" t="str">
        <f>HYPERLINK("https://probpalata.gov.ru/files/ИП330101389200001.jpeg","Скачать индивидуальный QR-код магазина")</f>
        <v>Скачать индивидуальный QR-код магазина</v>
      </c>
    </row>
    <row r="913" spans="1:7" x14ac:dyDescent="0.25">
      <c r="A913" t="s">
        <v>2640</v>
      </c>
      <c r="B913" t="s">
        <v>3009</v>
      </c>
      <c r="C913" t="s">
        <v>3010</v>
      </c>
      <c r="D913" t="s">
        <v>3011</v>
      </c>
      <c r="E913" t="s">
        <v>3012</v>
      </c>
      <c r="F913" t="s">
        <v>3013</v>
      </c>
      <c r="G913" s="2" t="str">
        <f>HYPERLINK("https://probpalata.gov.ru/files/ИП330100379900000.jpeg","Скачать индивидуальный QR-код магазина")</f>
        <v>Скачать индивидуальный QR-код магазина</v>
      </c>
    </row>
    <row r="914" spans="1:7" x14ac:dyDescent="0.25">
      <c r="A914" t="s">
        <v>2640</v>
      </c>
      <c r="B914" t="s">
        <v>3014</v>
      </c>
      <c r="C914" t="s">
        <v>3015</v>
      </c>
      <c r="D914" t="s">
        <v>3016</v>
      </c>
      <c r="E914" t="s">
        <v>3017</v>
      </c>
      <c r="F914" t="s">
        <v>3018</v>
      </c>
      <c r="G914" s="2" t="str">
        <f>HYPERLINK("https://probpalata.gov.ru/files/ЮЛ330100324400000.jpeg","Скачать индивидуальный QR-код магазина")</f>
        <v>Скачать индивидуальный QR-код магазина</v>
      </c>
    </row>
    <row r="915" spans="1:7" x14ac:dyDescent="0.25">
      <c r="A915" t="s">
        <v>2640</v>
      </c>
      <c r="B915" t="s">
        <v>3019</v>
      </c>
      <c r="C915" t="s">
        <v>3020</v>
      </c>
      <c r="D915" t="s">
        <v>3021</v>
      </c>
      <c r="E915" t="s">
        <v>3022</v>
      </c>
      <c r="F915" t="s">
        <v>3023</v>
      </c>
      <c r="G915" s="2" t="str">
        <f>HYPERLINK("https://probpalata.gov.ru/files/ИП330101268500000.jpeg","Скачать индивидуальный QR-код магазина")</f>
        <v>Скачать индивидуальный QR-код магазина</v>
      </c>
    </row>
    <row r="916" spans="1:7" x14ac:dyDescent="0.25">
      <c r="A916" t="s">
        <v>2640</v>
      </c>
      <c r="B916" t="s">
        <v>3024</v>
      </c>
      <c r="C916" t="s">
        <v>3025</v>
      </c>
      <c r="D916" t="s">
        <v>3026</v>
      </c>
      <c r="E916" t="s">
        <v>3027</v>
      </c>
      <c r="F916" t="s">
        <v>3028</v>
      </c>
      <c r="G916" s="2" t="str">
        <f>HYPERLINK("https://probpalata.gov.ru/files/ИП330103078200000.jpeg","Скачать индивидуальный QR-код магазина")</f>
        <v>Скачать индивидуальный QR-код магазина</v>
      </c>
    </row>
    <row r="917" spans="1:7" x14ac:dyDescent="0.25">
      <c r="A917" t="s">
        <v>2640</v>
      </c>
      <c r="B917" t="s">
        <v>3029</v>
      </c>
      <c r="C917" t="s">
        <v>3030</v>
      </c>
      <c r="D917" t="s">
        <v>3031</v>
      </c>
      <c r="E917" t="s">
        <v>3032</v>
      </c>
      <c r="F917" t="s">
        <v>3033</v>
      </c>
      <c r="G917" s="2" t="str">
        <f>HYPERLINK("https://probpalata.gov.ru/files/ИП770103296500000.jpeg","Скачать индивидуальный QR-код магазина")</f>
        <v>Скачать индивидуальный QR-код магазина</v>
      </c>
    </row>
    <row r="918" spans="1:7" x14ac:dyDescent="0.25">
      <c r="A918" t="s">
        <v>2640</v>
      </c>
      <c r="B918" t="s">
        <v>3034</v>
      </c>
      <c r="C918" t="s">
        <v>3035</v>
      </c>
      <c r="D918" t="s">
        <v>3036</v>
      </c>
      <c r="E918" t="s">
        <v>3037</v>
      </c>
      <c r="F918" t="s">
        <v>3038</v>
      </c>
      <c r="G918" s="2" t="str">
        <f>HYPERLINK("https://probpalata.gov.ru/files/ЮЛ330101562700000.jpeg","Скачать индивидуальный QR-код магазина")</f>
        <v>Скачать индивидуальный QR-код магазина</v>
      </c>
    </row>
    <row r="919" spans="1:7" x14ac:dyDescent="0.25">
      <c r="A919" t="s">
        <v>2640</v>
      </c>
      <c r="B919" t="s">
        <v>3039</v>
      </c>
      <c r="C919" t="s">
        <v>3035</v>
      </c>
      <c r="D919" t="s">
        <v>3036</v>
      </c>
      <c r="E919" t="s">
        <v>3037</v>
      </c>
      <c r="F919" t="s">
        <v>3040</v>
      </c>
      <c r="G919" s="2" t="str">
        <f>HYPERLINK("https://probpalata.gov.ru/files/ЮЛ330101562700002.jpeg","Скачать индивидуальный QR-код магазина")</f>
        <v>Скачать индивидуальный QR-код магазина</v>
      </c>
    </row>
    <row r="920" spans="1:7" x14ac:dyDescent="0.25">
      <c r="A920" t="s">
        <v>2640</v>
      </c>
      <c r="B920" t="s">
        <v>3041</v>
      </c>
      <c r="C920" t="s">
        <v>3035</v>
      </c>
      <c r="D920" t="s">
        <v>3036</v>
      </c>
      <c r="E920" t="s">
        <v>3037</v>
      </c>
      <c r="F920" t="s">
        <v>3042</v>
      </c>
      <c r="G920" s="2" t="str">
        <f>HYPERLINK("https://probpalata.gov.ru/files/ЮЛ330101562700003.jpeg","Скачать индивидуальный QR-код магазина")</f>
        <v>Скачать индивидуальный QR-код магазина</v>
      </c>
    </row>
    <row r="921" spans="1:7" x14ac:dyDescent="0.25">
      <c r="A921" t="s">
        <v>2640</v>
      </c>
      <c r="B921" t="s">
        <v>3043</v>
      </c>
      <c r="C921" t="s">
        <v>3035</v>
      </c>
      <c r="D921" t="s">
        <v>3036</v>
      </c>
      <c r="E921" t="s">
        <v>3037</v>
      </c>
      <c r="F921" t="s">
        <v>3044</v>
      </c>
      <c r="G921" s="2" t="str">
        <f>HYPERLINK("https://probpalata.gov.ru/files/ЮЛ330101562700004.jpeg","Скачать индивидуальный QR-код магазина")</f>
        <v>Скачать индивидуальный QR-код магазина</v>
      </c>
    </row>
    <row r="922" spans="1:7" x14ac:dyDescent="0.25">
      <c r="A922" t="s">
        <v>2640</v>
      </c>
      <c r="B922" t="s">
        <v>3045</v>
      </c>
      <c r="C922" t="s">
        <v>3035</v>
      </c>
      <c r="D922" t="s">
        <v>3036</v>
      </c>
      <c r="E922" t="s">
        <v>3037</v>
      </c>
      <c r="F922" t="s">
        <v>3046</v>
      </c>
      <c r="G922" s="2" t="str">
        <f>HYPERLINK("https://probpalata.gov.ru/files/ЮЛ330101562700005.jpeg","Скачать индивидуальный QR-код магазина")</f>
        <v>Скачать индивидуальный QR-код магазина</v>
      </c>
    </row>
    <row r="923" spans="1:7" x14ac:dyDescent="0.25">
      <c r="A923" t="s">
        <v>2640</v>
      </c>
      <c r="B923" t="s">
        <v>3047</v>
      </c>
      <c r="C923" t="s">
        <v>3035</v>
      </c>
      <c r="D923" t="s">
        <v>3036</v>
      </c>
      <c r="E923" t="s">
        <v>3037</v>
      </c>
      <c r="F923" t="s">
        <v>3048</v>
      </c>
      <c r="G923" s="2" t="str">
        <f>HYPERLINK("https://probpalata.gov.ru/files/ЮЛ330101562700006.jpeg","Скачать индивидуальный QR-код магазина")</f>
        <v>Скачать индивидуальный QR-код магазина</v>
      </c>
    </row>
    <row r="924" spans="1:7" x14ac:dyDescent="0.25">
      <c r="A924" t="s">
        <v>2640</v>
      </c>
      <c r="B924" t="s">
        <v>3049</v>
      </c>
      <c r="C924" t="s">
        <v>3050</v>
      </c>
      <c r="D924" t="s">
        <v>3051</v>
      </c>
      <c r="E924" t="s">
        <v>3052</v>
      </c>
      <c r="F924" t="s">
        <v>3053</v>
      </c>
      <c r="G924" s="2" t="str">
        <f>HYPERLINK("https://probpalata.gov.ru/files/ИП370200291700000.jpeg","Скачать индивидуальный QR-код магазина")</f>
        <v>Скачать индивидуальный QR-код магазина</v>
      </c>
    </row>
    <row r="925" spans="1:7" x14ac:dyDescent="0.25">
      <c r="A925" t="s">
        <v>2640</v>
      </c>
      <c r="B925" t="s">
        <v>3054</v>
      </c>
      <c r="C925" t="s">
        <v>3055</v>
      </c>
      <c r="D925" t="s">
        <v>3056</v>
      </c>
      <c r="E925" t="s">
        <v>3057</v>
      </c>
      <c r="F925" t="s">
        <v>3058</v>
      </c>
      <c r="G925" s="2" t="str">
        <f>HYPERLINK("https://probpalata.gov.ru/files/ИП370200420000003.jpeg","Скачать индивидуальный QR-код магазина")</f>
        <v>Скачать индивидуальный QR-код магазина</v>
      </c>
    </row>
    <row r="926" spans="1:7" x14ac:dyDescent="0.25">
      <c r="A926" t="s">
        <v>2640</v>
      </c>
      <c r="B926" t="s">
        <v>3059</v>
      </c>
      <c r="C926" t="s">
        <v>3060</v>
      </c>
      <c r="D926" t="s">
        <v>3061</v>
      </c>
      <c r="E926" t="s">
        <v>3062</v>
      </c>
      <c r="F926" t="s">
        <v>3063</v>
      </c>
      <c r="G926" s="2" t="str">
        <f>HYPERLINK("https://probpalata.gov.ru/files/ИП380803800300000.jpeg","Скачать индивидуальный QR-код магазина")</f>
        <v>Скачать индивидуальный QR-код магазина</v>
      </c>
    </row>
    <row r="927" spans="1:7" x14ac:dyDescent="0.25">
      <c r="A927" t="s">
        <v>2640</v>
      </c>
      <c r="B927" t="s">
        <v>3064</v>
      </c>
      <c r="C927" t="s">
        <v>2185</v>
      </c>
      <c r="D927" t="s">
        <v>2186</v>
      </c>
      <c r="E927" t="s">
        <v>2187</v>
      </c>
      <c r="F927" t="s">
        <v>3065</v>
      </c>
      <c r="G927" s="2" t="str">
        <f>HYPERLINK("https://probpalata.gov.ru/files/ЮЛ480100215000036.jpeg","Скачать индивидуальный QR-код магазина")</f>
        <v>Скачать индивидуальный QR-код магазина</v>
      </c>
    </row>
    <row r="928" spans="1:7" x14ac:dyDescent="0.25">
      <c r="A928" t="s">
        <v>2640</v>
      </c>
      <c r="B928" t="s">
        <v>3066</v>
      </c>
      <c r="C928" t="s">
        <v>671</v>
      </c>
      <c r="D928" t="s">
        <v>672</v>
      </c>
      <c r="E928" t="s">
        <v>673</v>
      </c>
      <c r="F928" t="s">
        <v>3067</v>
      </c>
      <c r="G928" s="2" t="str">
        <f>HYPERLINK("https://probpalata.gov.ru/files/ИП500100445500036.jpeg","Скачать индивидуальный QR-код магазина")</f>
        <v>Скачать индивидуальный QR-код магазина</v>
      </c>
    </row>
    <row r="929" spans="1:7" x14ac:dyDescent="0.25">
      <c r="A929" t="s">
        <v>2640</v>
      </c>
      <c r="B929" t="s">
        <v>3068</v>
      </c>
      <c r="C929" t="s">
        <v>3069</v>
      </c>
      <c r="D929" t="s">
        <v>3070</v>
      </c>
      <c r="E929" t="s">
        <v>3071</v>
      </c>
      <c r="F929" t="s">
        <v>3072</v>
      </c>
      <c r="G929" s="2" t="str">
        <f>HYPERLINK("https://probpalata.gov.ru/files/ИП500100862700000.jpeg","Скачать индивидуальный QR-код магазина")</f>
        <v>Скачать индивидуальный QR-код магазина</v>
      </c>
    </row>
    <row r="930" spans="1:7" x14ac:dyDescent="0.25">
      <c r="A930" t="s">
        <v>2640</v>
      </c>
      <c r="B930" t="s">
        <v>3073</v>
      </c>
      <c r="C930" t="s">
        <v>3074</v>
      </c>
      <c r="D930" t="s">
        <v>3075</v>
      </c>
      <c r="E930" t="s">
        <v>3076</v>
      </c>
      <c r="F930" t="s">
        <v>3077</v>
      </c>
      <c r="G930" s="2" t="str">
        <f>HYPERLINK("https://probpalata.gov.ru/files/ЮЛ500100252900004.jpeg","Скачать индивидуальный QR-код магазина")</f>
        <v>Скачать индивидуальный QR-код магазина</v>
      </c>
    </row>
    <row r="931" spans="1:7" x14ac:dyDescent="0.25">
      <c r="A931" t="s">
        <v>2640</v>
      </c>
      <c r="B931" t="s">
        <v>3078</v>
      </c>
      <c r="C931" t="s">
        <v>3074</v>
      </c>
      <c r="D931" t="s">
        <v>3075</v>
      </c>
      <c r="E931" t="s">
        <v>3076</v>
      </c>
      <c r="F931" t="s">
        <v>3079</v>
      </c>
      <c r="G931" s="2" t="str">
        <f>HYPERLINK("https://probpalata.gov.ru/files/ЮЛ500100252900021.jpeg","Скачать индивидуальный QR-код магазина")</f>
        <v>Скачать индивидуальный QR-код магазина</v>
      </c>
    </row>
    <row r="932" spans="1:7" x14ac:dyDescent="0.25">
      <c r="A932" t="s">
        <v>2640</v>
      </c>
      <c r="B932" t="s">
        <v>3080</v>
      </c>
      <c r="C932" t="s">
        <v>2481</v>
      </c>
      <c r="D932" t="s">
        <v>3081</v>
      </c>
      <c r="E932" t="s">
        <v>3082</v>
      </c>
      <c r="F932" t="s">
        <v>3083</v>
      </c>
      <c r="G932" s="2" t="str">
        <f>HYPERLINK("https://probpalata.gov.ru/files/ЮЛ500101182900005.jpeg","Скачать индивидуальный QR-код магазина")</f>
        <v>Скачать индивидуальный QR-код магазина</v>
      </c>
    </row>
    <row r="933" spans="1:7" x14ac:dyDescent="0.25">
      <c r="A933" t="s">
        <v>2640</v>
      </c>
      <c r="B933" t="s">
        <v>3084</v>
      </c>
      <c r="C933" t="s">
        <v>2481</v>
      </c>
      <c r="D933" t="s">
        <v>3081</v>
      </c>
      <c r="E933" t="s">
        <v>3082</v>
      </c>
      <c r="F933" t="s">
        <v>3085</v>
      </c>
      <c r="G933" s="2" t="str">
        <f>HYPERLINK("https://probpalata.gov.ru/files/ЮЛ500101182900006.jpeg","Скачать индивидуальный QR-код магазина")</f>
        <v>Скачать индивидуальный QR-код магазина</v>
      </c>
    </row>
    <row r="934" spans="1:7" x14ac:dyDescent="0.25">
      <c r="A934" t="s">
        <v>2640</v>
      </c>
      <c r="B934" t="s">
        <v>3086</v>
      </c>
      <c r="C934" t="s">
        <v>3087</v>
      </c>
      <c r="D934" t="s">
        <v>3088</v>
      </c>
      <c r="E934" t="s">
        <v>3089</v>
      </c>
      <c r="F934" t="s">
        <v>3090</v>
      </c>
      <c r="G934" s="2" t="str">
        <f>HYPERLINK("https://probpalata.gov.ru/files/ИП500100468400002.jpeg","Скачать индивидуальный QR-код магазина")</f>
        <v>Скачать индивидуальный QR-код магазина</v>
      </c>
    </row>
    <row r="935" spans="1:7" x14ac:dyDescent="0.25">
      <c r="A935" t="s">
        <v>2640</v>
      </c>
      <c r="B935" t="s">
        <v>3091</v>
      </c>
      <c r="C935" t="s">
        <v>3087</v>
      </c>
      <c r="D935" t="s">
        <v>3088</v>
      </c>
      <c r="E935" t="s">
        <v>3089</v>
      </c>
      <c r="F935" t="s">
        <v>3092</v>
      </c>
      <c r="G935" s="2" t="str">
        <f>HYPERLINK("https://probpalata.gov.ru/files/ИП500100468400005.jpeg","Скачать индивидуальный QR-код магазина")</f>
        <v>Скачать индивидуальный QR-код магазина</v>
      </c>
    </row>
    <row r="936" spans="1:7" x14ac:dyDescent="0.25">
      <c r="A936" t="s">
        <v>2640</v>
      </c>
      <c r="B936" t="s">
        <v>2682</v>
      </c>
      <c r="C936" t="s">
        <v>3087</v>
      </c>
      <c r="D936" t="s">
        <v>3088</v>
      </c>
      <c r="E936" t="s">
        <v>3089</v>
      </c>
      <c r="F936" t="s">
        <v>3093</v>
      </c>
      <c r="G936" s="2" t="str">
        <f>HYPERLINK("https://probpalata.gov.ru/files/ИП500100468400007.jpeg","Скачать индивидуальный QR-код магазина")</f>
        <v>Скачать индивидуальный QR-код магазина</v>
      </c>
    </row>
    <row r="937" spans="1:7" x14ac:dyDescent="0.25">
      <c r="A937" t="s">
        <v>2640</v>
      </c>
      <c r="B937" t="s">
        <v>3066</v>
      </c>
      <c r="C937" t="s">
        <v>3087</v>
      </c>
      <c r="D937" t="s">
        <v>3088</v>
      </c>
      <c r="E937" t="s">
        <v>3089</v>
      </c>
      <c r="F937" t="s">
        <v>3094</v>
      </c>
      <c r="G937" s="2" t="str">
        <f>HYPERLINK("https://probpalata.gov.ru/files/ИП500100468400013.jpeg","Скачать индивидуальный QR-код магазина")</f>
        <v>Скачать индивидуальный QR-код магазина</v>
      </c>
    </row>
    <row r="938" spans="1:7" x14ac:dyDescent="0.25">
      <c r="A938" t="s">
        <v>2640</v>
      </c>
      <c r="B938" t="s">
        <v>3095</v>
      </c>
      <c r="C938" t="s">
        <v>3096</v>
      </c>
      <c r="D938" t="s">
        <v>3097</v>
      </c>
      <c r="E938" t="s">
        <v>3098</v>
      </c>
      <c r="F938" t="s">
        <v>3099</v>
      </c>
      <c r="G938" s="2" t="str">
        <f>HYPERLINK("https://probpalata.gov.ru/files/ИП500100218600003.jpeg","Скачать индивидуальный QR-код магазина")</f>
        <v>Скачать индивидуальный QR-код магазина</v>
      </c>
    </row>
    <row r="939" spans="1:7" x14ac:dyDescent="0.25">
      <c r="A939" t="s">
        <v>2640</v>
      </c>
      <c r="B939" t="s">
        <v>3100</v>
      </c>
      <c r="C939" t="s">
        <v>3101</v>
      </c>
      <c r="D939" t="s">
        <v>3102</v>
      </c>
      <c r="E939" t="s">
        <v>3103</v>
      </c>
      <c r="F939" t="s">
        <v>3104</v>
      </c>
      <c r="G939" s="2" t="str">
        <f>HYPERLINK("https://probpalata.gov.ru/files/ИП330100474500001.jpeg","Скачать индивидуальный QR-код магазина")</f>
        <v>Скачать индивидуальный QR-код магазина</v>
      </c>
    </row>
    <row r="940" spans="1:7" x14ac:dyDescent="0.25">
      <c r="A940" t="s">
        <v>2640</v>
      </c>
      <c r="B940" t="s">
        <v>3105</v>
      </c>
      <c r="C940" t="s">
        <v>3101</v>
      </c>
      <c r="D940" t="s">
        <v>3102</v>
      </c>
      <c r="E940" t="s">
        <v>3103</v>
      </c>
      <c r="F940" t="s">
        <v>3106</v>
      </c>
      <c r="G940" s="2" t="str">
        <f>HYPERLINK("https://probpalata.gov.ru/files/ИП330100474500002.jpeg","Скачать индивидуальный QR-код магазина")</f>
        <v>Скачать индивидуальный QR-код магазина</v>
      </c>
    </row>
    <row r="941" spans="1:7" x14ac:dyDescent="0.25">
      <c r="A941" t="s">
        <v>2640</v>
      </c>
      <c r="B941" t="s">
        <v>3107</v>
      </c>
      <c r="C941" t="s">
        <v>3101</v>
      </c>
      <c r="D941" t="s">
        <v>3102</v>
      </c>
      <c r="E941" t="s">
        <v>3103</v>
      </c>
      <c r="F941" t="s">
        <v>3108</v>
      </c>
      <c r="G941" s="2" t="str">
        <f>HYPERLINK("https://probpalata.gov.ru/files/ИП330100474500005.jpeg","Скачать индивидуальный QR-код магазина")</f>
        <v>Скачать индивидуальный QR-код магазина</v>
      </c>
    </row>
    <row r="942" spans="1:7" x14ac:dyDescent="0.25">
      <c r="A942" t="s">
        <v>2640</v>
      </c>
      <c r="B942" t="s">
        <v>3109</v>
      </c>
      <c r="C942" t="s">
        <v>3110</v>
      </c>
      <c r="D942" t="s">
        <v>3111</v>
      </c>
      <c r="E942" t="s">
        <v>3112</v>
      </c>
      <c r="F942" t="s">
        <v>3113</v>
      </c>
      <c r="G942" s="2" t="str">
        <f>HYPERLINK("https://probpalata.gov.ru/files/ИП330100528200000.jpeg","Скачать индивидуальный QR-код магазина")</f>
        <v>Скачать индивидуальный QR-код магазина</v>
      </c>
    </row>
    <row r="943" spans="1:7" x14ac:dyDescent="0.25">
      <c r="A943" t="s">
        <v>2640</v>
      </c>
      <c r="B943" t="s">
        <v>3114</v>
      </c>
      <c r="C943" t="s">
        <v>1735</v>
      </c>
      <c r="D943" t="s">
        <v>1736</v>
      </c>
      <c r="E943" t="s">
        <v>1737</v>
      </c>
      <c r="F943" t="s">
        <v>3115</v>
      </c>
      <c r="G943" s="2" t="str">
        <f>HYPERLINK("https://probpalata.gov.ru/files/ЮЛ520603376600074.jpeg","Скачать индивидуальный QR-код магазина")</f>
        <v>Скачать индивидуальный QR-код магазина</v>
      </c>
    </row>
    <row r="944" spans="1:7" x14ac:dyDescent="0.25">
      <c r="A944" t="s">
        <v>2640</v>
      </c>
      <c r="B944" t="s">
        <v>3066</v>
      </c>
      <c r="C944" t="s">
        <v>3116</v>
      </c>
      <c r="D944" t="s">
        <v>3117</v>
      </c>
      <c r="E944" t="s">
        <v>3118</v>
      </c>
      <c r="F944" t="s">
        <v>3119</v>
      </c>
      <c r="G944" s="2" t="str">
        <f>HYPERLINK("https://probpalata.gov.ru/files/ИП520601790200017.jpeg","Скачать индивидуальный QR-код магазина")</f>
        <v>Скачать индивидуальный QR-код магазина</v>
      </c>
    </row>
    <row r="945" spans="1:7" x14ac:dyDescent="0.25">
      <c r="A945" t="s">
        <v>2640</v>
      </c>
      <c r="B945" t="s">
        <v>3120</v>
      </c>
      <c r="C945" t="s">
        <v>3116</v>
      </c>
      <c r="D945" t="s">
        <v>3117</v>
      </c>
      <c r="E945" t="s">
        <v>3118</v>
      </c>
      <c r="F945" t="s">
        <v>3121</v>
      </c>
      <c r="G945" s="2" t="str">
        <f>HYPERLINK("https://probpalata.gov.ru/files/ИП520601790200023.jpeg","Скачать индивидуальный QR-код магазина")</f>
        <v>Скачать индивидуальный QR-код магазина</v>
      </c>
    </row>
    <row r="946" spans="1:7" x14ac:dyDescent="0.25">
      <c r="A946" t="s">
        <v>2640</v>
      </c>
      <c r="B946" t="s">
        <v>3122</v>
      </c>
      <c r="C946" t="s">
        <v>3116</v>
      </c>
      <c r="D946" t="s">
        <v>3117</v>
      </c>
      <c r="E946" t="s">
        <v>3118</v>
      </c>
      <c r="F946" t="s">
        <v>3123</v>
      </c>
      <c r="G946" s="2" t="str">
        <f>HYPERLINK("https://probpalata.gov.ru/files/ИП520601790200031.jpeg","Скачать индивидуальный QR-код магазина")</f>
        <v>Скачать индивидуальный QR-код магазина</v>
      </c>
    </row>
    <row r="947" spans="1:7" x14ac:dyDescent="0.25">
      <c r="A947" t="s">
        <v>2640</v>
      </c>
      <c r="B947" t="s">
        <v>3124</v>
      </c>
      <c r="C947" t="s">
        <v>3116</v>
      </c>
      <c r="D947" t="s">
        <v>3117</v>
      </c>
      <c r="E947" t="s">
        <v>3118</v>
      </c>
      <c r="F947" t="s">
        <v>3125</v>
      </c>
      <c r="G947" s="2" t="str">
        <f>HYPERLINK("https://probpalata.gov.ru/files/ИП520601790200051.jpeg","Скачать индивидуальный QR-код магазина")</f>
        <v>Скачать индивидуальный QR-код магазина</v>
      </c>
    </row>
    <row r="948" spans="1:7" x14ac:dyDescent="0.25">
      <c r="A948" t="s">
        <v>2640</v>
      </c>
      <c r="B948" t="s">
        <v>3126</v>
      </c>
      <c r="C948" t="s">
        <v>3127</v>
      </c>
      <c r="D948" t="s">
        <v>3128</v>
      </c>
      <c r="E948" t="s">
        <v>3129</v>
      </c>
      <c r="F948" t="s">
        <v>3130</v>
      </c>
      <c r="G948" s="2" t="str">
        <f>HYPERLINK("https://probpalata.gov.ru/files/ИП500100388700001.jpeg","Скачать индивидуальный QR-код магазина")</f>
        <v>Скачать индивидуальный QR-код магазина</v>
      </c>
    </row>
    <row r="949" spans="1:7" x14ac:dyDescent="0.25">
      <c r="A949" t="s">
        <v>2640</v>
      </c>
      <c r="B949" t="s">
        <v>3122</v>
      </c>
      <c r="C949" t="s">
        <v>703</v>
      </c>
      <c r="D949" t="s">
        <v>704</v>
      </c>
      <c r="E949" t="s">
        <v>705</v>
      </c>
      <c r="F949" t="s">
        <v>3131</v>
      </c>
      <c r="G949" s="2" t="str">
        <f>HYPERLINK("https://probpalata.gov.ru/files/ИП610400426600021.jpeg","Скачать индивидуальный QR-код магазина")</f>
        <v>Скачать индивидуальный QR-код магазина</v>
      </c>
    </row>
    <row r="950" spans="1:7" x14ac:dyDescent="0.25">
      <c r="A950" t="s">
        <v>2640</v>
      </c>
      <c r="B950" t="s">
        <v>3132</v>
      </c>
      <c r="C950" t="s">
        <v>3133</v>
      </c>
      <c r="D950" t="s">
        <v>3134</v>
      </c>
      <c r="E950" t="s">
        <v>3135</v>
      </c>
      <c r="F950" t="s">
        <v>3136</v>
      </c>
      <c r="G950" s="2" t="str">
        <f>HYPERLINK("https://probpalata.gov.ru/files/ИП610401294100007.jpeg","Скачать индивидуальный QR-код магазина")</f>
        <v>Скачать индивидуальный QR-код магазина</v>
      </c>
    </row>
    <row r="951" spans="1:7" x14ac:dyDescent="0.25">
      <c r="A951" t="s">
        <v>2640</v>
      </c>
      <c r="B951" t="s">
        <v>3137</v>
      </c>
      <c r="C951" t="s">
        <v>3138</v>
      </c>
      <c r="D951" t="s">
        <v>3139</v>
      </c>
      <c r="E951" t="s">
        <v>3140</v>
      </c>
      <c r="F951" t="s">
        <v>3141</v>
      </c>
      <c r="G951" s="2" t="str">
        <f>HYPERLINK("https://probpalata.gov.ru/files/ИП330103922500000.jpeg","Скачать индивидуальный QR-код магазина")</f>
        <v>Скачать индивидуальный QR-код магазина</v>
      </c>
    </row>
    <row r="952" spans="1:7" x14ac:dyDescent="0.25">
      <c r="A952" t="s">
        <v>2640</v>
      </c>
      <c r="B952" t="s">
        <v>3142</v>
      </c>
      <c r="C952" t="s">
        <v>1740</v>
      </c>
      <c r="D952" t="s">
        <v>1741</v>
      </c>
      <c r="E952" t="s">
        <v>1742</v>
      </c>
      <c r="F952" t="s">
        <v>3143</v>
      </c>
      <c r="G952" s="2" t="str">
        <f>HYPERLINK("https://probpalata.gov.ru/files/ЮЛ760201190700010.jpeg","Скачать индивидуальный QR-код магазина")</f>
        <v>Скачать индивидуальный QR-код магазина</v>
      </c>
    </row>
    <row r="953" spans="1:7" x14ac:dyDescent="0.25">
      <c r="A953" t="s">
        <v>2640</v>
      </c>
      <c r="B953" t="s">
        <v>3144</v>
      </c>
      <c r="C953" t="s">
        <v>1745</v>
      </c>
      <c r="D953" t="s">
        <v>1746</v>
      </c>
      <c r="E953" t="s">
        <v>1747</v>
      </c>
      <c r="F953" t="s">
        <v>3145</v>
      </c>
      <c r="G953" s="2" t="str">
        <f>HYPERLINK("https://probpalata.gov.ru/files/ЮЛ770100201500521.jpeg","Скачать индивидуальный QR-код магазина")</f>
        <v>Скачать индивидуальный QR-код магазина</v>
      </c>
    </row>
    <row r="954" spans="1:7" x14ac:dyDescent="0.25">
      <c r="A954" t="s">
        <v>2640</v>
      </c>
      <c r="B954" t="s">
        <v>3146</v>
      </c>
      <c r="C954" t="s">
        <v>3147</v>
      </c>
      <c r="D954" t="s">
        <v>3148</v>
      </c>
      <c r="E954" t="s">
        <v>3149</v>
      </c>
      <c r="F954" t="s">
        <v>3150</v>
      </c>
      <c r="G954" s="2" t="str">
        <f>HYPERLINK("https://probpalata.gov.ru/files/ЮЛ330100492500000.jpeg","Скачать индивидуальный QR-код магазина")</f>
        <v>Скачать индивидуальный QR-код магазина</v>
      </c>
    </row>
    <row r="955" spans="1:7" x14ac:dyDescent="0.25">
      <c r="A955" t="s">
        <v>2640</v>
      </c>
      <c r="B955" t="s">
        <v>3151</v>
      </c>
      <c r="C955" t="s">
        <v>3152</v>
      </c>
      <c r="D955" t="s">
        <v>3153</v>
      </c>
      <c r="E955" t="s">
        <v>3154</v>
      </c>
      <c r="F955" t="s">
        <v>3155</v>
      </c>
      <c r="G955" s="2" t="str">
        <f>HYPERLINK("https://probpalata.gov.ru/files/ИП770101414200000.jpeg","Скачать индивидуальный QR-код магазина")</f>
        <v>Скачать индивидуальный QR-код магазина</v>
      </c>
    </row>
    <row r="956" spans="1:7" x14ac:dyDescent="0.25">
      <c r="A956" t="s">
        <v>2640</v>
      </c>
      <c r="B956" t="s">
        <v>3156</v>
      </c>
      <c r="C956" t="s">
        <v>3157</v>
      </c>
      <c r="D956" t="s">
        <v>3158</v>
      </c>
      <c r="E956" t="s">
        <v>3159</v>
      </c>
      <c r="F956" t="s">
        <v>3160</v>
      </c>
      <c r="G956" s="2" t="str">
        <f>HYPERLINK("https://probpalata.gov.ru/files/ИП770100417900012.jpeg","Скачать индивидуальный QR-код магазина")</f>
        <v>Скачать индивидуальный QR-код магазина</v>
      </c>
    </row>
    <row r="957" spans="1:7" x14ac:dyDescent="0.25">
      <c r="A957" t="s">
        <v>2640</v>
      </c>
      <c r="B957" t="s">
        <v>3161</v>
      </c>
      <c r="C957" t="s">
        <v>3157</v>
      </c>
      <c r="D957" t="s">
        <v>3158</v>
      </c>
      <c r="E957" t="s">
        <v>3159</v>
      </c>
      <c r="F957" t="s">
        <v>3162</v>
      </c>
      <c r="G957" s="2" t="str">
        <f>HYPERLINK("https://probpalata.gov.ru/files/ИП770100417900052.jpeg","Скачать индивидуальный QR-код магазина")</f>
        <v>Скачать индивидуальный QR-код магазина</v>
      </c>
    </row>
    <row r="958" spans="1:7" x14ac:dyDescent="0.25">
      <c r="A958" t="s">
        <v>2640</v>
      </c>
      <c r="B958" t="s">
        <v>3163</v>
      </c>
      <c r="C958" t="s">
        <v>713</v>
      </c>
      <c r="D958" t="s">
        <v>714</v>
      </c>
      <c r="E958" t="s">
        <v>715</v>
      </c>
      <c r="F958" t="s">
        <v>3164</v>
      </c>
      <c r="G958" s="2" t="str">
        <f>HYPERLINK("https://probpalata.gov.ru/files/ЮЛ770101216600281.jpeg","Скачать индивидуальный QR-код магазина")</f>
        <v>Скачать индивидуальный QR-код магазина</v>
      </c>
    </row>
    <row r="959" spans="1:7" x14ac:dyDescent="0.25">
      <c r="A959" t="s">
        <v>2640</v>
      </c>
      <c r="B959" t="s">
        <v>3165</v>
      </c>
      <c r="C959" t="s">
        <v>713</v>
      </c>
      <c r="D959" t="s">
        <v>714</v>
      </c>
      <c r="E959" t="s">
        <v>715</v>
      </c>
      <c r="F959" t="s">
        <v>3166</v>
      </c>
      <c r="G959" s="2" t="str">
        <f>HYPERLINK("https://probpalata.gov.ru/files/ЮЛ770101216600326.jpeg","Скачать индивидуальный QR-код магазина")</f>
        <v>Скачать индивидуальный QR-код магазина</v>
      </c>
    </row>
    <row r="960" spans="1:7" x14ac:dyDescent="0.25">
      <c r="A960" t="s">
        <v>2640</v>
      </c>
      <c r="B960" t="s">
        <v>3167</v>
      </c>
      <c r="C960" t="s">
        <v>713</v>
      </c>
      <c r="D960" t="s">
        <v>714</v>
      </c>
      <c r="E960" t="s">
        <v>715</v>
      </c>
      <c r="F960" t="s">
        <v>3168</v>
      </c>
      <c r="G960" s="2" t="str">
        <f>HYPERLINK("https://probpalata.gov.ru/files/ЮЛ770101216600388.jpeg","Скачать индивидуальный QR-код магазина")</f>
        <v>Скачать индивидуальный QR-код магазина</v>
      </c>
    </row>
    <row r="961" spans="1:7" x14ac:dyDescent="0.25">
      <c r="A961" t="s">
        <v>2640</v>
      </c>
      <c r="B961" t="s">
        <v>3169</v>
      </c>
      <c r="C961" t="s">
        <v>713</v>
      </c>
      <c r="D961" t="s">
        <v>714</v>
      </c>
      <c r="E961" t="s">
        <v>715</v>
      </c>
      <c r="F961" t="s">
        <v>3170</v>
      </c>
      <c r="G961" s="2" t="str">
        <f>HYPERLINK("https://probpalata.gov.ru/files/ЮЛ770101216600470.jpeg","Скачать индивидуальный QR-код магазина")</f>
        <v>Скачать индивидуальный QR-код магазина</v>
      </c>
    </row>
    <row r="962" spans="1:7" x14ac:dyDescent="0.25">
      <c r="A962" t="s">
        <v>2640</v>
      </c>
      <c r="B962" t="s">
        <v>3171</v>
      </c>
      <c r="C962" t="s">
        <v>713</v>
      </c>
      <c r="D962" t="s">
        <v>714</v>
      </c>
      <c r="E962" t="s">
        <v>715</v>
      </c>
      <c r="F962" t="s">
        <v>3172</v>
      </c>
      <c r="G962" s="2" t="str">
        <f>HYPERLINK("https://probpalata.gov.ru/files/ЮЛ770101216600548.jpeg","Скачать индивидуальный QR-код магазина")</f>
        <v>Скачать индивидуальный QR-код магазина</v>
      </c>
    </row>
    <row r="963" spans="1:7" x14ac:dyDescent="0.25">
      <c r="A963" t="s">
        <v>2640</v>
      </c>
      <c r="B963" t="s">
        <v>3173</v>
      </c>
      <c r="C963" t="s">
        <v>713</v>
      </c>
      <c r="D963" t="s">
        <v>714</v>
      </c>
      <c r="E963" t="s">
        <v>715</v>
      </c>
      <c r="F963" t="s">
        <v>3174</v>
      </c>
      <c r="G963" s="2" t="str">
        <f>HYPERLINK("https://probpalata.gov.ru/files/ЮЛ770101216600878.jpeg","Скачать индивидуальный QR-код магазина")</f>
        <v>Скачать индивидуальный QR-код магазина</v>
      </c>
    </row>
    <row r="964" spans="1:7" x14ac:dyDescent="0.25">
      <c r="A964" t="s">
        <v>2640</v>
      </c>
      <c r="B964" t="s">
        <v>3175</v>
      </c>
      <c r="C964" t="s">
        <v>713</v>
      </c>
      <c r="D964" t="s">
        <v>714</v>
      </c>
      <c r="E964" t="s">
        <v>715</v>
      </c>
      <c r="F964" t="s">
        <v>3176</v>
      </c>
      <c r="G964" s="2" t="str">
        <f>HYPERLINK("https://probpalata.gov.ru/files/ЮЛ770101216600918.jpeg","Скачать индивидуальный QR-код магазина")</f>
        <v>Скачать индивидуальный QR-код магазина</v>
      </c>
    </row>
    <row r="965" spans="1:7" x14ac:dyDescent="0.25">
      <c r="A965" t="s">
        <v>2640</v>
      </c>
      <c r="B965" t="s">
        <v>3177</v>
      </c>
      <c r="C965" t="s">
        <v>1416</v>
      </c>
      <c r="D965" t="s">
        <v>1417</v>
      </c>
      <c r="E965" t="s">
        <v>1418</v>
      </c>
      <c r="F965" t="s">
        <v>3178</v>
      </c>
      <c r="G965" s="2" t="str">
        <f>HYPERLINK("https://probpalata.gov.ru/files/ЮЛ770100419400067.jpeg","Скачать индивидуальный QR-код магазина")</f>
        <v>Скачать индивидуальный QR-код магазина</v>
      </c>
    </row>
    <row r="966" spans="1:7" x14ac:dyDescent="0.25">
      <c r="A966" t="s">
        <v>2640</v>
      </c>
      <c r="B966" t="s">
        <v>3066</v>
      </c>
      <c r="C966" t="s">
        <v>1416</v>
      </c>
      <c r="D966" t="s">
        <v>1417</v>
      </c>
      <c r="E966" t="s">
        <v>1418</v>
      </c>
      <c r="F966" t="s">
        <v>3179</v>
      </c>
      <c r="G966" s="2" t="str">
        <f>HYPERLINK("https://probpalata.gov.ru/files/ЮЛ770100419400073.jpeg","Скачать индивидуальный QR-код магазина")</f>
        <v>Скачать индивидуальный QR-код магазина</v>
      </c>
    </row>
    <row r="967" spans="1:7" x14ac:dyDescent="0.25">
      <c r="A967" t="s">
        <v>2640</v>
      </c>
      <c r="B967" t="s">
        <v>3180</v>
      </c>
      <c r="C967" t="s">
        <v>3181</v>
      </c>
      <c r="D967" t="s">
        <v>3182</v>
      </c>
      <c r="E967" t="s">
        <v>3183</v>
      </c>
      <c r="F967" t="s">
        <v>3184</v>
      </c>
      <c r="G967" s="2" t="str">
        <f>HYPERLINK("https://probpalata.gov.ru/files/ЮЛ770100490000001.jpeg","Скачать индивидуальный QR-код магазина")</f>
        <v>Скачать индивидуальный QR-код магазина</v>
      </c>
    </row>
    <row r="968" spans="1:7" x14ac:dyDescent="0.25">
      <c r="A968" t="s">
        <v>2640</v>
      </c>
      <c r="B968" t="s">
        <v>3185</v>
      </c>
      <c r="C968" t="s">
        <v>3186</v>
      </c>
      <c r="D968" t="s">
        <v>3187</v>
      </c>
      <c r="E968" t="s">
        <v>3188</v>
      </c>
      <c r="F968" t="s">
        <v>3189</v>
      </c>
      <c r="G968" s="2" t="str">
        <f>HYPERLINK("https://probpalata.gov.ru/files/ИП770100654700009.jpeg","Скачать индивидуальный QR-код магазина")</f>
        <v>Скачать индивидуальный QR-код магазина</v>
      </c>
    </row>
    <row r="969" spans="1:7" x14ac:dyDescent="0.25">
      <c r="A969" t="s">
        <v>2640</v>
      </c>
      <c r="B969" t="s">
        <v>3190</v>
      </c>
      <c r="C969" t="s">
        <v>3186</v>
      </c>
      <c r="D969" t="s">
        <v>3187</v>
      </c>
      <c r="E969" t="s">
        <v>3188</v>
      </c>
      <c r="F969" t="s">
        <v>3191</v>
      </c>
      <c r="G969" s="2" t="str">
        <f>HYPERLINK("https://probpalata.gov.ru/files/ИП770100654700010.jpeg","Скачать индивидуальный QR-код магазина")</f>
        <v>Скачать индивидуальный QR-код магазина</v>
      </c>
    </row>
    <row r="970" spans="1:7" x14ac:dyDescent="0.25">
      <c r="A970" t="s">
        <v>2640</v>
      </c>
      <c r="B970" t="s">
        <v>3192</v>
      </c>
      <c r="C970" t="s">
        <v>3186</v>
      </c>
      <c r="D970" t="s">
        <v>3187</v>
      </c>
      <c r="E970" t="s">
        <v>3188</v>
      </c>
      <c r="F970" t="s">
        <v>3193</v>
      </c>
      <c r="G970" s="2" t="str">
        <f>HYPERLINK("https://probpalata.gov.ru/files/ИП770100654700015.jpeg","Скачать индивидуальный QR-код магазина")</f>
        <v>Скачать индивидуальный QR-код магазина</v>
      </c>
    </row>
    <row r="971" spans="1:7" x14ac:dyDescent="0.25">
      <c r="A971" t="s">
        <v>2640</v>
      </c>
      <c r="B971" t="s">
        <v>3194</v>
      </c>
      <c r="C971" t="s">
        <v>748</v>
      </c>
      <c r="D971" t="s">
        <v>749</v>
      </c>
      <c r="E971" t="s">
        <v>750</v>
      </c>
      <c r="F971" t="s">
        <v>3195</v>
      </c>
      <c r="G971" s="2" t="str">
        <f>HYPERLINK("https://probpalata.gov.ru/files/ЮЛ770100193500107.jpeg","Скачать индивидуальный QR-код магазина")</f>
        <v>Скачать индивидуальный QR-код магазина</v>
      </c>
    </row>
    <row r="972" spans="1:7" x14ac:dyDescent="0.25">
      <c r="A972" t="s">
        <v>2640</v>
      </c>
      <c r="B972" t="s">
        <v>3196</v>
      </c>
      <c r="C972" t="s">
        <v>748</v>
      </c>
      <c r="D972" t="s">
        <v>749</v>
      </c>
      <c r="E972" t="s">
        <v>750</v>
      </c>
      <c r="F972" t="s">
        <v>3197</v>
      </c>
      <c r="G972" s="2" t="str">
        <f>HYPERLINK("https://probpalata.gov.ru/files/ЮЛ770100193500108.jpeg","Скачать индивидуальный QR-код магазина")</f>
        <v>Скачать индивидуальный QR-код магазина</v>
      </c>
    </row>
    <row r="973" spans="1:7" x14ac:dyDescent="0.25">
      <c r="A973" t="s">
        <v>2640</v>
      </c>
      <c r="B973" t="s">
        <v>3198</v>
      </c>
      <c r="C973" t="s">
        <v>748</v>
      </c>
      <c r="D973" t="s">
        <v>749</v>
      </c>
      <c r="E973" t="s">
        <v>750</v>
      </c>
      <c r="F973" t="s">
        <v>3199</v>
      </c>
      <c r="G973" s="2" t="str">
        <f>HYPERLINK("https://probpalata.gov.ru/files/ЮЛ770100193500109.jpeg","Скачать индивидуальный QR-код магазина")</f>
        <v>Скачать индивидуальный QR-код магазина</v>
      </c>
    </row>
    <row r="974" spans="1:7" x14ac:dyDescent="0.25">
      <c r="A974" t="s">
        <v>2640</v>
      </c>
      <c r="B974" t="s">
        <v>3200</v>
      </c>
      <c r="C974" t="s">
        <v>748</v>
      </c>
      <c r="D974" t="s">
        <v>749</v>
      </c>
      <c r="E974" t="s">
        <v>750</v>
      </c>
      <c r="F974" t="s">
        <v>3201</v>
      </c>
      <c r="G974" s="2" t="str">
        <f>HYPERLINK("https://probpalata.gov.ru/files/ЮЛ770100193500110.jpeg","Скачать индивидуальный QR-код магазина")</f>
        <v>Скачать индивидуальный QR-код магазина</v>
      </c>
    </row>
    <row r="975" spans="1:7" x14ac:dyDescent="0.25">
      <c r="A975" t="s">
        <v>2640</v>
      </c>
      <c r="B975" t="s">
        <v>3202</v>
      </c>
      <c r="C975" t="s">
        <v>748</v>
      </c>
      <c r="D975" t="s">
        <v>749</v>
      </c>
      <c r="E975" t="s">
        <v>750</v>
      </c>
      <c r="F975" t="s">
        <v>3203</v>
      </c>
      <c r="G975" s="2" t="str">
        <f>HYPERLINK("https://probpalata.gov.ru/files/ЮЛ770100193500518.jpeg","Скачать индивидуальный QR-код магазина")</f>
        <v>Скачать индивидуальный QR-код магазина</v>
      </c>
    </row>
    <row r="976" spans="1:7" x14ac:dyDescent="0.25">
      <c r="A976" t="s">
        <v>2640</v>
      </c>
      <c r="B976" t="s">
        <v>3204</v>
      </c>
      <c r="C976" t="s">
        <v>748</v>
      </c>
      <c r="D976" t="s">
        <v>749</v>
      </c>
      <c r="E976" t="s">
        <v>750</v>
      </c>
      <c r="F976" t="s">
        <v>3205</v>
      </c>
      <c r="G976" s="2" t="str">
        <f>HYPERLINK("https://probpalata.gov.ru/files/ЮЛ770100193500577.jpeg","Скачать индивидуальный QR-код магазина")</f>
        <v>Скачать индивидуальный QR-код магазина</v>
      </c>
    </row>
    <row r="977" spans="1:7" x14ac:dyDescent="0.25">
      <c r="A977" t="s">
        <v>2640</v>
      </c>
      <c r="B977" t="s">
        <v>3206</v>
      </c>
      <c r="C977" t="s">
        <v>748</v>
      </c>
      <c r="D977" t="s">
        <v>749</v>
      </c>
      <c r="E977" t="s">
        <v>750</v>
      </c>
      <c r="F977" t="s">
        <v>3207</v>
      </c>
      <c r="G977" s="2" t="str">
        <f>HYPERLINK("https://probpalata.gov.ru/files/ЮЛ770100193500887.jpeg","Скачать индивидуальный QR-код магазина")</f>
        <v>Скачать индивидуальный QR-код магазина</v>
      </c>
    </row>
    <row r="978" spans="1:7" x14ac:dyDescent="0.25">
      <c r="A978" t="s">
        <v>2640</v>
      </c>
      <c r="B978" t="s">
        <v>3208</v>
      </c>
      <c r="C978" t="s">
        <v>748</v>
      </c>
      <c r="D978" t="s">
        <v>749</v>
      </c>
      <c r="E978" t="s">
        <v>750</v>
      </c>
      <c r="F978" t="s">
        <v>3209</v>
      </c>
      <c r="G978" s="2" t="str">
        <f>HYPERLINK("https://probpalata.gov.ru/files/ЮЛ770100193500902.jpeg","Скачать индивидуальный QR-код магазина")</f>
        <v>Скачать индивидуальный QR-код магазина</v>
      </c>
    </row>
    <row r="979" spans="1:7" x14ac:dyDescent="0.25">
      <c r="A979" t="s">
        <v>2640</v>
      </c>
      <c r="B979" t="s">
        <v>3210</v>
      </c>
      <c r="C979" t="s">
        <v>773</v>
      </c>
      <c r="D979" t="s">
        <v>774</v>
      </c>
      <c r="E979" t="s">
        <v>775</v>
      </c>
      <c r="F979" t="s">
        <v>3211</v>
      </c>
      <c r="G979" s="2" t="str">
        <f>HYPERLINK("https://probpalata.gov.ru/files/ЮЛ780300131300492.jpeg","Скачать индивидуальный QR-код магазина")</f>
        <v>Скачать индивидуальный QR-код магазина</v>
      </c>
    </row>
    <row r="980" spans="1:7" x14ac:dyDescent="0.25">
      <c r="A980" t="s">
        <v>2640</v>
      </c>
      <c r="B980" t="s">
        <v>3212</v>
      </c>
      <c r="C980" t="s">
        <v>787</v>
      </c>
      <c r="D980" t="s">
        <v>788</v>
      </c>
      <c r="E980" t="s">
        <v>789</v>
      </c>
      <c r="F980" t="s">
        <v>3213</v>
      </c>
      <c r="G980" s="2" t="str">
        <f>HYPERLINK("https://probpalata.gov.ru/files/ЮЛ780300328000052.jpeg","Скачать индивидуальный QR-код магазина")</f>
        <v>Скачать индивидуальный QR-код магазина</v>
      </c>
    </row>
    <row r="981" spans="1:7" x14ac:dyDescent="0.25">
      <c r="A981" t="s">
        <v>2640</v>
      </c>
      <c r="B981" t="s">
        <v>3214</v>
      </c>
      <c r="C981" t="s">
        <v>791</v>
      </c>
      <c r="D981" t="s">
        <v>792</v>
      </c>
      <c r="E981" t="s">
        <v>793</v>
      </c>
      <c r="F981" t="s">
        <v>3215</v>
      </c>
      <c r="G981" s="2" t="str">
        <f>HYPERLINK("https://probpalata.gov.ru/files/ЮЛ780300323500054.jpeg","Скачать индивидуальный QR-код магазина")</f>
        <v>Скачать индивидуальный QR-код магазина</v>
      </c>
    </row>
    <row r="982" spans="1:7" x14ac:dyDescent="0.25">
      <c r="A982" t="s">
        <v>2640</v>
      </c>
      <c r="B982" t="s">
        <v>3216</v>
      </c>
      <c r="C982" t="s">
        <v>798</v>
      </c>
      <c r="D982" t="s">
        <v>799</v>
      </c>
      <c r="E982" t="s">
        <v>800</v>
      </c>
      <c r="F982" t="s">
        <v>3217</v>
      </c>
      <c r="G982" s="2" t="str">
        <f>HYPERLINK("https://probpalata.gov.ru/files/ЮЛ780300308200208.jpeg","Скачать индивидуальный QR-код магазина")</f>
        <v>Скачать индивидуальный QR-код магазина</v>
      </c>
    </row>
    <row r="983" spans="1:7" x14ac:dyDescent="0.25">
      <c r="A983" t="s">
        <v>2640</v>
      </c>
      <c r="B983" t="s">
        <v>3066</v>
      </c>
      <c r="C983" t="s">
        <v>798</v>
      </c>
      <c r="D983" t="s">
        <v>799</v>
      </c>
      <c r="E983" t="s">
        <v>800</v>
      </c>
      <c r="F983" t="s">
        <v>3218</v>
      </c>
      <c r="G983" s="2" t="str">
        <f>HYPERLINK("https://probpalata.gov.ru/files/ЮЛ780300308200602.jpeg","Скачать индивидуальный QR-код магазина")</f>
        <v>Скачать индивидуальный QR-код магазина</v>
      </c>
    </row>
    <row r="984" spans="1:7" x14ac:dyDescent="0.25">
      <c r="A984" t="s">
        <v>2640</v>
      </c>
      <c r="B984" t="s">
        <v>3219</v>
      </c>
      <c r="C984" t="s">
        <v>798</v>
      </c>
      <c r="D984" t="s">
        <v>799</v>
      </c>
      <c r="E984" t="s">
        <v>800</v>
      </c>
      <c r="F984" t="s">
        <v>3220</v>
      </c>
      <c r="G984" s="2" t="str">
        <f>HYPERLINK("https://probpalata.gov.ru/files/ЮЛ780300308200626.jpeg","Скачать индивидуальный QR-код магазина")</f>
        <v>Скачать индивидуальный QR-код магазина</v>
      </c>
    </row>
    <row r="985" spans="1:7" x14ac:dyDescent="0.25">
      <c r="A985" t="s">
        <v>2640</v>
      </c>
      <c r="B985" t="s">
        <v>3221</v>
      </c>
      <c r="C985" t="s">
        <v>798</v>
      </c>
      <c r="D985" t="s">
        <v>799</v>
      </c>
      <c r="E985" t="s">
        <v>800</v>
      </c>
      <c r="F985" t="s">
        <v>3222</v>
      </c>
      <c r="G985" s="2" t="str">
        <f>HYPERLINK("https://probpalata.gov.ru/files/ЮЛ780300308200728.jpeg","Скачать индивидуальный QR-код магазина")</f>
        <v>Скачать индивидуальный QR-код магазина</v>
      </c>
    </row>
    <row r="986" spans="1:7" x14ac:dyDescent="0.25">
      <c r="A986" t="s">
        <v>2640</v>
      </c>
      <c r="B986" t="s">
        <v>3210</v>
      </c>
      <c r="C986" t="s">
        <v>798</v>
      </c>
      <c r="D986" t="s">
        <v>799</v>
      </c>
      <c r="E986" t="s">
        <v>800</v>
      </c>
      <c r="F986" t="s">
        <v>3223</v>
      </c>
      <c r="G986" s="2" t="str">
        <f>HYPERLINK("https://probpalata.gov.ru/files/ЮЛ780300308200740.jpeg","Скачать индивидуальный QR-код магазина")</f>
        <v>Скачать индивидуальный QR-код магазина</v>
      </c>
    </row>
    <row r="987" spans="1:7" x14ac:dyDescent="0.25">
      <c r="A987" t="s">
        <v>2640</v>
      </c>
      <c r="B987" t="s">
        <v>3224</v>
      </c>
      <c r="C987" t="s">
        <v>823</v>
      </c>
      <c r="D987" t="s">
        <v>824</v>
      </c>
      <c r="E987" t="s">
        <v>825</v>
      </c>
      <c r="F987" t="s">
        <v>3225</v>
      </c>
      <c r="G987" s="2" t="str">
        <f>HYPERLINK("https://probpalata.gov.ru/files/ЮЛ780300363500009.jpeg","Скачать индивидуальный QR-код магазина")</f>
        <v>Скачать индивидуальный QR-код магазина</v>
      </c>
    </row>
    <row r="988" spans="1:7" x14ac:dyDescent="0.25">
      <c r="A988" t="s">
        <v>2640</v>
      </c>
      <c r="B988" t="s">
        <v>3226</v>
      </c>
      <c r="C988" t="s">
        <v>2286</v>
      </c>
      <c r="D988" t="s">
        <v>2287</v>
      </c>
      <c r="E988" t="s">
        <v>2288</v>
      </c>
      <c r="F988" t="s">
        <v>3227</v>
      </c>
      <c r="G988" s="2" t="str">
        <f>HYPERLINK("https://probpalata.gov.ru/files/ЮЛ770104038200009.jpeg","Скачать индивидуальный QR-код магазина")</f>
        <v>Скачать индивидуальный QR-код магазина</v>
      </c>
    </row>
    <row r="989" spans="1:7" x14ac:dyDescent="0.25">
      <c r="A989" t="s">
        <v>2640</v>
      </c>
      <c r="B989" t="s">
        <v>3228</v>
      </c>
      <c r="C989" t="s">
        <v>2286</v>
      </c>
      <c r="D989" t="s">
        <v>2287</v>
      </c>
      <c r="E989" t="s">
        <v>2288</v>
      </c>
      <c r="F989" t="s">
        <v>3229</v>
      </c>
      <c r="G989" s="2" t="str">
        <f>HYPERLINK("https://probpalata.gov.ru/files/ЮЛ770104038200015.jpeg","Скачать индивидуальный QR-код магазина")</f>
        <v>Скачать индивидуальный QR-код магазина</v>
      </c>
    </row>
    <row r="990" spans="1:7" x14ac:dyDescent="0.25">
      <c r="A990" t="s">
        <v>2640</v>
      </c>
      <c r="B990" t="s">
        <v>3230</v>
      </c>
      <c r="C990" t="s">
        <v>1501</v>
      </c>
      <c r="D990" t="s">
        <v>1502</v>
      </c>
      <c r="E990" t="s">
        <v>1503</v>
      </c>
      <c r="F990" t="s">
        <v>3231</v>
      </c>
      <c r="G990" s="2" t="str">
        <f>HYPERLINK("https://probpalata.gov.ru/files/ЮЛ770100439200016.jpeg","Скачать индивидуальный QR-код магазина")</f>
        <v>Скачать индивидуальный QR-код магазина</v>
      </c>
    </row>
    <row r="991" spans="1:7" x14ac:dyDescent="0.25">
      <c r="A991" t="s">
        <v>2640</v>
      </c>
      <c r="B991" t="s">
        <v>3232</v>
      </c>
      <c r="C991" t="s">
        <v>1501</v>
      </c>
      <c r="D991" t="s">
        <v>1502</v>
      </c>
      <c r="E991" t="s">
        <v>1503</v>
      </c>
      <c r="F991" t="s">
        <v>3233</v>
      </c>
      <c r="G991" s="2" t="str">
        <f>HYPERLINK("https://probpalata.gov.ru/files/ЮЛ770100439200017.jpeg","Скачать индивидуальный QR-код магазина")</f>
        <v>Скачать индивидуальный QR-код магазина</v>
      </c>
    </row>
    <row r="992" spans="1:7" x14ac:dyDescent="0.25">
      <c r="A992" t="s">
        <v>3234</v>
      </c>
      <c r="B992" t="s">
        <v>3235</v>
      </c>
      <c r="C992" t="s">
        <v>3236</v>
      </c>
      <c r="D992" t="s">
        <v>3237</v>
      </c>
      <c r="E992" t="s">
        <v>3238</v>
      </c>
      <c r="F992" t="s">
        <v>3239</v>
      </c>
      <c r="G992" s="2" t="str">
        <f>HYPERLINK("https://probpalata.gov.ru/files/ИП020603403600000.jpeg","Скачать индивидуальный QR-код магазина")</f>
        <v>Скачать индивидуальный QR-код магазина</v>
      </c>
    </row>
    <row r="993" spans="1:7" x14ac:dyDescent="0.25">
      <c r="A993" t="s">
        <v>3234</v>
      </c>
      <c r="B993" t="s">
        <v>3240</v>
      </c>
      <c r="C993" t="s">
        <v>3241</v>
      </c>
      <c r="D993" t="s">
        <v>3242</v>
      </c>
      <c r="E993" t="s">
        <v>3243</v>
      </c>
      <c r="F993" t="s">
        <v>3244</v>
      </c>
      <c r="G993" s="2" t="str">
        <f>HYPERLINK("https://probpalata.gov.ru/files/ИП340400097600000.jpeg","Скачать индивидуальный QR-код магазина")</f>
        <v>Скачать индивидуальный QR-код магазина</v>
      </c>
    </row>
    <row r="994" spans="1:7" x14ac:dyDescent="0.25">
      <c r="A994" t="s">
        <v>3234</v>
      </c>
      <c r="B994" t="s">
        <v>3245</v>
      </c>
      <c r="C994" t="s">
        <v>3246</v>
      </c>
      <c r="D994" t="s">
        <v>3247</v>
      </c>
      <c r="E994" t="s">
        <v>3248</v>
      </c>
      <c r="F994" t="s">
        <v>3249</v>
      </c>
      <c r="G994" s="2" t="str">
        <f>HYPERLINK("https://probpalata.gov.ru/files/ИП230400618900055.jpeg","Скачать индивидуальный QR-код магазина")</f>
        <v>Скачать индивидуальный QR-код магазина</v>
      </c>
    </row>
    <row r="995" spans="1:7" x14ac:dyDescent="0.25">
      <c r="A995" t="s">
        <v>3234</v>
      </c>
      <c r="B995" t="s">
        <v>3250</v>
      </c>
      <c r="C995" t="s">
        <v>1522</v>
      </c>
      <c r="D995" t="s">
        <v>1523</v>
      </c>
      <c r="E995" t="s">
        <v>1524</v>
      </c>
      <c r="F995" t="s">
        <v>3251</v>
      </c>
      <c r="G995" s="2" t="str">
        <f>HYPERLINK("https://probpalata.gov.ru/files/ИП300400971200001.jpeg","Скачать индивидуальный QR-код магазина")</f>
        <v>Скачать индивидуальный QR-код магазина</v>
      </c>
    </row>
    <row r="996" spans="1:7" x14ac:dyDescent="0.25">
      <c r="A996" t="s">
        <v>3234</v>
      </c>
      <c r="B996" t="s">
        <v>3252</v>
      </c>
      <c r="C996" t="s">
        <v>3253</v>
      </c>
      <c r="D996" t="s">
        <v>3254</v>
      </c>
      <c r="E996" t="s">
        <v>3255</v>
      </c>
      <c r="F996" t="s">
        <v>3256</v>
      </c>
      <c r="G996" s="2" t="str">
        <f>HYPERLINK("https://probpalata.gov.ru/files/ИП300400738000000.jpeg","Скачать индивидуальный QR-код магазина")</f>
        <v>Скачать индивидуальный QR-код магазина</v>
      </c>
    </row>
    <row r="997" spans="1:7" x14ac:dyDescent="0.25">
      <c r="A997" t="s">
        <v>3234</v>
      </c>
      <c r="B997" t="s">
        <v>3257</v>
      </c>
      <c r="C997" t="s">
        <v>3258</v>
      </c>
      <c r="D997" t="s">
        <v>3259</v>
      </c>
      <c r="E997" t="s">
        <v>3260</v>
      </c>
      <c r="F997" t="s">
        <v>3261</v>
      </c>
      <c r="G997" s="2" t="str">
        <f>HYPERLINK("https://probpalata.gov.ru/files/ИП340403369600000.jpeg","Скачать индивидуальный QR-код магазина")</f>
        <v>Скачать индивидуальный QR-код магазина</v>
      </c>
    </row>
    <row r="998" spans="1:7" x14ac:dyDescent="0.25">
      <c r="A998" t="s">
        <v>3234</v>
      </c>
      <c r="B998" t="s">
        <v>3262</v>
      </c>
      <c r="C998" t="s">
        <v>3263</v>
      </c>
      <c r="D998" t="s">
        <v>3264</v>
      </c>
      <c r="E998" t="s">
        <v>3265</v>
      </c>
      <c r="F998" t="s">
        <v>3266</v>
      </c>
      <c r="G998" s="2" t="str">
        <f>HYPERLINK("https://probpalata.gov.ru/files/ИП780304105500000.jpeg","Скачать индивидуальный QR-код магазина")</f>
        <v>Скачать индивидуальный QR-код магазина</v>
      </c>
    </row>
    <row r="999" spans="1:7" x14ac:dyDescent="0.25">
      <c r="A999" t="s">
        <v>3234</v>
      </c>
      <c r="B999" t="s">
        <v>3267</v>
      </c>
      <c r="C999" t="s">
        <v>3268</v>
      </c>
      <c r="D999" t="s">
        <v>3269</v>
      </c>
      <c r="E999" t="s">
        <v>3270</v>
      </c>
      <c r="F999" t="s">
        <v>3271</v>
      </c>
      <c r="G999" s="2" t="str">
        <f>HYPERLINK("https://probpalata.gov.ru/files/ИП340400424300000.jpeg","Скачать индивидуальный QR-код магазина")</f>
        <v>Скачать индивидуальный QR-код магазина</v>
      </c>
    </row>
    <row r="1000" spans="1:7" x14ac:dyDescent="0.25">
      <c r="A1000" t="s">
        <v>3234</v>
      </c>
      <c r="B1000" t="s">
        <v>3272</v>
      </c>
      <c r="C1000" t="s">
        <v>3273</v>
      </c>
      <c r="D1000" t="s">
        <v>3274</v>
      </c>
      <c r="E1000" t="s">
        <v>3275</v>
      </c>
      <c r="F1000" t="s">
        <v>3276</v>
      </c>
      <c r="G1000" s="2" t="str">
        <f>HYPERLINK("https://probpalata.gov.ru/files/ИП340400389700000.jpeg","Скачать индивидуальный QR-код магазина")</f>
        <v>Скачать индивидуальный QR-код магазина</v>
      </c>
    </row>
    <row r="1001" spans="1:7" x14ac:dyDescent="0.25">
      <c r="A1001" t="s">
        <v>3234</v>
      </c>
      <c r="B1001" t="s">
        <v>3277</v>
      </c>
      <c r="C1001" t="s">
        <v>3278</v>
      </c>
      <c r="D1001" t="s">
        <v>3279</v>
      </c>
      <c r="E1001" t="s">
        <v>3280</v>
      </c>
      <c r="F1001" t="s">
        <v>3281</v>
      </c>
      <c r="G1001" s="2" t="str">
        <f>HYPERLINK("https://probpalata.gov.ru/files/ИП340400673900000.jpeg","Скачать индивидуальный QR-код магазина")</f>
        <v>Скачать индивидуальный QR-код магазина</v>
      </c>
    </row>
    <row r="1002" spans="1:7" x14ac:dyDescent="0.25">
      <c r="A1002" t="s">
        <v>3234</v>
      </c>
      <c r="B1002" t="s">
        <v>3282</v>
      </c>
      <c r="C1002" t="s">
        <v>3278</v>
      </c>
      <c r="D1002" t="s">
        <v>3279</v>
      </c>
      <c r="E1002" t="s">
        <v>3280</v>
      </c>
      <c r="F1002" t="s">
        <v>3283</v>
      </c>
      <c r="G1002" s="2" t="str">
        <f>HYPERLINK("https://probpalata.gov.ru/files/ИП340400673900001.jpeg","Скачать индивидуальный QR-код магазина")</f>
        <v>Скачать индивидуальный QR-код магазина</v>
      </c>
    </row>
    <row r="1003" spans="1:7" x14ac:dyDescent="0.25">
      <c r="A1003" t="s">
        <v>3234</v>
      </c>
      <c r="B1003" t="s">
        <v>3284</v>
      </c>
      <c r="C1003" t="s">
        <v>3285</v>
      </c>
      <c r="D1003" t="s">
        <v>3286</v>
      </c>
      <c r="E1003" t="s">
        <v>3287</v>
      </c>
      <c r="F1003" t="s">
        <v>3288</v>
      </c>
      <c r="G1003" s="2" t="str">
        <f>HYPERLINK("https://probpalata.gov.ru/files/ИП340400952100000.jpeg","Скачать индивидуальный QR-код магазина")</f>
        <v>Скачать индивидуальный QR-код магазина</v>
      </c>
    </row>
    <row r="1004" spans="1:7" x14ac:dyDescent="0.25">
      <c r="A1004" t="s">
        <v>3234</v>
      </c>
      <c r="B1004" t="s">
        <v>3289</v>
      </c>
      <c r="C1004" t="s">
        <v>3285</v>
      </c>
      <c r="D1004" t="s">
        <v>3286</v>
      </c>
      <c r="E1004" t="s">
        <v>3287</v>
      </c>
      <c r="F1004" t="s">
        <v>3290</v>
      </c>
      <c r="G1004" s="2" t="str">
        <f>HYPERLINK("https://probpalata.gov.ru/files/ИП340400952100001.jpeg","Скачать индивидуальный QR-код магазина")</f>
        <v>Скачать индивидуальный QR-код магазина</v>
      </c>
    </row>
    <row r="1005" spans="1:7" x14ac:dyDescent="0.25">
      <c r="A1005" t="s">
        <v>3234</v>
      </c>
      <c r="B1005" t="s">
        <v>3291</v>
      </c>
      <c r="C1005" t="s">
        <v>3292</v>
      </c>
      <c r="D1005" t="s">
        <v>3293</v>
      </c>
      <c r="E1005" t="s">
        <v>3294</v>
      </c>
      <c r="F1005" t="s">
        <v>3295</v>
      </c>
      <c r="G1005" s="2" t="str">
        <f>HYPERLINK("https://probpalata.gov.ru/files/ИП340400094500000.jpeg","Скачать индивидуальный QR-код магазина")</f>
        <v>Скачать индивидуальный QR-код магазина</v>
      </c>
    </row>
    <row r="1006" spans="1:7" x14ac:dyDescent="0.25">
      <c r="A1006" t="s">
        <v>3234</v>
      </c>
      <c r="B1006" t="s">
        <v>3296</v>
      </c>
      <c r="C1006" t="s">
        <v>3297</v>
      </c>
      <c r="D1006" t="s">
        <v>3298</v>
      </c>
      <c r="E1006" t="s">
        <v>3299</v>
      </c>
      <c r="F1006" t="s">
        <v>3300</v>
      </c>
      <c r="G1006" s="2" t="str">
        <f>HYPERLINK("https://probpalata.gov.ru/files/ИП340403150000000.jpeg","Скачать индивидуальный QR-код магазина")</f>
        <v>Скачать индивидуальный QR-код магазина</v>
      </c>
    </row>
    <row r="1007" spans="1:7" x14ac:dyDescent="0.25">
      <c r="A1007" t="s">
        <v>3234</v>
      </c>
      <c r="B1007" t="s">
        <v>3301</v>
      </c>
      <c r="C1007" t="s">
        <v>3302</v>
      </c>
      <c r="D1007" t="s">
        <v>3303</v>
      </c>
      <c r="E1007" t="s">
        <v>3304</v>
      </c>
      <c r="F1007" t="s">
        <v>3305</v>
      </c>
      <c r="G1007" s="2" t="str">
        <f>HYPERLINK("https://probpalata.gov.ru/files/ИП340403409600000.jpeg","Скачать индивидуальный QR-код магазина")</f>
        <v>Скачать индивидуальный QR-код магазина</v>
      </c>
    </row>
    <row r="1008" spans="1:7" x14ac:dyDescent="0.25">
      <c r="A1008" t="s">
        <v>3234</v>
      </c>
      <c r="B1008" t="s">
        <v>3306</v>
      </c>
      <c r="C1008" t="s">
        <v>3307</v>
      </c>
      <c r="D1008" t="s">
        <v>3308</v>
      </c>
      <c r="E1008" t="s">
        <v>3309</v>
      </c>
      <c r="F1008" t="s">
        <v>3310</v>
      </c>
      <c r="G1008" s="2" t="str">
        <f>HYPERLINK("https://probpalata.gov.ru/files/ИП340400894300000.jpeg","Скачать индивидуальный QR-код магазина")</f>
        <v>Скачать индивидуальный QR-код магазина</v>
      </c>
    </row>
    <row r="1009" spans="1:7" x14ac:dyDescent="0.25">
      <c r="A1009" t="s">
        <v>3234</v>
      </c>
      <c r="B1009" t="s">
        <v>3311</v>
      </c>
      <c r="C1009" t="s">
        <v>3312</v>
      </c>
      <c r="D1009" t="s">
        <v>3313</v>
      </c>
      <c r="E1009" t="s">
        <v>3314</v>
      </c>
      <c r="F1009" t="s">
        <v>3315</v>
      </c>
      <c r="G1009" s="2" t="str">
        <f>HYPERLINK("https://probpalata.gov.ru/files/ИП340401320900000.jpeg","Скачать индивидуальный QR-код магазина")</f>
        <v>Скачать индивидуальный QR-код магазина</v>
      </c>
    </row>
    <row r="1010" spans="1:7" x14ac:dyDescent="0.25">
      <c r="A1010" t="s">
        <v>3234</v>
      </c>
      <c r="B1010" t="s">
        <v>3316</v>
      </c>
      <c r="C1010" t="s">
        <v>3317</v>
      </c>
      <c r="D1010" t="s">
        <v>3318</v>
      </c>
      <c r="E1010" t="s">
        <v>3319</v>
      </c>
      <c r="F1010" t="s">
        <v>3320</v>
      </c>
      <c r="G1010" s="2" t="str">
        <f>HYPERLINK("https://probpalata.gov.ru/files/ИП340400239900000.jpeg","Скачать индивидуальный QR-код магазина")</f>
        <v>Скачать индивидуальный QR-код магазина</v>
      </c>
    </row>
    <row r="1011" spans="1:7" x14ac:dyDescent="0.25">
      <c r="A1011" t="s">
        <v>3234</v>
      </c>
      <c r="B1011" t="s">
        <v>3321</v>
      </c>
      <c r="C1011" t="s">
        <v>3322</v>
      </c>
      <c r="D1011" t="s">
        <v>3323</v>
      </c>
      <c r="E1011" t="s">
        <v>3324</v>
      </c>
      <c r="F1011" t="s">
        <v>3325</v>
      </c>
      <c r="G1011" s="2" t="str">
        <f>HYPERLINK("https://probpalata.gov.ru/files/ИП340400831200000.jpeg","Скачать индивидуальный QR-код магазина")</f>
        <v>Скачать индивидуальный QR-код магазина</v>
      </c>
    </row>
    <row r="1012" spans="1:7" x14ac:dyDescent="0.25">
      <c r="A1012" t="s">
        <v>3234</v>
      </c>
      <c r="B1012" t="s">
        <v>3326</v>
      </c>
      <c r="C1012" t="s">
        <v>3322</v>
      </c>
      <c r="D1012" t="s">
        <v>3323</v>
      </c>
      <c r="E1012" t="s">
        <v>3324</v>
      </c>
      <c r="F1012" t="s">
        <v>3327</v>
      </c>
      <c r="G1012" s="2" t="str">
        <f>HYPERLINK("https://probpalata.gov.ru/files/ИП340400831200001.jpeg","Скачать индивидуальный QR-код магазина")</f>
        <v>Скачать индивидуальный QR-код магазина</v>
      </c>
    </row>
    <row r="1013" spans="1:7" x14ac:dyDescent="0.25">
      <c r="A1013" t="s">
        <v>3234</v>
      </c>
      <c r="B1013" t="s">
        <v>3328</v>
      </c>
      <c r="C1013" t="s">
        <v>3322</v>
      </c>
      <c r="D1013" t="s">
        <v>3323</v>
      </c>
      <c r="E1013" t="s">
        <v>3324</v>
      </c>
      <c r="F1013" t="s">
        <v>3329</v>
      </c>
      <c r="G1013" s="2" t="str">
        <f>HYPERLINK("https://probpalata.gov.ru/files/ИП340400831200002.jpeg","Скачать индивидуальный QR-код магазина")</f>
        <v>Скачать индивидуальный QR-код магазина</v>
      </c>
    </row>
    <row r="1014" spans="1:7" x14ac:dyDescent="0.25">
      <c r="A1014" t="s">
        <v>3234</v>
      </c>
      <c r="B1014" t="s">
        <v>3330</v>
      </c>
      <c r="C1014" t="s">
        <v>3331</v>
      </c>
      <c r="D1014" t="s">
        <v>3332</v>
      </c>
      <c r="E1014" t="s">
        <v>3333</v>
      </c>
      <c r="F1014" t="s">
        <v>3334</v>
      </c>
      <c r="G1014" s="2" t="str">
        <f>HYPERLINK("https://probpalata.gov.ru/files/ИП340400563900000.jpeg","Скачать индивидуальный QR-код магазина")</f>
        <v>Скачать индивидуальный QR-код магазина</v>
      </c>
    </row>
    <row r="1015" spans="1:7" x14ac:dyDescent="0.25">
      <c r="A1015" t="s">
        <v>3234</v>
      </c>
      <c r="B1015" t="s">
        <v>3335</v>
      </c>
      <c r="C1015" t="s">
        <v>3336</v>
      </c>
      <c r="D1015" t="s">
        <v>3337</v>
      </c>
      <c r="E1015" t="s">
        <v>3338</v>
      </c>
      <c r="F1015" t="s">
        <v>3339</v>
      </c>
      <c r="G1015" s="2" t="str">
        <f>HYPERLINK("https://probpalata.gov.ru/files/ИП340403939500000.jpeg","Скачать индивидуальный QR-код магазина")</f>
        <v>Скачать индивидуальный QR-код магазина</v>
      </c>
    </row>
    <row r="1016" spans="1:7" x14ac:dyDescent="0.25">
      <c r="A1016" t="s">
        <v>3234</v>
      </c>
      <c r="B1016" t="s">
        <v>3340</v>
      </c>
      <c r="C1016" t="s">
        <v>3341</v>
      </c>
      <c r="D1016" t="s">
        <v>3342</v>
      </c>
      <c r="E1016" t="s">
        <v>3343</v>
      </c>
      <c r="F1016" t="s">
        <v>3344</v>
      </c>
      <c r="G1016" s="2" t="str">
        <f>HYPERLINK("https://probpalata.gov.ru/files/ИП340403772400000.jpeg","Скачать индивидуальный QR-код магазина")</f>
        <v>Скачать индивидуальный QR-код магазина</v>
      </c>
    </row>
    <row r="1017" spans="1:7" x14ac:dyDescent="0.25">
      <c r="A1017" t="s">
        <v>3234</v>
      </c>
      <c r="B1017" t="s">
        <v>3345</v>
      </c>
      <c r="C1017" t="s">
        <v>3346</v>
      </c>
      <c r="D1017" t="s">
        <v>3347</v>
      </c>
      <c r="E1017" t="s">
        <v>3348</v>
      </c>
      <c r="F1017" t="s">
        <v>3349</v>
      </c>
      <c r="G1017" s="2" t="str">
        <f>HYPERLINK("https://probpalata.gov.ru/files/ИП340400049900000.jpeg","Скачать индивидуальный QR-код магазина")</f>
        <v>Скачать индивидуальный QR-код магазина</v>
      </c>
    </row>
    <row r="1018" spans="1:7" x14ac:dyDescent="0.25">
      <c r="A1018" t="s">
        <v>3234</v>
      </c>
      <c r="B1018" t="s">
        <v>3350</v>
      </c>
      <c r="C1018" t="s">
        <v>3351</v>
      </c>
      <c r="D1018" t="s">
        <v>3352</v>
      </c>
      <c r="E1018" t="s">
        <v>3353</v>
      </c>
      <c r="F1018" t="s">
        <v>3354</v>
      </c>
      <c r="G1018" s="2" t="str">
        <f>HYPERLINK("https://probpalata.gov.ru/files/ИП340400772500000.jpeg","Скачать индивидуальный QR-код магазина")</f>
        <v>Скачать индивидуальный QR-код магазина</v>
      </c>
    </row>
    <row r="1019" spans="1:7" x14ac:dyDescent="0.25">
      <c r="A1019" t="s">
        <v>3234</v>
      </c>
      <c r="B1019" t="s">
        <v>3355</v>
      </c>
      <c r="C1019" t="s">
        <v>3356</v>
      </c>
      <c r="D1019" t="s">
        <v>3357</v>
      </c>
      <c r="E1019" t="s">
        <v>3358</v>
      </c>
      <c r="F1019" t="s">
        <v>3359</v>
      </c>
      <c r="G1019" s="2" t="str">
        <f>HYPERLINK("https://probpalata.gov.ru/files/ИП340400425400000.jpeg","Скачать индивидуальный QR-код магазина")</f>
        <v>Скачать индивидуальный QR-код магазина</v>
      </c>
    </row>
    <row r="1020" spans="1:7" x14ac:dyDescent="0.25">
      <c r="A1020" t="s">
        <v>3234</v>
      </c>
      <c r="B1020" t="s">
        <v>3360</v>
      </c>
      <c r="C1020" t="s">
        <v>3356</v>
      </c>
      <c r="D1020" t="s">
        <v>3357</v>
      </c>
      <c r="E1020" t="s">
        <v>3358</v>
      </c>
      <c r="F1020" t="s">
        <v>3361</v>
      </c>
      <c r="G1020" s="2" t="str">
        <f>HYPERLINK("https://probpalata.gov.ru/files/ИП340400425400001.jpeg","Скачать индивидуальный QR-код магазина")</f>
        <v>Скачать индивидуальный QR-код магазина</v>
      </c>
    </row>
    <row r="1021" spans="1:7" x14ac:dyDescent="0.25">
      <c r="A1021" t="s">
        <v>3234</v>
      </c>
      <c r="B1021" t="s">
        <v>3362</v>
      </c>
      <c r="C1021" t="s">
        <v>3363</v>
      </c>
      <c r="D1021" t="s">
        <v>3364</v>
      </c>
      <c r="E1021" t="s">
        <v>3365</v>
      </c>
      <c r="F1021" t="s">
        <v>3366</v>
      </c>
      <c r="G1021" s="2" t="str">
        <f>HYPERLINK("https://probpalata.gov.ru/files/ИП340400463100000.jpeg","Скачать индивидуальный QR-код магазина")</f>
        <v>Скачать индивидуальный QR-код магазина</v>
      </c>
    </row>
    <row r="1022" spans="1:7" x14ac:dyDescent="0.25">
      <c r="A1022" t="s">
        <v>3234</v>
      </c>
      <c r="B1022" t="s">
        <v>3367</v>
      </c>
      <c r="C1022" t="s">
        <v>3368</v>
      </c>
      <c r="D1022" t="s">
        <v>3369</v>
      </c>
      <c r="E1022" t="s">
        <v>3370</v>
      </c>
      <c r="F1022" t="s">
        <v>3371</v>
      </c>
      <c r="G1022" s="2" t="str">
        <f>HYPERLINK("https://probpalata.gov.ru/files/ИП340401404800000.jpeg","Скачать индивидуальный QR-код магазина")</f>
        <v>Скачать индивидуальный QR-код магазина</v>
      </c>
    </row>
    <row r="1023" spans="1:7" x14ac:dyDescent="0.25">
      <c r="A1023" t="s">
        <v>3234</v>
      </c>
      <c r="B1023" t="s">
        <v>3372</v>
      </c>
      <c r="C1023" t="s">
        <v>3373</v>
      </c>
      <c r="D1023" t="s">
        <v>3374</v>
      </c>
      <c r="E1023" t="s">
        <v>3375</v>
      </c>
      <c r="F1023" t="s">
        <v>3376</v>
      </c>
      <c r="G1023" s="2" t="str">
        <f>HYPERLINK("https://probpalata.gov.ru/files/ИП340400189100000.jpeg","Скачать индивидуальный QR-код магазина")</f>
        <v>Скачать индивидуальный QR-код магазина</v>
      </c>
    </row>
    <row r="1024" spans="1:7" x14ac:dyDescent="0.25">
      <c r="A1024" t="s">
        <v>3234</v>
      </c>
      <c r="B1024" t="s">
        <v>3377</v>
      </c>
      <c r="C1024" t="s">
        <v>3378</v>
      </c>
      <c r="D1024" t="s">
        <v>3379</v>
      </c>
      <c r="E1024" t="s">
        <v>3380</v>
      </c>
      <c r="F1024" t="s">
        <v>3381</v>
      </c>
      <c r="G1024" s="2" t="str">
        <f>HYPERLINK("https://probpalata.gov.ru/files/ИП340400935200000.jpeg","Скачать индивидуальный QR-код магазина")</f>
        <v>Скачать индивидуальный QR-код магазина</v>
      </c>
    </row>
    <row r="1025" spans="1:7" x14ac:dyDescent="0.25">
      <c r="A1025" t="s">
        <v>3234</v>
      </c>
      <c r="B1025" t="s">
        <v>3382</v>
      </c>
      <c r="C1025" t="s">
        <v>3383</v>
      </c>
      <c r="D1025" t="s">
        <v>3384</v>
      </c>
      <c r="E1025" t="s">
        <v>3385</v>
      </c>
      <c r="F1025" t="s">
        <v>3386</v>
      </c>
      <c r="G1025" s="2" t="str">
        <f>HYPERLINK("https://probpalata.gov.ru/files/ИП340400524100000.jpeg","Скачать индивидуальный QR-код магазина")</f>
        <v>Скачать индивидуальный QR-код магазина</v>
      </c>
    </row>
    <row r="1026" spans="1:7" x14ac:dyDescent="0.25">
      <c r="A1026" t="s">
        <v>3234</v>
      </c>
      <c r="B1026" t="s">
        <v>3387</v>
      </c>
      <c r="C1026" t="s">
        <v>3388</v>
      </c>
      <c r="D1026" t="s">
        <v>3389</v>
      </c>
      <c r="E1026" t="s">
        <v>3390</v>
      </c>
      <c r="F1026" t="s">
        <v>3391</v>
      </c>
      <c r="G1026" s="2" t="str">
        <f>HYPERLINK("https://probpalata.gov.ru/files/ИП340401250300000.jpeg","Скачать индивидуальный QR-код магазина")</f>
        <v>Скачать индивидуальный QR-код магазина</v>
      </c>
    </row>
    <row r="1027" spans="1:7" x14ac:dyDescent="0.25">
      <c r="A1027" t="s">
        <v>3234</v>
      </c>
      <c r="B1027" t="s">
        <v>3392</v>
      </c>
      <c r="C1027" t="s">
        <v>3393</v>
      </c>
      <c r="D1027" t="s">
        <v>3394</v>
      </c>
      <c r="E1027" t="s">
        <v>3395</v>
      </c>
      <c r="F1027" t="s">
        <v>3396</v>
      </c>
      <c r="G1027" s="2" t="str">
        <f>HYPERLINK("https://probpalata.gov.ru/files/ИП340400830700000.jpeg","Скачать индивидуальный QR-код магазина")</f>
        <v>Скачать индивидуальный QR-код магазина</v>
      </c>
    </row>
    <row r="1028" spans="1:7" x14ac:dyDescent="0.25">
      <c r="A1028" t="s">
        <v>3234</v>
      </c>
      <c r="B1028" t="s">
        <v>3397</v>
      </c>
      <c r="C1028" t="s">
        <v>3393</v>
      </c>
      <c r="D1028" t="s">
        <v>3394</v>
      </c>
      <c r="E1028" t="s">
        <v>3395</v>
      </c>
      <c r="F1028" t="s">
        <v>3398</v>
      </c>
      <c r="G1028" s="2" t="str">
        <f>HYPERLINK("https://probpalata.gov.ru/files/ИП340400830700003.jpeg","Скачать индивидуальный QR-код магазина")</f>
        <v>Скачать индивидуальный QR-код магазина</v>
      </c>
    </row>
    <row r="1029" spans="1:7" x14ac:dyDescent="0.25">
      <c r="A1029" t="s">
        <v>3234</v>
      </c>
      <c r="B1029" t="s">
        <v>3399</v>
      </c>
      <c r="C1029" t="s">
        <v>1721</v>
      </c>
      <c r="D1029" t="s">
        <v>1722</v>
      </c>
      <c r="E1029" t="s">
        <v>1723</v>
      </c>
      <c r="F1029" t="s">
        <v>3400</v>
      </c>
      <c r="G1029" s="2" t="str">
        <f>HYPERLINK("https://probpalata.gov.ru/files/ИП340400993200000.jpeg","Скачать индивидуальный QR-код магазина")</f>
        <v>Скачать индивидуальный QR-код магазина</v>
      </c>
    </row>
    <row r="1030" spans="1:7" x14ac:dyDescent="0.25">
      <c r="A1030" t="s">
        <v>3234</v>
      </c>
      <c r="B1030" t="s">
        <v>3401</v>
      </c>
      <c r="C1030" t="s">
        <v>1721</v>
      </c>
      <c r="D1030" t="s">
        <v>1722</v>
      </c>
      <c r="E1030" t="s">
        <v>1723</v>
      </c>
      <c r="F1030" t="s">
        <v>3402</v>
      </c>
      <c r="G1030" s="2" t="str">
        <f>HYPERLINK("https://probpalata.gov.ru/files/ИП340400993200001.jpeg","Скачать индивидуальный QR-код магазина")</f>
        <v>Скачать индивидуальный QR-код магазина</v>
      </c>
    </row>
    <row r="1031" spans="1:7" x14ac:dyDescent="0.25">
      <c r="A1031" t="s">
        <v>3234</v>
      </c>
      <c r="B1031" t="s">
        <v>3403</v>
      </c>
      <c r="C1031" t="s">
        <v>1721</v>
      </c>
      <c r="D1031" t="s">
        <v>1722</v>
      </c>
      <c r="E1031" t="s">
        <v>1723</v>
      </c>
      <c r="F1031" t="s">
        <v>3404</v>
      </c>
      <c r="G1031" s="2" t="str">
        <f>HYPERLINK("https://probpalata.gov.ru/files/ИП340400993200002.jpeg","Скачать индивидуальный QR-код магазина")</f>
        <v>Скачать индивидуальный QR-код магазина</v>
      </c>
    </row>
    <row r="1032" spans="1:7" x14ac:dyDescent="0.25">
      <c r="A1032" t="s">
        <v>3234</v>
      </c>
      <c r="B1032" t="s">
        <v>3405</v>
      </c>
      <c r="C1032" t="s">
        <v>1721</v>
      </c>
      <c r="D1032" t="s">
        <v>1722</v>
      </c>
      <c r="E1032" t="s">
        <v>1723</v>
      </c>
      <c r="F1032" t="s">
        <v>3406</v>
      </c>
      <c r="G1032" s="2" t="str">
        <f>HYPERLINK("https://probpalata.gov.ru/files/ИП340400993200003.jpeg","Скачать индивидуальный QR-код магазина")</f>
        <v>Скачать индивидуальный QR-код магазина</v>
      </c>
    </row>
    <row r="1033" spans="1:7" x14ac:dyDescent="0.25">
      <c r="A1033" t="s">
        <v>3234</v>
      </c>
      <c r="B1033" t="s">
        <v>3407</v>
      </c>
      <c r="C1033" t="s">
        <v>1721</v>
      </c>
      <c r="D1033" t="s">
        <v>1722</v>
      </c>
      <c r="E1033" t="s">
        <v>1723</v>
      </c>
      <c r="F1033" t="s">
        <v>3408</v>
      </c>
      <c r="G1033" s="2" t="str">
        <f>HYPERLINK("https://probpalata.gov.ru/files/ИП340400993200004.jpeg","Скачать индивидуальный QR-код магазина")</f>
        <v>Скачать индивидуальный QR-код магазина</v>
      </c>
    </row>
    <row r="1034" spans="1:7" x14ac:dyDescent="0.25">
      <c r="A1034" t="s">
        <v>3234</v>
      </c>
      <c r="B1034" t="s">
        <v>3409</v>
      </c>
      <c r="C1034" t="s">
        <v>1721</v>
      </c>
      <c r="D1034" t="s">
        <v>1722</v>
      </c>
      <c r="E1034" t="s">
        <v>1723</v>
      </c>
      <c r="F1034" t="s">
        <v>3410</v>
      </c>
      <c r="G1034" s="2" t="str">
        <f>HYPERLINK("https://probpalata.gov.ru/files/ИП340400993200005.jpeg","Скачать индивидуальный QR-код магазина")</f>
        <v>Скачать индивидуальный QR-код магазина</v>
      </c>
    </row>
    <row r="1035" spans="1:7" x14ac:dyDescent="0.25">
      <c r="A1035" t="s">
        <v>3234</v>
      </c>
      <c r="B1035" t="s">
        <v>3411</v>
      </c>
      <c r="C1035" t="s">
        <v>1721</v>
      </c>
      <c r="D1035" t="s">
        <v>1722</v>
      </c>
      <c r="E1035" t="s">
        <v>1723</v>
      </c>
      <c r="F1035" t="s">
        <v>3412</v>
      </c>
      <c r="G1035" s="2" t="str">
        <f>HYPERLINK("https://probpalata.gov.ru/files/ИП340400993200006.jpeg","Скачать индивидуальный QR-код магазина")</f>
        <v>Скачать индивидуальный QR-код магазина</v>
      </c>
    </row>
    <row r="1036" spans="1:7" x14ac:dyDescent="0.25">
      <c r="A1036" t="s">
        <v>3234</v>
      </c>
      <c r="B1036" t="s">
        <v>3413</v>
      </c>
      <c r="C1036" t="s">
        <v>1721</v>
      </c>
      <c r="D1036" t="s">
        <v>1722</v>
      </c>
      <c r="E1036" t="s">
        <v>1723</v>
      </c>
      <c r="F1036" t="s">
        <v>3414</v>
      </c>
      <c r="G1036" s="2" t="str">
        <f>HYPERLINK("https://probpalata.gov.ru/files/ИП340400993200007.jpeg","Скачать индивидуальный QR-код магазина")</f>
        <v>Скачать индивидуальный QR-код магазина</v>
      </c>
    </row>
    <row r="1037" spans="1:7" x14ac:dyDescent="0.25">
      <c r="A1037" t="s">
        <v>3234</v>
      </c>
      <c r="B1037" t="s">
        <v>3415</v>
      </c>
      <c r="C1037" t="s">
        <v>1721</v>
      </c>
      <c r="D1037" t="s">
        <v>1722</v>
      </c>
      <c r="E1037" t="s">
        <v>1723</v>
      </c>
      <c r="F1037" t="s">
        <v>3416</v>
      </c>
      <c r="G1037" s="2" t="str">
        <f>HYPERLINK("https://probpalata.gov.ru/files/ИП340400993200008.jpeg","Скачать индивидуальный QR-код магазина")</f>
        <v>Скачать индивидуальный QR-код магазина</v>
      </c>
    </row>
    <row r="1038" spans="1:7" x14ac:dyDescent="0.25">
      <c r="A1038" t="s">
        <v>3234</v>
      </c>
      <c r="B1038" t="s">
        <v>3417</v>
      </c>
      <c r="C1038" t="s">
        <v>1721</v>
      </c>
      <c r="D1038" t="s">
        <v>1722</v>
      </c>
      <c r="E1038" t="s">
        <v>1723</v>
      </c>
      <c r="F1038" t="s">
        <v>3418</v>
      </c>
      <c r="G1038" s="2" t="str">
        <f>HYPERLINK("https://probpalata.gov.ru/files/ИП340400993200009.jpeg","Скачать индивидуальный QR-код магазина")</f>
        <v>Скачать индивидуальный QR-код магазина</v>
      </c>
    </row>
    <row r="1039" spans="1:7" x14ac:dyDescent="0.25">
      <c r="A1039" t="s">
        <v>3234</v>
      </c>
      <c r="B1039" t="s">
        <v>3419</v>
      </c>
      <c r="C1039" t="s">
        <v>1721</v>
      </c>
      <c r="D1039" t="s">
        <v>1722</v>
      </c>
      <c r="E1039" t="s">
        <v>1723</v>
      </c>
      <c r="F1039" t="s">
        <v>3420</v>
      </c>
      <c r="G1039" s="2" t="str">
        <f>HYPERLINK("https://probpalata.gov.ru/files/ИП340400993200010.jpeg","Скачать индивидуальный QR-код магазина")</f>
        <v>Скачать индивидуальный QR-код магазина</v>
      </c>
    </row>
    <row r="1040" spans="1:7" x14ac:dyDescent="0.25">
      <c r="A1040" t="s">
        <v>3234</v>
      </c>
      <c r="B1040" t="s">
        <v>3421</v>
      </c>
      <c r="C1040" t="s">
        <v>3422</v>
      </c>
      <c r="D1040" t="s">
        <v>3423</v>
      </c>
      <c r="E1040" t="s">
        <v>3424</v>
      </c>
      <c r="F1040" t="s">
        <v>3425</v>
      </c>
      <c r="G1040" s="2" t="str">
        <f>HYPERLINK("https://probpalata.gov.ru/files/ЮЛ340400904400000.jpeg","Скачать индивидуальный QR-код магазина")</f>
        <v>Скачать индивидуальный QR-код магазина</v>
      </c>
    </row>
    <row r="1041" spans="1:7" x14ac:dyDescent="0.25">
      <c r="A1041" t="s">
        <v>3234</v>
      </c>
      <c r="B1041" t="s">
        <v>3426</v>
      </c>
      <c r="C1041" t="s">
        <v>3427</v>
      </c>
      <c r="D1041" t="s">
        <v>3428</v>
      </c>
      <c r="E1041" t="s">
        <v>3429</v>
      </c>
      <c r="F1041" t="s">
        <v>3430</v>
      </c>
      <c r="G1041" s="2" t="str">
        <f>HYPERLINK("https://probpalata.gov.ru/files/ИП340400238600000.jpeg","Скачать индивидуальный QR-код магазина")</f>
        <v>Скачать индивидуальный QR-код магазина</v>
      </c>
    </row>
    <row r="1042" spans="1:7" x14ac:dyDescent="0.25">
      <c r="A1042" t="s">
        <v>3234</v>
      </c>
      <c r="B1042" t="s">
        <v>3431</v>
      </c>
      <c r="C1042" t="s">
        <v>3432</v>
      </c>
      <c r="D1042" t="s">
        <v>3433</v>
      </c>
      <c r="E1042" t="s">
        <v>3434</v>
      </c>
      <c r="F1042" t="s">
        <v>3435</v>
      </c>
      <c r="G1042" s="2" t="str">
        <f>HYPERLINK("https://probpalata.gov.ru/files/ИП780301493800004.jpeg","Скачать индивидуальный QR-код магазина")</f>
        <v>Скачать индивидуальный QR-код магазина</v>
      </c>
    </row>
    <row r="1043" spans="1:7" x14ac:dyDescent="0.25">
      <c r="A1043" t="s">
        <v>3234</v>
      </c>
      <c r="B1043" t="s">
        <v>3436</v>
      </c>
      <c r="C1043" t="s">
        <v>3437</v>
      </c>
      <c r="D1043" t="s">
        <v>3438</v>
      </c>
      <c r="E1043" t="s">
        <v>3439</v>
      </c>
      <c r="F1043" t="s">
        <v>3440</v>
      </c>
      <c r="G1043" s="2" t="str">
        <f>HYPERLINK("https://probpalata.gov.ru/files/ИП340401250900000.jpeg","Скачать индивидуальный QR-код магазина")</f>
        <v>Скачать индивидуальный QR-код магазина</v>
      </c>
    </row>
    <row r="1044" spans="1:7" x14ac:dyDescent="0.25">
      <c r="A1044" t="s">
        <v>3234</v>
      </c>
      <c r="B1044" t="s">
        <v>3441</v>
      </c>
      <c r="C1044" t="s">
        <v>3437</v>
      </c>
      <c r="D1044" t="s">
        <v>3438</v>
      </c>
      <c r="E1044" t="s">
        <v>3439</v>
      </c>
      <c r="F1044" t="s">
        <v>3442</v>
      </c>
      <c r="G1044" s="2" t="str">
        <f>HYPERLINK("https://probpalata.gov.ru/files/ИП340401250900001.jpeg","Скачать индивидуальный QR-код магазина")</f>
        <v>Скачать индивидуальный QR-код магазина</v>
      </c>
    </row>
    <row r="1045" spans="1:7" x14ac:dyDescent="0.25">
      <c r="A1045" t="s">
        <v>3234</v>
      </c>
      <c r="B1045" t="s">
        <v>3443</v>
      </c>
      <c r="C1045" t="s">
        <v>3444</v>
      </c>
      <c r="D1045" t="s">
        <v>3445</v>
      </c>
      <c r="E1045" t="s">
        <v>3446</v>
      </c>
      <c r="F1045" t="s">
        <v>3447</v>
      </c>
      <c r="G1045" s="2" t="str">
        <f>HYPERLINK("https://probpalata.gov.ru/files/ИП340401320000000.jpeg","Скачать индивидуальный QR-код магазина")</f>
        <v>Скачать индивидуальный QR-код магазина</v>
      </c>
    </row>
    <row r="1046" spans="1:7" x14ac:dyDescent="0.25">
      <c r="A1046" t="s">
        <v>3234</v>
      </c>
      <c r="B1046" t="s">
        <v>3448</v>
      </c>
      <c r="C1046" t="s">
        <v>3444</v>
      </c>
      <c r="D1046" t="s">
        <v>3445</v>
      </c>
      <c r="E1046" t="s">
        <v>3446</v>
      </c>
      <c r="F1046" t="s">
        <v>3449</v>
      </c>
      <c r="G1046" s="2" t="str">
        <f>HYPERLINK("https://probpalata.gov.ru/files/ИП340401320000001.jpeg","Скачать индивидуальный QR-код магазина")</f>
        <v>Скачать индивидуальный QR-код магазина</v>
      </c>
    </row>
    <row r="1047" spans="1:7" x14ac:dyDescent="0.25">
      <c r="A1047" t="s">
        <v>3234</v>
      </c>
      <c r="B1047" t="s">
        <v>3450</v>
      </c>
      <c r="C1047" t="s">
        <v>3451</v>
      </c>
      <c r="D1047" t="s">
        <v>3452</v>
      </c>
      <c r="E1047" t="s">
        <v>3453</v>
      </c>
      <c r="F1047" t="s">
        <v>3454</v>
      </c>
      <c r="G1047" s="2" t="str">
        <f>HYPERLINK("https://probpalata.gov.ru/files/ИП340400023500000.jpeg","Скачать индивидуальный QR-код магазина")</f>
        <v>Скачать индивидуальный QR-код магазина</v>
      </c>
    </row>
    <row r="1048" spans="1:7" x14ac:dyDescent="0.25">
      <c r="A1048" t="s">
        <v>3234</v>
      </c>
      <c r="B1048" t="s">
        <v>3455</v>
      </c>
      <c r="C1048" t="s">
        <v>3451</v>
      </c>
      <c r="D1048" t="s">
        <v>3452</v>
      </c>
      <c r="E1048" t="s">
        <v>3453</v>
      </c>
      <c r="F1048" t="s">
        <v>3456</v>
      </c>
      <c r="G1048" s="2" t="str">
        <f>HYPERLINK("https://probpalata.gov.ru/files/ИП340400023500001.jpeg","Скачать индивидуальный QR-код магазина")</f>
        <v>Скачать индивидуальный QR-код магазина</v>
      </c>
    </row>
    <row r="1049" spans="1:7" x14ac:dyDescent="0.25">
      <c r="A1049" t="s">
        <v>3234</v>
      </c>
      <c r="B1049" t="s">
        <v>3457</v>
      </c>
      <c r="C1049" t="s">
        <v>3458</v>
      </c>
      <c r="D1049" t="s">
        <v>3459</v>
      </c>
      <c r="E1049" t="s">
        <v>3460</v>
      </c>
      <c r="F1049" t="s">
        <v>3461</v>
      </c>
      <c r="G1049" s="2" t="str">
        <f>HYPERLINK("https://probpalata.gov.ru/files/ИП340400039700001.jpeg","Скачать индивидуальный QR-код магазина")</f>
        <v>Скачать индивидуальный QR-код магазина</v>
      </c>
    </row>
    <row r="1050" spans="1:7" x14ac:dyDescent="0.25">
      <c r="A1050" t="s">
        <v>3234</v>
      </c>
      <c r="B1050" t="s">
        <v>3462</v>
      </c>
      <c r="C1050" t="s">
        <v>3458</v>
      </c>
      <c r="D1050" t="s">
        <v>3459</v>
      </c>
      <c r="E1050" t="s">
        <v>3460</v>
      </c>
      <c r="F1050" t="s">
        <v>3463</v>
      </c>
      <c r="G1050" s="2" t="str">
        <f>HYPERLINK("https://probpalata.gov.ru/files/ИП340400039700002.jpeg","Скачать индивидуальный QR-код магазина")</f>
        <v>Скачать индивидуальный QR-код магазина</v>
      </c>
    </row>
    <row r="1051" spans="1:7" x14ac:dyDescent="0.25">
      <c r="A1051" t="s">
        <v>3234</v>
      </c>
      <c r="B1051" t="s">
        <v>3464</v>
      </c>
      <c r="C1051" t="s">
        <v>3458</v>
      </c>
      <c r="D1051" t="s">
        <v>3459</v>
      </c>
      <c r="E1051" t="s">
        <v>3460</v>
      </c>
      <c r="F1051" t="s">
        <v>3465</v>
      </c>
      <c r="G1051" s="2" t="str">
        <f>HYPERLINK("https://probpalata.gov.ru/files/ИП340400039700003.jpeg","Скачать индивидуальный QR-код магазина")</f>
        <v>Скачать индивидуальный QR-код магазина</v>
      </c>
    </row>
    <row r="1052" spans="1:7" x14ac:dyDescent="0.25">
      <c r="A1052" t="s">
        <v>3234</v>
      </c>
      <c r="B1052" t="s">
        <v>3466</v>
      </c>
      <c r="C1052" t="s">
        <v>3467</v>
      </c>
      <c r="D1052" t="s">
        <v>3468</v>
      </c>
      <c r="E1052" t="s">
        <v>3469</v>
      </c>
      <c r="F1052" t="s">
        <v>3470</v>
      </c>
      <c r="G1052" s="2" t="str">
        <f>HYPERLINK("https://probpalata.gov.ru/files/ИП340401402600000.jpeg","Скачать индивидуальный QR-код магазина")</f>
        <v>Скачать индивидуальный QR-код магазина</v>
      </c>
    </row>
    <row r="1053" spans="1:7" x14ac:dyDescent="0.25">
      <c r="A1053" t="s">
        <v>3234</v>
      </c>
      <c r="B1053" t="s">
        <v>3471</v>
      </c>
      <c r="C1053" t="s">
        <v>3467</v>
      </c>
      <c r="D1053" t="s">
        <v>3468</v>
      </c>
      <c r="E1053" t="s">
        <v>3469</v>
      </c>
      <c r="F1053" t="s">
        <v>3472</v>
      </c>
      <c r="G1053" s="2" t="str">
        <f>HYPERLINK("https://probpalata.gov.ru/files/ИП340401402600002.jpeg","Скачать индивидуальный QR-код магазина")</f>
        <v>Скачать индивидуальный QR-код магазина</v>
      </c>
    </row>
    <row r="1054" spans="1:7" x14ac:dyDescent="0.25">
      <c r="A1054" t="s">
        <v>3234</v>
      </c>
      <c r="B1054" t="s">
        <v>3473</v>
      </c>
      <c r="C1054" t="s">
        <v>3474</v>
      </c>
      <c r="D1054" t="s">
        <v>3475</v>
      </c>
      <c r="E1054" t="s">
        <v>3476</v>
      </c>
      <c r="F1054" t="s">
        <v>3477</v>
      </c>
      <c r="G1054" s="2" t="str">
        <f>HYPERLINK("https://probpalata.gov.ru/files/ИП340400018500000.jpeg","Скачать индивидуальный QR-код магазина")</f>
        <v>Скачать индивидуальный QR-код магазина</v>
      </c>
    </row>
    <row r="1055" spans="1:7" x14ac:dyDescent="0.25">
      <c r="A1055" t="s">
        <v>3234</v>
      </c>
      <c r="B1055" t="s">
        <v>3478</v>
      </c>
      <c r="C1055" t="s">
        <v>3479</v>
      </c>
      <c r="D1055" t="s">
        <v>3480</v>
      </c>
      <c r="E1055" t="s">
        <v>3481</v>
      </c>
      <c r="F1055" t="s">
        <v>3482</v>
      </c>
      <c r="G1055" s="2" t="str">
        <f>HYPERLINK("https://probpalata.gov.ru/files/ИП340400118100000.jpeg","Скачать индивидуальный QR-код магазина")</f>
        <v>Скачать индивидуальный QR-код магазина</v>
      </c>
    </row>
    <row r="1056" spans="1:7" x14ac:dyDescent="0.25">
      <c r="A1056" t="s">
        <v>3234</v>
      </c>
      <c r="B1056" t="s">
        <v>3483</v>
      </c>
      <c r="C1056" t="s">
        <v>3484</v>
      </c>
      <c r="D1056" t="s">
        <v>3485</v>
      </c>
      <c r="E1056" t="s">
        <v>3486</v>
      </c>
      <c r="F1056" t="s">
        <v>3487</v>
      </c>
      <c r="G1056" s="2" t="str">
        <f>HYPERLINK("https://probpalata.gov.ru/files/ЮЛ340400072900000.jpeg","Скачать индивидуальный QR-код магазина")</f>
        <v>Скачать индивидуальный QR-код магазина</v>
      </c>
    </row>
    <row r="1057" spans="1:7" x14ac:dyDescent="0.25">
      <c r="A1057" t="s">
        <v>3234</v>
      </c>
      <c r="B1057" t="s">
        <v>3488</v>
      </c>
      <c r="C1057" t="s">
        <v>3489</v>
      </c>
      <c r="D1057" t="s">
        <v>3490</v>
      </c>
      <c r="E1057" t="s">
        <v>3491</v>
      </c>
      <c r="F1057" t="s">
        <v>3492</v>
      </c>
      <c r="G1057" s="2" t="str">
        <f>HYPERLINK("https://probpalata.gov.ru/files/ЮЛ340400067200000.jpeg","Скачать индивидуальный QR-код магазина")</f>
        <v>Скачать индивидуальный QR-код магазина</v>
      </c>
    </row>
    <row r="1058" spans="1:7" x14ac:dyDescent="0.25">
      <c r="A1058" t="s">
        <v>3234</v>
      </c>
      <c r="B1058" t="s">
        <v>3493</v>
      </c>
      <c r="C1058" t="s">
        <v>3489</v>
      </c>
      <c r="D1058" t="s">
        <v>3490</v>
      </c>
      <c r="E1058" t="s">
        <v>3491</v>
      </c>
      <c r="F1058" t="s">
        <v>3494</v>
      </c>
      <c r="G1058" s="2" t="str">
        <f>HYPERLINK("https://probpalata.gov.ru/files/ЮЛ340400067200001.jpeg","Скачать индивидуальный QR-код магазина")</f>
        <v>Скачать индивидуальный QR-код магазина</v>
      </c>
    </row>
    <row r="1059" spans="1:7" x14ac:dyDescent="0.25">
      <c r="A1059" t="s">
        <v>3234</v>
      </c>
      <c r="B1059" t="s">
        <v>3495</v>
      </c>
      <c r="C1059" t="s">
        <v>3496</v>
      </c>
      <c r="D1059" t="s">
        <v>3497</v>
      </c>
      <c r="E1059" t="s">
        <v>3498</v>
      </c>
      <c r="F1059" t="s">
        <v>3499</v>
      </c>
      <c r="G1059" s="2" t="str">
        <f>HYPERLINK("https://probpalata.gov.ru/files/ИП340401480100000.jpeg","Скачать индивидуальный QR-код магазина")</f>
        <v>Скачать индивидуальный QR-код магазина</v>
      </c>
    </row>
    <row r="1060" spans="1:7" x14ac:dyDescent="0.25">
      <c r="A1060" t="s">
        <v>3234</v>
      </c>
      <c r="B1060" t="s">
        <v>3500</v>
      </c>
      <c r="C1060" t="s">
        <v>3501</v>
      </c>
      <c r="D1060" t="s">
        <v>3502</v>
      </c>
      <c r="E1060" t="s">
        <v>3503</v>
      </c>
      <c r="F1060" t="s">
        <v>3504</v>
      </c>
      <c r="G1060" s="2" t="str">
        <f>HYPERLINK("https://probpalata.gov.ru/files/ИП340401250100000.jpeg","Скачать индивидуальный QR-код магазина")</f>
        <v>Скачать индивидуальный QR-код магазина</v>
      </c>
    </row>
    <row r="1061" spans="1:7" x14ac:dyDescent="0.25">
      <c r="A1061" t="s">
        <v>3234</v>
      </c>
      <c r="B1061" t="s">
        <v>3505</v>
      </c>
      <c r="C1061" t="s">
        <v>3506</v>
      </c>
      <c r="D1061" t="s">
        <v>3507</v>
      </c>
      <c r="E1061" t="s">
        <v>3508</v>
      </c>
      <c r="F1061" t="s">
        <v>3509</v>
      </c>
      <c r="G1061" s="2" t="str">
        <f>HYPERLINK("https://probpalata.gov.ru/files/ИП340400148800000.jpeg","Скачать индивидуальный QR-код магазина")</f>
        <v>Скачать индивидуальный QR-код магазина</v>
      </c>
    </row>
    <row r="1062" spans="1:7" x14ac:dyDescent="0.25">
      <c r="A1062" t="s">
        <v>3234</v>
      </c>
      <c r="B1062" t="s">
        <v>3510</v>
      </c>
      <c r="C1062" t="s">
        <v>3511</v>
      </c>
      <c r="D1062" t="s">
        <v>3512</v>
      </c>
      <c r="E1062" t="s">
        <v>3513</v>
      </c>
      <c r="F1062" t="s">
        <v>3514</v>
      </c>
      <c r="G1062" s="2" t="str">
        <f>HYPERLINK("https://probpalata.gov.ru/files/ИП340400462800000.jpeg","Скачать индивидуальный QR-код магазина")</f>
        <v>Скачать индивидуальный QR-код магазина</v>
      </c>
    </row>
    <row r="1063" spans="1:7" x14ac:dyDescent="0.25">
      <c r="A1063" t="s">
        <v>3234</v>
      </c>
      <c r="B1063" t="s">
        <v>3515</v>
      </c>
      <c r="C1063" t="s">
        <v>3516</v>
      </c>
      <c r="D1063" t="s">
        <v>3517</v>
      </c>
      <c r="E1063" t="s">
        <v>3518</v>
      </c>
      <c r="F1063" t="s">
        <v>3519</v>
      </c>
      <c r="G1063" s="2" t="str">
        <f>HYPERLINK("https://probpalata.gov.ru/files/ИП340400738200000.jpeg","Скачать индивидуальный QR-код магазина")</f>
        <v>Скачать индивидуальный QR-код магазина</v>
      </c>
    </row>
    <row r="1064" spans="1:7" x14ac:dyDescent="0.25">
      <c r="A1064" t="s">
        <v>3234</v>
      </c>
      <c r="B1064" t="s">
        <v>3520</v>
      </c>
      <c r="C1064" t="s">
        <v>3521</v>
      </c>
      <c r="D1064" t="s">
        <v>3522</v>
      </c>
      <c r="E1064" t="s">
        <v>3523</v>
      </c>
      <c r="F1064" t="s">
        <v>3524</v>
      </c>
      <c r="G1064" s="2" t="str">
        <f>HYPERLINK("https://probpalata.gov.ru/files/ИП340403781400000.jpeg","Скачать индивидуальный QR-код магазина")</f>
        <v>Скачать индивидуальный QR-код магазина</v>
      </c>
    </row>
    <row r="1065" spans="1:7" x14ac:dyDescent="0.25">
      <c r="A1065" t="s">
        <v>3234</v>
      </c>
      <c r="B1065" t="s">
        <v>3525</v>
      </c>
      <c r="C1065" t="s">
        <v>3526</v>
      </c>
      <c r="D1065" t="s">
        <v>3527</v>
      </c>
      <c r="E1065" t="s">
        <v>3528</v>
      </c>
      <c r="F1065" t="s">
        <v>3529</v>
      </c>
      <c r="G1065" s="2" t="str">
        <f>HYPERLINK("https://probpalata.gov.ru/files/ЮЛ340401483700000.jpeg","Скачать индивидуальный QR-код магазина")</f>
        <v>Скачать индивидуальный QR-код магазина</v>
      </c>
    </row>
    <row r="1066" spans="1:7" x14ac:dyDescent="0.25">
      <c r="A1066" t="s">
        <v>3234</v>
      </c>
      <c r="B1066" t="s">
        <v>3530</v>
      </c>
      <c r="C1066" t="s">
        <v>3531</v>
      </c>
      <c r="D1066" t="s">
        <v>3532</v>
      </c>
      <c r="E1066" t="s">
        <v>3533</v>
      </c>
      <c r="F1066" t="s">
        <v>3534</v>
      </c>
      <c r="G1066" s="2" t="str">
        <f>HYPERLINK("https://probpalata.gov.ru/files/ИП340403666800000.jpeg","Скачать индивидуальный QR-код магазина")</f>
        <v>Скачать индивидуальный QR-код магазина</v>
      </c>
    </row>
    <row r="1067" spans="1:7" x14ac:dyDescent="0.25">
      <c r="A1067" t="s">
        <v>3234</v>
      </c>
      <c r="B1067" t="s">
        <v>3535</v>
      </c>
      <c r="C1067" t="s">
        <v>3536</v>
      </c>
      <c r="D1067" t="s">
        <v>3537</v>
      </c>
      <c r="E1067" t="s">
        <v>3538</v>
      </c>
      <c r="F1067" t="s">
        <v>3539</v>
      </c>
      <c r="G1067" s="2" t="str">
        <f>HYPERLINK("https://probpalata.gov.ru/files/ИП340400955400000.jpeg","Скачать индивидуальный QR-код магазина")</f>
        <v>Скачать индивидуальный QR-код магазина</v>
      </c>
    </row>
    <row r="1068" spans="1:7" x14ac:dyDescent="0.25">
      <c r="A1068" t="s">
        <v>3234</v>
      </c>
      <c r="B1068" t="s">
        <v>3540</v>
      </c>
      <c r="C1068" t="s">
        <v>3541</v>
      </c>
      <c r="D1068" t="s">
        <v>3542</v>
      </c>
      <c r="E1068" t="s">
        <v>3543</v>
      </c>
      <c r="F1068" t="s">
        <v>3544</v>
      </c>
      <c r="G1068" s="2" t="str">
        <f>HYPERLINK("https://probpalata.gov.ru/files/ЮЛ340400118000000.jpeg","Скачать индивидуальный QR-код магазина")</f>
        <v>Скачать индивидуальный QR-код магазина</v>
      </c>
    </row>
    <row r="1069" spans="1:7" x14ac:dyDescent="0.25">
      <c r="A1069" t="s">
        <v>3234</v>
      </c>
      <c r="B1069" t="s">
        <v>3545</v>
      </c>
      <c r="C1069" t="s">
        <v>3546</v>
      </c>
      <c r="D1069" t="s">
        <v>3547</v>
      </c>
      <c r="E1069" t="s">
        <v>3548</v>
      </c>
      <c r="F1069" t="s">
        <v>3549</v>
      </c>
      <c r="G1069" s="2" t="str">
        <f>HYPERLINK("https://probpalata.gov.ru/files/ИП340400151700000.jpeg","Скачать индивидуальный QR-код магазина")</f>
        <v>Скачать индивидуальный QR-код магазина</v>
      </c>
    </row>
    <row r="1070" spans="1:7" x14ac:dyDescent="0.25">
      <c r="A1070" t="s">
        <v>3234</v>
      </c>
      <c r="B1070" t="s">
        <v>3550</v>
      </c>
      <c r="C1070" t="s">
        <v>3546</v>
      </c>
      <c r="D1070" t="s">
        <v>3547</v>
      </c>
      <c r="E1070" t="s">
        <v>3548</v>
      </c>
      <c r="F1070" t="s">
        <v>3551</v>
      </c>
      <c r="G1070" s="2" t="str">
        <f>HYPERLINK("https://probpalata.gov.ru/files/ИП340400151700001.jpeg","Скачать индивидуальный QR-код магазина")</f>
        <v>Скачать индивидуальный QR-код магазина</v>
      </c>
    </row>
    <row r="1071" spans="1:7" x14ac:dyDescent="0.25">
      <c r="A1071" t="s">
        <v>3234</v>
      </c>
      <c r="B1071" t="s">
        <v>3552</v>
      </c>
      <c r="C1071" t="s">
        <v>3553</v>
      </c>
      <c r="D1071" t="s">
        <v>3554</v>
      </c>
      <c r="E1071" t="s">
        <v>3555</v>
      </c>
      <c r="F1071" t="s">
        <v>3556</v>
      </c>
      <c r="G1071" s="2" t="str">
        <f>HYPERLINK("https://probpalata.gov.ru/files/ИП340400643300000.jpeg","Скачать индивидуальный QR-код магазина")</f>
        <v>Скачать индивидуальный QR-код магазина</v>
      </c>
    </row>
    <row r="1072" spans="1:7" x14ac:dyDescent="0.25">
      <c r="A1072" t="s">
        <v>3234</v>
      </c>
      <c r="B1072" t="s">
        <v>3557</v>
      </c>
      <c r="C1072" t="s">
        <v>3558</v>
      </c>
      <c r="D1072" t="s">
        <v>3559</v>
      </c>
      <c r="E1072" t="s">
        <v>3560</v>
      </c>
      <c r="F1072" t="s">
        <v>3561</v>
      </c>
      <c r="G1072" s="2" t="str">
        <f>HYPERLINK("https://probpalata.gov.ru/files/ИП340401250700000.jpeg","Скачать индивидуальный QR-код магазина")</f>
        <v>Скачать индивидуальный QR-код магазина</v>
      </c>
    </row>
    <row r="1073" spans="1:7" x14ac:dyDescent="0.25">
      <c r="A1073" t="s">
        <v>3234</v>
      </c>
      <c r="B1073" t="s">
        <v>3252</v>
      </c>
      <c r="C1073" t="s">
        <v>3562</v>
      </c>
      <c r="D1073" t="s">
        <v>3563</v>
      </c>
      <c r="E1073" t="s">
        <v>3564</v>
      </c>
      <c r="F1073" t="s">
        <v>3565</v>
      </c>
      <c r="G1073" s="2" t="str">
        <f>HYPERLINK("https://probpalata.gov.ru/files/ИП340400667900000.jpeg","Скачать индивидуальный QR-код магазина")</f>
        <v>Скачать индивидуальный QR-код магазина</v>
      </c>
    </row>
    <row r="1074" spans="1:7" x14ac:dyDescent="0.25">
      <c r="A1074" t="s">
        <v>3234</v>
      </c>
      <c r="B1074" t="s">
        <v>3566</v>
      </c>
      <c r="C1074" t="s">
        <v>3567</v>
      </c>
      <c r="D1074" t="s">
        <v>3568</v>
      </c>
      <c r="E1074" t="s">
        <v>3569</v>
      </c>
      <c r="F1074" t="s">
        <v>3570</v>
      </c>
      <c r="G1074" s="2" t="str">
        <f>HYPERLINK("https://probpalata.gov.ru/files/ИП340400655200002.jpeg","Скачать индивидуальный QR-код магазина")</f>
        <v>Скачать индивидуальный QR-код магазина</v>
      </c>
    </row>
    <row r="1075" spans="1:7" x14ac:dyDescent="0.25">
      <c r="A1075" t="s">
        <v>3234</v>
      </c>
      <c r="B1075" t="s">
        <v>3571</v>
      </c>
      <c r="C1075" t="s">
        <v>3572</v>
      </c>
      <c r="D1075" t="s">
        <v>3573</v>
      </c>
      <c r="E1075" t="s">
        <v>3574</v>
      </c>
      <c r="F1075" t="s">
        <v>3575</v>
      </c>
      <c r="G1075" s="2" t="str">
        <f>HYPERLINK("https://probpalata.gov.ru/files/ИП340401351600000.jpeg","Скачать индивидуальный QR-код магазина")</f>
        <v>Скачать индивидуальный QR-код магазина</v>
      </c>
    </row>
    <row r="1076" spans="1:7" x14ac:dyDescent="0.25">
      <c r="A1076" t="s">
        <v>3234</v>
      </c>
      <c r="B1076" t="s">
        <v>3576</v>
      </c>
      <c r="C1076" t="s">
        <v>3577</v>
      </c>
      <c r="D1076" t="s">
        <v>3578</v>
      </c>
      <c r="E1076" t="s">
        <v>3579</v>
      </c>
      <c r="F1076" t="s">
        <v>3580</v>
      </c>
      <c r="G1076" s="2" t="str">
        <f>HYPERLINK("https://probpalata.gov.ru/files/ЮЛ340401220500000.jpeg","Скачать индивидуальный QR-код магазина")</f>
        <v>Скачать индивидуальный QR-код магазина</v>
      </c>
    </row>
    <row r="1077" spans="1:7" x14ac:dyDescent="0.25">
      <c r="A1077" t="s">
        <v>3234</v>
      </c>
      <c r="B1077" t="s">
        <v>3581</v>
      </c>
      <c r="C1077" t="s">
        <v>3582</v>
      </c>
      <c r="D1077" t="s">
        <v>3583</v>
      </c>
      <c r="E1077" t="s">
        <v>3584</v>
      </c>
      <c r="F1077" t="s">
        <v>3585</v>
      </c>
      <c r="G1077" s="2" t="str">
        <f>HYPERLINK("https://probpalata.gov.ru/files/ИП340403788000000.jpeg","Скачать индивидуальный QR-код магазина")</f>
        <v>Скачать индивидуальный QR-код магазина</v>
      </c>
    </row>
    <row r="1078" spans="1:7" x14ac:dyDescent="0.25">
      <c r="A1078" t="s">
        <v>3234</v>
      </c>
      <c r="B1078" t="s">
        <v>3586</v>
      </c>
      <c r="C1078" t="s">
        <v>3587</v>
      </c>
      <c r="D1078" t="s">
        <v>3588</v>
      </c>
      <c r="E1078" t="s">
        <v>3589</v>
      </c>
      <c r="F1078" t="s">
        <v>3590</v>
      </c>
      <c r="G1078" s="2" t="str">
        <f>HYPERLINK("https://probpalata.gov.ru/files/ИП340403805500000.jpeg","Скачать индивидуальный QR-код магазина")</f>
        <v>Скачать индивидуальный QR-код магазина</v>
      </c>
    </row>
    <row r="1079" spans="1:7" x14ac:dyDescent="0.25">
      <c r="A1079" t="s">
        <v>3234</v>
      </c>
      <c r="B1079" t="s">
        <v>3591</v>
      </c>
      <c r="C1079" t="s">
        <v>3592</v>
      </c>
      <c r="D1079" t="s">
        <v>3593</v>
      </c>
      <c r="E1079" t="s">
        <v>3594</v>
      </c>
      <c r="F1079" t="s">
        <v>3595</v>
      </c>
      <c r="G1079" s="2" t="str">
        <f>HYPERLINK("https://probpalata.gov.ru/files/ЮЛ340400209000000.jpeg","Скачать индивидуальный QR-код магазина")</f>
        <v>Скачать индивидуальный QR-код магазина</v>
      </c>
    </row>
    <row r="1080" spans="1:7" x14ac:dyDescent="0.25">
      <c r="A1080" t="s">
        <v>3234</v>
      </c>
      <c r="B1080" t="s">
        <v>3596</v>
      </c>
      <c r="C1080" t="s">
        <v>3597</v>
      </c>
      <c r="D1080" t="s">
        <v>3598</v>
      </c>
      <c r="E1080" t="s">
        <v>3599</v>
      </c>
      <c r="F1080" t="s">
        <v>3600</v>
      </c>
      <c r="G1080" s="2" t="str">
        <f>HYPERLINK("https://probpalata.gov.ru/files/ИП340400208800000.jpeg","Скачать индивидуальный QR-код магазина")</f>
        <v>Скачать индивидуальный QR-код магазина</v>
      </c>
    </row>
    <row r="1081" spans="1:7" x14ac:dyDescent="0.25">
      <c r="A1081" t="s">
        <v>3234</v>
      </c>
      <c r="B1081" t="s">
        <v>3591</v>
      </c>
      <c r="C1081" t="s">
        <v>3597</v>
      </c>
      <c r="D1081" t="s">
        <v>3598</v>
      </c>
      <c r="E1081" t="s">
        <v>3599</v>
      </c>
      <c r="F1081" t="s">
        <v>3601</v>
      </c>
      <c r="G1081" s="2" t="str">
        <f>HYPERLINK("https://probpalata.gov.ru/files/ИП340400208800001.jpeg","Скачать индивидуальный QR-код магазина")</f>
        <v>Скачать индивидуальный QR-код магазина</v>
      </c>
    </row>
    <row r="1082" spans="1:7" x14ac:dyDescent="0.25">
      <c r="A1082" t="s">
        <v>3234</v>
      </c>
      <c r="B1082" t="s">
        <v>3602</v>
      </c>
      <c r="C1082" t="s">
        <v>3603</v>
      </c>
      <c r="D1082" t="s">
        <v>3604</v>
      </c>
      <c r="E1082" t="s">
        <v>3605</v>
      </c>
      <c r="F1082" t="s">
        <v>3606</v>
      </c>
      <c r="G1082" s="2" t="str">
        <f>HYPERLINK("https://probpalata.gov.ru/files/ИП340403656500000.jpeg","Скачать индивидуальный QR-код магазина")</f>
        <v>Скачать индивидуальный QR-код магазина</v>
      </c>
    </row>
    <row r="1083" spans="1:7" x14ac:dyDescent="0.25">
      <c r="A1083" t="s">
        <v>3234</v>
      </c>
      <c r="B1083" t="s">
        <v>3607</v>
      </c>
      <c r="C1083" t="s">
        <v>3608</v>
      </c>
      <c r="D1083" t="s">
        <v>3609</v>
      </c>
      <c r="E1083" t="s">
        <v>3610</v>
      </c>
      <c r="F1083" t="s">
        <v>3611</v>
      </c>
      <c r="G1083" s="2" t="str">
        <f>HYPERLINK("https://probpalata.gov.ru/files/ИП340400280700000.jpeg","Скачать индивидуальный QR-код магазина")</f>
        <v>Скачать индивидуальный QR-код магазина</v>
      </c>
    </row>
    <row r="1084" spans="1:7" x14ac:dyDescent="0.25">
      <c r="A1084" t="s">
        <v>3234</v>
      </c>
      <c r="B1084" t="s">
        <v>3612</v>
      </c>
      <c r="C1084" t="s">
        <v>3608</v>
      </c>
      <c r="D1084" t="s">
        <v>3609</v>
      </c>
      <c r="E1084" t="s">
        <v>3610</v>
      </c>
      <c r="F1084" t="s">
        <v>3613</v>
      </c>
      <c r="G1084" s="2" t="str">
        <f>HYPERLINK("https://probpalata.gov.ru/files/ИП340400280700002.jpeg","Скачать индивидуальный QR-код магазина")</f>
        <v>Скачать индивидуальный QR-код магазина</v>
      </c>
    </row>
    <row r="1085" spans="1:7" x14ac:dyDescent="0.25">
      <c r="A1085" t="s">
        <v>3234</v>
      </c>
      <c r="B1085" t="s">
        <v>3614</v>
      </c>
      <c r="C1085" t="s">
        <v>3608</v>
      </c>
      <c r="D1085" t="s">
        <v>3609</v>
      </c>
      <c r="E1085" t="s">
        <v>3610</v>
      </c>
      <c r="F1085" t="s">
        <v>3615</v>
      </c>
      <c r="G1085" s="2" t="str">
        <f>HYPERLINK("https://probpalata.gov.ru/files/ИП340400280700005.jpeg","Скачать индивидуальный QR-код магазина")</f>
        <v>Скачать индивидуальный QR-код магазина</v>
      </c>
    </row>
    <row r="1086" spans="1:7" x14ac:dyDescent="0.25">
      <c r="A1086" t="s">
        <v>3234</v>
      </c>
      <c r="B1086" t="s">
        <v>3616</v>
      </c>
      <c r="C1086" t="s">
        <v>3608</v>
      </c>
      <c r="D1086" t="s">
        <v>3609</v>
      </c>
      <c r="E1086" t="s">
        <v>3610</v>
      </c>
      <c r="F1086" t="s">
        <v>3617</v>
      </c>
      <c r="G1086" s="2" t="str">
        <f>HYPERLINK("https://probpalata.gov.ru/files/ИП340400280700006.jpeg","Скачать индивидуальный QR-код магазина")</f>
        <v>Скачать индивидуальный QR-код магазина</v>
      </c>
    </row>
    <row r="1087" spans="1:7" x14ac:dyDescent="0.25">
      <c r="A1087" t="s">
        <v>3234</v>
      </c>
      <c r="B1087" t="s">
        <v>3618</v>
      </c>
      <c r="C1087" t="s">
        <v>3619</v>
      </c>
      <c r="D1087" t="s">
        <v>3620</v>
      </c>
      <c r="E1087" t="s">
        <v>3621</v>
      </c>
      <c r="F1087" t="s">
        <v>3622</v>
      </c>
      <c r="G1087" s="2" t="str">
        <f>HYPERLINK("https://probpalata.gov.ru/files/ЮЛ340400048200000.jpeg","Скачать индивидуальный QR-код магазина")</f>
        <v>Скачать индивидуальный QR-код магазина</v>
      </c>
    </row>
    <row r="1088" spans="1:7" x14ac:dyDescent="0.25">
      <c r="A1088" t="s">
        <v>3234</v>
      </c>
      <c r="B1088" t="s">
        <v>3623</v>
      </c>
      <c r="C1088" t="s">
        <v>3624</v>
      </c>
      <c r="D1088" t="s">
        <v>3625</v>
      </c>
      <c r="E1088" t="s">
        <v>3626</v>
      </c>
      <c r="F1088" t="s">
        <v>3627</v>
      </c>
      <c r="G1088" s="2" t="str">
        <f>HYPERLINK("https://probpalata.gov.ru/files/ИП340400319800000.jpeg","Скачать индивидуальный QR-код магазина")</f>
        <v>Скачать индивидуальный QR-код магазина</v>
      </c>
    </row>
    <row r="1089" spans="1:7" x14ac:dyDescent="0.25">
      <c r="A1089" t="s">
        <v>3234</v>
      </c>
      <c r="B1089" t="s">
        <v>3628</v>
      </c>
      <c r="C1089" t="s">
        <v>3629</v>
      </c>
      <c r="D1089" t="s">
        <v>3630</v>
      </c>
      <c r="E1089" t="s">
        <v>3631</v>
      </c>
      <c r="F1089" t="s">
        <v>3632</v>
      </c>
      <c r="G1089" s="2" t="str">
        <f>HYPERLINK("https://probpalata.gov.ru/files/ИП340401984800000.jpeg","Скачать индивидуальный QR-код магазина")</f>
        <v>Скачать индивидуальный QR-код магазина</v>
      </c>
    </row>
    <row r="1090" spans="1:7" x14ac:dyDescent="0.25">
      <c r="A1090" t="s">
        <v>3234</v>
      </c>
      <c r="B1090" t="s">
        <v>3633</v>
      </c>
      <c r="C1090" t="s">
        <v>3634</v>
      </c>
      <c r="D1090" t="s">
        <v>3635</v>
      </c>
      <c r="E1090" t="s">
        <v>3636</v>
      </c>
      <c r="F1090" t="s">
        <v>3637</v>
      </c>
      <c r="G1090" s="2" t="str">
        <f>HYPERLINK("https://probpalata.gov.ru/files/ЮЛ340400618400000.jpeg","Скачать индивидуальный QR-код магазина")</f>
        <v>Скачать индивидуальный QR-код магазина</v>
      </c>
    </row>
    <row r="1091" spans="1:7" x14ac:dyDescent="0.25">
      <c r="A1091" t="s">
        <v>3234</v>
      </c>
      <c r="B1091" t="s">
        <v>3638</v>
      </c>
      <c r="C1091" t="s">
        <v>3634</v>
      </c>
      <c r="D1091" t="s">
        <v>3635</v>
      </c>
      <c r="E1091" t="s">
        <v>3636</v>
      </c>
      <c r="F1091" t="s">
        <v>3639</v>
      </c>
      <c r="G1091" s="2" t="str">
        <f>HYPERLINK("https://probpalata.gov.ru/files/ЮЛ340400618400001.jpeg","Скачать индивидуальный QR-код магазина")</f>
        <v>Скачать индивидуальный QR-код магазина</v>
      </c>
    </row>
    <row r="1092" spans="1:7" x14ac:dyDescent="0.25">
      <c r="A1092" t="s">
        <v>3234</v>
      </c>
      <c r="B1092" t="s">
        <v>3640</v>
      </c>
      <c r="C1092" t="s">
        <v>3634</v>
      </c>
      <c r="D1092" t="s">
        <v>3635</v>
      </c>
      <c r="E1092" t="s">
        <v>3636</v>
      </c>
      <c r="F1092" t="s">
        <v>3641</v>
      </c>
      <c r="G1092" s="2" t="str">
        <f>HYPERLINK("https://probpalata.gov.ru/files/ЮЛ340400618400003.jpeg","Скачать индивидуальный QR-код магазина")</f>
        <v>Скачать индивидуальный QR-код магазина</v>
      </c>
    </row>
    <row r="1093" spans="1:7" x14ac:dyDescent="0.25">
      <c r="A1093" t="s">
        <v>3234</v>
      </c>
      <c r="B1093" t="s">
        <v>3642</v>
      </c>
      <c r="C1093" t="s">
        <v>3634</v>
      </c>
      <c r="D1093" t="s">
        <v>3635</v>
      </c>
      <c r="E1093" t="s">
        <v>3636</v>
      </c>
      <c r="F1093" t="s">
        <v>3643</v>
      </c>
      <c r="G1093" s="2" t="str">
        <f>HYPERLINK("https://probpalata.gov.ru/files/ЮЛ340400618400004.jpeg","Скачать индивидуальный QR-код магазина")</f>
        <v>Скачать индивидуальный QR-код магазина</v>
      </c>
    </row>
    <row r="1094" spans="1:7" x14ac:dyDescent="0.25">
      <c r="A1094" t="s">
        <v>3234</v>
      </c>
      <c r="B1094" t="s">
        <v>3644</v>
      </c>
      <c r="C1094" t="s">
        <v>3645</v>
      </c>
      <c r="D1094" t="s">
        <v>3646</v>
      </c>
      <c r="E1094" t="s">
        <v>3647</v>
      </c>
      <c r="F1094" t="s">
        <v>3648</v>
      </c>
      <c r="G1094" s="2" t="str">
        <f>HYPERLINK("https://probpalata.gov.ru/files/ЮЛ340400201400000.jpeg","Скачать индивидуальный QR-код магазина")</f>
        <v>Скачать индивидуальный QR-код магазина</v>
      </c>
    </row>
    <row r="1095" spans="1:7" x14ac:dyDescent="0.25">
      <c r="A1095" t="s">
        <v>3234</v>
      </c>
      <c r="B1095" t="s">
        <v>3649</v>
      </c>
      <c r="C1095" t="s">
        <v>3650</v>
      </c>
      <c r="D1095" t="s">
        <v>3651</v>
      </c>
      <c r="E1095" t="s">
        <v>3652</v>
      </c>
      <c r="F1095" t="s">
        <v>3653</v>
      </c>
      <c r="G1095" s="2" t="str">
        <f>HYPERLINK("https://probpalata.gov.ru/files/ИП340400071500000.jpeg","Скачать индивидуальный QR-код магазина")</f>
        <v>Скачать индивидуальный QR-код магазина</v>
      </c>
    </row>
    <row r="1096" spans="1:7" x14ac:dyDescent="0.25">
      <c r="A1096" t="s">
        <v>3234</v>
      </c>
      <c r="B1096" t="s">
        <v>3654</v>
      </c>
      <c r="C1096" t="s">
        <v>3655</v>
      </c>
      <c r="D1096" t="s">
        <v>3656</v>
      </c>
      <c r="E1096" t="s">
        <v>3657</v>
      </c>
      <c r="F1096" t="s">
        <v>3658</v>
      </c>
      <c r="G1096" s="2" t="str">
        <f>HYPERLINK("https://probpalata.gov.ru/files/ИП340400482300000.jpeg","Скачать индивидуальный QR-код магазина")</f>
        <v>Скачать индивидуальный QR-код магазина</v>
      </c>
    </row>
    <row r="1097" spans="1:7" x14ac:dyDescent="0.25">
      <c r="A1097" t="s">
        <v>3234</v>
      </c>
      <c r="B1097" t="s">
        <v>3659</v>
      </c>
      <c r="C1097" t="s">
        <v>3655</v>
      </c>
      <c r="D1097" t="s">
        <v>3656</v>
      </c>
      <c r="E1097" t="s">
        <v>3657</v>
      </c>
      <c r="F1097" t="s">
        <v>3660</v>
      </c>
      <c r="G1097" s="2" t="str">
        <f>HYPERLINK("https://probpalata.gov.ru/files/ИП340400482300001.jpeg","Скачать индивидуальный QR-код магазина")</f>
        <v>Скачать индивидуальный QR-код магазина</v>
      </c>
    </row>
    <row r="1098" spans="1:7" x14ac:dyDescent="0.25">
      <c r="A1098" t="s">
        <v>3234</v>
      </c>
      <c r="B1098" t="s">
        <v>3661</v>
      </c>
      <c r="C1098" t="s">
        <v>3655</v>
      </c>
      <c r="D1098" t="s">
        <v>3656</v>
      </c>
      <c r="E1098" t="s">
        <v>3657</v>
      </c>
      <c r="F1098" t="s">
        <v>3662</v>
      </c>
      <c r="G1098" s="2" t="str">
        <f>HYPERLINK("https://probpalata.gov.ru/files/ИП340400482300002.jpeg","Скачать индивидуальный QR-код магазина")</f>
        <v>Скачать индивидуальный QR-код магазина</v>
      </c>
    </row>
    <row r="1099" spans="1:7" x14ac:dyDescent="0.25">
      <c r="A1099" t="s">
        <v>3234</v>
      </c>
      <c r="B1099" t="s">
        <v>3407</v>
      </c>
      <c r="C1099" t="s">
        <v>1727</v>
      </c>
      <c r="D1099" t="s">
        <v>1728</v>
      </c>
      <c r="E1099" t="s">
        <v>1729</v>
      </c>
      <c r="F1099" t="s">
        <v>3663</v>
      </c>
      <c r="G1099" s="2" t="str">
        <f>HYPERLINK("https://probpalata.gov.ru/files/ЮЛ340400964300000.jpeg","Скачать индивидуальный QR-код магазина")</f>
        <v>Скачать индивидуальный QR-код магазина</v>
      </c>
    </row>
    <row r="1100" spans="1:7" x14ac:dyDescent="0.25">
      <c r="A1100" t="s">
        <v>3234</v>
      </c>
      <c r="B1100" t="s">
        <v>3409</v>
      </c>
      <c r="C1100" t="s">
        <v>1727</v>
      </c>
      <c r="D1100" t="s">
        <v>1728</v>
      </c>
      <c r="E1100" t="s">
        <v>1729</v>
      </c>
      <c r="F1100" t="s">
        <v>3664</v>
      </c>
      <c r="G1100" s="2" t="str">
        <f>HYPERLINK("https://probpalata.gov.ru/files/ЮЛ340400964300001.jpeg","Скачать индивидуальный QR-код магазина")</f>
        <v>Скачать индивидуальный QR-код магазина</v>
      </c>
    </row>
    <row r="1101" spans="1:7" x14ac:dyDescent="0.25">
      <c r="A1101" t="s">
        <v>3234</v>
      </c>
      <c r="B1101" t="s">
        <v>3411</v>
      </c>
      <c r="C1101" t="s">
        <v>1727</v>
      </c>
      <c r="D1101" t="s">
        <v>1728</v>
      </c>
      <c r="E1101" t="s">
        <v>1729</v>
      </c>
      <c r="F1101" t="s">
        <v>3665</v>
      </c>
      <c r="G1101" s="2" t="str">
        <f>HYPERLINK("https://probpalata.gov.ru/files/ЮЛ340400964300002.jpeg","Скачать индивидуальный QR-код магазина")</f>
        <v>Скачать индивидуальный QR-код магазина</v>
      </c>
    </row>
    <row r="1102" spans="1:7" x14ac:dyDescent="0.25">
      <c r="A1102" t="s">
        <v>3234</v>
      </c>
      <c r="B1102" t="s">
        <v>3413</v>
      </c>
      <c r="C1102" t="s">
        <v>1727</v>
      </c>
      <c r="D1102" t="s">
        <v>1728</v>
      </c>
      <c r="E1102" t="s">
        <v>1729</v>
      </c>
      <c r="F1102" t="s">
        <v>3666</v>
      </c>
      <c r="G1102" s="2" t="str">
        <f>HYPERLINK("https://probpalata.gov.ru/files/ЮЛ340400964300003.jpeg","Скачать индивидуальный QR-код магазина")</f>
        <v>Скачать индивидуальный QR-код магазина</v>
      </c>
    </row>
    <row r="1103" spans="1:7" x14ac:dyDescent="0.25">
      <c r="A1103" t="s">
        <v>3234</v>
      </c>
      <c r="B1103" t="s">
        <v>3417</v>
      </c>
      <c r="C1103" t="s">
        <v>1727</v>
      </c>
      <c r="D1103" t="s">
        <v>1728</v>
      </c>
      <c r="E1103" t="s">
        <v>1729</v>
      </c>
      <c r="F1103" t="s">
        <v>3667</v>
      </c>
      <c r="G1103" s="2" t="str">
        <f>HYPERLINK("https://probpalata.gov.ru/files/ЮЛ340400964300004.jpeg","Скачать индивидуальный QR-код магазина")</f>
        <v>Скачать индивидуальный QR-код магазина</v>
      </c>
    </row>
    <row r="1104" spans="1:7" x14ac:dyDescent="0.25">
      <c r="A1104" t="s">
        <v>3234</v>
      </c>
      <c r="B1104" t="s">
        <v>3668</v>
      </c>
      <c r="C1104" t="s">
        <v>1727</v>
      </c>
      <c r="D1104" t="s">
        <v>1728</v>
      </c>
      <c r="E1104" t="s">
        <v>1729</v>
      </c>
      <c r="F1104" t="s">
        <v>3669</v>
      </c>
      <c r="G1104" s="2" t="str">
        <f>HYPERLINK("https://probpalata.gov.ru/files/ЮЛ340400964300008.jpeg","Скачать индивидуальный QR-код магазина")</f>
        <v>Скачать индивидуальный QR-код магазина</v>
      </c>
    </row>
    <row r="1105" spans="1:7" x14ac:dyDescent="0.25">
      <c r="A1105" t="s">
        <v>3234</v>
      </c>
      <c r="B1105" t="s">
        <v>3419</v>
      </c>
      <c r="C1105" t="s">
        <v>1727</v>
      </c>
      <c r="D1105" t="s">
        <v>1728</v>
      </c>
      <c r="E1105" t="s">
        <v>1729</v>
      </c>
      <c r="F1105" t="s">
        <v>3670</v>
      </c>
      <c r="G1105" s="2" t="str">
        <f>HYPERLINK("https://probpalata.gov.ru/files/ЮЛ340400964300011.jpeg","Скачать индивидуальный QR-код магазина")</f>
        <v>Скачать индивидуальный QR-код магазина</v>
      </c>
    </row>
    <row r="1106" spans="1:7" x14ac:dyDescent="0.25">
      <c r="A1106" t="s">
        <v>3234</v>
      </c>
      <c r="B1106" t="s">
        <v>3415</v>
      </c>
      <c r="C1106" t="s">
        <v>1727</v>
      </c>
      <c r="D1106" t="s">
        <v>1728</v>
      </c>
      <c r="E1106" t="s">
        <v>1729</v>
      </c>
      <c r="F1106" t="s">
        <v>3671</v>
      </c>
      <c r="G1106" s="2" t="str">
        <f>HYPERLINK("https://probpalata.gov.ru/files/ЮЛ340400964300016.jpeg","Скачать индивидуальный QR-код магазина")</f>
        <v>Скачать индивидуальный QR-код магазина</v>
      </c>
    </row>
    <row r="1107" spans="1:7" x14ac:dyDescent="0.25">
      <c r="A1107" t="s">
        <v>3234</v>
      </c>
      <c r="B1107" t="s">
        <v>3403</v>
      </c>
      <c r="C1107" t="s">
        <v>1727</v>
      </c>
      <c r="D1107" t="s">
        <v>1728</v>
      </c>
      <c r="E1107" t="s">
        <v>1729</v>
      </c>
      <c r="F1107" t="s">
        <v>3672</v>
      </c>
      <c r="G1107" s="2" t="str">
        <f>HYPERLINK("https://probpalata.gov.ru/files/ЮЛ340400964300017.jpeg","Скачать индивидуальный QR-код магазина")</f>
        <v>Скачать индивидуальный QR-код магазина</v>
      </c>
    </row>
    <row r="1108" spans="1:7" x14ac:dyDescent="0.25">
      <c r="A1108" t="s">
        <v>3234</v>
      </c>
      <c r="B1108" t="s">
        <v>3405</v>
      </c>
      <c r="C1108" t="s">
        <v>1727</v>
      </c>
      <c r="D1108" t="s">
        <v>1728</v>
      </c>
      <c r="E1108" t="s">
        <v>1729</v>
      </c>
      <c r="F1108" t="s">
        <v>3673</v>
      </c>
      <c r="G1108" s="2" t="str">
        <f>HYPERLINK("https://probpalata.gov.ru/files/ЮЛ340400964300018.jpeg","Скачать индивидуальный QR-код магазина")</f>
        <v>Скачать индивидуальный QR-код магазина</v>
      </c>
    </row>
    <row r="1109" spans="1:7" x14ac:dyDescent="0.25">
      <c r="A1109" t="s">
        <v>3234</v>
      </c>
      <c r="B1109" t="s">
        <v>3399</v>
      </c>
      <c r="C1109" t="s">
        <v>1727</v>
      </c>
      <c r="D1109" t="s">
        <v>1728</v>
      </c>
      <c r="E1109" t="s">
        <v>1729</v>
      </c>
      <c r="F1109" t="s">
        <v>3674</v>
      </c>
      <c r="G1109" s="2" t="str">
        <f>HYPERLINK("https://probpalata.gov.ru/files/ЮЛ340400964300019.jpeg","Скачать индивидуальный QR-код магазина")</f>
        <v>Скачать индивидуальный QR-код магазина</v>
      </c>
    </row>
    <row r="1110" spans="1:7" x14ac:dyDescent="0.25">
      <c r="A1110" t="s">
        <v>3234</v>
      </c>
      <c r="B1110" t="s">
        <v>3401</v>
      </c>
      <c r="C1110" t="s">
        <v>1727</v>
      </c>
      <c r="D1110" t="s">
        <v>1728</v>
      </c>
      <c r="E1110" t="s">
        <v>1729</v>
      </c>
      <c r="F1110" t="s">
        <v>3675</v>
      </c>
      <c r="G1110" s="2" t="str">
        <f>HYPERLINK("https://probpalata.gov.ru/files/ЮЛ340400964300020.jpeg","Скачать индивидуальный QR-код магазина")</f>
        <v>Скачать индивидуальный QR-код магазина</v>
      </c>
    </row>
    <row r="1111" spans="1:7" x14ac:dyDescent="0.25">
      <c r="A1111" t="s">
        <v>3234</v>
      </c>
      <c r="B1111" t="s">
        <v>3676</v>
      </c>
      <c r="C1111" t="s">
        <v>3677</v>
      </c>
      <c r="D1111" t="s">
        <v>3678</v>
      </c>
      <c r="E1111" t="s">
        <v>3679</v>
      </c>
      <c r="F1111" t="s">
        <v>3680</v>
      </c>
      <c r="G1111" s="2" t="str">
        <f>HYPERLINK("https://probpalata.gov.ru/files/ЮЛ340400079600000.jpeg","Скачать индивидуальный QR-код магазина")</f>
        <v>Скачать индивидуальный QR-код магазина</v>
      </c>
    </row>
    <row r="1112" spans="1:7" x14ac:dyDescent="0.25">
      <c r="A1112" t="s">
        <v>3234</v>
      </c>
      <c r="B1112" t="s">
        <v>3681</v>
      </c>
      <c r="C1112" t="s">
        <v>3682</v>
      </c>
      <c r="D1112" t="s">
        <v>3683</v>
      </c>
      <c r="E1112" t="s">
        <v>3684</v>
      </c>
      <c r="F1112" t="s">
        <v>3685</v>
      </c>
      <c r="G1112" s="2" t="str">
        <f>HYPERLINK("https://probpalata.gov.ru/files/ИП340400857800000.jpeg","Скачать индивидуальный QR-код магазина")</f>
        <v>Скачать индивидуальный QR-код магазина</v>
      </c>
    </row>
    <row r="1113" spans="1:7" x14ac:dyDescent="0.25">
      <c r="A1113" t="s">
        <v>3234</v>
      </c>
      <c r="B1113" t="s">
        <v>3686</v>
      </c>
      <c r="C1113" t="s">
        <v>3687</v>
      </c>
      <c r="D1113" t="s">
        <v>3688</v>
      </c>
      <c r="E1113" t="s">
        <v>3689</v>
      </c>
      <c r="F1113" t="s">
        <v>3690</v>
      </c>
      <c r="G1113" s="2" t="str">
        <f>HYPERLINK("https://probpalata.gov.ru/files/ИП340401489500000.jpeg","Скачать индивидуальный QR-код магазина")</f>
        <v>Скачать индивидуальный QR-код магазина</v>
      </c>
    </row>
    <row r="1114" spans="1:7" x14ac:dyDescent="0.25">
      <c r="A1114" t="s">
        <v>3234</v>
      </c>
      <c r="B1114" t="s">
        <v>3691</v>
      </c>
      <c r="C1114" t="s">
        <v>3692</v>
      </c>
      <c r="D1114" t="s">
        <v>3693</v>
      </c>
      <c r="E1114" t="s">
        <v>3694</v>
      </c>
      <c r="F1114" t="s">
        <v>3695</v>
      </c>
      <c r="G1114" s="2" t="str">
        <f>HYPERLINK("https://probpalata.gov.ru/files/ИП340401271800000.jpeg","Скачать индивидуальный QR-код магазина")</f>
        <v>Скачать индивидуальный QR-код магазина</v>
      </c>
    </row>
    <row r="1115" spans="1:7" x14ac:dyDescent="0.25">
      <c r="A1115" t="s">
        <v>3234</v>
      </c>
      <c r="B1115" t="s">
        <v>3696</v>
      </c>
      <c r="C1115" t="s">
        <v>3692</v>
      </c>
      <c r="D1115" t="s">
        <v>3693</v>
      </c>
      <c r="E1115" t="s">
        <v>3694</v>
      </c>
      <c r="F1115" t="s">
        <v>3697</v>
      </c>
      <c r="G1115" s="2" t="str">
        <f>HYPERLINK("https://probpalata.gov.ru/files/ИП340401271800001.jpeg","Скачать индивидуальный QR-код магазина")</f>
        <v>Скачать индивидуальный QR-код магазина</v>
      </c>
    </row>
    <row r="1116" spans="1:7" x14ac:dyDescent="0.25">
      <c r="A1116" t="s">
        <v>3234</v>
      </c>
      <c r="B1116" t="s">
        <v>3698</v>
      </c>
      <c r="C1116" t="s">
        <v>3692</v>
      </c>
      <c r="D1116" t="s">
        <v>3693</v>
      </c>
      <c r="E1116" t="s">
        <v>3694</v>
      </c>
      <c r="F1116" t="s">
        <v>3699</v>
      </c>
      <c r="G1116" s="2" t="str">
        <f>HYPERLINK("https://probpalata.gov.ru/files/ИП340401271800002.jpeg","Скачать индивидуальный QR-код магазина")</f>
        <v>Скачать индивидуальный QR-код магазина</v>
      </c>
    </row>
    <row r="1117" spans="1:7" x14ac:dyDescent="0.25">
      <c r="A1117" t="s">
        <v>3234</v>
      </c>
      <c r="B1117" t="s">
        <v>3700</v>
      </c>
      <c r="C1117" t="s">
        <v>3692</v>
      </c>
      <c r="D1117" t="s">
        <v>3693</v>
      </c>
      <c r="E1117" t="s">
        <v>3694</v>
      </c>
      <c r="F1117" t="s">
        <v>3701</v>
      </c>
      <c r="G1117" s="2" t="str">
        <f>HYPERLINK("https://probpalata.gov.ru/files/ИП340401271800003.jpeg","Скачать индивидуальный QR-код магазина")</f>
        <v>Скачать индивидуальный QR-код магазина</v>
      </c>
    </row>
    <row r="1118" spans="1:7" x14ac:dyDescent="0.25">
      <c r="A1118" t="s">
        <v>3234</v>
      </c>
      <c r="B1118" t="s">
        <v>3702</v>
      </c>
      <c r="C1118" t="s">
        <v>3703</v>
      </c>
      <c r="D1118" t="s">
        <v>3704</v>
      </c>
      <c r="E1118" t="s">
        <v>3705</v>
      </c>
      <c r="F1118" t="s">
        <v>3706</v>
      </c>
      <c r="G1118" s="2" t="str">
        <f>HYPERLINK("https://probpalata.gov.ru/files/ИП340403875200000.jpeg","Скачать индивидуальный QR-код магазина")</f>
        <v>Скачать индивидуальный QR-код магазина</v>
      </c>
    </row>
    <row r="1119" spans="1:7" x14ac:dyDescent="0.25">
      <c r="A1119" t="s">
        <v>3234</v>
      </c>
      <c r="B1119" t="s">
        <v>3707</v>
      </c>
      <c r="C1119" t="s">
        <v>3708</v>
      </c>
      <c r="D1119" t="s">
        <v>3709</v>
      </c>
      <c r="E1119" t="s">
        <v>3710</v>
      </c>
      <c r="F1119" t="s">
        <v>3711</v>
      </c>
      <c r="G1119" s="2" t="str">
        <f>HYPERLINK("https://probpalata.gov.ru/files/ИП340401723000001.jpeg","Скачать индивидуальный QR-код магазина")</f>
        <v>Скачать индивидуальный QR-код магазина</v>
      </c>
    </row>
    <row r="1120" spans="1:7" x14ac:dyDescent="0.25">
      <c r="A1120" t="s">
        <v>3234</v>
      </c>
      <c r="B1120" t="s">
        <v>3712</v>
      </c>
      <c r="C1120" t="s">
        <v>3708</v>
      </c>
      <c r="D1120" t="s">
        <v>3709</v>
      </c>
      <c r="E1120" t="s">
        <v>3710</v>
      </c>
      <c r="F1120" t="s">
        <v>3713</v>
      </c>
      <c r="G1120" s="2" t="str">
        <f>HYPERLINK("https://probpalata.gov.ru/files/ИП340401723000002.jpeg","Скачать индивидуальный QR-код магазина")</f>
        <v>Скачать индивидуальный QR-код магазина</v>
      </c>
    </row>
    <row r="1121" spans="1:7" x14ac:dyDescent="0.25">
      <c r="A1121" t="s">
        <v>3234</v>
      </c>
      <c r="B1121" t="s">
        <v>3714</v>
      </c>
      <c r="C1121" t="s">
        <v>3715</v>
      </c>
      <c r="D1121" t="s">
        <v>3716</v>
      </c>
      <c r="E1121" t="s">
        <v>3717</v>
      </c>
      <c r="F1121" t="s">
        <v>3718</v>
      </c>
      <c r="G1121" s="2" t="str">
        <f>HYPERLINK("https://probpalata.gov.ru/files/ИП340400412300000.jpeg","Скачать индивидуальный QR-код магазина")</f>
        <v>Скачать индивидуальный QR-код магазина</v>
      </c>
    </row>
    <row r="1122" spans="1:7" x14ac:dyDescent="0.25">
      <c r="A1122" t="s">
        <v>3234</v>
      </c>
      <c r="B1122" t="s">
        <v>3719</v>
      </c>
      <c r="C1122" t="s">
        <v>3720</v>
      </c>
      <c r="D1122" t="s">
        <v>3721</v>
      </c>
      <c r="E1122" t="s">
        <v>3722</v>
      </c>
      <c r="F1122" t="s">
        <v>3723</v>
      </c>
      <c r="G1122" s="2" t="str">
        <f>HYPERLINK("https://probpalata.gov.ru/files/ЮЛ340400980600000.jpeg","Скачать индивидуальный QR-код магазина")</f>
        <v>Скачать индивидуальный QR-код магазина</v>
      </c>
    </row>
    <row r="1123" spans="1:7" x14ac:dyDescent="0.25">
      <c r="A1123" t="s">
        <v>3234</v>
      </c>
      <c r="B1123" t="s">
        <v>3724</v>
      </c>
      <c r="C1123" t="s">
        <v>3725</v>
      </c>
      <c r="D1123" t="s">
        <v>3726</v>
      </c>
      <c r="E1123" t="s">
        <v>3727</v>
      </c>
      <c r="F1123" t="s">
        <v>3728</v>
      </c>
      <c r="G1123" s="2" t="str">
        <f>HYPERLINK("https://probpalata.gov.ru/files/ЮЛ340400066500000.jpeg","Скачать индивидуальный QR-код магазина")</f>
        <v>Скачать индивидуальный QR-код магазина</v>
      </c>
    </row>
    <row r="1124" spans="1:7" x14ac:dyDescent="0.25">
      <c r="A1124" t="s">
        <v>3234</v>
      </c>
      <c r="B1124" t="s">
        <v>3729</v>
      </c>
      <c r="C1124" t="s">
        <v>2436</v>
      </c>
      <c r="D1124" t="s">
        <v>3730</v>
      </c>
      <c r="E1124" t="s">
        <v>3731</v>
      </c>
      <c r="F1124" t="s">
        <v>3732</v>
      </c>
      <c r="G1124" s="2" t="str">
        <f>HYPERLINK("https://probpalata.gov.ru/files/ЮЛ340400084700001.jpeg","Скачать индивидуальный QR-код магазина")</f>
        <v>Скачать индивидуальный QR-код магазина</v>
      </c>
    </row>
    <row r="1125" spans="1:7" x14ac:dyDescent="0.25">
      <c r="A1125" t="s">
        <v>3234</v>
      </c>
      <c r="B1125" t="s">
        <v>3733</v>
      </c>
      <c r="C1125" t="s">
        <v>2436</v>
      </c>
      <c r="D1125" t="s">
        <v>3730</v>
      </c>
      <c r="E1125" t="s">
        <v>3731</v>
      </c>
      <c r="F1125" t="s">
        <v>3734</v>
      </c>
      <c r="G1125" s="2" t="str">
        <f>HYPERLINK("https://probpalata.gov.ru/files/ЮЛ340400084700002.jpeg","Скачать индивидуальный QR-код магазина")</f>
        <v>Скачать индивидуальный QR-код магазина</v>
      </c>
    </row>
    <row r="1126" spans="1:7" x14ac:dyDescent="0.25">
      <c r="A1126" t="s">
        <v>3234</v>
      </c>
      <c r="B1126" t="s">
        <v>3735</v>
      </c>
      <c r="C1126" t="s">
        <v>2436</v>
      </c>
      <c r="D1126" t="s">
        <v>3730</v>
      </c>
      <c r="E1126" t="s">
        <v>3731</v>
      </c>
      <c r="F1126" t="s">
        <v>3736</v>
      </c>
      <c r="G1126" s="2" t="str">
        <f>HYPERLINK("https://probpalata.gov.ru/files/ЮЛ340400084700003.jpeg","Скачать индивидуальный QR-код магазина")</f>
        <v>Скачать индивидуальный QR-код магазина</v>
      </c>
    </row>
    <row r="1127" spans="1:7" x14ac:dyDescent="0.25">
      <c r="A1127" t="s">
        <v>3234</v>
      </c>
      <c r="B1127" t="s">
        <v>3729</v>
      </c>
      <c r="C1127" t="s">
        <v>3737</v>
      </c>
      <c r="D1127" t="s">
        <v>3738</v>
      </c>
      <c r="E1127" t="s">
        <v>3739</v>
      </c>
      <c r="F1127" t="s">
        <v>3740</v>
      </c>
      <c r="G1127" s="2" t="str">
        <f>HYPERLINK("https://probpalata.gov.ru/files/ЮЛ340400078200007.jpeg","Скачать индивидуальный QR-код магазина")</f>
        <v>Скачать индивидуальный QR-код магазина</v>
      </c>
    </row>
    <row r="1128" spans="1:7" x14ac:dyDescent="0.25">
      <c r="A1128" t="s">
        <v>3234</v>
      </c>
      <c r="B1128" t="s">
        <v>3741</v>
      </c>
      <c r="C1128" t="s">
        <v>3742</v>
      </c>
      <c r="D1128" t="s">
        <v>3743</v>
      </c>
      <c r="E1128" t="s">
        <v>3744</v>
      </c>
      <c r="F1128" t="s">
        <v>3745</v>
      </c>
      <c r="G1128" s="2" t="str">
        <f>HYPERLINK("https://probpalata.gov.ru/files/ЮЛ340400976100003.jpeg","Скачать индивидуальный QR-код магазина")</f>
        <v>Скачать индивидуальный QR-код магазина</v>
      </c>
    </row>
    <row r="1129" spans="1:7" x14ac:dyDescent="0.25">
      <c r="A1129" t="s">
        <v>3234</v>
      </c>
      <c r="B1129" t="s">
        <v>3668</v>
      </c>
      <c r="C1129" t="s">
        <v>3742</v>
      </c>
      <c r="D1129" t="s">
        <v>3743</v>
      </c>
      <c r="E1129" t="s">
        <v>3744</v>
      </c>
      <c r="F1129" t="s">
        <v>3746</v>
      </c>
      <c r="G1129" s="2" t="str">
        <f>HYPERLINK("https://probpalata.gov.ru/files/ЮЛ340400976100004.jpeg","Скачать индивидуальный QR-код магазина")</f>
        <v>Скачать индивидуальный QR-код магазина</v>
      </c>
    </row>
    <row r="1130" spans="1:7" x14ac:dyDescent="0.25">
      <c r="A1130" t="s">
        <v>3234</v>
      </c>
      <c r="B1130" t="s">
        <v>3747</v>
      </c>
      <c r="C1130" t="s">
        <v>3742</v>
      </c>
      <c r="D1130" t="s">
        <v>3743</v>
      </c>
      <c r="E1130" t="s">
        <v>3744</v>
      </c>
      <c r="F1130" t="s">
        <v>3748</v>
      </c>
      <c r="G1130" s="2" t="str">
        <f>HYPERLINK("https://probpalata.gov.ru/files/ЮЛ340400976100005.jpeg","Скачать индивидуальный QR-код магазина")</f>
        <v>Скачать индивидуальный QR-код магазина</v>
      </c>
    </row>
    <row r="1131" spans="1:7" x14ac:dyDescent="0.25">
      <c r="A1131" t="s">
        <v>3234</v>
      </c>
      <c r="B1131" t="s">
        <v>3749</v>
      </c>
      <c r="C1131" t="s">
        <v>3742</v>
      </c>
      <c r="D1131" t="s">
        <v>3743</v>
      </c>
      <c r="E1131" t="s">
        <v>3744</v>
      </c>
      <c r="F1131" t="s">
        <v>3750</v>
      </c>
      <c r="G1131" s="2" t="str">
        <f>HYPERLINK("https://probpalata.gov.ru/files/ЮЛ340400976100006.jpeg","Скачать индивидуальный QR-код магазина")</f>
        <v>Скачать индивидуальный QR-код магазина</v>
      </c>
    </row>
    <row r="1132" spans="1:7" x14ac:dyDescent="0.25">
      <c r="A1132" t="s">
        <v>3234</v>
      </c>
      <c r="B1132" t="s">
        <v>3747</v>
      </c>
      <c r="C1132" t="s">
        <v>3742</v>
      </c>
      <c r="D1132" t="s">
        <v>3743</v>
      </c>
      <c r="E1132" t="s">
        <v>3744</v>
      </c>
      <c r="F1132" t="s">
        <v>3751</v>
      </c>
      <c r="G1132" s="2" t="str">
        <f>HYPERLINK("https://probpalata.gov.ru/files/ЮЛ340400976100007.jpeg","Скачать индивидуальный QR-код магазина")</f>
        <v>Скачать индивидуальный QR-код магазина</v>
      </c>
    </row>
    <row r="1133" spans="1:7" x14ac:dyDescent="0.25">
      <c r="A1133" t="s">
        <v>3234</v>
      </c>
      <c r="B1133" t="s">
        <v>3602</v>
      </c>
      <c r="C1133" t="s">
        <v>3752</v>
      </c>
      <c r="D1133" t="s">
        <v>3753</v>
      </c>
      <c r="E1133" t="s">
        <v>3754</v>
      </c>
      <c r="F1133" t="s">
        <v>3755</v>
      </c>
      <c r="G1133" s="2" t="str">
        <f>HYPERLINK("https://probpalata.gov.ru/files/ЮЛ340403772800000.jpeg","Скачать индивидуальный QR-код магазина")</f>
        <v>Скачать индивидуальный QR-код магазина</v>
      </c>
    </row>
    <row r="1134" spans="1:7" x14ac:dyDescent="0.25">
      <c r="A1134" t="s">
        <v>3234</v>
      </c>
      <c r="B1134" t="s">
        <v>3756</v>
      </c>
      <c r="C1134" t="s">
        <v>3757</v>
      </c>
      <c r="D1134" t="s">
        <v>3758</v>
      </c>
      <c r="E1134" t="s">
        <v>3759</v>
      </c>
      <c r="F1134" t="s">
        <v>3760</v>
      </c>
      <c r="G1134" s="2" t="str">
        <f>HYPERLINK("https://probpalata.gov.ru/files/ИП340400168700000.jpeg","Скачать индивидуальный QR-код магазина")</f>
        <v>Скачать индивидуальный QR-код магазина</v>
      </c>
    </row>
    <row r="1135" spans="1:7" x14ac:dyDescent="0.25">
      <c r="A1135" t="s">
        <v>3234</v>
      </c>
      <c r="B1135" t="s">
        <v>3586</v>
      </c>
      <c r="C1135" t="s">
        <v>3761</v>
      </c>
      <c r="D1135" t="s">
        <v>3762</v>
      </c>
      <c r="E1135" t="s">
        <v>3763</v>
      </c>
      <c r="F1135" t="s">
        <v>3764</v>
      </c>
      <c r="G1135" s="2" t="str">
        <f>HYPERLINK("https://probpalata.gov.ru/files/ЮЛ470300219500004.jpeg","Скачать индивидуальный QR-код магазина")</f>
        <v>Скачать индивидуальный QR-код магазина</v>
      </c>
    </row>
    <row r="1136" spans="1:7" x14ac:dyDescent="0.25">
      <c r="A1136" t="s">
        <v>3234</v>
      </c>
      <c r="B1136" t="s">
        <v>3765</v>
      </c>
      <c r="C1136" t="s">
        <v>671</v>
      </c>
      <c r="D1136" t="s">
        <v>672</v>
      </c>
      <c r="E1136" t="s">
        <v>673</v>
      </c>
      <c r="F1136" t="s">
        <v>3766</v>
      </c>
      <c r="G1136" s="2" t="str">
        <f>HYPERLINK("https://probpalata.gov.ru/files/ИП500100445500003.jpeg","Скачать индивидуальный QR-код магазина")</f>
        <v>Скачать индивидуальный QR-код магазина</v>
      </c>
    </row>
    <row r="1137" spans="1:7" x14ac:dyDescent="0.25">
      <c r="A1137" t="s">
        <v>3234</v>
      </c>
      <c r="B1137" t="s">
        <v>3767</v>
      </c>
      <c r="C1137" t="s">
        <v>671</v>
      </c>
      <c r="D1137" t="s">
        <v>672</v>
      </c>
      <c r="E1137" t="s">
        <v>673</v>
      </c>
      <c r="F1137" t="s">
        <v>3768</v>
      </c>
      <c r="G1137" s="2" t="str">
        <f>HYPERLINK("https://probpalata.gov.ru/files/ИП500100445500101.jpeg","Скачать индивидуальный QR-код магазина")</f>
        <v>Скачать индивидуальный QR-код магазина</v>
      </c>
    </row>
    <row r="1138" spans="1:7" x14ac:dyDescent="0.25">
      <c r="A1138" t="s">
        <v>3234</v>
      </c>
      <c r="B1138" t="s">
        <v>3769</v>
      </c>
      <c r="C1138" t="s">
        <v>681</v>
      </c>
      <c r="D1138" t="s">
        <v>682</v>
      </c>
      <c r="E1138" t="s">
        <v>683</v>
      </c>
      <c r="F1138" t="s">
        <v>3770</v>
      </c>
      <c r="G1138" s="2" t="str">
        <f>HYPERLINK("https://probpalata.gov.ru/files/ИП520600807800016.jpeg","Скачать индивидуальный QR-код магазина")</f>
        <v>Скачать индивидуальный QR-код магазина</v>
      </c>
    </row>
    <row r="1139" spans="1:7" x14ac:dyDescent="0.25">
      <c r="A1139" t="s">
        <v>3234</v>
      </c>
      <c r="B1139" t="s">
        <v>3741</v>
      </c>
      <c r="C1139" t="s">
        <v>1735</v>
      </c>
      <c r="D1139" t="s">
        <v>1736</v>
      </c>
      <c r="E1139" t="s">
        <v>1737</v>
      </c>
      <c r="F1139" t="s">
        <v>3771</v>
      </c>
      <c r="G1139" s="2" t="str">
        <f>HYPERLINK("https://probpalata.gov.ru/files/ЮЛ520603376600014.jpeg","Скачать индивидуальный QR-код магазина")</f>
        <v>Скачать индивидуальный QR-код магазина</v>
      </c>
    </row>
    <row r="1140" spans="1:7" x14ac:dyDescent="0.25">
      <c r="A1140" t="s">
        <v>3234</v>
      </c>
      <c r="B1140" t="s">
        <v>3772</v>
      </c>
      <c r="C1140" t="s">
        <v>1735</v>
      </c>
      <c r="D1140" t="s">
        <v>1736</v>
      </c>
      <c r="E1140" t="s">
        <v>1737</v>
      </c>
      <c r="F1140" t="s">
        <v>3773</v>
      </c>
      <c r="G1140" s="2" t="str">
        <f>HYPERLINK("https://probpalata.gov.ru/files/ЮЛ520603376600079.jpeg","Скачать индивидуальный QR-код магазина")</f>
        <v>Скачать индивидуальный QR-код магазина</v>
      </c>
    </row>
    <row r="1141" spans="1:7" x14ac:dyDescent="0.25">
      <c r="A1141" t="s">
        <v>3234</v>
      </c>
      <c r="B1141" t="s">
        <v>3774</v>
      </c>
      <c r="C1141" t="s">
        <v>3116</v>
      </c>
      <c r="D1141" t="s">
        <v>3117</v>
      </c>
      <c r="E1141" t="s">
        <v>3118</v>
      </c>
      <c r="F1141" t="s">
        <v>3775</v>
      </c>
      <c r="G1141" s="2" t="str">
        <f>HYPERLINK("https://probpalata.gov.ru/files/ИП520601790200059.jpeg","Скачать индивидуальный QR-код магазина")</f>
        <v>Скачать индивидуальный QR-код магазина</v>
      </c>
    </row>
    <row r="1142" spans="1:7" x14ac:dyDescent="0.25">
      <c r="A1142" t="s">
        <v>3234</v>
      </c>
      <c r="B1142" t="s">
        <v>3776</v>
      </c>
      <c r="C1142" t="s">
        <v>3777</v>
      </c>
      <c r="D1142" t="s">
        <v>3778</v>
      </c>
      <c r="E1142" t="s">
        <v>3779</v>
      </c>
      <c r="F1142" t="s">
        <v>3780</v>
      </c>
      <c r="G1142" s="2" t="str">
        <f>HYPERLINK("https://probpalata.gov.ru/files/ИП230403216400000.jpeg","Скачать индивидуальный QR-код магазина")</f>
        <v>Скачать индивидуальный QR-код магазина</v>
      </c>
    </row>
    <row r="1143" spans="1:7" x14ac:dyDescent="0.25">
      <c r="A1143" t="s">
        <v>3234</v>
      </c>
      <c r="B1143" t="s">
        <v>3714</v>
      </c>
      <c r="C1143" t="s">
        <v>3777</v>
      </c>
      <c r="D1143" t="s">
        <v>3778</v>
      </c>
      <c r="E1143" t="s">
        <v>3779</v>
      </c>
      <c r="F1143" t="s">
        <v>3781</v>
      </c>
      <c r="G1143" s="2" t="str">
        <f>HYPERLINK("https://probpalata.gov.ru/files/ИП230403216400001.jpeg","Скачать индивидуальный QR-код магазина")</f>
        <v>Скачать индивидуальный QR-код магазина</v>
      </c>
    </row>
    <row r="1144" spans="1:7" x14ac:dyDescent="0.25">
      <c r="A1144" t="s">
        <v>3234</v>
      </c>
      <c r="B1144" t="s">
        <v>3782</v>
      </c>
      <c r="C1144" t="s">
        <v>3783</v>
      </c>
      <c r="D1144" t="s">
        <v>3784</v>
      </c>
      <c r="E1144" t="s">
        <v>3785</v>
      </c>
      <c r="F1144" t="s">
        <v>3786</v>
      </c>
      <c r="G1144" s="2" t="str">
        <f>HYPERLINK("https://probpalata.gov.ru/files/ИП610400829500006.jpeg","Скачать индивидуальный QR-код магазина")</f>
        <v>Скачать индивидуальный QR-код магазина</v>
      </c>
    </row>
    <row r="1145" spans="1:7" x14ac:dyDescent="0.25">
      <c r="A1145" t="s">
        <v>3234</v>
      </c>
      <c r="B1145" t="s">
        <v>3787</v>
      </c>
      <c r="C1145" t="s">
        <v>3788</v>
      </c>
      <c r="D1145" t="s">
        <v>3789</v>
      </c>
      <c r="E1145" t="s">
        <v>3790</v>
      </c>
      <c r="F1145" t="s">
        <v>3791</v>
      </c>
      <c r="G1145" s="2" t="str">
        <f>HYPERLINK("https://probpalata.gov.ru/files/ИП340400963600000.jpeg","Скачать индивидуальный QR-код магазина")</f>
        <v>Скачать индивидуальный QR-код магазина</v>
      </c>
    </row>
    <row r="1146" spans="1:7" x14ac:dyDescent="0.25">
      <c r="A1146" t="s">
        <v>3234</v>
      </c>
      <c r="B1146" t="s">
        <v>3792</v>
      </c>
      <c r="C1146" t="s">
        <v>3793</v>
      </c>
      <c r="D1146" t="s">
        <v>3794</v>
      </c>
      <c r="E1146" t="s">
        <v>3795</v>
      </c>
      <c r="F1146" t="s">
        <v>3796</v>
      </c>
      <c r="G1146" s="2" t="str">
        <f>HYPERLINK("https://probpalata.gov.ru/files/ИП340403337100000.jpeg","Скачать индивидуальный QR-код магазина")</f>
        <v>Скачать индивидуальный QR-код магазина</v>
      </c>
    </row>
    <row r="1147" spans="1:7" x14ac:dyDescent="0.25">
      <c r="A1147" t="s">
        <v>3234</v>
      </c>
      <c r="B1147" t="s">
        <v>3797</v>
      </c>
      <c r="C1147" t="s">
        <v>3793</v>
      </c>
      <c r="D1147" t="s">
        <v>3794</v>
      </c>
      <c r="E1147" t="s">
        <v>3795</v>
      </c>
      <c r="F1147" t="s">
        <v>3798</v>
      </c>
      <c r="G1147" s="2" t="str">
        <f>HYPERLINK("https://probpalata.gov.ru/files/ИП340403337100001.jpeg","Скачать индивидуальный QR-код магазина")</f>
        <v>Скачать индивидуальный QR-код магазина</v>
      </c>
    </row>
    <row r="1148" spans="1:7" x14ac:dyDescent="0.25">
      <c r="A1148" t="s">
        <v>3234</v>
      </c>
      <c r="B1148" t="s">
        <v>3799</v>
      </c>
      <c r="C1148" t="s">
        <v>3793</v>
      </c>
      <c r="D1148" t="s">
        <v>3794</v>
      </c>
      <c r="E1148" t="s">
        <v>3795</v>
      </c>
      <c r="F1148" t="s">
        <v>3800</v>
      </c>
      <c r="G1148" s="2" t="str">
        <f>HYPERLINK("https://probpalata.gov.ru/files/ИП340403337100002.jpeg","Скачать индивидуальный QR-код магазина")</f>
        <v>Скачать индивидуальный QR-код магазина</v>
      </c>
    </row>
    <row r="1149" spans="1:7" x14ac:dyDescent="0.25">
      <c r="A1149" t="s">
        <v>3234</v>
      </c>
      <c r="B1149" t="s">
        <v>3801</v>
      </c>
      <c r="C1149" t="s">
        <v>3802</v>
      </c>
      <c r="D1149" t="s">
        <v>3803</v>
      </c>
      <c r="E1149" t="s">
        <v>3804</v>
      </c>
      <c r="F1149" t="s">
        <v>3805</v>
      </c>
      <c r="G1149" s="2" t="str">
        <f>HYPERLINK("https://probpalata.gov.ru/files/ИП340403335100000.jpeg","Скачать индивидуальный QR-код магазина")</f>
        <v>Скачать индивидуальный QR-код магазина</v>
      </c>
    </row>
    <row r="1150" spans="1:7" x14ac:dyDescent="0.25">
      <c r="A1150" t="s">
        <v>3234</v>
      </c>
      <c r="B1150" t="s">
        <v>3806</v>
      </c>
      <c r="C1150" t="s">
        <v>3802</v>
      </c>
      <c r="D1150" t="s">
        <v>3803</v>
      </c>
      <c r="E1150" t="s">
        <v>3804</v>
      </c>
      <c r="F1150" t="s">
        <v>3807</v>
      </c>
      <c r="G1150" s="2" t="str">
        <f>HYPERLINK("https://probpalata.gov.ru/files/ИП340403335100003.jpeg","Скачать индивидуальный QR-код магазина")</f>
        <v>Скачать индивидуальный QR-код магазина</v>
      </c>
    </row>
    <row r="1151" spans="1:7" x14ac:dyDescent="0.25">
      <c r="A1151" t="s">
        <v>3234</v>
      </c>
      <c r="B1151" t="s">
        <v>3808</v>
      </c>
      <c r="C1151" t="s">
        <v>3809</v>
      </c>
      <c r="D1151" t="s">
        <v>3810</v>
      </c>
      <c r="E1151" t="s">
        <v>3811</v>
      </c>
      <c r="F1151" t="s">
        <v>3812</v>
      </c>
      <c r="G1151" s="2" t="str">
        <f>HYPERLINK("https://probpalata.gov.ru/files/ИП340403325000000.jpeg","Скачать индивидуальный QR-код магазина")</f>
        <v>Скачать индивидуальный QR-код магазина</v>
      </c>
    </row>
    <row r="1152" spans="1:7" x14ac:dyDescent="0.25">
      <c r="A1152" t="s">
        <v>3234</v>
      </c>
      <c r="B1152" t="s">
        <v>3813</v>
      </c>
      <c r="C1152" t="s">
        <v>3809</v>
      </c>
      <c r="D1152" t="s">
        <v>3810</v>
      </c>
      <c r="E1152" t="s">
        <v>3811</v>
      </c>
      <c r="F1152" t="s">
        <v>3814</v>
      </c>
      <c r="G1152" s="2" t="str">
        <f>HYPERLINK("https://probpalata.gov.ru/files/ИП340403325000001.jpeg","Скачать индивидуальный QR-код магазина")</f>
        <v>Скачать индивидуальный QR-код магазина</v>
      </c>
    </row>
    <row r="1153" spans="1:7" x14ac:dyDescent="0.25">
      <c r="A1153" t="s">
        <v>3234</v>
      </c>
      <c r="B1153" t="s">
        <v>3815</v>
      </c>
      <c r="C1153" t="s">
        <v>3809</v>
      </c>
      <c r="D1153" t="s">
        <v>3810</v>
      </c>
      <c r="E1153" t="s">
        <v>3811</v>
      </c>
      <c r="F1153" t="s">
        <v>3816</v>
      </c>
      <c r="G1153" s="2" t="str">
        <f>HYPERLINK("https://probpalata.gov.ru/files/ИП340403325000002.jpeg","Скачать индивидуальный QR-код магазина")</f>
        <v>Скачать индивидуальный QR-код магазина</v>
      </c>
    </row>
    <row r="1154" spans="1:7" x14ac:dyDescent="0.25">
      <c r="A1154" t="s">
        <v>3234</v>
      </c>
      <c r="B1154" t="s">
        <v>3817</v>
      </c>
      <c r="C1154" t="s">
        <v>3818</v>
      </c>
      <c r="D1154" t="s">
        <v>3819</v>
      </c>
      <c r="E1154" t="s">
        <v>3820</v>
      </c>
      <c r="F1154" t="s">
        <v>3821</v>
      </c>
      <c r="G1154" s="2" t="str">
        <f>HYPERLINK("https://probpalata.gov.ru/files/ИП340400978300000.jpeg","Скачать индивидуальный QR-код магазина")</f>
        <v>Скачать индивидуальный QR-код магазина</v>
      </c>
    </row>
    <row r="1155" spans="1:7" x14ac:dyDescent="0.25">
      <c r="A1155" t="s">
        <v>3234</v>
      </c>
      <c r="B1155" t="s">
        <v>3822</v>
      </c>
      <c r="C1155" t="s">
        <v>2197</v>
      </c>
      <c r="D1155" t="s">
        <v>2198</v>
      </c>
      <c r="E1155" t="s">
        <v>2199</v>
      </c>
      <c r="F1155" t="s">
        <v>3823</v>
      </c>
      <c r="G1155" s="2" t="str">
        <f>HYPERLINK("https://probpalata.gov.ru/files/ИП630601425400026.jpeg","Скачать индивидуальный QR-код магазина")</f>
        <v>Скачать индивидуальный QR-код магазина</v>
      </c>
    </row>
    <row r="1156" spans="1:7" x14ac:dyDescent="0.25">
      <c r="A1156" t="s">
        <v>3234</v>
      </c>
      <c r="B1156" t="s">
        <v>3741</v>
      </c>
      <c r="C1156" t="s">
        <v>2197</v>
      </c>
      <c r="D1156" t="s">
        <v>2198</v>
      </c>
      <c r="E1156" t="s">
        <v>2199</v>
      </c>
      <c r="F1156" t="s">
        <v>3824</v>
      </c>
      <c r="G1156" s="2" t="str">
        <f>HYPERLINK("https://probpalata.gov.ru/files/ИП630601425400068.jpeg","Скачать индивидуальный QR-код магазина")</f>
        <v>Скачать индивидуальный QR-код магазина</v>
      </c>
    </row>
    <row r="1157" spans="1:7" x14ac:dyDescent="0.25">
      <c r="A1157" t="s">
        <v>3234</v>
      </c>
      <c r="B1157" t="s">
        <v>3659</v>
      </c>
      <c r="C1157" t="s">
        <v>2197</v>
      </c>
      <c r="D1157" t="s">
        <v>2198</v>
      </c>
      <c r="E1157" t="s">
        <v>2199</v>
      </c>
      <c r="F1157" t="s">
        <v>3825</v>
      </c>
      <c r="G1157" s="2" t="str">
        <f>HYPERLINK("https://probpalata.gov.ru/files/ИП630601425400079.jpeg","Скачать индивидуальный QR-код магазина")</f>
        <v>Скачать индивидуальный QR-код магазина</v>
      </c>
    </row>
    <row r="1158" spans="1:7" x14ac:dyDescent="0.25">
      <c r="A1158" t="s">
        <v>3234</v>
      </c>
      <c r="B1158" t="s">
        <v>3826</v>
      </c>
      <c r="C1158" t="s">
        <v>2197</v>
      </c>
      <c r="D1158" t="s">
        <v>2198</v>
      </c>
      <c r="E1158" t="s">
        <v>2199</v>
      </c>
      <c r="F1158" t="s">
        <v>3827</v>
      </c>
      <c r="G1158" s="2" t="str">
        <f>HYPERLINK("https://probpalata.gov.ru/files/ИП630601425400089.jpeg","Скачать индивидуальный QR-код магазина")</f>
        <v>Скачать индивидуальный QR-код магазина</v>
      </c>
    </row>
    <row r="1159" spans="1:7" x14ac:dyDescent="0.25">
      <c r="A1159" t="s">
        <v>3234</v>
      </c>
      <c r="B1159" t="s">
        <v>3235</v>
      </c>
      <c r="C1159" t="s">
        <v>3828</v>
      </c>
      <c r="D1159" t="s">
        <v>3829</v>
      </c>
      <c r="E1159" t="s">
        <v>3830</v>
      </c>
      <c r="F1159" t="s">
        <v>3831</v>
      </c>
      <c r="G1159" s="2" t="str">
        <f>HYPERLINK("https://probpalata.gov.ru/files/ЮЛ630603373600054.jpeg","Скачать индивидуальный QR-код магазина")</f>
        <v>Скачать индивидуальный QR-код магазина</v>
      </c>
    </row>
    <row r="1160" spans="1:7" x14ac:dyDescent="0.25">
      <c r="A1160" t="s">
        <v>3234</v>
      </c>
      <c r="B1160" t="s">
        <v>3832</v>
      </c>
      <c r="C1160" t="s">
        <v>3828</v>
      </c>
      <c r="D1160" t="s">
        <v>3829</v>
      </c>
      <c r="E1160" t="s">
        <v>3830</v>
      </c>
      <c r="F1160" t="s">
        <v>3833</v>
      </c>
      <c r="G1160" s="2" t="str">
        <f>HYPERLINK("https://probpalata.gov.ru/files/ЮЛ630603373600056.jpeg","Скачать индивидуальный QR-код магазина")</f>
        <v>Скачать индивидуальный QR-код магазина</v>
      </c>
    </row>
    <row r="1161" spans="1:7" x14ac:dyDescent="0.25">
      <c r="A1161" t="s">
        <v>3234</v>
      </c>
      <c r="B1161" t="s">
        <v>3834</v>
      </c>
      <c r="C1161" t="s">
        <v>3828</v>
      </c>
      <c r="D1161" t="s">
        <v>3829</v>
      </c>
      <c r="E1161" t="s">
        <v>3830</v>
      </c>
      <c r="F1161" t="s">
        <v>3835</v>
      </c>
      <c r="G1161" s="2" t="str">
        <f>HYPERLINK("https://probpalata.gov.ru/files/ЮЛ630603373600078.jpeg","Скачать индивидуальный QR-код магазина")</f>
        <v>Скачать индивидуальный QR-код магазина</v>
      </c>
    </row>
    <row r="1162" spans="1:7" x14ac:dyDescent="0.25">
      <c r="A1162" t="s">
        <v>3234</v>
      </c>
      <c r="B1162" t="s">
        <v>3836</v>
      </c>
      <c r="C1162" t="s">
        <v>3837</v>
      </c>
      <c r="D1162" t="s">
        <v>3838</v>
      </c>
      <c r="E1162" t="s">
        <v>3839</v>
      </c>
      <c r="F1162" t="s">
        <v>3840</v>
      </c>
      <c r="G1162" s="2" t="str">
        <f>HYPERLINK("https://probpalata.gov.ru/files/ИП340400075000000.jpeg","Скачать индивидуальный QR-код магазина")</f>
        <v>Скачать индивидуальный QR-код магазина</v>
      </c>
    </row>
    <row r="1163" spans="1:7" x14ac:dyDescent="0.25">
      <c r="A1163" t="s">
        <v>3234</v>
      </c>
      <c r="B1163" t="s">
        <v>3841</v>
      </c>
      <c r="C1163" t="s">
        <v>3837</v>
      </c>
      <c r="D1163" t="s">
        <v>3838</v>
      </c>
      <c r="E1163" t="s">
        <v>3839</v>
      </c>
      <c r="F1163" t="s">
        <v>3842</v>
      </c>
      <c r="G1163" s="2" t="str">
        <f>HYPERLINK("https://probpalata.gov.ru/files/ИП340400075000001.jpeg","Скачать индивидуальный QR-код магазина")</f>
        <v>Скачать индивидуальный QR-код магазина</v>
      </c>
    </row>
    <row r="1164" spans="1:7" x14ac:dyDescent="0.25">
      <c r="A1164" t="s">
        <v>3234</v>
      </c>
      <c r="B1164" t="s">
        <v>3843</v>
      </c>
      <c r="C1164" t="s">
        <v>3837</v>
      </c>
      <c r="D1164" t="s">
        <v>3838</v>
      </c>
      <c r="E1164" t="s">
        <v>3839</v>
      </c>
      <c r="F1164" t="s">
        <v>3844</v>
      </c>
      <c r="G1164" s="2" t="str">
        <f>HYPERLINK("https://probpalata.gov.ru/files/ИП340400075000002.jpeg","Скачать индивидуальный QR-код магазина")</f>
        <v>Скачать индивидуальный QR-код магазина</v>
      </c>
    </row>
    <row r="1165" spans="1:7" x14ac:dyDescent="0.25">
      <c r="A1165" t="s">
        <v>3234</v>
      </c>
      <c r="B1165" t="s">
        <v>3845</v>
      </c>
      <c r="C1165" t="s">
        <v>1745</v>
      </c>
      <c r="D1165" t="s">
        <v>1746</v>
      </c>
      <c r="E1165" t="s">
        <v>1747</v>
      </c>
      <c r="F1165" t="s">
        <v>3846</v>
      </c>
      <c r="G1165" s="2" t="str">
        <f>HYPERLINK("https://probpalata.gov.ru/files/ЮЛ770100201500525.jpeg","Скачать индивидуальный QR-код магазина")</f>
        <v>Скачать индивидуальный QR-код магазина</v>
      </c>
    </row>
    <row r="1166" spans="1:7" x14ac:dyDescent="0.25">
      <c r="A1166" t="s">
        <v>3234</v>
      </c>
      <c r="B1166" t="s">
        <v>3847</v>
      </c>
      <c r="C1166" t="s">
        <v>1745</v>
      </c>
      <c r="D1166" t="s">
        <v>1746</v>
      </c>
      <c r="E1166" t="s">
        <v>1747</v>
      </c>
      <c r="F1166" t="s">
        <v>3848</v>
      </c>
      <c r="G1166" s="2" t="str">
        <f>HYPERLINK("https://probpalata.gov.ru/files/ЮЛ770100201500526.jpeg","Скачать индивидуальный QR-код магазина")</f>
        <v>Скачать индивидуальный QR-код магазина</v>
      </c>
    </row>
    <row r="1167" spans="1:7" x14ac:dyDescent="0.25">
      <c r="A1167" t="s">
        <v>3234</v>
      </c>
      <c r="B1167" t="s">
        <v>3849</v>
      </c>
      <c r="C1167" t="s">
        <v>1745</v>
      </c>
      <c r="D1167" t="s">
        <v>1746</v>
      </c>
      <c r="E1167" t="s">
        <v>1747</v>
      </c>
      <c r="F1167" t="s">
        <v>3850</v>
      </c>
      <c r="G1167" s="2" t="str">
        <f>HYPERLINK("https://probpalata.gov.ru/files/ЮЛ770100201500530.jpeg","Скачать индивидуальный QR-код магазина")</f>
        <v>Скачать индивидуальный QR-код магазина</v>
      </c>
    </row>
    <row r="1168" spans="1:7" x14ac:dyDescent="0.25">
      <c r="A1168" t="s">
        <v>3234</v>
      </c>
      <c r="B1168" t="s">
        <v>3851</v>
      </c>
      <c r="C1168" t="s">
        <v>1745</v>
      </c>
      <c r="D1168" t="s">
        <v>1746</v>
      </c>
      <c r="E1168" t="s">
        <v>1747</v>
      </c>
      <c r="F1168" t="s">
        <v>3852</v>
      </c>
      <c r="G1168" s="2" t="str">
        <f>HYPERLINK("https://probpalata.gov.ru/files/ЮЛ770100201500531.jpeg","Скачать индивидуальный QR-код магазина")</f>
        <v>Скачать индивидуальный QR-код магазина</v>
      </c>
    </row>
    <row r="1169" spans="1:7" x14ac:dyDescent="0.25">
      <c r="A1169" t="s">
        <v>3234</v>
      </c>
      <c r="B1169" t="s">
        <v>3733</v>
      </c>
      <c r="C1169" t="s">
        <v>1745</v>
      </c>
      <c r="D1169" t="s">
        <v>1746</v>
      </c>
      <c r="E1169" t="s">
        <v>1747</v>
      </c>
      <c r="F1169" t="s">
        <v>3853</v>
      </c>
      <c r="G1169" s="2" t="str">
        <f>HYPERLINK("https://probpalata.gov.ru/files/ЮЛ770100201500532.jpeg","Скачать индивидуальный QR-код магазина")</f>
        <v>Скачать индивидуальный QR-код магазина</v>
      </c>
    </row>
    <row r="1170" spans="1:7" x14ac:dyDescent="0.25">
      <c r="A1170" t="s">
        <v>3234</v>
      </c>
      <c r="B1170" t="s">
        <v>3854</v>
      </c>
      <c r="C1170" t="s">
        <v>1745</v>
      </c>
      <c r="D1170" t="s">
        <v>1746</v>
      </c>
      <c r="E1170" t="s">
        <v>1747</v>
      </c>
      <c r="F1170" t="s">
        <v>3855</v>
      </c>
      <c r="G1170" s="2" t="str">
        <f>HYPERLINK("https://probpalata.gov.ru/files/ЮЛ770100201500533.jpeg","Скачать индивидуальный QR-код магазина")</f>
        <v>Скачать индивидуальный QR-код магазина</v>
      </c>
    </row>
    <row r="1171" spans="1:7" x14ac:dyDescent="0.25">
      <c r="A1171" t="s">
        <v>3234</v>
      </c>
      <c r="B1171" t="s">
        <v>3856</v>
      </c>
      <c r="C1171" t="s">
        <v>1745</v>
      </c>
      <c r="D1171" t="s">
        <v>1746</v>
      </c>
      <c r="E1171" t="s">
        <v>1747</v>
      </c>
      <c r="F1171" t="s">
        <v>3857</v>
      </c>
      <c r="G1171" s="2" t="str">
        <f>HYPERLINK("https://probpalata.gov.ru/files/ЮЛ770100201500534.jpeg","Скачать индивидуальный QR-код магазина")</f>
        <v>Скачать индивидуальный QR-код магазина</v>
      </c>
    </row>
    <row r="1172" spans="1:7" x14ac:dyDescent="0.25">
      <c r="A1172" t="s">
        <v>3234</v>
      </c>
      <c r="B1172" t="s">
        <v>3858</v>
      </c>
      <c r="C1172" t="s">
        <v>1745</v>
      </c>
      <c r="D1172" t="s">
        <v>1746</v>
      </c>
      <c r="E1172" t="s">
        <v>1747</v>
      </c>
      <c r="F1172" t="s">
        <v>3859</v>
      </c>
      <c r="G1172" s="2" t="str">
        <f>HYPERLINK("https://probpalata.gov.ru/files/ЮЛ770100201500536.jpeg","Скачать индивидуальный QR-код магазина")</f>
        <v>Скачать индивидуальный QR-код магазина</v>
      </c>
    </row>
    <row r="1173" spans="1:7" x14ac:dyDescent="0.25">
      <c r="A1173" t="s">
        <v>3234</v>
      </c>
      <c r="B1173" t="s">
        <v>3345</v>
      </c>
      <c r="C1173" t="s">
        <v>1745</v>
      </c>
      <c r="D1173" t="s">
        <v>1746</v>
      </c>
      <c r="E1173" t="s">
        <v>1747</v>
      </c>
      <c r="F1173" t="s">
        <v>3860</v>
      </c>
      <c r="G1173" s="2" t="str">
        <f>HYPERLINK("https://probpalata.gov.ru/files/ЮЛ770100201500537.jpeg","Скачать индивидуальный QR-код магазина")</f>
        <v>Скачать индивидуальный QR-код магазина</v>
      </c>
    </row>
    <row r="1174" spans="1:7" x14ac:dyDescent="0.25">
      <c r="A1174" t="s">
        <v>3234</v>
      </c>
      <c r="B1174" t="s">
        <v>3861</v>
      </c>
      <c r="C1174" t="s">
        <v>1745</v>
      </c>
      <c r="D1174" t="s">
        <v>1746</v>
      </c>
      <c r="E1174" t="s">
        <v>1747</v>
      </c>
      <c r="F1174" t="s">
        <v>3862</v>
      </c>
      <c r="G1174" s="2" t="str">
        <f>HYPERLINK("https://probpalata.gov.ru/files/ЮЛ770100201500539.jpeg","Скачать индивидуальный QR-код магазина")</f>
        <v>Скачать индивидуальный QR-код магазина</v>
      </c>
    </row>
    <row r="1175" spans="1:7" x14ac:dyDescent="0.25">
      <c r="A1175" t="s">
        <v>3234</v>
      </c>
      <c r="B1175" t="s">
        <v>3863</v>
      </c>
      <c r="C1175" t="s">
        <v>1745</v>
      </c>
      <c r="D1175" t="s">
        <v>1746</v>
      </c>
      <c r="E1175" t="s">
        <v>1747</v>
      </c>
      <c r="F1175" t="s">
        <v>3864</v>
      </c>
      <c r="G1175" s="2" t="str">
        <f>HYPERLINK("https://probpalata.gov.ru/files/ЮЛ770100201500540.jpeg","Скачать индивидуальный QR-код магазина")</f>
        <v>Скачать индивидуальный QR-код магазина</v>
      </c>
    </row>
    <row r="1176" spans="1:7" x14ac:dyDescent="0.25">
      <c r="A1176" t="s">
        <v>3234</v>
      </c>
      <c r="B1176" t="s">
        <v>3865</v>
      </c>
      <c r="C1176" t="s">
        <v>1745</v>
      </c>
      <c r="D1176" t="s">
        <v>1746</v>
      </c>
      <c r="E1176" t="s">
        <v>1747</v>
      </c>
      <c r="F1176" t="s">
        <v>3866</v>
      </c>
      <c r="G1176" s="2" t="str">
        <f>HYPERLINK("https://probpalata.gov.ru/files/ЮЛ770100201500541.jpeg","Скачать индивидуальный QR-код магазина")</f>
        <v>Скачать индивидуальный QR-код магазина</v>
      </c>
    </row>
    <row r="1177" spans="1:7" x14ac:dyDescent="0.25">
      <c r="A1177" t="s">
        <v>3234</v>
      </c>
      <c r="B1177" t="s">
        <v>3415</v>
      </c>
      <c r="C1177" t="s">
        <v>1745</v>
      </c>
      <c r="D1177" t="s">
        <v>1746</v>
      </c>
      <c r="E1177" t="s">
        <v>1747</v>
      </c>
      <c r="F1177" t="s">
        <v>3867</v>
      </c>
      <c r="G1177" s="2" t="str">
        <f>HYPERLINK("https://probpalata.gov.ru/files/ЮЛ770100201500543.jpeg","Скачать индивидуальный QR-код магазина")</f>
        <v>Скачать индивидуальный QR-код магазина</v>
      </c>
    </row>
    <row r="1178" spans="1:7" x14ac:dyDescent="0.25">
      <c r="A1178" t="s">
        <v>3234</v>
      </c>
      <c r="B1178" t="s">
        <v>3868</v>
      </c>
      <c r="C1178" t="s">
        <v>1745</v>
      </c>
      <c r="D1178" t="s">
        <v>1746</v>
      </c>
      <c r="E1178" t="s">
        <v>1747</v>
      </c>
      <c r="F1178" t="s">
        <v>3869</v>
      </c>
      <c r="G1178" s="2" t="str">
        <f>HYPERLINK("https://probpalata.gov.ru/files/ЮЛ770100201500544.jpeg","Скачать индивидуальный QR-код магазина")</f>
        <v>Скачать индивидуальный QR-код магазина</v>
      </c>
    </row>
    <row r="1179" spans="1:7" x14ac:dyDescent="0.25">
      <c r="A1179" t="s">
        <v>3234</v>
      </c>
      <c r="B1179" t="s">
        <v>3870</v>
      </c>
      <c r="C1179" t="s">
        <v>1745</v>
      </c>
      <c r="D1179" t="s">
        <v>1746</v>
      </c>
      <c r="E1179" t="s">
        <v>1747</v>
      </c>
      <c r="F1179" t="s">
        <v>3871</v>
      </c>
      <c r="G1179" s="2" t="str">
        <f>HYPERLINK("https://probpalata.gov.ru/files/ЮЛ770100201500582.jpeg","Скачать индивидуальный QR-код магазина")</f>
        <v>Скачать индивидуальный QR-код магазина</v>
      </c>
    </row>
    <row r="1180" spans="1:7" x14ac:dyDescent="0.25">
      <c r="A1180" t="s">
        <v>3234</v>
      </c>
      <c r="B1180" t="s">
        <v>3872</v>
      </c>
      <c r="C1180" t="s">
        <v>1745</v>
      </c>
      <c r="D1180" t="s">
        <v>1746</v>
      </c>
      <c r="E1180" t="s">
        <v>1747</v>
      </c>
      <c r="F1180" t="s">
        <v>3873</v>
      </c>
      <c r="G1180" s="2" t="str">
        <f>HYPERLINK("https://probpalata.gov.ru/files/ЮЛ770100201500695.jpeg","Скачать индивидуальный QR-код магазина")</f>
        <v>Скачать индивидуальный QR-код магазина</v>
      </c>
    </row>
    <row r="1181" spans="1:7" x14ac:dyDescent="0.25">
      <c r="A1181" t="s">
        <v>3234</v>
      </c>
      <c r="B1181" t="s">
        <v>3874</v>
      </c>
      <c r="C1181" t="s">
        <v>1745</v>
      </c>
      <c r="D1181" t="s">
        <v>1746</v>
      </c>
      <c r="E1181" t="s">
        <v>1747</v>
      </c>
      <c r="F1181" t="s">
        <v>3875</v>
      </c>
      <c r="G1181" s="2" t="str">
        <f>HYPERLINK("https://probpalata.gov.ru/files/ЮЛ770100201500696.jpeg","Скачать индивидуальный QR-код магазина")</f>
        <v>Скачать индивидуальный QR-код магазина</v>
      </c>
    </row>
    <row r="1182" spans="1:7" x14ac:dyDescent="0.25">
      <c r="A1182" t="s">
        <v>3234</v>
      </c>
      <c r="B1182" t="s">
        <v>3856</v>
      </c>
      <c r="C1182" t="s">
        <v>1745</v>
      </c>
      <c r="D1182" t="s">
        <v>1746</v>
      </c>
      <c r="E1182" t="s">
        <v>1747</v>
      </c>
      <c r="F1182" t="s">
        <v>3876</v>
      </c>
      <c r="G1182" s="2" t="str">
        <f>HYPERLINK("https://probpalata.gov.ru/files/ЮЛ770100201500810.jpeg","Скачать индивидуальный QR-код магазина")</f>
        <v>Скачать индивидуальный QR-код магазина</v>
      </c>
    </row>
    <row r="1183" spans="1:7" x14ac:dyDescent="0.25">
      <c r="A1183" t="s">
        <v>3234</v>
      </c>
      <c r="B1183" t="s">
        <v>3877</v>
      </c>
      <c r="C1183" t="s">
        <v>713</v>
      </c>
      <c r="D1183" t="s">
        <v>714</v>
      </c>
      <c r="E1183" t="s">
        <v>715</v>
      </c>
      <c r="F1183" t="s">
        <v>3878</v>
      </c>
      <c r="G1183" s="2" t="str">
        <f>HYPERLINK("https://probpalata.gov.ru/files/ЮЛ770101216600137.jpeg","Скачать индивидуальный QR-код магазина")</f>
        <v>Скачать индивидуальный QR-код магазина</v>
      </c>
    </row>
    <row r="1184" spans="1:7" x14ac:dyDescent="0.25">
      <c r="A1184" t="s">
        <v>3234</v>
      </c>
      <c r="B1184" t="s">
        <v>3879</v>
      </c>
      <c r="C1184" t="s">
        <v>713</v>
      </c>
      <c r="D1184" t="s">
        <v>714</v>
      </c>
      <c r="E1184" t="s">
        <v>715</v>
      </c>
      <c r="F1184" t="s">
        <v>3880</v>
      </c>
      <c r="G1184" s="2" t="str">
        <f>HYPERLINK("https://probpalata.gov.ru/files/ЮЛ770101216600198.jpeg","Скачать индивидуальный QR-код магазина")</f>
        <v>Скачать индивидуальный QR-код магазина</v>
      </c>
    </row>
    <row r="1185" spans="1:7" x14ac:dyDescent="0.25">
      <c r="A1185" t="s">
        <v>3234</v>
      </c>
      <c r="B1185" t="s">
        <v>3881</v>
      </c>
      <c r="C1185" t="s">
        <v>713</v>
      </c>
      <c r="D1185" t="s">
        <v>714</v>
      </c>
      <c r="E1185" t="s">
        <v>715</v>
      </c>
      <c r="F1185" t="s">
        <v>3882</v>
      </c>
      <c r="G1185" s="2" t="str">
        <f>HYPERLINK("https://probpalata.gov.ru/files/ЮЛ770101216600353.jpeg","Скачать индивидуальный QR-код магазина")</f>
        <v>Скачать индивидуальный QR-код магазина</v>
      </c>
    </row>
    <row r="1186" spans="1:7" x14ac:dyDescent="0.25">
      <c r="A1186" t="s">
        <v>3234</v>
      </c>
      <c r="B1186" t="s">
        <v>3883</v>
      </c>
      <c r="C1186" t="s">
        <v>713</v>
      </c>
      <c r="D1186" t="s">
        <v>714</v>
      </c>
      <c r="E1186" t="s">
        <v>715</v>
      </c>
      <c r="F1186" t="s">
        <v>3884</v>
      </c>
      <c r="G1186" s="2" t="str">
        <f>HYPERLINK("https://probpalata.gov.ru/files/ЮЛ770101216600436.jpeg","Скачать индивидуальный QR-код магазина")</f>
        <v>Скачать индивидуальный QR-код магазина</v>
      </c>
    </row>
    <row r="1187" spans="1:7" x14ac:dyDescent="0.25">
      <c r="A1187" t="s">
        <v>3234</v>
      </c>
      <c r="B1187" t="s">
        <v>3885</v>
      </c>
      <c r="C1187" t="s">
        <v>713</v>
      </c>
      <c r="D1187" t="s">
        <v>714</v>
      </c>
      <c r="E1187" t="s">
        <v>715</v>
      </c>
      <c r="F1187" t="s">
        <v>3886</v>
      </c>
      <c r="G1187" s="2" t="str">
        <f>HYPERLINK("https://probpalata.gov.ru/files/ЮЛ770101216600473.jpeg","Скачать индивидуальный QR-код магазина")</f>
        <v>Скачать индивидуальный QR-код магазина</v>
      </c>
    </row>
    <row r="1188" spans="1:7" x14ac:dyDescent="0.25">
      <c r="A1188" t="s">
        <v>3234</v>
      </c>
      <c r="B1188" t="s">
        <v>3887</v>
      </c>
      <c r="C1188" t="s">
        <v>713</v>
      </c>
      <c r="D1188" t="s">
        <v>714</v>
      </c>
      <c r="E1188" t="s">
        <v>715</v>
      </c>
      <c r="F1188" t="s">
        <v>3888</v>
      </c>
      <c r="G1188" s="2" t="str">
        <f>HYPERLINK("https://probpalata.gov.ru/files/ЮЛ770101216600519.jpeg","Скачать индивидуальный QR-код магазина")</f>
        <v>Скачать индивидуальный QR-код магазина</v>
      </c>
    </row>
    <row r="1189" spans="1:7" x14ac:dyDescent="0.25">
      <c r="A1189" t="s">
        <v>3234</v>
      </c>
      <c r="B1189" t="s">
        <v>3889</v>
      </c>
      <c r="C1189" t="s">
        <v>713</v>
      </c>
      <c r="D1189" t="s">
        <v>714</v>
      </c>
      <c r="E1189" t="s">
        <v>715</v>
      </c>
      <c r="F1189" t="s">
        <v>3890</v>
      </c>
      <c r="G1189" s="2" t="str">
        <f>HYPERLINK("https://probpalata.gov.ru/files/ЮЛ770101216600563.jpeg","Скачать индивидуальный QR-код магазина")</f>
        <v>Скачать индивидуальный QR-код магазина</v>
      </c>
    </row>
    <row r="1190" spans="1:7" x14ac:dyDescent="0.25">
      <c r="A1190" t="s">
        <v>3234</v>
      </c>
      <c r="B1190" t="s">
        <v>3891</v>
      </c>
      <c r="C1190" t="s">
        <v>713</v>
      </c>
      <c r="D1190" t="s">
        <v>714</v>
      </c>
      <c r="E1190" t="s">
        <v>715</v>
      </c>
      <c r="F1190" t="s">
        <v>3892</v>
      </c>
      <c r="G1190" s="2" t="str">
        <f>HYPERLINK("https://probpalata.gov.ru/files/ЮЛ770101216600647.jpeg","Скачать индивидуальный QR-код магазина")</f>
        <v>Скачать индивидуальный QR-код магазина</v>
      </c>
    </row>
    <row r="1191" spans="1:7" x14ac:dyDescent="0.25">
      <c r="A1191" t="s">
        <v>3234</v>
      </c>
      <c r="B1191" t="s">
        <v>3893</v>
      </c>
      <c r="C1191" t="s">
        <v>713</v>
      </c>
      <c r="D1191" t="s">
        <v>714</v>
      </c>
      <c r="E1191" t="s">
        <v>715</v>
      </c>
      <c r="F1191" t="s">
        <v>3894</v>
      </c>
      <c r="G1191" s="2" t="str">
        <f>HYPERLINK("https://probpalata.gov.ru/files/ЮЛ770101216600713.jpeg","Скачать индивидуальный QR-код магазина")</f>
        <v>Скачать индивидуальный QR-код магазина</v>
      </c>
    </row>
    <row r="1192" spans="1:7" x14ac:dyDescent="0.25">
      <c r="A1192" t="s">
        <v>3234</v>
      </c>
      <c r="B1192" t="s">
        <v>3895</v>
      </c>
      <c r="C1192" t="s">
        <v>713</v>
      </c>
      <c r="D1192" t="s">
        <v>714</v>
      </c>
      <c r="E1192" t="s">
        <v>715</v>
      </c>
      <c r="F1192" t="s">
        <v>3896</v>
      </c>
      <c r="G1192" s="2" t="str">
        <f>HYPERLINK("https://probpalata.gov.ru/files/ЮЛ770101216600720.jpeg","Скачать индивидуальный QR-код магазина")</f>
        <v>Скачать индивидуальный QR-код магазина</v>
      </c>
    </row>
    <row r="1193" spans="1:7" x14ac:dyDescent="0.25">
      <c r="A1193" t="s">
        <v>3234</v>
      </c>
      <c r="B1193" t="s">
        <v>3897</v>
      </c>
      <c r="C1193" t="s">
        <v>713</v>
      </c>
      <c r="D1193" t="s">
        <v>714</v>
      </c>
      <c r="E1193" t="s">
        <v>715</v>
      </c>
      <c r="F1193" t="s">
        <v>3898</v>
      </c>
      <c r="G1193" s="2" t="str">
        <f>HYPERLINK("https://probpalata.gov.ru/files/ЮЛ770101216600732.jpeg","Скачать индивидуальный QR-код магазина")</f>
        <v>Скачать индивидуальный QR-код магазина</v>
      </c>
    </row>
    <row r="1194" spans="1:7" x14ac:dyDescent="0.25">
      <c r="A1194" t="s">
        <v>3234</v>
      </c>
      <c r="B1194" t="s">
        <v>3899</v>
      </c>
      <c r="C1194" t="s">
        <v>713</v>
      </c>
      <c r="D1194" t="s">
        <v>714</v>
      </c>
      <c r="E1194" t="s">
        <v>715</v>
      </c>
      <c r="F1194" t="s">
        <v>3900</v>
      </c>
      <c r="G1194" s="2" t="str">
        <f>HYPERLINK("https://probpalata.gov.ru/files/ЮЛ770101216600751.jpeg","Скачать индивидуальный QR-код магазина")</f>
        <v>Скачать индивидуальный QR-код магазина</v>
      </c>
    </row>
    <row r="1195" spans="1:7" x14ac:dyDescent="0.25">
      <c r="A1195" t="s">
        <v>3234</v>
      </c>
      <c r="B1195" t="s">
        <v>3901</v>
      </c>
      <c r="C1195" t="s">
        <v>713</v>
      </c>
      <c r="D1195" t="s">
        <v>714</v>
      </c>
      <c r="E1195" t="s">
        <v>715</v>
      </c>
      <c r="F1195" t="s">
        <v>3902</v>
      </c>
      <c r="G1195" s="2" t="str">
        <f>HYPERLINK("https://probpalata.gov.ru/files/ЮЛ770101216600770.jpeg","Скачать индивидуальный QR-код магазина")</f>
        <v>Скачать индивидуальный QR-код магазина</v>
      </c>
    </row>
    <row r="1196" spans="1:7" x14ac:dyDescent="0.25">
      <c r="A1196" t="s">
        <v>3234</v>
      </c>
      <c r="B1196" t="s">
        <v>3903</v>
      </c>
      <c r="C1196" t="s">
        <v>713</v>
      </c>
      <c r="D1196" t="s">
        <v>714</v>
      </c>
      <c r="E1196" t="s">
        <v>715</v>
      </c>
      <c r="F1196" t="s">
        <v>3904</v>
      </c>
      <c r="G1196" s="2" t="str">
        <f>HYPERLINK("https://probpalata.gov.ru/files/ЮЛ770101216600781.jpeg","Скачать индивидуальный QR-код магазина")</f>
        <v>Скачать индивидуальный QR-код магазина</v>
      </c>
    </row>
    <row r="1197" spans="1:7" x14ac:dyDescent="0.25">
      <c r="A1197" t="s">
        <v>3234</v>
      </c>
      <c r="B1197" t="s">
        <v>3905</v>
      </c>
      <c r="C1197" t="s">
        <v>713</v>
      </c>
      <c r="D1197" t="s">
        <v>714</v>
      </c>
      <c r="E1197" t="s">
        <v>715</v>
      </c>
      <c r="F1197" t="s">
        <v>3906</v>
      </c>
      <c r="G1197" s="2" t="str">
        <f>HYPERLINK("https://probpalata.gov.ru/files/ЮЛ770101216600842.jpeg","Скачать индивидуальный QR-код магазина")</f>
        <v>Скачать индивидуальный QR-код магазина</v>
      </c>
    </row>
    <row r="1198" spans="1:7" x14ac:dyDescent="0.25">
      <c r="A1198" t="s">
        <v>3234</v>
      </c>
      <c r="B1198" t="s">
        <v>3907</v>
      </c>
      <c r="C1198" t="s">
        <v>713</v>
      </c>
      <c r="D1198" t="s">
        <v>714</v>
      </c>
      <c r="E1198" t="s">
        <v>715</v>
      </c>
      <c r="F1198" t="s">
        <v>3908</v>
      </c>
      <c r="G1198" s="2" t="str">
        <f>HYPERLINK("https://probpalata.gov.ru/files/ЮЛ770101216600924.jpeg","Скачать индивидуальный QR-код магазина")</f>
        <v>Скачать индивидуальный QR-код магазина</v>
      </c>
    </row>
    <row r="1199" spans="1:7" x14ac:dyDescent="0.25">
      <c r="A1199" t="s">
        <v>3234</v>
      </c>
      <c r="B1199" t="s">
        <v>3909</v>
      </c>
      <c r="C1199" t="s">
        <v>713</v>
      </c>
      <c r="D1199" t="s">
        <v>714</v>
      </c>
      <c r="E1199" t="s">
        <v>715</v>
      </c>
      <c r="F1199" t="s">
        <v>3910</v>
      </c>
      <c r="G1199" s="2" t="str">
        <f>HYPERLINK("https://probpalata.gov.ru/files/ЮЛ770101216600947.jpeg","Скачать индивидуальный QR-код магазина")</f>
        <v>Скачать индивидуальный QR-код магазина</v>
      </c>
    </row>
    <row r="1200" spans="1:7" x14ac:dyDescent="0.25">
      <c r="A1200" t="s">
        <v>3234</v>
      </c>
      <c r="B1200" t="s">
        <v>3911</v>
      </c>
      <c r="C1200" t="s">
        <v>713</v>
      </c>
      <c r="D1200" t="s">
        <v>714</v>
      </c>
      <c r="E1200" t="s">
        <v>715</v>
      </c>
      <c r="F1200" t="s">
        <v>3912</v>
      </c>
      <c r="G1200" s="2" t="str">
        <f>HYPERLINK("https://probpalata.gov.ru/files/ЮЛ770101216600966.jpeg","Скачать индивидуальный QR-код магазина")</f>
        <v>Скачать индивидуальный QR-код магазина</v>
      </c>
    </row>
    <row r="1201" spans="1:7" x14ac:dyDescent="0.25">
      <c r="A1201" t="s">
        <v>3234</v>
      </c>
      <c r="B1201" t="s">
        <v>3913</v>
      </c>
      <c r="C1201" t="s">
        <v>713</v>
      </c>
      <c r="D1201" t="s">
        <v>714</v>
      </c>
      <c r="E1201" t="s">
        <v>715</v>
      </c>
      <c r="F1201" t="s">
        <v>3914</v>
      </c>
      <c r="G1201" s="2" t="str">
        <f>HYPERLINK("https://probpalata.gov.ru/files/ЮЛ770101216600972.jpeg","Скачать индивидуальный QR-код магазина")</f>
        <v>Скачать индивидуальный QR-код магазина</v>
      </c>
    </row>
    <row r="1202" spans="1:7" x14ac:dyDescent="0.25">
      <c r="A1202" t="s">
        <v>3234</v>
      </c>
      <c r="B1202" t="s">
        <v>3915</v>
      </c>
      <c r="C1202" t="s">
        <v>3916</v>
      </c>
      <c r="D1202" t="s">
        <v>3917</v>
      </c>
      <c r="E1202" t="s">
        <v>3918</v>
      </c>
      <c r="F1202" t="s">
        <v>3919</v>
      </c>
      <c r="G1202" s="2" t="str">
        <f>HYPERLINK("https://probpalata.gov.ru/files/ЮЛ770103164400001.jpeg","Скачать индивидуальный QR-код магазина")</f>
        <v>Скачать индивидуальный QR-код магазина</v>
      </c>
    </row>
    <row r="1203" spans="1:7" x14ac:dyDescent="0.25">
      <c r="A1203" t="s">
        <v>3234</v>
      </c>
      <c r="B1203" t="s">
        <v>3920</v>
      </c>
      <c r="C1203" t="s">
        <v>3916</v>
      </c>
      <c r="D1203" t="s">
        <v>3917</v>
      </c>
      <c r="E1203" t="s">
        <v>3918</v>
      </c>
      <c r="F1203" t="s">
        <v>3921</v>
      </c>
      <c r="G1203" s="2" t="str">
        <f>HYPERLINK("https://probpalata.gov.ru/files/ЮЛ770103164400003.jpeg","Скачать индивидуальный QR-код магазина")</f>
        <v>Скачать индивидуальный QR-код магазина</v>
      </c>
    </row>
    <row r="1204" spans="1:7" x14ac:dyDescent="0.25">
      <c r="A1204" t="s">
        <v>3234</v>
      </c>
      <c r="B1204" t="s">
        <v>3922</v>
      </c>
      <c r="C1204" t="s">
        <v>3916</v>
      </c>
      <c r="D1204" t="s">
        <v>3917</v>
      </c>
      <c r="E1204" t="s">
        <v>3918</v>
      </c>
      <c r="F1204" t="s">
        <v>3923</v>
      </c>
      <c r="G1204" s="2" t="str">
        <f>HYPERLINK("https://probpalata.gov.ru/files/ЮЛ770103164400004.jpeg","Скачать индивидуальный QR-код магазина")</f>
        <v>Скачать индивидуальный QR-код магазина</v>
      </c>
    </row>
    <row r="1205" spans="1:7" x14ac:dyDescent="0.25">
      <c r="A1205" t="s">
        <v>3234</v>
      </c>
      <c r="B1205" t="s">
        <v>3924</v>
      </c>
      <c r="C1205" t="s">
        <v>3916</v>
      </c>
      <c r="D1205" t="s">
        <v>3917</v>
      </c>
      <c r="E1205" t="s">
        <v>3918</v>
      </c>
      <c r="F1205" t="s">
        <v>3925</v>
      </c>
      <c r="G1205" s="2" t="str">
        <f>HYPERLINK("https://probpalata.gov.ru/files/ЮЛ770103164400006.jpeg","Скачать индивидуальный QR-код магазина")</f>
        <v>Скачать индивидуальный QR-код магазина</v>
      </c>
    </row>
    <row r="1206" spans="1:7" x14ac:dyDescent="0.25">
      <c r="A1206" t="s">
        <v>3234</v>
      </c>
      <c r="B1206" t="s">
        <v>3926</v>
      </c>
      <c r="C1206" t="s">
        <v>3916</v>
      </c>
      <c r="D1206" t="s">
        <v>3917</v>
      </c>
      <c r="E1206" t="s">
        <v>3918</v>
      </c>
      <c r="F1206" t="s">
        <v>3927</v>
      </c>
      <c r="G1206" s="2" t="str">
        <f>HYPERLINK("https://probpalata.gov.ru/files/ЮЛ770103164400007.jpeg","Скачать индивидуальный QR-код магазина")</f>
        <v>Скачать индивидуальный QR-код магазина</v>
      </c>
    </row>
    <row r="1207" spans="1:7" x14ac:dyDescent="0.25">
      <c r="A1207" t="s">
        <v>3234</v>
      </c>
      <c r="B1207" t="s">
        <v>3928</v>
      </c>
      <c r="C1207" t="s">
        <v>3916</v>
      </c>
      <c r="D1207" t="s">
        <v>3917</v>
      </c>
      <c r="E1207" t="s">
        <v>3918</v>
      </c>
      <c r="F1207" t="s">
        <v>3929</v>
      </c>
      <c r="G1207" s="2" t="str">
        <f>HYPERLINK("https://probpalata.gov.ru/files/ЮЛ770103164400008.jpeg","Скачать индивидуальный QR-код магазина")</f>
        <v>Скачать индивидуальный QR-код магазина</v>
      </c>
    </row>
    <row r="1208" spans="1:7" x14ac:dyDescent="0.25">
      <c r="A1208" t="s">
        <v>3234</v>
      </c>
      <c r="B1208" t="s">
        <v>3930</v>
      </c>
      <c r="C1208" t="s">
        <v>3916</v>
      </c>
      <c r="D1208" t="s">
        <v>3917</v>
      </c>
      <c r="E1208" t="s">
        <v>3918</v>
      </c>
      <c r="F1208" t="s">
        <v>3931</v>
      </c>
      <c r="G1208" s="2" t="str">
        <f>HYPERLINK("https://probpalata.gov.ru/files/ЮЛ770103164400009.jpeg","Скачать индивидуальный QR-код магазина")</f>
        <v>Скачать индивидуальный QR-код магазина</v>
      </c>
    </row>
    <row r="1209" spans="1:7" x14ac:dyDescent="0.25">
      <c r="A1209" t="s">
        <v>3234</v>
      </c>
      <c r="B1209" t="s">
        <v>3932</v>
      </c>
      <c r="C1209" t="s">
        <v>3916</v>
      </c>
      <c r="D1209" t="s">
        <v>3917</v>
      </c>
      <c r="E1209" t="s">
        <v>3918</v>
      </c>
      <c r="F1209" t="s">
        <v>3933</v>
      </c>
      <c r="G1209" s="2" t="str">
        <f>HYPERLINK("https://probpalata.gov.ru/files/ЮЛ770103164400010.jpeg","Скачать индивидуальный QR-код магазина")</f>
        <v>Скачать индивидуальный QR-код магазина</v>
      </c>
    </row>
    <row r="1210" spans="1:7" x14ac:dyDescent="0.25">
      <c r="A1210" t="s">
        <v>3234</v>
      </c>
      <c r="B1210" t="s">
        <v>3934</v>
      </c>
      <c r="C1210" t="s">
        <v>3916</v>
      </c>
      <c r="D1210" t="s">
        <v>3917</v>
      </c>
      <c r="E1210" t="s">
        <v>3918</v>
      </c>
      <c r="F1210" t="s">
        <v>3935</v>
      </c>
      <c r="G1210" s="2" t="str">
        <f>HYPERLINK("https://probpalata.gov.ru/files/ЮЛ770103164400011.jpeg","Скачать индивидуальный QR-код магазина")</f>
        <v>Скачать индивидуальный QR-код магазина</v>
      </c>
    </row>
    <row r="1211" spans="1:7" x14ac:dyDescent="0.25">
      <c r="A1211" t="s">
        <v>3234</v>
      </c>
      <c r="B1211" t="s">
        <v>3936</v>
      </c>
      <c r="C1211" t="s">
        <v>3916</v>
      </c>
      <c r="D1211" t="s">
        <v>3917</v>
      </c>
      <c r="E1211" t="s">
        <v>3918</v>
      </c>
      <c r="F1211" t="s">
        <v>3937</v>
      </c>
      <c r="G1211" s="2" t="str">
        <f>HYPERLINK("https://probpalata.gov.ru/files/ЮЛ770103164400012.jpeg","Скачать индивидуальный QR-код магазина")</f>
        <v>Скачать индивидуальный QR-код магазина</v>
      </c>
    </row>
    <row r="1212" spans="1:7" x14ac:dyDescent="0.25">
      <c r="A1212" t="s">
        <v>3234</v>
      </c>
      <c r="B1212" t="s">
        <v>3938</v>
      </c>
      <c r="C1212" t="s">
        <v>3916</v>
      </c>
      <c r="D1212" t="s">
        <v>3917</v>
      </c>
      <c r="E1212" t="s">
        <v>3918</v>
      </c>
      <c r="F1212" t="s">
        <v>3939</v>
      </c>
      <c r="G1212" s="2" t="str">
        <f>HYPERLINK("https://probpalata.gov.ru/files/ЮЛ770103164400013.jpeg","Скачать индивидуальный QR-код магазина")</f>
        <v>Скачать индивидуальный QR-код магазина</v>
      </c>
    </row>
    <row r="1213" spans="1:7" x14ac:dyDescent="0.25">
      <c r="A1213" t="s">
        <v>3234</v>
      </c>
      <c r="B1213" t="s">
        <v>3940</v>
      </c>
      <c r="C1213" t="s">
        <v>3916</v>
      </c>
      <c r="D1213" t="s">
        <v>3917</v>
      </c>
      <c r="E1213" t="s">
        <v>3918</v>
      </c>
      <c r="F1213" t="s">
        <v>3941</v>
      </c>
      <c r="G1213" s="2" t="str">
        <f>HYPERLINK("https://probpalata.gov.ru/files/ЮЛ770103164400014.jpeg","Скачать индивидуальный QR-код магазина")</f>
        <v>Скачать индивидуальный QR-код магазина</v>
      </c>
    </row>
    <row r="1214" spans="1:7" x14ac:dyDescent="0.25">
      <c r="A1214" t="s">
        <v>3234</v>
      </c>
      <c r="B1214" t="s">
        <v>3942</v>
      </c>
      <c r="C1214" t="s">
        <v>3916</v>
      </c>
      <c r="D1214" t="s">
        <v>3917</v>
      </c>
      <c r="E1214" t="s">
        <v>3918</v>
      </c>
      <c r="F1214" t="s">
        <v>3943</v>
      </c>
      <c r="G1214" s="2" t="str">
        <f>HYPERLINK("https://probpalata.gov.ru/files/ЮЛ770103164400015.jpeg","Скачать индивидуальный QR-код магазина")</f>
        <v>Скачать индивидуальный QR-код магазина</v>
      </c>
    </row>
    <row r="1215" spans="1:7" x14ac:dyDescent="0.25">
      <c r="A1215" t="s">
        <v>3234</v>
      </c>
      <c r="B1215" t="s">
        <v>3944</v>
      </c>
      <c r="C1215" t="s">
        <v>3916</v>
      </c>
      <c r="D1215" t="s">
        <v>3917</v>
      </c>
      <c r="E1215" t="s">
        <v>3918</v>
      </c>
      <c r="F1215" t="s">
        <v>3945</v>
      </c>
      <c r="G1215" s="2" t="str">
        <f>HYPERLINK("https://probpalata.gov.ru/files/ЮЛ770103164400016.jpeg","Скачать индивидуальный QR-код магазина")</f>
        <v>Скачать индивидуальный QR-код магазина</v>
      </c>
    </row>
    <row r="1216" spans="1:7" x14ac:dyDescent="0.25">
      <c r="A1216" t="s">
        <v>3234</v>
      </c>
      <c r="B1216" t="s">
        <v>3946</v>
      </c>
      <c r="C1216" t="s">
        <v>3916</v>
      </c>
      <c r="D1216" t="s">
        <v>3917</v>
      </c>
      <c r="E1216" t="s">
        <v>3918</v>
      </c>
      <c r="F1216" t="s">
        <v>3947</v>
      </c>
      <c r="G1216" s="2" t="str">
        <f>HYPERLINK("https://probpalata.gov.ru/files/ЮЛ770103164400017.jpeg","Скачать индивидуальный QR-код магазина")</f>
        <v>Скачать индивидуальный QR-код магазина</v>
      </c>
    </row>
    <row r="1217" spans="1:7" x14ac:dyDescent="0.25">
      <c r="A1217" t="s">
        <v>3234</v>
      </c>
      <c r="B1217" t="s">
        <v>3948</v>
      </c>
      <c r="C1217" t="s">
        <v>3916</v>
      </c>
      <c r="D1217" t="s">
        <v>3917</v>
      </c>
      <c r="E1217" t="s">
        <v>3918</v>
      </c>
      <c r="F1217" t="s">
        <v>3949</v>
      </c>
      <c r="G1217" s="2" t="str">
        <f>HYPERLINK("https://probpalata.gov.ru/files/ЮЛ770103164400018.jpeg","Скачать индивидуальный QR-код магазина")</f>
        <v>Скачать индивидуальный QR-код магазина</v>
      </c>
    </row>
    <row r="1218" spans="1:7" x14ac:dyDescent="0.25">
      <c r="A1218" t="s">
        <v>3234</v>
      </c>
      <c r="B1218" t="s">
        <v>3950</v>
      </c>
      <c r="C1218" t="s">
        <v>3916</v>
      </c>
      <c r="D1218" t="s">
        <v>3917</v>
      </c>
      <c r="E1218" t="s">
        <v>3918</v>
      </c>
      <c r="F1218" t="s">
        <v>3951</v>
      </c>
      <c r="G1218" s="2" t="str">
        <f>HYPERLINK("https://probpalata.gov.ru/files/ЮЛ770103164400019.jpeg","Скачать индивидуальный QR-код магазина")</f>
        <v>Скачать индивидуальный QR-код магазина</v>
      </c>
    </row>
    <row r="1219" spans="1:7" x14ac:dyDescent="0.25">
      <c r="A1219" t="s">
        <v>3234</v>
      </c>
      <c r="B1219" t="s">
        <v>3952</v>
      </c>
      <c r="C1219" t="s">
        <v>3916</v>
      </c>
      <c r="D1219" t="s">
        <v>3917</v>
      </c>
      <c r="E1219" t="s">
        <v>3918</v>
      </c>
      <c r="F1219" t="s">
        <v>3953</v>
      </c>
      <c r="G1219" s="2" t="str">
        <f>HYPERLINK("https://probpalata.gov.ru/files/ЮЛ770103164400020.jpeg","Скачать индивидуальный QR-код магазина")</f>
        <v>Скачать индивидуальный QR-код магазина</v>
      </c>
    </row>
    <row r="1220" spans="1:7" x14ac:dyDescent="0.25">
      <c r="A1220" t="s">
        <v>3234</v>
      </c>
      <c r="B1220" t="s">
        <v>3954</v>
      </c>
      <c r="C1220" t="s">
        <v>3916</v>
      </c>
      <c r="D1220" t="s">
        <v>3917</v>
      </c>
      <c r="E1220" t="s">
        <v>3918</v>
      </c>
      <c r="F1220" t="s">
        <v>3955</v>
      </c>
      <c r="G1220" s="2" t="str">
        <f>HYPERLINK("https://probpalata.gov.ru/files/ЮЛ770103164400021.jpeg","Скачать индивидуальный QR-код магазина")</f>
        <v>Скачать индивидуальный QR-код магазина</v>
      </c>
    </row>
    <row r="1221" spans="1:7" x14ac:dyDescent="0.25">
      <c r="A1221" t="s">
        <v>3234</v>
      </c>
      <c r="B1221" t="s">
        <v>3956</v>
      </c>
      <c r="C1221" t="s">
        <v>3916</v>
      </c>
      <c r="D1221" t="s">
        <v>3917</v>
      </c>
      <c r="E1221" t="s">
        <v>3918</v>
      </c>
      <c r="F1221" t="s">
        <v>3957</v>
      </c>
      <c r="G1221" s="2" t="str">
        <f>HYPERLINK("https://probpalata.gov.ru/files/ЮЛ770103164400022.jpeg","Скачать индивидуальный QR-код магазина")</f>
        <v>Скачать индивидуальный QR-код магазина</v>
      </c>
    </row>
    <row r="1222" spans="1:7" x14ac:dyDescent="0.25">
      <c r="A1222" t="s">
        <v>3234</v>
      </c>
      <c r="B1222" t="s">
        <v>3958</v>
      </c>
      <c r="C1222" t="s">
        <v>3916</v>
      </c>
      <c r="D1222" t="s">
        <v>3917</v>
      </c>
      <c r="E1222" t="s">
        <v>3918</v>
      </c>
      <c r="F1222" t="s">
        <v>3959</v>
      </c>
      <c r="G1222" s="2" t="str">
        <f>HYPERLINK("https://probpalata.gov.ru/files/ЮЛ770103164400023.jpeg","Скачать индивидуальный QR-код магазина")</f>
        <v>Скачать индивидуальный QR-код магазина</v>
      </c>
    </row>
    <row r="1223" spans="1:7" x14ac:dyDescent="0.25">
      <c r="A1223" t="s">
        <v>3234</v>
      </c>
      <c r="B1223" t="s">
        <v>3960</v>
      </c>
      <c r="C1223" t="s">
        <v>3916</v>
      </c>
      <c r="D1223" t="s">
        <v>3917</v>
      </c>
      <c r="E1223" t="s">
        <v>3918</v>
      </c>
      <c r="F1223" t="s">
        <v>3961</v>
      </c>
      <c r="G1223" s="2" t="str">
        <f>HYPERLINK("https://probpalata.gov.ru/files/ЮЛ770103164400024.jpeg","Скачать индивидуальный QR-код магазина")</f>
        <v>Скачать индивидуальный QR-код магазина</v>
      </c>
    </row>
    <row r="1224" spans="1:7" x14ac:dyDescent="0.25">
      <c r="A1224" t="s">
        <v>3234</v>
      </c>
      <c r="B1224" t="s">
        <v>3962</v>
      </c>
      <c r="C1224" t="s">
        <v>3916</v>
      </c>
      <c r="D1224" t="s">
        <v>3917</v>
      </c>
      <c r="E1224" t="s">
        <v>3918</v>
      </c>
      <c r="F1224" t="s">
        <v>3963</v>
      </c>
      <c r="G1224" s="2" t="str">
        <f>HYPERLINK("https://probpalata.gov.ru/files/ЮЛ770103164400025.jpeg","Скачать индивидуальный QR-код магазина")</f>
        <v>Скачать индивидуальный QR-код магазина</v>
      </c>
    </row>
    <row r="1225" spans="1:7" x14ac:dyDescent="0.25">
      <c r="A1225" t="s">
        <v>3234</v>
      </c>
      <c r="B1225" t="s">
        <v>3964</v>
      </c>
      <c r="C1225" t="s">
        <v>3916</v>
      </c>
      <c r="D1225" t="s">
        <v>3917</v>
      </c>
      <c r="E1225" t="s">
        <v>3918</v>
      </c>
      <c r="F1225" t="s">
        <v>3965</v>
      </c>
      <c r="G1225" s="2" t="str">
        <f>HYPERLINK("https://probpalata.gov.ru/files/ЮЛ770103164400026.jpeg","Скачать индивидуальный QR-код магазина")</f>
        <v>Скачать индивидуальный QR-код магазина</v>
      </c>
    </row>
    <row r="1226" spans="1:7" x14ac:dyDescent="0.25">
      <c r="A1226" t="s">
        <v>3234</v>
      </c>
      <c r="B1226" t="s">
        <v>3966</v>
      </c>
      <c r="C1226" t="s">
        <v>3916</v>
      </c>
      <c r="D1226" t="s">
        <v>3917</v>
      </c>
      <c r="E1226" t="s">
        <v>3918</v>
      </c>
      <c r="F1226" t="s">
        <v>3967</v>
      </c>
      <c r="G1226" s="2" t="str">
        <f>HYPERLINK("https://probpalata.gov.ru/files/ЮЛ770103164400027.jpeg","Скачать индивидуальный QR-код магазина")</f>
        <v>Скачать индивидуальный QR-код магазина</v>
      </c>
    </row>
    <row r="1227" spans="1:7" x14ac:dyDescent="0.25">
      <c r="A1227" t="s">
        <v>3234</v>
      </c>
      <c r="B1227" t="s">
        <v>3968</v>
      </c>
      <c r="C1227" t="s">
        <v>3916</v>
      </c>
      <c r="D1227" t="s">
        <v>3917</v>
      </c>
      <c r="E1227" t="s">
        <v>3918</v>
      </c>
      <c r="F1227" t="s">
        <v>3969</v>
      </c>
      <c r="G1227" s="2" t="str">
        <f>HYPERLINK("https://probpalata.gov.ru/files/ЮЛ770103164400028.jpeg","Скачать индивидуальный QR-код магазина")</f>
        <v>Скачать индивидуальный QR-код магазина</v>
      </c>
    </row>
    <row r="1228" spans="1:7" x14ac:dyDescent="0.25">
      <c r="A1228" t="s">
        <v>3234</v>
      </c>
      <c r="B1228" t="s">
        <v>3970</v>
      </c>
      <c r="C1228" t="s">
        <v>3916</v>
      </c>
      <c r="D1228" t="s">
        <v>3917</v>
      </c>
      <c r="E1228" t="s">
        <v>3918</v>
      </c>
      <c r="F1228" t="s">
        <v>3971</v>
      </c>
      <c r="G1228" s="2" t="str">
        <f>HYPERLINK("https://probpalata.gov.ru/files/ЮЛ770103164400029.jpeg","Скачать индивидуальный QR-код магазина")</f>
        <v>Скачать индивидуальный QR-код магазина</v>
      </c>
    </row>
    <row r="1229" spans="1:7" x14ac:dyDescent="0.25">
      <c r="A1229" t="s">
        <v>3234</v>
      </c>
      <c r="B1229" t="s">
        <v>3972</v>
      </c>
      <c r="C1229" t="s">
        <v>3916</v>
      </c>
      <c r="D1229" t="s">
        <v>3917</v>
      </c>
      <c r="E1229" t="s">
        <v>3918</v>
      </c>
      <c r="F1229" t="s">
        <v>3973</v>
      </c>
      <c r="G1229" s="2" t="str">
        <f>HYPERLINK("https://probpalata.gov.ru/files/ЮЛ770103164400030.jpeg","Скачать индивидуальный QR-код магазина")</f>
        <v>Скачать индивидуальный QR-код магазина</v>
      </c>
    </row>
    <row r="1230" spans="1:7" x14ac:dyDescent="0.25">
      <c r="A1230" t="s">
        <v>3234</v>
      </c>
      <c r="B1230" t="s">
        <v>3974</v>
      </c>
      <c r="C1230" t="s">
        <v>3916</v>
      </c>
      <c r="D1230" t="s">
        <v>3917</v>
      </c>
      <c r="E1230" t="s">
        <v>3918</v>
      </c>
      <c r="F1230" t="s">
        <v>3975</v>
      </c>
      <c r="G1230" s="2" t="str">
        <f>HYPERLINK("https://probpalata.gov.ru/files/ЮЛ770103164400031.jpeg","Скачать индивидуальный QR-код магазина")</f>
        <v>Скачать индивидуальный QR-код магазина</v>
      </c>
    </row>
    <row r="1231" spans="1:7" x14ac:dyDescent="0.25">
      <c r="A1231" t="s">
        <v>3234</v>
      </c>
      <c r="B1231" t="s">
        <v>3976</v>
      </c>
      <c r="C1231" t="s">
        <v>3916</v>
      </c>
      <c r="D1231" t="s">
        <v>3917</v>
      </c>
      <c r="E1231" t="s">
        <v>3918</v>
      </c>
      <c r="F1231" t="s">
        <v>3977</v>
      </c>
      <c r="G1231" s="2" t="str">
        <f>HYPERLINK("https://probpalata.gov.ru/files/ЮЛ770103164400032.jpeg","Скачать индивидуальный QR-код магазина")</f>
        <v>Скачать индивидуальный QR-код магазина</v>
      </c>
    </row>
    <row r="1232" spans="1:7" x14ac:dyDescent="0.25">
      <c r="A1232" t="s">
        <v>3234</v>
      </c>
      <c r="B1232" t="s">
        <v>3978</v>
      </c>
      <c r="C1232" t="s">
        <v>3916</v>
      </c>
      <c r="D1232" t="s">
        <v>3917</v>
      </c>
      <c r="E1232" t="s">
        <v>3918</v>
      </c>
      <c r="F1232" t="s">
        <v>3979</v>
      </c>
      <c r="G1232" s="2" t="str">
        <f>HYPERLINK("https://probpalata.gov.ru/files/ЮЛ770103164400033.jpeg","Скачать индивидуальный QR-код магазина")</f>
        <v>Скачать индивидуальный QR-код магазина</v>
      </c>
    </row>
    <row r="1233" spans="1:7" x14ac:dyDescent="0.25">
      <c r="A1233" t="s">
        <v>3234</v>
      </c>
      <c r="B1233" t="s">
        <v>3980</v>
      </c>
      <c r="C1233" t="s">
        <v>3916</v>
      </c>
      <c r="D1233" t="s">
        <v>3917</v>
      </c>
      <c r="E1233" t="s">
        <v>3918</v>
      </c>
      <c r="F1233" t="s">
        <v>3981</v>
      </c>
      <c r="G1233" s="2" t="str">
        <f>HYPERLINK("https://probpalata.gov.ru/files/ЮЛ770103164400034.jpeg","Скачать индивидуальный QR-код магазина")</f>
        <v>Скачать индивидуальный QR-код магазина</v>
      </c>
    </row>
    <row r="1234" spans="1:7" x14ac:dyDescent="0.25">
      <c r="A1234" t="s">
        <v>3234</v>
      </c>
      <c r="B1234" t="s">
        <v>3982</v>
      </c>
      <c r="C1234" t="s">
        <v>3916</v>
      </c>
      <c r="D1234" t="s">
        <v>3917</v>
      </c>
      <c r="E1234" t="s">
        <v>3918</v>
      </c>
      <c r="F1234" t="s">
        <v>3983</v>
      </c>
      <c r="G1234" s="2" t="str">
        <f>HYPERLINK("https://probpalata.gov.ru/files/ЮЛ770103164400035.jpeg","Скачать индивидуальный QR-код магазина")</f>
        <v>Скачать индивидуальный QR-код магазина</v>
      </c>
    </row>
    <row r="1235" spans="1:7" x14ac:dyDescent="0.25">
      <c r="A1235" t="s">
        <v>3234</v>
      </c>
      <c r="B1235" t="s">
        <v>3984</v>
      </c>
      <c r="C1235" t="s">
        <v>3916</v>
      </c>
      <c r="D1235" t="s">
        <v>3917</v>
      </c>
      <c r="E1235" t="s">
        <v>3918</v>
      </c>
      <c r="F1235" t="s">
        <v>3985</v>
      </c>
      <c r="G1235" s="2" t="str">
        <f>HYPERLINK("https://probpalata.gov.ru/files/ЮЛ770103164400037.jpeg","Скачать индивидуальный QR-код магазина")</f>
        <v>Скачать индивидуальный QR-код магазина</v>
      </c>
    </row>
    <row r="1236" spans="1:7" x14ac:dyDescent="0.25">
      <c r="A1236" t="s">
        <v>3234</v>
      </c>
      <c r="B1236" t="s">
        <v>3986</v>
      </c>
      <c r="C1236" t="s">
        <v>3916</v>
      </c>
      <c r="D1236" t="s">
        <v>3917</v>
      </c>
      <c r="E1236" t="s">
        <v>3918</v>
      </c>
      <c r="F1236" t="s">
        <v>3987</v>
      </c>
      <c r="G1236" s="2" t="str">
        <f>HYPERLINK("https://probpalata.gov.ru/files/ЮЛ770103164400042.jpeg","Скачать индивидуальный QR-код магазина")</f>
        <v>Скачать индивидуальный QR-код магазина</v>
      </c>
    </row>
    <row r="1237" spans="1:7" x14ac:dyDescent="0.25">
      <c r="A1237" t="s">
        <v>3234</v>
      </c>
      <c r="B1237" t="s">
        <v>3988</v>
      </c>
      <c r="C1237" t="s">
        <v>3916</v>
      </c>
      <c r="D1237" t="s">
        <v>3917</v>
      </c>
      <c r="E1237" t="s">
        <v>3918</v>
      </c>
      <c r="F1237" t="s">
        <v>3989</v>
      </c>
      <c r="G1237" s="2" t="str">
        <f>HYPERLINK("https://probpalata.gov.ru/files/ЮЛ770103164400045.jpeg","Скачать индивидуальный QR-код магазина")</f>
        <v>Скачать индивидуальный QR-код магазина</v>
      </c>
    </row>
    <row r="1238" spans="1:7" x14ac:dyDescent="0.25">
      <c r="A1238" t="s">
        <v>3234</v>
      </c>
      <c r="B1238" t="s">
        <v>3990</v>
      </c>
      <c r="C1238" t="s">
        <v>3916</v>
      </c>
      <c r="D1238" t="s">
        <v>3917</v>
      </c>
      <c r="E1238" t="s">
        <v>3918</v>
      </c>
      <c r="F1238" t="s">
        <v>3991</v>
      </c>
      <c r="G1238" s="2" t="str">
        <f>HYPERLINK("https://probpalata.gov.ru/files/ЮЛ770103164400048.jpeg","Скачать индивидуальный QR-код магазина")</f>
        <v>Скачать индивидуальный QR-код магазина</v>
      </c>
    </row>
    <row r="1239" spans="1:7" x14ac:dyDescent="0.25">
      <c r="A1239" t="s">
        <v>3234</v>
      </c>
      <c r="B1239" t="s">
        <v>3992</v>
      </c>
      <c r="C1239" t="s">
        <v>3916</v>
      </c>
      <c r="D1239" t="s">
        <v>3917</v>
      </c>
      <c r="E1239" t="s">
        <v>3918</v>
      </c>
      <c r="F1239" t="s">
        <v>3993</v>
      </c>
      <c r="G1239" s="2" t="str">
        <f>HYPERLINK("https://probpalata.gov.ru/files/ЮЛ770103164400051.jpeg","Скачать индивидуальный QR-код магазина")</f>
        <v>Скачать индивидуальный QR-код магазина</v>
      </c>
    </row>
    <row r="1240" spans="1:7" x14ac:dyDescent="0.25">
      <c r="A1240" t="s">
        <v>3234</v>
      </c>
      <c r="B1240" t="s">
        <v>3411</v>
      </c>
      <c r="C1240" t="s">
        <v>3916</v>
      </c>
      <c r="D1240" t="s">
        <v>3917</v>
      </c>
      <c r="E1240" t="s">
        <v>3918</v>
      </c>
      <c r="F1240" t="s">
        <v>3994</v>
      </c>
      <c r="G1240" s="2" t="str">
        <f>HYPERLINK("https://probpalata.gov.ru/files/ЮЛ770103164400053.jpeg","Скачать индивидуальный QR-код магазина")</f>
        <v>Скачать индивидуальный QR-код магазина</v>
      </c>
    </row>
    <row r="1241" spans="1:7" x14ac:dyDescent="0.25">
      <c r="A1241" t="s">
        <v>3234</v>
      </c>
      <c r="B1241" t="s">
        <v>3995</v>
      </c>
      <c r="C1241" t="s">
        <v>3916</v>
      </c>
      <c r="D1241" t="s">
        <v>3917</v>
      </c>
      <c r="E1241" t="s">
        <v>3918</v>
      </c>
      <c r="F1241" t="s">
        <v>3996</v>
      </c>
      <c r="G1241" s="2" t="str">
        <f>HYPERLINK("https://probpalata.gov.ru/files/ЮЛ770103164400054.jpeg","Скачать индивидуальный QR-код магазина")</f>
        <v>Скачать индивидуальный QR-код магазина</v>
      </c>
    </row>
    <row r="1242" spans="1:7" x14ac:dyDescent="0.25">
      <c r="A1242" t="s">
        <v>3234</v>
      </c>
      <c r="B1242" t="s">
        <v>3997</v>
      </c>
      <c r="C1242" t="s">
        <v>3916</v>
      </c>
      <c r="D1242" t="s">
        <v>3917</v>
      </c>
      <c r="E1242" t="s">
        <v>3918</v>
      </c>
      <c r="F1242" t="s">
        <v>3998</v>
      </c>
      <c r="G1242" s="2" t="str">
        <f>HYPERLINK("https://probpalata.gov.ru/files/ЮЛ770103164400055.jpeg","Скачать индивидуальный QR-код магазина")</f>
        <v>Скачать индивидуальный QR-код магазина</v>
      </c>
    </row>
    <row r="1243" spans="1:7" x14ac:dyDescent="0.25">
      <c r="A1243" t="s">
        <v>3234</v>
      </c>
      <c r="B1243" t="s">
        <v>3999</v>
      </c>
      <c r="C1243" t="s">
        <v>3916</v>
      </c>
      <c r="D1243" t="s">
        <v>3917</v>
      </c>
      <c r="E1243" t="s">
        <v>3918</v>
      </c>
      <c r="F1243" t="s">
        <v>4000</v>
      </c>
      <c r="G1243" s="2" t="str">
        <f>HYPERLINK("https://probpalata.gov.ru/files/ЮЛ770103164400056.jpeg","Скачать индивидуальный QR-код магазина")</f>
        <v>Скачать индивидуальный QR-код магазина</v>
      </c>
    </row>
    <row r="1244" spans="1:7" x14ac:dyDescent="0.25">
      <c r="A1244" t="s">
        <v>3234</v>
      </c>
      <c r="B1244" t="s">
        <v>4001</v>
      </c>
      <c r="C1244" t="s">
        <v>3916</v>
      </c>
      <c r="D1244" t="s">
        <v>3917</v>
      </c>
      <c r="E1244" t="s">
        <v>3918</v>
      </c>
      <c r="F1244" t="s">
        <v>4002</v>
      </c>
      <c r="G1244" s="2" t="str">
        <f>HYPERLINK("https://probpalata.gov.ru/files/ЮЛ770103164400065.jpeg","Скачать индивидуальный QR-код магазина")</f>
        <v>Скачать индивидуальный QR-код магазина</v>
      </c>
    </row>
    <row r="1245" spans="1:7" x14ac:dyDescent="0.25">
      <c r="A1245" t="s">
        <v>3234</v>
      </c>
      <c r="B1245" t="s">
        <v>3808</v>
      </c>
      <c r="C1245" t="s">
        <v>3916</v>
      </c>
      <c r="D1245" t="s">
        <v>3917</v>
      </c>
      <c r="E1245" t="s">
        <v>3918</v>
      </c>
      <c r="F1245" t="s">
        <v>4003</v>
      </c>
      <c r="G1245" s="2" t="str">
        <f>HYPERLINK("https://probpalata.gov.ru/files/ЮЛ770103164400069.jpeg","Скачать индивидуальный QR-код магазина")</f>
        <v>Скачать индивидуальный QR-код магазина</v>
      </c>
    </row>
    <row r="1246" spans="1:7" x14ac:dyDescent="0.25">
      <c r="A1246" t="s">
        <v>3234</v>
      </c>
      <c r="B1246" t="s">
        <v>3596</v>
      </c>
      <c r="C1246" t="s">
        <v>1416</v>
      </c>
      <c r="D1246" t="s">
        <v>1417</v>
      </c>
      <c r="E1246" t="s">
        <v>1418</v>
      </c>
      <c r="F1246" t="s">
        <v>4004</v>
      </c>
      <c r="G1246" s="2" t="str">
        <f>HYPERLINK("https://probpalata.gov.ru/files/ЮЛ770100419400102.jpeg","Скачать индивидуальный QR-код магазина")</f>
        <v>Скачать индивидуальный QR-код магазина</v>
      </c>
    </row>
    <row r="1247" spans="1:7" x14ac:dyDescent="0.25">
      <c r="A1247" t="s">
        <v>3234</v>
      </c>
      <c r="B1247" t="s">
        <v>4005</v>
      </c>
      <c r="C1247" t="s">
        <v>748</v>
      </c>
      <c r="D1247" t="s">
        <v>749</v>
      </c>
      <c r="E1247" t="s">
        <v>750</v>
      </c>
      <c r="F1247" t="s">
        <v>4006</v>
      </c>
      <c r="G1247" s="2" t="str">
        <f>HYPERLINK("https://probpalata.gov.ru/files/ЮЛ770100193500111.jpeg","Скачать индивидуальный QR-код магазина")</f>
        <v>Скачать индивидуальный QR-код магазина</v>
      </c>
    </row>
    <row r="1248" spans="1:7" x14ac:dyDescent="0.25">
      <c r="A1248" t="s">
        <v>3234</v>
      </c>
      <c r="B1248" t="s">
        <v>4007</v>
      </c>
      <c r="C1248" t="s">
        <v>748</v>
      </c>
      <c r="D1248" t="s">
        <v>749</v>
      </c>
      <c r="E1248" t="s">
        <v>750</v>
      </c>
      <c r="F1248" t="s">
        <v>4008</v>
      </c>
      <c r="G1248" s="2" t="str">
        <f>HYPERLINK("https://probpalata.gov.ru/files/ЮЛ770100193500112.jpeg","Скачать индивидуальный QR-код магазина")</f>
        <v>Скачать индивидуальный QR-код магазина</v>
      </c>
    </row>
    <row r="1249" spans="1:7" x14ac:dyDescent="0.25">
      <c r="A1249" t="s">
        <v>3234</v>
      </c>
      <c r="B1249" t="s">
        <v>4009</v>
      </c>
      <c r="C1249" t="s">
        <v>748</v>
      </c>
      <c r="D1249" t="s">
        <v>749</v>
      </c>
      <c r="E1249" t="s">
        <v>750</v>
      </c>
      <c r="F1249" t="s">
        <v>4010</v>
      </c>
      <c r="G1249" s="2" t="str">
        <f>HYPERLINK("https://probpalata.gov.ru/files/ЮЛ770100193500114.jpeg","Скачать индивидуальный QR-код магазина")</f>
        <v>Скачать индивидуальный QR-код магазина</v>
      </c>
    </row>
    <row r="1250" spans="1:7" x14ac:dyDescent="0.25">
      <c r="A1250" t="s">
        <v>3234</v>
      </c>
      <c r="B1250" t="s">
        <v>4011</v>
      </c>
      <c r="C1250" t="s">
        <v>748</v>
      </c>
      <c r="D1250" t="s">
        <v>749</v>
      </c>
      <c r="E1250" t="s">
        <v>750</v>
      </c>
      <c r="F1250" t="s">
        <v>4012</v>
      </c>
      <c r="G1250" s="2" t="str">
        <f>HYPERLINK("https://probpalata.gov.ru/files/ЮЛ770100193500124.jpeg","Скачать индивидуальный QR-код магазина")</f>
        <v>Скачать индивидуальный QR-код магазина</v>
      </c>
    </row>
    <row r="1251" spans="1:7" x14ac:dyDescent="0.25">
      <c r="A1251" t="s">
        <v>3234</v>
      </c>
      <c r="B1251" t="s">
        <v>4013</v>
      </c>
      <c r="C1251" t="s">
        <v>748</v>
      </c>
      <c r="D1251" t="s">
        <v>749</v>
      </c>
      <c r="E1251" t="s">
        <v>750</v>
      </c>
      <c r="F1251" t="s">
        <v>4014</v>
      </c>
      <c r="G1251" s="2" t="str">
        <f>HYPERLINK("https://probpalata.gov.ru/files/ЮЛ770100193500125.jpeg","Скачать индивидуальный QR-код магазина")</f>
        <v>Скачать индивидуальный QR-код магазина</v>
      </c>
    </row>
    <row r="1252" spans="1:7" x14ac:dyDescent="0.25">
      <c r="A1252" t="s">
        <v>3234</v>
      </c>
      <c r="B1252" t="s">
        <v>4015</v>
      </c>
      <c r="C1252" t="s">
        <v>748</v>
      </c>
      <c r="D1252" t="s">
        <v>749</v>
      </c>
      <c r="E1252" t="s">
        <v>750</v>
      </c>
      <c r="F1252" t="s">
        <v>4016</v>
      </c>
      <c r="G1252" s="2" t="str">
        <f>HYPERLINK("https://probpalata.gov.ru/files/ЮЛ770100193500126.jpeg","Скачать индивидуальный QR-код магазина")</f>
        <v>Скачать индивидуальный QR-код магазина</v>
      </c>
    </row>
    <row r="1253" spans="1:7" x14ac:dyDescent="0.25">
      <c r="A1253" t="s">
        <v>3234</v>
      </c>
      <c r="B1253" t="s">
        <v>4017</v>
      </c>
      <c r="C1253" t="s">
        <v>748</v>
      </c>
      <c r="D1253" t="s">
        <v>749</v>
      </c>
      <c r="E1253" t="s">
        <v>750</v>
      </c>
      <c r="F1253" t="s">
        <v>4018</v>
      </c>
      <c r="G1253" s="2" t="str">
        <f>HYPERLINK("https://probpalata.gov.ru/files/ЮЛ770100193500127.jpeg","Скачать индивидуальный QR-код магазина")</f>
        <v>Скачать индивидуальный QR-код магазина</v>
      </c>
    </row>
    <row r="1254" spans="1:7" x14ac:dyDescent="0.25">
      <c r="A1254" t="s">
        <v>3234</v>
      </c>
      <c r="B1254" t="s">
        <v>3849</v>
      </c>
      <c r="C1254" t="s">
        <v>748</v>
      </c>
      <c r="D1254" t="s">
        <v>749</v>
      </c>
      <c r="E1254" t="s">
        <v>750</v>
      </c>
      <c r="F1254" t="s">
        <v>4019</v>
      </c>
      <c r="G1254" s="2" t="str">
        <f>HYPERLINK("https://probpalata.gov.ru/files/ЮЛ770100193500711.jpeg","Скачать индивидуальный QR-код магазина")</f>
        <v>Скачать индивидуальный QR-код магазина</v>
      </c>
    </row>
    <row r="1255" spans="1:7" x14ac:dyDescent="0.25">
      <c r="A1255" t="s">
        <v>3234</v>
      </c>
      <c r="B1255" t="s">
        <v>3813</v>
      </c>
      <c r="C1255" t="s">
        <v>748</v>
      </c>
      <c r="D1255" t="s">
        <v>749</v>
      </c>
      <c r="E1255" t="s">
        <v>750</v>
      </c>
      <c r="F1255" t="s">
        <v>4020</v>
      </c>
      <c r="G1255" s="2" t="str">
        <f>HYPERLINK("https://probpalata.gov.ru/files/ЮЛ770100193500712.jpeg","Скачать индивидуальный QR-код магазина")</f>
        <v>Скачать индивидуальный QR-код магазина</v>
      </c>
    </row>
    <row r="1256" spans="1:7" x14ac:dyDescent="0.25">
      <c r="A1256" t="s">
        <v>3234</v>
      </c>
      <c r="B1256" t="s">
        <v>4021</v>
      </c>
      <c r="C1256" t="s">
        <v>748</v>
      </c>
      <c r="D1256" t="s">
        <v>749</v>
      </c>
      <c r="E1256" t="s">
        <v>750</v>
      </c>
      <c r="F1256" t="s">
        <v>4022</v>
      </c>
      <c r="G1256" s="2" t="str">
        <f>HYPERLINK("https://probpalata.gov.ru/files/ЮЛ770100193500760.jpeg","Скачать индивидуальный QR-код магазина")</f>
        <v>Скачать индивидуальный QR-код магазина</v>
      </c>
    </row>
    <row r="1257" spans="1:7" x14ac:dyDescent="0.25">
      <c r="A1257" t="s">
        <v>3234</v>
      </c>
      <c r="B1257" t="s">
        <v>4023</v>
      </c>
      <c r="C1257" t="s">
        <v>748</v>
      </c>
      <c r="D1257" t="s">
        <v>749</v>
      </c>
      <c r="E1257" t="s">
        <v>750</v>
      </c>
      <c r="F1257" t="s">
        <v>4024</v>
      </c>
      <c r="G1257" s="2" t="str">
        <f>HYPERLINK("https://probpalata.gov.ru/files/ЮЛ770100193500871.jpeg","Скачать индивидуальный QR-код магазина")</f>
        <v>Скачать индивидуальный QR-код магазина</v>
      </c>
    </row>
    <row r="1258" spans="1:7" x14ac:dyDescent="0.25">
      <c r="A1258" t="s">
        <v>3234</v>
      </c>
      <c r="B1258" t="s">
        <v>4025</v>
      </c>
      <c r="C1258" t="s">
        <v>748</v>
      </c>
      <c r="D1258" t="s">
        <v>749</v>
      </c>
      <c r="E1258" t="s">
        <v>750</v>
      </c>
      <c r="F1258" t="s">
        <v>4026</v>
      </c>
      <c r="G1258" s="2" t="str">
        <f>HYPERLINK("https://probpalata.gov.ru/files/ЮЛ770100193500900.jpeg","Скачать индивидуальный QR-код магазина")</f>
        <v>Скачать индивидуальный QR-код магазина</v>
      </c>
    </row>
    <row r="1259" spans="1:7" x14ac:dyDescent="0.25">
      <c r="A1259" t="s">
        <v>3234</v>
      </c>
      <c r="B1259" t="s">
        <v>3863</v>
      </c>
      <c r="C1259" t="s">
        <v>748</v>
      </c>
      <c r="D1259" t="s">
        <v>749</v>
      </c>
      <c r="E1259" t="s">
        <v>750</v>
      </c>
      <c r="F1259" t="s">
        <v>4027</v>
      </c>
      <c r="G1259" s="2" t="str">
        <f>HYPERLINK("https://probpalata.gov.ru/files/ЮЛ770100193500901.jpeg","Скачать индивидуальный QR-код магазина")</f>
        <v>Скачать индивидуальный QR-код магазина</v>
      </c>
    </row>
    <row r="1260" spans="1:7" x14ac:dyDescent="0.25">
      <c r="A1260" t="s">
        <v>3234</v>
      </c>
      <c r="B1260" t="s">
        <v>3415</v>
      </c>
      <c r="C1260" t="s">
        <v>748</v>
      </c>
      <c r="D1260" t="s">
        <v>749</v>
      </c>
      <c r="E1260" t="s">
        <v>750</v>
      </c>
      <c r="F1260" t="s">
        <v>4028</v>
      </c>
      <c r="G1260" s="2" t="str">
        <f>HYPERLINK("https://probpalata.gov.ru/files/ЮЛ770100193500910.jpeg","Скачать индивидуальный QR-код магазина")</f>
        <v>Скачать индивидуальный QR-код магазина</v>
      </c>
    </row>
    <row r="1261" spans="1:7" x14ac:dyDescent="0.25">
      <c r="A1261" t="s">
        <v>3234</v>
      </c>
      <c r="B1261" t="s">
        <v>3733</v>
      </c>
      <c r="C1261" t="s">
        <v>748</v>
      </c>
      <c r="D1261" t="s">
        <v>749</v>
      </c>
      <c r="E1261" t="s">
        <v>750</v>
      </c>
      <c r="F1261" t="s">
        <v>4029</v>
      </c>
      <c r="G1261" s="2" t="str">
        <f>HYPERLINK("https://probpalata.gov.ru/files/ЮЛ770100193500911.jpeg","Скачать индивидуальный QR-код магазина")</f>
        <v>Скачать индивидуальный QR-код магазина</v>
      </c>
    </row>
    <row r="1262" spans="1:7" x14ac:dyDescent="0.25">
      <c r="A1262" t="s">
        <v>3234</v>
      </c>
      <c r="B1262" t="s">
        <v>4030</v>
      </c>
      <c r="C1262" t="s">
        <v>748</v>
      </c>
      <c r="D1262" t="s">
        <v>749</v>
      </c>
      <c r="E1262" t="s">
        <v>750</v>
      </c>
      <c r="F1262" t="s">
        <v>4031</v>
      </c>
      <c r="G1262" s="2" t="str">
        <f>HYPERLINK("https://probpalata.gov.ru/files/ЮЛ770100193500912.jpeg","Скачать индивидуальный QR-код магазина")</f>
        <v>Скачать индивидуальный QR-код магазина</v>
      </c>
    </row>
    <row r="1263" spans="1:7" x14ac:dyDescent="0.25">
      <c r="A1263" t="s">
        <v>3234</v>
      </c>
      <c r="B1263" t="s">
        <v>3858</v>
      </c>
      <c r="C1263" t="s">
        <v>748</v>
      </c>
      <c r="D1263" t="s">
        <v>749</v>
      </c>
      <c r="E1263" t="s">
        <v>750</v>
      </c>
      <c r="F1263" t="s">
        <v>4032</v>
      </c>
      <c r="G1263" s="2" t="str">
        <f>HYPERLINK("https://probpalata.gov.ru/files/ЮЛ770100193500917.jpeg","Скачать индивидуальный QR-код магазина")</f>
        <v>Скачать индивидуальный QR-код магазина</v>
      </c>
    </row>
    <row r="1264" spans="1:7" x14ac:dyDescent="0.25">
      <c r="A1264" t="s">
        <v>3234</v>
      </c>
      <c r="B1264" t="s">
        <v>4033</v>
      </c>
      <c r="C1264" t="s">
        <v>748</v>
      </c>
      <c r="D1264" t="s">
        <v>749</v>
      </c>
      <c r="E1264" t="s">
        <v>750</v>
      </c>
      <c r="F1264" t="s">
        <v>4034</v>
      </c>
      <c r="G1264" s="2" t="str">
        <f>HYPERLINK("https://probpalata.gov.ru/files/ЮЛ770100193500919.jpeg","Скачать индивидуальный QR-код магазина")</f>
        <v>Скачать индивидуальный QR-код магазина</v>
      </c>
    </row>
    <row r="1265" spans="1:7" x14ac:dyDescent="0.25">
      <c r="A1265" t="s">
        <v>3234</v>
      </c>
      <c r="B1265" t="s">
        <v>4035</v>
      </c>
      <c r="C1265" t="s">
        <v>748</v>
      </c>
      <c r="D1265" t="s">
        <v>749</v>
      </c>
      <c r="E1265" t="s">
        <v>750</v>
      </c>
      <c r="F1265" t="s">
        <v>4036</v>
      </c>
      <c r="G1265" s="2" t="str">
        <f>HYPERLINK("https://probpalata.gov.ru/files/ЮЛ770100193500926.jpeg","Скачать индивидуальный QR-код магазина")</f>
        <v>Скачать индивидуальный QR-код магазина</v>
      </c>
    </row>
    <row r="1266" spans="1:7" x14ac:dyDescent="0.25">
      <c r="A1266" t="s">
        <v>3234</v>
      </c>
      <c r="B1266" t="s">
        <v>4037</v>
      </c>
      <c r="C1266" t="s">
        <v>748</v>
      </c>
      <c r="D1266" t="s">
        <v>749</v>
      </c>
      <c r="E1266" t="s">
        <v>750</v>
      </c>
      <c r="F1266" t="s">
        <v>4038</v>
      </c>
      <c r="G1266" s="2" t="str">
        <f>HYPERLINK("https://probpalata.gov.ru/files/ЮЛ770100193500932.jpeg","Скачать индивидуальный QR-код магазина")</f>
        <v>Скачать индивидуальный QR-код магазина</v>
      </c>
    </row>
    <row r="1267" spans="1:7" x14ac:dyDescent="0.25">
      <c r="A1267" t="s">
        <v>3234</v>
      </c>
      <c r="B1267" t="s">
        <v>3845</v>
      </c>
      <c r="C1267" t="s">
        <v>748</v>
      </c>
      <c r="D1267" t="s">
        <v>749</v>
      </c>
      <c r="E1267" t="s">
        <v>750</v>
      </c>
      <c r="F1267" t="s">
        <v>4039</v>
      </c>
      <c r="G1267" s="2" t="str">
        <f>HYPERLINK("https://probpalata.gov.ru/files/ЮЛ770100193500938.jpeg","Скачать индивидуальный QR-код магазина")</f>
        <v>Скачать индивидуальный QR-код магазина</v>
      </c>
    </row>
    <row r="1268" spans="1:7" x14ac:dyDescent="0.25">
      <c r="A1268" t="s">
        <v>3234</v>
      </c>
      <c r="B1268" t="s">
        <v>3847</v>
      </c>
      <c r="C1268" t="s">
        <v>748</v>
      </c>
      <c r="D1268" t="s">
        <v>749</v>
      </c>
      <c r="E1268" t="s">
        <v>750</v>
      </c>
      <c r="F1268" t="s">
        <v>4040</v>
      </c>
      <c r="G1268" s="2" t="str">
        <f>HYPERLINK("https://probpalata.gov.ru/files/ЮЛ770100193500942.jpeg","Скачать индивидуальный QR-код магазина")</f>
        <v>Скачать индивидуальный QR-код магазина</v>
      </c>
    </row>
    <row r="1269" spans="1:7" x14ac:dyDescent="0.25">
      <c r="A1269" t="s">
        <v>3234</v>
      </c>
      <c r="B1269" t="s">
        <v>4041</v>
      </c>
      <c r="C1269" t="s">
        <v>748</v>
      </c>
      <c r="D1269" t="s">
        <v>749</v>
      </c>
      <c r="E1269" t="s">
        <v>750</v>
      </c>
      <c r="F1269" t="s">
        <v>4042</v>
      </c>
      <c r="G1269" s="2" t="str">
        <f>HYPERLINK("https://probpalata.gov.ru/files/ЮЛ770100193500951.jpeg","Скачать индивидуальный QR-код магазина")</f>
        <v>Скачать индивидуальный QR-код магазина</v>
      </c>
    </row>
    <row r="1270" spans="1:7" x14ac:dyDescent="0.25">
      <c r="A1270" t="s">
        <v>3234</v>
      </c>
      <c r="B1270" t="s">
        <v>3851</v>
      </c>
      <c r="C1270" t="s">
        <v>748</v>
      </c>
      <c r="D1270" t="s">
        <v>749</v>
      </c>
      <c r="E1270" t="s">
        <v>750</v>
      </c>
      <c r="F1270" t="s">
        <v>4043</v>
      </c>
      <c r="G1270" s="2" t="str">
        <f>HYPERLINK("https://probpalata.gov.ru/files/ЮЛ770100193500955.jpeg","Скачать индивидуальный QR-код магазина")</f>
        <v>Скачать индивидуальный QR-код магазина</v>
      </c>
    </row>
    <row r="1271" spans="1:7" x14ac:dyDescent="0.25">
      <c r="A1271" t="s">
        <v>3234</v>
      </c>
      <c r="B1271" t="s">
        <v>3872</v>
      </c>
      <c r="C1271" t="s">
        <v>748</v>
      </c>
      <c r="D1271" t="s">
        <v>749</v>
      </c>
      <c r="E1271" t="s">
        <v>750</v>
      </c>
      <c r="F1271" t="s">
        <v>4044</v>
      </c>
      <c r="G1271" s="2" t="str">
        <f>HYPERLINK("https://probpalata.gov.ru/files/ЮЛ770100193500958.jpeg","Скачать индивидуальный QR-код магазина")</f>
        <v>Скачать индивидуальный QR-код магазина</v>
      </c>
    </row>
    <row r="1272" spans="1:7" x14ac:dyDescent="0.25">
      <c r="A1272" t="s">
        <v>3234</v>
      </c>
      <c r="B1272" t="s">
        <v>4045</v>
      </c>
      <c r="C1272" t="s">
        <v>748</v>
      </c>
      <c r="D1272" t="s">
        <v>749</v>
      </c>
      <c r="E1272" t="s">
        <v>750</v>
      </c>
      <c r="F1272" t="s">
        <v>4046</v>
      </c>
      <c r="G1272" s="2" t="str">
        <f>HYPERLINK("https://probpalata.gov.ru/files/ЮЛ770100193500962.jpeg","Скачать индивидуальный QR-код магазина")</f>
        <v>Скачать индивидуальный QR-код магазина</v>
      </c>
    </row>
    <row r="1273" spans="1:7" x14ac:dyDescent="0.25">
      <c r="A1273" t="s">
        <v>3234</v>
      </c>
      <c r="B1273" t="s">
        <v>3854</v>
      </c>
      <c r="C1273" t="s">
        <v>748</v>
      </c>
      <c r="D1273" t="s">
        <v>749</v>
      </c>
      <c r="E1273" t="s">
        <v>750</v>
      </c>
      <c r="F1273" t="s">
        <v>4047</v>
      </c>
      <c r="G1273" s="2" t="str">
        <f>HYPERLINK("https://probpalata.gov.ru/files/ЮЛ770100193500971.jpeg","Скачать индивидуальный QR-код магазина")</f>
        <v>Скачать индивидуальный QR-код магазина</v>
      </c>
    </row>
    <row r="1274" spans="1:7" x14ac:dyDescent="0.25">
      <c r="A1274" t="s">
        <v>3234</v>
      </c>
      <c r="B1274" t="s">
        <v>4048</v>
      </c>
      <c r="C1274" t="s">
        <v>748</v>
      </c>
      <c r="D1274" t="s">
        <v>749</v>
      </c>
      <c r="E1274" t="s">
        <v>750</v>
      </c>
      <c r="F1274" t="s">
        <v>4049</v>
      </c>
      <c r="G1274" s="2" t="str">
        <f>HYPERLINK("https://probpalata.gov.ru/files/ЮЛ770100193500973.jpeg","Скачать индивидуальный QR-код магазина")</f>
        <v>Скачать индивидуальный QR-код магазина</v>
      </c>
    </row>
    <row r="1275" spans="1:7" x14ac:dyDescent="0.25">
      <c r="A1275" t="s">
        <v>3234</v>
      </c>
      <c r="B1275" t="s">
        <v>4050</v>
      </c>
      <c r="C1275" t="s">
        <v>748</v>
      </c>
      <c r="D1275" t="s">
        <v>749</v>
      </c>
      <c r="E1275" t="s">
        <v>750</v>
      </c>
      <c r="F1275" t="s">
        <v>4051</v>
      </c>
      <c r="G1275" s="2" t="str">
        <f>HYPERLINK("https://probpalata.gov.ru/files/ЮЛ770100193500983.jpeg","Скачать индивидуальный QR-код магазина")</f>
        <v>Скачать индивидуальный QR-код магазина</v>
      </c>
    </row>
    <row r="1276" spans="1:7" x14ac:dyDescent="0.25">
      <c r="A1276" t="s">
        <v>3234</v>
      </c>
      <c r="B1276" t="s">
        <v>4052</v>
      </c>
      <c r="C1276" t="s">
        <v>748</v>
      </c>
      <c r="D1276" t="s">
        <v>749</v>
      </c>
      <c r="E1276" t="s">
        <v>750</v>
      </c>
      <c r="F1276" t="s">
        <v>4053</v>
      </c>
      <c r="G1276" s="2" t="str">
        <f>HYPERLINK("https://probpalata.gov.ru/files/ЮЛ770100193500984.jpeg","Скачать индивидуальный QR-код магазина")</f>
        <v>Скачать индивидуальный QR-код магазина</v>
      </c>
    </row>
    <row r="1277" spans="1:7" x14ac:dyDescent="0.25">
      <c r="A1277" t="s">
        <v>3234</v>
      </c>
      <c r="B1277" t="s">
        <v>4054</v>
      </c>
      <c r="C1277" t="s">
        <v>748</v>
      </c>
      <c r="D1277" t="s">
        <v>749</v>
      </c>
      <c r="E1277" t="s">
        <v>750</v>
      </c>
      <c r="F1277" t="s">
        <v>4055</v>
      </c>
      <c r="G1277" s="2" t="str">
        <f>HYPERLINK("https://probpalata.gov.ru/files/ЮЛ770100193500994.jpeg","Скачать индивидуальный QR-код магазина")</f>
        <v>Скачать индивидуальный QR-код магазина</v>
      </c>
    </row>
    <row r="1278" spans="1:7" x14ac:dyDescent="0.25">
      <c r="A1278" t="s">
        <v>3234</v>
      </c>
      <c r="B1278" t="s">
        <v>4056</v>
      </c>
      <c r="C1278" t="s">
        <v>748</v>
      </c>
      <c r="D1278" t="s">
        <v>749</v>
      </c>
      <c r="E1278" t="s">
        <v>750</v>
      </c>
      <c r="F1278" t="s">
        <v>4057</v>
      </c>
      <c r="G1278" s="2" t="str">
        <f>HYPERLINK("https://probpalata.gov.ru/files/ЮЛ770100193500998.jpeg","Скачать индивидуальный QR-код магазина")</f>
        <v>Скачать индивидуальный QR-код магазина</v>
      </c>
    </row>
    <row r="1279" spans="1:7" x14ac:dyDescent="0.25">
      <c r="A1279" t="s">
        <v>3234</v>
      </c>
      <c r="B1279" t="s">
        <v>4058</v>
      </c>
      <c r="C1279" t="s">
        <v>748</v>
      </c>
      <c r="D1279" t="s">
        <v>749</v>
      </c>
      <c r="E1279" t="s">
        <v>750</v>
      </c>
      <c r="F1279" t="s">
        <v>4059</v>
      </c>
      <c r="G1279" s="2" t="str">
        <f>HYPERLINK("https://probpalata.gov.ru/files/ЮЛ770100193501031.jpeg","Скачать индивидуальный QR-код магазина")</f>
        <v>Скачать индивидуальный QR-код магазина</v>
      </c>
    </row>
    <row r="1280" spans="1:7" x14ac:dyDescent="0.25">
      <c r="A1280" t="s">
        <v>3234</v>
      </c>
      <c r="B1280" t="s">
        <v>3401</v>
      </c>
      <c r="C1280" t="s">
        <v>748</v>
      </c>
      <c r="D1280" t="s">
        <v>749</v>
      </c>
      <c r="E1280" t="s">
        <v>750</v>
      </c>
      <c r="F1280" t="s">
        <v>4060</v>
      </c>
      <c r="G1280" s="2" t="str">
        <f>HYPERLINK("https://probpalata.gov.ru/files/ЮЛ770100193501081.jpeg","Скачать индивидуальный QR-код магазина")</f>
        <v>Скачать индивидуальный QR-код магазина</v>
      </c>
    </row>
    <row r="1281" spans="1:7" x14ac:dyDescent="0.25">
      <c r="A1281" t="s">
        <v>3234</v>
      </c>
      <c r="B1281" t="s">
        <v>4061</v>
      </c>
      <c r="C1281" t="s">
        <v>748</v>
      </c>
      <c r="D1281" t="s">
        <v>749</v>
      </c>
      <c r="E1281" t="s">
        <v>750</v>
      </c>
      <c r="F1281" t="s">
        <v>4062</v>
      </c>
      <c r="G1281" s="2" t="str">
        <f>HYPERLINK("https://probpalata.gov.ru/files/ЮЛ770100193501086.jpeg","Скачать индивидуальный QR-код магазина")</f>
        <v>Скачать индивидуальный QR-код магазина</v>
      </c>
    </row>
    <row r="1282" spans="1:7" x14ac:dyDescent="0.25">
      <c r="A1282" t="s">
        <v>3234</v>
      </c>
      <c r="B1282" t="s">
        <v>4063</v>
      </c>
      <c r="C1282" t="s">
        <v>773</v>
      </c>
      <c r="D1282" t="s">
        <v>774</v>
      </c>
      <c r="E1282" t="s">
        <v>775</v>
      </c>
      <c r="F1282" t="s">
        <v>4064</v>
      </c>
      <c r="G1282" s="2" t="str">
        <f>HYPERLINK("https://probpalata.gov.ru/files/ЮЛ780300131300056.jpeg","Скачать индивидуальный QR-код магазина")</f>
        <v>Скачать индивидуальный QR-код магазина</v>
      </c>
    </row>
    <row r="1283" spans="1:7" x14ac:dyDescent="0.25">
      <c r="A1283" t="s">
        <v>3234</v>
      </c>
      <c r="B1283" t="s">
        <v>3707</v>
      </c>
      <c r="C1283" t="s">
        <v>773</v>
      </c>
      <c r="D1283" t="s">
        <v>774</v>
      </c>
      <c r="E1283" t="s">
        <v>775</v>
      </c>
      <c r="F1283" t="s">
        <v>4065</v>
      </c>
      <c r="G1283" s="2" t="str">
        <f>HYPERLINK("https://probpalata.gov.ru/files/ЮЛ780300131300059.jpeg","Скачать индивидуальный QR-код магазина")</f>
        <v>Скачать индивидуальный QR-код магазина</v>
      </c>
    </row>
    <row r="1284" spans="1:7" x14ac:dyDescent="0.25">
      <c r="A1284" t="s">
        <v>3234</v>
      </c>
      <c r="B1284" t="s">
        <v>4066</v>
      </c>
      <c r="C1284" t="s">
        <v>773</v>
      </c>
      <c r="D1284" t="s">
        <v>774</v>
      </c>
      <c r="E1284" t="s">
        <v>775</v>
      </c>
      <c r="F1284" t="s">
        <v>4067</v>
      </c>
      <c r="G1284" s="2" t="str">
        <f>HYPERLINK("https://probpalata.gov.ru/files/ЮЛ780300131300552.jpeg","Скачать индивидуальный QR-код магазина")</f>
        <v>Скачать индивидуальный QR-код магазина</v>
      </c>
    </row>
    <row r="1285" spans="1:7" x14ac:dyDescent="0.25">
      <c r="A1285" t="s">
        <v>3234</v>
      </c>
      <c r="B1285" t="s">
        <v>4068</v>
      </c>
      <c r="C1285" t="s">
        <v>773</v>
      </c>
      <c r="D1285" t="s">
        <v>774</v>
      </c>
      <c r="E1285" t="s">
        <v>775</v>
      </c>
      <c r="F1285" t="s">
        <v>4069</v>
      </c>
      <c r="G1285" s="2" t="str">
        <f>HYPERLINK("https://probpalata.gov.ru/files/ЮЛ780300131300580.jpeg","Скачать индивидуальный QR-код магазина")</f>
        <v>Скачать индивидуальный QR-код магазина</v>
      </c>
    </row>
    <row r="1286" spans="1:7" x14ac:dyDescent="0.25">
      <c r="A1286" t="s">
        <v>3234</v>
      </c>
      <c r="B1286" t="s">
        <v>4070</v>
      </c>
      <c r="C1286" t="s">
        <v>773</v>
      </c>
      <c r="D1286" t="s">
        <v>774</v>
      </c>
      <c r="E1286" t="s">
        <v>775</v>
      </c>
      <c r="F1286" t="s">
        <v>4071</v>
      </c>
      <c r="G1286" s="2" t="str">
        <f>HYPERLINK("https://probpalata.gov.ru/files/ЮЛ780300131300588.jpeg","Скачать индивидуальный QR-код магазина")</f>
        <v>Скачать индивидуальный QR-код магазина</v>
      </c>
    </row>
    <row r="1287" spans="1:7" x14ac:dyDescent="0.25">
      <c r="A1287" t="s">
        <v>3234</v>
      </c>
      <c r="B1287" t="s">
        <v>4072</v>
      </c>
      <c r="C1287" t="s">
        <v>787</v>
      </c>
      <c r="D1287" t="s">
        <v>788</v>
      </c>
      <c r="E1287" t="s">
        <v>789</v>
      </c>
      <c r="F1287" t="s">
        <v>4073</v>
      </c>
      <c r="G1287" s="2" t="str">
        <f>HYPERLINK("https://probpalata.gov.ru/files/ЮЛ780300328000053.jpeg","Скачать индивидуальный QR-код магазина")</f>
        <v>Скачать индивидуальный QR-код магазина</v>
      </c>
    </row>
    <row r="1288" spans="1:7" x14ac:dyDescent="0.25">
      <c r="A1288" t="s">
        <v>3234</v>
      </c>
      <c r="B1288" t="s">
        <v>4074</v>
      </c>
      <c r="C1288" t="s">
        <v>787</v>
      </c>
      <c r="D1288" t="s">
        <v>788</v>
      </c>
      <c r="E1288" t="s">
        <v>789</v>
      </c>
      <c r="F1288" t="s">
        <v>4075</v>
      </c>
      <c r="G1288" s="2" t="str">
        <f>HYPERLINK("https://probpalata.gov.ru/files/ЮЛ780300328000246.jpeg","Скачать индивидуальный QR-код магазина")</f>
        <v>Скачать индивидуальный QR-код магазина</v>
      </c>
    </row>
    <row r="1289" spans="1:7" x14ac:dyDescent="0.25">
      <c r="A1289" t="s">
        <v>3234</v>
      </c>
      <c r="B1289" t="s">
        <v>4076</v>
      </c>
      <c r="C1289" t="s">
        <v>4077</v>
      </c>
      <c r="D1289" t="s">
        <v>4078</v>
      </c>
      <c r="E1289" t="s">
        <v>4079</v>
      </c>
      <c r="F1289" t="s">
        <v>4080</v>
      </c>
      <c r="G1289" s="2" t="str">
        <f>HYPERLINK("https://probpalata.gov.ru/files/ЮЛ780300331800026.jpeg","Скачать индивидуальный QR-код магазина")</f>
        <v>Скачать индивидуальный QR-код магазина</v>
      </c>
    </row>
    <row r="1290" spans="1:7" x14ac:dyDescent="0.25">
      <c r="A1290" t="s">
        <v>3234</v>
      </c>
      <c r="B1290" t="s">
        <v>4081</v>
      </c>
      <c r="C1290" t="s">
        <v>4077</v>
      </c>
      <c r="D1290" t="s">
        <v>4078</v>
      </c>
      <c r="E1290" t="s">
        <v>4079</v>
      </c>
      <c r="F1290" t="s">
        <v>4082</v>
      </c>
      <c r="G1290" s="2" t="str">
        <f>HYPERLINK("https://probpalata.gov.ru/files/ЮЛ780300331800123.jpeg","Скачать индивидуальный QR-код магазина")</f>
        <v>Скачать индивидуальный QR-код магазина</v>
      </c>
    </row>
    <row r="1291" spans="1:7" x14ac:dyDescent="0.25">
      <c r="A1291" t="s">
        <v>3234</v>
      </c>
      <c r="B1291" t="s">
        <v>4083</v>
      </c>
      <c r="C1291" t="s">
        <v>4084</v>
      </c>
      <c r="D1291" t="s">
        <v>4085</v>
      </c>
      <c r="E1291" t="s">
        <v>4086</v>
      </c>
      <c r="F1291" t="s">
        <v>4087</v>
      </c>
      <c r="G1291" s="2" t="str">
        <f>HYPERLINK("https://probpalata.gov.ru/files/ИП780303259200000.jpeg","Скачать индивидуальный QR-код магазина")</f>
        <v>Скачать индивидуальный QR-код магазина</v>
      </c>
    </row>
    <row r="1292" spans="1:7" x14ac:dyDescent="0.25">
      <c r="A1292" t="s">
        <v>3234</v>
      </c>
      <c r="B1292" t="s">
        <v>4088</v>
      </c>
      <c r="C1292" t="s">
        <v>4084</v>
      </c>
      <c r="D1292" t="s">
        <v>4085</v>
      </c>
      <c r="E1292" t="s">
        <v>4086</v>
      </c>
      <c r="F1292" t="s">
        <v>4089</v>
      </c>
      <c r="G1292" s="2" t="str">
        <f>HYPERLINK("https://probpalata.gov.ru/files/ИП780303259200001.jpeg","Скачать индивидуальный QR-код магазина")</f>
        <v>Скачать индивидуальный QR-код магазина</v>
      </c>
    </row>
    <row r="1293" spans="1:7" x14ac:dyDescent="0.25">
      <c r="A1293" t="s">
        <v>3234</v>
      </c>
      <c r="B1293" t="s">
        <v>4090</v>
      </c>
      <c r="C1293" t="s">
        <v>791</v>
      </c>
      <c r="D1293" t="s">
        <v>792</v>
      </c>
      <c r="E1293" t="s">
        <v>793</v>
      </c>
      <c r="F1293" t="s">
        <v>4091</v>
      </c>
      <c r="G1293" s="2" t="str">
        <f>HYPERLINK("https://probpalata.gov.ru/files/ЮЛ780300323500078.jpeg","Скачать индивидуальный QR-код магазина")</f>
        <v>Скачать индивидуальный QR-код магазина</v>
      </c>
    </row>
    <row r="1294" spans="1:7" x14ac:dyDescent="0.25">
      <c r="A1294" t="s">
        <v>3234</v>
      </c>
      <c r="B1294" t="s">
        <v>4092</v>
      </c>
      <c r="C1294" t="s">
        <v>791</v>
      </c>
      <c r="D1294" t="s">
        <v>792</v>
      </c>
      <c r="E1294" t="s">
        <v>793</v>
      </c>
      <c r="F1294" t="s">
        <v>4093</v>
      </c>
      <c r="G1294" s="2" t="str">
        <f>HYPERLINK("https://probpalata.gov.ru/files/ЮЛ780300323500079.jpeg","Скачать индивидуальный QR-код магазина")</f>
        <v>Скачать индивидуальный QR-код магазина</v>
      </c>
    </row>
    <row r="1295" spans="1:7" x14ac:dyDescent="0.25">
      <c r="A1295" t="s">
        <v>3234</v>
      </c>
      <c r="B1295" t="s">
        <v>4094</v>
      </c>
      <c r="C1295" t="s">
        <v>798</v>
      </c>
      <c r="D1295" t="s">
        <v>799</v>
      </c>
      <c r="E1295" t="s">
        <v>800</v>
      </c>
      <c r="F1295" t="s">
        <v>4095</v>
      </c>
      <c r="G1295" s="2" t="str">
        <f>HYPERLINK("https://probpalata.gov.ru/files/ЮЛ780300308200247.jpeg","Скачать индивидуальный QR-код магазина")</f>
        <v>Скачать индивидуальный QR-код магазина</v>
      </c>
    </row>
    <row r="1296" spans="1:7" x14ac:dyDescent="0.25">
      <c r="A1296" t="s">
        <v>3234</v>
      </c>
      <c r="B1296" t="s">
        <v>3345</v>
      </c>
      <c r="C1296" t="s">
        <v>798</v>
      </c>
      <c r="D1296" t="s">
        <v>799</v>
      </c>
      <c r="E1296" t="s">
        <v>800</v>
      </c>
      <c r="F1296" t="s">
        <v>4096</v>
      </c>
      <c r="G1296" s="2" t="str">
        <f>HYPERLINK("https://probpalata.gov.ru/files/ЮЛ780300308200319.jpeg","Скачать индивидуальный QR-код магазина")</f>
        <v>Скачать индивидуальный QR-код магазина</v>
      </c>
    </row>
    <row r="1297" spans="1:7" x14ac:dyDescent="0.25">
      <c r="A1297" t="s">
        <v>3234</v>
      </c>
      <c r="B1297" t="s">
        <v>4097</v>
      </c>
      <c r="C1297" t="s">
        <v>798</v>
      </c>
      <c r="D1297" t="s">
        <v>799</v>
      </c>
      <c r="E1297" t="s">
        <v>800</v>
      </c>
      <c r="F1297" t="s">
        <v>4098</v>
      </c>
      <c r="G1297" s="2" t="str">
        <f>HYPERLINK("https://probpalata.gov.ru/files/ЮЛ780300308200514.jpeg","Скачать индивидуальный QR-код магазина")</f>
        <v>Скачать индивидуальный QR-код магазина</v>
      </c>
    </row>
    <row r="1298" spans="1:7" x14ac:dyDescent="0.25">
      <c r="A1298" t="s">
        <v>3234</v>
      </c>
      <c r="B1298" t="s">
        <v>4099</v>
      </c>
      <c r="C1298" t="s">
        <v>798</v>
      </c>
      <c r="D1298" t="s">
        <v>799</v>
      </c>
      <c r="E1298" t="s">
        <v>800</v>
      </c>
      <c r="F1298" t="s">
        <v>4100</v>
      </c>
      <c r="G1298" s="2" t="str">
        <f>HYPERLINK("https://probpalata.gov.ru/files/ЮЛ780300308200515.jpeg","Скачать индивидуальный QR-код магазина")</f>
        <v>Скачать индивидуальный QR-код магазина</v>
      </c>
    </row>
    <row r="1299" spans="1:7" x14ac:dyDescent="0.25">
      <c r="A1299" t="s">
        <v>3234</v>
      </c>
      <c r="B1299" t="s">
        <v>4101</v>
      </c>
      <c r="C1299" t="s">
        <v>798</v>
      </c>
      <c r="D1299" t="s">
        <v>799</v>
      </c>
      <c r="E1299" t="s">
        <v>800</v>
      </c>
      <c r="F1299" t="s">
        <v>4102</v>
      </c>
      <c r="G1299" s="2" t="str">
        <f>HYPERLINK("https://probpalata.gov.ru/files/ЮЛ780300308200516.jpeg","Скачать индивидуальный QR-код магазина")</f>
        <v>Скачать индивидуальный QR-код магазина</v>
      </c>
    </row>
    <row r="1300" spans="1:7" x14ac:dyDescent="0.25">
      <c r="A1300" t="s">
        <v>3234</v>
      </c>
      <c r="B1300" t="s">
        <v>4103</v>
      </c>
      <c r="C1300" t="s">
        <v>798</v>
      </c>
      <c r="D1300" t="s">
        <v>799</v>
      </c>
      <c r="E1300" t="s">
        <v>800</v>
      </c>
      <c r="F1300" t="s">
        <v>4104</v>
      </c>
      <c r="G1300" s="2" t="str">
        <f>HYPERLINK("https://probpalata.gov.ru/files/ЮЛ780300308200517.jpeg","Скачать индивидуальный QR-код магазина")</f>
        <v>Скачать индивидуальный QR-код магазина</v>
      </c>
    </row>
    <row r="1301" spans="1:7" x14ac:dyDescent="0.25">
      <c r="A1301" t="s">
        <v>3234</v>
      </c>
      <c r="B1301" t="s">
        <v>4105</v>
      </c>
      <c r="C1301" t="s">
        <v>798</v>
      </c>
      <c r="D1301" t="s">
        <v>799</v>
      </c>
      <c r="E1301" t="s">
        <v>800</v>
      </c>
      <c r="F1301" t="s">
        <v>4106</v>
      </c>
      <c r="G1301" s="2" t="str">
        <f>HYPERLINK("https://probpalata.gov.ru/files/ЮЛ780300308200518.jpeg","Скачать индивидуальный QR-код магазина")</f>
        <v>Скачать индивидуальный QR-код магазина</v>
      </c>
    </row>
    <row r="1302" spans="1:7" x14ac:dyDescent="0.25">
      <c r="A1302" t="s">
        <v>3234</v>
      </c>
      <c r="B1302" t="s">
        <v>4107</v>
      </c>
      <c r="C1302" t="s">
        <v>798</v>
      </c>
      <c r="D1302" t="s">
        <v>799</v>
      </c>
      <c r="E1302" t="s">
        <v>800</v>
      </c>
      <c r="F1302" t="s">
        <v>4108</v>
      </c>
      <c r="G1302" s="2" t="str">
        <f>HYPERLINK("https://probpalata.gov.ru/files/ЮЛ780300308200528.jpeg","Скачать индивидуальный QR-код магазина")</f>
        <v>Скачать индивидуальный QR-код магазина</v>
      </c>
    </row>
    <row r="1303" spans="1:7" x14ac:dyDescent="0.25">
      <c r="A1303" t="s">
        <v>3234</v>
      </c>
      <c r="B1303" t="s">
        <v>4109</v>
      </c>
      <c r="C1303" t="s">
        <v>798</v>
      </c>
      <c r="D1303" t="s">
        <v>799</v>
      </c>
      <c r="E1303" t="s">
        <v>800</v>
      </c>
      <c r="F1303" t="s">
        <v>4110</v>
      </c>
      <c r="G1303" s="2" t="str">
        <f>HYPERLINK("https://probpalata.gov.ru/files/ЮЛ780300308200542.jpeg","Скачать индивидуальный QR-код магазина")</f>
        <v>Скачать индивидуальный QR-код магазина</v>
      </c>
    </row>
    <row r="1304" spans="1:7" x14ac:dyDescent="0.25">
      <c r="A1304" t="s">
        <v>3234</v>
      </c>
      <c r="B1304" t="s">
        <v>4111</v>
      </c>
      <c r="C1304" t="s">
        <v>798</v>
      </c>
      <c r="D1304" t="s">
        <v>799</v>
      </c>
      <c r="E1304" t="s">
        <v>800</v>
      </c>
      <c r="F1304" t="s">
        <v>4112</v>
      </c>
      <c r="G1304" s="2" t="str">
        <f>HYPERLINK("https://probpalata.gov.ru/files/ЮЛ780300308200544.jpeg","Скачать индивидуальный QR-код магазина")</f>
        <v>Скачать индивидуальный QR-код магазина</v>
      </c>
    </row>
    <row r="1305" spans="1:7" x14ac:dyDescent="0.25">
      <c r="A1305" t="s">
        <v>3234</v>
      </c>
      <c r="B1305" t="s">
        <v>4113</v>
      </c>
      <c r="C1305" t="s">
        <v>798</v>
      </c>
      <c r="D1305" t="s">
        <v>799</v>
      </c>
      <c r="E1305" t="s">
        <v>800</v>
      </c>
      <c r="F1305" t="s">
        <v>4114</v>
      </c>
      <c r="G1305" s="2" t="str">
        <f>HYPERLINK("https://probpalata.gov.ru/files/ЮЛ780300308200582.jpeg","Скачать индивидуальный QR-код магазина")</f>
        <v>Скачать индивидуальный QR-код магазина</v>
      </c>
    </row>
    <row r="1306" spans="1:7" x14ac:dyDescent="0.25">
      <c r="A1306" t="s">
        <v>3234</v>
      </c>
      <c r="B1306" t="s">
        <v>4115</v>
      </c>
      <c r="C1306" t="s">
        <v>798</v>
      </c>
      <c r="D1306" t="s">
        <v>799</v>
      </c>
      <c r="E1306" t="s">
        <v>800</v>
      </c>
      <c r="F1306" t="s">
        <v>4116</v>
      </c>
      <c r="G1306" s="2" t="str">
        <f>HYPERLINK("https://probpalata.gov.ru/files/ЮЛ780300308200645.jpeg","Скачать индивидуальный QR-код магазина")</f>
        <v>Скачать индивидуальный QR-код магазина</v>
      </c>
    </row>
    <row r="1307" spans="1:7" x14ac:dyDescent="0.25">
      <c r="A1307" t="s">
        <v>3234</v>
      </c>
      <c r="B1307" t="s">
        <v>3707</v>
      </c>
      <c r="C1307" t="s">
        <v>798</v>
      </c>
      <c r="D1307" t="s">
        <v>799</v>
      </c>
      <c r="E1307" t="s">
        <v>800</v>
      </c>
      <c r="F1307" t="s">
        <v>4117</v>
      </c>
      <c r="G1307" s="2" t="str">
        <f>HYPERLINK("https://probpalata.gov.ru/files/ЮЛ780300308200743.jpeg","Скачать индивидуальный QR-код магазина")</f>
        <v>Скачать индивидуальный QR-код магазина</v>
      </c>
    </row>
    <row r="1308" spans="1:7" x14ac:dyDescent="0.25">
      <c r="A1308" t="s">
        <v>3234</v>
      </c>
      <c r="B1308" t="s">
        <v>4118</v>
      </c>
      <c r="C1308" t="s">
        <v>798</v>
      </c>
      <c r="D1308" t="s">
        <v>799</v>
      </c>
      <c r="E1308" t="s">
        <v>800</v>
      </c>
      <c r="F1308" t="s">
        <v>4119</v>
      </c>
      <c r="G1308" s="2" t="str">
        <f>HYPERLINK("https://probpalata.gov.ru/files/ЮЛ780300308200748.jpeg","Скачать индивидуальный QR-код магазина")</f>
        <v>Скачать индивидуальный QR-код магазина</v>
      </c>
    </row>
    <row r="1309" spans="1:7" x14ac:dyDescent="0.25">
      <c r="A1309" t="s">
        <v>3234</v>
      </c>
      <c r="B1309" t="s">
        <v>4120</v>
      </c>
      <c r="C1309" t="s">
        <v>798</v>
      </c>
      <c r="D1309" t="s">
        <v>799</v>
      </c>
      <c r="E1309" t="s">
        <v>800</v>
      </c>
      <c r="F1309" t="s">
        <v>4121</v>
      </c>
      <c r="G1309" s="2" t="str">
        <f>HYPERLINK("https://probpalata.gov.ru/files/ЮЛ780300308200854.jpeg","Скачать индивидуальный QR-код магазина")</f>
        <v>Скачать индивидуальный QR-код магазина</v>
      </c>
    </row>
    <row r="1310" spans="1:7" x14ac:dyDescent="0.25">
      <c r="A1310" t="s">
        <v>3234</v>
      </c>
      <c r="B1310" t="s">
        <v>4122</v>
      </c>
      <c r="C1310" t="s">
        <v>798</v>
      </c>
      <c r="D1310" t="s">
        <v>799</v>
      </c>
      <c r="E1310" t="s">
        <v>800</v>
      </c>
      <c r="F1310" t="s">
        <v>4123</v>
      </c>
      <c r="G1310" s="2" t="str">
        <f>HYPERLINK("https://probpalata.gov.ru/files/ЮЛ780300308200864.jpeg","Скачать индивидуальный QR-код магазина")</f>
        <v>Скачать индивидуальный QR-код магазина</v>
      </c>
    </row>
    <row r="1311" spans="1:7" x14ac:dyDescent="0.25">
      <c r="A1311" t="s">
        <v>3234</v>
      </c>
      <c r="B1311" t="s">
        <v>4124</v>
      </c>
      <c r="C1311" t="s">
        <v>798</v>
      </c>
      <c r="D1311" t="s">
        <v>799</v>
      </c>
      <c r="E1311" t="s">
        <v>800</v>
      </c>
      <c r="F1311" t="s">
        <v>4125</v>
      </c>
      <c r="G1311" s="2" t="str">
        <f>HYPERLINK("https://probpalata.gov.ru/files/ЮЛ780300308200991.jpeg","Скачать индивидуальный QR-код магазина")</f>
        <v>Скачать индивидуальный QR-код магазина</v>
      </c>
    </row>
    <row r="1312" spans="1:7" x14ac:dyDescent="0.25">
      <c r="A1312" t="s">
        <v>3234</v>
      </c>
      <c r="B1312" t="s">
        <v>4126</v>
      </c>
      <c r="C1312" t="s">
        <v>798</v>
      </c>
      <c r="D1312" t="s">
        <v>799</v>
      </c>
      <c r="E1312" t="s">
        <v>800</v>
      </c>
      <c r="F1312" t="s">
        <v>4127</v>
      </c>
      <c r="G1312" s="2" t="str">
        <f>HYPERLINK("https://probpalata.gov.ru/files/ЮЛ780300308201001.jpeg","Скачать индивидуальный QR-код магазина")</f>
        <v>Скачать индивидуальный QR-код магазина</v>
      </c>
    </row>
    <row r="1313" spans="1:7" x14ac:dyDescent="0.25">
      <c r="A1313" t="s">
        <v>3234</v>
      </c>
      <c r="B1313" t="s">
        <v>4128</v>
      </c>
      <c r="C1313" t="s">
        <v>798</v>
      </c>
      <c r="D1313" t="s">
        <v>799</v>
      </c>
      <c r="E1313" t="s">
        <v>800</v>
      </c>
      <c r="F1313" t="s">
        <v>4129</v>
      </c>
      <c r="G1313" s="2" t="str">
        <f>HYPERLINK("https://probpalata.gov.ru/files/ЮЛ780300308201052.jpeg","Скачать индивидуальный QR-код магазина")</f>
        <v>Скачать индивидуальный QR-код магазина</v>
      </c>
    </row>
    <row r="1314" spans="1:7" x14ac:dyDescent="0.25">
      <c r="A1314" t="s">
        <v>3234</v>
      </c>
      <c r="B1314" t="s">
        <v>4130</v>
      </c>
      <c r="C1314" t="s">
        <v>798</v>
      </c>
      <c r="D1314" t="s">
        <v>799</v>
      </c>
      <c r="E1314" t="s">
        <v>800</v>
      </c>
      <c r="F1314" t="s">
        <v>4131</v>
      </c>
      <c r="G1314" s="2" t="str">
        <f>HYPERLINK("https://probpalata.gov.ru/files/ЮЛ780300308201091.jpeg","Скачать индивидуальный QR-код магазина")</f>
        <v>Скачать индивидуальный QR-код магазина</v>
      </c>
    </row>
    <row r="1315" spans="1:7" x14ac:dyDescent="0.25">
      <c r="A1315" t="s">
        <v>3234</v>
      </c>
      <c r="B1315" t="s">
        <v>4132</v>
      </c>
      <c r="C1315" t="s">
        <v>798</v>
      </c>
      <c r="D1315" t="s">
        <v>799</v>
      </c>
      <c r="E1315" t="s">
        <v>800</v>
      </c>
      <c r="F1315" t="s">
        <v>4133</v>
      </c>
      <c r="G1315" s="2" t="str">
        <f>HYPERLINK("https://probpalata.gov.ru/files/ЮЛ780300308201132.jpeg","Скачать индивидуальный QR-код магазина")</f>
        <v>Скачать индивидуальный QR-код магазина</v>
      </c>
    </row>
    <row r="1316" spans="1:7" x14ac:dyDescent="0.25">
      <c r="A1316" t="s">
        <v>3234</v>
      </c>
      <c r="B1316" t="s">
        <v>4134</v>
      </c>
      <c r="C1316" t="s">
        <v>798</v>
      </c>
      <c r="D1316" t="s">
        <v>799</v>
      </c>
      <c r="E1316" t="s">
        <v>800</v>
      </c>
      <c r="F1316" t="s">
        <v>4135</v>
      </c>
      <c r="G1316" s="2" t="str">
        <f>HYPERLINK("https://probpalata.gov.ru/files/ЮЛ780300308201159.jpeg","Скачать индивидуальный QR-код магазина")</f>
        <v>Скачать индивидуальный QR-код магазина</v>
      </c>
    </row>
    <row r="1317" spans="1:7" x14ac:dyDescent="0.25">
      <c r="A1317" t="s">
        <v>3234</v>
      </c>
      <c r="B1317" t="s">
        <v>3813</v>
      </c>
      <c r="C1317" t="s">
        <v>798</v>
      </c>
      <c r="D1317" t="s">
        <v>799</v>
      </c>
      <c r="E1317" t="s">
        <v>800</v>
      </c>
      <c r="F1317" t="s">
        <v>4136</v>
      </c>
      <c r="G1317" s="2" t="str">
        <f>HYPERLINK("https://probpalata.gov.ru/files/ЮЛ780300308201198.jpeg","Скачать индивидуальный QR-код магазина")</f>
        <v>Скачать индивидуальный QR-код магазина</v>
      </c>
    </row>
    <row r="1318" spans="1:7" x14ac:dyDescent="0.25">
      <c r="A1318" t="s">
        <v>3234</v>
      </c>
      <c r="B1318" t="s">
        <v>4137</v>
      </c>
      <c r="C1318" t="s">
        <v>798</v>
      </c>
      <c r="D1318" t="s">
        <v>799</v>
      </c>
      <c r="E1318" t="s">
        <v>800</v>
      </c>
      <c r="F1318" t="s">
        <v>4138</v>
      </c>
      <c r="G1318" s="2" t="str">
        <f>HYPERLINK("https://probpalata.gov.ru/files/ЮЛ780300308201204.jpeg","Скачать индивидуальный QR-код магазина")</f>
        <v>Скачать индивидуальный QR-код магазина</v>
      </c>
    </row>
    <row r="1319" spans="1:7" x14ac:dyDescent="0.25">
      <c r="A1319" t="s">
        <v>3234</v>
      </c>
      <c r="B1319" t="s">
        <v>4090</v>
      </c>
      <c r="C1319" t="s">
        <v>823</v>
      </c>
      <c r="D1319" t="s">
        <v>824</v>
      </c>
      <c r="E1319" t="s">
        <v>825</v>
      </c>
      <c r="F1319" t="s">
        <v>4139</v>
      </c>
      <c r="G1319" s="2" t="str">
        <f>HYPERLINK("https://probpalata.gov.ru/files/ЮЛ780300363500080.jpeg","Скачать индивидуальный QR-код магазина")</f>
        <v>Скачать индивидуальный QR-код магазина</v>
      </c>
    </row>
    <row r="1320" spans="1:7" x14ac:dyDescent="0.25">
      <c r="A1320" t="s">
        <v>3234</v>
      </c>
      <c r="B1320" t="s">
        <v>4092</v>
      </c>
      <c r="C1320" t="s">
        <v>823</v>
      </c>
      <c r="D1320" t="s">
        <v>824</v>
      </c>
      <c r="E1320" t="s">
        <v>825</v>
      </c>
      <c r="F1320" t="s">
        <v>4140</v>
      </c>
      <c r="G1320" s="2" t="str">
        <f>HYPERLINK("https://probpalata.gov.ru/files/ЮЛ780300363500081.jpeg","Скачать индивидуальный QR-код магазина")</f>
        <v>Скачать индивидуальный QR-код магазина</v>
      </c>
    </row>
    <row r="1321" spans="1:7" x14ac:dyDescent="0.25">
      <c r="A1321" t="s">
        <v>3234</v>
      </c>
      <c r="B1321" t="s">
        <v>4141</v>
      </c>
      <c r="C1321" t="s">
        <v>1490</v>
      </c>
      <c r="D1321" t="s">
        <v>1491</v>
      </c>
      <c r="E1321" t="s">
        <v>1492</v>
      </c>
      <c r="F1321" t="s">
        <v>4142</v>
      </c>
      <c r="G1321" s="2" t="str">
        <f>HYPERLINK("https://probpalata.gov.ru/files/ЮЛ780301261200023.jpeg","Скачать индивидуальный QR-код магазина")</f>
        <v>Скачать индивидуальный QR-код магазина</v>
      </c>
    </row>
    <row r="1322" spans="1:7" x14ac:dyDescent="0.25">
      <c r="A1322" t="s">
        <v>3234</v>
      </c>
      <c r="B1322" t="s">
        <v>4143</v>
      </c>
      <c r="C1322" t="s">
        <v>1490</v>
      </c>
      <c r="D1322" t="s">
        <v>1491</v>
      </c>
      <c r="E1322" t="s">
        <v>1492</v>
      </c>
      <c r="F1322" t="s">
        <v>4144</v>
      </c>
      <c r="G1322" s="2" t="str">
        <f>HYPERLINK("https://probpalata.gov.ru/files/ЮЛ780301261200039.jpeg","Скачать индивидуальный QR-код магазина")</f>
        <v>Скачать индивидуальный QR-код магазина</v>
      </c>
    </row>
    <row r="1323" spans="1:7" x14ac:dyDescent="0.25">
      <c r="A1323" t="s">
        <v>3234</v>
      </c>
      <c r="B1323" t="s">
        <v>4145</v>
      </c>
      <c r="C1323" t="s">
        <v>1490</v>
      </c>
      <c r="D1323" t="s">
        <v>1491</v>
      </c>
      <c r="E1323" t="s">
        <v>1492</v>
      </c>
      <c r="F1323" t="s">
        <v>4146</v>
      </c>
      <c r="G1323" s="2" t="str">
        <f>HYPERLINK("https://probpalata.gov.ru/files/ЮЛ780301261200041.jpeg","Скачать индивидуальный QR-код магазина")</f>
        <v>Скачать индивидуальный QR-код магазина</v>
      </c>
    </row>
    <row r="1324" spans="1:7" x14ac:dyDescent="0.25">
      <c r="A1324" t="s">
        <v>3234</v>
      </c>
      <c r="B1324" t="s">
        <v>4147</v>
      </c>
      <c r="C1324" t="s">
        <v>1501</v>
      </c>
      <c r="D1324" t="s">
        <v>1502</v>
      </c>
      <c r="E1324" t="s">
        <v>1503</v>
      </c>
      <c r="F1324" t="s">
        <v>4148</v>
      </c>
      <c r="G1324" s="2" t="str">
        <f>HYPERLINK("https://probpalata.gov.ru/files/ЮЛ770100439200018.jpeg","Скачать индивидуальный QR-код магазина")</f>
        <v>Скачать индивидуальный QR-код магазина</v>
      </c>
    </row>
    <row r="1325" spans="1:7" x14ac:dyDescent="0.25">
      <c r="A1325" t="s">
        <v>3234</v>
      </c>
      <c r="B1325" t="s">
        <v>4149</v>
      </c>
      <c r="C1325" t="s">
        <v>1501</v>
      </c>
      <c r="D1325" t="s">
        <v>1502</v>
      </c>
      <c r="E1325" t="s">
        <v>1503</v>
      </c>
      <c r="F1325" t="s">
        <v>4150</v>
      </c>
      <c r="G1325" s="2" t="str">
        <f>HYPERLINK("https://probpalata.gov.ru/files/ЮЛ770100439200019.jpeg","Скачать индивидуальный QR-код магазина")</f>
        <v>Скачать индивидуальный QR-код магазина</v>
      </c>
    </row>
    <row r="1326" spans="1:7" x14ac:dyDescent="0.25">
      <c r="A1326" t="s">
        <v>3234</v>
      </c>
      <c r="B1326" t="s">
        <v>4151</v>
      </c>
      <c r="C1326" t="s">
        <v>1501</v>
      </c>
      <c r="D1326" t="s">
        <v>1502</v>
      </c>
      <c r="E1326" t="s">
        <v>1503</v>
      </c>
      <c r="F1326" t="s">
        <v>4152</v>
      </c>
      <c r="G1326" s="2" t="str">
        <f>HYPERLINK("https://probpalata.gov.ru/files/ЮЛ770100439200020.jpeg","Скачать индивидуальный QR-код магазина")</f>
        <v>Скачать индивидуальный QR-код магазина</v>
      </c>
    </row>
    <row r="1327" spans="1:7" x14ac:dyDescent="0.25">
      <c r="A1327" t="s">
        <v>3234</v>
      </c>
      <c r="B1327" t="s">
        <v>4153</v>
      </c>
      <c r="C1327" t="s">
        <v>1501</v>
      </c>
      <c r="D1327" t="s">
        <v>1502</v>
      </c>
      <c r="E1327" t="s">
        <v>1503</v>
      </c>
      <c r="F1327" t="s">
        <v>4154</v>
      </c>
      <c r="G1327" s="2" t="str">
        <f>HYPERLINK("https://probpalata.gov.ru/files/ЮЛ770100439200092.jpeg","Скачать индивидуальный QR-код магазина")</f>
        <v>Скачать индивидуальный QR-код магазина</v>
      </c>
    </row>
    <row r="1328" spans="1:7" x14ac:dyDescent="0.25">
      <c r="A1328" t="s">
        <v>3234</v>
      </c>
      <c r="B1328" t="s">
        <v>4155</v>
      </c>
      <c r="C1328" t="s">
        <v>1501</v>
      </c>
      <c r="D1328" t="s">
        <v>1502</v>
      </c>
      <c r="E1328" t="s">
        <v>1503</v>
      </c>
      <c r="F1328" t="s">
        <v>4156</v>
      </c>
      <c r="G1328" s="2" t="str">
        <f>HYPERLINK("https://probpalata.gov.ru/files/ЮЛ770100439200094.jpeg","Скачать индивидуальный QR-код магазина")</f>
        <v>Скачать индивидуальный QR-код магазина</v>
      </c>
    </row>
    <row r="1329" spans="1:7" x14ac:dyDescent="0.25">
      <c r="A1329" t="s">
        <v>3234</v>
      </c>
      <c r="B1329" t="s">
        <v>4157</v>
      </c>
      <c r="C1329" t="s">
        <v>4158</v>
      </c>
      <c r="D1329" t="s">
        <v>4159</v>
      </c>
      <c r="E1329" t="s">
        <v>4160</v>
      </c>
      <c r="F1329" t="s">
        <v>4161</v>
      </c>
      <c r="G1329" s="2" t="str">
        <f>HYPERLINK("https://probpalata.gov.ru/files/ЮЛ770100418900001.jpeg","Скачать индивидуальный QR-код магазина")</f>
        <v>Скачать индивидуальный QR-код магазина</v>
      </c>
    </row>
    <row r="1330" spans="1:7" x14ac:dyDescent="0.25">
      <c r="A1330" t="s">
        <v>3234</v>
      </c>
      <c r="B1330" t="s">
        <v>3801</v>
      </c>
      <c r="C1330" t="s">
        <v>4158</v>
      </c>
      <c r="D1330" t="s">
        <v>4159</v>
      </c>
      <c r="E1330" t="s">
        <v>4160</v>
      </c>
      <c r="F1330" t="s">
        <v>4162</v>
      </c>
      <c r="G1330" s="2" t="str">
        <f>HYPERLINK("https://probpalata.gov.ru/files/ЮЛ770100418900002.jpeg","Скачать индивидуальный QR-код магазина")</f>
        <v>Скачать индивидуальный QR-код магазина</v>
      </c>
    </row>
    <row r="1331" spans="1:7" x14ac:dyDescent="0.25">
      <c r="A1331" t="s">
        <v>3234</v>
      </c>
      <c r="B1331" t="s">
        <v>4163</v>
      </c>
      <c r="C1331" t="s">
        <v>4158</v>
      </c>
      <c r="D1331" t="s">
        <v>4159</v>
      </c>
      <c r="E1331" t="s">
        <v>4160</v>
      </c>
      <c r="F1331" t="s">
        <v>4164</v>
      </c>
      <c r="G1331" s="2" t="str">
        <f>HYPERLINK("https://probpalata.gov.ru/files/ЮЛ770100418900004.jpeg","Скачать индивидуальный QR-код магазина")</f>
        <v>Скачать индивидуальный QR-код магазина</v>
      </c>
    </row>
    <row r="1332" spans="1:7" x14ac:dyDescent="0.25">
      <c r="A1332" t="s">
        <v>3234</v>
      </c>
      <c r="B1332" t="s">
        <v>4037</v>
      </c>
      <c r="C1332" t="s">
        <v>4158</v>
      </c>
      <c r="D1332" t="s">
        <v>4159</v>
      </c>
      <c r="E1332" t="s">
        <v>4160</v>
      </c>
      <c r="F1332" t="s">
        <v>4165</v>
      </c>
      <c r="G1332" s="2" t="str">
        <f>HYPERLINK("https://probpalata.gov.ru/files/ЮЛ770100418900005.jpeg","Скачать индивидуальный QR-код магазина")</f>
        <v>Скачать индивидуальный QR-код магазина</v>
      </c>
    </row>
    <row r="1333" spans="1:7" x14ac:dyDescent="0.25">
      <c r="A1333" t="s">
        <v>3234</v>
      </c>
      <c r="B1333" t="s">
        <v>3733</v>
      </c>
      <c r="C1333" t="s">
        <v>4158</v>
      </c>
      <c r="D1333" t="s">
        <v>4159</v>
      </c>
      <c r="E1333" t="s">
        <v>4160</v>
      </c>
      <c r="F1333" t="s">
        <v>4166</v>
      </c>
      <c r="G1333" s="2" t="str">
        <f>HYPERLINK("https://probpalata.gov.ru/files/ЮЛ770100418900006.jpeg","Скачать индивидуальный QR-код магазина")</f>
        <v>Скачать индивидуальный QR-код магазина</v>
      </c>
    </row>
    <row r="1334" spans="1:7" x14ac:dyDescent="0.25">
      <c r="A1334" t="s">
        <v>3234</v>
      </c>
      <c r="B1334" t="s">
        <v>3872</v>
      </c>
      <c r="C1334" t="s">
        <v>4158</v>
      </c>
      <c r="D1334" t="s">
        <v>4159</v>
      </c>
      <c r="E1334" t="s">
        <v>4160</v>
      </c>
      <c r="F1334" t="s">
        <v>4167</v>
      </c>
      <c r="G1334" s="2" t="str">
        <f>HYPERLINK("https://probpalata.gov.ru/files/ЮЛ770100418900007.jpeg","Скачать индивидуальный QR-код магазина")</f>
        <v>Скачать индивидуальный QR-код магазина</v>
      </c>
    </row>
    <row r="1335" spans="1:7" x14ac:dyDescent="0.25">
      <c r="A1335" t="s">
        <v>3234</v>
      </c>
      <c r="B1335" t="s">
        <v>4168</v>
      </c>
      <c r="C1335" t="s">
        <v>4158</v>
      </c>
      <c r="D1335" t="s">
        <v>4159</v>
      </c>
      <c r="E1335" t="s">
        <v>4160</v>
      </c>
      <c r="F1335" t="s">
        <v>4169</v>
      </c>
      <c r="G1335" s="2" t="str">
        <f>HYPERLINK("https://probpalata.gov.ru/files/ЮЛ770100418900008.jpeg","Скачать индивидуальный QR-код магазина")</f>
        <v>Скачать индивидуальный QR-код магазина</v>
      </c>
    </row>
    <row r="1336" spans="1:7" x14ac:dyDescent="0.25">
      <c r="A1336" t="s">
        <v>3234</v>
      </c>
      <c r="B1336" t="s">
        <v>4170</v>
      </c>
      <c r="C1336" t="s">
        <v>4158</v>
      </c>
      <c r="D1336" t="s">
        <v>4159</v>
      </c>
      <c r="E1336" t="s">
        <v>4160</v>
      </c>
      <c r="F1336" t="s">
        <v>4171</v>
      </c>
      <c r="G1336" s="2" t="str">
        <f>HYPERLINK("https://probpalata.gov.ru/files/ЮЛ770100418900009.jpeg","Скачать индивидуальный QR-код магазина")</f>
        <v>Скачать индивидуальный QR-код магазина</v>
      </c>
    </row>
    <row r="1337" spans="1:7" x14ac:dyDescent="0.25">
      <c r="A1337" t="s">
        <v>3234</v>
      </c>
      <c r="B1337" t="s">
        <v>4172</v>
      </c>
      <c r="C1337" t="s">
        <v>4158</v>
      </c>
      <c r="D1337" t="s">
        <v>4159</v>
      </c>
      <c r="E1337" t="s">
        <v>4160</v>
      </c>
      <c r="F1337" t="s">
        <v>4173</v>
      </c>
      <c r="G1337" s="2" t="str">
        <f>HYPERLINK("https://probpalata.gov.ru/files/ЮЛ770100418900010.jpeg","Скачать индивидуальный QR-код магазина")</f>
        <v>Скачать индивидуальный QR-код магазина</v>
      </c>
    </row>
    <row r="1338" spans="1:7" x14ac:dyDescent="0.25">
      <c r="A1338" t="s">
        <v>3234</v>
      </c>
      <c r="B1338" t="s">
        <v>4050</v>
      </c>
      <c r="C1338" t="s">
        <v>4158</v>
      </c>
      <c r="D1338" t="s">
        <v>4159</v>
      </c>
      <c r="E1338" t="s">
        <v>4160</v>
      </c>
      <c r="F1338" t="s">
        <v>4174</v>
      </c>
      <c r="G1338" s="2" t="str">
        <f>HYPERLINK("https://probpalata.gov.ru/files/ЮЛ770100418900011.jpeg","Скачать индивидуальный QR-код магазина")</f>
        <v>Скачать индивидуальный QR-код магазина</v>
      </c>
    </row>
    <row r="1339" spans="1:7" x14ac:dyDescent="0.25">
      <c r="A1339" t="s">
        <v>3234</v>
      </c>
      <c r="B1339" t="s">
        <v>3707</v>
      </c>
      <c r="C1339" t="s">
        <v>4158</v>
      </c>
      <c r="D1339" t="s">
        <v>4159</v>
      </c>
      <c r="E1339" t="s">
        <v>4160</v>
      </c>
      <c r="F1339" t="s">
        <v>4175</v>
      </c>
      <c r="G1339" s="2" t="str">
        <f>HYPERLINK("https://probpalata.gov.ru/files/ЮЛ770100418900013.jpeg","Скачать индивидуальный QR-код магазина")</f>
        <v>Скачать индивидуальный QR-код магазина</v>
      </c>
    </row>
    <row r="1340" spans="1:7" x14ac:dyDescent="0.25">
      <c r="A1340" t="s">
        <v>3234</v>
      </c>
      <c r="B1340" t="s">
        <v>4176</v>
      </c>
      <c r="C1340" t="s">
        <v>4158</v>
      </c>
      <c r="D1340" t="s">
        <v>4159</v>
      </c>
      <c r="E1340" t="s">
        <v>4160</v>
      </c>
      <c r="F1340" t="s">
        <v>4177</v>
      </c>
      <c r="G1340" s="2" t="str">
        <f>HYPERLINK("https://probpalata.gov.ru/files/ЮЛ770100418900014.jpeg","Скачать индивидуальный QR-код магазина")</f>
        <v>Скачать индивидуальный QR-код магазина</v>
      </c>
    </row>
    <row r="1341" spans="1:7" x14ac:dyDescent="0.25">
      <c r="A1341" t="s">
        <v>3234</v>
      </c>
      <c r="B1341" t="s">
        <v>4178</v>
      </c>
      <c r="C1341" t="s">
        <v>4158</v>
      </c>
      <c r="D1341" t="s">
        <v>4159</v>
      </c>
      <c r="E1341" t="s">
        <v>4160</v>
      </c>
      <c r="F1341" t="s">
        <v>4179</v>
      </c>
      <c r="G1341" s="2" t="str">
        <f>HYPERLINK("https://probpalata.gov.ru/files/ЮЛ770100418900015.jpeg","Скачать индивидуальный QR-код магазина")</f>
        <v>Скачать индивидуальный QR-код магазина</v>
      </c>
    </row>
    <row r="1342" spans="1:7" x14ac:dyDescent="0.25">
      <c r="A1342" t="s">
        <v>3234</v>
      </c>
      <c r="B1342" t="s">
        <v>4180</v>
      </c>
      <c r="C1342" t="s">
        <v>4158</v>
      </c>
      <c r="D1342" t="s">
        <v>4159</v>
      </c>
      <c r="E1342" t="s">
        <v>4160</v>
      </c>
      <c r="F1342" t="s">
        <v>4181</v>
      </c>
      <c r="G1342" s="2" t="str">
        <f>HYPERLINK("https://probpalata.gov.ru/files/ЮЛ770100418900016.jpeg","Скачать индивидуальный QR-код магазина")</f>
        <v>Скачать индивидуальный QR-код магазина</v>
      </c>
    </row>
    <row r="1343" spans="1:7" x14ac:dyDescent="0.25">
      <c r="A1343" t="s">
        <v>3234</v>
      </c>
      <c r="B1343" t="s">
        <v>4182</v>
      </c>
      <c r="C1343" t="s">
        <v>4158</v>
      </c>
      <c r="D1343" t="s">
        <v>4159</v>
      </c>
      <c r="E1343" t="s">
        <v>4160</v>
      </c>
      <c r="F1343" t="s">
        <v>4183</v>
      </c>
      <c r="G1343" s="2" t="str">
        <f>HYPERLINK("https://probpalata.gov.ru/files/ЮЛ770100418900017.jpeg","Скачать индивидуальный QR-код магазина")</f>
        <v>Скачать индивидуальный QR-код магазина</v>
      </c>
    </row>
    <row r="1344" spans="1:7" x14ac:dyDescent="0.25">
      <c r="A1344" t="s">
        <v>3234</v>
      </c>
      <c r="B1344" t="s">
        <v>4045</v>
      </c>
      <c r="C1344" t="s">
        <v>4158</v>
      </c>
      <c r="D1344" t="s">
        <v>4159</v>
      </c>
      <c r="E1344" t="s">
        <v>4160</v>
      </c>
      <c r="F1344" t="s">
        <v>4184</v>
      </c>
      <c r="G1344" s="2" t="str">
        <f>HYPERLINK("https://probpalata.gov.ru/files/ЮЛ770100418900018.jpeg","Скачать индивидуальный QR-код магазина")</f>
        <v>Скачать индивидуальный QR-код магазина</v>
      </c>
    </row>
    <row r="1345" spans="1:7" x14ac:dyDescent="0.25">
      <c r="A1345" t="s">
        <v>3234</v>
      </c>
      <c r="B1345" t="s">
        <v>4185</v>
      </c>
      <c r="C1345" t="s">
        <v>4158</v>
      </c>
      <c r="D1345" t="s">
        <v>4159</v>
      </c>
      <c r="E1345" t="s">
        <v>4160</v>
      </c>
      <c r="F1345" t="s">
        <v>4186</v>
      </c>
      <c r="G1345" s="2" t="str">
        <f>HYPERLINK("https://probpalata.gov.ru/files/ЮЛ770100418900021.jpeg","Скачать индивидуальный QR-код магазина")</f>
        <v>Скачать индивидуальный QR-код магазина</v>
      </c>
    </row>
    <row r="1346" spans="1:7" x14ac:dyDescent="0.25">
      <c r="A1346" t="s">
        <v>3234</v>
      </c>
      <c r="B1346" t="s">
        <v>3858</v>
      </c>
      <c r="C1346" t="s">
        <v>4158</v>
      </c>
      <c r="D1346" t="s">
        <v>4159</v>
      </c>
      <c r="E1346" t="s">
        <v>4160</v>
      </c>
      <c r="F1346" t="s">
        <v>4187</v>
      </c>
      <c r="G1346" s="2" t="str">
        <f>HYPERLINK("https://probpalata.gov.ru/files/ЮЛ770100418900022.jpeg","Скачать индивидуальный QR-код магазина")</f>
        <v>Скачать индивидуальный QR-код магазина</v>
      </c>
    </row>
    <row r="1347" spans="1:7" x14ac:dyDescent="0.25">
      <c r="A1347" t="s">
        <v>3234</v>
      </c>
      <c r="B1347" t="s">
        <v>3401</v>
      </c>
      <c r="C1347" t="s">
        <v>4158</v>
      </c>
      <c r="D1347" t="s">
        <v>4159</v>
      </c>
      <c r="E1347" t="s">
        <v>4160</v>
      </c>
      <c r="F1347" t="s">
        <v>4188</v>
      </c>
      <c r="G1347" s="2" t="str">
        <f>HYPERLINK("https://probpalata.gov.ru/files/ЮЛ770100418900023.jpeg","Скачать индивидуальный QR-код магазина")</f>
        <v>Скачать индивидуальный QR-код магазина</v>
      </c>
    </row>
    <row r="1348" spans="1:7" x14ac:dyDescent="0.25">
      <c r="A1348" t="s">
        <v>3234</v>
      </c>
      <c r="B1348" t="s">
        <v>4189</v>
      </c>
      <c r="C1348" t="s">
        <v>4158</v>
      </c>
      <c r="D1348" t="s">
        <v>4159</v>
      </c>
      <c r="E1348" t="s">
        <v>4160</v>
      </c>
      <c r="F1348" t="s">
        <v>4190</v>
      </c>
      <c r="G1348" s="2" t="str">
        <f>HYPERLINK("https://probpalata.gov.ru/files/ЮЛ770100418900024.jpeg","Скачать индивидуальный QR-код магазина")</f>
        <v>Скачать индивидуальный QR-код магазина</v>
      </c>
    </row>
    <row r="1349" spans="1:7" x14ac:dyDescent="0.25">
      <c r="A1349" t="s">
        <v>3234</v>
      </c>
      <c r="B1349" t="s">
        <v>3863</v>
      </c>
      <c r="C1349" t="s">
        <v>4158</v>
      </c>
      <c r="D1349" t="s">
        <v>4159</v>
      </c>
      <c r="E1349" t="s">
        <v>4160</v>
      </c>
      <c r="F1349" t="s">
        <v>4191</v>
      </c>
      <c r="G1349" s="2" t="str">
        <f>HYPERLINK("https://probpalata.gov.ru/files/ЮЛ770100418900026.jpeg","Скачать индивидуальный QR-код магазина")</f>
        <v>Скачать индивидуальный QR-код магазина</v>
      </c>
    </row>
    <row r="1350" spans="1:7" x14ac:dyDescent="0.25">
      <c r="A1350" t="s">
        <v>3234</v>
      </c>
      <c r="B1350" t="s">
        <v>4192</v>
      </c>
      <c r="C1350" t="s">
        <v>4158</v>
      </c>
      <c r="D1350" t="s">
        <v>4159</v>
      </c>
      <c r="E1350" t="s">
        <v>4160</v>
      </c>
      <c r="F1350" t="s">
        <v>4193</v>
      </c>
      <c r="G1350" s="2" t="str">
        <f>HYPERLINK("https://probpalata.gov.ru/files/ЮЛ770100418900027.jpeg","Скачать индивидуальный QR-код магазина")</f>
        <v>Скачать индивидуальный QR-код магазина</v>
      </c>
    </row>
    <row r="1351" spans="1:7" x14ac:dyDescent="0.25">
      <c r="A1351" t="s">
        <v>3234</v>
      </c>
      <c r="B1351" t="s">
        <v>4194</v>
      </c>
      <c r="C1351" t="s">
        <v>4158</v>
      </c>
      <c r="D1351" t="s">
        <v>4159</v>
      </c>
      <c r="E1351" t="s">
        <v>4160</v>
      </c>
      <c r="F1351" t="s">
        <v>4195</v>
      </c>
      <c r="G1351" s="2" t="str">
        <f>HYPERLINK("https://probpalata.gov.ru/files/ЮЛ770100418900028.jpeg","Скачать индивидуальный QR-код магазина")</f>
        <v>Скачать индивидуальный QR-код магазина</v>
      </c>
    </row>
    <row r="1352" spans="1:7" x14ac:dyDescent="0.25">
      <c r="A1352" t="s">
        <v>3234</v>
      </c>
      <c r="B1352" t="s">
        <v>3944</v>
      </c>
      <c r="C1352" t="s">
        <v>4158</v>
      </c>
      <c r="D1352" t="s">
        <v>4159</v>
      </c>
      <c r="E1352" t="s">
        <v>4160</v>
      </c>
      <c r="F1352" t="s">
        <v>4196</v>
      </c>
      <c r="G1352" s="2" t="str">
        <f>HYPERLINK("https://probpalata.gov.ru/files/ЮЛ770100418900029.jpeg","Скачать индивидуальный QR-код магазина")</f>
        <v>Скачать индивидуальный QR-код магазина</v>
      </c>
    </row>
    <row r="1353" spans="1:7" x14ac:dyDescent="0.25">
      <c r="A1353" t="s">
        <v>3234</v>
      </c>
      <c r="B1353" t="s">
        <v>4197</v>
      </c>
      <c r="C1353" t="s">
        <v>4158</v>
      </c>
      <c r="D1353" t="s">
        <v>4159</v>
      </c>
      <c r="E1353" t="s">
        <v>4160</v>
      </c>
      <c r="F1353" t="s">
        <v>4198</v>
      </c>
      <c r="G1353" s="2" t="str">
        <f>HYPERLINK("https://probpalata.gov.ru/files/ЮЛ770100418900030.jpeg","Скачать индивидуальный QR-код магазина")</f>
        <v>Скачать индивидуальный QR-код магазина</v>
      </c>
    </row>
    <row r="1354" spans="1:7" x14ac:dyDescent="0.25">
      <c r="A1354" t="s">
        <v>3234</v>
      </c>
      <c r="B1354" t="s">
        <v>3813</v>
      </c>
      <c r="C1354" t="s">
        <v>4158</v>
      </c>
      <c r="D1354" t="s">
        <v>4159</v>
      </c>
      <c r="E1354" t="s">
        <v>4160</v>
      </c>
      <c r="F1354" t="s">
        <v>4199</v>
      </c>
      <c r="G1354" s="2" t="str">
        <f>HYPERLINK("https://probpalata.gov.ru/files/ЮЛ770100418900031.jpeg","Скачать индивидуальный QR-код магазина")</f>
        <v>Скачать индивидуальный QR-код магазина</v>
      </c>
    </row>
    <row r="1355" spans="1:7" x14ac:dyDescent="0.25">
      <c r="A1355" t="s">
        <v>3234</v>
      </c>
      <c r="B1355" t="s">
        <v>4200</v>
      </c>
      <c r="C1355" t="s">
        <v>4158</v>
      </c>
      <c r="D1355" t="s">
        <v>4159</v>
      </c>
      <c r="E1355" t="s">
        <v>4160</v>
      </c>
      <c r="F1355" t="s">
        <v>4201</v>
      </c>
      <c r="G1355" s="2" t="str">
        <f>HYPERLINK("https://probpalata.gov.ru/files/ЮЛ770100418900032.jpeg","Скачать индивидуальный QR-код магазина")</f>
        <v>Скачать индивидуальный QR-код магазина</v>
      </c>
    </row>
    <row r="1356" spans="1:7" x14ac:dyDescent="0.25">
      <c r="A1356" t="s">
        <v>3234</v>
      </c>
      <c r="B1356" t="s">
        <v>4202</v>
      </c>
      <c r="C1356" t="s">
        <v>4158</v>
      </c>
      <c r="D1356" t="s">
        <v>4159</v>
      </c>
      <c r="E1356" t="s">
        <v>4160</v>
      </c>
      <c r="F1356" t="s">
        <v>4203</v>
      </c>
      <c r="G1356" s="2" t="str">
        <f>HYPERLINK("https://probpalata.gov.ru/files/ЮЛ770100418900034.jpeg","Скачать индивидуальный QR-код магазина")</f>
        <v>Скачать индивидуальный QR-код магазина</v>
      </c>
    </row>
    <row r="1357" spans="1:7" x14ac:dyDescent="0.25">
      <c r="A1357" t="s">
        <v>3234</v>
      </c>
      <c r="B1357" t="s">
        <v>4204</v>
      </c>
      <c r="C1357" t="s">
        <v>4158</v>
      </c>
      <c r="D1357" t="s">
        <v>4159</v>
      </c>
      <c r="E1357" t="s">
        <v>4160</v>
      </c>
      <c r="F1357" t="s">
        <v>4205</v>
      </c>
      <c r="G1357" s="2" t="str">
        <f>HYPERLINK("https://probpalata.gov.ru/files/ЮЛ770100418900035.jpeg","Скачать индивидуальный QR-код магазина")</f>
        <v>Скачать индивидуальный QR-код магазина</v>
      </c>
    </row>
    <row r="1358" spans="1:7" x14ac:dyDescent="0.25">
      <c r="A1358" t="s">
        <v>3234</v>
      </c>
      <c r="B1358" t="s">
        <v>4206</v>
      </c>
      <c r="C1358" t="s">
        <v>4158</v>
      </c>
      <c r="D1358" t="s">
        <v>4159</v>
      </c>
      <c r="E1358" t="s">
        <v>4160</v>
      </c>
      <c r="F1358" t="s">
        <v>4207</v>
      </c>
      <c r="G1358" s="2" t="str">
        <f>HYPERLINK("https://probpalata.gov.ru/files/ЮЛ770100418900036.jpeg","Скачать индивидуальный QR-код магазина")</f>
        <v>Скачать индивидуальный QR-код магазина</v>
      </c>
    </row>
    <row r="1359" spans="1:7" x14ac:dyDescent="0.25">
      <c r="A1359" t="s">
        <v>3234</v>
      </c>
      <c r="B1359" t="s">
        <v>3586</v>
      </c>
      <c r="C1359" t="s">
        <v>4158</v>
      </c>
      <c r="D1359" t="s">
        <v>4159</v>
      </c>
      <c r="E1359" t="s">
        <v>4160</v>
      </c>
      <c r="F1359" t="s">
        <v>4208</v>
      </c>
      <c r="G1359" s="2" t="str">
        <f>HYPERLINK("https://probpalata.gov.ru/files/ЮЛ770100418900038.jpeg","Скачать индивидуальный QR-код магазина")</f>
        <v>Скачать индивидуальный QR-код магазина</v>
      </c>
    </row>
    <row r="1360" spans="1:7" x14ac:dyDescent="0.25">
      <c r="A1360" t="s">
        <v>3234</v>
      </c>
      <c r="B1360" t="s">
        <v>4209</v>
      </c>
      <c r="C1360" t="s">
        <v>4158</v>
      </c>
      <c r="D1360" t="s">
        <v>4159</v>
      </c>
      <c r="E1360" t="s">
        <v>4160</v>
      </c>
      <c r="F1360" t="s">
        <v>4210</v>
      </c>
      <c r="G1360" s="2" t="str">
        <f>HYPERLINK("https://probpalata.gov.ru/files/ЮЛ770100418900039.jpeg","Скачать индивидуальный QR-код магазина")</f>
        <v>Скачать индивидуальный QR-код магазина</v>
      </c>
    </row>
    <row r="1361" spans="1:7" x14ac:dyDescent="0.25">
      <c r="A1361" t="s">
        <v>3234</v>
      </c>
      <c r="B1361" t="s">
        <v>4211</v>
      </c>
      <c r="C1361" t="s">
        <v>4158</v>
      </c>
      <c r="D1361" t="s">
        <v>4159</v>
      </c>
      <c r="E1361" t="s">
        <v>4160</v>
      </c>
      <c r="F1361" t="s">
        <v>4212</v>
      </c>
      <c r="G1361" s="2" t="str">
        <f>HYPERLINK("https://probpalata.gov.ru/files/ЮЛ770100418900040.jpeg","Скачать индивидуальный QR-код магазина")</f>
        <v>Скачать индивидуальный QR-код магазина</v>
      </c>
    </row>
    <row r="1362" spans="1:7" x14ac:dyDescent="0.25">
      <c r="A1362" t="s">
        <v>3234</v>
      </c>
      <c r="B1362" t="s">
        <v>4213</v>
      </c>
      <c r="C1362" t="s">
        <v>4158</v>
      </c>
      <c r="D1362" t="s">
        <v>4159</v>
      </c>
      <c r="E1362" t="s">
        <v>4160</v>
      </c>
      <c r="F1362" t="s">
        <v>4214</v>
      </c>
      <c r="G1362" s="2" t="str">
        <f>HYPERLINK("https://probpalata.gov.ru/files/ЮЛ770100418900042.jpeg","Скачать индивидуальный QR-код магазина")</f>
        <v>Скачать индивидуальный QR-код магазина</v>
      </c>
    </row>
    <row r="1363" spans="1:7" x14ac:dyDescent="0.25">
      <c r="A1363" t="s">
        <v>3234</v>
      </c>
      <c r="B1363" t="s">
        <v>4215</v>
      </c>
      <c r="C1363" t="s">
        <v>4158</v>
      </c>
      <c r="D1363" t="s">
        <v>4159</v>
      </c>
      <c r="E1363" t="s">
        <v>4160</v>
      </c>
      <c r="F1363" t="s">
        <v>4216</v>
      </c>
      <c r="G1363" s="2" t="str">
        <f>HYPERLINK("https://probpalata.gov.ru/files/ЮЛ770100418900051.jpeg","Скачать индивидуальный QR-код магазина")</f>
        <v>Скачать индивидуальный QR-код магазина</v>
      </c>
    </row>
    <row r="1364" spans="1:7" x14ac:dyDescent="0.25">
      <c r="A1364" t="s">
        <v>3234</v>
      </c>
      <c r="B1364" t="s">
        <v>4217</v>
      </c>
      <c r="C1364" t="s">
        <v>4158</v>
      </c>
      <c r="D1364" t="s">
        <v>4159</v>
      </c>
      <c r="E1364" t="s">
        <v>4160</v>
      </c>
      <c r="F1364" t="s">
        <v>4218</v>
      </c>
      <c r="G1364" s="2" t="str">
        <f>HYPERLINK("https://probpalata.gov.ru/files/ЮЛ770100418900063.jpeg","Скачать индивидуальный QR-код магазина")</f>
        <v>Скачать индивидуальный QR-код магазина</v>
      </c>
    </row>
    <row r="1365" spans="1:7" x14ac:dyDescent="0.25">
      <c r="A1365" t="s">
        <v>3234</v>
      </c>
      <c r="B1365" t="s">
        <v>4219</v>
      </c>
      <c r="C1365" t="s">
        <v>4158</v>
      </c>
      <c r="D1365" t="s">
        <v>4159</v>
      </c>
      <c r="E1365" t="s">
        <v>4160</v>
      </c>
      <c r="F1365" t="s">
        <v>4220</v>
      </c>
      <c r="G1365" s="2" t="str">
        <f>HYPERLINK("https://probpalata.gov.ru/files/ЮЛ770100418900065.jpeg","Скачать индивидуальный QR-код магазина")</f>
        <v>Скачать индивидуальный QR-код магазина</v>
      </c>
    </row>
    <row r="1366" spans="1:7" x14ac:dyDescent="0.25">
      <c r="A1366" t="s">
        <v>3234</v>
      </c>
      <c r="B1366" t="s">
        <v>4221</v>
      </c>
      <c r="C1366" t="s">
        <v>4158</v>
      </c>
      <c r="D1366" t="s">
        <v>4159</v>
      </c>
      <c r="E1366" t="s">
        <v>4160</v>
      </c>
      <c r="F1366" t="s">
        <v>4222</v>
      </c>
      <c r="G1366" s="2" t="str">
        <f>HYPERLINK("https://probpalata.gov.ru/files/ЮЛ770100418900070.jpeg","Скачать индивидуальный QR-код магазина")</f>
        <v>Скачать индивидуальный QR-код магазина</v>
      </c>
    </row>
    <row r="1367" spans="1:7" x14ac:dyDescent="0.25">
      <c r="A1367" t="s">
        <v>3234</v>
      </c>
      <c r="B1367" t="s">
        <v>3411</v>
      </c>
      <c r="C1367" t="s">
        <v>4158</v>
      </c>
      <c r="D1367" t="s">
        <v>4159</v>
      </c>
      <c r="E1367" t="s">
        <v>4160</v>
      </c>
      <c r="F1367" t="s">
        <v>4223</v>
      </c>
      <c r="G1367" s="2" t="str">
        <f>HYPERLINK("https://probpalata.gov.ru/files/ЮЛ770100418900071.jpeg","Скачать индивидуальный QR-код магазина")</f>
        <v>Скачать индивидуальный QR-код магазина</v>
      </c>
    </row>
    <row r="1368" spans="1:7" x14ac:dyDescent="0.25">
      <c r="A1368" t="s">
        <v>3234</v>
      </c>
      <c r="B1368" t="s">
        <v>3995</v>
      </c>
      <c r="C1368" t="s">
        <v>4158</v>
      </c>
      <c r="D1368" t="s">
        <v>4159</v>
      </c>
      <c r="E1368" t="s">
        <v>4160</v>
      </c>
      <c r="F1368" t="s">
        <v>4224</v>
      </c>
      <c r="G1368" s="2" t="str">
        <f>HYPERLINK("https://probpalata.gov.ru/files/ЮЛ770100418900072.jpeg","Скачать индивидуальный QR-код магазина")</f>
        <v>Скачать индивидуальный QR-код магазина</v>
      </c>
    </row>
    <row r="1369" spans="1:7" x14ac:dyDescent="0.25">
      <c r="A1369" t="s">
        <v>3234</v>
      </c>
      <c r="B1369" t="s">
        <v>4225</v>
      </c>
      <c r="C1369" t="s">
        <v>4158</v>
      </c>
      <c r="D1369" t="s">
        <v>4159</v>
      </c>
      <c r="E1369" t="s">
        <v>4160</v>
      </c>
      <c r="F1369" t="s">
        <v>4226</v>
      </c>
      <c r="G1369" s="2" t="str">
        <f>HYPERLINK("https://probpalata.gov.ru/files/ЮЛ770100418900073.jpeg","Скачать индивидуальный QR-код магазина")</f>
        <v>Скачать индивидуальный QR-код магазина</v>
      </c>
    </row>
    <row r="1370" spans="1:7" x14ac:dyDescent="0.25">
      <c r="A1370" t="s">
        <v>3234</v>
      </c>
      <c r="B1370" t="s">
        <v>4227</v>
      </c>
      <c r="C1370" t="s">
        <v>4158</v>
      </c>
      <c r="D1370" t="s">
        <v>4159</v>
      </c>
      <c r="E1370" t="s">
        <v>4160</v>
      </c>
      <c r="F1370" t="s">
        <v>4228</v>
      </c>
      <c r="G1370" s="2" t="str">
        <f>HYPERLINK("https://probpalata.gov.ru/files/ЮЛ770100418900074.jpeg","Скачать индивидуальный QR-код магазина")</f>
        <v>Скачать индивидуальный QR-код магазина</v>
      </c>
    </row>
    <row r="1371" spans="1:7" x14ac:dyDescent="0.25">
      <c r="A1371" t="s">
        <v>3234</v>
      </c>
      <c r="B1371" t="s">
        <v>4229</v>
      </c>
      <c r="C1371" t="s">
        <v>4158</v>
      </c>
      <c r="D1371" t="s">
        <v>4159</v>
      </c>
      <c r="E1371" t="s">
        <v>4160</v>
      </c>
      <c r="F1371" t="s">
        <v>4230</v>
      </c>
      <c r="G1371" s="2" t="str">
        <f>HYPERLINK("https://probpalata.gov.ru/files/ЮЛ770100418900075.jpeg","Скачать индивидуальный QR-код магазина")</f>
        <v>Скачать индивидуальный QR-код магазина</v>
      </c>
    </row>
    <row r="1372" spans="1:7" x14ac:dyDescent="0.25">
      <c r="A1372" t="s">
        <v>3234</v>
      </c>
      <c r="B1372" t="s">
        <v>4231</v>
      </c>
      <c r="C1372" t="s">
        <v>4158</v>
      </c>
      <c r="D1372" t="s">
        <v>4159</v>
      </c>
      <c r="E1372" t="s">
        <v>4160</v>
      </c>
      <c r="F1372" t="s">
        <v>4232</v>
      </c>
      <c r="G1372" s="2" t="str">
        <f>HYPERLINK("https://probpalata.gov.ru/files/ЮЛ770100418900076.jpeg","Скачать индивидуальный QR-код магазина")</f>
        <v>Скачать индивидуальный QR-код магазина</v>
      </c>
    </row>
    <row r="1373" spans="1:7" x14ac:dyDescent="0.25">
      <c r="A1373" t="s">
        <v>3234</v>
      </c>
      <c r="B1373" t="s">
        <v>3808</v>
      </c>
      <c r="C1373" t="s">
        <v>4158</v>
      </c>
      <c r="D1373" t="s">
        <v>4159</v>
      </c>
      <c r="E1373" t="s">
        <v>4160</v>
      </c>
      <c r="F1373" t="s">
        <v>4233</v>
      </c>
      <c r="G1373" s="2" t="str">
        <f>HYPERLINK("https://probpalata.gov.ru/files/ЮЛ770100418900077.jpeg","Скачать индивидуальный QR-код магазина")</f>
        <v>Скачать индивидуальный QR-код магазина</v>
      </c>
    </row>
    <row r="1374" spans="1:7" x14ac:dyDescent="0.25">
      <c r="A1374" t="s">
        <v>4234</v>
      </c>
      <c r="B1374" t="s">
        <v>4235</v>
      </c>
      <c r="C1374" t="s">
        <v>1268</v>
      </c>
      <c r="D1374" t="s">
        <v>1269</v>
      </c>
      <c r="E1374" t="s">
        <v>1270</v>
      </c>
      <c r="F1374" t="s">
        <v>4236</v>
      </c>
      <c r="G1374" s="2" t="str">
        <f>HYPERLINK("https://probpalata.gov.ru/files/ЮЛ290300549300005.jpeg","Скачать индивидуальный QR-код магазина")</f>
        <v>Скачать индивидуальный QR-код магазина</v>
      </c>
    </row>
    <row r="1375" spans="1:7" x14ac:dyDescent="0.25">
      <c r="A1375" t="s">
        <v>4234</v>
      </c>
      <c r="B1375" t="s">
        <v>4237</v>
      </c>
      <c r="C1375" t="s">
        <v>1335</v>
      </c>
      <c r="D1375" t="s">
        <v>1336</v>
      </c>
      <c r="E1375" t="s">
        <v>1337</v>
      </c>
      <c r="F1375" t="s">
        <v>4238</v>
      </c>
      <c r="G1375" s="2" t="str">
        <f>HYPERLINK("https://probpalata.gov.ru/files/ИП290301417700000.jpeg","Скачать индивидуальный QR-код магазина")</f>
        <v>Скачать индивидуальный QR-код магазина</v>
      </c>
    </row>
    <row r="1376" spans="1:7" x14ac:dyDescent="0.25">
      <c r="A1376" t="s">
        <v>4234</v>
      </c>
      <c r="B1376" t="s">
        <v>4239</v>
      </c>
      <c r="C1376" t="s">
        <v>1335</v>
      </c>
      <c r="D1376" t="s">
        <v>1336</v>
      </c>
      <c r="E1376" t="s">
        <v>1337</v>
      </c>
      <c r="F1376" t="s">
        <v>4240</v>
      </c>
      <c r="G1376" s="2" t="str">
        <f>HYPERLINK("https://probpalata.gov.ru/files/ИП290301417700005.jpeg","Скачать индивидуальный QR-код магазина")</f>
        <v>Скачать индивидуальный QR-код магазина</v>
      </c>
    </row>
    <row r="1377" spans="1:7" x14ac:dyDescent="0.25">
      <c r="A1377" t="s">
        <v>4234</v>
      </c>
      <c r="B1377" t="s">
        <v>4241</v>
      </c>
      <c r="C1377" t="s">
        <v>4242</v>
      </c>
      <c r="D1377" t="s">
        <v>4243</v>
      </c>
      <c r="E1377" t="s">
        <v>4244</v>
      </c>
      <c r="F1377" t="s">
        <v>4245</v>
      </c>
      <c r="G1377" s="2" t="str">
        <f>HYPERLINK("https://probpalata.gov.ru/files/ИП350301974900000.jpeg","Скачать индивидуальный QR-код магазина")</f>
        <v>Скачать индивидуальный QR-код магазина</v>
      </c>
    </row>
    <row r="1378" spans="1:7" x14ac:dyDescent="0.25">
      <c r="A1378" t="s">
        <v>4234</v>
      </c>
      <c r="B1378" t="s">
        <v>4246</v>
      </c>
      <c r="C1378" t="s">
        <v>4247</v>
      </c>
      <c r="D1378" t="s">
        <v>4248</v>
      </c>
      <c r="E1378" t="s">
        <v>4249</v>
      </c>
      <c r="F1378" t="s">
        <v>4250</v>
      </c>
      <c r="G1378" s="2" t="str">
        <f>HYPERLINK("https://probpalata.gov.ru/files/ИП350301772200000.jpeg","Скачать индивидуальный QR-код магазина")</f>
        <v>Скачать индивидуальный QR-код магазина</v>
      </c>
    </row>
    <row r="1379" spans="1:7" x14ac:dyDescent="0.25">
      <c r="A1379" t="s">
        <v>4234</v>
      </c>
      <c r="B1379" t="s">
        <v>4251</v>
      </c>
      <c r="C1379" t="s">
        <v>4252</v>
      </c>
      <c r="D1379" t="s">
        <v>4253</v>
      </c>
      <c r="E1379" t="s">
        <v>4254</v>
      </c>
      <c r="F1379" t="s">
        <v>4255</v>
      </c>
      <c r="G1379" s="2" t="str">
        <f>HYPERLINK("https://probpalata.gov.ru/files/ИП350300745200000.jpeg","Скачать индивидуальный QR-код магазина")</f>
        <v>Скачать индивидуальный QR-код магазина</v>
      </c>
    </row>
    <row r="1380" spans="1:7" x14ac:dyDescent="0.25">
      <c r="A1380" t="s">
        <v>4234</v>
      </c>
      <c r="B1380" t="s">
        <v>4256</v>
      </c>
      <c r="C1380" t="s">
        <v>4257</v>
      </c>
      <c r="D1380" t="s">
        <v>4258</v>
      </c>
      <c r="E1380" t="s">
        <v>4259</v>
      </c>
      <c r="F1380" t="s">
        <v>4260</v>
      </c>
      <c r="G1380" s="2" t="str">
        <f>HYPERLINK("https://probpalata.gov.ru/files/ИП350304093700000.jpeg","Скачать индивидуальный QR-код магазина")</f>
        <v>Скачать индивидуальный QR-код магазина</v>
      </c>
    </row>
    <row r="1381" spans="1:7" x14ac:dyDescent="0.25">
      <c r="A1381" t="s">
        <v>4234</v>
      </c>
      <c r="B1381" t="s">
        <v>4261</v>
      </c>
      <c r="C1381" t="s">
        <v>4262</v>
      </c>
      <c r="D1381" t="s">
        <v>4263</v>
      </c>
      <c r="E1381" t="s">
        <v>4264</v>
      </c>
      <c r="F1381" t="s">
        <v>4265</v>
      </c>
      <c r="G1381" s="2" t="str">
        <f>HYPERLINK("https://probpalata.gov.ru/files/ИП350300232000000.jpeg","Скачать индивидуальный QR-код магазина")</f>
        <v>Скачать индивидуальный QR-код магазина</v>
      </c>
    </row>
    <row r="1382" spans="1:7" x14ac:dyDescent="0.25">
      <c r="A1382" t="s">
        <v>4234</v>
      </c>
      <c r="B1382" t="s">
        <v>4266</v>
      </c>
      <c r="C1382" t="s">
        <v>2073</v>
      </c>
      <c r="D1382" t="s">
        <v>4267</v>
      </c>
      <c r="E1382" t="s">
        <v>4268</v>
      </c>
      <c r="F1382" t="s">
        <v>4269</v>
      </c>
      <c r="G1382" s="2" t="str">
        <f>HYPERLINK("https://probpalata.gov.ru/files/ЮЛ350303210800000.jpeg","Скачать индивидуальный QR-код магазина")</f>
        <v>Скачать индивидуальный QR-код магазина</v>
      </c>
    </row>
    <row r="1383" spans="1:7" x14ac:dyDescent="0.25">
      <c r="A1383" t="s">
        <v>4234</v>
      </c>
      <c r="B1383" t="s">
        <v>4270</v>
      </c>
      <c r="C1383" t="s">
        <v>4271</v>
      </c>
      <c r="D1383" t="s">
        <v>4272</v>
      </c>
      <c r="E1383" t="s">
        <v>4273</v>
      </c>
      <c r="F1383" t="s">
        <v>4274</v>
      </c>
      <c r="G1383" s="2" t="str">
        <f>HYPERLINK("https://probpalata.gov.ru/files/ЮЛ350301986500000.jpeg","Скачать индивидуальный QR-код магазина")</f>
        <v>Скачать индивидуальный QR-код магазина</v>
      </c>
    </row>
    <row r="1384" spans="1:7" x14ac:dyDescent="0.25">
      <c r="A1384" t="s">
        <v>4234</v>
      </c>
      <c r="B1384" t="s">
        <v>4275</v>
      </c>
      <c r="C1384" t="s">
        <v>4271</v>
      </c>
      <c r="D1384" t="s">
        <v>4272</v>
      </c>
      <c r="E1384" t="s">
        <v>4273</v>
      </c>
      <c r="F1384" t="s">
        <v>4276</v>
      </c>
      <c r="G1384" s="2" t="str">
        <f>HYPERLINK("https://probpalata.gov.ru/files/ЮЛ350301986500001.jpeg","Скачать индивидуальный QR-код магазина")</f>
        <v>Скачать индивидуальный QR-код магазина</v>
      </c>
    </row>
    <row r="1385" spans="1:7" x14ac:dyDescent="0.25">
      <c r="A1385" t="s">
        <v>4234</v>
      </c>
      <c r="B1385" t="s">
        <v>4277</v>
      </c>
      <c r="C1385" t="s">
        <v>4278</v>
      </c>
      <c r="D1385" t="s">
        <v>4279</v>
      </c>
      <c r="E1385" t="s">
        <v>4280</v>
      </c>
      <c r="F1385" t="s">
        <v>4281</v>
      </c>
      <c r="G1385" s="2" t="str">
        <f>HYPERLINK("https://probpalata.gov.ru/files/ЮЛ350300091900000.jpeg","Скачать индивидуальный QR-код магазина")</f>
        <v>Скачать индивидуальный QR-код магазина</v>
      </c>
    </row>
    <row r="1386" spans="1:7" x14ac:dyDescent="0.25">
      <c r="A1386" t="s">
        <v>4234</v>
      </c>
      <c r="B1386" t="s">
        <v>4282</v>
      </c>
      <c r="C1386" t="s">
        <v>4283</v>
      </c>
      <c r="D1386" t="s">
        <v>4284</v>
      </c>
      <c r="E1386" t="s">
        <v>4285</v>
      </c>
      <c r="F1386" t="s">
        <v>4286</v>
      </c>
      <c r="G1386" s="2" t="str">
        <f>HYPERLINK("https://probpalata.gov.ru/files/ИП350300274200000.jpeg","Скачать индивидуальный QR-код магазина")</f>
        <v>Скачать индивидуальный QR-код магазина</v>
      </c>
    </row>
    <row r="1387" spans="1:7" x14ac:dyDescent="0.25">
      <c r="A1387" t="s">
        <v>4234</v>
      </c>
      <c r="B1387" t="s">
        <v>4287</v>
      </c>
      <c r="C1387" t="s">
        <v>4288</v>
      </c>
      <c r="D1387" t="s">
        <v>4289</v>
      </c>
      <c r="E1387" t="s">
        <v>4290</v>
      </c>
      <c r="F1387" t="s">
        <v>4291</v>
      </c>
      <c r="G1387" s="2" t="str">
        <f>HYPERLINK("https://probpalata.gov.ru/files/ИП350300552300000.jpeg","Скачать индивидуальный QR-код магазина")</f>
        <v>Скачать индивидуальный QR-код магазина</v>
      </c>
    </row>
    <row r="1388" spans="1:7" x14ac:dyDescent="0.25">
      <c r="A1388" t="s">
        <v>4234</v>
      </c>
      <c r="B1388" t="s">
        <v>4292</v>
      </c>
      <c r="C1388" t="s">
        <v>4288</v>
      </c>
      <c r="D1388" t="s">
        <v>4289</v>
      </c>
      <c r="E1388" t="s">
        <v>4290</v>
      </c>
      <c r="F1388" t="s">
        <v>4293</v>
      </c>
      <c r="G1388" s="2" t="str">
        <f>HYPERLINK("https://probpalata.gov.ru/files/ИП350300552300004.jpeg","Скачать индивидуальный QR-код магазина")</f>
        <v>Скачать индивидуальный QR-код магазина</v>
      </c>
    </row>
    <row r="1389" spans="1:7" x14ac:dyDescent="0.25">
      <c r="A1389" t="s">
        <v>4234</v>
      </c>
      <c r="B1389" t="s">
        <v>4294</v>
      </c>
      <c r="C1389" t="s">
        <v>4288</v>
      </c>
      <c r="D1389" t="s">
        <v>4289</v>
      </c>
      <c r="E1389" t="s">
        <v>4290</v>
      </c>
      <c r="F1389" t="s">
        <v>4295</v>
      </c>
      <c r="G1389" s="2" t="str">
        <f>HYPERLINK("https://probpalata.gov.ru/files/ИП350300552300005.jpeg","Скачать индивидуальный QR-код магазина")</f>
        <v>Скачать индивидуальный QR-код магазина</v>
      </c>
    </row>
    <row r="1390" spans="1:7" x14ac:dyDescent="0.25">
      <c r="A1390" t="s">
        <v>4234</v>
      </c>
      <c r="B1390" t="s">
        <v>4296</v>
      </c>
      <c r="C1390" t="s">
        <v>4288</v>
      </c>
      <c r="D1390" t="s">
        <v>4289</v>
      </c>
      <c r="E1390" t="s">
        <v>4290</v>
      </c>
      <c r="F1390" t="s">
        <v>4297</v>
      </c>
      <c r="G1390" s="2" t="str">
        <f>HYPERLINK("https://probpalata.gov.ru/files/ИП350300552300006.jpeg","Скачать индивидуальный QR-код магазина")</f>
        <v>Скачать индивидуальный QR-код магазина</v>
      </c>
    </row>
    <row r="1391" spans="1:7" x14ac:dyDescent="0.25">
      <c r="A1391" t="s">
        <v>4234</v>
      </c>
      <c r="B1391" t="s">
        <v>4298</v>
      </c>
      <c r="C1391" t="s">
        <v>4288</v>
      </c>
      <c r="D1391" t="s">
        <v>4289</v>
      </c>
      <c r="E1391" t="s">
        <v>4290</v>
      </c>
      <c r="F1391" t="s">
        <v>4299</v>
      </c>
      <c r="G1391" s="2" t="str">
        <f>HYPERLINK("https://probpalata.gov.ru/files/ИП350300552300008.jpeg","Скачать индивидуальный QR-код магазина")</f>
        <v>Скачать индивидуальный QR-код магазина</v>
      </c>
    </row>
    <row r="1392" spans="1:7" x14ac:dyDescent="0.25">
      <c r="A1392" t="s">
        <v>4234</v>
      </c>
      <c r="B1392" t="s">
        <v>4300</v>
      </c>
      <c r="C1392" t="s">
        <v>4288</v>
      </c>
      <c r="D1392" t="s">
        <v>4289</v>
      </c>
      <c r="E1392" t="s">
        <v>4290</v>
      </c>
      <c r="F1392" t="s">
        <v>4301</v>
      </c>
      <c r="G1392" s="2" t="str">
        <f>HYPERLINK("https://probpalata.gov.ru/files/ИП350300552300010.jpeg","Скачать индивидуальный QR-код магазина")</f>
        <v>Скачать индивидуальный QR-код магазина</v>
      </c>
    </row>
    <row r="1393" spans="1:7" x14ac:dyDescent="0.25">
      <c r="A1393" t="s">
        <v>4234</v>
      </c>
      <c r="B1393" t="s">
        <v>4302</v>
      </c>
      <c r="C1393" t="s">
        <v>4303</v>
      </c>
      <c r="D1393" t="s">
        <v>4304</v>
      </c>
      <c r="E1393" t="s">
        <v>4305</v>
      </c>
      <c r="F1393" t="s">
        <v>4306</v>
      </c>
      <c r="G1393" s="2" t="str">
        <f>HYPERLINK("https://probpalata.gov.ru/files/ЮЛ350303282200000.jpeg","Скачать индивидуальный QR-код магазина")</f>
        <v>Скачать индивидуальный QR-код магазина</v>
      </c>
    </row>
    <row r="1394" spans="1:7" x14ac:dyDescent="0.25">
      <c r="A1394" t="s">
        <v>4234</v>
      </c>
      <c r="B1394" t="s">
        <v>4307</v>
      </c>
      <c r="C1394" t="s">
        <v>4308</v>
      </c>
      <c r="D1394" t="s">
        <v>4309</v>
      </c>
      <c r="E1394" t="s">
        <v>4310</v>
      </c>
      <c r="F1394" t="s">
        <v>4311</v>
      </c>
      <c r="G1394" s="2" t="str">
        <f>HYPERLINK("https://probpalata.gov.ru/files/ИП350300066600000.jpeg","Скачать индивидуальный QR-код магазина")</f>
        <v>Скачать индивидуальный QR-код магазина</v>
      </c>
    </row>
    <row r="1395" spans="1:7" x14ac:dyDescent="0.25">
      <c r="A1395" t="s">
        <v>4234</v>
      </c>
      <c r="B1395" t="s">
        <v>4312</v>
      </c>
      <c r="C1395" t="s">
        <v>4313</v>
      </c>
      <c r="D1395" t="s">
        <v>4314</v>
      </c>
      <c r="E1395" t="s">
        <v>4315</v>
      </c>
      <c r="F1395" t="s">
        <v>4316</v>
      </c>
      <c r="G1395" s="2" t="str">
        <f>HYPERLINK("https://probpalata.gov.ru/files/ИП350301737300000.jpeg","Скачать индивидуальный QR-код магазина")</f>
        <v>Скачать индивидуальный QR-код магазина</v>
      </c>
    </row>
    <row r="1396" spans="1:7" x14ac:dyDescent="0.25">
      <c r="A1396" t="s">
        <v>4234</v>
      </c>
      <c r="B1396" t="s">
        <v>4317</v>
      </c>
      <c r="C1396" t="s">
        <v>4318</v>
      </c>
      <c r="D1396" t="s">
        <v>4319</v>
      </c>
      <c r="E1396" t="s">
        <v>4320</v>
      </c>
      <c r="F1396" t="s">
        <v>4321</v>
      </c>
      <c r="G1396" s="2" t="str">
        <f>HYPERLINK("https://probpalata.gov.ru/files/ИП350300079700000.jpeg","Скачать индивидуальный QR-код магазина")</f>
        <v>Скачать индивидуальный QR-код магазина</v>
      </c>
    </row>
    <row r="1397" spans="1:7" x14ac:dyDescent="0.25">
      <c r="A1397" t="s">
        <v>4234</v>
      </c>
      <c r="B1397" t="s">
        <v>4322</v>
      </c>
      <c r="C1397" t="s">
        <v>4323</v>
      </c>
      <c r="D1397" t="s">
        <v>4324</v>
      </c>
      <c r="E1397" t="s">
        <v>4325</v>
      </c>
      <c r="F1397" t="s">
        <v>4326</v>
      </c>
      <c r="G1397" s="2" t="str">
        <f>HYPERLINK("https://probpalata.gov.ru/files/ИП350300463000000.jpeg","Скачать индивидуальный QR-код магазина")</f>
        <v>Скачать индивидуальный QR-код магазина</v>
      </c>
    </row>
    <row r="1398" spans="1:7" x14ac:dyDescent="0.25">
      <c r="A1398" t="s">
        <v>4234</v>
      </c>
      <c r="B1398" t="s">
        <v>4327</v>
      </c>
      <c r="C1398" t="s">
        <v>4323</v>
      </c>
      <c r="D1398" t="s">
        <v>4324</v>
      </c>
      <c r="E1398" t="s">
        <v>4325</v>
      </c>
      <c r="F1398" t="s">
        <v>4328</v>
      </c>
      <c r="G1398" s="2" t="str">
        <f>HYPERLINK("https://probpalata.gov.ru/files/ИП350300463000002.jpeg","Скачать индивидуальный QR-код магазина")</f>
        <v>Скачать индивидуальный QR-код магазина</v>
      </c>
    </row>
    <row r="1399" spans="1:7" x14ac:dyDescent="0.25">
      <c r="A1399" t="s">
        <v>4234</v>
      </c>
      <c r="B1399" t="s">
        <v>4329</v>
      </c>
      <c r="C1399" t="s">
        <v>4323</v>
      </c>
      <c r="D1399" t="s">
        <v>4324</v>
      </c>
      <c r="E1399" t="s">
        <v>4325</v>
      </c>
      <c r="F1399" t="s">
        <v>4330</v>
      </c>
      <c r="G1399" s="2" t="str">
        <f>HYPERLINK("https://probpalata.gov.ru/files/ИП350300463000003.jpeg","Скачать индивидуальный QR-код магазина")</f>
        <v>Скачать индивидуальный QR-код магазина</v>
      </c>
    </row>
    <row r="1400" spans="1:7" x14ac:dyDescent="0.25">
      <c r="A1400" t="s">
        <v>4234</v>
      </c>
      <c r="B1400" t="s">
        <v>4329</v>
      </c>
      <c r="C1400" t="s">
        <v>4323</v>
      </c>
      <c r="D1400" t="s">
        <v>4324</v>
      </c>
      <c r="E1400" t="s">
        <v>4325</v>
      </c>
      <c r="F1400" t="s">
        <v>4331</v>
      </c>
      <c r="G1400" s="2" t="str">
        <f>HYPERLINK("https://probpalata.gov.ru/files/ИП350300463000004.jpeg","Скачать индивидуальный QR-код магазина")</f>
        <v>Скачать индивидуальный QR-код магазина</v>
      </c>
    </row>
    <row r="1401" spans="1:7" x14ac:dyDescent="0.25">
      <c r="A1401" t="s">
        <v>4234</v>
      </c>
      <c r="B1401" t="s">
        <v>4332</v>
      </c>
      <c r="C1401" t="s">
        <v>4333</v>
      </c>
      <c r="D1401" t="s">
        <v>4334</v>
      </c>
      <c r="E1401" t="s">
        <v>4335</v>
      </c>
      <c r="F1401" t="s">
        <v>4336</v>
      </c>
      <c r="G1401" s="2" t="str">
        <f>HYPERLINK("https://probpalata.gov.ru/files/ИП350300614000000.jpeg","Скачать индивидуальный QR-код магазина")</f>
        <v>Скачать индивидуальный QR-код магазина</v>
      </c>
    </row>
    <row r="1402" spans="1:7" x14ac:dyDescent="0.25">
      <c r="A1402" t="s">
        <v>4234</v>
      </c>
      <c r="B1402" t="s">
        <v>4337</v>
      </c>
      <c r="C1402" t="s">
        <v>4338</v>
      </c>
      <c r="D1402" t="s">
        <v>4339</v>
      </c>
      <c r="E1402" t="s">
        <v>4340</v>
      </c>
      <c r="F1402" t="s">
        <v>4341</v>
      </c>
      <c r="G1402" s="2" t="str">
        <f>HYPERLINK("https://probpalata.gov.ru/files/ЮЛ350300756800000.jpeg","Скачать индивидуальный QR-код магазина")</f>
        <v>Скачать индивидуальный QR-код магазина</v>
      </c>
    </row>
    <row r="1403" spans="1:7" x14ac:dyDescent="0.25">
      <c r="A1403" t="s">
        <v>4234</v>
      </c>
      <c r="B1403" t="s">
        <v>4342</v>
      </c>
      <c r="C1403" t="s">
        <v>4343</v>
      </c>
      <c r="D1403" t="s">
        <v>4344</v>
      </c>
      <c r="E1403" t="s">
        <v>4345</v>
      </c>
      <c r="F1403" t="s">
        <v>4346</v>
      </c>
      <c r="G1403" s="2" t="str">
        <f>HYPERLINK("https://probpalata.gov.ru/files/ИП350301690500000.jpeg","Скачать индивидуальный QR-код магазина")</f>
        <v>Скачать индивидуальный QR-код магазина</v>
      </c>
    </row>
    <row r="1404" spans="1:7" x14ac:dyDescent="0.25">
      <c r="A1404" t="s">
        <v>4234</v>
      </c>
      <c r="B1404" t="s">
        <v>4347</v>
      </c>
      <c r="C1404" t="s">
        <v>4348</v>
      </c>
      <c r="D1404" t="s">
        <v>4349</v>
      </c>
      <c r="E1404" t="s">
        <v>4350</v>
      </c>
      <c r="F1404" t="s">
        <v>4351</v>
      </c>
      <c r="G1404" s="2" t="str">
        <f>HYPERLINK("https://probpalata.gov.ru/files/ИП350301924500000.jpeg","Скачать индивидуальный QR-код магазина")</f>
        <v>Скачать индивидуальный QR-код магазина</v>
      </c>
    </row>
    <row r="1405" spans="1:7" x14ac:dyDescent="0.25">
      <c r="A1405" t="s">
        <v>4234</v>
      </c>
      <c r="B1405" t="s">
        <v>4352</v>
      </c>
      <c r="C1405" t="s">
        <v>4353</v>
      </c>
      <c r="D1405" t="s">
        <v>4354</v>
      </c>
      <c r="E1405" t="s">
        <v>4355</v>
      </c>
      <c r="F1405" t="s">
        <v>4356</v>
      </c>
      <c r="G1405" s="2" t="str">
        <f>HYPERLINK("https://probpalata.gov.ru/files/ИП350301017000000.jpeg","Скачать индивидуальный QR-код магазина")</f>
        <v>Скачать индивидуальный QR-код магазина</v>
      </c>
    </row>
    <row r="1406" spans="1:7" x14ac:dyDescent="0.25">
      <c r="A1406" t="s">
        <v>4234</v>
      </c>
      <c r="B1406" t="s">
        <v>4357</v>
      </c>
      <c r="C1406" t="s">
        <v>4353</v>
      </c>
      <c r="D1406" t="s">
        <v>4354</v>
      </c>
      <c r="E1406" t="s">
        <v>4355</v>
      </c>
      <c r="F1406" t="s">
        <v>4358</v>
      </c>
      <c r="G1406" s="2" t="str">
        <f>HYPERLINK("https://probpalata.gov.ru/files/ИП350301017000002.jpeg","Скачать индивидуальный QR-код магазина")</f>
        <v>Скачать индивидуальный QR-код магазина</v>
      </c>
    </row>
    <row r="1407" spans="1:7" x14ac:dyDescent="0.25">
      <c r="A1407" t="s">
        <v>4234</v>
      </c>
      <c r="B1407" t="s">
        <v>4359</v>
      </c>
      <c r="C1407" t="s">
        <v>4360</v>
      </c>
      <c r="D1407" t="s">
        <v>4361</v>
      </c>
      <c r="E1407" t="s">
        <v>4362</v>
      </c>
      <c r="F1407" t="s">
        <v>4363</v>
      </c>
      <c r="G1407" s="2" t="str">
        <f>HYPERLINK("https://probpalata.gov.ru/files/ИП350300710800000.jpeg","Скачать индивидуальный QR-код магазина")</f>
        <v>Скачать индивидуальный QR-код магазина</v>
      </c>
    </row>
    <row r="1408" spans="1:7" x14ac:dyDescent="0.25">
      <c r="A1408" t="s">
        <v>4234</v>
      </c>
      <c r="B1408" t="s">
        <v>4364</v>
      </c>
      <c r="C1408" t="s">
        <v>4360</v>
      </c>
      <c r="D1408" t="s">
        <v>4361</v>
      </c>
      <c r="E1408" t="s">
        <v>4362</v>
      </c>
      <c r="F1408" t="s">
        <v>4365</v>
      </c>
      <c r="G1408" s="2" t="str">
        <f>HYPERLINK("https://probpalata.gov.ru/files/ИП350300710800001.jpeg","Скачать индивидуальный QR-код магазина")</f>
        <v>Скачать индивидуальный QR-код магазина</v>
      </c>
    </row>
    <row r="1409" spans="1:7" x14ac:dyDescent="0.25">
      <c r="A1409" t="s">
        <v>4234</v>
      </c>
      <c r="B1409" t="s">
        <v>4366</v>
      </c>
      <c r="C1409" t="s">
        <v>4360</v>
      </c>
      <c r="D1409" t="s">
        <v>4361</v>
      </c>
      <c r="E1409" t="s">
        <v>4362</v>
      </c>
      <c r="F1409" t="s">
        <v>4367</v>
      </c>
      <c r="G1409" s="2" t="str">
        <f>HYPERLINK("https://probpalata.gov.ru/files/ИП350300710800003.jpeg","Скачать индивидуальный QR-код магазина")</f>
        <v>Скачать индивидуальный QR-код магазина</v>
      </c>
    </row>
    <row r="1410" spans="1:7" x14ac:dyDescent="0.25">
      <c r="A1410" t="s">
        <v>4234</v>
      </c>
      <c r="B1410" t="s">
        <v>4368</v>
      </c>
      <c r="C1410" t="s">
        <v>4369</v>
      </c>
      <c r="D1410" t="s">
        <v>4370</v>
      </c>
      <c r="E1410" t="s">
        <v>4371</v>
      </c>
      <c r="F1410" t="s">
        <v>4372</v>
      </c>
      <c r="G1410" s="2" t="str">
        <f>HYPERLINK("https://probpalata.gov.ru/files/ИП350301488100000.jpeg","Скачать индивидуальный QR-код магазина")</f>
        <v>Скачать индивидуальный QR-код магазина</v>
      </c>
    </row>
    <row r="1411" spans="1:7" x14ac:dyDescent="0.25">
      <c r="A1411" t="s">
        <v>4234</v>
      </c>
      <c r="B1411" t="s">
        <v>4373</v>
      </c>
      <c r="C1411" t="s">
        <v>4374</v>
      </c>
      <c r="D1411" t="s">
        <v>4375</v>
      </c>
      <c r="E1411" t="s">
        <v>4376</v>
      </c>
      <c r="F1411" t="s">
        <v>4377</v>
      </c>
      <c r="G1411" s="2" t="str">
        <f>HYPERLINK("https://probpalata.gov.ru/files/ИП350300192100000.jpeg","Скачать индивидуальный QR-код магазина")</f>
        <v>Скачать индивидуальный QR-код магазина</v>
      </c>
    </row>
    <row r="1412" spans="1:7" x14ac:dyDescent="0.25">
      <c r="A1412" t="s">
        <v>4234</v>
      </c>
      <c r="B1412" t="s">
        <v>4378</v>
      </c>
      <c r="C1412" t="s">
        <v>4379</v>
      </c>
      <c r="D1412" t="s">
        <v>4380</v>
      </c>
      <c r="E1412" t="s">
        <v>4381</v>
      </c>
      <c r="F1412" t="s">
        <v>4382</v>
      </c>
      <c r="G1412" s="2" t="str">
        <f>HYPERLINK("https://probpalata.gov.ru/files/ЮЛ350300862500000.jpeg","Скачать индивидуальный QR-код магазина")</f>
        <v>Скачать индивидуальный QR-код магазина</v>
      </c>
    </row>
    <row r="1413" spans="1:7" x14ac:dyDescent="0.25">
      <c r="A1413" t="s">
        <v>4234</v>
      </c>
      <c r="B1413" t="s">
        <v>4383</v>
      </c>
      <c r="C1413" t="s">
        <v>4384</v>
      </c>
      <c r="D1413" t="s">
        <v>4385</v>
      </c>
      <c r="E1413" t="s">
        <v>4386</v>
      </c>
      <c r="F1413" t="s">
        <v>4387</v>
      </c>
      <c r="G1413" s="2" t="str">
        <f>HYPERLINK("https://probpalata.gov.ru/files/ИП780301447600000.jpeg","Скачать индивидуальный QR-код магазина")</f>
        <v>Скачать индивидуальный QR-код магазина</v>
      </c>
    </row>
    <row r="1414" spans="1:7" x14ac:dyDescent="0.25">
      <c r="A1414" t="s">
        <v>4234</v>
      </c>
      <c r="B1414" t="s">
        <v>4388</v>
      </c>
      <c r="C1414" t="s">
        <v>4384</v>
      </c>
      <c r="D1414" t="s">
        <v>4385</v>
      </c>
      <c r="E1414" t="s">
        <v>4386</v>
      </c>
      <c r="F1414" t="s">
        <v>4389</v>
      </c>
      <c r="G1414" s="2" t="str">
        <f>HYPERLINK("https://probpalata.gov.ru/files/ИП780301447600002.jpeg","Скачать индивидуальный QR-код магазина")</f>
        <v>Скачать индивидуальный QR-код магазина</v>
      </c>
    </row>
    <row r="1415" spans="1:7" x14ac:dyDescent="0.25">
      <c r="A1415" t="s">
        <v>4234</v>
      </c>
      <c r="B1415" t="s">
        <v>4390</v>
      </c>
      <c r="C1415" t="s">
        <v>4384</v>
      </c>
      <c r="D1415" t="s">
        <v>4385</v>
      </c>
      <c r="E1415" t="s">
        <v>4386</v>
      </c>
      <c r="F1415" t="s">
        <v>4391</v>
      </c>
      <c r="G1415" s="2" t="str">
        <f>HYPERLINK("https://probpalata.gov.ru/files/ИП780301447600003.jpeg","Скачать индивидуальный QR-код магазина")</f>
        <v>Скачать индивидуальный QR-код магазина</v>
      </c>
    </row>
    <row r="1416" spans="1:7" x14ac:dyDescent="0.25">
      <c r="A1416" t="s">
        <v>4234</v>
      </c>
      <c r="B1416" t="s">
        <v>4392</v>
      </c>
      <c r="C1416" t="s">
        <v>4384</v>
      </c>
      <c r="D1416" t="s">
        <v>4385</v>
      </c>
      <c r="E1416" t="s">
        <v>4386</v>
      </c>
      <c r="F1416" t="s">
        <v>4393</v>
      </c>
      <c r="G1416" s="2" t="str">
        <f>HYPERLINK("https://probpalata.gov.ru/files/ИП780301447600004.jpeg","Скачать индивидуальный QR-код магазина")</f>
        <v>Скачать индивидуальный QR-код магазина</v>
      </c>
    </row>
    <row r="1417" spans="1:7" x14ac:dyDescent="0.25">
      <c r="A1417" t="s">
        <v>4234</v>
      </c>
      <c r="B1417" t="s">
        <v>4394</v>
      </c>
      <c r="C1417" t="s">
        <v>4384</v>
      </c>
      <c r="D1417" t="s">
        <v>4385</v>
      </c>
      <c r="E1417" t="s">
        <v>4386</v>
      </c>
      <c r="F1417" t="s">
        <v>4395</v>
      </c>
      <c r="G1417" s="2" t="str">
        <f>HYPERLINK("https://probpalata.gov.ru/files/ИП780301447600006.jpeg","Скачать индивидуальный QR-код магазина")</f>
        <v>Скачать индивидуальный QR-код магазина</v>
      </c>
    </row>
    <row r="1418" spans="1:7" x14ac:dyDescent="0.25">
      <c r="A1418" t="s">
        <v>4234</v>
      </c>
      <c r="B1418" t="s">
        <v>4396</v>
      </c>
      <c r="C1418" t="s">
        <v>4384</v>
      </c>
      <c r="D1418" t="s">
        <v>4385</v>
      </c>
      <c r="E1418" t="s">
        <v>4386</v>
      </c>
      <c r="F1418" t="s">
        <v>4397</v>
      </c>
      <c r="G1418" s="2" t="str">
        <f>HYPERLINK("https://probpalata.gov.ru/files/ИП780301447600007.jpeg","Скачать индивидуальный QR-код магазина")</f>
        <v>Скачать индивидуальный QR-код магазина</v>
      </c>
    </row>
    <row r="1419" spans="1:7" x14ac:dyDescent="0.25">
      <c r="A1419" t="s">
        <v>4234</v>
      </c>
      <c r="B1419" t="s">
        <v>4398</v>
      </c>
      <c r="C1419" t="s">
        <v>4384</v>
      </c>
      <c r="D1419" t="s">
        <v>4385</v>
      </c>
      <c r="E1419" t="s">
        <v>4386</v>
      </c>
      <c r="F1419" t="s">
        <v>4399</v>
      </c>
      <c r="G1419" s="2" t="str">
        <f>HYPERLINK("https://probpalata.gov.ru/files/ИП780301447600008.jpeg","Скачать индивидуальный QR-код магазина")</f>
        <v>Скачать индивидуальный QR-код магазина</v>
      </c>
    </row>
    <row r="1420" spans="1:7" x14ac:dyDescent="0.25">
      <c r="A1420" t="s">
        <v>4234</v>
      </c>
      <c r="B1420" t="s">
        <v>4400</v>
      </c>
      <c r="C1420" t="s">
        <v>4384</v>
      </c>
      <c r="D1420" t="s">
        <v>4385</v>
      </c>
      <c r="E1420" t="s">
        <v>4386</v>
      </c>
      <c r="F1420" t="s">
        <v>4401</v>
      </c>
      <c r="G1420" s="2" t="str">
        <f>HYPERLINK("https://probpalata.gov.ru/files/ИП780301447600011.jpeg","Скачать индивидуальный QR-код магазина")</f>
        <v>Скачать индивидуальный QR-код магазина</v>
      </c>
    </row>
    <row r="1421" spans="1:7" x14ac:dyDescent="0.25">
      <c r="A1421" t="s">
        <v>4234</v>
      </c>
      <c r="B1421" t="s">
        <v>4402</v>
      </c>
      <c r="C1421" t="s">
        <v>4384</v>
      </c>
      <c r="D1421" t="s">
        <v>4385</v>
      </c>
      <c r="E1421" t="s">
        <v>4386</v>
      </c>
      <c r="F1421" t="s">
        <v>4403</v>
      </c>
      <c r="G1421" s="2" t="str">
        <f>HYPERLINK("https://probpalata.gov.ru/files/ИП780301447600014.jpeg","Скачать индивидуальный QR-код магазина")</f>
        <v>Скачать индивидуальный QR-код магазина</v>
      </c>
    </row>
    <row r="1422" spans="1:7" x14ac:dyDescent="0.25">
      <c r="A1422" t="s">
        <v>4234</v>
      </c>
      <c r="B1422" t="s">
        <v>4404</v>
      </c>
      <c r="C1422" t="s">
        <v>4384</v>
      </c>
      <c r="D1422" t="s">
        <v>4385</v>
      </c>
      <c r="E1422" t="s">
        <v>4386</v>
      </c>
      <c r="F1422" t="s">
        <v>4405</v>
      </c>
      <c r="G1422" s="2" t="str">
        <f>HYPERLINK("https://probpalata.gov.ru/files/ИП780301447600015.jpeg","Скачать индивидуальный QR-код магазина")</f>
        <v>Скачать индивидуальный QR-код магазина</v>
      </c>
    </row>
    <row r="1423" spans="1:7" x14ac:dyDescent="0.25">
      <c r="A1423" t="s">
        <v>4234</v>
      </c>
      <c r="B1423" t="s">
        <v>4406</v>
      </c>
      <c r="C1423" t="s">
        <v>4407</v>
      </c>
      <c r="D1423" t="s">
        <v>4408</v>
      </c>
      <c r="E1423" t="s">
        <v>4409</v>
      </c>
      <c r="F1423" t="s">
        <v>4410</v>
      </c>
      <c r="G1423" s="2" t="str">
        <f>HYPERLINK("https://probpalata.gov.ru/files/ИП350300021500019.jpeg","Скачать индивидуальный QR-код магазина")</f>
        <v>Скачать индивидуальный QR-код магазина</v>
      </c>
    </row>
    <row r="1424" spans="1:7" x14ac:dyDescent="0.25">
      <c r="A1424" t="s">
        <v>4234</v>
      </c>
      <c r="B1424" t="s">
        <v>4411</v>
      </c>
      <c r="C1424" t="s">
        <v>4412</v>
      </c>
      <c r="D1424" t="s">
        <v>4413</v>
      </c>
      <c r="E1424" t="s">
        <v>4414</v>
      </c>
      <c r="F1424" t="s">
        <v>4415</v>
      </c>
      <c r="G1424" s="2" t="str">
        <f>HYPERLINK("https://probpalata.gov.ru/files/ИП780300946900000.jpeg","Скачать индивидуальный QR-код магазина")</f>
        <v>Скачать индивидуальный QR-код магазина</v>
      </c>
    </row>
    <row r="1425" spans="1:7" x14ac:dyDescent="0.25">
      <c r="A1425" t="s">
        <v>4234</v>
      </c>
      <c r="B1425" t="s">
        <v>4416</v>
      </c>
      <c r="C1425" t="s">
        <v>4417</v>
      </c>
      <c r="D1425" t="s">
        <v>4418</v>
      </c>
      <c r="E1425" t="s">
        <v>4419</v>
      </c>
      <c r="F1425" t="s">
        <v>4420</v>
      </c>
      <c r="G1425" s="2" t="str">
        <f>HYPERLINK("https://probpalata.gov.ru/files/ИП350300107900000.jpeg","Скачать индивидуальный QR-код магазина")</f>
        <v>Скачать индивидуальный QR-код магазина</v>
      </c>
    </row>
    <row r="1426" spans="1:7" x14ac:dyDescent="0.25">
      <c r="A1426" t="s">
        <v>4234</v>
      </c>
      <c r="B1426" t="s">
        <v>4421</v>
      </c>
      <c r="C1426" t="s">
        <v>4422</v>
      </c>
      <c r="D1426" t="s">
        <v>4423</v>
      </c>
      <c r="E1426" t="s">
        <v>4424</v>
      </c>
      <c r="F1426" t="s">
        <v>4425</v>
      </c>
      <c r="G1426" s="2" t="str">
        <f>HYPERLINK("https://probpalata.gov.ru/files/ИП350300187500000.jpeg","Скачать индивидуальный QR-код магазина")</f>
        <v>Скачать индивидуальный QR-код магазина</v>
      </c>
    </row>
    <row r="1427" spans="1:7" x14ac:dyDescent="0.25">
      <c r="A1427" t="s">
        <v>4234</v>
      </c>
      <c r="B1427" t="s">
        <v>4426</v>
      </c>
      <c r="C1427" t="s">
        <v>4422</v>
      </c>
      <c r="D1427" t="s">
        <v>4423</v>
      </c>
      <c r="E1427" t="s">
        <v>4424</v>
      </c>
      <c r="F1427" t="s">
        <v>4427</v>
      </c>
      <c r="G1427" s="2" t="str">
        <f>HYPERLINK("https://probpalata.gov.ru/files/ИП350300187500002.jpeg","Скачать индивидуальный QR-код магазина")</f>
        <v>Скачать индивидуальный QR-код магазина</v>
      </c>
    </row>
    <row r="1428" spans="1:7" x14ac:dyDescent="0.25">
      <c r="A1428" t="s">
        <v>4234</v>
      </c>
      <c r="B1428" t="s">
        <v>4428</v>
      </c>
      <c r="C1428" t="s">
        <v>4429</v>
      </c>
      <c r="D1428" t="s">
        <v>4430</v>
      </c>
      <c r="E1428" t="s">
        <v>4431</v>
      </c>
      <c r="F1428" t="s">
        <v>4432</v>
      </c>
      <c r="G1428" s="2" t="str">
        <f>HYPERLINK("https://probpalata.gov.ru/files/ИП350300258700000.jpeg","Скачать индивидуальный QR-код магазина")</f>
        <v>Скачать индивидуальный QR-код магазина</v>
      </c>
    </row>
    <row r="1429" spans="1:7" x14ac:dyDescent="0.25">
      <c r="A1429" t="s">
        <v>4234</v>
      </c>
      <c r="B1429" t="s">
        <v>4433</v>
      </c>
      <c r="C1429" t="s">
        <v>4434</v>
      </c>
      <c r="D1429" t="s">
        <v>4435</v>
      </c>
      <c r="E1429" t="s">
        <v>4436</v>
      </c>
      <c r="F1429" t="s">
        <v>4437</v>
      </c>
      <c r="G1429" s="2" t="str">
        <f>HYPERLINK("https://probpalata.gov.ru/files/ИП350300887500000.jpeg","Скачать индивидуальный QR-код магазина")</f>
        <v>Скачать индивидуальный QR-код магазина</v>
      </c>
    </row>
    <row r="1430" spans="1:7" x14ac:dyDescent="0.25">
      <c r="A1430" t="s">
        <v>4234</v>
      </c>
      <c r="B1430" t="s">
        <v>4438</v>
      </c>
      <c r="C1430" t="s">
        <v>4439</v>
      </c>
      <c r="D1430" t="s">
        <v>4440</v>
      </c>
      <c r="E1430" t="s">
        <v>4441</v>
      </c>
      <c r="F1430" t="s">
        <v>4442</v>
      </c>
      <c r="G1430" s="2" t="str">
        <f>HYPERLINK("https://probpalata.gov.ru/files/ЮЛ350303478000000.jpeg","Скачать индивидуальный QR-код магазина")</f>
        <v>Скачать индивидуальный QR-код магазина</v>
      </c>
    </row>
    <row r="1431" spans="1:7" x14ac:dyDescent="0.25">
      <c r="A1431" t="s">
        <v>4234</v>
      </c>
      <c r="B1431" t="s">
        <v>4443</v>
      </c>
      <c r="C1431" t="s">
        <v>4444</v>
      </c>
      <c r="D1431" t="s">
        <v>4445</v>
      </c>
      <c r="E1431" t="s">
        <v>4446</v>
      </c>
      <c r="F1431" t="s">
        <v>4447</v>
      </c>
      <c r="G1431" s="2" t="str">
        <f>HYPERLINK("https://probpalata.gov.ru/files/ЮЛ350300010000000.jpeg","Скачать индивидуальный QR-код магазина")</f>
        <v>Скачать индивидуальный QR-код магазина</v>
      </c>
    </row>
    <row r="1432" spans="1:7" x14ac:dyDescent="0.25">
      <c r="A1432" t="s">
        <v>4234</v>
      </c>
      <c r="B1432" t="s">
        <v>4448</v>
      </c>
      <c r="C1432" t="s">
        <v>4444</v>
      </c>
      <c r="D1432" t="s">
        <v>4445</v>
      </c>
      <c r="E1432" t="s">
        <v>4446</v>
      </c>
      <c r="F1432" t="s">
        <v>4449</v>
      </c>
      <c r="G1432" s="2" t="str">
        <f>HYPERLINK("https://probpalata.gov.ru/files/ЮЛ350300010000001.jpeg","Скачать индивидуальный QR-код магазина")</f>
        <v>Скачать индивидуальный QR-код магазина</v>
      </c>
    </row>
    <row r="1433" spans="1:7" x14ac:dyDescent="0.25">
      <c r="A1433" t="s">
        <v>4234</v>
      </c>
      <c r="B1433" t="s">
        <v>4450</v>
      </c>
      <c r="C1433" t="s">
        <v>4451</v>
      </c>
      <c r="D1433" t="s">
        <v>4452</v>
      </c>
      <c r="E1433" t="s">
        <v>4453</v>
      </c>
      <c r="F1433" t="s">
        <v>4454</v>
      </c>
      <c r="G1433" s="2" t="str">
        <f>HYPERLINK("https://probpalata.gov.ru/files/ИП350300084800000.jpeg","Скачать индивидуальный QR-код магазина")</f>
        <v>Скачать индивидуальный QR-код магазина</v>
      </c>
    </row>
    <row r="1434" spans="1:7" x14ac:dyDescent="0.25">
      <c r="A1434" t="s">
        <v>4234</v>
      </c>
      <c r="B1434" t="s">
        <v>4455</v>
      </c>
      <c r="C1434" t="s">
        <v>4456</v>
      </c>
      <c r="D1434" t="s">
        <v>4457</v>
      </c>
      <c r="E1434" t="s">
        <v>4458</v>
      </c>
      <c r="F1434" t="s">
        <v>4459</v>
      </c>
      <c r="G1434" s="2" t="str">
        <f>HYPERLINK("https://probpalata.gov.ru/files/ИП350300350500000.jpeg","Скачать индивидуальный QR-код магазина")</f>
        <v>Скачать индивидуальный QR-код магазина</v>
      </c>
    </row>
    <row r="1435" spans="1:7" x14ac:dyDescent="0.25">
      <c r="A1435" t="s">
        <v>4234</v>
      </c>
      <c r="B1435" t="s">
        <v>4460</v>
      </c>
      <c r="C1435" t="s">
        <v>4461</v>
      </c>
      <c r="D1435" t="s">
        <v>4462</v>
      </c>
      <c r="E1435" t="s">
        <v>4463</v>
      </c>
      <c r="F1435" t="s">
        <v>4464</v>
      </c>
      <c r="G1435" s="2" t="str">
        <f>HYPERLINK("https://probpalata.gov.ru/files/ИП350300254300000.jpeg","Скачать индивидуальный QR-код магазина")</f>
        <v>Скачать индивидуальный QR-код магазина</v>
      </c>
    </row>
    <row r="1436" spans="1:7" x14ac:dyDescent="0.25">
      <c r="A1436" t="s">
        <v>4234</v>
      </c>
      <c r="B1436" t="s">
        <v>4465</v>
      </c>
      <c r="C1436" t="s">
        <v>1369</v>
      </c>
      <c r="D1436" t="s">
        <v>1370</v>
      </c>
      <c r="E1436" t="s">
        <v>1371</v>
      </c>
      <c r="F1436" t="s">
        <v>4466</v>
      </c>
      <c r="G1436" s="2" t="str">
        <f>HYPERLINK("https://probpalata.gov.ru/files/ИП350303259500000.jpeg","Скачать индивидуальный QR-код магазина")</f>
        <v>Скачать индивидуальный QR-код магазина</v>
      </c>
    </row>
    <row r="1437" spans="1:7" x14ac:dyDescent="0.25">
      <c r="A1437" t="s">
        <v>4234</v>
      </c>
      <c r="B1437" t="s">
        <v>4467</v>
      </c>
      <c r="C1437" t="s">
        <v>1369</v>
      </c>
      <c r="D1437" t="s">
        <v>1370</v>
      </c>
      <c r="E1437" t="s">
        <v>1371</v>
      </c>
      <c r="F1437" t="s">
        <v>4468</v>
      </c>
      <c r="G1437" s="2" t="str">
        <f>HYPERLINK("https://probpalata.gov.ru/files/ИП350303259500002.jpeg","Скачать индивидуальный QR-код магазина")</f>
        <v>Скачать индивидуальный QR-код магазина</v>
      </c>
    </row>
    <row r="1438" spans="1:7" x14ac:dyDescent="0.25">
      <c r="A1438" t="s">
        <v>4234</v>
      </c>
      <c r="B1438" t="s">
        <v>4469</v>
      </c>
      <c r="C1438" t="s">
        <v>4470</v>
      </c>
      <c r="D1438" t="s">
        <v>4471</v>
      </c>
      <c r="E1438" t="s">
        <v>4472</v>
      </c>
      <c r="F1438" t="s">
        <v>4473</v>
      </c>
      <c r="G1438" s="2" t="str">
        <f>HYPERLINK("https://probpalata.gov.ru/files/ИП350300825800000.jpeg","Скачать индивидуальный QR-код магазина")</f>
        <v>Скачать индивидуальный QR-код магазина</v>
      </c>
    </row>
    <row r="1439" spans="1:7" x14ac:dyDescent="0.25">
      <c r="A1439" t="s">
        <v>4234</v>
      </c>
      <c r="B1439" t="s">
        <v>4474</v>
      </c>
      <c r="C1439" t="s">
        <v>4475</v>
      </c>
      <c r="D1439" t="s">
        <v>4476</v>
      </c>
      <c r="E1439" t="s">
        <v>4477</v>
      </c>
      <c r="F1439" t="s">
        <v>4478</v>
      </c>
      <c r="G1439" s="2" t="str">
        <f>HYPERLINK("https://probpalata.gov.ru/files/ИП350300520900000.jpeg","Скачать индивидуальный QR-код магазина")</f>
        <v>Скачать индивидуальный QR-код магазина</v>
      </c>
    </row>
    <row r="1440" spans="1:7" x14ac:dyDescent="0.25">
      <c r="A1440" t="s">
        <v>4234</v>
      </c>
      <c r="B1440" t="s">
        <v>4479</v>
      </c>
      <c r="C1440" t="s">
        <v>4480</v>
      </c>
      <c r="D1440" t="s">
        <v>4481</v>
      </c>
      <c r="E1440" t="s">
        <v>4482</v>
      </c>
      <c r="F1440" t="s">
        <v>4483</v>
      </c>
      <c r="G1440" s="2" t="str">
        <f>HYPERLINK("https://probpalata.gov.ru/files/ИП350300595400000.jpeg","Скачать индивидуальный QR-код магазина")</f>
        <v>Скачать индивидуальный QR-код магазина</v>
      </c>
    </row>
    <row r="1441" spans="1:7" x14ac:dyDescent="0.25">
      <c r="A1441" t="s">
        <v>4234</v>
      </c>
      <c r="B1441" t="s">
        <v>4484</v>
      </c>
      <c r="C1441" t="s">
        <v>4485</v>
      </c>
      <c r="D1441" t="s">
        <v>4486</v>
      </c>
      <c r="E1441" t="s">
        <v>4487</v>
      </c>
      <c r="F1441" t="s">
        <v>4488</v>
      </c>
      <c r="G1441" s="2" t="str">
        <f>HYPERLINK("https://probpalata.gov.ru/files/ИП350300138700000.jpeg","Скачать индивидуальный QR-код магазина")</f>
        <v>Скачать индивидуальный QR-код магазина</v>
      </c>
    </row>
    <row r="1442" spans="1:7" x14ac:dyDescent="0.25">
      <c r="A1442" t="s">
        <v>4234</v>
      </c>
      <c r="B1442" t="s">
        <v>4489</v>
      </c>
      <c r="C1442" t="s">
        <v>4485</v>
      </c>
      <c r="D1442" t="s">
        <v>4486</v>
      </c>
      <c r="E1442" t="s">
        <v>4487</v>
      </c>
      <c r="F1442" t="s">
        <v>4490</v>
      </c>
      <c r="G1442" s="2" t="str">
        <f>HYPERLINK("https://probpalata.gov.ru/files/ИП350300138700001.jpeg","Скачать индивидуальный QR-код магазина")</f>
        <v>Скачать индивидуальный QR-код магазина</v>
      </c>
    </row>
    <row r="1443" spans="1:7" x14ac:dyDescent="0.25">
      <c r="A1443" t="s">
        <v>4234</v>
      </c>
      <c r="B1443" t="s">
        <v>4491</v>
      </c>
      <c r="C1443" t="s">
        <v>4485</v>
      </c>
      <c r="D1443" t="s">
        <v>4486</v>
      </c>
      <c r="E1443" t="s">
        <v>4487</v>
      </c>
      <c r="F1443" t="s">
        <v>4492</v>
      </c>
      <c r="G1443" s="2" t="str">
        <f>HYPERLINK("https://probpalata.gov.ru/files/ИП350300138700002.jpeg","Скачать индивидуальный QR-код магазина")</f>
        <v>Скачать индивидуальный QR-код магазина</v>
      </c>
    </row>
    <row r="1444" spans="1:7" x14ac:dyDescent="0.25">
      <c r="A1444" t="s">
        <v>4234</v>
      </c>
      <c r="B1444" t="s">
        <v>4493</v>
      </c>
      <c r="C1444" t="s">
        <v>4494</v>
      </c>
      <c r="D1444" t="s">
        <v>4495</v>
      </c>
      <c r="E1444" t="s">
        <v>4496</v>
      </c>
      <c r="F1444" t="s">
        <v>4497</v>
      </c>
      <c r="G1444" s="2" t="str">
        <f>HYPERLINK("https://probpalata.gov.ru/files/ИП350303095400000.jpeg","Скачать индивидуальный QR-код магазина")</f>
        <v>Скачать индивидуальный QR-код магазина</v>
      </c>
    </row>
    <row r="1445" spans="1:7" x14ac:dyDescent="0.25">
      <c r="A1445" t="s">
        <v>4234</v>
      </c>
      <c r="B1445" t="s">
        <v>4498</v>
      </c>
      <c r="C1445" t="s">
        <v>4499</v>
      </c>
      <c r="D1445" t="s">
        <v>4500</v>
      </c>
      <c r="E1445" t="s">
        <v>4501</v>
      </c>
      <c r="F1445" t="s">
        <v>4502</v>
      </c>
      <c r="G1445" s="2" t="str">
        <f>HYPERLINK("https://probpalata.gov.ru/files/ИП350303261800000.jpeg","Скачать индивидуальный QR-код магазина")</f>
        <v>Скачать индивидуальный QR-код магазина</v>
      </c>
    </row>
    <row r="1446" spans="1:7" x14ac:dyDescent="0.25">
      <c r="A1446" t="s">
        <v>4234</v>
      </c>
      <c r="B1446" t="s">
        <v>4503</v>
      </c>
      <c r="C1446" t="s">
        <v>4499</v>
      </c>
      <c r="D1446" t="s">
        <v>4500</v>
      </c>
      <c r="E1446" t="s">
        <v>4501</v>
      </c>
      <c r="F1446" t="s">
        <v>4504</v>
      </c>
      <c r="G1446" s="2" t="str">
        <f>HYPERLINK("https://probpalata.gov.ru/files/ИП350303261800001.jpeg","Скачать индивидуальный QR-код магазина")</f>
        <v>Скачать индивидуальный QR-код магазина</v>
      </c>
    </row>
    <row r="1447" spans="1:7" x14ac:dyDescent="0.25">
      <c r="A1447" t="s">
        <v>4234</v>
      </c>
      <c r="B1447" t="s">
        <v>4505</v>
      </c>
      <c r="C1447" t="s">
        <v>4499</v>
      </c>
      <c r="D1447" t="s">
        <v>4500</v>
      </c>
      <c r="E1447" t="s">
        <v>4501</v>
      </c>
      <c r="F1447" t="s">
        <v>4506</v>
      </c>
      <c r="G1447" s="2" t="str">
        <f>HYPERLINK("https://probpalata.gov.ru/files/ИП350303261800002.jpeg","Скачать индивидуальный QR-код магазина")</f>
        <v>Скачать индивидуальный QR-код магазина</v>
      </c>
    </row>
    <row r="1448" spans="1:7" x14ac:dyDescent="0.25">
      <c r="A1448" t="s">
        <v>4234</v>
      </c>
      <c r="B1448" t="s">
        <v>4507</v>
      </c>
      <c r="C1448" t="s">
        <v>4508</v>
      </c>
      <c r="D1448" t="s">
        <v>4509</v>
      </c>
      <c r="E1448" t="s">
        <v>4510</v>
      </c>
      <c r="F1448" t="s">
        <v>4511</v>
      </c>
      <c r="G1448" s="2" t="str">
        <f>HYPERLINK("https://probpalata.gov.ru/files/ИП350300892700001.jpeg","Скачать индивидуальный QR-код магазина")</f>
        <v>Скачать индивидуальный QR-код магазина</v>
      </c>
    </row>
    <row r="1449" spans="1:7" x14ac:dyDescent="0.25">
      <c r="A1449" t="s">
        <v>4234</v>
      </c>
      <c r="B1449" t="s">
        <v>4512</v>
      </c>
      <c r="C1449" t="s">
        <v>4508</v>
      </c>
      <c r="D1449" t="s">
        <v>4509</v>
      </c>
      <c r="E1449" t="s">
        <v>4510</v>
      </c>
      <c r="F1449" t="s">
        <v>4513</v>
      </c>
      <c r="G1449" s="2" t="str">
        <f>HYPERLINK("https://probpalata.gov.ru/files/ИП350300892700002.jpeg","Скачать индивидуальный QR-код магазина")</f>
        <v>Скачать индивидуальный QR-код магазина</v>
      </c>
    </row>
    <row r="1450" spans="1:7" x14ac:dyDescent="0.25">
      <c r="A1450" t="s">
        <v>4234</v>
      </c>
      <c r="B1450" t="s">
        <v>4514</v>
      </c>
      <c r="C1450" t="s">
        <v>4515</v>
      </c>
      <c r="D1450" t="s">
        <v>4516</v>
      </c>
      <c r="E1450" t="s">
        <v>4517</v>
      </c>
      <c r="F1450" t="s">
        <v>4518</v>
      </c>
      <c r="G1450" s="2" t="str">
        <f>HYPERLINK("https://probpalata.gov.ru/files/ИП350303704300000.jpeg","Скачать индивидуальный QR-код магазина")</f>
        <v>Скачать индивидуальный QR-код магазина</v>
      </c>
    </row>
    <row r="1451" spans="1:7" x14ac:dyDescent="0.25">
      <c r="A1451" t="s">
        <v>4234</v>
      </c>
      <c r="B1451" t="s">
        <v>4519</v>
      </c>
      <c r="C1451" t="s">
        <v>4520</v>
      </c>
      <c r="D1451" t="s">
        <v>4521</v>
      </c>
      <c r="E1451" t="s">
        <v>4522</v>
      </c>
      <c r="F1451" t="s">
        <v>4523</v>
      </c>
      <c r="G1451" s="2" t="str">
        <f>HYPERLINK("https://probpalata.gov.ru/files/ИП350300949000001.jpeg","Скачать индивидуальный QR-код магазина")</f>
        <v>Скачать индивидуальный QR-код магазина</v>
      </c>
    </row>
    <row r="1452" spans="1:7" x14ac:dyDescent="0.25">
      <c r="A1452" t="s">
        <v>4234</v>
      </c>
      <c r="B1452" t="s">
        <v>4524</v>
      </c>
      <c r="C1452" t="s">
        <v>4520</v>
      </c>
      <c r="D1452" t="s">
        <v>4521</v>
      </c>
      <c r="E1452" t="s">
        <v>4522</v>
      </c>
      <c r="F1452" t="s">
        <v>4525</v>
      </c>
      <c r="G1452" s="2" t="str">
        <f>HYPERLINK("https://probpalata.gov.ru/files/ИП350300949000002.jpeg","Скачать индивидуальный QR-код магазина")</f>
        <v>Скачать индивидуальный QR-код магазина</v>
      </c>
    </row>
    <row r="1453" spans="1:7" x14ac:dyDescent="0.25">
      <c r="A1453" t="s">
        <v>4234</v>
      </c>
      <c r="B1453" t="s">
        <v>4526</v>
      </c>
      <c r="C1453" t="s">
        <v>4520</v>
      </c>
      <c r="D1453" t="s">
        <v>4521</v>
      </c>
      <c r="E1453" t="s">
        <v>4522</v>
      </c>
      <c r="F1453" t="s">
        <v>4527</v>
      </c>
      <c r="G1453" s="2" t="str">
        <f>HYPERLINK("https://probpalata.gov.ru/files/ИП350300949000003.jpeg","Скачать индивидуальный QR-код магазина")</f>
        <v>Скачать индивидуальный QR-код магазина</v>
      </c>
    </row>
    <row r="1454" spans="1:7" x14ac:dyDescent="0.25">
      <c r="A1454" t="s">
        <v>4234</v>
      </c>
      <c r="B1454" t="s">
        <v>4528</v>
      </c>
      <c r="C1454" t="s">
        <v>4520</v>
      </c>
      <c r="D1454" t="s">
        <v>4521</v>
      </c>
      <c r="E1454" t="s">
        <v>4522</v>
      </c>
      <c r="F1454" t="s">
        <v>4529</v>
      </c>
      <c r="G1454" s="2" t="str">
        <f>HYPERLINK("https://probpalata.gov.ru/files/ИП350300949000004.jpeg","Скачать индивидуальный QR-код магазина")</f>
        <v>Скачать индивидуальный QR-код магазина</v>
      </c>
    </row>
    <row r="1455" spans="1:7" x14ac:dyDescent="0.25">
      <c r="A1455" t="s">
        <v>4234</v>
      </c>
      <c r="B1455" t="s">
        <v>4530</v>
      </c>
      <c r="C1455" t="s">
        <v>4520</v>
      </c>
      <c r="D1455" t="s">
        <v>4521</v>
      </c>
      <c r="E1455" t="s">
        <v>4522</v>
      </c>
      <c r="F1455" t="s">
        <v>4531</v>
      </c>
      <c r="G1455" s="2" t="str">
        <f>HYPERLINK("https://probpalata.gov.ru/files/ИП350300949000005.jpeg","Скачать индивидуальный QR-код магазина")</f>
        <v>Скачать индивидуальный QR-код магазина</v>
      </c>
    </row>
    <row r="1456" spans="1:7" x14ac:dyDescent="0.25">
      <c r="A1456" t="s">
        <v>4234</v>
      </c>
      <c r="B1456" t="s">
        <v>4532</v>
      </c>
      <c r="C1456" t="s">
        <v>4520</v>
      </c>
      <c r="D1456" t="s">
        <v>4521</v>
      </c>
      <c r="E1456" t="s">
        <v>4522</v>
      </c>
      <c r="F1456" t="s">
        <v>4533</v>
      </c>
      <c r="G1456" s="2" t="str">
        <f>HYPERLINK("https://probpalata.gov.ru/files/ИП350300949000006.jpeg","Скачать индивидуальный QR-код магазина")</f>
        <v>Скачать индивидуальный QR-код магазина</v>
      </c>
    </row>
    <row r="1457" spans="1:7" x14ac:dyDescent="0.25">
      <c r="A1457" t="s">
        <v>4234</v>
      </c>
      <c r="B1457" t="s">
        <v>4534</v>
      </c>
      <c r="C1457" t="s">
        <v>4535</v>
      </c>
      <c r="D1457" t="s">
        <v>4536</v>
      </c>
      <c r="E1457" t="s">
        <v>4537</v>
      </c>
      <c r="F1457" t="s">
        <v>4538</v>
      </c>
      <c r="G1457" s="2" t="str">
        <f>HYPERLINK("https://probpalata.gov.ru/files/ИП350300816100000.jpeg","Скачать индивидуальный QR-код магазина")</f>
        <v>Скачать индивидуальный QR-код магазина</v>
      </c>
    </row>
    <row r="1458" spans="1:7" x14ac:dyDescent="0.25">
      <c r="A1458" t="s">
        <v>4234</v>
      </c>
      <c r="B1458" t="s">
        <v>4539</v>
      </c>
      <c r="C1458" t="s">
        <v>4540</v>
      </c>
      <c r="D1458" t="s">
        <v>4541</v>
      </c>
      <c r="E1458" t="s">
        <v>4542</v>
      </c>
      <c r="F1458" t="s">
        <v>4543</v>
      </c>
      <c r="G1458" s="2" t="str">
        <f>HYPERLINK("https://probpalata.gov.ru/files/ЮЛ350300981600000.jpeg","Скачать индивидуальный QR-код магазина")</f>
        <v>Скачать индивидуальный QR-код магазина</v>
      </c>
    </row>
    <row r="1459" spans="1:7" x14ac:dyDescent="0.25">
      <c r="A1459" t="s">
        <v>4234</v>
      </c>
      <c r="B1459" t="s">
        <v>4544</v>
      </c>
      <c r="C1459" t="s">
        <v>4540</v>
      </c>
      <c r="D1459" t="s">
        <v>4541</v>
      </c>
      <c r="E1459" t="s">
        <v>4542</v>
      </c>
      <c r="F1459" t="s">
        <v>4545</v>
      </c>
      <c r="G1459" s="2" t="str">
        <f>HYPERLINK("https://probpalata.gov.ru/files/ЮЛ350300981600002.jpeg","Скачать индивидуальный QR-код магазина")</f>
        <v>Скачать индивидуальный QR-код магазина</v>
      </c>
    </row>
    <row r="1460" spans="1:7" x14ac:dyDescent="0.25">
      <c r="A1460" t="s">
        <v>4234</v>
      </c>
      <c r="B1460" t="s">
        <v>4546</v>
      </c>
      <c r="C1460" t="s">
        <v>4540</v>
      </c>
      <c r="D1460" t="s">
        <v>4541</v>
      </c>
      <c r="E1460" t="s">
        <v>4542</v>
      </c>
      <c r="F1460" t="s">
        <v>4547</v>
      </c>
      <c r="G1460" s="2" t="str">
        <f>HYPERLINK("https://probpalata.gov.ru/files/ЮЛ350300981600003.jpeg","Скачать индивидуальный QR-код магазина")</f>
        <v>Скачать индивидуальный QR-код магазина</v>
      </c>
    </row>
    <row r="1461" spans="1:7" x14ac:dyDescent="0.25">
      <c r="A1461" t="s">
        <v>4234</v>
      </c>
      <c r="B1461" t="s">
        <v>4548</v>
      </c>
      <c r="C1461" t="s">
        <v>4549</v>
      </c>
      <c r="D1461" t="s">
        <v>4550</v>
      </c>
      <c r="E1461" t="s">
        <v>4551</v>
      </c>
      <c r="F1461" t="s">
        <v>4552</v>
      </c>
      <c r="G1461" s="2" t="str">
        <f>HYPERLINK("https://probpalata.gov.ru/files/ЮЛ350300133500000.jpeg","Скачать индивидуальный QR-код магазина")</f>
        <v>Скачать индивидуальный QR-код магазина</v>
      </c>
    </row>
    <row r="1462" spans="1:7" x14ac:dyDescent="0.25">
      <c r="A1462" t="s">
        <v>4234</v>
      </c>
      <c r="B1462" t="s">
        <v>4553</v>
      </c>
      <c r="C1462" t="s">
        <v>4554</v>
      </c>
      <c r="D1462" t="s">
        <v>4555</v>
      </c>
      <c r="E1462" t="s">
        <v>4556</v>
      </c>
      <c r="F1462" t="s">
        <v>4557</v>
      </c>
      <c r="G1462" s="2" t="str">
        <f>HYPERLINK("https://probpalata.gov.ru/files/ЮЛ350300553200000.jpeg","Скачать индивидуальный QR-код магазина")</f>
        <v>Скачать индивидуальный QR-код магазина</v>
      </c>
    </row>
    <row r="1463" spans="1:7" x14ac:dyDescent="0.25">
      <c r="A1463" t="s">
        <v>4234</v>
      </c>
      <c r="B1463" t="s">
        <v>4558</v>
      </c>
      <c r="C1463" t="s">
        <v>4559</v>
      </c>
      <c r="D1463" t="s">
        <v>4560</v>
      </c>
      <c r="E1463" t="s">
        <v>4561</v>
      </c>
      <c r="F1463" t="s">
        <v>4562</v>
      </c>
      <c r="G1463" s="2" t="str">
        <f>HYPERLINK("https://probpalata.gov.ru/files/ИП440200822300004.jpeg","Скачать индивидуальный QR-код магазина")</f>
        <v>Скачать индивидуальный QR-код магазина</v>
      </c>
    </row>
    <row r="1464" spans="1:7" x14ac:dyDescent="0.25">
      <c r="A1464" t="s">
        <v>4234</v>
      </c>
      <c r="B1464" t="s">
        <v>4563</v>
      </c>
      <c r="C1464" t="s">
        <v>4559</v>
      </c>
      <c r="D1464" t="s">
        <v>4560</v>
      </c>
      <c r="E1464" t="s">
        <v>4561</v>
      </c>
      <c r="F1464" t="s">
        <v>4564</v>
      </c>
      <c r="G1464" s="2" t="str">
        <f>HYPERLINK("https://probpalata.gov.ru/files/ИП440200822300005.jpeg","Скачать индивидуальный QR-код магазина")</f>
        <v>Скачать индивидуальный QR-код магазина</v>
      </c>
    </row>
    <row r="1465" spans="1:7" x14ac:dyDescent="0.25">
      <c r="A1465" t="s">
        <v>4234</v>
      </c>
      <c r="B1465" t="s">
        <v>4565</v>
      </c>
      <c r="C1465" t="s">
        <v>4559</v>
      </c>
      <c r="D1465" t="s">
        <v>4560</v>
      </c>
      <c r="E1465" t="s">
        <v>4561</v>
      </c>
      <c r="F1465" t="s">
        <v>4566</v>
      </c>
      <c r="G1465" s="2" t="str">
        <f>HYPERLINK("https://probpalata.gov.ru/files/ИП440200822300011.jpeg","Скачать индивидуальный QR-код магазина")</f>
        <v>Скачать индивидуальный QR-код магазина</v>
      </c>
    </row>
    <row r="1466" spans="1:7" x14ac:dyDescent="0.25">
      <c r="A1466" t="s">
        <v>4234</v>
      </c>
      <c r="B1466" t="s">
        <v>4567</v>
      </c>
      <c r="C1466" t="s">
        <v>4568</v>
      </c>
      <c r="D1466" t="s">
        <v>4569</v>
      </c>
      <c r="E1466" t="s">
        <v>4570</v>
      </c>
      <c r="F1466" t="s">
        <v>4571</v>
      </c>
      <c r="G1466" s="2" t="str">
        <f>HYPERLINK("https://probpalata.gov.ru/files/ИП440200694500010.jpeg","Скачать индивидуальный QR-код магазина")</f>
        <v>Скачать индивидуальный QR-код магазина</v>
      </c>
    </row>
    <row r="1467" spans="1:7" x14ac:dyDescent="0.25">
      <c r="A1467" t="s">
        <v>4234</v>
      </c>
      <c r="B1467" t="s">
        <v>4572</v>
      </c>
      <c r="C1467" t="s">
        <v>4568</v>
      </c>
      <c r="D1467" t="s">
        <v>4569</v>
      </c>
      <c r="E1467" t="s">
        <v>4570</v>
      </c>
      <c r="F1467" t="s">
        <v>4573</v>
      </c>
      <c r="G1467" s="2" t="str">
        <f>HYPERLINK("https://probpalata.gov.ru/files/ИП440200694500013.jpeg","Скачать индивидуальный QR-код магазина")</f>
        <v>Скачать индивидуальный QR-код магазина</v>
      </c>
    </row>
    <row r="1468" spans="1:7" x14ac:dyDescent="0.25">
      <c r="A1468" t="s">
        <v>4234</v>
      </c>
      <c r="B1468" t="s">
        <v>4574</v>
      </c>
      <c r="C1468" t="s">
        <v>4575</v>
      </c>
      <c r="D1468" t="s">
        <v>4576</v>
      </c>
      <c r="E1468" t="s">
        <v>4577</v>
      </c>
      <c r="F1468" t="s">
        <v>4578</v>
      </c>
      <c r="G1468" s="2" t="str">
        <f>HYPERLINK("https://probpalata.gov.ru/files/ИП350300414400002.jpeg","Скачать индивидуальный QR-код магазина")</f>
        <v>Скачать индивидуальный QR-код магазина</v>
      </c>
    </row>
    <row r="1469" spans="1:7" x14ac:dyDescent="0.25">
      <c r="A1469" t="s">
        <v>4234</v>
      </c>
      <c r="B1469" t="s">
        <v>4579</v>
      </c>
      <c r="C1469" t="s">
        <v>4575</v>
      </c>
      <c r="D1469" t="s">
        <v>4576</v>
      </c>
      <c r="E1469" t="s">
        <v>4577</v>
      </c>
      <c r="F1469" t="s">
        <v>4580</v>
      </c>
      <c r="G1469" s="2" t="str">
        <f>HYPERLINK("https://probpalata.gov.ru/files/ИП350300414400010.jpeg","Скачать индивидуальный QR-код магазина")</f>
        <v>Скачать индивидуальный QR-код магазина</v>
      </c>
    </row>
    <row r="1470" spans="1:7" x14ac:dyDescent="0.25">
      <c r="A1470" t="s">
        <v>4234</v>
      </c>
      <c r="B1470" t="s">
        <v>4322</v>
      </c>
      <c r="C1470" t="s">
        <v>4575</v>
      </c>
      <c r="D1470" t="s">
        <v>4576</v>
      </c>
      <c r="E1470" t="s">
        <v>4577</v>
      </c>
      <c r="F1470" t="s">
        <v>4581</v>
      </c>
      <c r="G1470" s="2" t="str">
        <f>HYPERLINK("https://probpalata.gov.ru/files/ИП350300414400016.jpeg","Скачать индивидуальный QR-код магазина")</f>
        <v>Скачать индивидуальный QR-код магазина</v>
      </c>
    </row>
    <row r="1471" spans="1:7" x14ac:dyDescent="0.25">
      <c r="A1471" t="s">
        <v>4234</v>
      </c>
      <c r="B1471" t="s">
        <v>4582</v>
      </c>
      <c r="C1471" t="s">
        <v>4575</v>
      </c>
      <c r="D1471" t="s">
        <v>4576</v>
      </c>
      <c r="E1471" t="s">
        <v>4577</v>
      </c>
      <c r="F1471" t="s">
        <v>4583</v>
      </c>
      <c r="G1471" s="2" t="str">
        <f>HYPERLINK("https://probpalata.gov.ru/files/ИП350300414400034.jpeg","Скачать индивидуальный QR-код магазина")</f>
        <v>Скачать индивидуальный QR-код магазина</v>
      </c>
    </row>
    <row r="1472" spans="1:7" x14ac:dyDescent="0.25">
      <c r="A1472" t="s">
        <v>4234</v>
      </c>
      <c r="B1472" t="s">
        <v>4584</v>
      </c>
      <c r="C1472" t="s">
        <v>1374</v>
      </c>
      <c r="D1472" t="s">
        <v>1375</v>
      </c>
      <c r="E1472" t="s">
        <v>1376</v>
      </c>
      <c r="F1472" t="s">
        <v>4585</v>
      </c>
      <c r="G1472" s="2" t="str">
        <f>HYPERLINK("https://probpalata.gov.ru/files/ИП290300742200005.jpeg","Скачать индивидуальный QR-код магазина")</f>
        <v>Скачать индивидуальный QR-код магазина</v>
      </c>
    </row>
    <row r="1473" spans="1:7" x14ac:dyDescent="0.25">
      <c r="A1473" t="s">
        <v>4234</v>
      </c>
      <c r="B1473" t="s">
        <v>4586</v>
      </c>
      <c r="C1473" t="s">
        <v>4587</v>
      </c>
      <c r="D1473" t="s">
        <v>4588</v>
      </c>
      <c r="E1473" t="s">
        <v>4589</v>
      </c>
      <c r="F1473" t="s">
        <v>4590</v>
      </c>
      <c r="G1473" s="2" t="str">
        <f>HYPERLINK("https://probpalata.gov.ru/files/ИП440200936500002.jpeg","Скачать индивидуальный QR-код магазина")</f>
        <v>Скачать индивидуальный QR-код магазина</v>
      </c>
    </row>
    <row r="1474" spans="1:7" x14ac:dyDescent="0.25">
      <c r="A1474" t="s">
        <v>4234</v>
      </c>
      <c r="B1474" t="s">
        <v>4591</v>
      </c>
      <c r="C1474" t="s">
        <v>4592</v>
      </c>
      <c r="D1474" t="s">
        <v>4593</v>
      </c>
      <c r="E1474" t="s">
        <v>4594</v>
      </c>
      <c r="F1474" t="s">
        <v>4595</v>
      </c>
      <c r="G1474" s="2" t="str">
        <f>HYPERLINK("https://probpalata.gov.ru/files/ИП350300388400000.jpeg","Скачать индивидуальный QR-код магазина")</f>
        <v>Скачать индивидуальный QR-код магазина</v>
      </c>
    </row>
    <row r="1475" spans="1:7" x14ac:dyDescent="0.25">
      <c r="A1475" t="s">
        <v>4234</v>
      </c>
      <c r="B1475" t="s">
        <v>4596</v>
      </c>
      <c r="C1475" t="s">
        <v>4597</v>
      </c>
      <c r="D1475" t="s">
        <v>4598</v>
      </c>
      <c r="E1475" t="s">
        <v>4599</v>
      </c>
      <c r="F1475" t="s">
        <v>4600</v>
      </c>
      <c r="G1475" s="2" t="str">
        <f>HYPERLINK("https://probpalata.gov.ru/files/ИП470301839400000.jpeg","Скачать индивидуальный QR-код магазина")</f>
        <v>Скачать индивидуальный QR-код магазина</v>
      </c>
    </row>
    <row r="1476" spans="1:7" x14ac:dyDescent="0.25">
      <c r="A1476" t="s">
        <v>4234</v>
      </c>
      <c r="B1476" t="s">
        <v>4601</v>
      </c>
      <c r="C1476" t="s">
        <v>681</v>
      </c>
      <c r="D1476" t="s">
        <v>682</v>
      </c>
      <c r="E1476" t="s">
        <v>683</v>
      </c>
      <c r="F1476" t="s">
        <v>4602</v>
      </c>
      <c r="G1476" s="2" t="str">
        <f>HYPERLINK("https://probpalata.gov.ru/files/ИП520600807800002.jpeg","Скачать индивидуальный QR-код магазина")</f>
        <v>Скачать индивидуальный QR-код магазина</v>
      </c>
    </row>
    <row r="1477" spans="1:7" x14ac:dyDescent="0.25">
      <c r="A1477" t="s">
        <v>4234</v>
      </c>
      <c r="B1477" t="s">
        <v>4603</v>
      </c>
      <c r="C1477" t="s">
        <v>1735</v>
      </c>
      <c r="D1477" t="s">
        <v>1736</v>
      </c>
      <c r="E1477" t="s">
        <v>1737</v>
      </c>
      <c r="F1477" t="s">
        <v>4604</v>
      </c>
      <c r="G1477" s="2" t="str">
        <f>HYPERLINK("https://probpalata.gov.ru/files/ЮЛ520603376600107.jpeg","Скачать индивидуальный QR-код магазина")</f>
        <v>Скачать индивидуальный QR-код магазина</v>
      </c>
    </row>
    <row r="1478" spans="1:7" x14ac:dyDescent="0.25">
      <c r="A1478" t="s">
        <v>4234</v>
      </c>
      <c r="B1478" t="s">
        <v>4605</v>
      </c>
      <c r="C1478" t="s">
        <v>1740</v>
      </c>
      <c r="D1478" t="s">
        <v>1741</v>
      </c>
      <c r="E1478" t="s">
        <v>1742</v>
      </c>
      <c r="F1478" t="s">
        <v>4606</v>
      </c>
      <c r="G1478" s="2" t="str">
        <f>HYPERLINK("https://probpalata.gov.ru/files/ЮЛ760201190700012.jpeg","Скачать индивидуальный QR-код магазина")</f>
        <v>Скачать индивидуальный QR-код магазина</v>
      </c>
    </row>
    <row r="1479" spans="1:7" x14ac:dyDescent="0.25">
      <c r="A1479" t="s">
        <v>4234</v>
      </c>
      <c r="B1479" t="s">
        <v>4607</v>
      </c>
      <c r="C1479" t="s">
        <v>3157</v>
      </c>
      <c r="D1479" t="s">
        <v>3158</v>
      </c>
      <c r="E1479" t="s">
        <v>3159</v>
      </c>
      <c r="F1479" t="s">
        <v>4608</v>
      </c>
      <c r="G1479" s="2" t="str">
        <f>HYPERLINK("https://probpalata.gov.ru/files/ИП770100417900005.jpeg","Скачать индивидуальный QR-код магазина")</f>
        <v>Скачать индивидуальный QR-код магазина</v>
      </c>
    </row>
    <row r="1480" spans="1:7" x14ac:dyDescent="0.25">
      <c r="A1480" t="s">
        <v>4234</v>
      </c>
      <c r="B1480" t="s">
        <v>4609</v>
      </c>
      <c r="C1480" t="s">
        <v>3157</v>
      </c>
      <c r="D1480" t="s">
        <v>3158</v>
      </c>
      <c r="E1480" t="s">
        <v>3159</v>
      </c>
      <c r="F1480" t="s">
        <v>4610</v>
      </c>
      <c r="G1480" s="2" t="str">
        <f>HYPERLINK("https://probpalata.gov.ru/files/ИП770100417900054.jpeg","Скачать индивидуальный QR-код магазина")</f>
        <v>Скачать индивидуальный QR-код магазина</v>
      </c>
    </row>
    <row r="1481" spans="1:7" x14ac:dyDescent="0.25">
      <c r="A1481" t="s">
        <v>4234</v>
      </c>
      <c r="B1481" t="s">
        <v>4611</v>
      </c>
      <c r="C1481" t="s">
        <v>713</v>
      </c>
      <c r="D1481" t="s">
        <v>714</v>
      </c>
      <c r="E1481" t="s">
        <v>715</v>
      </c>
      <c r="F1481" t="s">
        <v>4612</v>
      </c>
      <c r="G1481" s="2" t="str">
        <f>HYPERLINK("https://probpalata.gov.ru/files/ЮЛ770101216600273.jpeg","Скачать индивидуальный QR-код магазина")</f>
        <v>Скачать индивидуальный QR-код магазина</v>
      </c>
    </row>
    <row r="1482" spans="1:7" x14ac:dyDescent="0.25">
      <c r="A1482" t="s">
        <v>4234</v>
      </c>
      <c r="B1482" t="s">
        <v>4613</v>
      </c>
      <c r="C1482" t="s">
        <v>713</v>
      </c>
      <c r="D1482" t="s">
        <v>714</v>
      </c>
      <c r="E1482" t="s">
        <v>715</v>
      </c>
      <c r="F1482" t="s">
        <v>4614</v>
      </c>
      <c r="G1482" s="2" t="str">
        <f>HYPERLINK("https://probpalata.gov.ru/files/ЮЛ770101216600279.jpeg","Скачать индивидуальный QR-код магазина")</f>
        <v>Скачать индивидуальный QR-код магазина</v>
      </c>
    </row>
    <row r="1483" spans="1:7" x14ac:dyDescent="0.25">
      <c r="A1483" t="s">
        <v>4234</v>
      </c>
      <c r="B1483" t="s">
        <v>4615</v>
      </c>
      <c r="C1483" t="s">
        <v>713</v>
      </c>
      <c r="D1483" t="s">
        <v>714</v>
      </c>
      <c r="E1483" t="s">
        <v>715</v>
      </c>
      <c r="F1483" t="s">
        <v>4616</v>
      </c>
      <c r="G1483" s="2" t="str">
        <f>HYPERLINK("https://probpalata.gov.ru/files/ЮЛ770101216600329.jpeg","Скачать индивидуальный QR-код магазина")</f>
        <v>Скачать индивидуальный QR-код магазина</v>
      </c>
    </row>
    <row r="1484" spans="1:7" x14ac:dyDescent="0.25">
      <c r="A1484" t="s">
        <v>4234</v>
      </c>
      <c r="B1484" t="s">
        <v>4617</v>
      </c>
      <c r="C1484" t="s">
        <v>713</v>
      </c>
      <c r="D1484" t="s">
        <v>714</v>
      </c>
      <c r="E1484" t="s">
        <v>715</v>
      </c>
      <c r="F1484" t="s">
        <v>4618</v>
      </c>
      <c r="G1484" s="2" t="str">
        <f>HYPERLINK("https://probpalata.gov.ru/files/ЮЛ770101216600413.jpeg","Скачать индивидуальный QR-код магазина")</f>
        <v>Скачать индивидуальный QR-код магазина</v>
      </c>
    </row>
    <row r="1485" spans="1:7" x14ac:dyDescent="0.25">
      <c r="A1485" t="s">
        <v>4234</v>
      </c>
      <c r="B1485" t="s">
        <v>4619</v>
      </c>
      <c r="C1485" t="s">
        <v>713</v>
      </c>
      <c r="D1485" t="s">
        <v>714</v>
      </c>
      <c r="E1485" t="s">
        <v>715</v>
      </c>
      <c r="F1485" t="s">
        <v>4620</v>
      </c>
      <c r="G1485" s="2" t="str">
        <f>HYPERLINK("https://probpalata.gov.ru/files/ЮЛ770101216600453.jpeg","Скачать индивидуальный QR-код магазина")</f>
        <v>Скачать индивидуальный QR-код магазина</v>
      </c>
    </row>
    <row r="1486" spans="1:7" x14ac:dyDescent="0.25">
      <c r="A1486" t="s">
        <v>4234</v>
      </c>
      <c r="B1486" t="s">
        <v>4621</v>
      </c>
      <c r="C1486" t="s">
        <v>713</v>
      </c>
      <c r="D1486" t="s">
        <v>714</v>
      </c>
      <c r="E1486" t="s">
        <v>715</v>
      </c>
      <c r="F1486" t="s">
        <v>4622</v>
      </c>
      <c r="G1486" s="2" t="str">
        <f>HYPERLINK("https://probpalata.gov.ru/files/ЮЛ770101216600536.jpeg","Скачать индивидуальный QR-код магазина")</f>
        <v>Скачать индивидуальный QR-код магазина</v>
      </c>
    </row>
    <row r="1487" spans="1:7" x14ac:dyDescent="0.25">
      <c r="A1487" t="s">
        <v>4234</v>
      </c>
      <c r="B1487" t="s">
        <v>4623</v>
      </c>
      <c r="C1487" t="s">
        <v>713</v>
      </c>
      <c r="D1487" t="s">
        <v>714</v>
      </c>
      <c r="E1487" t="s">
        <v>715</v>
      </c>
      <c r="F1487" t="s">
        <v>4624</v>
      </c>
      <c r="G1487" s="2" t="str">
        <f>HYPERLINK("https://probpalata.gov.ru/files/ЮЛ770101216600695.jpeg","Скачать индивидуальный QR-код магазина")</f>
        <v>Скачать индивидуальный QR-код магазина</v>
      </c>
    </row>
    <row r="1488" spans="1:7" x14ac:dyDescent="0.25">
      <c r="A1488" t="s">
        <v>4234</v>
      </c>
      <c r="B1488" t="s">
        <v>4625</v>
      </c>
      <c r="C1488" t="s">
        <v>713</v>
      </c>
      <c r="D1488" t="s">
        <v>714</v>
      </c>
      <c r="E1488" t="s">
        <v>715</v>
      </c>
      <c r="F1488" t="s">
        <v>4626</v>
      </c>
      <c r="G1488" s="2" t="str">
        <f>HYPERLINK("https://probpalata.gov.ru/files/ЮЛ770101216600725.jpeg","Скачать индивидуальный QR-код магазина")</f>
        <v>Скачать индивидуальный QR-код магазина</v>
      </c>
    </row>
    <row r="1489" spans="1:7" x14ac:dyDescent="0.25">
      <c r="A1489" t="s">
        <v>4234</v>
      </c>
      <c r="B1489" t="s">
        <v>4627</v>
      </c>
      <c r="C1489" t="s">
        <v>713</v>
      </c>
      <c r="D1489" t="s">
        <v>714</v>
      </c>
      <c r="E1489" t="s">
        <v>715</v>
      </c>
      <c r="F1489" t="s">
        <v>4628</v>
      </c>
      <c r="G1489" s="2" t="str">
        <f>HYPERLINK("https://probpalata.gov.ru/files/ЮЛ770101216600837.jpeg","Скачать индивидуальный QR-код магазина")</f>
        <v>Скачать индивидуальный QR-код магазина</v>
      </c>
    </row>
    <row r="1490" spans="1:7" x14ac:dyDescent="0.25">
      <c r="A1490" t="s">
        <v>4234</v>
      </c>
      <c r="B1490" t="s">
        <v>4629</v>
      </c>
      <c r="C1490" t="s">
        <v>1416</v>
      </c>
      <c r="D1490" t="s">
        <v>1417</v>
      </c>
      <c r="E1490" t="s">
        <v>1418</v>
      </c>
      <c r="F1490" t="s">
        <v>4630</v>
      </c>
      <c r="G1490" s="2" t="str">
        <f>HYPERLINK("https://probpalata.gov.ru/files/ЮЛ770100419400204.jpeg","Скачать индивидуальный QR-код магазина")</f>
        <v>Скачать индивидуальный QR-код магазина</v>
      </c>
    </row>
    <row r="1491" spans="1:7" x14ac:dyDescent="0.25">
      <c r="A1491" t="s">
        <v>4234</v>
      </c>
      <c r="B1491" t="s">
        <v>4631</v>
      </c>
      <c r="C1491" t="s">
        <v>1416</v>
      </c>
      <c r="D1491" t="s">
        <v>1417</v>
      </c>
      <c r="E1491" t="s">
        <v>1418</v>
      </c>
      <c r="F1491" t="s">
        <v>4632</v>
      </c>
      <c r="G1491" s="2" t="str">
        <f>HYPERLINK("https://probpalata.gov.ru/files/ЮЛ770100419400223.jpeg","Скачать индивидуальный QR-код магазина")</f>
        <v>Скачать индивидуальный QR-код магазина</v>
      </c>
    </row>
    <row r="1492" spans="1:7" x14ac:dyDescent="0.25">
      <c r="A1492" t="s">
        <v>4234</v>
      </c>
      <c r="B1492" t="s">
        <v>4633</v>
      </c>
      <c r="C1492" t="s">
        <v>748</v>
      </c>
      <c r="D1492" t="s">
        <v>749</v>
      </c>
      <c r="E1492" t="s">
        <v>750</v>
      </c>
      <c r="F1492" t="s">
        <v>4634</v>
      </c>
      <c r="G1492" s="2" t="str">
        <f>HYPERLINK("https://probpalata.gov.ru/files/ЮЛ770100193500128.jpeg","Скачать индивидуальный QR-код магазина")</f>
        <v>Скачать индивидуальный QR-код магазина</v>
      </c>
    </row>
    <row r="1493" spans="1:7" x14ac:dyDescent="0.25">
      <c r="A1493" t="s">
        <v>4234</v>
      </c>
      <c r="B1493" t="s">
        <v>4635</v>
      </c>
      <c r="C1493" t="s">
        <v>748</v>
      </c>
      <c r="D1493" t="s">
        <v>749</v>
      </c>
      <c r="E1493" t="s">
        <v>750</v>
      </c>
      <c r="F1493" t="s">
        <v>4636</v>
      </c>
      <c r="G1493" s="2" t="str">
        <f>HYPERLINK("https://probpalata.gov.ru/files/ЮЛ770100193500130.jpeg","Скачать индивидуальный QR-код магазина")</f>
        <v>Скачать индивидуальный QR-код магазина</v>
      </c>
    </row>
    <row r="1494" spans="1:7" x14ac:dyDescent="0.25">
      <c r="A1494" t="s">
        <v>4234</v>
      </c>
      <c r="B1494" t="s">
        <v>4637</v>
      </c>
      <c r="C1494" t="s">
        <v>748</v>
      </c>
      <c r="D1494" t="s">
        <v>749</v>
      </c>
      <c r="E1494" t="s">
        <v>750</v>
      </c>
      <c r="F1494" t="s">
        <v>4638</v>
      </c>
      <c r="G1494" s="2" t="str">
        <f>HYPERLINK("https://probpalata.gov.ru/files/ЮЛ770100193500572.jpeg","Скачать индивидуальный QR-код магазина")</f>
        <v>Скачать индивидуальный QR-код магазина</v>
      </c>
    </row>
    <row r="1495" spans="1:7" x14ac:dyDescent="0.25">
      <c r="A1495" t="s">
        <v>4234</v>
      </c>
      <c r="B1495" t="s">
        <v>4639</v>
      </c>
      <c r="C1495" t="s">
        <v>748</v>
      </c>
      <c r="D1495" t="s">
        <v>749</v>
      </c>
      <c r="E1495" t="s">
        <v>750</v>
      </c>
      <c r="F1495" t="s">
        <v>4640</v>
      </c>
      <c r="G1495" s="2" t="str">
        <f>HYPERLINK("https://probpalata.gov.ru/files/ЮЛ770100193500584.jpeg","Скачать индивидуальный QR-код магазина")</f>
        <v>Скачать индивидуальный QR-код магазина</v>
      </c>
    </row>
    <row r="1496" spans="1:7" x14ac:dyDescent="0.25">
      <c r="A1496" t="s">
        <v>4234</v>
      </c>
      <c r="B1496" t="s">
        <v>4641</v>
      </c>
      <c r="C1496" t="s">
        <v>748</v>
      </c>
      <c r="D1496" t="s">
        <v>749</v>
      </c>
      <c r="E1496" t="s">
        <v>750</v>
      </c>
      <c r="F1496" t="s">
        <v>4642</v>
      </c>
      <c r="G1496" s="2" t="str">
        <f>HYPERLINK("https://probpalata.gov.ru/files/ЮЛ770100193501032.jpeg","Скачать индивидуальный QR-код магазина")</f>
        <v>Скачать индивидуальный QR-код магазина</v>
      </c>
    </row>
    <row r="1497" spans="1:7" x14ac:dyDescent="0.25">
      <c r="A1497" t="s">
        <v>4234</v>
      </c>
      <c r="B1497" t="s">
        <v>4643</v>
      </c>
      <c r="C1497" t="s">
        <v>1441</v>
      </c>
      <c r="D1497" t="s">
        <v>1442</v>
      </c>
      <c r="E1497" t="s">
        <v>1443</v>
      </c>
      <c r="F1497" t="s">
        <v>4644</v>
      </c>
      <c r="G1497" s="2" t="str">
        <f>HYPERLINK("https://probpalata.gov.ru/files/ЮЛ780300179700012.jpeg","Скачать индивидуальный QR-код магазина")</f>
        <v>Скачать индивидуальный QR-код магазина</v>
      </c>
    </row>
    <row r="1498" spans="1:7" x14ac:dyDescent="0.25">
      <c r="A1498" t="s">
        <v>4234</v>
      </c>
      <c r="B1498" t="s">
        <v>4641</v>
      </c>
      <c r="C1498" t="s">
        <v>791</v>
      </c>
      <c r="D1498" t="s">
        <v>792</v>
      </c>
      <c r="E1498" t="s">
        <v>793</v>
      </c>
      <c r="F1498" t="s">
        <v>4645</v>
      </c>
      <c r="G1498" s="2" t="str">
        <f>HYPERLINK("https://probpalata.gov.ru/files/ЮЛ780300323500080.jpeg","Скачать индивидуальный QR-код магазина")</f>
        <v>Скачать индивидуальный QR-код магазина</v>
      </c>
    </row>
    <row r="1499" spans="1:7" x14ac:dyDescent="0.25">
      <c r="A1499" t="s">
        <v>4234</v>
      </c>
      <c r="B1499" t="s">
        <v>4646</v>
      </c>
      <c r="C1499" t="s">
        <v>791</v>
      </c>
      <c r="D1499" t="s">
        <v>792</v>
      </c>
      <c r="E1499" t="s">
        <v>793</v>
      </c>
      <c r="F1499" t="s">
        <v>4647</v>
      </c>
      <c r="G1499" s="2" t="str">
        <f>HYPERLINK("https://probpalata.gov.ru/files/ЮЛ780300323500081.jpeg","Скачать индивидуальный QR-код магазина")</f>
        <v>Скачать индивидуальный QR-код магазина</v>
      </c>
    </row>
    <row r="1500" spans="1:7" x14ac:dyDescent="0.25">
      <c r="A1500" t="s">
        <v>4234</v>
      </c>
      <c r="B1500" t="s">
        <v>4648</v>
      </c>
      <c r="C1500" t="s">
        <v>791</v>
      </c>
      <c r="D1500" t="s">
        <v>792</v>
      </c>
      <c r="E1500" t="s">
        <v>793</v>
      </c>
      <c r="F1500" t="s">
        <v>4649</v>
      </c>
      <c r="G1500" s="2" t="str">
        <f>HYPERLINK("https://probpalata.gov.ru/files/ЮЛ780300323500202.jpeg","Скачать индивидуальный QR-код магазина")</f>
        <v>Скачать индивидуальный QR-код магазина</v>
      </c>
    </row>
    <row r="1501" spans="1:7" x14ac:dyDescent="0.25">
      <c r="A1501" t="s">
        <v>4234</v>
      </c>
      <c r="B1501" t="s">
        <v>4650</v>
      </c>
      <c r="C1501" t="s">
        <v>791</v>
      </c>
      <c r="D1501" t="s">
        <v>792</v>
      </c>
      <c r="E1501" t="s">
        <v>793</v>
      </c>
      <c r="F1501" t="s">
        <v>4651</v>
      </c>
      <c r="G1501" s="2" t="str">
        <f>HYPERLINK("https://probpalata.gov.ru/files/ЮЛ780300323500203.jpeg","Скачать индивидуальный QR-код магазина")</f>
        <v>Скачать индивидуальный QR-код магазина</v>
      </c>
    </row>
    <row r="1502" spans="1:7" x14ac:dyDescent="0.25">
      <c r="A1502" t="s">
        <v>4234</v>
      </c>
      <c r="B1502" t="s">
        <v>4652</v>
      </c>
      <c r="C1502" t="s">
        <v>791</v>
      </c>
      <c r="D1502" t="s">
        <v>792</v>
      </c>
      <c r="E1502" t="s">
        <v>793</v>
      </c>
      <c r="F1502" t="s">
        <v>4653</v>
      </c>
      <c r="G1502" s="2" t="str">
        <f>HYPERLINK("https://probpalata.gov.ru/files/ЮЛ780300323500226.jpeg","Скачать индивидуальный QR-код магазина")</f>
        <v>Скачать индивидуальный QR-код магазина</v>
      </c>
    </row>
    <row r="1503" spans="1:7" x14ac:dyDescent="0.25">
      <c r="A1503" t="s">
        <v>4234</v>
      </c>
      <c r="B1503" t="s">
        <v>4654</v>
      </c>
      <c r="C1503" t="s">
        <v>798</v>
      </c>
      <c r="D1503" t="s">
        <v>799</v>
      </c>
      <c r="E1503" t="s">
        <v>800</v>
      </c>
      <c r="F1503" t="s">
        <v>4655</v>
      </c>
      <c r="G1503" s="2" t="str">
        <f>HYPERLINK("https://probpalata.gov.ru/files/ЮЛ780300308200010.jpeg","Скачать индивидуальный QR-код магазина")</f>
        <v>Скачать индивидуальный QR-код магазина</v>
      </c>
    </row>
    <row r="1504" spans="1:7" x14ac:dyDescent="0.25">
      <c r="A1504" t="s">
        <v>4234</v>
      </c>
      <c r="B1504" t="s">
        <v>4656</v>
      </c>
      <c r="C1504" t="s">
        <v>798</v>
      </c>
      <c r="D1504" t="s">
        <v>799</v>
      </c>
      <c r="E1504" t="s">
        <v>800</v>
      </c>
      <c r="F1504" t="s">
        <v>4657</v>
      </c>
      <c r="G1504" s="2" t="str">
        <f>HYPERLINK("https://probpalata.gov.ru/files/ЮЛ780300308200383.jpeg","Скачать индивидуальный QR-код магазина")</f>
        <v>Скачать индивидуальный QR-код магазина</v>
      </c>
    </row>
    <row r="1505" spans="1:7" x14ac:dyDescent="0.25">
      <c r="A1505" t="s">
        <v>4234</v>
      </c>
      <c r="B1505" t="s">
        <v>4658</v>
      </c>
      <c r="C1505" t="s">
        <v>798</v>
      </c>
      <c r="D1505" t="s">
        <v>799</v>
      </c>
      <c r="E1505" t="s">
        <v>800</v>
      </c>
      <c r="F1505" t="s">
        <v>4659</v>
      </c>
      <c r="G1505" s="2" t="str">
        <f>HYPERLINK("https://probpalata.gov.ru/files/ЮЛ780300308200649.jpeg","Скачать индивидуальный QR-код магазина")</f>
        <v>Скачать индивидуальный QR-код магазина</v>
      </c>
    </row>
    <row r="1506" spans="1:7" x14ac:dyDescent="0.25">
      <c r="A1506" t="s">
        <v>4234</v>
      </c>
      <c r="B1506" t="s">
        <v>4660</v>
      </c>
      <c r="C1506" t="s">
        <v>798</v>
      </c>
      <c r="D1506" t="s">
        <v>799</v>
      </c>
      <c r="E1506" t="s">
        <v>800</v>
      </c>
      <c r="F1506" t="s">
        <v>4661</v>
      </c>
      <c r="G1506" s="2" t="str">
        <f>HYPERLINK("https://probpalata.gov.ru/files/ЮЛ780300308200878.jpeg","Скачать индивидуальный QR-код магазина")</f>
        <v>Скачать индивидуальный QR-код магазина</v>
      </c>
    </row>
    <row r="1507" spans="1:7" x14ac:dyDescent="0.25">
      <c r="A1507" t="s">
        <v>4234</v>
      </c>
      <c r="B1507" t="s">
        <v>4662</v>
      </c>
      <c r="C1507" t="s">
        <v>798</v>
      </c>
      <c r="D1507" t="s">
        <v>799</v>
      </c>
      <c r="E1507" t="s">
        <v>800</v>
      </c>
      <c r="F1507" t="s">
        <v>4663</v>
      </c>
      <c r="G1507" s="2" t="str">
        <f>HYPERLINK("https://probpalata.gov.ru/files/ЮЛ780300308200929.jpeg","Скачать индивидуальный QR-код магазина")</f>
        <v>Скачать индивидуальный QR-код магазина</v>
      </c>
    </row>
    <row r="1508" spans="1:7" x14ac:dyDescent="0.25">
      <c r="A1508" t="s">
        <v>4234</v>
      </c>
      <c r="B1508" t="s">
        <v>4664</v>
      </c>
      <c r="C1508" t="s">
        <v>798</v>
      </c>
      <c r="D1508" t="s">
        <v>799</v>
      </c>
      <c r="E1508" t="s">
        <v>800</v>
      </c>
      <c r="F1508" t="s">
        <v>4665</v>
      </c>
      <c r="G1508" s="2" t="str">
        <f>HYPERLINK("https://probpalata.gov.ru/files/ЮЛ780300308201095.jpeg","Скачать индивидуальный QR-код магазина")</f>
        <v>Скачать индивидуальный QR-код магазина</v>
      </c>
    </row>
    <row r="1509" spans="1:7" x14ac:dyDescent="0.25">
      <c r="A1509" t="s">
        <v>4234</v>
      </c>
      <c r="B1509" t="s">
        <v>4666</v>
      </c>
      <c r="C1509" t="s">
        <v>798</v>
      </c>
      <c r="D1509" t="s">
        <v>799</v>
      </c>
      <c r="E1509" t="s">
        <v>800</v>
      </c>
      <c r="F1509" t="s">
        <v>4667</v>
      </c>
      <c r="G1509" s="2" t="str">
        <f>HYPERLINK("https://probpalata.gov.ru/files/ЮЛ780300308201099.jpeg","Скачать индивидуальный QR-код магазина")</f>
        <v>Скачать индивидуальный QR-код магазина</v>
      </c>
    </row>
    <row r="1510" spans="1:7" x14ac:dyDescent="0.25">
      <c r="A1510" t="s">
        <v>4234</v>
      </c>
      <c r="B1510" t="s">
        <v>4641</v>
      </c>
      <c r="C1510" t="s">
        <v>823</v>
      </c>
      <c r="D1510" t="s">
        <v>824</v>
      </c>
      <c r="E1510" t="s">
        <v>825</v>
      </c>
      <c r="F1510" t="s">
        <v>4668</v>
      </c>
      <c r="G1510" s="2" t="str">
        <f>HYPERLINK("https://probpalata.gov.ru/files/ЮЛ780300363500083.jpeg","Скачать индивидуальный QR-код магазина")</f>
        <v>Скачать индивидуальный QR-код магазина</v>
      </c>
    </row>
    <row r="1511" spans="1:7" x14ac:dyDescent="0.25">
      <c r="A1511" t="s">
        <v>4234</v>
      </c>
      <c r="B1511" t="s">
        <v>4646</v>
      </c>
      <c r="C1511" t="s">
        <v>823</v>
      </c>
      <c r="D1511" t="s">
        <v>824</v>
      </c>
      <c r="E1511" t="s">
        <v>825</v>
      </c>
      <c r="F1511" t="s">
        <v>4669</v>
      </c>
      <c r="G1511" s="2" t="str">
        <f>HYPERLINK("https://probpalata.gov.ru/files/ЮЛ780300363500084.jpeg","Скачать индивидуальный QR-код магазина")</f>
        <v>Скачать индивидуальный QR-код магазина</v>
      </c>
    </row>
    <row r="1512" spans="1:7" x14ac:dyDescent="0.25">
      <c r="A1512" t="s">
        <v>4234</v>
      </c>
      <c r="B1512" t="s">
        <v>4664</v>
      </c>
      <c r="C1512" t="s">
        <v>823</v>
      </c>
      <c r="D1512" t="s">
        <v>824</v>
      </c>
      <c r="E1512" t="s">
        <v>825</v>
      </c>
      <c r="F1512" t="s">
        <v>4670</v>
      </c>
      <c r="G1512" s="2" t="str">
        <f>HYPERLINK("https://probpalata.gov.ru/files/ЮЛ780300363500260.jpeg","Скачать индивидуальный QR-код магазина")</f>
        <v>Скачать индивидуальный QR-код магазина</v>
      </c>
    </row>
    <row r="1513" spans="1:7" x14ac:dyDescent="0.25">
      <c r="A1513" t="s">
        <v>4234</v>
      </c>
      <c r="B1513" t="s">
        <v>4650</v>
      </c>
      <c r="C1513" t="s">
        <v>823</v>
      </c>
      <c r="D1513" t="s">
        <v>824</v>
      </c>
      <c r="E1513" t="s">
        <v>825</v>
      </c>
      <c r="F1513" t="s">
        <v>4671</v>
      </c>
      <c r="G1513" s="2" t="str">
        <f>HYPERLINK("https://probpalata.gov.ru/files/ЮЛ780300363500261.jpeg","Скачать индивидуальный QR-код магазина")</f>
        <v>Скачать индивидуальный QR-код магазина</v>
      </c>
    </row>
    <row r="1514" spans="1:7" x14ac:dyDescent="0.25">
      <c r="A1514" t="s">
        <v>4234</v>
      </c>
      <c r="B1514" t="s">
        <v>4672</v>
      </c>
      <c r="C1514" t="s">
        <v>823</v>
      </c>
      <c r="D1514" t="s">
        <v>824</v>
      </c>
      <c r="E1514" t="s">
        <v>825</v>
      </c>
      <c r="F1514" t="s">
        <v>4673</v>
      </c>
      <c r="G1514" s="2" t="str">
        <f>HYPERLINK("https://probpalata.gov.ru/files/ЮЛ780300363500388.jpeg","Скачать индивидуальный QR-код магазина")</f>
        <v>Скачать индивидуальный QR-код магазина</v>
      </c>
    </row>
    <row r="1515" spans="1:7" x14ac:dyDescent="0.25">
      <c r="A1515" t="s">
        <v>4234</v>
      </c>
      <c r="B1515" t="s">
        <v>4674</v>
      </c>
      <c r="C1515" t="s">
        <v>1490</v>
      </c>
      <c r="D1515" t="s">
        <v>1491</v>
      </c>
      <c r="E1515" t="s">
        <v>1492</v>
      </c>
      <c r="F1515" t="s">
        <v>4675</v>
      </c>
      <c r="G1515" s="2" t="str">
        <f>HYPERLINK("https://probpalata.gov.ru/files/ЮЛ780301261200016.jpeg","Скачать индивидуальный QR-код магазина")</f>
        <v>Скачать индивидуальный QR-код магазина</v>
      </c>
    </row>
    <row r="1516" spans="1:7" x14ac:dyDescent="0.25">
      <c r="A1516" t="s">
        <v>4234</v>
      </c>
      <c r="B1516" t="s">
        <v>4676</v>
      </c>
      <c r="C1516" t="s">
        <v>1490</v>
      </c>
      <c r="D1516" t="s">
        <v>1491</v>
      </c>
      <c r="E1516" t="s">
        <v>1492</v>
      </c>
      <c r="F1516" t="s">
        <v>4677</v>
      </c>
      <c r="G1516" s="2" t="str">
        <f>HYPERLINK("https://probpalata.gov.ru/files/ЮЛ780301261200019.jpeg","Скачать индивидуальный QR-код магазина")</f>
        <v>Скачать индивидуальный QR-код магазина</v>
      </c>
    </row>
    <row r="1517" spans="1:7" x14ac:dyDescent="0.25">
      <c r="A1517" t="s">
        <v>4234</v>
      </c>
      <c r="B1517" t="s">
        <v>4678</v>
      </c>
      <c r="C1517" t="s">
        <v>1490</v>
      </c>
      <c r="D1517" t="s">
        <v>1491</v>
      </c>
      <c r="E1517" t="s">
        <v>1492</v>
      </c>
      <c r="F1517" t="s">
        <v>4679</v>
      </c>
      <c r="G1517" s="2" t="str">
        <f>HYPERLINK("https://probpalata.gov.ru/files/ЮЛ780301261200026.jpeg","Скачать индивидуальный QR-код магазина")</f>
        <v>Скачать индивидуальный QR-код магазина</v>
      </c>
    </row>
    <row r="1518" spans="1:7" x14ac:dyDescent="0.25">
      <c r="A1518" t="s">
        <v>4234</v>
      </c>
      <c r="B1518" t="s">
        <v>4680</v>
      </c>
      <c r="C1518" t="s">
        <v>1490</v>
      </c>
      <c r="D1518" t="s">
        <v>1491</v>
      </c>
      <c r="E1518" t="s">
        <v>1492</v>
      </c>
      <c r="F1518" t="s">
        <v>4681</v>
      </c>
      <c r="G1518" s="2" t="str">
        <f>HYPERLINK("https://probpalata.gov.ru/files/ЮЛ780301261200028.jpeg","Скачать индивидуальный QR-код магазина")</f>
        <v>Скачать индивидуальный QR-код магазина</v>
      </c>
    </row>
    <row r="1519" spans="1:7" x14ac:dyDescent="0.25">
      <c r="A1519" t="s">
        <v>4234</v>
      </c>
      <c r="B1519" t="s">
        <v>4682</v>
      </c>
      <c r="C1519" t="s">
        <v>1501</v>
      </c>
      <c r="D1519" t="s">
        <v>1502</v>
      </c>
      <c r="E1519" t="s">
        <v>1503</v>
      </c>
      <c r="F1519" t="s">
        <v>4683</v>
      </c>
      <c r="G1519" s="2" t="str">
        <f>HYPERLINK("https://probpalata.gov.ru/files/ЮЛ770100439200259.jpeg","Скачать индивидуальный QR-код магазина")</f>
        <v>Скачать индивидуальный QR-код магазина</v>
      </c>
    </row>
    <row r="1520" spans="1:7" x14ac:dyDescent="0.25">
      <c r="A1520" t="s">
        <v>4684</v>
      </c>
      <c r="B1520" t="s">
        <v>4685</v>
      </c>
      <c r="C1520" t="s">
        <v>4686</v>
      </c>
      <c r="D1520" t="s">
        <v>4687</v>
      </c>
      <c r="E1520" t="s">
        <v>4688</v>
      </c>
      <c r="F1520" t="s">
        <v>4689</v>
      </c>
      <c r="G1520" s="2" t="str">
        <f>HYPERLINK("https://probpalata.gov.ru/files/ИП500101205300005.jpeg","Скачать индивидуальный QR-код магазина")</f>
        <v>Скачать индивидуальный QR-код магазина</v>
      </c>
    </row>
    <row r="1521" spans="1:7" x14ac:dyDescent="0.25">
      <c r="A1521" t="s">
        <v>4684</v>
      </c>
      <c r="B1521" t="s">
        <v>4690</v>
      </c>
      <c r="C1521" t="s">
        <v>1997</v>
      </c>
      <c r="D1521" t="s">
        <v>1998</v>
      </c>
      <c r="E1521" t="s">
        <v>1999</v>
      </c>
      <c r="F1521" t="s">
        <v>4691</v>
      </c>
      <c r="G1521" s="2" t="str">
        <f>HYPERLINK("https://probpalata.gov.ru/files/ЮЛ310100216200011.jpeg","Скачать индивидуальный QR-код магазина")</f>
        <v>Скачать индивидуальный QR-код магазина</v>
      </c>
    </row>
    <row r="1522" spans="1:7" x14ac:dyDescent="0.25">
      <c r="A1522" t="s">
        <v>4684</v>
      </c>
      <c r="B1522" t="s">
        <v>4692</v>
      </c>
      <c r="C1522" t="s">
        <v>2039</v>
      </c>
      <c r="D1522" t="s">
        <v>2040</v>
      </c>
      <c r="E1522" t="s">
        <v>2041</v>
      </c>
      <c r="F1522" t="s">
        <v>4693</v>
      </c>
      <c r="G1522" s="2" t="str">
        <f>HYPERLINK("https://probpalata.gov.ru/files/ЮЛ310100189400006.jpeg","Скачать индивидуальный QR-код магазина")</f>
        <v>Скачать индивидуальный QR-код магазина</v>
      </c>
    </row>
    <row r="1523" spans="1:7" x14ac:dyDescent="0.25">
      <c r="A1523" t="s">
        <v>4684</v>
      </c>
      <c r="B1523" t="s">
        <v>4694</v>
      </c>
      <c r="C1523" t="s">
        <v>4695</v>
      </c>
      <c r="D1523" t="s">
        <v>4696</v>
      </c>
      <c r="E1523" t="s">
        <v>4697</v>
      </c>
      <c r="F1523" t="s">
        <v>4698</v>
      </c>
      <c r="G1523" s="2" t="str">
        <f>HYPERLINK("https://probpalata.gov.ru/files/ИП360101930200000.jpeg","Скачать индивидуальный QR-код магазина")</f>
        <v>Скачать индивидуальный QR-код магазина</v>
      </c>
    </row>
    <row r="1524" spans="1:7" x14ac:dyDescent="0.25">
      <c r="A1524" t="s">
        <v>4684</v>
      </c>
      <c r="B1524" t="s">
        <v>4699</v>
      </c>
      <c r="C1524" t="s">
        <v>4700</v>
      </c>
      <c r="D1524" t="s">
        <v>4701</v>
      </c>
      <c r="E1524" t="s">
        <v>4702</v>
      </c>
      <c r="F1524" t="s">
        <v>4703</v>
      </c>
      <c r="G1524" s="2" t="str">
        <f>HYPERLINK("https://probpalata.gov.ru/files/ИП360100264800000.jpeg","Скачать индивидуальный QR-код магазина")</f>
        <v>Скачать индивидуальный QR-код магазина</v>
      </c>
    </row>
    <row r="1525" spans="1:7" x14ac:dyDescent="0.25">
      <c r="A1525" t="s">
        <v>4684</v>
      </c>
      <c r="B1525" t="s">
        <v>4704</v>
      </c>
      <c r="C1525" t="s">
        <v>4700</v>
      </c>
      <c r="D1525" t="s">
        <v>4701</v>
      </c>
      <c r="E1525" t="s">
        <v>4702</v>
      </c>
      <c r="F1525" t="s">
        <v>4705</v>
      </c>
      <c r="G1525" s="2" t="str">
        <f>HYPERLINK("https://probpalata.gov.ru/files/ИП360100264800001.jpeg","Скачать индивидуальный QR-код магазина")</f>
        <v>Скачать индивидуальный QR-код магазина</v>
      </c>
    </row>
    <row r="1526" spans="1:7" x14ac:dyDescent="0.25">
      <c r="A1526" t="s">
        <v>4684</v>
      </c>
      <c r="B1526" t="s">
        <v>4706</v>
      </c>
      <c r="C1526" t="s">
        <v>4700</v>
      </c>
      <c r="D1526" t="s">
        <v>4701</v>
      </c>
      <c r="E1526" t="s">
        <v>4702</v>
      </c>
      <c r="F1526" t="s">
        <v>4707</v>
      </c>
      <c r="G1526" s="2" t="str">
        <f>HYPERLINK("https://probpalata.gov.ru/files/ИП360100264800002.jpeg","Скачать индивидуальный QR-код магазина")</f>
        <v>Скачать индивидуальный QR-код магазина</v>
      </c>
    </row>
    <row r="1527" spans="1:7" x14ac:dyDescent="0.25">
      <c r="A1527" t="s">
        <v>4684</v>
      </c>
      <c r="B1527" t="s">
        <v>4708</v>
      </c>
      <c r="C1527" t="s">
        <v>4709</v>
      </c>
      <c r="D1527" t="s">
        <v>4710</v>
      </c>
      <c r="E1527" t="s">
        <v>4711</v>
      </c>
      <c r="F1527" t="s">
        <v>4712</v>
      </c>
      <c r="G1527" s="2" t="str">
        <f>HYPERLINK("https://probpalata.gov.ru/files/ИП360101259000000.jpeg","Скачать индивидуальный QR-код магазина")</f>
        <v>Скачать индивидуальный QR-код магазина</v>
      </c>
    </row>
    <row r="1528" spans="1:7" x14ac:dyDescent="0.25">
      <c r="A1528" t="s">
        <v>4684</v>
      </c>
      <c r="B1528" t="s">
        <v>4713</v>
      </c>
      <c r="C1528" t="s">
        <v>4714</v>
      </c>
      <c r="D1528" t="s">
        <v>4715</v>
      </c>
      <c r="E1528" t="s">
        <v>4716</v>
      </c>
      <c r="F1528" t="s">
        <v>4717</v>
      </c>
      <c r="G1528" s="2" t="str">
        <f>HYPERLINK("https://probpalata.gov.ru/files/ИП360100283000000.jpeg","Скачать индивидуальный QR-код магазина")</f>
        <v>Скачать индивидуальный QR-код магазина</v>
      </c>
    </row>
    <row r="1529" spans="1:7" x14ac:dyDescent="0.25">
      <c r="A1529" t="s">
        <v>4684</v>
      </c>
      <c r="B1529" t="s">
        <v>4718</v>
      </c>
      <c r="C1529" t="s">
        <v>4714</v>
      </c>
      <c r="D1529" t="s">
        <v>4715</v>
      </c>
      <c r="E1529" t="s">
        <v>4716</v>
      </c>
      <c r="F1529" t="s">
        <v>4719</v>
      </c>
      <c r="G1529" s="2" t="str">
        <f>HYPERLINK("https://probpalata.gov.ru/files/ИП360100283000001.jpeg","Скачать индивидуальный QR-код магазина")</f>
        <v>Скачать индивидуальный QR-код магазина</v>
      </c>
    </row>
    <row r="1530" spans="1:7" x14ac:dyDescent="0.25">
      <c r="A1530" t="s">
        <v>4684</v>
      </c>
      <c r="B1530" t="s">
        <v>4720</v>
      </c>
      <c r="C1530" t="s">
        <v>4714</v>
      </c>
      <c r="D1530" t="s">
        <v>4715</v>
      </c>
      <c r="E1530" t="s">
        <v>4716</v>
      </c>
      <c r="F1530" t="s">
        <v>4721</v>
      </c>
      <c r="G1530" s="2" t="str">
        <f>HYPERLINK("https://probpalata.gov.ru/files/ИП360100283000002.jpeg","Скачать индивидуальный QR-код магазина")</f>
        <v>Скачать индивидуальный QR-код магазина</v>
      </c>
    </row>
    <row r="1531" spans="1:7" x14ac:dyDescent="0.25">
      <c r="A1531" t="s">
        <v>4684</v>
      </c>
      <c r="B1531" t="s">
        <v>4722</v>
      </c>
      <c r="C1531" t="s">
        <v>4723</v>
      </c>
      <c r="D1531" t="s">
        <v>4724</v>
      </c>
      <c r="E1531" t="s">
        <v>4725</v>
      </c>
      <c r="F1531" t="s">
        <v>4726</v>
      </c>
      <c r="G1531" s="2" t="str">
        <f>HYPERLINK("https://probpalata.gov.ru/files/ЮЛ360100276600000.jpeg","Скачать индивидуальный QR-код магазина")</f>
        <v>Скачать индивидуальный QR-код магазина</v>
      </c>
    </row>
    <row r="1532" spans="1:7" x14ac:dyDescent="0.25">
      <c r="A1532" t="s">
        <v>4684</v>
      </c>
      <c r="B1532" t="s">
        <v>4727</v>
      </c>
      <c r="C1532" t="s">
        <v>4723</v>
      </c>
      <c r="D1532" t="s">
        <v>4724</v>
      </c>
      <c r="E1532" t="s">
        <v>4725</v>
      </c>
      <c r="F1532" t="s">
        <v>4728</v>
      </c>
      <c r="G1532" s="2" t="str">
        <f>HYPERLINK("https://probpalata.gov.ru/files/ЮЛ360100276600001.jpeg","Скачать индивидуальный QR-код магазина")</f>
        <v>Скачать индивидуальный QR-код магазина</v>
      </c>
    </row>
    <row r="1533" spans="1:7" x14ac:dyDescent="0.25">
      <c r="A1533" t="s">
        <v>4684</v>
      </c>
      <c r="B1533" t="s">
        <v>4729</v>
      </c>
      <c r="C1533" t="s">
        <v>4723</v>
      </c>
      <c r="D1533" t="s">
        <v>4724</v>
      </c>
      <c r="E1533" t="s">
        <v>4725</v>
      </c>
      <c r="F1533" t="s">
        <v>4730</v>
      </c>
      <c r="G1533" s="2" t="str">
        <f>HYPERLINK("https://probpalata.gov.ru/files/ЮЛ360100276600002.jpeg","Скачать индивидуальный QR-код магазина")</f>
        <v>Скачать индивидуальный QR-код магазина</v>
      </c>
    </row>
    <row r="1534" spans="1:7" x14ac:dyDescent="0.25">
      <c r="A1534" t="s">
        <v>4684</v>
      </c>
      <c r="B1534" t="s">
        <v>4731</v>
      </c>
      <c r="C1534" t="s">
        <v>4732</v>
      </c>
      <c r="D1534" t="s">
        <v>4733</v>
      </c>
      <c r="E1534" t="s">
        <v>4734</v>
      </c>
      <c r="F1534" t="s">
        <v>4735</v>
      </c>
      <c r="G1534" s="2" t="str">
        <f>HYPERLINK("https://probpalata.gov.ru/files/ИП770100259100000.jpeg","Скачать индивидуальный QR-код магазина")</f>
        <v>Скачать индивидуальный QR-код магазина</v>
      </c>
    </row>
    <row r="1535" spans="1:7" x14ac:dyDescent="0.25">
      <c r="A1535" t="s">
        <v>4684</v>
      </c>
      <c r="B1535" t="s">
        <v>4736</v>
      </c>
      <c r="C1535" t="s">
        <v>4732</v>
      </c>
      <c r="D1535" t="s">
        <v>4733</v>
      </c>
      <c r="E1535" t="s">
        <v>4734</v>
      </c>
      <c r="F1535" t="s">
        <v>4737</v>
      </c>
      <c r="G1535" s="2" t="str">
        <f>HYPERLINK("https://probpalata.gov.ru/files/ИП770100259100001.jpeg","Скачать индивидуальный QR-код магазина")</f>
        <v>Скачать индивидуальный QR-код магазина</v>
      </c>
    </row>
    <row r="1536" spans="1:7" x14ac:dyDescent="0.25">
      <c r="A1536" t="s">
        <v>4684</v>
      </c>
      <c r="B1536" t="s">
        <v>4738</v>
      </c>
      <c r="C1536" t="s">
        <v>4739</v>
      </c>
      <c r="D1536" t="s">
        <v>4740</v>
      </c>
      <c r="E1536" t="s">
        <v>4741</v>
      </c>
      <c r="F1536" t="s">
        <v>4742</v>
      </c>
      <c r="G1536" s="2" t="str">
        <f>HYPERLINK("https://probpalata.gov.ru/files/ИП360100054300000.jpeg","Скачать индивидуальный QR-код магазина")</f>
        <v>Скачать индивидуальный QR-код магазина</v>
      </c>
    </row>
    <row r="1537" spans="1:7" x14ac:dyDescent="0.25">
      <c r="A1537" t="s">
        <v>4684</v>
      </c>
      <c r="B1537" t="s">
        <v>4743</v>
      </c>
      <c r="C1537" t="s">
        <v>4744</v>
      </c>
      <c r="D1537" t="s">
        <v>4745</v>
      </c>
      <c r="E1537" t="s">
        <v>4746</v>
      </c>
      <c r="F1537" t="s">
        <v>4747</v>
      </c>
      <c r="G1537" s="2" t="str">
        <f>HYPERLINK("https://probpalata.gov.ru/files/ИП360100116000000.jpeg","Скачать индивидуальный QR-код магазина")</f>
        <v>Скачать индивидуальный QR-код магазина</v>
      </c>
    </row>
    <row r="1538" spans="1:7" x14ac:dyDescent="0.25">
      <c r="A1538" t="s">
        <v>4684</v>
      </c>
      <c r="B1538" t="s">
        <v>4748</v>
      </c>
      <c r="C1538" t="s">
        <v>4749</v>
      </c>
      <c r="D1538" t="s">
        <v>4750</v>
      </c>
      <c r="E1538" t="s">
        <v>4751</v>
      </c>
      <c r="F1538" t="s">
        <v>4752</v>
      </c>
      <c r="G1538" s="2" t="str">
        <f>HYPERLINK("https://probpalata.gov.ru/files/ИП360103003700000.jpeg","Скачать индивидуальный QR-код магазина")</f>
        <v>Скачать индивидуальный QR-код магазина</v>
      </c>
    </row>
    <row r="1539" spans="1:7" x14ac:dyDescent="0.25">
      <c r="A1539" t="s">
        <v>4684</v>
      </c>
      <c r="B1539" t="s">
        <v>4753</v>
      </c>
      <c r="C1539" t="s">
        <v>4754</v>
      </c>
      <c r="D1539" t="s">
        <v>4755</v>
      </c>
      <c r="E1539" t="s">
        <v>4756</v>
      </c>
      <c r="F1539" t="s">
        <v>4757</v>
      </c>
      <c r="G1539" s="2" t="str">
        <f>HYPERLINK("https://probpalata.gov.ru/files/ЮЛ360101124000000.jpeg","Скачать индивидуальный QR-код магазина")</f>
        <v>Скачать индивидуальный QR-код магазина</v>
      </c>
    </row>
    <row r="1540" spans="1:7" x14ac:dyDescent="0.25">
      <c r="A1540" t="s">
        <v>4684</v>
      </c>
      <c r="B1540" t="s">
        <v>4758</v>
      </c>
      <c r="C1540" t="s">
        <v>4759</v>
      </c>
      <c r="D1540" t="s">
        <v>4760</v>
      </c>
      <c r="E1540" t="s">
        <v>4761</v>
      </c>
      <c r="F1540" t="s">
        <v>4762</v>
      </c>
      <c r="G1540" s="2" t="str">
        <f>HYPERLINK("https://probpalata.gov.ru/files/ИП360101693600000.jpeg","Скачать индивидуальный QR-код магазина")</f>
        <v>Скачать индивидуальный QR-код магазина</v>
      </c>
    </row>
    <row r="1541" spans="1:7" x14ac:dyDescent="0.25">
      <c r="A1541" t="s">
        <v>4684</v>
      </c>
      <c r="B1541" t="s">
        <v>4763</v>
      </c>
      <c r="C1541" t="s">
        <v>4764</v>
      </c>
      <c r="D1541" t="s">
        <v>4765</v>
      </c>
      <c r="E1541" t="s">
        <v>4766</v>
      </c>
      <c r="F1541" t="s">
        <v>4767</v>
      </c>
      <c r="G1541" s="2" t="str">
        <f>HYPERLINK("https://probpalata.gov.ru/files/ИП360101013800000.jpeg","Скачать индивидуальный QR-код магазина")</f>
        <v>Скачать индивидуальный QR-код магазина</v>
      </c>
    </row>
    <row r="1542" spans="1:7" x14ac:dyDescent="0.25">
      <c r="A1542" t="s">
        <v>4684</v>
      </c>
      <c r="B1542" t="s">
        <v>4768</v>
      </c>
      <c r="C1542" t="s">
        <v>4769</v>
      </c>
      <c r="D1542" t="s">
        <v>4770</v>
      </c>
      <c r="E1542" t="s">
        <v>4771</v>
      </c>
      <c r="F1542" t="s">
        <v>4772</v>
      </c>
      <c r="G1542" s="2" t="str">
        <f>HYPERLINK("https://probpalata.gov.ru/files/ЮЛ360103278000000.jpeg","Скачать индивидуальный QR-код магазина")</f>
        <v>Скачать индивидуальный QR-код магазина</v>
      </c>
    </row>
    <row r="1543" spans="1:7" x14ac:dyDescent="0.25">
      <c r="A1543" t="s">
        <v>4684</v>
      </c>
      <c r="B1543" t="s">
        <v>4773</v>
      </c>
      <c r="C1543" t="s">
        <v>4774</v>
      </c>
      <c r="D1543" t="s">
        <v>4775</v>
      </c>
      <c r="E1543" t="s">
        <v>4776</v>
      </c>
      <c r="F1543" t="s">
        <v>4777</v>
      </c>
      <c r="G1543" s="2" t="str">
        <f>HYPERLINK("https://probpalata.gov.ru/files/ИП360100386900000.jpeg","Скачать индивидуальный QR-код магазина")</f>
        <v>Скачать индивидуальный QR-код магазина</v>
      </c>
    </row>
    <row r="1544" spans="1:7" x14ac:dyDescent="0.25">
      <c r="A1544" t="s">
        <v>4684</v>
      </c>
      <c r="B1544" t="s">
        <v>4778</v>
      </c>
      <c r="C1544" t="s">
        <v>4774</v>
      </c>
      <c r="D1544" t="s">
        <v>4775</v>
      </c>
      <c r="E1544" t="s">
        <v>4776</v>
      </c>
      <c r="F1544" t="s">
        <v>4779</v>
      </c>
      <c r="G1544" s="2" t="str">
        <f>HYPERLINK("https://probpalata.gov.ru/files/ИП360100386900001.jpeg","Скачать индивидуальный QR-код магазина")</f>
        <v>Скачать индивидуальный QR-код магазина</v>
      </c>
    </row>
    <row r="1545" spans="1:7" x14ac:dyDescent="0.25">
      <c r="A1545" t="s">
        <v>4684</v>
      </c>
      <c r="B1545" t="s">
        <v>4780</v>
      </c>
      <c r="C1545" t="s">
        <v>4774</v>
      </c>
      <c r="D1545" t="s">
        <v>4775</v>
      </c>
      <c r="E1545" t="s">
        <v>4776</v>
      </c>
      <c r="F1545" t="s">
        <v>4781</v>
      </c>
      <c r="G1545" s="2" t="str">
        <f>HYPERLINK("https://probpalata.gov.ru/files/ИП360100386900003.jpeg","Скачать индивидуальный QR-код магазина")</f>
        <v>Скачать индивидуальный QR-код магазина</v>
      </c>
    </row>
    <row r="1546" spans="1:7" x14ac:dyDescent="0.25">
      <c r="A1546" t="s">
        <v>4684</v>
      </c>
      <c r="B1546" t="s">
        <v>4782</v>
      </c>
      <c r="C1546" t="s">
        <v>4783</v>
      </c>
      <c r="D1546" t="s">
        <v>4784</v>
      </c>
      <c r="E1546" t="s">
        <v>4785</v>
      </c>
      <c r="F1546" t="s">
        <v>4786</v>
      </c>
      <c r="G1546" s="2" t="str">
        <f>HYPERLINK("https://probpalata.gov.ru/files/ИП360101640100000.jpeg","Скачать индивидуальный QR-код магазина")</f>
        <v>Скачать индивидуальный QR-код магазина</v>
      </c>
    </row>
    <row r="1547" spans="1:7" x14ac:dyDescent="0.25">
      <c r="A1547" t="s">
        <v>4684</v>
      </c>
      <c r="B1547" t="s">
        <v>4787</v>
      </c>
      <c r="C1547" t="s">
        <v>4788</v>
      </c>
      <c r="D1547" t="s">
        <v>4789</v>
      </c>
      <c r="E1547" t="s">
        <v>4790</v>
      </c>
      <c r="F1547" t="s">
        <v>4791</v>
      </c>
      <c r="G1547" s="2" t="str">
        <f>HYPERLINK("https://probpalata.gov.ru/files/ИП360101631700000.jpeg","Скачать индивидуальный QR-код магазина")</f>
        <v>Скачать индивидуальный QR-код магазина</v>
      </c>
    </row>
    <row r="1548" spans="1:7" x14ac:dyDescent="0.25">
      <c r="A1548" t="s">
        <v>4684</v>
      </c>
      <c r="B1548" t="s">
        <v>4792</v>
      </c>
      <c r="C1548" t="s">
        <v>4788</v>
      </c>
      <c r="D1548" t="s">
        <v>4789</v>
      </c>
      <c r="E1548" t="s">
        <v>4790</v>
      </c>
      <c r="F1548" t="s">
        <v>4793</v>
      </c>
      <c r="G1548" s="2" t="str">
        <f>HYPERLINK("https://probpalata.gov.ru/files/ИП360101631700001.jpeg","Скачать индивидуальный QR-код магазина")</f>
        <v>Скачать индивидуальный QR-код магазина</v>
      </c>
    </row>
    <row r="1549" spans="1:7" x14ac:dyDescent="0.25">
      <c r="A1549" t="s">
        <v>4684</v>
      </c>
      <c r="B1549" t="s">
        <v>4794</v>
      </c>
      <c r="C1549" t="s">
        <v>4788</v>
      </c>
      <c r="D1549" t="s">
        <v>4789</v>
      </c>
      <c r="E1549" t="s">
        <v>4790</v>
      </c>
      <c r="F1549" t="s">
        <v>4795</v>
      </c>
      <c r="G1549" s="2" t="str">
        <f>HYPERLINK("https://probpalata.gov.ru/files/ИП360101631700002.jpeg","Скачать индивидуальный QR-код магазина")</f>
        <v>Скачать индивидуальный QR-код магазина</v>
      </c>
    </row>
    <row r="1550" spans="1:7" x14ac:dyDescent="0.25">
      <c r="A1550" t="s">
        <v>4684</v>
      </c>
      <c r="B1550" t="s">
        <v>4796</v>
      </c>
      <c r="C1550" t="s">
        <v>4797</v>
      </c>
      <c r="D1550" t="s">
        <v>4798</v>
      </c>
      <c r="E1550" t="s">
        <v>4799</v>
      </c>
      <c r="F1550" t="s">
        <v>4800</v>
      </c>
      <c r="G1550" s="2" t="str">
        <f>HYPERLINK("https://probpalata.gov.ru/files/ИП360101587000000.jpeg","Скачать индивидуальный QR-код магазина")</f>
        <v>Скачать индивидуальный QR-код магазина</v>
      </c>
    </row>
    <row r="1551" spans="1:7" x14ac:dyDescent="0.25">
      <c r="A1551" t="s">
        <v>4684</v>
      </c>
      <c r="B1551" t="s">
        <v>4801</v>
      </c>
      <c r="C1551" t="s">
        <v>4802</v>
      </c>
      <c r="D1551" t="s">
        <v>4803</v>
      </c>
      <c r="E1551" t="s">
        <v>4804</v>
      </c>
      <c r="F1551" t="s">
        <v>4805</v>
      </c>
      <c r="G1551" s="2" t="str">
        <f>HYPERLINK("https://probpalata.gov.ru/files/ИП360100309900000.jpeg","Скачать индивидуальный QR-код магазина")</f>
        <v>Скачать индивидуальный QR-код магазина</v>
      </c>
    </row>
    <row r="1552" spans="1:7" x14ac:dyDescent="0.25">
      <c r="A1552" t="s">
        <v>4684</v>
      </c>
      <c r="B1552" t="s">
        <v>4806</v>
      </c>
      <c r="C1552" t="s">
        <v>4802</v>
      </c>
      <c r="D1552" t="s">
        <v>4803</v>
      </c>
      <c r="E1552" t="s">
        <v>4804</v>
      </c>
      <c r="F1552" t="s">
        <v>4807</v>
      </c>
      <c r="G1552" s="2" t="str">
        <f>HYPERLINK("https://probpalata.gov.ru/files/ИП360100309900001.jpeg","Скачать индивидуальный QR-код магазина")</f>
        <v>Скачать индивидуальный QR-код магазина</v>
      </c>
    </row>
    <row r="1553" spans="1:7" x14ac:dyDescent="0.25">
      <c r="A1553" t="s">
        <v>4684</v>
      </c>
      <c r="B1553" t="s">
        <v>4808</v>
      </c>
      <c r="C1553" t="s">
        <v>4802</v>
      </c>
      <c r="D1553" t="s">
        <v>4803</v>
      </c>
      <c r="E1553" t="s">
        <v>4804</v>
      </c>
      <c r="F1553" t="s">
        <v>4809</v>
      </c>
      <c r="G1553" s="2" t="str">
        <f>HYPERLINK("https://probpalata.gov.ru/files/ИП360100309900002.jpeg","Скачать индивидуальный QR-код магазина")</f>
        <v>Скачать индивидуальный QR-код магазина</v>
      </c>
    </row>
    <row r="1554" spans="1:7" x14ac:dyDescent="0.25">
      <c r="A1554" t="s">
        <v>4684</v>
      </c>
      <c r="B1554" t="s">
        <v>4810</v>
      </c>
      <c r="C1554" t="s">
        <v>4802</v>
      </c>
      <c r="D1554" t="s">
        <v>4803</v>
      </c>
      <c r="E1554" t="s">
        <v>4804</v>
      </c>
      <c r="F1554" t="s">
        <v>4811</v>
      </c>
      <c r="G1554" s="2" t="str">
        <f>HYPERLINK("https://probpalata.gov.ru/files/ИП360100309900003.jpeg","Скачать индивидуальный QR-код магазина")</f>
        <v>Скачать индивидуальный QR-код магазина</v>
      </c>
    </row>
    <row r="1555" spans="1:7" x14ac:dyDescent="0.25">
      <c r="A1555" t="s">
        <v>4684</v>
      </c>
      <c r="B1555" t="s">
        <v>4812</v>
      </c>
      <c r="C1555" t="s">
        <v>4802</v>
      </c>
      <c r="D1555" t="s">
        <v>4803</v>
      </c>
      <c r="E1555" t="s">
        <v>4804</v>
      </c>
      <c r="F1555" t="s">
        <v>4813</v>
      </c>
      <c r="G1555" s="2" t="str">
        <f>HYPERLINK("https://probpalata.gov.ru/files/ИП360100309900004.jpeg","Скачать индивидуальный QR-код магазина")</f>
        <v>Скачать индивидуальный QR-код магазина</v>
      </c>
    </row>
    <row r="1556" spans="1:7" x14ac:dyDescent="0.25">
      <c r="A1556" t="s">
        <v>4684</v>
      </c>
      <c r="B1556" t="s">
        <v>4814</v>
      </c>
      <c r="C1556" t="s">
        <v>4802</v>
      </c>
      <c r="D1556" t="s">
        <v>4803</v>
      </c>
      <c r="E1556" t="s">
        <v>4804</v>
      </c>
      <c r="F1556" t="s">
        <v>4815</v>
      </c>
      <c r="G1556" s="2" t="str">
        <f>HYPERLINK("https://probpalata.gov.ru/files/ИП360100309900005.jpeg","Скачать индивидуальный QR-код магазина")</f>
        <v>Скачать индивидуальный QR-код магазина</v>
      </c>
    </row>
    <row r="1557" spans="1:7" x14ac:dyDescent="0.25">
      <c r="A1557" t="s">
        <v>4684</v>
      </c>
      <c r="B1557" t="s">
        <v>4816</v>
      </c>
      <c r="C1557" t="s">
        <v>4802</v>
      </c>
      <c r="D1557" t="s">
        <v>4803</v>
      </c>
      <c r="E1557" t="s">
        <v>4804</v>
      </c>
      <c r="F1557" t="s">
        <v>4817</v>
      </c>
      <c r="G1557" s="2" t="str">
        <f>HYPERLINK("https://probpalata.gov.ru/files/ИП360100309900006.jpeg","Скачать индивидуальный QR-код магазина")</f>
        <v>Скачать индивидуальный QR-код магазина</v>
      </c>
    </row>
    <row r="1558" spans="1:7" x14ac:dyDescent="0.25">
      <c r="A1558" t="s">
        <v>4684</v>
      </c>
      <c r="B1558" t="s">
        <v>4818</v>
      </c>
      <c r="C1558" t="s">
        <v>4802</v>
      </c>
      <c r="D1558" t="s">
        <v>4803</v>
      </c>
      <c r="E1558" t="s">
        <v>4804</v>
      </c>
      <c r="F1558" t="s">
        <v>4819</v>
      </c>
      <c r="G1558" s="2" t="str">
        <f>HYPERLINK("https://probpalata.gov.ru/files/ИП360100309900007.jpeg","Скачать индивидуальный QR-код магазина")</f>
        <v>Скачать индивидуальный QR-код магазина</v>
      </c>
    </row>
    <row r="1559" spans="1:7" x14ac:dyDescent="0.25">
      <c r="A1559" t="s">
        <v>4684</v>
      </c>
      <c r="B1559" t="s">
        <v>4820</v>
      </c>
      <c r="C1559" t="s">
        <v>4821</v>
      </c>
      <c r="D1559" t="s">
        <v>4822</v>
      </c>
      <c r="E1559" t="s">
        <v>4823</v>
      </c>
      <c r="F1559" t="s">
        <v>4824</v>
      </c>
      <c r="G1559" s="2" t="str">
        <f>HYPERLINK("https://probpalata.gov.ru/files/ИП360101131300000.jpeg","Скачать индивидуальный QR-код магазина")</f>
        <v>Скачать индивидуальный QR-код магазина</v>
      </c>
    </row>
    <row r="1560" spans="1:7" x14ac:dyDescent="0.25">
      <c r="A1560" t="s">
        <v>4684</v>
      </c>
      <c r="B1560" t="s">
        <v>4825</v>
      </c>
      <c r="C1560" t="s">
        <v>4821</v>
      </c>
      <c r="D1560" t="s">
        <v>4822</v>
      </c>
      <c r="E1560" t="s">
        <v>4823</v>
      </c>
      <c r="F1560" t="s">
        <v>4826</v>
      </c>
      <c r="G1560" s="2" t="str">
        <f>HYPERLINK("https://probpalata.gov.ru/files/ИП360101131300001.jpeg","Скачать индивидуальный QR-код магазина")</f>
        <v>Скачать индивидуальный QR-код магазина</v>
      </c>
    </row>
    <row r="1561" spans="1:7" x14ac:dyDescent="0.25">
      <c r="A1561" t="s">
        <v>4684</v>
      </c>
      <c r="B1561" t="s">
        <v>4827</v>
      </c>
      <c r="C1561" t="s">
        <v>4821</v>
      </c>
      <c r="D1561" t="s">
        <v>4822</v>
      </c>
      <c r="E1561" t="s">
        <v>4823</v>
      </c>
      <c r="F1561" t="s">
        <v>4828</v>
      </c>
      <c r="G1561" s="2" t="str">
        <f>HYPERLINK("https://probpalata.gov.ru/files/ИП360101131300002.jpeg","Скачать индивидуальный QR-код магазина")</f>
        <v>Скачать индивидуальный QR-код магазина</v>
      </c>
    </row>
    <row r="1562" spans="1:7" x14ac:dyDescent="0.25">
      <c r="A1562" t="s">
        <v>4684</v>
      </c>
      <c r="B1562" t="s">
        <v>4829</v>
      </c>
      <c r="C1562" t="s">
        <v>4821</v>
      </c>
      <c r="D1562" t="s">
        <v>4822</v>
      </c>
      <c r="E1562" t="s">
        <v>4823</v>
      </c>
      <c r="F1562" t="s">
        <v>4830</v>
      </c>
      <c r="G1562" s="2" t="str">
        <f>HYPERLINK("https://probpalata.gov.ru/files/ИП360101131300003.jpeg","Скачать индивидуальный QR-код магазина")</f>
        <v>Скачать индивидуальный QR-код магазина</v>
      </c>
    </row>
    <row r="1563" spans="1:7" x14ac:dyDescent="0.25">
      <c r="A1563" t="s">
        <v>4684</v>
      </c>
      <c r="B1563" t="s">
        <v>4831</v>
      </c>
      <c r="C1563" t="s">
        <v>4821</v>
      </c>
      <c r="D1563" t="s">
        <v>4822</v>
      </c>
      <c r="E1563" t="s">
        <v>4823</v>
      </c>
      <c r="F1563" t="s">
        <v>4832</v>
      </c>
      <c r="G1563" s="2" t="str">
        <f>HYPERLINK("https://probpalata.gov.ru/files/ИП360101131300004.jpeg","Скачать индивидуальный QR-код магазина")</f>
        <v>Скачать индивидуальный QR-код магазина</v>
      </c>
    </row>
    <row r="1564" spans="1:7" x14ac:dyDescent="0.25">
      <c r="A1564" t="s">
        <v>4684</v>
      </c>
      <c r="B1564" t="s">
        <v>4833</v>
      </c>
      <c r="C1564" t="s">
        <v>4834</v>
      </c>
      <c r="D1564" t="s">
        <v>4835</v>
      </c>
      <c r="E1564" t="s">
        <v>4836</v>
      </c>
      <c r="F1564" t="s">
        <v>4837</v>
      </c>
      <c r="G1564" s="2" t="str">
        <f>HYPERLINK("https://probpalata.gov.ru/files/ИП360100329900000.jpeg","Скачать индивидуальный QR-код магазина")</f>
        <v>Скачать индивидуальный QR-код магазина</v>
      </c>
    </row>
    <row r="1565" spans="1:7" x14ac:dyDescent="0.25">
      <c r="A1565" t="s">
        <v>4684</v>
      </c>
      <c r="B1565" t="s">
        <v>4838</v>
      </c>
      <c r="C1565" t="s">
        <v>4839</v>
      </c>
      <c r="D1565" t="s">
        <v>4840</v>
      </c>
      <c r="E1565" t="s">
        <v>4841</v>
      </c>
      <c r="F1565" t="s">
        <v>4842</v>
      </c>
      <c r="G1565" s="2" t="str">
        <f>HYPERLINK("https://probpalata.gov.ru/files/ИП360100166700000.jpeg","Скачать индивидуальный QR-код магазина")</f>
        <v>Скачать индивидуальный QR-код магазина</v>
      </c>
    </row>
    <row r="1566" spans="1:7" x14ac:dyDescent="0.25">
      <c r="A1566" t="s">
        <v>4684</v>
      </c>
      <c r="B1566" t="s">
        <v>4843</v>
      </c>
      <c r="C1566" t="s">
        <v>4839</v>
      </c>
      <c r="D1566" t="s">
        <v>4840</v>
      </c>
      <c r="E1566" t="s">
        <v>4841</v>
      </c>
      <c r="F1566" t="s">
        <v>4844</v>
      </c>
      <c r="G1566" s="2" t="str">
        <f>HYPERLINK("https://probpalata.gov.ru/files/ИП360100166700001.jpeg","Скачать индивидуальный QR-код магазина")</f>
        <v>Скачать индивидуальный QR-код магазина</v>
      </c>
    </row>
    <row r="1567" spans="1:7" x14ac:dyDescent="0.25">
      <c r="A1567" t="s">
        <v>4684</v>
      </c>
      <c r="B1567" t="s">
        <v>4845</v>
      </c>
      <c r="C1567" t="s">
        <v>4839</v>
      </c>
      <c r="D1567" t="s">
        <v>4840</v>
      </c>
      <c r="E1567" t="s">
        <v>4841</v>
      </c>
      <c r="F1567" t="s">
        <v>4846</v>
      </c>
      <c r="G1567" s="2" t="str">
        <f>HYPERLINK("https://probpalata.gov.ru/files/ИП360100166700002.jpeg","Скачать индивидуальный QR-код магазина")</f>
        <v>Скачать индивидуальный QR-код магазина</v>
      </c>
    </row>
    <row r="1568" spans="1:7" x14ac:dyDescent="0.25">
      <c r="A1568" t="s">
        <v>4684</v>
      </c>
      <c r="B1568" t="s">
        <v>4847</v>
      </c>
      <c r="C1568" t="s">
        <v>4839</v>
      </c>
      <c r="D1568" t="s">
        <v>4840</v>
      </c>
      <c r="E1568" t="s">
        <v>4841</v>
      </c>
      <c r="F1568" t="s">
        <v>4848</v>
      </c>
      <c r="G1568" s="2" t="str">
        <f>HYPERLINK("https://probpalata.gov.ru/files/ИП360100166700004.jpeg","Скачать индивидуальный QR-код магазина")</f>
        <v>Скачать индивидуальный QR-код магазина</v>
      </c>
    </row>
    <row r="1569" spans="1:7" x14ac:dyDescent="0.25">
      <c r="A1569" t="s">
        <v>4684</v>
      </c>
      <c r="B1569" t="s">
        <v>4849</v>
      </c>
      <c r="C1569" t="s">
        <v>4850</v>
      </c>
      <c r="D1569" t="s">
        <v>4851</v>
      </c>
      <c r="E1569" t="s">
        <v>4852</v>
      </c>
      <c r="F1569" t="s">
        <v>4853</v>
      </c>
      <c r="G1569" s="2" t="str">
        <f>HYPERLINK("https://probpalata.gov.ru/files/ИП360100227100003.jpeg","Скачать индивидуальный QR-код магазина")</f>
        <v>Скачать индивидуальный QR-код магазина</v>
      </c>
    </row>
    <row r="1570" spans="1:7" x14ac:dyDescent="0.25">
      <c r="A1570" t="s">
        <v>4684</v>
      </c>
      <c r="B1570" t="s">
        <v>4854</v>
      </c>
      <c r="C1570" t="s">
        <v>4850</v>
      </c>
      <c r="D1570" t="s">
        <v>4851</v>
      </c>
      <c r="E1570" t="s">
        <v>4852</v>
      </c>
      <c r="F1570" t="s">
        <v>4855</v>
      </c>
      <c r="G1570" s="2" t="str">
        <f>HYPERLINK("https://probpalata.gov.ru/files/ИП360100227100004.jpeg","Скачать индивидуальный QR-код магазина")</f>
        <v>Скачать индивидуальный QR-код магазина</v>
      </c>
    </row>
    <row r="1571" spans="1:7" x14ac:dyDescent="0.25">
      <c r="A1571" t="s">
        <v>4684</v>
      </c>
      <c r="B1571" t="s">
        <v>4856</v>
      </c>
      <c r="C1571" t="s">
        <v>4850</v>
      </c>
      <c r="D1571" t="s">
        <v>4851</v>
      </c>
      <c r="E1571" t="s">
        <v>4852</v>
      </c>
      <c r="F1571" t="s">
        <v>4857</v>
      </c>
      <c r="G1571" s="2" t="str">
        <f>HYPERLINK("https://probpalata.gov.ru/files/ИП360100227100005.jpeg","Скачать индивидуальный QR-код магазина")</f>
        <v>Скачать индивидуальный QR-код магазина</v>
      </c>
    </row>
    <row r="1572" spans="1:7" x14ac:dyDescent="0.25">
      <c r="A1572" t="s">
        <v>4684</v>
      </c>
      <c r="B1572" t="s">
        <v>4858</v>
      </c>
      <c r="C1572" t="s">
        <v>4850</v>
      </c>
      <c r="D1572" t="s">
        <v>4851</v>
      </c>
      <c r="E1572" t="s">
        <v>4852</v>
      </c>
      <c r="F1572" t="s">
        <v>4859</v>
      </c>
      <c r="G1572" s="2" t="str">
        <f>HYPERLINK("https://probpalata.gov.ru/files/ИП360100227100006.jpeg","Скачать индивидуальный QR-код магазина")</f>
        <v>Скачать индивидуальный QR-код магазина</v>
      </c>
    </row>
    <row r="1573" spans="1:7" x14ac:dyDescent="0.25">
      <c r="A1573" t="s">
        <v>4684</v>
      </c>
      <c r="B1573" t="s">
        <v>4860</v>
      </c>
      <c r="C1573" t="s">
        <v>4861</v>
      </c>
      <c r="D1573" t="s">
        <v>4862</v>
      </c>
      <c r="E1573" t="s">
        <v>4863</v>
      </c>
      <c r="F1573" t="s">
        <v>4864</v>
      </c>
      <c r="G1573" s="2" t="str">
        <f>HYPERLINK("https://probpalata.gov.ru/files/ИП360101554200000.jpeg","Скачать индивидуальный QR-код магазина")</f>
        <v>Скачать индивидуальный QR-код магазина</v>
      </c>
    </row>
    <row r="1574" spans="1:7" x14ac:dyDescent="0.25">
      <c r="A1574" t="s">
        <v>4684</v>
      </c>
      <c r="B1574" t="s">
        <v>4865</v>
      </c>
      <c r="C1574" t="s">
        <v>4861</v>
      </c>
      <c r="D1574" t="s">
        <v>4862</v>
      </c>
      <c r="E1574" t="s">
        <v>4863</v>
      </c>
      <c r="F1574" t="s">
        <v>4866</v>
      </c>
      <c r="G1574" s="2" t="str">
        <f>HYPERLINK("https://probpalata.gov.ru/files/ИП360101554200002.jpeg","Скачать индивидуальный QR-код магазина")</f>
        <v>Скачать индивидуальный QR-код магазина</v>
      </c>
    </row>
    <row r="1575" spans="1:7" x14ac:dyDescent="0.25">
      <c r="A1575" t="s">
        <v>4684</v>
      </c>
      <c r="B1575" t="s">
        <v>4867</v>
      </c>
      <c r="C1575" t="s">
        <v>4861</v>
      </c>
      <c r="D1575" t="s">
        <v>4862</v>
      </c>
      <c r="E1575" t="s">
        <v>4863</v>
      </c>
      <c r="F1575" t="s">
        <v>4868</v>
      </c>
      <c r="G1575" s="2" t="str">
        <f>HYPERLINK("https://probpalata.gov.ru/files/ИП360101554200018.jpeg","Скачать индивидуальный QR-код магазина")</f>
        <v>Скачать индивидуальный QR-код магазина</v>
      </c>
    </row>
    <row r="1576" spans="1:7" x14ac:dyDescent="0.25">
      <c r="A1576" t="s">
        <v>4684</v>
      </c>
      <c r="B1576" t="s">
        <v>4869</v>
      </c>
      <c r="C1576" t="s">
        <v>4861</v>
      </c>
      <c r="D1576" t="s">
        <v>4862</v>
      </c>
      <c r="E1576" t="s">
        <v>4863</v>
      </c>
      <c r="F1576" t="s">
        <v>4870</v>
      </c>
      <c r="G1576" s="2" t="str">
        <f>HYPERLINK("https://probpalata.gov.ru/files/ИП360101554200020.jpeg","Скачать индивидуальный QR-код магазина")</f>
        <v>Скачать индивидуальный QR-код магазина</v>
      </c>
    </row>
    <row r="1577" spans="1:7" x14ac:dyDescent="0.25">
      <c r="A1577" t="s">
        <v>4684</v>
      </c>
      <c r="B1577" t="s">
        <v>4871</v>
      </c>
      <c r="C1577" t="s">
        <v>4861</v>
      </c>
      <c r="D1577" t="s">
        <v>4862</v>
      </c>
      <c r="E1577" t="s">
        <v>4863</v>
      </c>
      <c r="F1577" t="s">
        <v>4872</v>
      </c>
      <c r="G1577" s="2" t="str">
        <f>HYPERLINK("https://probpalata.gov.ru/files/ИП360101554200021.jpeg","Скачать индивидуальный QR-код магазина")</f>
        <v>Скачать индивидуальный QR-код магазина</v>
      </c>
    </row>
    <row r="1578" spans="1:7" x14ac:dyDescent="0.25">
      <c r="A1578" t="s">
        <v>4684</v>
      </c>
      <c r="B1578" t="s">
        <v>4873</v>
      </c>
      <c r="C1578" t="s">
        <v>4861</v>
      </c>
      <c r="D1578" t="s">
        <v>4862</v>
      </c>
      <c r="E1578" t="s">
        <v>4863</v>
      </c>
      <c r="F1578" t="s">
        <v>4874</v>
      </c>
      <c r="G1578" s="2" t="str">
        <f>HYPERLINK("https://probpalata.gov.ru/files/ИП360101554200022.jpeg","Скачать индивидуальный QR-код магазина")</f>
        <v>Скачать индивидуальный QR-код магазина</v>
      </c>
    </row>
    <row r="1579" spans="1:7" x14ac:dyDescent="0.25">
      <c r="A1579" t="s">
        <v>4684</v>
      </c>
      <c r="B1579" t="s">
        <v>4875</v>
      </c>
      <c r="C1579" t="s">
        <v>4861</v>
      </c>
      <c r="D1579" t="s">
        <v>4862</v>
      </c>
      <c r="E1579" t="s">
        <v>4863</v>
      </c>
      <c r="F1579" t="s">
        <v>4876</v>
      </c>
      <c r="G1579" s="2" t="str">
        <f>HYPERLINK("https://probpalata.gov.ru/files/ИП360101554200024.jpeg","Скачать индивидуальный QR-код магазина")</f>
        <v>Скачать индивидуальный QR-код магазина</v>
      </c>
    </row>
    <row r="1580" spans="1:7" x14ac:dyDescent="0.25">
      <c r="A1580" t="s">
        <v>4684</v>
      </c>
      <c r="B1580" t="s">
        <v>4877</v>
      </c>
      <c r="C1580" t="s">
        <v>4861</v>
      </c>
      <c r="D1580" t="s">
        <v>4862</v>
      </c>
      <c r="E1580" t="s">
        <v>4863</v>
      </c>
      <c r="F1580" t="s">
        <v>4878</v>
      </c>
      <c r="G1580" s="2" t="str">
        <f>HYPERLINK("https://probpalata.gov.ru/files/ИП360101554200025.jpeg","Скачать индивидуальный QR-код магазина")</f>
        <v>Скачать индивидуальный QR-код магазина</v>
      </c>
    </row>
    <row r="1581" spans="1:7" x14ac:dyDescent="0.25">
      <c r="A1581" t="s">
        <v>4684</v>
      </c>
      <c r="B1581" t="s">
        <v>4879</v>
      </c>
      <c r="C1581" t="s">
        <v>4861</v>
      </c>
      <c r="D1581" t="s">
        <v>4862</v>
      </c>
      <c r="E1581" t="s">
        <v>4863</v>
      </c>
      <c r="F1581" t="s">
        <v>4880</v>
      </c>
      <c r="G1581" s="2" t="str">
        <f>HYPERLINK("https://probpalata.gov.ru/files/ИП360101554200028.jpeg","Скачать индивидуальный QR-код магазина")</f>
        <v>Скачать индивидуальный QR-код магазина</v>
      </c>
    </row>
    <row r="1582" spans="1:7" x14ac:dyDescent="0.25">
      <c r="A1582" t="s">
        <v>4684</v>
      </c>
      <c r="B1582" t="s">
        <v>4881</v>
      </c>
      <c r="C1582" t="s">
        <v>4861</v>
      </c>
      <c r="D1582" t="s">
        <v>4862</v>
      </c>
      <c r="E1582" t="s">
        <v>4863</v>
      </c>
      <c r="F1582" t="s">
        <v>4882</v>
      </c>
      <c r="G1582" s="2" t="str">
        <f>HYPERLINK("https://probpalata.gov.ru/files/ИП360101554200030.jpeg","Скачать индивидуальный QR-код магазина")</f>
        <v>Скачать индивидуальный QR-код магазина</v>
      </c>
    </row>
    <row r="1583" spans="1:7" x14ac:dyDescent="0.25">
      <c r="A1583" t="s">
        <v>4684</v>
      </c>
      <c r="B1583" t="s">
        <v>4883</v>
      </c>
      <c r="C1583" t="s">
        <v>4884</v>
      </c>
      <c r="D1583" t="s">
        <v>4885</v>
      </c>
      <c r="E1583" t="s">
        <v>4886</v>
      </c>
      <c r="F1583" t="s">
        <v>4887</v>
      </c>
      <c r="G1583" s="2" t="str">
        <f>HYPERLINK("https://probpalata.gov.ru/files/ИП360100305800000.jpeg","Скачать индивидуальный QR-код магазина")</f>
        <v>Скачать индивидуальный QR-код магазина</v>
      </c>
    </row>
    <row r="1584" spans="1:7" x14ac:dyDescent="0.25">
      <c r="A1584" t="s">
        <v>4684</v>
      </c>
      <c r="B1584" t="s">
        <v>4888</v>
      </c>
      <c r="C1584" t="s">
        <v>4884</v>
      </c>
      <c r="D1584" t="s">
        <v>4885</v>
      </c>
      <c r="E1584" t="s">
        <v>4886</v>
      </c>
      <c r="F1584" t="s">
        <v>4889</v>
      </c>
      <c r="G1584" s="2" t="str">
        <f>HYPERLINK("https://probpalata.gov.ru/files/ИП360100305800001.jpeg","Скачать индивидуальный QR-код магазина")</f>
        <v>Скачать индивидуальный QR-код магазина</v>
      </c>
    </row>
    <row r="1585" spans="1:7" x14ac:dyDescent="0.25">
      <c r="A1585" t="s">
        <v>4684</v>
      </c>
      <c r="B1585" t="s">
        <v>4890</v>
      </c>
      <c r="C1585" t="s">
        <v>4884</v>
      </c>
      <c r="D1585" t="s">
        <v>4885</v>
      </c>
      <c r="E1585" t="s">
        <v>4886</v>
      </c>
      <c r="F1585" t="s">
        <v>4891</v>
      </c>
      <c r="G1585" s="2" t="str">
        <f>HYPERLINK("https://probpalata.gov.ru/files/ИП360100305800002.jpeg","Скачать индивидуальный QR-код магазина")</f>
        <v>Скачать индивидуальный QR-код магазина</v>
      </c>
    </row>
    <row r="1586" spans="1:7" x14ac:dyDescent="0.25">
      <c r="A1586" t="s">
        <v>4684</v>
      </c>
      <c r="B1586" t="s">
        <v>4892</v>
      </c>
      <c r="C1586" t="s">
        <v>4884</v>
      </c>
      <c r="D1586" t="s">
        <v>4885</v>
      </c>
      <c r="E1586" t="s">
        <v>4886</v>
      </c>
      <c r="F1586" t="s">
        <v>4893</v>
      </c>
      <c r="G1586" s="2" t="str">
        <f>HYPERLINK("https://probpalata.gov.ru/files/ИП360100305800003.jpeg","Скачать индивидуальный QR-код магазина")</f>
        <v>Скачать индивидуальный QR-код магазина</v>
      </c>
    </row>
    <row r="1587" spans="1:7" x14ac:dyDescent="0.25">
      <c r="A1587" t="s">
        <v>4684</v>
      </c>
      <c r="B1587" t="s">
        <v>4894</v>
      </c>
      <c r="C1587" t="s">
        <v>4884</v>
      </c>
      <c r="D1587" t="s">
        <v>4885</v>
      </c>
      <c r="E1587" t="s">
        <v>4886</v>
      </c>
      <c r="F1587" t="s">
        <v>4895</v>
      </c>
      <c r="G1587" s="2" t="str">
        <f>HYPERLINK("https://probpalata.gov.ru/files/ИП360100305800004.jpeg","Скачать индивидуальный QR-код магазина")</f>
        <v>Скачать индивидуальный QR-код магазина</v>
      </c>
    </row>
    <row r="1588" spans="1:7" x14ac:dyDescent="0.25">
      <c r="A1588" t="s">
        <v>4684</v>
      </c>
      <c r="B1588" t="s">
        <v>4896</v>
      </c>
      <c r="C1588" t="s">
        <v>4884</v>
      </c>
      <c r="D1588" t="s">
        <v>4885</v>
      </c>
      <c r="E1588" t="s">
        <v>4886</v>
      </c>
      <c r="F1588" t="s">
        <v>4897</v>
      </c>
      <c r="G1588" s="2" t="str">
        <f>HYPERLINK("https://probpalata.gov.ru/files/ИП360100305800005.jpeg","Скачать индивидуальный QR-код магазина")</f>
        <v>Скачать индивидуальный QR-код магазина</v>
      </c>
    </row>
    <row r="1589" spans="1:7" x14ac:dyDescent="0.25">
      <c r="A1589" t="s">
        <v>4684</v>
      </c>
      <c r="B1589" t="s">
        <v>4898</v>
      </c>
      <c r="C1589" t="s">
        <v>4884</v>
      </c>
      <c r="D1589" t="s">
        <v>4885</v>
      </c>
      <c r="E1589" t="s">
        <v>4886</v>
      </c>
      <c r="F1589" t="s">
        <v>4899</v>
      </c>
      <c r="G1589" s="2" t="str">
        <f>HYPERLINK("https://probpalata.gov.ru/files/ИП360100305800006.jpeg","Скачать индивидуальный QR-код магазина")</f>
        <v>Скачать индивидуальный QR-код магазина</v>
      </c>
    </row>
    <row r="1590" spans="1:7" x14ac:dyDescent="0.25">
      <c r="A1590" t="s">
        <v>4684</v>
      </c>
      <c r="B1590" t="s">
        <v>4900</v>
      </c>
      <c r="C1590" t="s">
        <v>4901</v>
      </c>
      <c r="D1590" t="s">
        <v>4902</v>
      </c>
      <c r="E1590" t="s">
        <v>4903</v>
      </c>
      <c r="F1590" t="s">
        <v>4904</v>
      </c>
      <c r="G1590" s="2" t="str">
        <f>HYPERLINK("https://probpalata.gov.ru/files/ЮЛ360100443500000.jpeg","Скачать индивидуальный QR-код магазина")</f>
        <v>Скачать индивидуальный QR-код магазина</v>
      </c>
    </row>
    <row r="1591" spans="1:7" x14ac:dyDescent="0.25">
      <c r="A1591" t="s">
        <v>4684</v>
      </c>
      <c r="B1591" t="s">
        <v>4905</v>
      </c>
      <c r="C1591" t="s">
        <v>4906</v>
      </c>
      <c r="D1591" t="s">
        <v>4907</v>
      </c>
      <c r="E1591" t="s">
        <v>4908</v>
      </c>
      <c r="F1591" t="s">
        <v>4909</v>
      </c>
      <c r="G1591" s="2" t="str">
        <f>HYPERLINK("https://probpalata.gov.ru/files/ИП360103466300000.jpeg","Скачать индивидуальный QR-код магазина")</f>
        <v>Скачать индивидуальный QR-код магазина</v>
      </c>
    </row>
    <row r="1592" spans="1:7" x14ac:dyDescent="0.25">
      <c r="A1592" t="s">
        <v>4684</v>
      </c>
      <c r="B1592" t="s">
        <v>4910</v>
      </c>
      <c r="C1592" t="s">
        <v>4906</v>
      </c>
      <c r="D1592" t="s">
        <v>4907</v>
      </c>
      <c r="E1592" t="s">
        <v>4908</v>
      </c>
      <c r="F1592" t="s">
        <v>4911</v>
      </c>
      <c r="G1592" s="2" t="str">
        <f>HYPERLINK("https://probpalata.gov.ru/files/ИП360103466300001.jpeg","Скачать индивидуальный QR-код магазина")</f>
        <v>Скачать индивидуальный QR-код магазина</v>
      </c>
    </row>
    <row r="1593" spans="1:7" x14ac:dyDescent="0.25">
      <c r="A1593" t="s">
        <v>4684</v>
      </c>
      <c r="B1593" t="s">
        <v>4912</v>
      </c>
      <c r="C1593" t="s">
        <v>4913</v>
      </c>
      <c r="D1593" t="s">
        <v>4914</v>
      </c>
      <c r="E1593" t="s">
        <v>4915</v>
      </c>
      <c r="F1593" t="s">
        <v>4916</v>
      </c>
      <c r="G1593" s="2" t="str">
        <f>HYPERLINK("https://probpalata.gov.ru/files/ИП360101340400000.jpeg","Скачать индивидуальный QR-код магазина")</f>
        <v>Скачать индивидуальный QR-код магазина</v>
      </c>
    </row>
    <row r="1594" spans="1:7" x14ac:dyDescent="0.25">
      <c r="A1594" t="s">
        <v>4684</v>
      </c>
      <c r="B1594" t="s">
        <v>4917</v>
      </c>
      <c r="C1594" t="s">
        <v>4918</v>
      </c>
      <c r="D1594" t="s">
        <v>4919</v>
      </c>
      <c r="E1594" t="s">
        <v>4920</v>
      </c>
      <c r="F1594" t="s">
        <v>4921</v>
      </c>
      <c r="G1594" s="2" t="str">
        <f>HYPERLINK("https://probpalata.gov.ru/files/ИП360100624900000.jpeg","Скачать индивидуальный QR-код магазина")</f>
        <v>Скачать индивидуальный QR-код магазина</v>
      </c>
    </row>
    <row r="1595" spans="1:7" x14ac:dyDescent="0.25">
      <c r="A1595" t="s">
        <v>4684</v>
      </c>
      <c r="B1595" t="s">
        <v>4922</v>
      </c>
      <c r="C1595" t="s">
        <v>4923</v>
      </c>
      <c r="D1595" t="s">
        <v>4924</v>
      </c>
      <c r="E1595" t="s">
        <v>4925</v>
      </c>
      <c r="F1595" t="s">
        <v>4926</v>
      </c>
      <c r="G1595" s="2" t="str">
        <f>HYPERLINK("https://probpalata.gov.ru/files/ИП360101327200000.jpeg","Скачать индивидуальный QR-код магазина")</f>
        <v>Скачать индивидуальный QR-код магазина</v>
      </c>
    </row>
    <row r="1596" spans="1:7" x14ac:dyDescent="0.25">
      <c r="A1596" t="s">
        <v>4684</v>
      </c>
      <c r="B1596" t="s">
        <v>4927</v>
      </c>
      <c r="C1596" t="s">
        <v>4928</v>
      </c>
      <c r="D1596" t="s">
        <v>4929</v>
      </c>
      <c r="E1596" t="s">
        <v>4930</v>
      </c>
      <c r="F1596" t="s">
        <v>4931</v>
      </c>
      <c r="G1596" s="2" t="str">
        <f>HYPERLINK("https://probpalata.gov.ru/files/ИП360100034800000.jpeg","Скачать индивидуальный QR-код магазина")</f>
        <v>Скачать индивидуальный QR-код магазина</v>
      </c>
    </row>
    <row r="1597" spans="1:7" x14ac:dyDescent="0.25">
      <c r="A1597" t="s">
        <v>4684</v>
      </c>
      <c r="B1597" t="s">
        <v>4690</v>
      </c>
      <c r="C1597" t="s">
        <v>4932</v>
      </c>
      <c r="D1597" t="s">
        <v>4933</v>
      </c>
      <c r="E1597" t="s">
        <v>4934</v>
      </c>
      <c r="F1597" t="s">
        <v>4935</v>
      </c>
      <c r="G1597" s="2" t="str">
        <f>HYPERLINK("https://probpalata.gov.ru/files/ЮЛ360101448300000.jpeg","Скачать индивидуальный QR-код магазина")</f>
        <v>Скачать индивидуальный QR-код магазина</v>
      </c>
    </row>
    <row r="1598" spans="1:7" x14ac:dyDescent="0.25">
      <c r="A1598" t="s">
        <v>4684</v>
      </c>
      <c r="B1598" t="s">
        <v>4936</v>
      </c>
      <c r="C1598" t="s">
        <v>4937</v>
      </c>
      <c r="D1598" t="s">
        <v>4938</v>
      </c>
      <c r="E1598" t="s">
        <v>4939</v>
      </c>
      <c r="F1598" t="s">
        <v>4940</v>
      </c>
      <c r="G1598" s="2" t="str">
        <f>HYPERLINK("https://probpalata.gov.ru/files/ЮЛ360100949700000.jpeg","Скачать индивидуальный QR-код магазина")</f>
        <v>Скачать индивидуальный QR-код магазина</v>
      </c>
    </row>
    <row r="1599" spans="1:7" x14ac:dyDescent="0.25">
      <c r="A1599" t="s">
        <v>4684</v>
      </c>
      <c r="B1599" t="s">
        <v>4941</v>
      </c>
      <c r="C1599" t="s">
        <v>4937</v>
      </c>
      <c r="D1599" t="s">
        <v>4938</v>
      </c>
      <c r="E1599" t="s">
        <v>4939</v>
      </c>
      <c r="F1599" t="s">
        <v>4942</v>
      </c>
      <c r="G1599" s="2" t="str">
        <f>HYPERLINK("https://probpalata.gov.ru/files/ЮЛ360100949700008.jpeg","Скачать индивидуальный QR-код магазина")</f>
        <v>Скачать индивидуальный QR-код магазина</v>
      </c>
    </row>
    <row r="1600" spans="1:7" x14ac:dyDescent="0.25">
      <c r="A1600" t="s">
        <v>4684</v>
      </c>
      <c r="B1600" t="s">
        <v>4943</v>
      </c>
      <c r="C1600" t="s">
        <v>4944</v>
      </c>
      <c r="D1600" t="s">
        <v>4945</v>
      </c>
      <c r="E1600" t="s">
        <v>4946</v>
      </c>
      <c r="F1600" t="s">
        <v>4947</v>
      </c>
      <c r="G1600" s="2" t="str">
        <f>HYPERLINK("https://probpalata.gov.ru/files/ИП360103622600000.jpeg","Скачать индивидуальный QR-код магазина")</f>
        <v>Скачать индивидуальный QR-код магазина</v>
      </c>
    </row>
    <row r="1601" spans="1:7" x14ac:dyDescent="0.25">
      <c r="A1601" t="s">
        <v>4684</v>
      </c>
      <c r="B1601" t="s">
        <v>4948</v>
      </c>
      <c r="C1601" t="s">
        <v>4949</v>
      </c>
      <c r="D1601" t="s">
        <v>4950</v>
      </c>
      <c r="E1601" t="s">
        <v>4951</v>
      </c>
      <c r="F1601" t="s">
        <v>4952</v>
      </c>
      <c r="G1601" s="2" t="str">
        <f>HYPERLINK("https://probpalata.gov.ru/files/ИП360101661000000.jpeg","Скачать индивидуальный QR-код магазина")</f>
        <v>Скачать индивидуальный QR-код магазина</v>
      </c>
    </row>
    <row r="1602" spans="1:7" x14ac:dyDescent="0.25">
      <c r="A1602" t="s">
        <v>4684</v>
      </c>
      <c r="B1602" t="s">
        <v>4953</v>
      </c>
      <c r="C1602" t="s">
        <v>4954</v>
      </c>
      <c r="D1602" t="s">
        <v>4955</v>
      </c>
      <c r="E1602" t="s">
        <v>4956</v>
      </c>
      <c r="F1602" t="s">
        <v>4957</v>
      </c>
      <c r="G1602" s="2" t="str">
        <f>HYPERLINK("https://probpalata.gov.ru/files/ИП360103395100000.jpeg","Скачать индивидуальный QR-код магазина")</f>
        <v>Скачать индивидуальный QR-код магазина</v>
      </c>
    </row>
    <row r="1603" spans="1:7" x14ac:dyDescent="0.25">
      <c r="A1603" t="s">
        <v>4684</v>
      </c>
      <c r="B1603" t="s">
        <v>4858</v>
      </c>
      <c r="C1603" t="s">
        <v>4958</v>
      </c>
      <c r="D1603" t="s">
        <v>4959</v>
      </c>
      <c r="E1603" t="s">
        <v>4960</v>
      </c>
      <c r="F1603" t="s">
        <v>4961</v>
      </c>
      <c r="G1603" s="2" t="str">
        <f>HYPERLINK("https://probpalata.gov.ru/files/ЮЛ360100324800009.jpeg","Скачать индивидуальный QR-код магазина")</f>
        <v>Скачать индивидуальный QR-код магазина</v>
      </c>
    </row>
    <row r="1604" spans="1:7" x14ac:dyDescent="0.25">
      <c r="A1604" t="s">
        <v>4684</v>
      </c>
      <c r="B1604" t="s">
        <v>4962</v>
      </c>
      <c r="C1604" t="s">
        <v>4958</v>
      </c>
      <c r="D1604" t="s">
        <v>4959</v>
      </c>
      <c r="E1604" t="s">
        <v>4960</v>
      </c>
      <c r="F1604" t="s">
        <v>4963</v>
      </c>
      <c r="G1604" s="2" t="str">
        <f>HYPERLINK("https://probpalata.gov.ru/files/ЮЛ360100324800010.jpeg","Скачать индивидуальный QR-код магазина")</f>
        <v>Скачать индивидуальный QR-код магазина</v>
      </c>
    </row>
    <row r="1605" spans="1:7" x14ac:dyDescent="0.25">
      <c r="A1605" t="s">
        <v>4684</v>
      </c>
      <c r="B1605" t="s">
        <v>4964</v>
      </c>
      <c r="C1605" t="s">
        <v>4958</v>
      </c>
      <c r="D1605" t="s">
        <v>4959</v>
      </c>
      <c r="E1605" t="s">
        <v>4960</v>
      </c>
      <c r="F1605" t="s">
        <v>4965</v>
      </c>
      <c r="G1605" s="2" t="str">
        <f>HYPERLINK("https://probpalata.gov.ru/files/ЮЛ360100324800014.jpeg","Скачать индивидуальный QR-код магазина")</f>
        <v>Скачать индивидуальный QR-код магазина</v>
      </c>
    </row>
    <row r="1606" spans="1:7" x14ac:dyDescent="0.25">
      <c r="A1606" t="s">
        <v>4684</v>
      </c>
      <c r="B1606" t="s">
        <v>4966</v>
      </c>
      <c r="C1606" t="s">
        <v>4958</v>
      </c>
      <c r="D1606" t="s">
        <v>4959</v>
      </c>
      <c r="E1606" t="s">
        <v>4960</v>
      </c>
      <c r="F1606" t="s">
        <v>4967</v>
      </c>
      <c r="G1606" s="2" t="str">
        <f>HYPERLINK("https://probpalata.gov.ru/files/ЮЛ360100324800018.jpeg","Скачать индивидуальный QR-код магазина")</f>
        <v>Скачать индивидуальный QR-код магазина</v>
      </c>
    </row>
    <row r="1607" spans="1:7" x14ac:dyDescent="0.25">
      <c r="A1607" t="s">
        <v>4684</v>
      </c>
      <c r="B1607" t="s">
        <v>4968</v>
      </c>
      <c r="C1607" t="s">
        <v>4958</v>
      </c>
      <c r="D1607" t="s">
        <v>4959</v>
      </c>
      <c r="E1607" t="s">
        <v>4960</v>
      </c>
      <c r="F1607" t="s">
        <v>4969</v>
      </c>
      <c r="G1607" s="2" t="str">
        <f>HYPERLINK("https://probpalata.gov.ru/files/ЮЛ360100324800020.jpeg","Скачать индивидуальный QR-код магазина")</f>
        <v>Скачать индивидуальный QR-код магазина</v>
      </c>
    </row>
    <row r="1608" spans="1:7" x14ac:dyDescent="0.25">
      <c r="A1608" t="s">
        <v>4684</v>
      </c>
      <c r="B1608" t="s">
        <v>4970</v>
      </c>
      <c r="C1608" t="s">
        <v>4958</v>
      </c>
      <c r="D1608" t="s">
        <v>4959</v>
      </c>
      <c r="E1608" t="s">
        <v>4960</v>
      </c>
      <c r="F1608" t="s">
        <v>4971</v>
      </c>
      <c r="G1608" s="2" t="str">
        <f>HYPERLINK("https://probpalata.gov.ru/files/ЮЛ360100324800022.jpeg","Скачать индивидуальный QR-код магазина")</f>
        <v>Скачать индивидуальный QR-код магазина</v>
      </c>
    </row>
    <row r="1609" spans="1:7" x14ac:dyDescent="0.25">
      <c r="A1609" t="s">
        <v>4684</v>
      </c>
      <c r="B1609" t="s">
        <v>4972</v>
      </c>
      <c r="C1609" t="s">
        <v>4973</v>
      </c>
      <c r="D1609" t="s">
        <v>4974</v>
      </c>
      <c r="E1609" t="s">
        <v>4975</v>
      </c>
      <c r="F1609" t="s">
        <v>4976</v>
      </c>
      <c r="G1609" s="2" t="str">
        <f>HYPERLINK("https://probpalata.gov.ru/files/ИП360101419900000.jpeg","Скачать индивидуальный QR-код магазина")</f>
        <v>Скачать индивидуальный QR-код магазина</v>
      </c>
    </row>
    <row r="1610" spans="1:7" x14ac:dyDescent="0.25">
      <c r="A1610" t="s">
        <v>4684</v>
      </c>
      <c r="B1610" t="s">
        <v>4977</v>
      </c>
      <c r="C1610" t="s">
        <v>4973</v>
      </c>
      <c r="D1610" t="s">
        <v>4974</v>
      </c>
      <c r="E1610" t="s">
        <v>4975</v>
      </c>
      <c r="F1610" t="s">
        <v>4978</v>
      </c>
      <c r="G1610" s="2" t="str">
        <f>HYPERLINK("https://probpalata.gov.ru/files/ИП360101419900005.jpeg","Скачать индивидуальный QR-код магазина")</f>
        <v>Скачать индивидуальный QR-код магазина</v>
      </c>
    </row>
    <row r="1611" spans="1:7" x14ac:dyDescent="0.25">
      <c r="A1611" t="s">
        <v>4684</v>
      </c>
      <c r="B1611" t="s">
        <v>4979</v>
      </c>
      <c r="C1611" t="s">
        <v>4980</v>
      </c>
      <c r="D1611" t="s">
        <v>4981</v>
      </c>
      <c r="E1611" t="s">
        <v>4982</v>
      </c>
      <c r="F1611" t="s">
        <v>4983</v>
      </c>
      <c r="G1611" s="2" t="str">
        <f>HYPERLINK("https://probpalata.gov.ru/files/ИП360100278100002.jpeg","Скачать индивидуальный QR-код магазина")</f>
        <v>Скачать индивидуальный QR-код магазина</v>
      </c>
    </row>
    <row r="1612" spans="1:7" x14ac:dyDescent="0.25">
      <c r="A1612" t="s">
        <v>4684</v>
      </c>
      <c r="B1612" t="s">
        <v>4984</v>
      </c>
      <c r="C1612" t="s">
        <v>4980</v>
      </c>
      <c r="D1612" t="s">
        <v>4981</v>
      </c>
      <c r="E1612" t="s">
        <v>4982</v>
      </c>
      <c r="F1612" t="s">
        <v>4985</v>
      </c>
      <c r="G1612" s="2" t="str">
        <f>HYPERLINK("https://probpalata.gov.ru/files/ИП360100278100004.jpeg","Скачать индивидуальный QR-код магазина")</f>
        <v>Скачать индивидуальный QR-код магазина</v>
      </c>
    </row>
    <row r="1613" spans="1:7" x14ac:dyDescent="0.25">
      <c r="A1613" t="s">
        <v>4684</v>
      </c>
      <c r="B1613" t="s">
        <v>4986</v>
      </c>
      <c r="C1613" t="s">
        <v>4980</v>
      </c>
      <c r="D1613" t="s">
        <v>4981</v>
      </c>
      <c r="E1613" t="s">
        <v>4982</v>
      </c>
      <c r="F1613" t="s">
        <v>4987</v>
      </c>
      <c r="G1613" s="2" t="str">
        <f>HYPERLINK("https://probpalata.gov.ru/files/ИП360100278100006.jpeg","Скачать индивидуальный QR-код магазина")</f>
        <v>Скачать индивидуальный QR-код магазина</v>
      </c>
    </row>
    <row r="1614" spans="1:7" x14ac:dyDescent="0.25">
      <c r="A1614" t="s">
        <v>4684</v>
      </c>
      <c r="B1614" t="s">
        <v>4988</v>
      </c>
      <c r="C1614" t="s">
        <v>4980</v>
      </c>
      <c r="D1614" t="s">
        <v>4981</v>
      </c>
      <c r="E1614" t="s">
        <v>4982</v>
      </c>
      <c r="F1614" t="s">
        <v>4989</v>
      </c>
      <c r="G1614" s="2" t="str">
        <f>HYPERLINK("https://probpalata.gov.ru/files/ИП360100278100007.jpeg","Скачать индивидуальный QR-код магазина")</f>
        <v>Скачать индивидуальный QR-код магазина</v>
      </c>
    </row>
    <row r="1615" spans="1:7" x14ac:dyDescent="0.25">
      <c r="A1615" t="s">
        <v>4684</v>
      </c>
      <c r="B1615" t="s">
        <v>4990</v>
      </c>
      <c r="C1615" t="s">
        <v>4980</v>
      </c>
      <c r="D1615" t="s">
        <v>4981</v>
      </c>
      <c r="E1615" t="s">
        <v>4982</v>
      </c>
      <c r="F1615" t="s">
        <v>4991</v>
      </c>
      <c r="G1615" s="2" t="str">
        <f>HYPERLINK("https://probpalata.gov.ru/files/ИП360100278100008.jpeg","Скачать индивидуальный QR-код магазина")</f>
        <v>Скачать индивидуальный QR-код магазина</v>
      </c>
    </row>
    <row r="1616" spans="1:7" x14ac:dyDescent="0.25">
      <c r="A1616" t="s">
        <v>4684</v>
      </c>
      <c r="B1616" t="s">
        <v>4992</v>
      </c>
      <c r="C1616" t="s">
        <v>4980</v>
      </c>
      <c r="D1616" t="s">
        <v>4981</v>
      </c>
      <c r="E1616" t="s">
        <v>4982</v>
      </c>
      <c r="F1616" t="s">
        <v>4993</v>
      </c>
      <c r="G1616" s="2" t="str">
        <f>HYPERLINK("https://probpalata.gov.ru/files/ИП360100278100009.jpeg","Скачать индивидуальный QR-код магазина")</f>
        <v>Скачать индивидуальный QR-код магазина</v>
      </c>
    </row>
    <row r="1617" spans="1:7" x14ac:dyDescent="0.25">
      <c r="A1617" t="s">
        <v>4684</v>
      </c>
      <c r="B1617" t="s">
        <v>4994</v>
      </c>
      <c r="C1617" t="s">
        <v>4980</v>
      </c>
      <c r="D1617" t="s">
        <v>4981</v>
      </c>
      <c r="E1617" t="s">
        <v>4982</v>
      </c>
      <c r="F1617" t="s">
        <v>4995</v>
      </c>
      <c r="G1617" s="2" t="str">
        <f>HYPERLINK("https://probpalata.gov.ru/files/ИП360100278100010.jpeg","Скачать индивидуальный QR-код магазина")</f>
        <v>Скачать индивидуальный QR-код магазина</v>
      </c>
    </row>
    <row r="1618" spans="1:7" x14ac:dyDescent="0.25">
      <c r="A1618" t="s">
        <v>4684</v>
      </c>
      <c r="B1618" t="s">
        <v>4996</v>
      </c>
      <c r="C1618" t="s">
        <v>4980</v>
      </c>
      <c r="D1618" t="s">
        <v>4981</v>
      </c>
      <c r="E1618" t="s">
        <v>4982</v>
      </c>
      <c r="F1618" t="s">
        <v>4997</v>
      </c>
      <c r="G1618" s="2" t="str">
        <f>HYPERLINK("https://probpalata.gov.ru/files/ИП360100278100012.jpeg","Скачать индивидуальный QR-код магазина")</f>
        <v>Скачать индивидуальный QR-код магазина</v>
      </c>
    </row>
    <row r="1619" spans="1:7" x14ac:dyDescent="0.25">
      <c r="A1619" t="s">
        <v>4684</v>
      </c>
      <c r="B1619" t="s">
        <v>4998</v>
      </c>
      <c r="C1619" t="s">
        <v>4980</v>
      </c>
      <c r="D1619" t="s">
        <v>4981</v>
      </c>
      <c r="E1619" t="s">
        <v>4982</v>
      </c>
      <c r="F1619" t="s">
        <v>4999</v>
      </c>
      <c r="G1619" s="2" t="str">
        <f>HYPERLINK("https://probpalata.gov.ru/files/ИП360100278100013.jpeg","Скачать индивидуальный QR-код магазина")</f>
        <v>Скачать индивидуальный QR-код магазина</v>
      </c>
    </row>
    <row r="1620" spans="1:7" x14ac:dyDescent="0.25">
      <c r="A1620" t="s">
        <v>4684</v>
      </c>
      <c r="B1620" t="s">
        <v>5000</v>
      </c>
      <c r="C1620" t="s">
        <v>5001</v>
      </c>
      <c r="D1620" t="s">
        <v>5002</v>
      </c>
      <c r="E1620" t="s">
        <v>5003</v>
      </c>
      <c r="F1620" t="s">
        <v>5004</v>
      </c>
      <c r="G1620" s="2" t="str">
        <f>HYPERLINK("https://probpalata.gov.ru/files/ИП360103282600000.jpeg","Скачать индивидуальный QR-код магазина")</f>
        <v>Скачать индивидуальный QR-код магазина</v>
      </c>
    </row>
    <row r="1621" spans="1:7" x14ac:dyDescent="0.25">
      <c r="A1621" t="s">
        <v>4684</v>
      </c>
      <c r="B1621" t="s">
        <v>5005</v>
      </c>
      <c r="C1621" t="s">
        <v>5006</v>
      </c>
      <c r="D1621" t="s">
        <v>5007</v>
      </c>
      <c r="E1621" t="s">
        <v>5008</v>
      </c>
      <c r="F1621" t="s">
        <v>5009</v>
      </c>
      <c r="G1621" s="2" t="str">
        <f>HYPERLINK("https://probpalata.gov.ru/files/ИП360101290000000.jpeg","Скачать индивидуальный QR-код магазина")</f>
        <v>Скачать индивидуальный QR-код магазина</v>
      </c>
    </row>
    <row r="1622" spans="1:7" x14ac:dyDescent="0.25">
      <c r="A1622" t="s">
        <v>4684</v>
      </c>
      <c r="B1622" t="s">
        <v>5010</v>
      </c>
      <c r="C1622" t="s">
        <v>5006</v>
      </c>
      <c r="D1622" t="s">
        <v>5007</v>
      </c>
      <c r="E1622" t="s">
        <v>5008</v>
      </c>
      <c r="F1622" t="s">
        <v>5011</v>
      </c>
      <c r="G1622" s="2" t="str">
        <f>HYPERLINK("https://probpalata.gov.ru/files/ИП360101290000003.jpeg","Скачать индивидуальный QR-код магазина")</f>
        <v>Скачать индивидуальный QR-код магазина</v>
      </c>
    </row>
    <row r="1623" spans="1:7" x14ac:dyDescent="0.25">
      <c r="A1623" t="s">
        <v>4684</v>
      </c>
      <c r="B1623" t="s">
        <v>5012</v>
      </c>
      <c r="C1623" t="s">
        <v>5013</v>
      </c>
      <c r="D1623" t="s">
        <v>5014</v>
      </c>
      <c r="E1623" t="s">
        <v>5015</v>
      </c>
      <c r="F1623" t="s">
        <v>5016</v>
      </c>
      <c r="G1623" s="2" t="str">
        <f>HYPERLINK("https://probpalata.gov.ru/files/ИП360103534300000.jpeg","Скачать индивидуальный QR-код магазина")</f>
        <v>Скачать индивидуальный QR-код магазина</v>
      </c>
    </row>
    <row r="1624" spans="1:7" x14ac:dyDescent="0.25">
      <c r="A1624" t="s">
        <v>4684</v>
      </c>
      <c r="B1624" t="s">
        <v>5017</v>
      </c>
      <c r="C1624" t="s">
        <v>5018</v>
      </c>
      <c r="D1624" t="s">
        <v>5019</v>
      </c>
      <c r="E1624" t="s">
        <v>5020</v>
      </c>
      <c r="F1624" t="s">
        <v>5021</v>
      </c>
      <c r="G1624" s="2" t="str">
        <f>HYPERLINK("https://probpalata.gov.ru/files/ИП360100473500000.jpeg","Скачать индивидуальный QR-код магазина")</f>
        <v>Скачать индивидуальный QR-код магазина</v>
      </c>
    </row>
    <row r="1625" spans="1:7" x14ac:dyDescent="0.25">
      <c r="A1625" t="s">
        <v>4684</v>
      </c>
      <c r="B1625" t="s">
        <v>5022</v>
      </c>
      <c r="C1625" t="s">
        <v>5023</v>
      </c>
      <c r="D1625" t="s">
        <v>5024</v>
      </c>
      <c r="E1625" t="s">
        <v>5025</v>
      </c>
      <c r="F1625" t="s">
        <v>5026</v>
      </c>
      <c r="G1625" s="2" t="str">
        <f>HYPERLINK("https://probpalata.gov.ru/files/ЮЛ360103880200017.jpeg","Скачать индивидуальный QR-код магазина")</f>
        <v>Скачать индивидуальный QR-код магазина</v>
      </c>
    </row>
    <row r="1626" spans="1:7" x14ac:dyDescent="0.25">
      <c r="A1626" t="s">
        <v>4684</v>
      </c>
      <c r="B1626" t="s">
        <v>5027</v>
      </c>
      <c r="C1626" t="s">
        <v>5023</v>
      </c>
      <c r="D1626" t="s">
        <v>5024</v>
      </c>
      <c r="E1626" t="s">
        <v>5025</v>
      </c>
      <c r="F1626" t="s">
        <v>5028</v>
      </c>
      <c r="G1626" s="2" t="str">
        <f>HYPERLINK("https://probpalata.gov.ru/files/ЮЛ360103880200018.jpeg","Скачать индивидуальный QR-код магазина")</f>
        <v>Скачать индивидуальный QR-код магазина</v>
      </c>
    </row>
    <row r="1627" spans="1:7" x14ac:dyDescent="0.25">
      <c r="A1627" t="s">
        <v>4684</v>
      </c>
      <c r="B1627" t="s">
        <v>5029</v>
      </c>
      <c r="C1627" t="s">
        <v>5023</v>
      </c>
      <c r="D1627" t="s">
        <v>5024</v>
      </c>
      <c r="E1627" t="s">
        <v>5025</v>
      </c>
      <c r="F1627" t="s">
        <v>5030</v>
      </c>
      <c r="G1627" s="2" t="str">
        <f>HYPERLINK("https://probpalata.gov.ru/files/ЮЛ360103880200020.jpeg","Скачать индивидуальный QR-код магазина")</f>
        <v>Скачать индивидуальный QR-код магазина</v>
      </c>
    </row>
    <row r="1628" spans="1:7" x14ac:dyDescent="0.25">
      <c r="A1628" t="s">
        <v>4684</v>
      </c>
      <c r="B1628" t="s">
        <v>5031</v>
      </c>
      <c r="C1628" t="s">
        <v>5032</v>
      </c>
      <c r="D1628" t="s">
        <v>5033</v>
      </c>
      <c r="E1628" t="s">
        <v>5034</v>
      </c>
      <c r="F1628" t="s">
        <v>5035</v>
      </c>
      <c r="G1628" s="2" t="str">
        <f>HYPERLINK("https://probpalata.gov.ru/files/ИП360101037900000.jpeg","Скачать индивидуальный QR-код магазина")</f>
        <v>Скачать индивидуальный QR-код магазина</v>
      </c>
    </row>
    <row r="1629" spans="1:7" x14ac:dyDescent="0.25">
      <c r="A1629" t="s">
        <v>4684</v>
      </c>
      <c r="B1629" t="s">
        <v>5036</v>
      </c>
      <c r="C1629" t="s">
        <v>5037</v>
      </c>
      <c r="D1629" t="s">
        <v>5038</v>
      </c>
      <c r="E1629" t="s">
        <v>5039</v>
      </c>
      <c r="F1629" t="s">
        <v>5040</v>
      </c>
      <c r="G1629" s="2" t="str">
        <f>HYPERLINK("https://probpalata.gov.ru/files/ЮЛ360100757000000.jpeg","Скачать индивидуальный QR-код магазина")</f>
        <v>Скачать индивидуальный QR-код магазина</v>
      </c>
    </row>
    <row r="1630" spans="1:7" x14ac:dyDescent="0.25">
      <c r="A1630" t="s">
        <v>4684</v>
      </c>
      <c r="B1630" t="s">
        <v>5041</v>
      </c>
      <c r="C1630" t="s">
        <v>5037</v>
      </c>
      <c r="D1630" t="s">
        <v>5038</v>
      </c>
      <c r="E1630" t="s">
        <v>5039</v>
      </c>
      <c r="F1630" t="s">
        <v>5042</v>
      </c>
      <c r="G1630" s="2" t="str">
        <f>HYPERLINK("https://probpalata.gov.ru/files/ЮЛ360100757000001.jpeg","Скачать индивидуальный QR-код магазина")</f>
        <v>Скачать индивидуальный QR-код магазина</v>
      </c>
    </row>
    <row r="1631" spans="1:7" x14ac:dyDescent="0.25">
      <c r="A1631" t="s">
        <v>4684</v>
      </c>
      <c r="B1631" t="s">
        <v>5043</v>
      </c>
      <c r="C1631" t="s">
        <v>5037</v>
      </c>
      <c r="D1631" t="s">
        <v>5038</v>
      </c>
      <c r="E1631" t="s">
        <v>5039</v>
      </c>
      <c r="F1631" t="s">
        <v>5044</v>
      </c>
      <c r="G1631" s="2" t="str">
        <f>HYPERLINK("https://probpalata.gov.ru/files/ЮЛ360100757000003.jpeg","Скачать индивидуальный QR-код магазина")</f>
        <v>Скачать индивидуальный QR-код магазина</v>
      </c>
    </row>
    <row r="1632" spans="1:7" x14ac:dyDescent="0.25">
      <c r="A1632" t="s">
        <v>4684</v>
      </c>
      <c r="B1632" t="s">
        <v>5045</v>
      </c>
      <c r="C1632" t="s">
        <v>5037</v>
      </c>
      <c r="D1632" t="s">
        <v>5038</v>
      </c>
      <c r="E1632" t="s">
        <v>5039</v>
      </c>
      <c r="F1632" t="s">
        <v>5046</v>
      </c>
      <c r="G1632" s="2" t="str">
        <f>HYPERLINK("https://probpalata.gov.ru/files/ЮЛ360100757000006.jpeg","Скачать индивидуальный QR-код магазина")</f>
        <v>Скачать индивидуальный QR-код магазина</v>
      </c>
    </row>
    <row r="1633" spans="1:7" x14ac:dyDescent="0.25">
      <c r="A1633" t="s">
        <v>4684</v>
      </c>
      <c r="B1633" t="s">
        <v>5047</v>
      </c>
      <c r="C1633" t="s">
        <v>5037</v>
      </c>
      <c r="D1633" t="s">
        <v>5038</v>
      </c>
      <c r="E1633" t="s">
        <v>5039</v>
      </c>
      <c r="F1633" t="s">
        <v>5048</v>
      </c>
      <c r="G1633" s="2" t="str">
        <f>HYPERLINK("https://probpalata.gov.ru/files/ЮЛ360100757000009.jpeg","Скачать индивидуальный QR-код магазина")</f>
        <v>Скачать индивидуальный QR-код магазина</v>
      </c>
    </row>
    <row r="1634" spans="1:7" x14ac:dyDescent="0.25">
      <c r="A1634" t="s">
        <v>4684</v>
      </c>
      <c r="B1634" t="s">
        <v>5049</v>
      </c>
      <c r="C1634" t="s">
        <v>5050</v>
      </c>
      <c r="D1634" t="s">
        <v>5051</v>
      </c>
      <c r="E1634" t="s">
        <v>5052</v>
      </c>
      <c r="F1634" t="s">
        <v>5053</v>
      </c>
      <c r="G1634" s="2" t="str">
        <f>HYPERLINK("https://probpalata.gov.ru/files/ИП370201128100002.jpeg","Скачать индивидуальный QR-код магазина")</f>
        <v>Скачать индивидуальный QR-код магазина</v>
      </c>
    </row>
    <row r="1635" spans="1:7" x14ac:dyDescent="0.25">
      <c r="A1635" t="s">
        <v>4684</v>
      </c>
      <c r="B1635" t="s">
        <v>5054</v>
      </c>
      <c r="C1635" t="s">
        <v>5055</v>
      </c>
      <c r="D1635" t="s">
        <v>5056</v>
      </c>
      <c r="E1635" t="s">
        <v>5057</v>
      </c>
      <c r="F1635" t="s">
        <v>5058</v>
      </c>
      <c r="G1635" s="2" t="str">
        <f>HYPERLINK("https://probpalata.gov.ru/files/ИП370200958400001.jpeg","Скачать индивидуальный QR-код магазина")</f>
        <v>Скачать индивидуальный QR-код магазина</v>
      </c>
    </row>
    <row r="1636" spans="1:7" x14ac:dyDescent="0.25">
      <c r="A1636" t="s">
        <v>4684</v>
      </c>
      <c r="B1636" t="s">
        <v>5059</v>
      </c>
      <c r="C1636" t="s">
        <v>5055</v>
      </c>
      <c r="D1636" t="s">
        <v>5056</v>
      </c>
      <c r="E1636" t="s">
        <v>5057</v>
      </c>
      <c r="F1636" t="s">
        <v>5060</v>
      </c>
      <c r="G1636" s="2" t="str">
        <f>HYPERLINK("https://probpalata.gov.ru/files/ИП370200958400005.jpeg","Скачать индивидуальный QR-код магазина")</f>
        <v>Скачать индивидуальный QR-код магазина</v>
      </c>
    </row>
    <row r="1637" spans="1:7" x14ac:dyDescent="0.25">
      <c r="A1637" t="s">
        <v>4684</v>
      </c>
      <c r="B1637" t="s">
        <v>5061</v>
      </c>
      <c r="C1637" t="s">
        <v>5062</v>
      </c>
      <c r="D1637" t="s">
        <v>5063</v>
      </c>
      <c r="E1637" t="s">
        <v>5064</v>
      </c>
      <c r="F1637" t="s">
        <v>5065</v>
      </c>
      <c r="G1637" s="2" t="str">
        <f>HYPERLINK("https://probpalata.gov.ru/files/ИП440200864400007.jpeg","Скачать индивидуальный QR-код магазина")</f>
        <v>Скачать индивидуальный QR-код магазина</v>
      </c>
    </row>
    <row r="1638" spans="1:7" x14ac:dyDescent="0.25">
      <c r="A1638" t="s">
        <v>4684</v>
      </c>
      <c r="B1638" t="s">
        <v>5066</v>
      </c>
      <c r="C1638" t="s">
        <v>5067</v>
      </c>
      <c r="D1638" t="s">
        <v>5068</v>
      </c>
      <c r="E1638" t="s">
        <v>5069</v>
      </c>
      <c r="F1638" t="s">
        <v>5070</v>
      </c>
      <c r="G1638" s="2" t="str">
        <f>HYPERLINK("https://probpalata.gov.ru/files/ИП350300596400030.jpeg","Скачать индивидуальный QR-код магазина")</f>
        <v>Скачать индивидуальный QR-код магазина</v>
      </c>
    </row>
    <row r="1639" spans="1:7" x14ac:dyDescent="0.25">
      <c r="A1639" t="s">
        <v>4684</v>
      </c>
      <c r="B1639" t="s">
        <v>4873</v>
      </c>
      <c r="C1639" t="s">
        <v>5067</v>
      </c>
      <c r="D1639" t="s">
        <v>5068</v>
      </c>
      <c r="E1639" t="s">
        <v>5069</v>
      </c>
      <c r="F1639" t="s">
        <v>5071</v>
      </c>
      <c r="G1639" s="2" t="str">
        <f>HYPERLINK("https://probpalata.gov.ru/files/ИП350300596400032.jpeg","Скачать индивидуальный QR-код магазина")</f>
        <v>Скачать индивидуальный QR-код магазина</v>
      </c>
    </row>
    <row r="1640" spans="1:7" x14ac:dyDescent="0.25">
      <c r="A1640" t="s">
        <v>4684</v>
      </c>
      <c r="B1640" t="s">
        <v>5072</v>
      </c>
      <c r="C1640" t="s">
        <v>5067</v>
      </c>
      <c r="D1640" t="s">
        <v>5068</v>
      </c>
      <c r="E1640" t="s">
        <v>5069</v>
      </c>
      <c r="F1640" t="s">
        <v>5073</v>
      </c>
      <c r="G1640" s="2" t="str">
        <f>HYPERLINK("https://probpalata.gov.ru/files/ИП350300596400036.jpeg","Скачать индивидуальный QR-код магазина")</f>
        <v>Скачать индивидуальный QR-код магазина</v>
      </c>
    </row>
    <row r="1641" spans="1:7" x14ac:dyDescent="0.25">
      <c r="A1641" t="s">
        <v>4684</v>
      </c>
      <c r="B1641" t="s">
        <v>5074</v>
      </c>
      <c r="C1641" t="s">
        <v>5067</v>
      </c>
      <c r="D1641" t="s">
        <v>5068</v>
      </c>
      <c r="E1641" t="s">
        <v>5069</v>
      </c>
      <c r="F1641" t="s">
        <v>5075</v>
      </c>
      <c r="G1641" s="2" t="str">
        <f>HYPERLINK("https://probpalata.gov.ru/files/ИП350300596400038.jpeg","Скачать индивидуальный QR-код магазина")</f>
        <v>Скачать индивидуальный QR-код магазина</v>
      </c>
    </row>
    <row r="1642" spans="1:7" x14ac:dyDescent="0.25">
      <c r="A1642" t="s">
        <v>4684</v>
      </c>
      <c r="B1642" t="s">
        <v>4871</v>
      </c>
      <c r="C1642" t="s">
        <v>5067</v>
      </c>
      <c r="D1642" t="s">
        <v>5068</v>
      </c>
      <c r="E1642" t="s">
        <v>5069</v>
      </c>
      <c r="F1642" t="s">
        <v>5076</v>
      </c>
      <c r="G1642" s="2" t="str">
        <f>HYPERLINK("https://probpalata.gov.ru/files/ИП350300596400039.jpeg","Скачать индивидуальный QR-код магазина")</f>
        <v>Скачать индивидуальный QR-код магазина</v>
      </c>
    </row>
    <row r="1643" spans="1:7" x14ac:dyDescent="0.25">
      <c r="A1643" t="s">
        <v>4684</v>
      </c>
      <c r="B1643" t="s">
        <v>4858</v>
      </c>
      <c r="C1643" t="s">
        <v>5067</v>
      </c>
      <c r="D1643" t="s">
        <v>5068</v>
      </c>
      <c r="E1643" t="s">
        <v>5069</v>
      </c>
      <c r="F1643" t="s">
        <v>5077</v>
      </c>
      <c r="G1643" s="2" t="str">
        <f>HYPERLINK("https://probpalata.gov.ru/files/ИП350300596400040.jpeg","Скачать индивидуальный QR-код магазина")</f>
        <v>Скачать индивидуальный QR-код магазина</v>
      </c>
    </row>
    <row r="1644" spans="1:7" x14ac:dyDescent="0.25">
      <c r="A1644" t="s">
        <v>4684</v>
      </c>
      <c r="B1644" t="s">
        <v>5078</v>
      </c>
      <c r="C1644" t="s">
        <v>2185</v>
      </c>
      <c r="D1644" t="s">
        <v>2186</v>
      </c>
      <c r="E1644" t="s">
        <v>2187</v>
      </c>
      <c r="F1644" t="s">
        <v>5079</v>
      </c>
      <c r="G1644" s="2" t="str">
        <f>HYPERLINK("https://probpalata.gov.ru/files/ЮЛ480100215000003.jpeg","Скачать индивидуальный QR-код магазина")</f>
        <v>Скачать индивидуальный QR-код магазина</v>
      </c>
    </row>
    <row r="1645" spans="1:7" x14ac:dyDescent="0.25">
      <c r="A1645" t="s">
        <v>4684</v>
      </c>
      <c r="B1645" t="s">
        <v>5080</v>
      </c>
      <c r="C1645" t="s">
        <v>671</v>
      </c>
      <c r="D1645" t="s">
        <v>672</v>
      </c>
      <c r="E1645" t="s">
        <v>673</v>
      </c>
      <c r="F1645" t="s">
        <v>5081</v>
      </c>
      <c r="G1645" s="2" t="str">
        <f>HYPERLINK("https://probpalata.gov.ru/files/ИП500100445500005.jpeg","Скачать индивидуальный QR-код магазина")</f>
        <v>Скачать индивидуальный QR-код магазина</v>
      </c>
    </row>
    <row r="1646" spans="1:7" x14ac:dyDescent="0.25">
      <c r="A1646" t="s">
        <v>4684</v>
      </c>
      <c r="B1646" t="s">
        <v>5082</v>
      </c>
      <c r="C1646" t="s">
        <v>671</v>
      </c>
      <c r="D1646" t="s">
        <v>672</v>
      </c>
      <c r="E1646" t="s">
        <v>673</v>
      </c>
      <c r="F1646" t="s">
        <v>5083</v>
      </c>
      <c r="G1646" s="2" t="str">
        <f>HYPERLINK("https://probpalata.gov.ru/files/ИП500100445500092.jpeg","Скачать индивидуальный QR-код магазина")</f>
        <v>Скачать индивидуальный QR-код магазина</v>
      </c>
    </row>
    <row r="1647" spans="1:7" x14ac:dyDescent="0.25">
      <c r="A1647" t="s">
        <v>4684</v>
      </c>
      <c r="B1647" t="s">
        <v>5084</v>
      </c>
      <c r="C1647" t="s">
        <v>671</v>
      </c>
      <c r="D1647" t="s">
        <v>672</v>
      </c>
      <c r="E1647" t="s">
        <v>673</v>
      </c>
      <c r="F1647" t="s">
        <v>5085</v>
      </c>
      <c r="G1647" s="2" t="str">
        <f>HYPERLINK("https://probpalata.gov.ru/files/ИП500100445500095.jpeg","Скачать индивидуальный QR-код магазина")</f>
        <v>Скачать индивидуальный QR-код магазина</v>
      </c>
    </row>
    <row r="1648" spans="1:7" x14ac:dyDescent="0.25">
      <c r="A1648" t="s">
        <v>4684</v>
      </c>
      <c r="B1648" t="s">
        <v>5086</v>
      </c>
      <c r="C1648" t="s">
        <v>671</v>
      </c>
      <c r="D1648" t="s">
        <v>672</v>
      </c>
      <c r="E1648" t="s">
        <v>673</v>
      </c>
      <c r="F1648" t="s">
        <v>5087</v>
      </c>
      <c r="G1648" s="2" t="str">
        <f>HYPERLINK("https://probpalata.gov.ru/files/ИП500100445500116.jpeg","Скачать индивидуальный QR-код магазина")</f>
        <v>Скачать индивидуальный QR-код магазина</v>
      </c>
    </row>
    <row r="1649" spans="1:7" x14ac:dyDescent="0.25">
      <c r="A1649" t="s">
        <v>4684</v>
      </c>
      <c r="B1649" t="s">
        <v>5088</v>
      </c>
      <c r="C1649" t="s">
        <v>5089</v>
      </c>
      <c r="D1649" t="s">
        <v>5090</v>
      </c>
      <c r="E1649" t="s">
        <v>5091</v>
      </c>
      <c r="F1649" t="s">
        <v>5092</v>
      </c>
      <c r="G1649" s="2" t="str">
        <f>HYPERLINK("https://probpalata.gov.ru/files/ИП510303628700000.jpeg","Скачать индивидуальный QR-код магазина")</f>
        <v>Скачать индивидуальный QR-код магазина</v>
      </c>
    </row>
    <row r="1650" spans="1:7" x14ac:dyDescent="0.25">
      <c r="A1650" t="s">
        <v>4684</v>
      </c>
      <c r="B1650" t="s">
        <v>5093</v>
      </c>
      <c r="C1650" t="s">
        <v>681</v>
      </c>
      <c r="D1650" t="s">
        <v>682</v>
      </c>
      <c r="E1650" t="s">
        <v>683</v>
      </c>
      <c r="F1650" t="s">
        <v>5094</v>
      </c>
      <c r="G1650" s="2" t="str">
        <f>HYPERLINK("https://probpalata.gov.ru/files/ИП520600807800025.jpeg","Скачать индивидуальный QR-код магазина")</f>
        <v>Скачать индивидуальный QR-код магазина</v>
      </c>
    </row>
    <row r="1651" spans="1:7" x14ac:dyDescent="0.25">
      <c r="A1651" t="s">
        <v>4684</v>
      </c>
      <c r="B1651" t="s">
        <v>5095</v>
      </c>
      <c r="C1651" t="s">
        <v>1735</v>
      </c>
      <c r="D1651" t="s">
        <v>1736</v>
      </c>
      <c r="E1651" t="s">
        <v>1737</v>
      </c>
      <c r="F1651" t="s">
        <v>5096</v>
      </c>
      <c r="G1651" s="2" t="str">
        <f>HYPERLINK("https://probpalata.gov.ru/files/ЮЛ520603376600065.jpeg","Скачать индивидуальный QR-код магазина")</f>
        <v>Скачать индивидуальный QR-код магазина</v>
      </c>
    </row>
    <row r="1652" spans="1:7" x14ac:dyDescent="0.25">
      <c r="A1652" t="s">
        <v>4684</v>
      </c>
      <c r="B1652" t="s">
        <v>5097</v>
      </c>
      <c r="C1652" t="s">
        <v>1735</v>
      </c>
      <c r="D1652" t="s">
        <v>1736</v>
      </c>
      <c r="E1652" t="s">
        <v>1737</v>
      </c>
      <c r="F1652" t="s">
        <v>5098</v>
      </c>
      <c r="G1652" s="2" t="str">
        <f>HYPERLINK("https://probpalata.gov.ru/files/ЮЛ520603376600140.jpeg","Скачать индивидуальный QR-код магазина")</f>
        <v>Скачать индивидуальный QR-код магазина</v>
      </c>
    </row>
    <row r="1653" spans="1:7" x14ac:dyDescent="0.25">
      <c r="A1653" t="s">
        <v>4684</v>
      </c>
      <c r="B1653" t="s">
        <v>5099</v>
      </c>
      <c r="C1653" t="s">
        <v>5100</v>
      </c>
      <c r="D1653" t="s">
        <v>5101</v>
      </c>
      <c r="E1653" t="s">
        <v>5102</v>
      </c>
      <c r="F1653" t="s">
        <v>5103</v>
      </c>
      <c r="G1653" s="2" t="str">
        <f>HYPERLINK("https://probpalata.gov.ru/files/ИП610401753500002.jpeg","Скачать индивидуальный QR-код магазина")</f>
        <v>Скачать индивидуальный QR-код магазина</v>
      </c>
    </row>
    <row r="1654" spans="1:7" x14ac:dyDescent="0.25">
      <c r="A1654" t="s">
        <v>4684</v>
      </c>
      <c r="B1654" t="s">
        <v>4690</v>
      </c>
      <c r="C1654" t="s">
        <v>2197</v>
      </c>
      <c r="D1654" t="s">
        <v>2198</v>
      </c>
      <c r="E1654" t="s">
        <v>2199</v>
      </c>
      <c r="F1654" t="s">
        <v>5104</v>
      </c>
      <c r="G1654" s="2" t="str">
        <f>HYPERLINK("https://probpalata.gov.ru/files/ИП630601425400025.jpeg","Скачать индивидуальный QR-код магазина")</f>
        <v>Скачать индивидуальный QR-код магазина</v>
      </c>
    </row>
    <row r="1655" spans="1:7" x14ac:dyDescent="0.25">
      <c r="A1655" t="s">
        <v>4684</v>
      </c>
      <c r="B1655" t="s">
        <v>4867</v>
      </c>
      <c r="C1655" t="s">
        <v>2197</v>
      </c>
      <c r="D1655" t="s">
        <v>2198</v>
      </c>
      <c r="E1655" t="s">
        <v>2199</v>
      </c>
      <c r="F1655" t="s">
        <v>5105</v>
      </c>
      <c r="G1655" s="2" t="str">
        <f>HYPERLINK("https://probpalata.gov.ru/files/ИП630601425400062.jpeg","Скачать индивидуальный QR-код магазина")</f>
        <v>Скачать индивидуальный QR-код магазина</v>
      </c>
    </row>
    <row r="1656" spans="1:7" x14ac:dyDescent="0.25">
      <c r="A1656" t="s">
        <v>4684</v>
      </c>
      <c r="B1656" t="s">
        <v>5106</v>
      </c>
      <c r="C1656" t="s">
        <v>2204</v>
      </c>
      <c r="D1656" t="s">
        <v>2205</v>
      </c>
      <c r="E1656" t="s">
        <v>2206</v>
      </c>
      <c r="F1656" t="s">
        <v>5107</v>
      </c>
      <c r="G1656" s="2" t="str">
        <f>HYPERLINK("https://probpalata.gov.ru/files/ЮЛ630603037200004.jpeg","Скачать индивидуальный QR-код магазина")</f>
        <v>Скачать индивидуальный QR-код магазина</v>
      </c>
    </row>
    <row r="1657" spans="1:7" x14ac:dyDescent="0.25">
      <c r="A1657" t="s">
        <v>4684</v>
      </c>
      <c r="B1657" t="s">
        <v>5108</v>
      </c>
      <c r="C1657" t="s">
        <v>2204</v>
      </c>
      <c r="D1657" t="s">
        <v>2205</v>
      </c>
      <c r="E1657" t="s">
        <v>2206</v>
      </c>
      <c r="F1657" t="s">
        <v>5109</v>
      </c>
      <c r="G1657" s="2" t="str">
        <f>HYPERLINK("https://probpalata.gov.ru/files/ЮЛ630603037200009.jpeg","Скачать индивидуальный QR-код магазина")</f>
        <v>Скачать индивидуальный QR-код магазина</v>
      </c>
    </row>
    <row r="1658" spans="1:7" x14ac:dyDescent="0.25">
      <c r="A1658" t="s">
        <v>4684</v>
      </c>
      <c r="B1658" t="s">
        <v>5110</v>
      </c>
      <c r="C1658" t="s">
        <v>2204</v>
      </c>
      <c r="D1658" t="s">
        <v>2205</v>
      </c>
      <c r="E1658" t="s">
        <v>2206</v>
      </c>
      <c r="F1658" t="s">
        <v>5111</v>
      </c>
      <c r="G1658" s="2" t="str">
        <f>HYPERLINK("https://probpalata.gov.ru/files/ЮЛ630603037200018.jpeg","Скачать индивидуальный QR-код магазина")</f>
        <v>Скачать индивидуальный QR-код магазина</v>
      </c>
    </row>
    <row r="1659" spans="1:7" x14ac:dyDescent="0.25">
      <c r="A1659" t="s">
        <v>4684</v>
      </c>
      <c r="B1659" t="s">
        <v>5112</v>
      </c>
      <c r="C1659" t="s">
        <v>2204</v>
      </c>
      <c r="D1659" t="s">
        <v>2205</v>
      </c>
      <c r="E1659" t="s">
        <v>2206</v>
      </c>
      <c r="F1659" t="s">
        <v>5113</v>
      </c>
      <c r="G1659" s="2" t="str">
        <f>HYPERLINK("https://probpalata.gov.ru/files/ЮЛ630603037200024.jpeg","Скачать индивидуальный QR-код магазина")</f>
        <v>Скачать индивидуальный QR-код магазина</v>
      </c>
    </row>
    <row r="1660" spans="1:7" x14ac:dyDescent="0.25">
      <c r="A1660" t="s">
        <v>4684</v>
      </c>
      <c r="B1660" t="s">
        <v>5114</v>
      </c>
      <c r="C1660" t="s">
        <v>2204</v>
      </c>
      <c r="D1660" t="s">
        <v>2205</v>
      </c>
      <c r="E1660" t="s">
        <v>2206</v>
      </c>
      <c r="F1660" t="s">
        <v>5115</v>
      </c>
      <c r="G1660" s="2" t="str">
        <f>HYPERLINK("https://probpalata.gov.ru/files/ЮЛ630603037200025.jpeg","Скачать индивидуальный QR-код магазина")</f>
        <v>Скачать индивидуальный QR-код магазина</v>
      </c>
    </row>
    <row r="1661" spans="1:7" x14ac:dyDescent="0.25">
      <c r="A1661" t="s">
        <v>4684</v>
      </c>
      <c r="B1661" t="s">
        <v>5005</v>
      </c>
      <c r="C1661" t="s">
        <v>2204</v>
      </c>
      <c r="D1661" t="s">
        <v>2205</v>
      </c>
      <c r="E1661" t="s">
        <v>2206</v>
      </c>
      <c r="F1661" t="s">
        <v>5116</v>
      </c>
      <c r="G1661" s="2" t="str">
        <f>HYPERLINK("https://probpalata.gov.ru/files/ЮЛ630603037200033.jpeg","Скачать индивидуальный QR-код магазина")</f>
        <v>Скачать индивидуальный QR-код магазина</v>
      </c>
    </row>
    <row r="1662" spans="1:7" x14ac:dyDescent="0.25">
      <c r="A1662" t="s">
        <v>4684</v>
      </c>
      <c r="B1662" t="s">
        <v>5117</v>
      </c>
      <c r="C1662" t="s">
        <v>2204</v>
      </c>
      <c r="D1662" t="s">
        <v>2205</v>
      </c>
      <c r="E1662" t="s">
        <v>2206</v>
      </c>
      <c r="F1662" t="s">
        <v>5118</v>
      </c>
      <c r="G1662" s="2" t="str">
        <f>HYPERLINK("https://probpalata.gov.ru/files/ЮЛ630603037200044.jpeg","Скачать индивидуальный QR-код магазина")</f>
        <v>Скачать индивидуальный QR-код магазина</v>
      </c>
    </row>
    <row r="1663" spans="1:7" x14ac:dyDescent="0.25">
      <c r="A1663" t="s">
        <v>4684</v>
      </c>
      <c r="B1663" t="s">
        <v>5119</v>
      </c>
      <c r="C1663" t="s">
        <v>2204</v>
      </c>
      <c r="D1663" t="s">
        <v>2205</v>
      </c>
      <c r="E1663" t="s">
        <v>2206</v>
      </c>
      <c r="F1663" t="s">
        <v>5120</v>
      </c>
      <c r="G1663" s="2" t="str">
        <f>HYPERLINK("https://probpalata.gov.ru/files/ЮЛ630603037200050.jpeg","Скачать индивидуальный QR-код магазина")</f>
        <v>Скачать индивидуальный QR-код магазина</v>
      </c>
    </row>
    <row r="1664" spans="1:7" x14ac:dyDescent="0.25">
      <c r="A1664" t="s">
        <v>4684</v>
      </c>
      <c r="B1664" t="s">
        <v>5121</v>
      </c>
      <c r="C1664" t="s">
        <v>5122</v>
      </c>
      <c r="D1664" t="s">
        <v>5123</v>
      </c>
      <c r="E1664" t="s">
        <v>5124</v>
      </c>
      <c r="F1664" t="s">
        <v>5125</v>
      </c>
      <c r="G1664" s="2" t="str">
        <f>HYPERLINK("https://probpalata.gov.ru/files/ЮЛ670100207100003.jpeg","Скачать индивидуальный QR-код магазина")</f>
        <v>Скачать индивидуальный QR-код магазина</v>
      </c>
    </row>
    <row r="1665" spans="1:7" x14ac:dyDescent="0.25">
      <c r="A1665" t="s">
        <v>4684</v>
      </c>
      <c r="B1665" t="s">
        <v>5126</v>
      </c>
      <c r="C1665" t="s">
        <v>5127</v>
      </c>
      <c r="D1665" t="s">
        <v>5128</v>
      </c>
      <c r="E1665" t="s">
        <v>5129</v>
      </c>
      <c r="F1665" t="s">
        <v>5130</v>
      </c>
      <c r="G1665" s="2" t="str">
        <f>HYPERLINK("https://probpalata.gov.ru/files/ИП000100637600003.jpeg","Скачать индивидуальный QR-код магазина")</f>
        <v>Скачать индивидуальный QR-код магазина</v>
      </c>
    </row>
    <row r="1666" spans="1:7" x14ac:dyDescent="0.25">
      <c r="A1666" t="s">
        <v>4684</v>
      </c>
      <c r="B1666" t="s">
        <v>5131</v>
      </c>
      <c r="C1666" t="s">
        <v>2231</v>
      </c>
      <c r="D1666" t="s">
        <v>2232</v>
      </c>
      <c r="E1666" t="s">
        <v>2233</v>
      </c>
      <c r="F1666" t="s">
        <v>5132</v>
      </c>
      <c r="G1666" s="2" t="str">
        <f>HYPERLINK("https://probpalata.gov.ru/files/ИП000100534900014.jpeg","Скачать индивидуальный QR-код магазина")</f>
        <v>Скачать индивидуальный QR-код магазина</v>
      </c>
    </row>
    <row r="1667" spans="1:7" x14ac:dyDescent="0.25">
      <c r="A1667" t="s">
        <v>4684</v>
      </c>
      <c r="B1667" t="s">
        <v>5133</v>
      </c>
      <c r="C1667" t="s">
        <v>2231</v>
      </c>
      <c r="D1667" t="s">
        <v>2232</v>
      </c>
      <c r="E1667" t="s">
        <v>2233</v>
      </c>
      <c r="F1667" t="s">
        <v>5134</v>
      </c>
      <c r="G1667" s="2" t="str">
        <f>HYPERLINK("https://probpalata.gov.ru/files/ИП000100534900015.jpeg","Скачать индивидуальный QR-код магазина")</f>
        <v>Скачать индивидуальный QR-код магазина</v>
      </c>
    </row>
    <row r="1668" spans="1:7" x14ac:dyDescent="0.25">
      <c r="A1668" t="s">
        <v>4684</v>
      </c>
      <c r="B1668" t="s">
        <v>5135</v>
      </c>
      <c r="C1668" t="s">
        <v>5136</v>
      </c>
      <c r="D1668" t="s">
        <v>5137</v>
      </c>
      <c r="E1668" t="s">
        <v>5138</v>
      </c>
      <c r="F1668" t="s">
        <v>5139</v>
      </c>
      <c r="G1668" s="2" t="str">
        <f>HYPERLINK("https://probpalata.gov.ru/files/ИП500101079300003.jpeg","Скачать индивидуальный QR-код магазина")</f>
        <v>Скачать индивидуальный QR-код магазина</v>
      </c>
    </row>
    <row r="1669" spans="1:7" x14ac:dyDescent="0.25">
      <c r="A1669" t="s">
        <v>4684</v>
      </c>
      <c r="B1669" t="s">
        <v>5140</v>
      </c>
      <c r="C1669" t="s">
        <v>5141</v>
      </c>
      <c r="D1669" t="s">
        <v>5142</v>
      </c>
      <c r="E1669" t="s">
        <v>5143</v>
      </c>
      <c r="F1669" t="s">
        <v>5144</v>
      </c>
      <c r="G1669" s="2" t="str">
        <f>HYPERLINK("https://probpalata.gov.ru/files/ИП760201674500000.jpeg","Скачать индивидуальный QR-код магазина")</f>
        <v>Скачать индивидуальный QR-код магазина</v>
      </c>
    </row>
    <row r="1670" spans="1:7" x14ac:dyDescent="0.25">
      <c r="A1670" t="s">
        <v>4684</v>
      </c>
      <c r="B1670" t="s">
        <v>5145</v>
      </c>
      <c r="C1670" t="s">
        <v>1740</v>
      </c>
      <c r="D1670" t="s">
        <v>1741</v>
      </c>
      <c r="E1670" t="s">
        <v>1742</v>
      </c>
      <c r="F1670" t="s">
        <v>5146</v>
      </c>
      <c r="G1670" s="2" t="str">
        <f>HYPERLINK("https://probpalata.gov.ru/files/ЮЛ760201190700054.jpeg","Скачать индивидуальный QR-код магазина")</f>
        <v>Скачать индивидуальный QR-код магазина</v>
      </c>
    </row>
    <row r="1671" spans="1:7" x14ac:dyDescent="0.25">
      <c r="A1671" t="s">
        <v>4684</v>
      </c>
      <c r="B1671" t="s">
        <v>5147</v>
      </c>
      <c r="C1671" t="s">
        <v>1740</v>
      </c>
      <c r="D1671" t="s">
        <v>1741</v>
      </c>
      <c r="E1671" t="s">
        <v>1742</v>
      </c>
      <c r="F1671" t="s">
        <v>5148</v>
      </c>
      <c r="G1671" s="2" t="str">
        <f>HYPERLINK("https://probpalata.gov.ru/files/ЮЛ760201190700060.jpeg","Скачать индивидуальный QR-код магазина")</f>
        <v>Скачать индивидуальный QR-код магазина</v>
      </c>
    </row>
    <row r="1672" spans="1:7" x14ac:dyDescent="0.25">
      <c r="A1672" t="s">
        <v>4684</v>
      </c>
      <c r="B1672" t="s">
        <v>4873</v>
      </c>
      <c r="C1672" t="s">
        <v>1740</v>
      </c>
      <c r="D1672" t="s">
        <v>1741</v>
      </c>
      <c r="E1672" t="s">
        <v>1742</v>
      </c>
      <c r="F1672" t="s">
        <v>5149</v>
      </c>
      <c r="G1672" s="2" t="str">
        <f>HYPERLINK("https://probpalata.gov.ru/files/ЮЛ760201190700068.jpeg","Скачать индивидуальный QR-код магазина")</f>
        <v>Скачать индивидуальный QR-код магазина</v>
      </c>
    </row>
    <row r="1673" spans="1:7" x14ac:dyDescent="0.25">
      <c r="A1673" t="s">
        <v>4684</v>
      </c>
      <c r="B1673" t="s">
        <v>5150</v>
      </c>
      <c r="C1673" t="s">
        <v>1740</v>
      </c>
      <c r="D1673" t="s">
        <v>1741</v>
      </c>
      <c r="E1673" t="s">
        <v>1742</v>
      </c>
      <c r="F1673" t="s">
        <v>5151</v>
      </c>
      <c r="G1673" s="2" t="str">
        <f>HYPERLINK("https://probpalata.gov.ru/files/ЮЛ760201190700069.jpeg","Скачать индивидуальный QR-код магазина")</f>
        <v>Скачать индивидуальный QR-код магазина</v>
      </c>
    </row>
    <row r="1674" spans="1:7" x14ac:dyDescent="0.25">
      <c r="A1674" t="s">
        <v>4684</v>
      </c>
      <c r="B1674" t="s">
        <v>5152</v>
      </c>
      <c r="C1674" t="s">
        <v>1740</v>
      </c>
      <c r="D1674" t="s">
        <v>1741</v>
      </c>
      <c r="E1674" t="s">
        <v>1742</v>
      </c>
      <c r="F1674" t="s">
        <v>5153</v>
      </c>
      <c r="G1674" s="2" t="str">
        <f>HYPERLINK("https://probpalata.gov.ru/files/ЮЛ760201190700075.jpeg","Скачать индивидуальный QR-код магазина")</f>
        <v>Скачать индивидуальный QR-код магазина</v>
      </c>
    </row>
    <row r="1675" spans="1:7" x14ac:dyDescent="0.25">
      <c r="A1675" t="s">
        <v>4684</v>
      </c>
      <c r="B1675" t="s">
        <v>5154</v>
      </c>
      <c r="C1675" t="s">
        <v>1740</v>
      </c>
      <c r="D1675" t="s">
        <v>1741</v>
      </c>
      <c r="E1675" t="s">
        <v>1742</v>
      </c>
      <c r="F1675" t="s">
        <v>5155</v>
      </c>
      <c r="G1675" s="2" t="str">
        <f>HYPERLINK("https://probpalata.gov.ru/files/ЮЛ760201190700079.jpeg","Скачать индивидуальный QR-код магазина")</f>
        <v>Скачать индивидуальный QR-код магазина</v>
      </c>
    </row>
    <row r="1676" spans="1:7" x14ac:dyDescent="0.25">
      <c r="A1676" t="s">
        <v>4684</v>
      </c>
      <c r="B1676" t="s">
        <v>5156</v>
      </c>
      <c r="C1676" t="s">
        <v>713</v>
      </c>
      <c r="D1676" t="s">
        <v>714</v>
      </c>
      <c r="E1676" t="s">
        <v>715</v>
      </c>
      <c r="F1676" t="s">
        <v>5157</v>
      </c>
      <c r="G1676" s="2" t="str">
        <f>HYPERLINK("https://probpalata.gov.ru/files/ЮЛ770101216600087.jpeg","Скачать индивидуальный QR-код магазина")</f>
        <v>Скачать индивидуальный QR-код магазина</v>
      </c>
    </row>
    <row r="1677" spans="1:7" x14ac:dyDescent="0.25">
      <c r="A1677" t="s">
        <v>4684</v>
      </c>
      <c r="B1677" t="s">
        <v>5147</v>
      </c>
      <c r="C1677" t="s">
        <v>713</v>
      </c>
      <c r="D1677" t="s">
        <v>714</v>
      </c>
      <c r="E1677" t="s">
        <v>715</v>
      </c>
      <c r="F1677" t="s">
        <v>5158</v>
      </c>
      <c r="G1677" s="2" t="str">
        <f>HYPERLINK("https://probpalata.gov.ru/files/ЮЛ770101216600164.jpeg","Скачать индивидуальный QR-код магазина")</f>
        <v>Скачать индивидуальный QR-код магазина</v>
      </c>
    </row>
    <row r="1678" spans="1:7" x14ac:dyDescent="0.25">
      <c r="A1678" t="s">
        <v>4684</v>
      </c>
      <c r="B1678" t="s">
        <v>5159</v>
      </c>
      <c r="C1678" t="s">
        <v>713</v>
      </c>
      <c r="D1678" t="s">
        <v>714</v>
      </c>
      <c r="E1678" t="s">
        <v>715</v>
      </c>
      <c r="F1678" t="s">
        <v>5160</v>
      </c>
      <c r="G1678" s="2" t="str">
        <f>HYPERLINK("https://probpalata.gov.ru/files/ЮЛ770101216600209.jpeg","Скачать индивидуальный QR-код магазина")</f>
        <v>Скачать индивидуальный QR-код магазина</v>
      </c>
    </row>
    <row r="1679" spans="1:7" x14ac:dyDescent="0.25">
      <c r="A1679" t="s">
        <v>4684</v>
      </c>
      <c r="B1679" t="s">
        <v>5161</v>
      </c>
      <c r="C1679" t="s">
        <v>713</v>
      </c>
      <c r="D1679" t="s">
        <v>714</v>
      </c>
      <c r="E1679" t="s">
        <v>715</v>
      </c>
      <c r="F1679" t="s">
        <v>5162</v>
      </c>
      <c r="G1679" s="2" t="str">
        <f>HYPERLINK("https://probpalata.gov.ru/files/ЮЛ770101216600280.jpeg","Скачать индивидуальный QR-код магазина")</f>
        <v>Скачать индивидуальный QR-код магазина</v>
      </c>
    </row>
    <row r="1680" spans="1:7" x14ac:dyDescent="0.25">
      <c r="A1680" t="s">
        <v>4684</v>
      </c>
      <c r="B1680" t="s">
        <v>5163</v>
      </c>
      <c r="C1680" t="s">
        <v>713</v>
      </c>
      <c r="D1680" t="s">
        <v>714</v>
      </c>
      <c r="E1680" t="s">
        <v>715</v>
      </c>
      <c r="F1680" t="s">
        <v>5164</v>
      </c>
      <c r="G1680" s="2" t="str">
        <f>HYPERLINK("https://probpalata.gov.ru/files/ЮЛ770101216600525.jpeg","Скачать индивидуальный QR-код магазина")</f>
        <v>Скачать индивидуальный QR-код магазина</v>
      </c>
    </row>
    <row r="1681" spans="1:7" x14ac:dyDescent="0.25">
      <c r="A1681" t="s">
        <v>4684</v>
      </c>
      <c r="B1681" t="s">
        <v>5165</v>
      </c>
      <c r="C1681" t="s">
        <v>713</v>
      </c>
      <c r="D1681" t="s">
        <v>714</v>
      </c>
      <c r="E1681" t="s">
        <v>715</v>
      </c>
      <c r="F1681" t="s">
        <v>5166</v>
      </c>
      <c r="G1681" s="2" t="str">
        <f>HYPERLINK("https://probpalata.gov.ru/files/ЮЛ770101216600641.jpeg","Скачать индивидуальный QR-код магазина")</f>
        <v>Скачать индивидуальный QR-код магазина</v>
      </c>
    </row>
    <row r="1682" spans="1:7" x14ac:dyDescent="0.25">
      <c r="A1682" t="s">
        <v>4684</v>
      </c>
      <c r="B1682" t="s">
        <v>5167</v>
      </c>
      <c r="C1682" t="s">
        <v>713</v>
      </c>
      <c r="D1682" t="s">
        <v>714</v>
      </c>
      <c r="E1682" t="s">
        <v>715</v>
      </c>
      <c r="F1682" t="s">
        <v>5168</v>
      </c>
      <c r="G1682" s="2" t="str">
        <f>HYPERLINK("https://probpalata.gov.ru/files/ЮЛ770101216600669.jpeg","Скачать индивидуальный QR-код магазина")</f>
        <v>Скачать индивидуальный QR-код магазина</v>
      </c>
    </row>
    <row r="1683" spans="1:7" x14ac:dyDescent="0.25">
      <c r="A1683" t="s">
        <v>4684</v>
      </c>
      <c r="B1683" t="s">
        <v>5169</v>
      </c>
      <c r="C1683" t="s">
        <v>713</v>
      </c>
      <c r="D1683" t="s">
        <v>714</v>
      </c>
      <c r="E1683" t="s">
        <v>715</v>
      </c>
      <c r="F1683" t="s">
        <v>5170</v>
      </c>
      <c r="G1683" s="2" t="str">
        <f>HYPERLINK("https://probpalata.gov.ru/files/ЮЛ770101216600672.jpeg","Скачать индивидуальный QR-код магазина")</f>
        <v>Скачать индивидуальный QR-код магазина</v>
      </c>
    </row>
    <row r="1684" spans="1:7" x14ac:dyDescent="0.25">
      <c r="A1684" t="s">
        <v>4684</v>
      </c>
      <c r="B1684" t="s">
        <v>5171</v>
      </c>
      <c r="C1684" t="s">
        <v>713</v>
      </c>
      <c r="D1684" t="s">
        <v>714</v>
      </c>
      <c r="E1684" t="s">
        <v>715</v>
      </c>
      <c r="F1684" t="s">
        <v>5172</v>
      </c>
      <c r="G1684" s="2" t="str">
        <f>HYPERLINK("https://probpalata.gov.ru/files/ЮЛ770101216600693.jpeg","Скачать индивидуальный QR-код магазина")</f>
        <v>Скачать индивидуальный QR-код магазина</v>
      </c>
    </row>
    <row r="1685" spans="1:7" x14ac:dyDescent="0.25">
      <c r="A1685" t="s">
        <v>4684</v>
      </c>
      <c r="B1685" t="s">
        <v>5173</v>
      </c>
      <c r="C1685" t="s">
        <v>713</v>
      </c>
      <c r="D1685" t="s">
        <v>714</v>
      </c>
      <c r="E1685" t="s">
        <v>715</v>
      </c>
      <c r="F1685" t="s">
        <v>5174</v>
      </c>
      <c r="G1685" s="2" t="str">
        <f>HYPERLINK("https://probpalata.gov.ru/files/ЮЛ770101216600699.jpeg","Скачать индивидуальный QR-код магазина")</f>
        <v>Скачать индивидуальный QR-код магазина</v>
      </c>
    </row>
    <row r="1686" spans="1:7" x14ac:dyDescent="0.25">
      <c r="A1686" t="s">
        <v>4684</v>
      </c>
      <c r="B1686" t="s">
        <v>5175</v>
      </c>
      <c r="C1686" t="s">
        <v>713</v>
      </c>
      <c r="D1686" t="s">
        <v>714</v>
      </c>
      <c r="E1686" t="s">
        <v>715</v>
      </c>
      <c r="F1686" t="s">
        <v>5176</v>
      </c>
      <c r="G1686" s="2" t="str">
        <f>HYPERLINK("https://probpalata.gov.ru/files/ЮЛ770101216600728.jpeg","Скачать индивидуальный QR-код магазина")</f>
        <v>Скачать индивидуальный QR-код магазина</v>
      </c>
    </row>
    <row r="1687" spans="1:7" x14ac:dyDescent="0.25">
      <c r="A1687" t="s">
        <v>4684</v>
      </c>
      <c r="B1687" t="s">
        <v>5177</v>
      </c>
      <c r="C1687" t="s">
        <v>713</v>
      </c>
      <c r="D1687" t="s">
        <v>714</v>
      </c>
      <c r="E1687" t="s">
        <v>715</v>
      </c>
      <c r="F1687" t="s">
        <v>5178</v>
      </c>
      <c r="G1687" s="2" t="str">
        <f>HYPERLINK("https://probpalata.gov.ru/files/ЮЛ770101216600754.jpeg","Скачать индивидуальный QR-код магазина")</f>
        <v>Скачать индивидуальный QR-код магазина</v>
      </c>
    </row>
    <row r="1688" spans="1:7" x14ac:dyDescent="0.25">
      <c r="A1688" t="s">
        <v>4684</v>
      </c>
      <c r="B1688" t="s">
        <v>5179</v>
      </c>
      <c r="C1688" t="s">
        <v>713</v>
      </c>
      <c r="D1688" t="s">
        <v>714</v>
      </c>
      <c r="E1688" t="s">
        <v>715</v>
      </c>
      <c r="F1688" t="s">
        <v>5180</v>
      </c>
      <c r="G1688" s="2" t="str">
        <f>HYPERLINK("https://probpalata.gov.ru/files/ЮЛ770101216600783.jpeg","Скачать индивидуальный QR-код магазина")</f>
        <v>Скачать индивидуальный QR-код магазина</v>
      </c>
    </row>
    <row r="1689" spans="1:7" x14ac:dyDescent="0.25">
      <c r="A1689" t="s">
        <v>4684</v>
      </c>
      <c r="B1689" t="s">
        <v>5181</v>
      </c>
      <c r="C1689" t="s">
        <v>713</v>
      </c>
      <c r="D1689" t="s">
        <v>714</v>
      </c>
      <c r="E1689" t="s">
        <v>715</v>
      </c>
      <c r="F1689" t="s">
        <v>5182</v>
      </c>
      <c r="G1689" s="2" t="str">
        <f>HYPERLINK("https://probpalata.gov.ru/files/ЮЛ770101216600794.jpeg","Скачать индивидуальный QR-код магазина")</f>
        <v>Скачать индивидуальный QR-код магазина</v>
      </c>
    </row>
    <row r="1690" spans="1:7" x14ac:dyDescent="0.25">
      <c r="A1690" t="s">
        <v>4684</v>
      </c>
      <c r="B1690" t="s">
        <v>5183</v>
      </c>
      <c r="C1690" t="s">
        <v>713</v>
      </c>
      <c r="D1690" t="s">
        <v>714</v>
      </c>
      <c r="E1690" t="s">
        <v>715</v>
      </c>
      <c r="F1690" t="s">
        <v>5184</v>
      </c>
      <c r="G1690" s="2" t="str">
        <f>HYPERLINK("https://probpalata.gov.ru/files/ЮЛ770101216600816.jpeg","Скачать индивидуальный QR-код магазина")</f>
        <v>Скачать индивидуальный QR-код магазина</v>
      </c>
    </row>
    <row r="1691" spans="1:7" x14ac:dyDescent="0.25">
      <c r="A1691" t="s">
        <v>4684</v>
      </c>
      <c r="B1691" t="s">
        <v>5185</v>
      </c>
      <c r="C1691" t="s">
        <v>713</v>
      </c>
      <c r="D1691" t="s">
        <v>714</v>
      </c>
      <c r="E1691" t="s">
        <v>715</v>
      </c>
      <c r="F1691" t="s">
        <v>5186</v>
      </c>
      <c r="G1691" s="2" t="str">
        <f>HYPERLINK("https://probpalata.gov.ru/files/ЮЛ770101216600851.jpeg","Скачать индивидуальный QR-код магазина")</f>
        <v>Скачать индивидуальный QR-код магазина</v>
      </c>
    </row>
    <row r="1692" spans="1:7" x14ac:dyDescent="0.25">
      <c r="A1692" t="s">
        <v>4684</v>
      </c>
      <c r="B1692" t="s">
        <v>5187</v>
      </c>
      <c r="C1692" t="s">
        <v>713</v>
      </c>
      <c r="D1692" t="s">
        <v>714</v>
      </c>
      <c r="E1692" t="s">
        <v>715</v>
      </c>
      <c r="F1692" t="s">
        <v>5188</v>
      </c>
      <c r="G1692" s="2" t="str">
        <f>HYPERLINK("https://probpalata.gov.ru/files/ЮЛ770101216600906.jpeg","Скачать индивидуальный QR-код магазина")</f>
        <v>Скачать индивидуальный QR-код магазина</v>
      </c>
    </row>
    <row r="1693" spans="1:7" x14ac:dyDescent="0.25">
      <c r="A1693" t="s">
        <v>4684</v>
      </c>
      <c r="B1693" t="s">
        <v>5189</v>
      </c>
      <c r="C1693" t="s">
        <v>713</v>
      </c>
      <c r="D1693" t="s">
        <v>714</v>
      </c>
      <c r="E1693" t="s">
        <v>715</v>
      </c>
      <c r="F1693" t="s">
        <v>5190</v>
      </c>
      <c r="G1693" s="2" t="str">
        <f>HYPERLINK("https://probpalata.gov.ru/files/ЮЛ770101216600959.jpeg","Скачать индивидуальный QR-код магазина")</f>
        <v>Скачать индивидуальный QR-код магазина</v>
      </c>
    </row>
    <row r="1694" spans="1:7" x14ac:dyDescent="0.25">
      <c r="A1694" t="s">
        <v>4684</v>
      </c>
      <c r="B1694" t="s">
        <v>5191</v>
      </c>
      <c r="C1694" t="s">
        <v>1416</v>
      </c>
      <c r="D1694" t="s">
        <v>1417</v>
      </c>
      <c r="E1694" t="s">
        <v>1418</v>
      </c>
      <c r="F1694" t="s">
        <v>5192</v>
      </c>
      <c r="G1694" s="2" t="str">
        <f>HYPERLINK("https://probpalata.gov.ru/files/ЮЛ770100419400025.jpeg","Скачать индивидуальный QR-код магазина")</f>
        <v>Скачать индивидуальный QR-код магазина</v>
      </c>
    </row>
    <row r="1695" spans="1:7" x14ac:dyDescent="0.25">
      <c r="A1695" t="s">
        <v>4684</v>
      </c>
      <c r="B1695" t="s">
        <v>4690</v>
      </c>
      <c r="C1695" t="s">
        <v>1416</v>
      </c>
      <c r="D1695" t="s">
        <v>1417</v>
      </c>
      <c r="E1695" t="s">
        <v>1418</v>
      </c>
      <c r="F1695" t="s">
        <v>5193</v>
      </c>
      <c r="G1695" s="2" t="str">
        <f>HYPERLINK("https://probpalata.gov.ru/files/ЮЛ770100419400031.jpeg","Скачать индивидуальный QR-код магазина")</f>
        <v>Скачать индивидуальный QR-код магазина</v>
      </c>
    </row>
    <row r="1696" spans="1:7" x14ac:dyDescent="0.25">
      <c r="A1696" t="s">
        <v>4684</v>
      </c>
      <c r="B1696" t="s">
        <v>5194</v>
      </c>
      <c r="C1696" t="s">
        <v>748</v>
      </c>
      <c r="D1696" t="s">
        <v>749</v>
      </c>
      <c r="E1696" t="s">
        <v>750</v>
      </c>
      <c r="F1696" t="s">
        <v>5195</v>
      </c>
      <c r="G1696" s="2" t="str">
        <f>HYPERLINK("https://probpalata.gov.ru/files/ЮЛ770100193500131.jpeg","Скачать индивидуальный QR-код магазина")</f>
        <v>Скачать индивидуальный QR-код магазина</v>
      </c>
    </row>
    <row r="1697" spans="1:7" x14ac:dyDescent="0.25">
      <c r="A1697" t="s">
        <v>4684</v>
      </c>
      <c r="B1697" t="s">
        <v>5196</v>
      </c>
      <c r="C1697" t="s">
        <v>748</v>
      </c>
      <c r="D1697" t="s">
        <v>749</v>
      </c>
      <c r="E1697" t="s">
        <v>750</v>
      </c>
      <c r="F1697" t="s">
        <v>5197</v>
      </c>
      <c r="G1697" s="2" t="str">
        <f>HYPERLINK("https://probpalata.gov.ru/files/ЮЛ770100193500132.jpeg","Скачать индивидуальный QR-код магазина")</f>
        <v>Скачать индивидуальный QR-код магазина</v>
      </c>
    </row>
    <row r="1698" spans="1:7" x14ac:dyDescent="0.25">
      <c r="A1698" t="s">
        <v>4684</v>
      </c>
      <c r="B1698" t="s">
        <v>5198</v>
      </c>
      <c r="C1698" t="s">
        <v>748</v>
      </c>
      <c r="D1698" t="s">
        <v>749</v>
      </c>
      <c r="E1698" t="s">
        <v>750</v>
      </c>
      <c r="F1698" t="s">
        <v>5199</v>
      </c>
      <c r="G1698" s="2" t="str">
        <f>HYPERLINK("https://probpalata.gov.ru/files/ЮЛ770100193500133.jpeg","Скачать индивидуальный QR-код магазина")</f>
        <v>Скачать индивидуальный QR-код магазина</v>
      </c>
    </row>
    <row r="1699" spans="1:7" x14ac:dyDescent="0.25">
      <c r="A1699" t="s">
        <v>4684</v>
      </c>
      <c r="B1699" t="s">
        <v>5200</v>
      </c>
      <c r="C1699" t="s">
        <v>748</v>
      </c>
      <c r="D1699" t="s">
        <v>749</v>
      </c>
      <c r="E1699" t="s">
        <v>750</v>
      </c>
      <c r="F1699" t="s">
        <v>5201</v>
      </c>
      <c r="G1699" s="2" t="str">
        <f>HYPERLINK("https://probpalata.gov.ru/files/ЮЛ770100193500508.jpeg","Скачать индивидуальный QR-код магазина")</f>
        <v>Скачать индивидуальный QR-код магазина</v>
      </c>
    </row>
    <row r="1700" spans="1:7" x14ac:dyDescent="0.25">
      <c r="A1700" t="s">
        <v>4684</v>
      </c>
      <c r="B1700" t="s">
        <v>5202</v>
      </c>
      <c r="C1700" t="s">
        <v>748</v>
      </c>
      <c r="D1700" t="s">
        <v>749</v>
      </c>
      <c r="E1700" t="s">
        <v>750</v>
      </c>
      <c r="F1700" t="s">
        <v>5203</v>
      </c>
      <c r="G1700" s="2" t="str">
        <f>HYPERLINK("https://probpalata.gov.ru/files/ЮЛ770100193500609.jpeg","Скачать индивидуальный QR-код магазина")</f>
        <v>Скачать индивидуальный QR-код магазина</v>
      </c>
    </row>
    <row r="1701" spans="1:7" x14ac:dyDescent="0.25">
      <c r="A1701" t="s">
        <v>4684</v>
      </c>
      <c r="B1701" t="s">
        <v>5204</v>
      </c>
      <c r="C1701" t="s">
        <v>748</v>
      </c>
      <c r="D1701" t="s">
        <v>749</v>
      </c>
      <c r="E1701" t="s">
        <v>750</v>
      </c>
      <c r="F1701" t="s">
        <v>5205</v>
      </c>
      <c r="G1701" s="2" t="str">
        <f>HYPERLINK("https://probpalata.gov.ru/files/ЮЛ770100193500845.jpeg","Скачать индивидуальный QR-код магазина")</f>
        <v>Скачать индивидуальный QR-код магазина</v>
      </c>
    </row>
    <row r="1702" spans="1:7" x14ac:dyDescent="0.25">
      <c r="A1702" t="s">
        <v>4684</v>
      </c>
      <c r="B1702" t="s">
        <v>5206</v>
      </c>
      <c r="C1702" t="s">
        <v>748</v>
      </c>
      <c r="D1702" t="s">
        <v>749</v>
      </c>
      <c r="E1702" t="s">
        <v>750</v>
      </c>
      <c r="F1702" t="s">
        <v>5207</v>
      </c>
      <c r="G1702" s="2" t="str">
        <f>HYPERLINK("https://probpalata.gov.ru/files/ЮЛ770100193501036.jpeg","Скачать индивидуальный QR-код магазина")</f>
        <v>Скачать индивидуальный QR-код магазина</v>
      </c>
    </row>
    <row r="1703" spans="1:7" x14ac:dyDescent="0.25">
      <c r="A1703" t="s">
        <v>4684</v>
      </c>
      <c r="B1703" t="s">
        <v>5208</v>
      </c>
      <c r="C1703" t="s">
        <v>748</v>
      </c>
      <c r="D1703" t="s">
        <v>749</v>
      </c>
      <c r="E1703" t="s">
        <v>750</v>
      </c>
      <c r="F1703" t="s">
        <v>5209</v>
      </c>
      <c r="G1703" s="2" t="str">
        <f>HYPERLINK("https://probpalata.gov.ru/files/ЮЛ770100193501077.jpeg","Скачать индивидуальный QR-код магазина")</f>
        <v>Скачать индивидуальный QR-код магазина</v>
      </c>
    </row>
    <row r="1704" spans="1:7" x14ac:dyDescent="0.25">
      <c r="A1704" t="s">
        <v>4684</v>
      </c>
      <c r="B1704" t="s">
        <v>5210</v>
      </c>
      <c r="C1704" t="s">
        <v>773</v>
      </c>
      <c r="D1704" t="s">
        <v>774</v>
      </c>
      <c r="E1704" t="s">
        <v>775</v>
      </c>
      <c r="F1704" t="s">
        <v>5211</v>
      </c>
      <c r="G1704" s="2" t="str">
        <f>HYPERLINK("https://probpalata.gov.ru/files/ЮЛ780300131300069.jpeg","Скачать индивидуальный QR-код магазина")</f>
        <v>Скачать индивидуальный QR-код магазина</v>
      </c>
    </row>
    <row r="1705" spans="1:7" x14ac:dyDescent="0.25">
      <c r="A1705" t="s">
        <v>4684</v>
      </c>
      <c r="B1705" t="s">
        <v>5212</v>
      </c>
      <c r="C1705" t="s">
        <v>773</v>
      </c>
      <c r="D1705" t="s">
        <v>774</v>
      </c>
      <c r="E1705" t="s">
        <v>775</v>
      </c>
      <c r="F1705" t="s">
        <v>5213</v>
      </c>
      <c r="G1705" s="2" t="str">
        <f>HYPERLINK("https://probpalata.gov.ru/files/ЮЛ780300131300070.jpeg","Скачать индивидуальный QR-код магазина")</f>
        <v>Скачать индивидуальный QR-код магазина</v>
      </c>
    </row>
    <row r="1706" spans="1:7" x14ac:dyDescent="0.25">
      <c r="A1706" t="s">
        <v>4684</v>
      </c>
      <c r="B1706" t="s">
        <v>5214</v>
      </c>
      <c r="C1706" t="s">
        <v>773</v>
      </c>
      <c r="D1706" t="s">
        <v>774</v>
      </c>
      <c r="E1706" t="s">
        <v>775</v>
      </c>
      <c r="F1706" t="s">
        <v>5215</v>
      </c>
      <c r="G1706" s="2" t="str">
        <f>HYPERLINK("https://probpalata.gov.ru/files/ЮЛ780300131300071.jpeg","Скачать индивидуальный QR-код магазина")</f>
        <v>Скачать индивидуальный QR-код магазина</v>
      </c>
    </row>
    <row r="1707" spans="1:7" x14ac:dyDescent="0.25">
      <c r="A1707" t="s">
        <v>4684</v>
      </c>
      <c r="B1707" t="s">
        <v>5216</v>
      </c>
      <c r="C1707" t="s">
        <v>773</v>
      </c>
      <c r="D1707" t="s">
        <v>774</v>
      </c>
      <c r="E1707" t="s">
        <v>775</v>
      </c>
      <c r="F1707" t="s">
        <v>5217</v>
      </c>
      <c r="G1707" s="2" t="str">
        <f>HYPERLINK("https://probpalata.gov.ru/files/ЮЛ780300131300072.jpeg","Скачать индивидуальный QR-код магазина")</f>
        <v>Скачать индивидуальный QR-код магазина</v>
      </c>
    </row>
    <row r="1708" spans="1:7" x14ac:dyDescent="0.25">
      <c r="A1708" t="s">
        <v>4684</v>
      </c>
      <c r="B1708" t="s">
        <v>5218</v>
      </c>
      <c r="C1708" t="s">
        <v>773</v>
      </c>
      <c r="D1708" t="s">
        <v>774</v>
      </c>
      <c r="E1708" t="s">
        <v>775</v>
      </c>
      <c r="F1708" t="s">
        <v>5219</v>
      </c>
      <c r="G1708" s="2" t="str">
        <f>HYPERLINK("https://probpalata.gov.ru/files/ЮЛ780300131300074.jpeg","Скачать индивидуальный QR-код магазина")</f>
        <v>Скачать индивидуальный QR-код магазина</v>
      </c>
    </row>
    <row r="1709" spans="1:7" x14ac:dyDescent="0.25">
      <c r="A1709" t="s">
        <v>4684</v>
      </c>
      <c r="B1709" t="s">
        <v>5220</v>
      </c>
      <c r="C1709" t="s">
        <v>798</v>
      </c>
      <c r="D1709" t="s">
        <v>799</v>
      </c>
      <c r="E1709" t="s">
        <v>800</v>
      </c>
      <c r="F1709" t="s">
        <v>5221</v>
      </c>
      <c r="G1709" s="2" t="str">
        <f>HYPERLINK("https://probpalata.gov.ru/files/ЮЛ780300308200027.jpeg","Скачать индивидуальный QR-код магазина")</f>
        <v>Скачать индивидуальный QR-код магазина</v>
      </c>
    </row>
    <row r="1710" spans="1:7" x14ac:dyDescent="0.25">
      <c r="A1710" t="s">
        <v>4684</v>
      </c>
      <c r="B1710" t="s">
        <v>5222</v>
      </c>
      <c r="C1710" t="s">
        <v>798</v>
      </c>
      <c r="D1710" t="s">
        <v>799</v>
      </c>
      <c r="E1710" t="s">
        <v>800</v>
      </c>
      <c r="F1710" t="s">
        <v>5223</v>
      </c>
      <c r="G1710" s="2" t="str">
        <f>HYPERLINK("https://probpalata.gov.ru/files/ЮЛ780300308200087.jpeg","Скачать индивидуальный QR-код магазина")</f>
        <v>Скачать индивидуальный QR-код магазина</v>
      </c>
    </row>
    <row r="1711" spans="1:7" x14ac:dyDescent="0.25">
      <c r="A1711" t="s">
        <v>4684</v>
      </c>
      <c r="B1711" t="s">
        <v>4690</v>
      </c>
      <c r="C1711" t="s">
        <v>798</v>
      </c>
      <c r="D1711" t="s">
        <v>799</v>
      </c>
      <c r="E1711" t="s">
        <v>800</v>
      </c>
      <c r="F1711" t="s">
        <v>5224</v>
      </c>
      <c r="G1711" s="2" t="str">
        <f>HYPERLINK("https://probpalata.gov.ru/files/ЮЛ780300308200225.jpeg","Скачать индивидуальный QR-код магазина")</f>
        <v>Скачать индивидуальный QR-код магазина</v>
      </c>
    </row>
    <row r="1712" spans="1:7" x14ac:dyDescent="0.25">
      <c r="A1712" t="s">
        <v>4684</v>
      </c>
      <c r="B1712" t="s">
        <v>4867</v>
      </c>
      <c r="C1712" t="s">
        <v>798</v>
      </c>
      <c r="D1712" t="s">
        <v>799</v>
      </c>
      <c r="E1712" t="s">
        <v>800</v>
      </c>
      <c r="F1712" t="s">
        <v>5225</v>
      </c>
      <c r="G1712" s="2" t="str">
        <f>HYPERLINK("https://probpalata.gov.ru/files/ЮЛ780300308200403.jpeg","Скачать индивидуальный QR-код магазина")</f>
        <v>Скачать индивидуальный QR-код магазина</v>
      </c>
    </row>
    <row r="1713" spans="1:7" x14ac:dyDescent="0.25">
      <c r="A1713" t="s">
        <v>4684</v>
      </c>
      <c r="B1713" t="s">
        <v>5226</v>
      </c>
      <c r="C1713" t="s">
        <v>798</v>
      </c>
      <c r="D1713" t="s">
        <v>799</v>
      </c>
      <c r="E1713" t="s">
        <v>800</v>
      </c>
      <c r="F1713" t="s">
        <v>5227</v>
      </c>
      <c r="G1713" s="2" t="str">
        <f>HYPERLINK("https://probpalata.gov.ru/files/ЮЛ780300308200625.jpeg","Скачать индивидуальный QR-код магазина")</f>
        <v>Скачать индивидуальный QR-код магазина</v>
      </c>
    </row>
    <row r="1714" spans="1:7" x14ac:dyDescent="0.25">
      <c r="A1714" t="s">
        <v>4684</v>
      </c>
      <c r="B1714" t="s">
        <v>5228</v>
      </c>
      <c r="C1714" t="s">
        <v>798</v>
      </c>
      <c r="D1714" t="s">
        <v>799</v>
      </c>
      <c r="E1714" t="s">
        <v>800</v>
      </c>
      <c r="F1714" t="s">
        <v>5229</v>
      </c>
      <c r="G1714" s="2" t="str">
        <f>HYPERLINK("https://probpalata.gov.ru/files/ЮЛ780300308200662.jpeg","Скачать индивидуальный QR-код магазина")</f>
        <v>Скачать индивидуальный QR-код магазина</v>
      </c>
    </row>
    <row r="1715" spans="1:7" x14ac:dyDescent="0.25">
      <c r="A1715" t="s">
        <v>4684</v>
      </c>
      <c r="B1715" t="s">
        <v>5230</v>
      </c>
      <c r="C1715" t="s">
        <v>798</v>
      </c>
      <c r="D1715" t="s">
        <v>799</v>
      </c>
      <c r="E1715" t="s">
        <v>800</v>
      </c>
      <c r="F1715" t="s">
        <v>5231</v>
      </c>
      <c r="G1715" s="2" t="str">
        <f>HYPERLINK("https://probpalata.gov.ru/files/ЮЛ780300308200769.jpeg","Скачать индивидуальный QR-код магазина")</f>
        <v>Скачать индивидуальный QR-код магазина</v>
      </c>
    </row>
    <row r="1716" spans="1:7" x14ac:dyDescent="0.25">
      <c r="A1716" t="s">
        <v>4684</v>
      </c>
      <c r="B1716" t="s">
        <v>5232</v>
      </c>
      <c r="C1716" t="s">
        <v>798</v>
      </c>
      <c r="D1716" t="s">
        <v>799</v>
      </c>
      <c r="E1716" t="s">
        <v>800</v>
      </c>
      <c r="F1716" t="s">
        <v>5233</v>
      </c>
      <c r="G1716" s="2" t="str">
        <f>HYPERLINK("https://probpalata.gov.ru/files/ЮЛ780300308200777.jpeg","Скачать индивидуальный QR-код магазина")</f>
        <v>Скачать индивидуальный QR-код магазина</v>
      </c>
    </row>
    <row r="1717" spans="1:7" x14ac:dyDescent="0.25">
      <c r="A1717" t="s">
        <v>4684</v>
      </c>
      <c r="B1717" t="s">
        <v>5234</v>
      </c>
      <c r="C1717" t="s">
        <v>798</v>
      </c>
      <c r="D1717" t="s">
        <v>799</v>
      </c>
      <c r="E1717" t="s">
        <v>800</v>
      </c>
      <c r="F1717" t="s">
        <v>5235</v>
      </c>
      <c r="G1717" s="2" t="str">
        <f>HYPERLINK("https://probpalata.gov.ru/files/ЮЛ780300308200778.jpeg","Скачать индивидуальный QR-код магазина")</f>
        <v>Скачать индивидуальный QR-код магазина</v>
      </c>
    </row>
    <row r="1718" spans="1:7" x14ac:dyDescent="0.25">
      <c r="A1718" t="s">
        <v>4684</v>
      </c>
      <c r="B1718" t="s">
        <v>5236</v>
      </c>
      <c r="C1718" t="s">
        <v>798</v>
      </c>
      <c r="D1718" t="s">
        <v>799</v>
      </c>
      <c r="E1718" t="s">
        <v>800</v>
      </c>
      <c r="F1718" t="s">
        <v>5237</v>
      </c>
      <c r="G1718" s="2" t="str">
        <f>HYPERLINK("https://probpalata.gov.ru/files/ЮЛ780300308200786.jpeg","Скачать индивидуальный QR-код магазина")</f>
        <v>Скачать индивидуальный QR-код магазина</v>
      </c>
    </row>
    <row r="1719" spans="1:7" x14ac:dyDescent="0.25">
      <c r="A1719" t="s">
        <v>4684</v>
      </c>
      <c r="B1719" t="s">
        <v>5238</v>
      </c>
      <c r="C1719" t="s">
        <v>798</v>
      </c>
      <c r="D1719" t="s">
        <v>799</v>
      </c>
      <c r="E1719" t="s">
        <v>800</v>
      </c>
      <c r="F1719" t="s">
        <v>5239</v>
      </c>
      <c r="G1719" s="2" t="str">
        <f>HYPERLINK("https://probpalata.gov.ru/files/ЮЛ780300308200984.jpeg","Скачать индивидуальный QR-код магазина")</f>
        <v>Скачать индивидуальный QR-код магазина</v>
      </c>
    </row>
    <row r="1720" spans="1:7" x14ac:dyDescent="0.25">
      <c r="A1720" t="s">
        <v>4684</v>
      </c>
      <c r="B1720" t="s">
        <v>5240</v>
      </c>
      <c r="C1720" t="s">
        <v>798</v>
      </c>
      <c r="D1720" t="s">
        <v>799</v>
      </c>
      <c r="E1720" t="s">
        <v>800</v>
      </c>
      <c r="F1720" t="s">
        <v>5241</v>
      </c>
      <c r="G1720" s="2" t="str">
        <f>HYPERLINK("https://probpalata.gov.ru/files/ЮЛ780300308200997.jpeg","Скачать индивидуальный QR-код магазина")</f>
        <v>Скачать индивидуальный QR-код магазина</v>
      </c>
    </row>
    <row r="1721" spans="1:7" x14ac:dyDescent="0.25">
      <c r="A1721" t="s">
        <v>4684</v>
      </c>
      <c r="B1721" t="s">
        <v>5242</v>
      </c>
      <c r="C1721" t="s">
        <v>798</v>
      </c>
      <c r="D1721" t="s">
        <v>799</v>
      </c>
      <c r="E1721" t="s">
        <v>800</v>
      </c>
      <c r="F1721" t="s">
        <v>5243</v>
      </c>
      <c r="G1721" s="2" t="str">
        <f>HYPERLINK("https://probpalata.gov.ru/files/ЮЛ780300308201180.jpeg","Скачать индивидуальный QR-код магазина")</f>
        <v>Скачать индивидуальный QR-код магазина</v>
      </c>
    </row>
    <row r="1722" spans="1:7" x14ac:dyDescent="0.25">
      <c r="A1722" t="s">
        <v>4684</v>
      </c>
      <c r="B1722" t="s">
        <v>5244</v>
      </c>
      <c r="C1722" t="s">
        <v>5245</v>
      </c>
      <c r="D1722" t="s">
        <v>5246</v>
      </c>
      <c r="E1722" t="s">
        <v>5247</v>
      </c>
      <c r="F1722" t="s">
        <v>5248</v>
      </c>
      <c r="G1722" s="2" t="str">
        <f>HYPERLINK("https://probpalata.gov.ru/files/ЮЛ780300546000000.jpeg","Скачать индивидуальный QR-код магазина")</f>
        <v>Скачать индивидуальный QR-код магазина</v>
      </c>
    </row>
    <row r="1723" spans="1:7" x14ac:dyDescent="0.25">
      <c r="A1723" t="s">
        <v>4684</v>
      </c>
      <c r="B1723" t="s">
        <v>5249</v>
      </c>
      <c r="C1723" t="s">
        <v>5250</v>
      </c>
      <c r="D1723" t="s">
        <v>5251</v>
      </c>
      <c r="E1723" t="s">
        <v>5252</v>
      </c>
      <c r="F1723" t="s">
        <v>5253</v>
      </c>
      <c r="G1723" s="2" t="str">
        <f>HYPERLINK("https://probpalata.gov.ru/files/ИП780303664800012.jpeg","Скачать индивидуальный QR-код магазина")</f>
        <v>Скачать индивидуальный QR-код магазина</v>
      </c>
    </row>
    <row r="1724" spans="1:7" x14ac:dyDescent="0.25">
      <c r="A1724" t="s">
        <v>4684</v>
      </c>
      <c r="B1724" t="s">
        <v>5254</v>
      </c>
      <c r="C1724" t="s">
        <v>5250</v>
      </c>
      <c r="D1724" t="s">
        <v>5251</v>
      </c>
      <c r="E1724" t="s">
        <v>5252</v>
      </c>
      <c r="F1724" t="s">
        <v>5255</v>
      </c>
      <c r="G1724" s="2" t="str">
        <f>HYPERLINK("https://probpalata.gov.ru/files/ИП780303664800013.jpeg","Скачать индивидуальный QR-код магазина")</f>
        <v>Скачать индивидуальный QR-код магазина</v>
      </c>
    </row>
    <row r="1725" spans="1:7" x14ac:dyDescent="0.25">
      <c r="A1725" t="s">
        <v>4684</v>
      </c>
      <c r="B1725" t="s">
        <v>5256</v>
      </c>
      <c r="C1725" t="s">
        <v>5257</v>
      </c>
      <c r="D1725" t="s">
        <v>5258</v>
      </c>
      <c r="E1725" t="s">
        <v>5259</v>
      </c>
      <c r="F1725" t="s">
        <v>5260</v>
      </c>
      <c r="G1725" s="2" t="str">
        <f>HYPERLINK("https://probpalata.gov.ru/files/ЮЛ770101997900000.jpeg","Скачать индивидуальный QR-код магазина")</f>
        <v>Скачать индивидуальный QR-код магазина</v>
      </c>
    </row>
    <row r="1726" spans="1:7" x14ac:dyDescent="0.25">
      <c r="A1726" t="s">
        <v>4684</v>
      </c>
      <c r="B1726" t="s">
        <v>5261</v>
      </c>
      <c r="C1726" t="s">
        <v>5257</v>
      </c>
      <c r="D1726" t="s">
        <v>5258</v>
      </c>
      <c r="E1726" t="s">
        <v>5259</v>
      </c>
      <c r="F1726" t="s">
        <v>5262</v>
      </c>
      <c r="G1726" s="2" t="str">
        <f>HYPERLINK("https://probpalata.gov.ru/files/ЮЛ770101997900001.jpeg","Скачать индивидуальный QR-код магазина")</f>
        <v>Скачать индивидуальный QR-код магазина</v>
      </c>
    </row>
    <row r="1727" spans="1:7" x14ac:dyDescent="0.25">
      <c r="A1727" t="s">
        <v>4684</v>
      </c>
      <c r="B1727" t="s">
        <v>5263</v>
      </c>
      <c r="C1727" t="s">
        <v>1501</v>
      </c>
      <c r="D1727" t="s">
        <v>1502</v>
      </c>
      <c r="E1727" t="s">
        <v>1503</v>
      </c>
      <c r="F1727" t="s">
        <v>5264</v>
      </c>
      <c r="G1727" s="2" t="str">
        <f>HYPERLINK("https://probpalata.gov.ru/files/ЮЛ770100439200097.jpeg","Скачать индивидуальный QR-код магазина")</f>
        <v>Скачать индивидуальный QR-код магазина</v>
      </c>
    </row>
    <row r="1728" spans="1:7" x14ac:dyDescent="0.25">
      <c r="A1728" t="s">
        <v>4684</v>
      </c>
      <c r="B1728" t="s">
        <v>5265</v>
      </c>
      <c r="C1728" t="s">
        <v>1501</v>
      </c>
      <c r="D1728" t="s">
        <v>1502</v>
      </c>
      <c r="E1728" t="s">
        <v>1503</v>
      </c>
      <c r="F1728" t="s">
        <v>5266</v>
      </c>
      <c r="G1728" s="2" t="str">
        <f>HYPERLINK("https://probpalata.gov.ru/files/ЮЛ770100439200098.jpeg","Скачать индивидуальный QR-код магазина")</f>
        <v>Скачать индивидуальный QR-код магазина</v>
      </c>
    </row>
    <row r="1729" spans="1:7" x14ac:dyDescent="0.25">
      <c r="A1729" t="s">
        <v>4684</v>
      </c>
      <c r="B1729" t="s">
        <v>5267</v>
      </c>
      <c r="C1729" t="s">
        <v>1501</v>
      </c>
      <c r="D1729" t="s">
        <v>1502</v>
      </c>
      <c r="E1729" t="s">
        <v>1503</v>
      </c>
      <c r="F1729" t="s">
        <v>5268</v>
      </c>
      <c r="G1729" s="2" t="str">
        <f>HYPERLINK("https://probpalata.gov.ru/files/ЮЛ770100439200100.jpeg","Скачать индивидуальный QR-код магазина")</f>
        <v>Скачать индивидуальный QR-код магазина</v>
      </c>
    </row>
    <row r="1730" spans="1:7" x14ac:dyDescent="0.25">
      <c r="A1730" t="s">
        <v>4684</v>
      </c>
      <c r="B1730" t="s">
        <v>5140</v>
      </c>
      <c r="C1730" t="s">
        <v>1501</v>
      </c>
      <c r="D1730" t="s">
        <v>1502</v>
      </c>
      <c r="E1730" t="s">
        <v>1503</v>
      </c>
      <c r="F1730" t="s">
        <v>5269</v>
      </c>
      <c r="G1730" s="2" t="str">
        <f>HYPERLINK("https://probpalata.gov.ru/files/ЮЛ770100439200199.jpeg","Скачать индивидуальный QR-код магазина")</f>
        <v>Скачать индивидуальный QR-код магазина</v>
      </c>
    </row>
    <row r="1731" spans="1:7" x14ac:dyDescent="0.25">
      <c r="A1731" t="s">
        <v>4684</v>
      </c>
      <c r="B1731" t="s">
        <v>5140</v>
      </c>
      <c r="C1731" t="s">
        <v>1853</v>
      </c>
      <c r="D1731" t="s">
        <v>1854</v>
      </c>
      <c r="E1731" t="s">
        <v>1855</v>
      </c>
      <c r="F1731" t="s">
        <v>5270</v>
      </c>
      <c r="G1731" s="2" t="str">
        <f>HYPERLINK("https://probpalata.gov.ru/files/ЮЛ770104000500013.jpeg","Скачать индивидуальный QR-код магазина")</f>
        <v>Скачать индивидуальный QR-код магазина</v>
      </c>
    </row>
    <row r="1732" spans="1:7" x14ac:dyDescent="0.25">
      <c r="A1732" t="s">
        <v>5271</v>
      </c>
      <c r="B1732" t="s">
        <v>5272</v>
      </c>
      <c r="C1732" t="s">
        <v>5273</v>
      </c>
      <c r="D1732" t="s">
        <v>5274</v>
      </c>
      <c r="E1732" t="s">
        <v>5275</v>
      </c>
      <c r="F1732" t="s">
        <v>5276</v>
      </c>
      <c r="G1732" s="2" t="str">
        <f>HYPERLINK("https://probpalata.gov.ru/files/ИП930403532200000.jpeg","Скачать индивидуальный QR-код магазина")</f>
        <v>Скачать индивидуальный QR-код магазина</v>
      </c>
    </row>
    <row r="1733" spans="1:7" x14ac:dyDescent="0.25">
      <c r="A1733" t="s">
        <v>5271</v>
      </c>
      <c r="B1733" t="s">
        <v>5277</v>
      </c>
      <c r="C1733" t="s">
        <v>5278</v>
      </c>
      <c r="D1733" t="s">
        <v>5279</v>
      </c>
      <c r="E1733" t="s">
        <v>5280</v>
      </c>
      <c r="F1733" t="s">
        <v>5281</v>
      </c>
      <c r="G1733" s="2" t="str">
        <f>HYPERLINK("https://probpalata.gov.ru/files/ИП230403317100000.jpeg","Скачать индивидуальный QR-код магазина")</f>
        <v>Скачать индивидуальный QR-код магазина</v>
      </c>
    </row>
    <row r="1734" spans="1:7" x14ac:dyDescent="0.25">
      <c r="A1734" t="s">
        <v>5271</v>
      </c>
      <c r="B1734" t="s">
        <v>5282</v>
      </c>
      <c r="C1734" t="s">
        <v>3246</v>
      </c>
      <c r="D1734" t="s">
        <v>3247</v>
      </c>
      <c r="E1734" t="s">
        <v>3248</v>
      </c>
      <c r="F1734" t="s">
        <v>5283</v>
      </c>
      <c r="G1734" s="2" t="str">
        <f>HYPERLINK("https://probpalata.gov.ru/files/ИП230400618900051.jpeg","Скачать индивидуальный QR-код магазина")</f>
        <v>Скачать индивидуальный QR-код магазина</v>
      </c>
    </row>
    <row r="1735" spans="1:7" x14ac:dyDescent="0.25">
      <c r="A1735" t="s">
        <v>5271</v>
      </c>
      <c r="B1735" t="s">
        <v>5284</v>
      </c>
      <c r="C1735" t="s">
        <v>3246</v>
      </c>
      <c r="D1735" t="s">
        <v>3247</v>
      </c>
      <c r="E1735" t="s">
        <v>3248</v>
      </c>
      <c r="F1735" t="s">
        <v>5285</v>
      </c>
      <c r="G1735" s="2" t="str">
        <f>HYPERLINK("https://probpalata.gov.ru/files/ИП230400618900054.jpeg","Скачать индивидуальный QR-код магазина")</f>
        <v>Скачать индивидуальный QR-код магазина</v>
      </c>
    </row>
    <row r="1736" spans="1:7" x14ac:dyDescent="0.25">
      <c r="A1736" t="s">
        <v>5271</v>
      </c>
      <c r="B1736" t="s">
        <v>5286</v>
      </c>
      <c r="C1736" t="s">
        <v>5287</v>
      </c>
      <c r="D1736" t="s">
        <v>5288</v>
      </c>
      <c r="E1736" t="s">
        <v>5289</v>
      </c>
      <c r="F1736" t="s">
        <v>5290</v>
      </c>
      <c r="G1736" s="2" t="str">
        <f>HYPERLINK("https://probpalata.gov.ru/files/ИП930403531200000.jpeg","Скачать индивидуальный QR-код магазина")</f>
        <v>Скачать индивидуальный QR-код магазина</v>
      </c>
    </row>
    <row r="1737" spans="1:7" x14ac:dyDescent="0.25">
      <c r="A1737" t="s">
        <v>5271</v>
      </c>
      <c r="B1737" t="s">
        <v>5291</v>
      </c>
      <c r="C1737" t="s">
        <v>5287</v>
      </c>
      <c r="D1737" t="s">
        <v>5288</v>
      </c>
      <c r="E1737" t="s">
        <v>5289</v>
      </c>
      <c r="F1737" t="s">
        <v>5292</v>
      </c>
      <c r="G1737" s="2" t="str">
        <f>HYPERLINK("https://probpalata.gov.ru/files/ИП930403531200003.jpeg","Скачать индивидуальный QR-код магазина")</f>
        <v>Скачать индивидуальный QR-код магазина</v>
      </c>
    </row>
    <row r="1738" spans="1:7" x14ac:dyDescent="0.25">
      <c r="A1738" t="s">
        <v>5271</v>
      </c>
      <c r="B1738" t="s">
        <v>5293</v>
      </c>
      <c r="C1738" t="s">
        <v>5287</v>
      </c>
      <c r="D1738" t="s">
        <v>5288</v>
      </c>
      <c r="E1738" t="s">
        <v>5289</v>
      </c>
      <c r="F1738" t="s">
        <v>5294</v>
      </c>
      <c r="G1738" s="2" t="str">
        <f>HYPERLINK("https://probpalata.gov.ru/files/ИП930403531200004.jpeg","Скачать индивидуальный QR-код магазина")</f>
        <v>Скачать индивидуальный QR-код магазина</v>
      </c>
    </row>
    <row r="1739" spans="1:7" x14ac:dyDescent="0.25">
      <c r="A1739" t="s">
        <v>5271</v>
      </c>
      <c r="B1739" t="s">
        <v>5295</v>
      </c>
      <c r="C1739" t="s">
        <v>5296</v>
      </c>
      <c r="D1739" t="s">
        <v>5297</v>
      </c>
      <c r="E1739" t="s">
        <v>5298</v>
      </c>
      <c r="F1739" t="s">
        <v>5299</v>
      </c>
      <c r="G1739" s="2" t="str">
        <f>HYPERLINK("https://probpalata.gov.ru/files/ИП470303686600018.jpeg","Скачать индивидуальный QR-код магазина")</f>
        <v>Скачать индивидуальный QR-код магазина</v>
      </c>
    </row>
    <row r="1740" spans="1:7" x14ac:dyDescent="0.25">
      <c r="A1740" t="s">
        <v>5271</v>
      </c>
      <c r="B1740" t="s">
        <v>5300</v>
      </c>
      <c r="C1740" t="s">
        <v>5296</v>
      </c>
      <c r="D1740" t="s">
        <v>5297</v>
      </c>
      <c r="E1740" t="s">
        <v>5298</v>
      </c>
      <c r="F1740" t="s">
        <v>5301</v>
      </c>
      <c r="G1740" s="2" t="str">
        <f>HYPERLINK("https://probpalata.gov.ru/files/ИП470303686600020.jpeg","Скачать индивидуальный QR-код магазина")</f>
        <v>Скачать индивидуальный QR-код магазина</v>
      </c>
    </row>
    <row r="1741" spans="1:7" x14ac:dyDescent="0.25">
      <c r="A1741" t="s">
        <v>5271</v>
      </c>
      <c r="B1741" t="s">
        <v>5302</v>
      </c>
      <c r="C1741" t="s">
        <v>5303</v>
      </c>
      <c r="D1741" t="s">
        <v>5304</v>
      </c>
      <c r="E1741" t="s">
        <v>5305</v>
      </c>
      <c r="F1741" t="s">
        <v>5306</v>
      </c>
      <c r="G1741" s="2" t="str">
        <f>HYPERLINK("https://probpalata.gov.ru/files/ИП930403531600000.jpeg","Скачать индивидуальный QR-код магазина")</f>
        <v>Скачать индивидуальный QR-код магазина</v>
      </c>
    </row>
    <row r="1742" spans="1:7" x14ac:dyDescent="0.25">
      <c r="A1742" t="s">
        <v>5271</v>
      </c>
      <c r="B1742" t="s">
        <v>5307</v>
      </c>
      <c r="C1742" t="s">
        <v>5303</v>
      </c>
      <c r="D1742" t="s">
        <v>5304</v>
      </c>
      <c r="E1742" t="s">
        <v>5305</v>
      </c>
      <c r="F1742" t="s">
        <v>5308</v>
      </c>
      <c r="G1742" s="2" t="str">
        <f>HYPERLINK("https://probpalata.gov.ru/files/ИП930403531600004.jpeg","Скачать индивидуальный QR-код магазина")</f>
        <v>Скачать индивидуальный QR-код магазина</v>
      </c>
    </row>
    <row r="1743" spans="1:7" x14ac:dyDescent="0.25">
      <c r="A1743" t="s">
        <v>5271</v>
      </c>
      <c r="B1743" t="s">
        <v>5309</v>
      </c>
      <c r="C1743" t="s">
        <v>5303</v>
      </c>
      <c r="D1743" t="s">
        <v>5304</v>
      </c>
      <c r="E1743" t="s">
        <v>5305</v>
      </c>
      <c r="F1743" t="s">
        <v>5310</v>
      </c>
      <c r="G1743" s="2" t="str">
        <f>HYPERLINK("https://probpalata.gov.ru/files/ИП930403531600005.jpeg","Скачать индивидуальный QR-код магазина")</f>
        <v>Скачать индивидуальный QR-код магазина</v>
      </c>
    </row>
    <row r="1744" spans="1:7" x14ac:dyDescent="0.25">
      <c r="A1744" t="s">
        <v>5271</v>
      </c>
      <c r="B1744" t="s">
        <v>5309</v>
      </c>
      <c r="C1744" t="s">
        <v>5303</v>
      </c>
      <c r="D1744" t="s">
        <v>5304</v>
      </c>
      <c r="E1744" t="s">
        <v>5305</v>
      </c>
      <c r="F1744" t="s">
        <v>5311</v>
      </c>
      <c r="G1744" s="2" t="str">
        <f>HYPERLINK("https://probpalata.gov.ru/files/ИП930403531600007.jpeg","Скачать индивидуальный QR-код магазина")</f>
        <v>Скачать индивидуальный QR-код магазина</v>
      </c>
    </row>
    <row r="1745" spans="1:7" x14ac:dyDescent="0.25">
      <c r="A1745" t="s">
        <v>5271</v>
      </c>
      <c r="B1745" t="s">
        <v>5312</v>
      </c>
      <c r="C1745" t="s">
        <v>5313</v>
      </c>
      <c r="D1745" t="s">
        <v>5314</v>
      </c>
      <c r="E1745" t="s">
        <v>5315</v>
      </c>
      <c r="F1745" t="s">
        <v>5316</v>
      </c>
      <c r="G1745" s="2" t="str">
        <f>HYPERLINK("https://probpalata.gov.ru/files/ИП900403634700001.jpeg","Скачать индивидуальный QR-код магазина")</f>
        <v>Скачать индивидуальный QR-код магазина</v>
      </c>
    </row>
    <row r="1746" spans="1:7" x14ac:dyDescent="0.25">
      <c r="A1746" t="s">
        <v>5271</v>
      </c>
      <c r="B1746" t="s">
        <v>5317</v>
      </c>
      <c r="C1746" t="s">
        <v>5318</v>
      </c>
      <c r="D1746" t="s">
        <v>5319</v>
      </c>
      <c r="E1746" t="s">
        <v>5320</v>
      </c>
      <c r="F1746" t="s">
        <v>5321</v>
      </c>
      <c r="G1746" s="2" t="str">
        <f>HYPERLINK("https://probpalata.gov.ru/files/ИП930403600300000.jpeg","Скачать индивидуальный QR-код магазина")</f>
        <v>Скачать индивидуальный QR-код магазина</v>
      </c>
    </row>
    <row r="1747" spans="1:7" x14ac:dyDescent="0.25">
      <c r="A1747" t="s">
        <v>5271</v>
      </c>
      <c r="B1747" t="s">
        <v>5322</v>
      </c>
      <c r="C1747" t="s">
        <v>5318</v>
      </c>
      <c r="D1747" t="s">
        <v>5319</v>
      </c>
      <c r="E1747" t="s">
        <v>5320</v>
      </c>
      <c r="F1747" t="s">
        <v>5323</v>
      </c>
      <c r="G1747" s="2" t="str">
        <f>HYPERLINK("https://probpalata.gov.ru/files/ИП930403600300001.jpeg","Скачать индивидуальный QR-код магазина")</f>
        <v>Скачать индивидуальный QR-код магазина</v>
      </c>
    </row>
    <row r="1748" spans="1:7" x14ac:dyDescent="0.25">
      <c r="A1748" t="s">
        <v>5271</v>
      </c>
      <c r="B1748" t="s">
        <v>5324</v>
      </c>
      <c r="C1748" t="s">
        <v>5325</v>
      </c>
      <c r="D1748" t="s">
        <v>5326</v>
      </c>
      <c r="E1748" t="s">
        <v>5327</v>
      </c>
      <c r="F1748" t="s">
        <v>5328</v>
      </c>
      <c r="G1748" s="2" t="str">
        <f>HYPERLINK("https://probpalata.gov.ru/files/ИП940403529300000.jpeg","Скачать индивидуальный QR-код магазина")</f>
        <v>Скачать индивидуальный QR-код магазина</v>
      </c>
    </row>
    <row r="1749" spans="1:7" x14ac:dyDescent="0.25">
      <c r="A1749" t="s">
        <v>5271</v>
      </c>
      <c r="B1749" t="s">
        <v>5329</v>
      </c>
      <c r="C1749" t="s">
        <v>5325</v>
      </c>
      <c r="D1749" t="s">
        <v>5326</v>
      </c>
      <c r="E1749" t="s">
        <v>5327</v>
      </c>
      <c r="F1749" t="s">
        <v>5330</v>
      </c>
      <c r="G1749" s="2" t="str">
        <f>HYPERLINK("https://probpalata.gov.ru/files/ИП940403529300001.jpeg","Скачать индивидуальный QR-код магазина")</f>
        <v>Скачать индивидуальный QR-код магазина</v>
      </c>
    </row>
    <row r="1750" spans="1:7" x14ac:dyDescent="0.25">
      <c r="A1750" t="s">
        <v>5271</v>
      </c>
      <c r="B1750" t="s">
        <v>5331</v>
      </c>
      <c r="C1750" t="s">
        <v>5325</v>
      </c>
      <c r="D1750" t="s">
        <v>5326</v>
      </c>
      <c r="E1750" t="s">
        <v>5327</v>
      </c>
      <c r="F1750" t="s">
        <v>5332</v>
      </c>
      <c r="G1750" s="2" t="str">
        <f>HYPERLINK("https://probpalata.gov.ru/files/ИП940403529300002.jpeg","Скачать индивидуальный QR-код магазина")</f>
        <v>Скачать индивидуальный QR-код магазина</v>
      </c>
    </row>
    <row r="1751" spans="1:7" x14ac:dyDescent="0.25">
      <c r="A1751" t="s">
        <v>5271</v>
      </c>
      <c r="B1751" t="s">
        <v>5333</v>
      </c>
      <c r="C1751" t="s">
        <v>5334</v>
      </c>
      <c r="D1751" t="s">
        <v>5335</v>
      </c>
      <c r="E1751" t="s">
        <v>5336</v>
      </c>
      <c r="F1751" t="s">
        <v>5337</v>
      </c>
      <c r="G1751" s="2" t="str">
        <f>HYPERLINK("https://probpalata.gov.ru/files/ИП930403530200000.jpeg","Скачать индивидуальный QR-код магазина")</f>
        <v>Скачать индивидуальный QR-код магазина</v>
      </c>
    </row>
    <row r="1752" spans="1:7" x14ac:dyDescent="0.25">
      <c r="A1752" t="s">
        <v>5271</v>
      </c>
      <c r="B1752" t="s">
        <v>5309</v>
      </c>
      <c r="C1752" t="s">
        <v>5334</v>
      </c>
      <c r="D1752" t="s">
        <v>5335</v>
      </c>
      <c r="E1752" t="s">
        <v>5336</v>
      </c>
      <c r="F1752" t="s">
        <v>5338</v>
      </c>
      <c r="G1752" s="2" t="str">
        <f>HYPERLINK("https://probpalata.gov.ru/files/ИП930403530200003.jpeg","Скачать индивидуальный QR-код магазина")</f>
        <v>Скачать индивидуальный QR-код магазина</v>
      </c>
    </row>
    <row r="1753" spans="1:7" x14ac:dyDescent="0.25">
      <c r="A1753" t="s">
        <v>5271</v>
      </c>
      <c r="B1753" t="s">
        <v>5307</v>
      </c>
      <c r="C1753" t="s">
        <v>5339</v>
      </c>
      <c r="D1753" t="s">
        <v>5340</v>
      </c>
      <c r="E1753" t="s">
        <v>5341</v>
      </c>
      <c r="F1753" t="s">
        <v>5342</v>
      </c>
      <c r="G1753" s="2" t="str">
        <f>HYPERLINK("https://probpalata.gov.ru/files/ИП930403657200000.jpeg","Скачать индивидуальный QR-код магазина")</f>
        <v>Скачать индивидуальный QR-код магазина</v>
      </c>
    </row>
    <row r="1754" spans="1:7" x14ac:dyDescent="0.25">
      <c r="A1754" t="s">
        <v>5271</v>
      </c>
      <c r="B1754" t="s">
        <v>5343</v>
      </c>
      <c r="C1754" t="s">
        <v>5344</v>
      </c>
      <c r="D1754" t="s">
        <v>5345</v>
      </c>
      <c r="E1754" t="s">
        <v>5346</v>
      </c>
      <c r="F1754" t="s">
        <v>5347</v>
      </c>
      <c r="G1754" s="2" t="str">
        <f>HYPERLINK("https://probpalata.gov.ru/files/ИП930403707400000.jpeg","Скачать индивидуальный QR-код магазина")</f>
        <v>Скачать индивидуальный QR-код магазина</v>
      </c>
    </row>
    <row r="1755" spans="1:7" x14ac:dyDescent="0.25">
      <c r="A1755" t="s">
        <v>5271</v>
      </c>
      <c r="B1755" t="s">
        <v>5348</v>
      </c>
      <c r="C1755" t="s">
        <v>5349</v>
      </c>
      <c r="D1755" t="s">
        <v>5350</v>
      </c>
      <c r="E1755" t="s">
        <v>5351</v>
      </c>
      <c r="F1755" t="s">
        <v>5352</v>
      </c>
      <c r="G1755" s="2" t="str">
        <f>HYPERLINK("https://probpalata.gov.ru/files/ИП610403973900000.jpeg","Скачать индивидуальный QR-код магазина")</f>
        <v>Скачать индивидуальный QR-код магазина</v>
      </c>
    </row>
    <row r="1756" spans="1:7" x14ac:dyDescent="0.25">
      <c r="A1756" t="s">
        <v>5271</v>
      </c>
      <c r="B1756" t="s">
        <v>5353</v>
      </c>
      <c r="C1756" t="s">
        <v>5354</v>
      </c>
      <c r="D1756" t="s">
        <v>5355</v>
      </c>
      <c r="E1756" t="s">
        <v>5356</v>
      </c>
      <c r="F1756" t="s">
        <v>5357</v>
      </c>
      <c r="G1756" s="2" t="str">
        <f>HYPERLINK("https://probpalata.gov.ru/files/ИП930403637500000.jpeg","Скачать индивидуальный QR-код магазина")</f>
        <v>Скачать индивидуальный QR-код магазина</v>
      </c>
    </row>
    <row r="1757" spans="1:7" x14ac:dyDescent="0.25">
      <c r="A1757" t="s">
        <v>5271</v>
      </c>
      <c r="B1757" t="s">
        <v>5358</v>
      </c>
      <c r="C1757" t="s">
        <v>5354</v>
      </c>
      <c r="D1757" t="s">
        <v>5355</v>
      </c>
      <c r="E1757" t="s">
        <v>5356</v>
      </c>
      <c r="F1757" t="s">
        <v>5359</v>
      </c>
      <c r="G1757" s="2" t="str">
        <f>HYPERLINK("https://probpalata.gov.ru/files/ИП930403637500002.jpeg","Скачать индивидуальный QR-код магазина")</f>
        <v>Скачать индивидуальный QR-код магазина</v>
      </c>
    </row>
    <row r="1758" spans="1:7" x14ac:dyDescent="0.25">
      <c r="A1758" t="s">
        <v>5271</v>
      </c>
      <c r="B1758" t="s">
        <v>5360</v>
      </c>
      <c r="C1758" t="s">
        <v>5361</v>
      </c>
      <c r="D1758" t="s">
        <v>5362</v>
      </c>
      <c r="E1758" t="s">
        <v>5363</v>
      </c>
      <c r="F1758" t="s">
        <v>5364</v>
      </c>
      <c r="G1758" s="2" t="str">
        <f>HYPERLINK("https://probpalata.gov.ru/files/ИП930403533500000.jpeg","Скачать индивидуальный QR-код магазина")</f>
        <v>Скачать индивидуальный QR-код магазина</v>
      </c>
    </row>
    <row r="1759" spans="1:7" x14ac:dyDescent="0.25">
      <c r="A1759" t="s">
        <v>5271</v>
      </c>
      <c r="B1759" t="s">
        <v>5365</v>
      </c>
      <c r="C1759" t="s">
        <v>5361</v>
      </c>
      <c r="D1759" t="s">
        <v>5362</v>
      </c>
      <c r="E1759" t="s">
        <v>5363</v>
      </c>
      <c r="F1759" t="s">
        <v>5366</v>
      </c>
      <c r="G1759" s="2" t="str">
        <f>HYPERLINK("https://probpalata.gov.ru/files/ИП930403533500003.jpeg","Скачать индивидуальный QR-код магазина")</f>
        <v>Скачать индивидуальный QR-код магазина</v>
      </c>
    </row>
    <row r="1760" spans="1:7" x14ac:dyDescent="0.25">
      <c r="A1760" t="s">
        <v>5271</v>
      </c>
      <c r="B1760" t="s">
        <v>5367</v>
      </c>
      <c r="C1760" t="s">
        <v>5368</v>
      </c>
      <c r="D1760" t="s">
        <v>5369</v>
      </c>
      <c r="E1760" t="s">
        <v>5370</v>
      </c>
      <c r="F1760" t="s">
        <v>5371</v>
      </c>
      <c r="G1760" s="2" t="str">
        <f>HYPERLINK("https://probpalata.gov.ru/files/ИП930404066400000.jpeg","Скачать индивидуальный QR-код магазина")</f>
        <v>Скачать индивидуальный QR-код магазина</v>
      </c>
    </row>
    <row r="1761" spans="1:7" x14ac:dyDescent="0.25">
      <c r="A1761" t="s">
        <v>5271</v>
      </c>
      <c r="B1761" t="s">
        <v>5372</v>
      </c>
      <c r="C1761" t="s">
        <v>5373</v>
      </c>
      <c r="D1761" t="s">
        <v>5374</v>
      </c>
      <c r="E1761" t="s">
        <v>5375</v>
      </c>
      <c r="F1761" t="s">
        <v>5376</v>
      </c>
      <c r="G1761" s="2" t="str">
        <f>HYPERLINK("https://probpalata.gov.ru/files/ИП930403529600000.jpeg","Скачать индивидуальный QR-код магазина")</f>
        <v>Скачать индивидуальный QR-код магазина</v>
      </c>
    </row>
    <row r="1762" spans="1:7" x14ac:dyDescent="0.25">
      <c r="A1762" t="s">
        <v>5271</v>
      </c>
      <c r="B1762" t="s">
        <v>5377</v>
      </c>
      <c r="C1762" t="s">
        <v>5378</v>
      </c>
      <c r="D1762" t="s">
        <v>5379</v>
      </c>
      <c r="E1762" t="s">
        <v>5380</v>
      </c>
      <c r="F1762" t="s">
        <v>5381</v>
      </c>
      <c r="G1762" s="2" t="str">
        <f>HYPERLINK("https://probpalata.gov.ru/files/П1000403441700000.jpeg","Скачать индивидуальный QR-код магазина")</f>
        <v>Скачать индивидуальный QR-код магазина</v>
      </c>
    </row>
    <row r="1763" spans="1:7" x14ac:dyDescent="0.25">
      <c r="A1763" t="s">
        <v>5271</v>
      </c>
      <c r="B1763" t="s">
        <v>5309</v>
      </c>
      <c r="C1763" t="s">
        <v>5382</v>
      </c>
      <c r="D1763" t="s">
        <v>5383</v>
      </c>
      <c r="E1763" t="s">
        <v>5384</v>
      </c>
      <c r="F1763" t="s">
        <v>5385</v>
      </c>
      <c r="G1763" s="2" t="str">
        <f>HYPERLINK("https://probpalata.gov.ru/files/ИП930403769500000.jpeg","Скачать индивидуальный QR-код магазина")</f>
        <v>Скачать индивидуальный QR-код магазина</v>
      </c>
    </row>
    <row r="1764" spans="1:7" x14ac:dyDescent="0.25">
      <c r="A1764" t="s">
        <v>5271</v>
      </c>
      <c r="B1764" t="s">
        <v>5386</v>
      </c>
      <c r="C1764" t="s">
        <v>5387</v>
      </c>
      <c r="D1764" t="s">
        <v>5388</v>
      </c>
      <c r="E1764" t="s">
        <v>5389</v>
      </c>
      <c r="F1764" t="s">
        <v>5390</v>
      </c>
      <c r="G1764" s="2" t="str">
        <f>HYPERLINK("https://probpalata.gov.ru/files/ИП930403976100000.jpeg","Скачать индивидуальный QR-код магазина")</f>
        <v>Скачать индивидуальный QR-код магазина</v>
      </c>
    </row>
    <row r="1765" spans="1:7" x14ac:dyDescent="0.25">
      <c r="A1765" t="s">
        <v>5271</v>
      </c>
      <c r="B1765" t="s">
        <v>5391</v>
      </c>
      <c r="C1765" t="s">
        <v>5392</v>
      </c>
      <c r="D1765" t="s">
        <v>5393</v>
      </c>
      <c r="E1765" t="s">
        <v>5394</v>
      </c>
      <c r="F1765" t="s">
        <v>5395</v>
      </c>
      <c r="G1765" s="2" t="str">
        <f>HYPERLINK("https://probpalata.gov.ru/files/ИП930403721700000.jpeg","Скачать индивидуальный QR-код магазина")</f>
        <v>Скачать индивидуальный QR-код магазина</v>
      </c>
    </row>
    <row r="1766" spans="1:7" x14ac:dyDescent="0.25">
      <c r="A1766" t="s">
        <v>5271</v>
      </c>
      <c r="B1766" t="s">
        <v>5396</v>
      </c>
      <c r="C1766" t="s">
        <v>5397</v>
      </c>
      <c r="D1766" t="s">
        <v>5398</v>
      </c>
      <c r="E1766" t="s">
        <v>5399</v>
      </c>
      <c r="F1766" t="s">
        <v>5400</v>
      </c>
      <c r="G1766" s="2" t="str">
        <f>HYPERLINK("https://probpalata.gov.ru/files/ИП930403724700000.jpeg","Скачать индивидуальный QR-код магазина")</f>
        <v>Скачать индивидуальный QR-код магазина</v>
      </c>
    </row>
    <row r="1767" spans="1:7" x14ac:dyDescent="0.25">
      <c r="A1767" t="s">
        <v>5271</v>
      </c>
      <c r="B1767" t="s">
        <v>5401</v>
      </c>
      <c r="C1767" t="s">
        <v>5397</v>
      </c>
      <c r="D1767" t="s">
        <v>5398</v>
      </c>
      <c r="E1767" t="s">
        <v>5399</v>
      </c>
      <c r="F1767" t="s">
        <v>5402</v>
      </c>
      <c r="G1767" s="2" t="str">
        <f>HYPERLINK("https://probpalata.gov.ru/files/ИП930403724700001.jpeg","Скачать индивидуальный QR-код магазина")</f>
        <v>Скачать индивидуальный QR-код магазина</v>
      </c>
    </row>
    <row r="1768" spans="1:7" x14ac:dyDescent="0.25">
      <c r="A1768" t="s">
        <v>5271</v>
      </c>
      <c r="B1768" t="s">
        <v>5403</v>
      </c>
      <c r="C1768" t="s">
        <v>5397</v>
      </c>
      <c r="D1768" t="s">
        <v>5398</v>
      </c>
      <c r="E1768" t="s">
        <v>5399</v>
      </c>
      <c r="F1768" t="s">
        <v>5404</v>
      </c>
      <c r="G1768" s="2" t="str">
        <f>HYPERLINK("https://probpalata.gov.ru/files/ИП930403724700003.jpeg","Скачать индивидуальный QR-код магазина")</f>
        <v>Скачать индивидуальный QR-код магазина</v>
      </c>
    </row>
    <row r="1769" spans="1:7" x14ac:dyDescent="0.25">
      <c r="A1769" t="s">
        <v>5271</v>
      </c>
      <c r="B1769" t="s">
        <v>5405</v>
      </c>
      <c r="C1769" t="s">
        <v>5406</v>
      </c>
      <c r="D1769" t="s">
        <v>5407</v>
      </c>
      <c r="E1769" t="s">
        <v>5408</v>
      </c>
      <c r="F1769" t="s">
        <v>5409</v>
      </c>
      <c r="G1769" s="2" t="str">
        <f>HYPERLINK("https://probpalata.gov.ru/files/ИП930403562300000.jpeg","Скачать индивидуальный QR-код магазина")</f>
        <v>Скачать индивидуальный QR-код магазина</v>
      </c>
    </row>
    <row r="1770" spans="1:7" x14ac:dyDescent="0.25">
      <c r="A1770" t="s">
        <v>5271</v>
      </c>
      <c r="B1770" t="s">
        <v>5410</v>
      </c>
      <c r="C1770" t="s">
        <v>5406</v>
      </c>
      <c r="D1770" t="s">
        <v>5407</v>
      </c>
      <c r="E1770" t="s">
        <v>5408</v>
      </c>
      <c r="F1770" t="s">
        <v>5411</v>
      </c>
      <c r="G1770" s="2" t="str">
        <f>HYPERLINK("https://probpalata.gov.ru/files/ИП930403562300004.jpeg","Скачать индивидуальный QR-код магазина")</f>
        <v>Скачать индивидуальный QR-код магазина</v>
      </c>
    </row>
    <row r="1771" spans="1:7" x14ac:dyDescent="0.25">
      <c r="A1771" t="s">
        <v>5271</v>
      </c>
      <c r="B1771" t="s">
        <v>5412</v>
      </c>
      <c r="C1771" t="s">
        <v>5406</v>
      </c>
      <c r="D1771" t="s">
        <v>5407</v>
      </c>
      <c r="E1771" t="s">
        <v>5408</v>
      </c>
      <c r="F1771" t="s">
        <v>5413</v>
      </c>
      <c r="G1771" s="2" t="str">
        <f>HYPERLINK("https://probpalata.gov.ru/files/ИП930403562300005.jpeg","Скачать индивидуальный QR-код магазина")</f>
        <v>Скачать индивидуальный QR-код магазина</v>
      </c>
    </row>
    <row r="1772" spans="1:7" x14ac:dyDescent="0.25">
      <c r="A1772" t="s">
        <v>5271</v>
      </c>
      <c r="B1772" t="s">
        <v>5414</v>
      </c>
      <c r="C1772" t="s">
        <v>5415</v>
      </c>
      <c r="D1772" t="s">
        <v>5416</v>
      </c>
      <c r="E1772" t="s">
        <v>5417</v>
      </c>
      <c r="F1772" t="s">
        <v>5418</v>
      </c>
      <c r="G1772" s="2" t="str">
        <f>HYPERLINK("https://probpalata.gov.ru/files/ИП930403530500000.jpeg","Скачать индивидуальный QR-код магазина")</f>
        <v>Скачать индивидуальный QR-код магазина</v>
      </c>
    </row>
    <row r="1773" spans="1:7" x14ac:dyDescent="0.25">
      <c r="A1773" t="s">
        <v>5271</v>
      </c>
      <c r="B1773" t="s">
        <v>5419</v>
      </c>
      <c r="C1773" t="s">
        <v>5420</v>
      </c>
      <c r="D1773" t="s">
        <v>5421</v>
      </c>
      <c r="E1773" t="s">
        <v>5422</v>
      </c>
      <c r="F1773" t="s">
        <v>5423</v>
      </c>
      <c r="G1773" s="2" t="str">
        <f>HYPERLINK("https://probpalata.gov.ru/files/ИП930403711600000.jpeg","Скачать индивидуальный QR-код магазина")</f>
        <v>Скачать индивидуальный QR-код магазина</v>
      </c>
    </row>
    <row r="1774" spans="1:7" x14ac:dyDescent="0.25">
      <c r="A1774" t="s">
        <v>5271</v>
      </c>
      <c r="B1774" t="s">
        <v>5360</v>
      </c>
      <c r="C1774" t="s">
        <v>5424</v>
      </c>
      <c r="D1774" t="s">
        <v>5425</v>
      </c>
      <c r="E1774" t="s">
        <v>5426</v>
      </c>
      <c r="F1774" t="s">
        <v>5427</v>
      </c>
      <c r="G1774" s="2" t="str">
        <f>HYPERLINK("https://probpalata.gov.ru/files/ИП930403533600000.jpeg","Скачать индивидуальный QR-код магазина")</f>
        <v>Скачать индивидуальный QR-код магазина</v>
      </c>
    </row>
    <row r="1775" spans="1:7" x14ac:dyDescent="0.25">
      <c r="A1775" t="s">
        <v>5271</v>
      </c>
      <c r="B1775" t="s">
        <v>5428</v>
      </c>
      <c r="C1775" t="s">
        <v>5424</v>
      </c>
      <c r="D1775" t="s">
        <v>5425</v>
      </c>
      <c r="E1775" t="s">
        <v>5426</v>
      </c>
      <c r="F1775" t="s">
        <v>5429</v>
      </c>
      <c r="G1775" s="2" t="str">
        <f>HYPERLINK("https://probpalata.gov.ru/files/ИП930403533600003.jpeg","Скачать индивидуальный QR-код магазина")</f>
        <v>Скачать индивидуальный QR-код магазина</v>
      </c>
    </row>
    <row r="1776" spans="1:7" x14ac:dyDescent="0.25">
      <c r="A1776" t="s">
        <v>5271</v>
      </c>
      <c r="B1776" t="s">
        <v>5430</v>
      </c>
      <c r="C1776" t="s">
        <v>5431</v>
      </c>
      <c r="D1776" t="s">
        <v>5432</v>
      </c>
      <c r="E1776" t="s">
        <v>5433</v>
      </c>
      <c r="F1776" t="s">
        <v>5434</v>
      </c>
      <c r="G1776" s="2" t="str">
        <f>HYPERLINK("https://probpalata.gov.ru/files/ИП930403602600000.jpeg","Скачать индивидуальный QR-код магазина")</f>
        <v>Скачать индивидуальный QR-код магазина</v>
      </c>
    </row>
    <row r="1777" spans="1:7" x14ac:dyDescent="0.25">
      <c r="A1777" t="s">
        <v>5271</v>
      </c>
      <c r="B1777" t="s">
        <v>5435</v>
      </c>
      <c r="C1777" t="s">
        <v>5436</v>
      </c>
      <c r="D1777" t="s">
        <v>5437</v>
      </c>
      <c r="E1777" t="s">
        <v>5438</v>
      </c>
      <c r="F1777" t="s">
        <v>5439</v>
      </c>
      <c r="G1777" s="2" t="str">
        <f>HYPERLINK("https://probpalata.gov.ru/files/ИП930403972300000.jpeg","Скачать индивидуальный QR-код магазина")</f>
        <v>Скачать индивидуальный QR-код магазина</v>
      </c>
    </row>
    <row r="1778" spans="1:7" x14ac:dyDescent="0.25">
      <c r="A1778" t="s">
        <v>5271</v>
      </c>
      <c r="B1778" t="s">
        <v>5440</v>
      </c>
      <c r="C1778" t="s">
        <v>5441</v>
      </c>
      <c r="D1778" t="s">
        <v>5442</v>
      </c>
      <c r="E1778" t="s">
        <v>5443</v>
      </c>
      <c r="F1778" t="s">
        <v>5444</v>
      </c>
      <c r="G1778" s="2" t="str">
        <f>HYPERLINK("https://probpalata.gov.ru/files/ИП930403531800000.jpeg","Скачать индивидуальный QR-код магазина")</f>
        <v>Скачать индивидуальный QR-код магазина</v>
      </c>
    </row>
    <row r="1779" spans="1:7" x14ac:dyDescent="0.25">
      <c r="A1779" t="s">
        <v>5271</v>
      </c>
      <c r="B1779" t="s">
        <v>5445</v>
      </c>
      <c r="C1779" t="s">
        <v>5441</v>
      </c>
      <c r="D1779" t="s">
        <v>5442</v>
      </c>
      <c r="E1779" t="s">
        <v>5443</v>
      </c>
      <c r="F1779" t="s">
        <v>5446</v>
      </c>
      <c r="G1779" s="2" t="str">
        <f>HYPERLINK("https://probpalata.gov.ru/files/ИП930403531800002.jpeg","Скачать индивидуальный QR-код магазина")</f>
        <v>Скачать индивидуальный QR-код магазина</v>
      </c>
    </row>
    <row r="1780" spans="1:7" x14ac:dyDescent="0.25">
      <c r="A1780" t="s">
        <v>5271</v>
      </c>
      <c r="B1780" t="s">
        <v>5447</v>
      </c>
      <c r="C1780" t="s">
        <v>5448</v>
      </c>
      <c r="D1780" t="s">
        <v>5449</v>
      </c>
      <c r="E1780" t="s">
        <v>5450</v>
      </c>
      <c r="F1780" t="s">
        <v>5451</v>
      </c>
      <c r="G1780" s="2" t="str">
        <f>HYPERLINK("https://probpalata.gov.ru/files/ИП930403530600000.jpeg","Скачать индивидуальный QR-код магазина")</f>
        <v>Скачать индивидуальный QR-код магазина</v>
      </c>
    </row>
    <row r="1781" spans="1:7" x14ac:dyDescent="0.25">
      <c r="A1781" t="s">
        <v>5271</v>
      </c>
      <c r="B1781" t="s">
        <v>5452</v>
      </c>
      <c r="C1781" t="s">
        <v>5453</v>
      </c>
      <c r="D1781" t="s">
        <v>5454</v>
      </c>
      <c r="E1781" t="s">
        <v>5455</v>
      </c>
      <c r="F1781" t="s">
        <v>5456</v>
      </c>
      <c r="G1781" s="2" t="str">
        <f>HYPERLINK("https://probpalata.gov.ru/files/ИП930403525400000.jpeg","Скачать индивидуальный QR-код магазина")</f>
        <v>Скачать индивидуальный QR-код магазина</v>
      </c>
    </row>
    <row r="1782" spans="1:7" x14ac:dyDescent="0.25">
      <c r="A1782" t="s">
        <v>5271</v>
      </c>
      <c r="B1782" t="s">
        <v>5457</v>
      </c>
      <c r="C1782" t="s">
        <v>5458</v>
      </c>
      <c r="D1782" t="s">
        <v>5459</v>
      </c>
      <c r="E1782" t="s">
        <v>5460</v>
      </c>
      <c r="F1782" t="s">
        <v>5461</v>
      </c>
      <c r="G1782" s="2" t="str">
        <f>HYPERLINK("https://probpalata.gov.ru/files/ИП930403531100000.jpeg","Скачать индивидуальный QR-код магазина")</f>
        <v>Скачать индивидуальный QR-код магазина</v>
      </c>
    </row>
    <row r="1783" spans="1:7" x14ac:dyDescent="0.25">
      <c r="A1783" t="s">
        <v>5271</v>
      </c>
      <c r="B1783" t="s">
        <v>5462</v>
      </c>
      <c r="C1783" t="s">
        <v>5463</v>
      </c>
      <c r="D1783" t="s">
        <v>5464</v>
      </c>
      <c r="E1783" t="s">
        <v>5465</v>
      </c>
      <c r="F1783" t="s">
        <v>5466</v>
      </c>
      <c r="G1783" s="2" t="str">
        <f>HYPERLINK("https://probpalata.gov.ru/files/ИП930403634600000.jpeg","Скачать индивидуальный QR-код магазина")</f>
        <v>Скачать индивидуальный QR-код магазина</v>
      </c>
    </row>
    <row r="1784" spans="1:7" x14ac:dyDescent="0.25">
      <c r="A1784" t="s">
        <v>5271</v>
      </c>
      <c r="B1784" t="s">
        <v>5467</v>
      </c>
      <c r="C1784" t="s">
        <v>5468</v>
      </c>
      <c r="D1784" t="s">
        <v>5469</v>
      </c>
      <c r="E1784" t="s">
        <v>5470</v>
      </c>
      <c r="F1784" t="s">
        <v>5471</v>
      </c>
      <c r="G1784" s="2" t="str">
        <f>HYPERLINK("https://probpalata.gov.ru/files/ИП930403577200000.jpeg","Скачать индивидуальный QR-код магазина")</f>
        <v>Скачать индивидуальный QR-код магазина</v>
      </c>
    </row>
    <row r="1785" spans="1:7" x14ac:dyDescent="0.25">
      <c r="A1785" t="s">
        <v>5271</v>
      </c>
      <c r="B1785" t="s">
        <v>5472</v>
      </c>
      <c r="C1785" t="s">
        <v>5473</v>
      </c>
      <c r="D1785" t="s">
        <v>5474</v>
      </c>
      <c r="E1785" t="s">
        <v>5475</v>
      </c>
      <c r="F1785" t="s">
        <v>5476</v>
      </c>
      <c r="G1785" s="2" t="str">
        <f>HYPERLINK("https://probpalata.gov.ru/files/ИП930403852200000.jpeg","Скачать индивидуальный QR-код магазина")</f>
        <v>Скачать индивидуальный QR-код магазина</v>
      </c>
    </row>
    <row r="1786" spans="1:7" x14ac:dyDescent="0.25">
      <c r="A1786" t="s">
        <v>5271</v>
      </c>
      <c r="B1786" t="s">
        <v>5477</v>
      </c>
      <c r="C1786" t="s">
        <v>5473</v>
      </c>
      <c r="D1786" t="s">
        <v>5474</v>
      </c>
      <c r="E1786" t="s">
        <v>5475</v>
      </c>
      <c r="F1786" t="s">
        <v>5478</v>
      </c>
      <c r="G1786" s="2" t="str">
        <f>HYPERLINK("https://probpalata.gov.ru/files/ИП930403852200001.jpeg","Скачать индивидуальный QR-код магазина")</f>
        <v>Скачать индивидуальный QR-код магазина</v>
      </c>
    </row>
    <row r="1787" spans="1:7" x14ac:dyDescent="0.25">
      <c r="A1787" t="s">
        <v>5271</v>
      </c>
      <c r="B1787" t="s">
        <v>5479</v>
      </c>
      <c r="C1787" t="s">
        <v>5473</v>
      </c>
      <c r="D1787" t="s">
        <v>5474</v>
      </c>
      <c r="E1787" t="s">
        <v>5475</v>
      </c>
      <c r="F1787" t="s">
        <v>5480</v>
      </c>
      <c r="G1787" s="2" t="str">
        <f>HYPERLINK("https://probpalata.gov.ru/files/ИП930403852200002.jpeg","Скачать индивидуальный QR-код магазина")</f>
        <v>Скачать индивидуальный QR-код магазина</v>
      </c>
    </row>
    <row r="1788" spans="1:7" x14ac:dyDescent="0.25">
      <c r="A1788" t="s">
        <v>5271</v>
      </c>
      <c r="B1788" t="s">
        <v>5481</v>
      </c>
      <c r="C1788" t="s">
        <v>5473</v>
      </c>
      <c r="D1788" t="s">
        <v>5474</v>
      </c>
      <c r="E1788" t="s">
        <v>5475</v>
      </c>
      <c r="F1788" t="s">
        <v>5482</v>
      </c>
      <c r="G1788" s="2" t="str">
        <f>HYPERLINK("https://probpalata.gov.ru/files/ИП930403852200003.jpeg","Скачать индивидуальный QR-код магазина")</f>
        <v>Скачать индивидуальный QR-код магазина</v>
      </c>
    </row>
    <row r="1789" spans="1:7" x14ac:dyDescent="0.25">
      <c r="A1789" t="s">
        <v>5271</v>
      </c>
      <c r="B1789" t="s">
        <v>5483</v>
      </c>
      <c r="C1789" t="s">
        <v>5484</v>
      </c>
      <c r="D1789" t="s">
        <v>5485</v>
      </c>
      <c r="E1789" t="s">
        <v>5486</v>
      </c>
      <c r="F1789" t="s">
        <v>5487</v>
      </c>
      <c r="G1789" s="2" t="str">
        <f>HYPERLINK("https://probpalata.gov.ru/files/ИП930404033000000.jpeg","Скачать индивидуальный QR-код магазина")</f>
        <v>Скачать индивидуальный QR-код магазина</v>
      </c>
    </row>
    <row r="1790" spans="1:7" x14ac:dyDescent="0.25">
      <c r="A1790" t="s">
        <v>5271</v>
      </c>
      <c r="B1790" t="s">
        <v>5488</v>
      </c>
      <c r="C1790" t="s">
        <v>5489</v>
      </c>
      <c r="D1790" t="s">
        <v>5490</v>
      </c>
      <c r="E1790" t="s">
        <v>5491</v>
      </c>
      <c r="F1790" t="s">
        <v>5492</v>
      </c>
      <c r="G1790" s="2" t="str">
        <f>HYPERLINK("https://probpalata.gov.ru/files/ИП930403858000000.jpeg","Скачать индивидуальный QR-код магазина")</f>
        <v>Скачать индивидуальный QR-код магазина</v>
      </c>
    </row>
    <row r="1791" spans="1:7" x14ac:dyDescent="0.25">
      <c r="A1791" t="s">
        <v>5271</v>
      </c>
      <c r="B1791" t="s">
        <v>5493</v>
      </c>
      <c r="C1791" t="s">
        <v>5494</v>
      </c>
      <c r="D1791" t="s">
        <v>5495</v>
      </c>
      <c r="E1791" t="s">
        <v>5496</v>
      </c>
      <c r="F1791" t="s">
        <v>5497</v>
      </c>
      <c r="G1791" s="2" t="str">
        <f>HYPERLINK("https://probpalata.gov.ru/files/ИП930403979500000.jpeg","Скачать индивидуальный QR-код магазина")</f>
        <v>Скачать индивидуальный QR-код магазина</v>
      </c>
    </row>
    <row r="1792" spans="1:7" x14ac:dyDescent="0.25">
      <c r="A1792" t="s">
        <v>5271</v>
      </c>
      <c r="B1792" t="s">
        <v>5498</v>
      </c>
      <c r="C1792" t="s">
        <v>5499</v>
      </c>
      <c r="D1792" t="s">
        <v>5500</v>
      </c>
      <c r="E1792" t="s">
        <v>5501</v>
      </c>
      <c r="F1792" t="s">
        <v>5502</v>
      </c>
      <c r="G1792" s="2" t="str">
        <f>HYPERLINK("https://probpalata.gov.ru/files/ИП930403537600000.jpeg","Скачать индивидуальный QR-код магазина")</f>
        <v>Скачать индивидуальный QR-код магазина</v>
      </c>
    </row>
    <row r="1793" spans="1:7" x14ac:dyDescent="0.25">
      <c r="A1793" t="s">
        <v>5271</v>
      </c>
      <c r="B1793" t="s">
        <v>5503</v>
      </c>
      <c r="C1793" t="s">
        <v>5504</v>
      </c>
      <c r="D1793" t="s">
        <v>5505</v>
      </c>
      <c r="E1793" t="s">
        <v>5506</v>
      </c>
      <c r="F1793" t="s">
        <v>5507</v>
      </c>
      <c r="G1793" s="2" t="str">
        <f>HYPERLINK("https://probpalata.gov.ru/files/ИП930403762400000.jpeg","Скачать индивидуальный QR-код магазина")</f>
        <v>Скачать индивидуальный QR-код магазина</v>
      </c>
    </row>
    <row r="1794" spans="1:7" x14ac:dyDescent="0.25">
      <c r="A1794" t="s">
        <v>5271</v>
      </c>
      <c r="B1794" t="s">
        <v>5508</v>
      </c>
      <c r="C1794" t="s">
        <v>5504</v>
      </c>
      <c r="D1794" t="s">
        <v>5505</v>
      </c>
      <c r="E1794" t="s">
        <v>5506</v>
      </c>
      <c r="F1794" t="s">
        <v>5509</v>
      </c>
      <c r="G1794" s="2" t="str">
        <f>HYPERLINK("https://probpalata.gov.ru/files/ИП930403762400002.jpeg","Скачать индивидуальный QR-код магазина")</f>
        <v>Скачать индивидуальный QR-код магазина</v>
      </c>
    </row>
    <row r="1795" spans="1:7" x14ac:dyDescent="0.25">
      <c r="A1795" t="s">
        <v>5271</v>
      </c>
      <c r="B1795" t="s">
        <v>5510</v>
      </c>
      <c r="C1795" t="s">
        <v>5504</v>
      </c>
      <c r="D1795" t="s">
        <v>5505</v>
      </c>
      <c r="E1795" t="s">
        <v>5506</v>
      </c>
      <c r="F1795" t="s">
        <v>5511</v>
      </c>
      <c r="G1795" s="2" t="str">
        <f>HYPERLINK("https://probpalata.gov.ru/files/ИП930403762400005.jpeg","Скачать индивидуальный QR-код магазина")</f>
        <v>Скачать индивидуальный QR-код магазина</v>
      </c>
    </row>
    <row r="1796" spans="1:7" x14ac:dyDescent="0.25">
      <c r="A1796" t="s">
        <v>5271</v>
      </c>
      <c r="B1796" t="s">
        <v>5512</v>
      </c>
      <c r="C1796" t="s">
        <v>5504</v>
      </c>
      <c r="D1796" t="s">
        <v>5505</v>
      </c>
      <c r="E1796" t="s">
        <v>5506</v>
      </c>
      <c r="F1796" t="s">
        <v>5513</v>
      </c>
      <c r="G1796" s="2" t="str">
        <f>HYPERLINK("https://probpalata.gov.ru/files/ИП930403762400008.jpeg","Скачать индивидуальный QR-код магазина")</f>
        <v>Скачать индивидуальный QR-код магазина</v>
      </c>
    </row>
    <row r="1797" spans="1:7" x14ac:dyDescent="0.25">
      <c r="A1797" t="s">
        <v>5271</v>
      </c>
      <c r="B1797" t="s">
        <v>5309</v>
      </c>
      <c r="C1797" t="s">
        <v>5514</v>
      </c>
      <c r="D1797" t="s">
        <v>5515</v>
      </c>
      <c r="E1797" t="s">
        <v>5516</v>
      </c>
      <c r="F1797" t="s">
        <v>5517</v>
      </c>
      <c r="G1797" s="2" t="str">
        <f>HYPERLINK("https://probpalata.gov.ru/files/ИП930403679700000.jpeg","Скачать индивидуальный QR-код магазина")</f>
        <v>Скачать индивидуальный QR-код магазина</v>
      </c>
    </row>
    <row r="1798" spans="1:7" x14ac:dyDescent="0.25">
      <c r="A1798" t="s">
        <v>5271</v>
      </c>
      <c r="B1798" t="s">
        <v>5518</v>
      </c>
      <c r="C1798" t="s">
        <v>5519</v>
      </c>
      <c r="D1798" t="s">
        <v>5520</v>
      </c>
      <c r="E1798" t="s">
        <v>5521</v>
      </c>
      <c r="F1798" t="s">
        <v>5522</v>
      </c>
      <c r="G1798" s="2" t="str">
        <f>HYPERLINK("https://probpalata.gov.ru/files/ИП930403744000000.jpeg","Скачать индивидуальный QR-код магазина")</f>
        <v>Скачать индивидуальный QR-код магазина</v>
      </c>
    </row>
    <row r="1799" spans="1:7" x14ac:dyDescent="0.25">
      <c r="A1799" t="s">
        <v>5271</v>
      </c>
      <c r="B1799" t="s">
        <v>5523</v>
      </c>
      <c r="C1799" t="s">
        <v>5524</v>
      </c>
      <c r="D1799" t="s">
        <v>5525</v>
      </c>
      <c r="E1799" t="s">
        <v>5526</v>
      </c>
      <c r="F1799" t="s">
        <v>5527</v>
      </c>
      <c r="G1799" s="2" t="str">
        <f>HYPERLINK("https://probpalata.gov.ru/files/ИП930403530300000.jpeg","Скачать индивидуальный QR-код магазина")</f>
        <v>Скачать индивидуальный QR-код магазина</v>
      </c>
    </row>
    <row r="1800" spans="1:7" x14ac:dyDescent="0.25">
      <c r="A1800" t="s">
        <v>5271</v>
      </c>
      <c r="B1800" t="s">
        <v>5528</v>
      </c>
      <c r="C1800" t="s">
        <v>5524</v>
      </c>
      <c r="D1800" t="s">
        <v>5525</v>
      </c>
      <c r="E1800" t="s">
        <v>5526</v>
      </c>
      <c r="F1800" t="s">
        <v>5529</v>
      </c>
      <c r="G1800" s="2" t="str">
        <f>HYPERLINK("https://probpalata.gov.ru/files/ИП930403530300002.jpeg","Скачать индивидуальный QR-код магазина")</f>
        <v>Скачать индивидуальный QR-код магазина</v>
      </c>
    </row>
    <row r="1801" spans="1:7" x14ac:dyDescent="0.25">
      <c r="A1801" t="s">
        <v>5271</v>
      </c>
      <c r="B1801" t="s">
        <v>5530</v>
      </c>
      <c r="C1801" t="s">
        <v>5524</v>
      </c>
      <c r="D1801" t="s">
        <v>5525</v>
      </c>
      <c r="E1801" t="s">
        <v>5526</v>
      </c>
      <c r="F1801" t="s">
        <v>5531</v>
      </c>
      <c r="G1801" s="2" t="str">
        <f>HYPERLINK("https://probpalata.gov.ru/files/ИП930403530300003.jpeg","Скачать индивидуальный QR-код магазина")</f>
        <v>Скачать индивидуальный QR-код магазина</v>
      </c>
    </row>
    <row r="1802" spans="1:7" x14ac:dyDescent="0.25">
      <c r="A1802" t="s">
        <v>5271</v>
      </c>
      <c r="B1802" t="s">
        <v>5532</v>
      </c>
      <c r="C1802" t="s">
        <v>5524</v>
      </c>
      <c r="D1802" t="s">
        <v>5525</v>
      </c>
      <c r="E1802" t="s">
        <v>5526</v>
      </c>
      <c r="F1802" t="s">
        <v>5533</v>
      </c>
      <c r="G1802" s="2" t="str">
        <f>HYPERLINK("https://probpalata.gov.ru/files/ИП930403530300004.jpeg","Скачать индивидуальный QR-код магазина")</f>
        <v>Скачать индивидуальный QR-код магазина</v>
      </c>
    </row>
    <row r="1803" spans="1:7" x14ac:dyDescent="0.25">
      <c r="A1803" t="s">
        <v>5271</v>
      </c>
      <c r="B1803" t="s">
        <v>5534</v>
      </c>
      <c r="C1803" t="s">
        <v>5535</v>
      </c>
      <c r="D1803" t="s">
        <v>5536</v>
      </c>
      <c r="E1803" t="s">
        <v>5537</v>
      </c>
      <c r="F1803" t="s">
        <v>5538</v>
      </c>
      <c r="G1803" s="2" t="str">
        <f>HYPERLINK("https://probpalata.gov.ru/files/ИП930403792600000.jpeg","Скачать индивидуальный QR-код магазина")</f>
        <v>Скачать индивидуальный QR-код магазина</v>
      </c>
    </row>
    <row r="1804" spans="1:7" x14ac:dyDescent="0.25">
      <c r="A1804" t="s">
        <v>5271</v>
      </c>
      <c r="B1804" t="s">
        <v>5539</v>
      </c>
      <c r="C1804" t="s">
        <v>5535</v>
      </c>
      <c r="D1804" t="s">
        <v>5536</v>
      </c>
      <c r="E1804" t="s">
        <v>5537</v>
      </c>
      <c r="F1804" t="s">
        <v>5540</v>
      </c>
      <c r="G1804" s="2" t="str">
        <f>HYPERLINK("https://probpalata.gov.ru/files/ИП930403792600001.jpeg","Скачать индивидуальный QR-код магазина")</f>
        <v>Скачать индивидуальный QR-код магазина</v>
      </c>
    </row>
    <row r="1805" spans="1:7" x14ac:dyDescent="0.25">
      <c r="A1805" t="s">
        <v>5271</v>
      </c>
      <c r="B1805" t="s">
        <v>5541</v>
      </c>
      <c r="C1805" t="s">
        <v>5542</v>
      </c>
      <c r="D1805" t="s">
        <v>5543</v>
      </c>
      <c r="E1805" t="s">
        <v>5544</v>
      </c>
      <c r="F1805" t="s">
        <v>5545</v>
      </c>
      <c r="G1805" s="2" t="str">
        <f>HYPERLINK("https://probpalata.gov.ru/files/ИП930403531000000.jpeg","Скачать индивидуальный QR-код магазина")</f>
        <v>Скачать индивидуальный QR-код магазина</v>
      </c>
    </row>
    <row r="1806" spans="1:7" x14ac:dyDescent="0.25">
      <c r="A1806" t="s">
        <v>5271</v>
      </c>
      <c r="B1806" t="s">
        <v>5546</v>
      </c>
      <c r="C1806" t="s">
        <v>5547</v>
      </c>
      <c r="D1806" t="s">
        <v>5548</v>
      </c>
      <c r="E1806" t="s">
        <v>5549</v>
      </c>
      <c r="F1806" t="s">
        <v>5550</v>
      </c>
      <c r="G1806" s="2" t="str">
        <f>HYPERLINK("https://probpalata.gov.ru/files/ИП930403532000000.jpeg","Скачать индивидуальный QR-код магазина")</f>
        <v>Скачать индивидуальный QR-код магазина</v>
      </c>
    </row>
    <row r="1807" spans="1:7" x14ac:dyDescent="0.25">
      <c r="A1807" t="s">
        <v>5271</v>
      </c>
      <c r="B1807" t="s">
        <v>5551</v>
      </c>
      <c r="C1807" t="s">
        <v>5552</v>
      </c>
      <c r="D1807" t="s">
        <v>5553</v>
      </c>
      <c r="E1807" t="s">
        <v>5554</v>
      </c>
      <c r="F1807" t="s">
        <v>5555</v>
      </c>
      <c r="G1807" s="2" t="str">
        <f>HYPERLINK("https://probpalata.gov.ru/files/ИП930403701300000.jpeg","Скачать индивидуальный QR-код магазина")</f>
        <v>Скачать индивидуальный QR-код магазина</v>
      </c>
    </row>
    <row r="1808" spans="1:7" x14ac:dyDescent="0.25">
      <c r="A1808" t="s">
        <v>5271</v>
      </c>
      <c r="B1808" t="s">
        <v>5556</v>
      </c>
      <c r="C1808" t="s">
        <v>5557</v>
      </c>
      <c r="D1808" t="s">
        <v>5558</v>
      </c>
      <c r="E1808" t="s">
        <v>5559</v>
      </c>
      <c r="F1808" t="s">
        <v>5560</v>
      </c>
      <c r="G1808" s="2" t="str">
        <f>HYPERLINK("https://probpalata.gov.ru/files/ИП930403612200000.jpeg","Скачать индивидуальный QR-код магазина")</f>
        <v>Скачать индивидуальный QR-код магазина</v>
      </c>
    </row>
    <row r="1809" spans="1:7" x14ac:dyDescent="0.25">
      <c r="A1809" t="s">
        <v>5271</v>
      </c>
      <c r="B1809" t="s">
        <v>5561</v>
      </c>
      <c r="C1809" t="s">
        <v>5562</v>
      </c>
      <c r="D1809" t="s">
        <v>5563</v>
      </c>
      <c r="E1809" t="s">
        <v>5564</v>
      </c>
      <c r="F1809" t="s">
        <v>5565</v>
      </c>
      <c r="G1809" s="2" t="str">
        <f>HYPERLINK("https://probpalata.gov.ru/files/ИП930403708600000.jpeg","Скачать индивидуальный QR-код магазина")</f>
        <v>Скачать индивидуальный QR-код магазина</v>
      </c>
    </row>
    <row r="1810" spans="1:7" x14ac:dyDescent="0.25">
      <c r="A1810" t="s">
        <v>5271</v>
      </c>
      <c r="B1810" t="s">
        <v>5566</v>
      </c>
      <c r="C1810" t="s">
        <v>5562</v>
      </c>
      <c r="D1810" t="s">
        <v>5563</v>
      </c>
      <c r="E1810" t="s">
        <v>5564</v>
      </c>
      <c r="F1810" t="s">
        <v>5567</v>
      </c>
      <c r="G1810" s="2" t="str">
        <f>HYPERLINK("https://probpalata.gov.ru/files/ИП930403708600002.jpeg","Скачать индивидуальный QR-код магазина")</f>
        <v>Скачать индивидуальный QR-код магазина</v>
      </c>
    </row>
    <row r="1811" spans="1:7" x14ac:dyDescent="0.25">
      <c r="A1811" t="s">
        <v>5271</v>
      </c>
      <c r="B1811" t="s">
        <v>5568</v>
      </c>
      <c r="C1811" t="s">
        <v>5562</v>
      </c>
      <c r="D1811" t="s">
        <v>5563</v>
      </c>
      <c r="E1811" t="s">
        <v>5564</v>
      </c>
      <c r="F1811" t="s">
        <v>5569</v>
      </c>
      <c r="G1811" s="2" t="str">
        <f>HYPERLINK("https://probpalata.gov.ru/files/ИП930403708600003.jpeg","Скачать индивидуальный QR-код магазина")</f>
        <v>Скачать индивидуальный QR-код магазина</v>
      </c>
    </row>
    <row r="1812" spans="1:7" x14ac:dyDescent="0.25">
      <c r="A1812" t="s">
        <v>5271</v>
      </c>
      <c r="B1812" t="s">
        <v>5570</v>
      </c>
      <c r="C1812" t="s">
        <v>5562</v>
      </c>
      <c r="D1812" t="s">
        <v>5563</v>
      </c>
      <c r="E1812" t="s">
        <v>5564</v>
      </c>
      <c r="F1812" t="s">
        <v>5571</v>
      </c>
      <c r="G1812" s="2" t="str">
        <f>HYPERLINK("https://probpalata.gov.ru/files/ИП930403708600004.jpeg","Скачать индивидуальный QR-код магазина")</f>
        <v>Скачать индивидуальный QR-код магазина</v>
      </c>
    </row>
    <row r="1813" spans="1:7" x14ac:dyDescent="0.25">
      <c r="A1813" t="s">
        <v>5271</v>
      </c>
      <c r="B1813" t="s">
        <v>5572</v>
      </c>
      <c r="C1813" t="s">
        <v>5573</v>
      </c>
      <c r="D1813" t="s">
        <v>5574</v>
      </c>
      <c r="E1813" t="s">
        <v>5575</v>
      </c>
      <c r="F1813" t="s">
        <v>5576</v>
      </c>
      <c r="G1813" s="2" t="str">
        <f>HYPERLINK("https://probpalata.gov.ru/files/ИП930403806900000.jpeg","Скачать индивидуальный QR-код магазина")</f>
        <v>Скачать индивидуальный QR-код магазина</v>
      </c>
    </row>
    <row r="1814" spans="1:7" x14ac:dyDescent="0.25">
      <c r="A1814" t="s">
        <v>5271</v>
      </c>
      <c r="B1814" t="s">
        <v>5577</v>
      </c>
      <c r="C1814" t="s">
        <v>5573</v>
      </c>
      <c r="D1814" t="s">
        <v>5574</v>
      </c>
      <c r="E1814" t="s">
        <v>5575</v>
      </c>
      <c r="F1814" t="s">
        <v>5578</v>
      </c>
      <c r="G1814" s="2" t="str">
        <f>HYPERLINK("https://probpalata.gov.ru/files/ИП930403806900001.jpeg","Скачать индивидуальный QR-код магазина")</f>
        <v>Скачать индивидуальный QR-код магазина</v>
      </c>
    </row>
    <row r="1815" spans="1:7" x14ac:dyDescent="0.25">
      <c r="A1815" t="s">
        <v>5271</v>
      </c>
      <c r="B1815" t="s">
        <v>5579</v>
      </c>
      <c r="C1815" t="s">
        <v>5580</v>
      </c>
      <c r="D1815" t="s">
        <v>5581</v>
      </c>
      <c r="E1815" t="s">
        <v>5582</v>
      </c>
      <c r="F1815" t="s">
        <v>5583</v>
      </c>
      <c r="G1815" s="2" t="str">
        <f>HYPERLINK("https://probpalata.gov.ru/files/ИП930403721800000.jpeg","Скачать индивидуальный QR-код магазина")</f>
        <v>Скачать индивидуальный QR-код магазина</v>
      </c>
    </row>
    <row r="1816" spans="1:7" x14ac:dyDescent="0.25">
      <c r="A1816" t="s">
        <v>5271</v>
      </c>
      <c r="B1816" t="s">
        <v>5584</v>
      </c>
      <c r="C1816" t="s">
        <v>5580</v>
      </c>
      <c r="D1816" t="s">
        <v>5581</v>
      </c>
      <c r="E1816" t="s">
        <v>5582</v>
      </c>
      <c r="F1816" t="s">
        <v>5585</v>
      </c>
      <c r="G1816" s="2" t="str">
        <f>HYPERLINK("https://probpalata.gov.ru/files/ИП930403721800001.jpeg","Скачать индивидуальный QR-код магазина")</f>
        <v>Скачать индивидуальный QR-код магазина</v>
      </c>
    </row>
    <row r="1817" spans="1:7" x14ac:dyDescent="0.25">
      <c r="A1817" t="s">
        <v>5271</v>
      </c>
      <c r="B1817" t="s">
        <v>5586</v>
      </c>
      <c r="C1817" t="s">
        <v>5587</v>
      </c>
      <c r="D1817" t="s">
        <v>5588</v>
      </c>
      <c r="E1817" t="s">
        <v>5589</v>
      </c>
      <c r="F1817" t="s">
        <v>5590</v>
      </c>
      <c r="G1817" s="2" t="str">
        <f>HYPERLINK("https://probpalata.gov.ru/files/ИП930403733000000.jpeg","Скачать индивидуальный QR-код магазина")</f>
        <v>Скачать индивидуальный QR-код магазина</v>
      </c>
    </row>
    <row r="1818" spans="1:7" x14ac:dyDescent="0.25">
      <c r="A1818" t="s">
        <v>5271</v>
      </c>
      <c r="B1818" t="s">
        <v>5591</v>
      </c>
      <c r="C1818" t="s">
        <v>5592</v>
      </c>
      <c r="D1818" t="s">
        <v>5593</v>
      </c>
      <c r="E1818" t="s">
        <v>5594</v>
      </c>
      <c r="F1818" t="s">
        <v>5595</v>
      </c>
      <c r="G1818" s="2" t="str">
        <f>HYPERLINK("https://probpalata.gov.ru/files/ИП930403532400000.jpeg","Скачать индивидуальный QR-код магазина")</f>
        <v>Скачать индивидуальный QR-код магазина</v>
      </c>
    </row>
    <row r="1819" spans="1:7" x14ac:dyDescent="0.25">
      <c r="A1819" t="s">
        <v>5271</v>
      </c>
      <c r="B1819" t="s">
        <v>5596</v>
      </c>
      <c r="C1819" t="s">
        <v>5597</v>
      </c>
      <c r="D1819" t="s">
        <v>5598</v>
      </c>
      <c r="E1819" t="s">
        <v>5599</v>
      </c>
      <c r="F1819" t="s">
        <v>5600</v>
      </c>
      <c r="G1819" s="2" t="str">
        <f>HYPERLINK("https://probpalata.gov.ru/files/П1000403487600000.jpeg","Скачать индивидуальный QR-код магазина")</f>
        <v>Скачать индивидуальный QR-код магазина</v>
      </c>
    </row>
    <row r="1820" spans="1:7" x14ac:dyDescent="0.25">
      <c r="A1820" t="s">
        <v>5271</v>
      </c>
      <c r="B1820" t="s">
        <v>5601</v>
      </c>
      <c r="C1820" t="s">
        <v>5602</v>
      </c>
      <c r="D1820" t="s">
        <v>5603</v>
      </c>
      <c r="E1820" t="s">
        <v>5604</v>
      </c>
      <c r="F1820" t="s">
        <v>5605</v>
      </c>
      <c r="G1820" s="2" t="str">
        <f>HYPERLINK("https://probpalata.gov.ru/files/ИП930403556000000.jpeg","Скачать индивидуальный QR-код магазина")</f>
        <v>Скачать индивидуальный QR-код магазина</v>
      </c>
    </row>
    <row r="1821" spans="1:7" x14ac:dyDescent="0.25">
      <c r="A1821" t="s">
        <v>5271</v>
      </c>
      <c r="B1821" t="s">
        <v>5606</v>
      </c>
      <c r="C1821" t="s">
        <v>5602</v>
      </c>
      <c r="D1821" t="s">
        <v>5603</v>
      </c>
      <c r="E1821" t="s">
        <v>5604</v>
      </c>
      <c r="F1821" t="s">
        <v>5607</v>
      </c>
      <c r="G1821" s="2" t="str">
        <f>HYPERLINK("https://probpalata.gov.ru/files/ИП930403556000001.jpeg","Скачать индивидуальный QR-код магазина")</f>
        <v>Скачать индивидуальный QR-код магазина</v>
      </c>
    </row>
    <row r="1822" spans="1:7" x14ac:dyDescent="0.25">
      <c r="A1822" t="s">
        <v>5271</v>
      </c>
      <c r="B1822" t="s">
        <v>5419</v>
      </c>
      <c r="C1822" t="s">
        <v>5608</v>
      </c>
      <c r="D1822" t="s">
        <v>5609</v>
      </c>
      <c r="E1822" t="s">
        <v>5610</v>
      </c>
      <c r="F1822" t="s">
        <v>5611</v>
      </c>
      <c r="G1822" s="2" t="str">
        <f>HYPERLINK("https://probpalata.gov.ru/files/П1000403448400000.jpeg","Скачать индивидуальный QR-код магазина")</f>
        <v>Скачать индивидуальный QR-код магазина</v>
      </c>
    </row>
    <row r="1823" spans="1:7" x14ac:dyDescent="0.25">
      <c r="A1823" t="s">
        <v>5271</v>
      </c>
      <c r="B1823" t="s">
        <v>5612</v>
      </c>
      <c r="C1823" t="s">
        <v>5613</v>
      </c>
      <c r="D1823" t="s">
        <v>5614</v>
      </c>
      <c r="E1823" t="s">
        <v>5615</v>
      </c>
      <c r="F1823" t="s">
        <v>5616</v>
      </c>
      <c r="G1823" s="2" t="str">
        <f>HYPERLINK("https://probpalata.gov.ru/files/ИП930403832200000.jpeg","Скачать индивидуальный QR-код магазина")</f>
        <v>Скачать индивидуальный QR-код магазина</v>
      </c>
    </row>
    <row r="1824" spans="1:7" x14ac:dyDescent="0.25">
      <c r="A1824" t="s">
        <v>5271</v>
      </c>
      <c r="B1824" t="s">
        <v>5617</v>
      </c>
      <c r="C1824" t="s">
        <v>5618</v>
      </c>
      <c r="D1824" t="s">
        <v>5619</v>
      </c>
      <c r="E1824" t="s">
        <v>5620</v>
      </c>
      <c r="F1824" t="s">
        <v>5621</v>
      </c>
      <c r="G1824" s="2" t="str">
        <f>HYPERLINK("https://probpalata.gov.ru/files/ИП930403615500000.jpeg","Скачать индивидуальный QR-код магазина")</f>
        <v>Скачать индивидуальный QR-код магазина</v>
      </c>
    </row>
    <row r="1825" spans="1:7" x14ac:dyDescent="0.25">
      <c r="A1825" t="s">
        <v>5271</v>
      </c>
      <c r="B1825" t="s">
        <v>5622</v>
      </c>
      <c r="C1825" t="s">
        <v>5623</v>
      </c>
      <c r="D1825" t="s">
        <v>5624</v>
      </c>
      <c r="E1825" t="s">
        <v>5625</v>
      </c>
      <c r="F1825" t="s">
        <v>5626</v>
      </c>
      <c r="G1825" s="2" t="str">
        <f>HYPERLINK("https://probpalata.gov.ru/files/ИП930403844000000.jpeg","Скачать индивидуальный QR-код магазина")</f>
        <v>Скачать индивидуальный QR-код магазина</v>
      </c>
    </row>
    <row r="1826" spans="1:7" x14ac:dyDescent="0.25">
      <c r="A1826" t="s">
        <v>5271</v>
      </c>
      <c r="B1826" t="s">
        <v>5627</v>
      </c>
      <c r="C1826" t="s">
        <v>5628</v>
      </c>
      <c r="D1826" t="s">
        <v>5629</v>
      </c>
      <c r="E1826" t="s">
        <v>5630</v>
      </c>
      <c r="F1826" t="s">
        <v>5631</v>
      </c>
      <c r="G1826" s="2" t="str">
        <f>HYPERLINK("https://probpalata.gov.ru/files/ИП930403530100000.jpeg","Скачать индивидуальный QR-код магазина")</f>
        <v>Скачать индивидуальный QR-код магазина</v>
      </c>
    </row>
    <row r="1827" spans="1:7" x14ac:dyDescent="0.25">
      <c r="A1827" t="s">
        <v>5271</v>
      </c>
      <c r="B1827" t="s">
        <v>5632</v>
      </c>
      <c r="C1827" t="s">
        <v>5628</v>
      </c>
      <c r="D1827" t="s">
        <v>5629</v>
      </c>
      <c r="E1827" t="s">
        <v>5630</v>
      </c>
      <c r="F1827" t="s">
        <v>5633</v>
      </c>
      <c r="G1827" s="2" t="str">
        <f>HYPERLINK("https://probpalata.gov.ru/files/ИП930403530100001.jpeg","Скачать индивидуальный QR-код магазина")</f>
        <v>Скачать индивидуальный QR-код магазина</v>
      </c>
    </row>
    <row r="1828" spans="1:7" x14ac:dyDescent="0.25">
      <c r="A1828" t="s">
        <v>5271</v>
      </c>
      <c r="B1828" t="s">
        <v>5634</v>
      </c>
      <c r="C1828" t="s">
        <v>5628</v>
      </c>
      <c r="D1828" t="s">
        <v>5629</v>
      </c>
      <c r="E1828" t="s">
        <v>5630</v>
      </c>
      <c r="F1828" t="s">
        <v>5635</v>
      </c>
      <c r="G1828" s="2" t="str">
        <f>HYPERLINK("https://probpalata.gov.ru/files/ИП930403530100002.jpeg","Скачать индивидуальный QR-код магазина")</f>
        <v>Скачать индивидуальный QR-код магазина</v>
      </c>
    </row>
    <row r="1829" spans="1:7" x14ac:dyDescent="0.25">
      <c r="A1829" t="s">
        <v>5271</v>
      </c>
      <c r="B1829" t="s">
        <v>5636</v>
      </c>
      <c r="C1829" t="s">
        <v>5637</v>
      </c>
      <c r="D1829" t="s">
        <v>5638</v>
      </c>
      <c r="E1829" t="s">
        <v>5639</v>
      </c>
      <c r="F1829" t="s">
        <v>5640</v>
      </c>
      <c r="G1829" s="2" t="str">
        <f>HYPERLINK("https://probpalata.gov.ru/files/ИП930403666700000.jpeg","Скачать индивидуальный QR-код магазина")</f>
        <v>Скачать индивидуальный QR-код магазина</v>
      </c>
    </row>
    <row r="1830" spans="1:7" x14ac:dyDescent="0.25">
      <c r="A1830" t="s">
        <v>5271</v>
      </c>
      <c r="B1830" t="s">
        <v>5641</v>
      </c>
      <c r="C1830" t="s">
        <v>5637</v>
      </c>
      <c r="D1830" t="s">
        <v>5638</v>
      </c>
      <c r="E1830" t="s">
        <v>5639</v>
      </c>
      <c r="F1830" t="s">
        <v>5642</v>
      </c>
      <c r="G1830" s="2" t="str">
        <f>HYPERLINK("https://probpalata.gov.ru/files/ИП930403666700002.jpeg","Скачать индивидуальный QR-код магазина")</f>
        <v>Скачать индивидуальный QR-код магазина</v>
      </c>
    </row>
    <row r="1831" spans="1:7" x14ac:dyDescent="0.25">
      <c r="A1831" t="s">
        <v>5271</v>
      </c>
      <c r="B1831" t="s">
        <v>5643</v>
      </c>
      <c r="C1831" t="s">
        <v>5637</v>
      </c>
      <c r="D1831" t="s">
        <v>5638</v>
      </c>
      <c r="E1831" t="s">
        <v>5639</v>
      </c>
      <c r="F1831" t="s">
        <v>5644</v>
      </c>
      <c r="G1831" s="2" t="str">
        <f>HYPERLINK("https://probpalata.gov.ru/files/ИП930403666700003.jpeg","Скачать индивидуальный QR-код магазина")</f>
        <v>Скачать индивидуальный QR-код магазина</v>
      </c>
    </row>
    <row r="1832" spans="1:7" x14ac:dyDescent="0.25">
      <c r="A1832" t="s">
        <v>5271</v>
      </c>
      <c r="B1832" t="s">
        <v>5645</v>
      </c>
      <c r="C1832" t="s">
        <v>5646</v>
      </c>
      <c r="D1832" t="s">
        <v>5647</v>
      </c>
      <c r="E1832" t="s">
        <v>5648</v>
      </c>
      <c r="F1832" t="s">
        <v>5649</v>
      </c>
      <c r="G1832" s="2" t="str">
        <f>HYPERLINK("https://probpalata.gov.ru/files/ИП930403631900000.jpeg","Скачать индивидуальный QR-код магазина")</f>
        <v>Скачать индивидуальный QR-код магазина</v>
      </c>
    </row>
    <row r="1833" spans="1:7" x14ac:dyDescent="0.25">
      <c r="A1833" t="s">
        <v>5271</v>
      </c>
      <c r="B1833" t="s">
        <v>5650</v>
      </c>
      <c r="C1833" t="s">
        <v>5646</v>
      </c>
      <c r="D1833" t="s">
        <v>5647</v>
      </c>
      <c r="E1833" t="s">
        <v>5648</v>
      </c>
      <c r="F1833" t="s">
        <v>5651</v>
      </c>
      <c r="G1833" s="2" t="str">
        <f>HYPERLINK("https://probpalata.gov.ru/files/ИП930403631900001.jpeg","Скачать индивидуальный QR-код магазина")</f>
        <v>Скачать индивидуальный QR-код магазина</v>
      </c>
    </row>
    <row r="1834" spans="1:7" x14ac:dyDescent="0.25">
      <c r="A1834" t="s">
        <v>5271</v>
      </c>
      <c r="B1834" t="s">
        <v>5652</v>
      </c>
      <c r="C1834" t="s">
        <v>5646</v>
      </c>
      <c r="D1834" t="s">
        <v>5647</v>
      </c>
      <c r="E1834" t="s">
        <v>5648</v>
      </c>
      <c r="F1834" t="s">
        <v>5653</v>
      </c>
      <c r="G1834" s="2" t="str">
        <f>HYPERLINK("https://probpalata.gov.ru/files/ИП930403631900002.jpeg","Скачать индивидуальный QR-код магазина")</f>
        <v>Скачать индивидуальный QR-код магазина</v>
      </c>
    </row>
    <row r="1835" spans="1:7" x14ac:dyDescent="0.25">
      <c r="A1835" t="s">
        <v>5271</v>
      </c>
      <c r="B1835" t="s">
        <v>5654</v>
      </c>
      <c r="C1835" t="s">
        <v>5655</v>
      </c>
      <c r="D1835" t="s">
        <v>5656</v>
      </c>
      <c r="E1835" t="s">
        <v>5657</v>
      </c>
      <c r="F1835" t="s">
        <v>5658</v>
      </c>
      <c r="G1835" s="2" t="str">
        <f>HYPERLINK("https://probpalata.gov.ru/files/ИП930403525300000.jpeg","Скачать индивидуальный QR-код магазина")</f>
        <v>Скачать индивидуальный QR-код магазина</v>
      </c>
    </row>
    <row r="1836" spans="1:7" x14ac:dyDescent="0.25">
      <c r="A1836" t="s">
        <v>5271</v>
      </c>
      <c r="B1836" t="s">
        <v>5307</v>
      </c>
      <c r="C1836" t="s">
        <v>5655</v>
      </c>
      <c r="D1836" t="s">
        <v>5656</v>
      </c>
      <c r="E1836" t="s">
        <v>5657</v>
      </c>
      <c r="F1836" t="s">
        <v>5659</v>
      </c>
      <c r="G1836" s="2" t="str">
        <f>HYPERLINK("https://probpalata.gov.ru/files/ИП930403525300002.jpeg","Скачать индивидуальный QR-код магазина")</f>
        <v>Скачать индивидуальный QR-код магазина</v>
      </c>
    </row>
    <row r="1837" spans="1:7" x14ac:dyDescent="0.25">
      <c r="A1837" t="s">
        <v>5271</v>
      </c>
      <c r="B1837" t="s">
        <v>5660</v>
      </c>
      <c r="C1837" t="s">
        <v>5655</v>
      </c>
      <c r="D1837" t="s">
        <v>5656</v>
      </c>
      <c r="E1837" t="s">
        <v>5657</v>
      </c>
      <c r="F1837" t="s">
        <v>5661</v>
      </c>
      <c r="G1837" s="2" t="str">
        <f>HYPERLINK("https://probpalata.gov.ru/files/ИП930403525300003.jpeg","Скачать индивидуальный QR-код магазина")</f>
        <v>Скачать индивидуальный QR-код магазина</v>
      </c>
    </row>
    <row r="1838" spans="1:7" x14ac:dyDescent="0.25">
      <c r="A1838" t="s">
        <v>5271</v>
      </c>
      <c r="B1838" t="s">
        <v>5662</v>
      </c>
      <c r="C1838" t="s">
        <v>5655</v>
      </c>
      <c r="D1838" t="s">
        <v>5656</v>
      </c>
      <c r="E1838" t="s">
        <v>5657</v>
      </c>
      <c r="F1838" t="s">
        <v>5663</v>
      </c>
      <c r="G1838" s="2" t="str">
        <f>HYPERLINK("https://probpalata.gov.ru/files/ИП930403525300004.jpeg","Скачать индивидуальный QR-код магазина")</f>
        <v>Скачать индивидуальный QR-код магазина</v>
      </c>
    </row>
    <row r="1839" spans="1:7" x14ac:dyDescent="0.25">
      <c r="A1839" t="s">
        <v>5271</v>
      </c>
      <c r="B1839" t="s">
        <v>5664</v>
      </c>
      <c r="C1839" t="s">
        <v>5655</v>
      </c>
      <c r="D1839" t="s">
        <v>5656</v>
      </c>
      <c r="E1839" t="s">
        <v>5657</v>
      </c>
      <c r="F1839" t="s">
        <v>5665</v>
      </c>
      <c r="G1839" s="2" t="str">
        <f>HYPERLINK("https://probpalata.gov.ru/files/ИП930403525300005.jpeg","Скачать индивидуальный QR-код магазина")</f>
        <v>Скачать индивидуальный QR-код магазина</v>
      </c>
    </row>
    <row r="1840" spans="1:7" x14ac:dyDescent="0.25">
      <c r="A1840" t="s">
        <v>5271</v>
      </c>
      <c r="B1840" t="s">
        <v>5666</v>
      </c>
      <c r="C1840" t="s">
        <v>5667</v>
      </c>
      <c r="D1840" t="s">
        <v>5668</v>
      </c>
      <c r="E1840" t="s">
        <v>5669</v>
      </c>
      <c r="F1840" t="s">
        <v>5670</v>
      </c>
      <c r="G1840" s="2" t="str">
        <f>HYPERLINK("https://probpalata.gov.ru/files/ИП610403512300000.jpeg","Скачать индивидуальный QR-код магазина")</f>
        <v>Скачать индивидуальный QR-код магазина</v>
      </c>
    </row>
    <row r="1841" spans="1:7" x14ac:dyDescent="0.25">
      <c r="A1841" t="s">
        <v>5271</v>
      </c>
      <c r="B1841" t="s">
        <v>5671</v>
      </c>
      <c r="C1841" t="s">
        <v>5667</v>
      </c>
      <c r="D1841" t="s">
        <v>5668</v>
      </c>
      <c r="E1841" t="s">
        <v>5669</v>
      </c>
      <c r="F1841" t="s">
        <v>5672</v>
      </c>
      <c r="G1841" s="2" t="str">
        <f>HYPERLINK("https://probpalata.gov.ru/files/ИП610403512300001.jpeg","Скачать индивидуальный QR-код магазина")</f>
        <v>Скачать индивидуальный QR-код магазина</v>
      </c>
    </row>
    <row r="1842" spans="1:7" x14ac:dyDescent="0.25">
      <c r="A1842" t="s">
        <v>5271</v>
      </c>
      <c r="B1842" t="s">
        <v>5673</v>
      </c>
      <c r="C1842" t="s">
        <v>5674</v>
      </c>
      <c r="D1842" t="s">
        <v>5675</v>
      </c>
      <c r="E1842" t="s">
        <v>5676</v>
      </c>
      <c r="F1842" t="s">
        <v>5677</v>
      </c>
      <c r="G1842" s="2" t="str">
        <f>HYPERLINK("https://probpalata.gov.ru/files/ИП930403605700000.jpeg","Скачать индивидуальный QR-код магазина")</f>
        <v>Скачать индивидуальный QR-код магазина</v>
      </c>
    </row>
    <row r="1843" spans="1:7" x14ac:dyDescent="0.25">
      <c r="A1843" t="s">
        <v>5271</v>
      </c>
      <c r="B1843" t="s">
        <v>5307</v>
      </c>
      <c r="C1843" t="s">
        <v>5674</v>
      </c>
      <c r="D1843" t="s">
        <v>5675</v>
      </c>
      <c r="E1843" t="s">
        <v>5676</v>
      </c>
      <c r="F1843" t="s">
        <v>5678</v>
      </c>
      <c r="G1843" s="2" t="str">
        <f>HYPERLINK("https://probpalata.gov.ru/files/ИП930403605700002.jpeg","Скачать индивидуальный QR-код магазина")</f>
        <v>Скачать индивидуальный QR-код магазина</v>
      </c>
    </row>
    <row r="1844" spans="1:7" x14ac:dyDescent="0.25">
      <c r="A1844" t="s">
        <v>5271</v>
      </c>
      <c r="B1844" t="s">
        <v>5679</v>
      </c>
      <c r="C1844" t="s">
        <v>5674</v>
      </c>
      <c r="D1844" t="s">
        <v>5675</v>
      </c>
      <c r="E1844" t="s">
        <v>5676</v>
      </c>
      <c r="F1844" t="s">
        <v>5680</v>
      </c>
      <c r="G1844" s="2" t="str">
        <f>HYPERLINK("https://probpalata.gov.ru/files/ИП930403605700003.jpeg","Скачать индивидуальный QR-код магазина")</f>
        <v>Скачать индивидуальный QR-код магазина</v>
      </c>
    </row>
    <row r="1845" spans="1:7" x14ac:dyDescent="0.25">
      <c r="A1845" t="s">
        <v>5271</v>
      </c>
      <c r="B1845" t="s">
        <v>5282</v>
      </c>
      <c r="C1845" t="s">
        <v>5674</v>
      </c>
      <c r="D1845" t="s">
        <v>5675</v>
      </c>
      <c r="E1845" t="s">
        <v>5676</v>
      </c>
      <c r="F1845" t="s">
        <v>5681</v>
      </c>
      <c r="G1845" s="2" t="str">
        <f>HYPERLINK("https://probpalata.gov.ru/files/ИП930403605700004.jpeg","Скачать индивидуальный QR-код магазина")</f>
        <v>Скачать индивидуальный QR-код магазина</v>
      </c>
    </row>
    <row r="1846" spans="1:7" x14ac:dyDescent="0.25">
      <c r="A1846" t="s">
        <v>5271</v>
      </c>
      <c r="B1846" t="s">
        <v>5682</v>
      </c>
      <c r="C1846" t="s">
        <v>5683</v>
      </c>
      <c r="D1846" t="s">
        <v>5684</v>
      </c>
      <c r="E1846" t="s">
        <v>5685</v>
      </c>
      <c r="F1846" t="s">
        <v>5686</v>
      </c>
      <c r="G1846" s="2" t="str">
        <f>HYPERLINK("https://probpalata.gov.ru/files/ИП930403532500000.jpeg","Скачать индивидуальный QR-код магазина")</f>
        <v>Скачать индивидуальный QR-код магазина</v>
      </c>
    </row>
    <row r="1847" spans="1:7" x14ac:dyDescent="0.25">
      <c r="A1847" t="s">
        <v>5271</v>
      </c>
      <c r="B1847" t="s">
        <v>5687</v>
      </c>
      <c r="C1847" t="s">
        <v>5688</v>
      </c>
      <c r="D1847" t="s">
        <v>5689</v>
      </c>
      <c r="E1847" t="s">
        <v>5690</v>
      </c>
      <c r="F1847" t="s">
        <v>5691</v>
      </c>
      <c r="G1847" s="2" t="str">
        <f>HYPERLINK("https://probpalata.gov.ru/files/ИП930404059900000.jpeg","Скачать индивидуальный QR-код магазина")</f>
        <v>Скачать индивидуальный QR-код магазина</v>
      </c>
    </row>
    <row r="1848" spans="1:7" x14ac:dyDescent="0.25">
      <c r="A1848" t="s">
        <v>5271</v>
      </c>
      <c r="B1848" t="s">
        <v>5692</v>
      </c>
      <c r="C1848" t="s">
        <v>5693</v>
      </c>
      <c r="D1848" t="s">
        <v>5694</v>
      </c>
      <c r="E1848" t="s">
        <v>5695</v>
      </c>
      <c r="F1848" t="s">
        <v>5696</v>
      </c>
      <c r="G1848" s="2" t="str">
        <f>HYPERLINK("https://probpalata.gov.ru/files/ИП930403812900000.jpeg","Скачать индивидуальный QR-код магазина")</f>
        <v>Скачать индивидуальный QR-код магазина</v>
      </c>
    </row>
    <row r="1849" spans="1:7" x14ac:dyDescent="0.25">
      <c r="A1849" t="s">
        <v>5271</v>
      </c>
      <c r="B1849" t="s">
        <v>5697</v>
      </c>
      <c r="C1849" t="s">
        <v>5698</v>
      </c>
      <c r="D1849" t="s">
        <v>5699</v>
      </c>
      <c r="E1849" t="s">
        <v>5700</v>
      </c>
      <c r="F1849" t="s">
        <v>5701</v>
      </c>
      <c r="G1849" s="2" t="str">
        <f>HYPERLINK("https://probpalata.gov.ru/files/ИП610403162800000.jpeg","Скачать индивидуальный QR-код магазина")</f>
        <v>Скачать индивидуальный QR-код магазина</v>
      </c>
    </row>
    <row r="1850" spans="1:7" x14ac:dyDescent="0.25">
      <c r="A1850" t="s">
        <v>5271</v>
      </c>
      <c r="B1850" t="s">
        <v>5673</v>
      </c>
      <c r="C1850" t="s">
        <v>5698</v>
      </c>
      <c r="D1850" t="s">
        <v>5699</v>
      </c>
      <c r="E1850" t="s">
        <v>5700</v>
      </c>
      <c r="F1850" t="s">
        <v>5702</v>
      </c>
      <c r="G1850" s="2" t="str">
        <f>HYPERLINK("https://probpalata.gov.ru/files/ИП610403162800001.jpeg","Скачать индивидуальный QR-код магазина")</f>
        <v>Скачать индивидуальный QR-код магазина</v>
      </c>
    </row>
    <row r="1851" spans="1:7" x14ac:dyDescent="0.25">
      <c r="A1851" t="s">
        <v>5271</v>
      </c>
      <c r="B1851" t="s">
        <v>5703</v>
      </c>
      <c r="C1851" t="s">
        <v>5704</v>
      </c>
      <c r="D1851" t="s">
        <v>5705</v>
      </c>
      <c r="E1851" t="s">
        <v>5706</v>
      </c>
      <c r="F1851" t="s">
        <v>5707</v>
      </c>
      <c r="G1851" s="2" t="str">
        <f>HYPERLINK("https://probpalata.gov.ru/files/ИП930403530000000.jpeg","Скачать индивидуальный QR-код магазина")</f>
        <v>Скачать индивидуальный QR-код магазина</v>
      </c>
    </row>
    <row r="1852" spans="1:7" x14ac:dyDescent="0.25">
      <c r="A1852" t="s">
        <v>5271</v>
      </c>
      <c r="B1852" t="s">
        <v>5708</v>
      </c>
      <c r="C1852" t="s">
        <v>5709</v>
      </c>
      <c r="D1852" t="s">
        <v>5710</v>
      </c>
      <c r="E1852" t="s">
        <v>5711</v>
      </c>
      <c r="F1852" t="s">
        <v>5712</v>
      </c>
      <c r="G1852" s="2" t="str">
        <f>HYPERLINK("https://probpalata.gov.ru/files/ИП930403924000000.jpeg","Скачать индивидуальный QR-код магазина")</f>
        <v>Скачать индивидуальный QR-код магазина</v>
      </c>
    </row>
    <row r="1853" spans="1:7" x14ac:dyDescent="0.25">
      <c r="A1853" t="s">
        <v>5271</v>
      </c>
      <c r="B1853" t="s">
        <v>5713</v>
      </c>
      <c r="C1853" t="s">
        <v>5714</v>
      </c>
      <c r="D1853" t="s">
        <v>5715</v>
      </c>
      <c r="E1853" t="s">
        <v>5716</v>
      </c>
      <c r="F1853" t="s">
        <v>5717</v>
      </c>
      <c r="G1853" s="2" t="str">
        <f>HYPERLINK("https://probpalata.gov.ru/files/ИП930403611000000.jpeg","Скачать индивидуальный QR-код магазина")</f>
        <v>Скачать индивидуальный QR-код магазина</v>
      </c>
    </row>
    <row r="1854" spans="1:7" x14ac:dyDescent="0.25">
      <c r="A1854" t="s">
        <v>5271</v>
      </c>
      <c r="B1854" t="s">
        <v>5718</v>
      </c>
      <c r="C1854" t="s">
        <v>5719</v>
      </c>
      <c r="D1854" t="s">
        <v>5720</v>
      </c>
      <c r="E1854" t="s">
        <v>5721</v>
      </c>
      <c r="F1854" t="s">
        <v>5722</v>
      </c>
      <c r="G1854" s="2" t="str">
        <f>HYPERLINK("https://probpalata.gov.ru/files/ИП930403531900000.jpeg","Скачать индивидуальный QR-код магазина")</f>
        <v>Скачать индивидуальный QR-код магазина</v>
      </c>
    </row>
    <row r="1855" spans="1:7" x14ac:dyDescent="0.25">
      <c r="A1855" t="s">
        <v>5271</v>
      </c>
      <c r="B1855" t="s">
        <v>5723</v>
      </c>
      <c r="C1855" t="s">
        <v>5724</v>
      </c>
      <c r="D1855" t="s">
        <v>5725</v>
      </c>
      <c r="E1855" t="s">
        <v>5726</v>
      </c>
      <c r="F1855" t="s">
        <v>5727</v>
      </c>
      <c r="G1855" s="2" t="str">
        <f>HYPERLINK("https://probpalata.gov.ru/files/ИП930403855000000.jpeg","Скачать индивидуальный QR-код магазина")</f>
        <v>Скачать индивидуальный QR-код магазина</v>
      </c>
    </row>
    <row r="1856" spans="1:7" x14ac:dyDescent="0.25">
      <c r="A1856" t="s">
        <v>5271</v>
      </c>
      <c r="B1856" t="s">
        <v>5728</v>
      </c>
      <c r="C1856" t="s">
        <v>5729</v>
      </c>
      <c r="D1856" t="s">
        <v>5730</v>
      </c>
      <c r="E1856" t="s">
        <v>5731</v>
      </c>
      <c r="F1856" t="s">
        <v>5732</v>
      </c>
      <c r="G1856" s="2" t="str">
        <f>HYPERLINK("https://probpalata.gov.ru/files/ИП930403530400000.jpeg","Скачать индивидуальный QR-код магазина")</f>
        <v>Скачать индивидуальный QR-код магазина</v>
      </c>
    </row>
    <row r="1857" spans="1:7" x14ac:dyDescent="0.25">
      <c r="A1857" t="s">
        <v>5271</v>
      </c>
      <c r="B1857" t="s">
        <v>5733</v>
      </c>
      <c r="C1857" t="s">
        <v>5729</v>
      </c>
      <c r="D1857" t="s">
        <v>5730</v>
      </c>
      <c r="E1857" t="s">
        <v>5731</v>
      </c>
      <c r="F1857" t="s">
        <v>5734</v>
      </c>
      <c r="G1857" s="2" t="str">
        <f>HYPERLINK("https://probpalata.gov.ru/files/ИП930403530400001.jpeg","Скачать индивидуальный QR-код магазина")</f>
        <v>Скачать индивидуальный QR-код магазина</v>
      </c>
    </row>
    <row r="1858" spans="1:7" x14ac:dyDescent="0.25">
      <c r="A1858" t="s">
        <v>5271</v>
      </c>
      <c r="B1858" t="s">
        <v>5735</v>
      </c>
      <c r="C1858" t="s">
        <v>5736</v>
      </c>
      <c r="D1858" t="s">
        <v>5737</v>
      </c>
      <c r="E1858" t="s">
        <v>5738</v>
      </c>
      <c r="F1858" t="s">
        <v>5739</v>
      </c>
      <c r="G1858" s="2" t="str">
        <f>HYPERLINK("https://probpalata.gov.ru/files/ИП930403632300000.jpeg","Скачать индивидуальный QR-код магазина")</f>
        <v>Скачать индивидуальный QR-код магазина</v>
      </c>
    </row>
    <row r="1859" spans="1:7" x14ac:dyDescent="0.25">
      <c r="A1859" t="s">
        <v>5271</v>
      </c>
      <c r="B1859" t="s">
        <v>5740</v>
      </c>
      <c r="C1859" t="s">
        <v>5736</v>
      </c>
      <c r="D1859" t="s">
        <v>5737</v>
      </c>
      <c r="E1859" t="s">
        <v>5738</v>
      </c>
      <c r="F1859" t="s">
        <v>5741</v>
      </c>
      <c r="G1859" s="2" t="str">
        <f>HYPERLINK("https://probpalata.gov.ru/files/ИП930403632300001.jpeg","Скачать индивидуальный QR-код магазина")</f>
        <v>Скачать индивидуальный QR-код магазина</v>
      </c>
    </row>
    <row r="1860" spans="1:7" x14ac:dyDescent="0.25">
      <c r="A1860" t="s">
        <v>5271</v>
      </c>
      <c r="B1860" t="s">
        <v>5742</v>
      </c>
      <c r="C1860" t="s">
        <v>5743</v>
      </c>
      <c r="D1860" t="s">
        <v>5744</v>
      </c>
      <c r="E1860" t="s">
        <v>5745</v>
      </c>
      <c r="F1860" t="s">
        <v>5746</v>
      </c>
      <c r="G1860" s="2" t="str">
        <f>HYPERLINK("https://probpalata.gov.ru/files/ИП930403942700000.jpeg","Скачать индивидуальный QR-код магазина")</f>
        <v>Скачать индивидуальный QR-код магазина</v>
      </c>
    </row>
    <row r="1861" spans="1:7" x14ac:dyDescent="0.25">
      <c r="A1861" t="s">
        <v>5271</v>
      </c>
      <c r="B1861" t="s">
        <v>5747</v>
      </c>
      <c r="C1861" t="s">
        <v>5743</v>
      </c>
      <c r="D1861" t="s">
        <v>5744</v>
      </c>
      <c r="E1861" t="s">
        <v>5745</v>
      </c>
      <c r="F1861" t="s">
        <v>5748</v>
      </c>
      <c r="G1861" s="2" t="str">
        <f>HYPERLINK("https://probpalata.gov.ru/files/ИП930403942700001.jpeg","Скачать индивидуальный QR-код магазина")</f>
        <v>Скачать индивидуальный QR-код магазина</v>
      </c>
    </row>
    <row r="1862" spans="1:7" x14ac:dyDescent="0.25">
      <c r="A1862" t="s">
        <v>5271</v>
      </c>
      <c r="B1862" t="s">
        <v>5749</v>
      </c>
      <c r="C1862" t="s">
        <v>5750</v>
      </c>
      <c r="D1862" t="s">
        <v>5751</v>
      </c>
      <c r="E1862" t="s">
        <v>5752</v>
      </c>
      <c r="F1862" t="s">
        <v>5753</v>
      </c>
      <c r="G1862" s="2" t="str">
        <f>HYPERLINK("https://probpalata.gov.ru/files/ИП930403532900000.jpeg","Скачать индивидуальный QR-код магазина")</f>
        <v>Скачать индивидуальный QR-код магазина</v>
      </c>
    </row>
    <row r="1863" spans="1:7" x14ac:dyDescent="0.25">
      <c r="A1863" t="s">
        <v>5271</v>
      </c>
      <c r="B1863" t="s">
        <v>5754</v>
      </c>
      <c r="C1863" t="s">
        <v>5755</v>
      </c>
      <c r="D1863" t="s">
        <v>5756</v>
      </c>
      <c r="E1863" t="s">
        <v>5757</v>
      </c>
      <c r="F1863" t="s">
        <v>5758</v>
      </c>
      <c r="G1863" s="2" t="str">
        <f>HYPERLINK("https://probpalata.gov.ru/files/ЮЛ930403620300001.jpeg","Скачать индивидуальный QR-код магазина")</f>
        <v>Скачать индивидуальный QR-код магазина</v>
      </c>
    </row>
    <row r="1864" spans="1:7" x14ac:dyDescent="0.25">
      <c r="A1864" t="s">
        <v>5271</v>
      </c>
      <c r="B1864" t="s">
        <v>5759</v>
      </c>
      <c r="C1864" t="s">
        <v>5755</v>
      </c>
      <c r="D1864" t="s">
        <v>5756</v>
      </c>
      <c r="E1864" t="s">
        <v>5757</v>
      </c>
      <c r="F1864" t="s">
        <v>5760</v>
      </c>
      <c r="G1864" s="2" t="str">
        <f>HYPERLINK("https://probpalata.gov.ru/files/ЮЛ930403620300002.jpeg","Скачать индивидуальный QR-код магазина")</f>
        <v>Скачать индивидуальный QR-код магазина</v>
      </c>
    </row>
    <row r="1865" spans="1:7" x14ac:dyDescent="0.25">
      <c r="A1865" t="s">
        <v>5271</v>
      </c>
      <c r="B1865" t="s">
        <v>5761</v>
      </c>
      <c r="C1865" t="s">
        <v>5755</v>
      </c>
      <c r="D1865" t="s">
        <v>5756</v>
      </c>
      <c r="E1865" t="s">
        <v>5757</v>
      </c>
      <c r="F1865" t="s">
        <v>5762</v>
      </c>
      <c r="G1865" s="2" t="str">
        <f>HYPERLINK("https://probpalata.gov.ru/files/ЮЛ930403620300003.jpeg","Скачать индивидуальный QR-код магазина")</f>
        <v>Скачать индивидуальный QR-код магазина</v>
      </c>
    </row>
    <row r="1866" spans="1:7" x14ac:dyDescent="0.25">
      <c r="A1866" t="s">
        <v>5271</v>
      </c>
      <c r="B1866" t="s">
        <v>5763</v>
      </c>
      <c r="C1866" t="s">
        <v>5755</v>
      </c>
      <c r="D1866" t="s">
        <v>5756</v>
      </c>
      <c r="E1866" t="s">
        <v>5757</v>
      </c>
      <c r="F1866" t="s">
        <v>5764</v>
      </c>
      <c r="G1866" s="2" t="str">
        <f>HYPERLINK("https://probpalata.gov.ru/files/ЮЛ930403620300004.jpeg","Скачать индивидуальный QR-код магазина")</f>
        <v>Скачать индивидуальный QR-код магазина</v>
      </c>
    </row>
    <row r="1867" spans="1:7" x14ac:dyDescent="0.25">
      <c r="A1867" t="s">
        <v>5271</v>
      </c>
      <c r="B1867" t="s">
        <v>5765</v>
      </c>
      <c r="C1867" t="s">
        <v>5755</v>
      </c>
      <c r="D1867" t="s">
        <v>5756</v>
      </c>
      <c r="E1867" t="s">
        <v>5757</v>
      </c>
      <c r="F1867" t="s">
        <v>5766</v>
      </c>
      <c r="G1867" s="2" t="str">
        <f>HYPERLINK("https://probpalata.gov.ru/files/ЮЛ930403620300005.jpeg","Скачать индивидуальный QR-код магазина")</f>
        <v>Скачать индивидуальный QR-код магазина</v>
      </c>
    </row>
    <row r="1868" spans="1:7" x14ac:dyDescent="0.25">
      <c r="A1868" t="s">
        <v>5271</v>
      </c>
      <c r="B1868" t="s">
        <v>5767</v>
      </c>
      <c r="C1868" t="s">
        <v>5755</v>
      </c>
      <c r="D1868" t="s">
        <v>5756</v>
      </c>
      <c r="E1868" t="s">
        <v>5757</v>
      </c>
      <c r="F1868" t="s">
        <v>5768</v>
      </c>
      <c r="G1868" s="2" t="str">
        <f>HYPERLINK("https://probpalata.gov.ru/files/ЮЛ930403620300006.jpeg","Скачать индивидуальный QR-код магазина")</f>
        <v>Скачать индивидуальный QR-код магазина</v>
      </c>
    </row>
    <row r="1869" spans="1:7" x14ac:dyDescent="0.25">
      <c r="A1869" t="s">
        <v>5271</v>
      </c>
      <c r="B1869" t="s">
        <v>5307</v>
      </c>
      <c r="C1869" t="s">
        <v>5769</v>
      </c>
      <c r="D1869" t="s">
        <v>5770</v>
      </c>
      <c r="E1869" t="s">
        <v>5771</v>
      </c>
      <c r="F1869" t="s">
        <v>5772</v>
      </c>
      <c r="G1869" s="2" t="str">
        <f>HYPERLINK("https://probpalata.gov.ru/files/ИП930403615400000.jpeg","Скачать индивидуальный QR-код магазина")</f>
        <v>Скачать индивидуальный QR-код магазина</v>
      </c>
    </row>
    <row r="1870" spans="1:7" x14ac:dyDescent="0.25">
      <c r="A1870" t="s">
        <v>5271</v>
      </c>
      <c r="B1870" t="s">
        <v>5773</v>
      </c>
      <c r="C1870" t="s">
        <v>5774</v>
      </c>
      <c r="D1870" t="s">
        <v>5775</v>
      </c>
      <c r="E1870" t="s">
        <v>5776</v>
      </c>
      <c r="F1870" t="s">
        <v>5777</v>
      </c>
      <c r="G1870" s="2" t="str">
        <f>HYPERLINK("https://probpalata.gov.ru/files/ИП930403808500000.jpeg","Скачать индивидуальный QR-код магазина")</f>
        <v>Скачать индивидуальный QR-код магазина</v>
      </c>
    </row>
    <row r="1871" spans="1:7" x14ac:dyDescent="0.25">
      <c r="A1871" t="s">
        <v>5271</v>
      </c>
      <c r="B1871" t="s">
        <v>5778</v>
      </c>
      <c r="C1871" t="s">
        <v>5779</v>
      </c>
      <c r="D1871" t="s">
        <v>5780</v>
      </c>
      <c r="E1871" t="s">
        <v>5781</v>
      </c>
      <c r="F1871" t="s">
        <v>5782</v>
      </c>
      <c r="G1871" s="2" t="str">
        <f>HYPERLINK("https://probpalata.gov.ru/files/ИП930403597500000.jpeg","Скачать индивидуальный QR-код магазина")</f>
        <v>Скачать индивидуальный QR-код магазина</v>
      </c>
    </row>
    <row r="1872" spans="1:7" x14ac:dyDescent="0.25">
      <c r="A1872" t="s">
        <v>5271</v>
      </c>
      <c r="B1872" t="s">
        <v>5783</v>
      </c>
      <c r="C1872" t="s">
        <v>5784</v>
      </c>
      <c r="D1872" t="s">
        <v>5785</v>
      </c>
      <c r="E1872" t="s">
        <v>5786</v>
      </c>
      <c r="F1872" t="s">
        <v>5787</v>
      </c>
      <c r="G1872" s="2" t="str">
        <f>HYPERLINK("https://probpalata.gov.ru/files/ИП930403533800000.jpeg","Скачать индивидуальный QR-код магазина")</f>
        <v>Скачать индивидуальный QR-код магазина</v>
      </c>
    </row>
    <row r="1873" spans="1:7" x14ac:dyDescent="0.25">
      <c r="A1873" t="s">
        <v>5271</v>
      </c>
      <c r="B1873" t="s">
        <v>5788</v>
      </c>
      <c r="C1873" t="s">
        <v>5784</v>
      </c>
      <c r="D1873" t="s">
        <v>5785</v>
      </c>
      <c r="E1873" t="s">
        <v>5786</v>
      </c>
      <c r="F1873" t="s">
        <v>5789</v>
      </c>
      <c r="G1873" s="2" t="str">
        <f>HYPERLINK("https://probpalata.gov.ru/files/ИП930403533800004.jpeg","Скачать индивидуальный QR-код магазина")</f>
        <v>Скачать индивидуальный QR-код магазина</v>
      </c>
    </row>
    <row r="1874" spans="1:7" x14ac:dyDescent="0.25">
      <c r="A1874" t="s">
        <v>5271</v>
      </c>
      <c r="B1874" t="s">
        <v>5790</v>
      </c>
      <c r="C1874" t="s">
        <v>5791</v>
      </c>
      <c r="D1874" t="s">
        <v>5792</v>
      </c>
      <c r="E1874" t="s">
        <v>5793</v>
      </c>
      <c r="F1874" t="s">
        <v>5794</v>
      </c>
      <c r="G1874" s="2" t="str">
        <f>HYPERLINK("https://probpalata.gov.ru/files/ИП930403900800000.jpeg","Скачать индивидуальный QR-код магазина")</f>
        <v>Скачать индивидуальный QR-код магазина</v>
      </c>
    </row>
    <row r="1875" spans="1:7" x14ac:dyDescent="0.25">
      <c r="A1875" t="s">
        <v>5271</v>
      </c>
      <c r="B1875" t="s">
        <v>5329</v>
      </c>
      <c r="C1875" t="s">
        <v>5795</v>
      </c>
      <c r="D1875" t="s">
        <v>5796</v>
      </c>
      <c r="E1875" t="s">
        <v>5797</v>
      </c>
      <c r="F1875" t="s">
        <v>5798</v>
      </c>
      <c r="G1875" s="2" t="str">
        <f>HYPERLINK("https://probpalata.gov.ru/files/ИП930403676000000.jpeg","Скачать индивидуальный QR-код магазина")</f>
        <v>Скачать индивидуальный QR-код магазина</v>
      </c>
    </row>
    <row r="1876" spans="1:7" x14ac:dyDescent="0.25">
      <c r="A1876" t="s">
        <v>5271</v>
      </c>
      <c r="B1876" t="s">
        <v>5799</v>
      </c>
      <c r="C1876" t="s">
        <v>5800</v>
      </c>
      <c r="D1876" t="s">
        <v>5801</v>
      </c>
      <c r="E1876" t="s">
        <v>5802</v>
      </c>
      <c r="F1876" t="s">
        <v>5803</v>
      </c>
      <c r="G1876" s="2" t="str">
        <f>HYPERLINK("https://probpalata.gov.ru/files/ИП930403783900000.jpeg","Скачать индивидуальный QR-код магазина")</f>
        <v>Скачать индивидуальный QR-код магазина</v>
      </c>
    </row>
    <row r="1877" spans="1:7" x14ac:dyDescent="0.25">
      <c r="A1877" t="s">
        <v>5271</v>
      </c>
      <c r="B1877" t="s">
        <v>5804</v>
      </c>
      <c r="C1877" t="s">
        <v>5800</v>
      </c>
      <c r="D1877" t="s">
        <v>5801</v>
      </c>
      <c r="E1877" t="s">
        <v>5802</v>
      </c>
      <c r="F1877" t="s">
        <v>5805</v>
      </c>
      <c r="G1877" s="2" t="str">
        <f>HYPERLINK("https://probpalata.gov.ru/files/ИП930403783900001.jpeg","Скачать индивидуальный QR-код магазина")</f>
        <v>Скачать индивидуальный QR-код магазина</v>
      </c>
    </row>
    <row r="1878" spans="1:7" x14ac:dyDescent="0.25">
      <c r="A1878" t="s">
        <v>5271</v>
      </c>
      <c r="B1878" t="s">
        <v>5806</v>
      </c>
      <c r="C1878" t="s">
        <v>5807</v>
      </c>
      <c r="D1878" t="s">
        <v>5808</v>
      </c>
      <c r="E1878" t="s">
        <v>5809</v>
      </c>
      <c r="F1878" t="s">
        <v>5810</v>
      </c>
      <c r="G1878" s="2" t="str">
        <f>HYPERLINK("https://probpalata.gov.ru/files/ИП930403529900000.jpeg","Скачать индивидуальный QR-код магазина")</f>
        <v>Скачать индивидуальный QR-код магазина</v>
      </c>
    </row>
    <row r="1879" spans="1:7" x14ac:dyDescent="0.25">
      <c r="A1879" t="s">
        <v>5271</v>
      </c>
      <c r="B1879" t="s">
        <v>5811</v>
      </c>
      <c r="C1879" t="s">
        <v>5807</v>
      </c>
      <c r="D1879" t="s">
        <v>5808</v>
      </c>
      <c r="E1879" t="s">
        <v>5809</v>
      </c>
      <c r="F1879" t="s">
        <v>5812</v>
      </c>
      <c r="G1879" s="2" t="str">
        <f>HYPERLINK("https://probpalata.gov.ru/files/ИП930403529900002.jpeg","Скачать индивидуальный QR-код магазина")</f>
        <v>Скачать индивидуальный QR-код магазина</v>
      </c>
    </row>
    <row r="1880" spans="1:7" x14ac:dyDescent="0.25">
      <c r="A1880" t="s">
        <v>5271</v>
      </c>
      <c r="B1880" t="s">
        <v>5813</v>
      </c>
      <c r="C1880" t="s">
        <v>5807</v>
      </c>
      <c r="D1880" t="s">
        <v>5808</v>
      </c>
      <c r="E1880" t="s">
        <v>5809</v>
      </c>
      <c r="F1880" t="s">
        <v>5814</v>
      </c>
      <c r="G1880" s="2" t="str">
        <f>HYPERLINK("https://probpalata.gov.ru/files/ИП930403529900003.jpeg","Скачать индивидуальный QR-код магазина")</f>
        <v>Скачать индивидуальный QR-код магазина</v>
      </c>
    </row>
    <row r="1881" spans="1:7" x14ac:dyDescent="0.25">
      <c r="A1881" t="s">
        <v>5271</v>
      </c>
      <c r="B1881" t="s">
        <v>5815</v>
      </c>
      <c r="C1881" t="s">
        <v>5816</v>
      </c>
      <c r="D1881" t="s">
        <v>5817</v>
      </c>
      <c r="E1881" t="s">
        <v>5818</v>
      </c>
      <c r="F1881" t="s">
        <v>5819</v>
      </c>
      <c r="G1881" s="2" t="str">
        <f>HYPERLINK("https://probpalata.gov.ru/files/ИП930404060000000.jpeg","Скачать индивидуальный QR-код магазина")</f>
        <v>Скачать индивидуальный QR-код магазина</v>
      </c>
    </row>
    <row r="1882" spans="1:7" x14ac:dyDescent="0.25">
      <c r="A1882" t="s">
        <v>5271</v>
      </c>
      <c r="B1882" t="s">
        <v>5820</v>
      </c>
      <c r="C1882" t="s">
        <v>5821</v>
      </c>
      <c r="D1882" t="s">
        <v>5822</v>
      </c>
      <c r="E1882" t="s">
        <v>5823</v>
      </c>
      <c r="F1882" t="s">
        <v>5824</v>
      </c>
      <c r="G1882" s="2" t="str">
        <f>HYPERLINK("https://probpalata.gov.ru/files/ИП930403868500000.jpeg","Скачать индивидуальный QR-код магазина")</f>
        <v>Скачать индивидуальный QR-код магазина</v>
      </c>
    </row>
    <row r="1883" spans="1:7" x14ac:dyDescent="0.25">
      <c r="A1883" t="s">
        <v>5271</v>
      </c>
      <c r="B1883" t="s">
        <v>5825</v>
      </c>
      <c r="C1883" t="s">
        <v>5826</v>
      </c>
      <c r="D1883" t="s">
        <v>5827</v>
      </c>
      <c r="E1883" t="s">
        <v>5828</v>
      </c>
      <c r="F1883" t="s">
        <v>5829</v>
      </c>
      <c r="G1883" s="2" t="str">
        <f>HYPERLINK("https://probpalata.gov.ru/files/ИП930403780900000.jpeg","Скачать индивидуальный QR-код магазина")</f>
        <v>Скачать индивидуальный QR-код магазина</v>
      </c>
    </row>
    <row r="1884" spans="1:7" x14ac:dyDescent="0.25">
      <c r="A1884" t="s">
        <v>5271</v>
      </c>
      <c r="B1884" t="s">
        <v>5830</v>
      </c>
      <c r="C1884" t="s">
        <v>5831</v>
      </c>
      <c r="D1884" t="s">
        <v>5832</v>
      </c>
      <c r="E1884" t="s">
        <v>5833</v>
      </c>
      <c r="F1884" t="s">
        <v>5834</v>
      </c>
      <c r="G1884" s="2" t="str">
        <f>HYPERLINK("https://probpalata.gov.ru/files/ЮЛ930403555000000.jpeg","Скачать индивидуальный QR-код магазина")</f>
        <v>Скачать индивидуальный QR-код магазина</v>
      </c>
    </row>
    <row r="1885" spans="1:7" x14ac:dyDescent="0.25">
      <c r="A1885" t="s">
        <v>5271</v>
      </c>
      <c r="B1885" t="s">
        <v>5835</v>
      </c>
      <c r="C1885" t="s">
        <v>5836</v>
      </c>
      <c r="D1885" t="s">
        <v>5837</v>
      </c>
      <c r="E1885" t="s">
        <v>5838</v>
      </c>
      <c r="F1885" t="s">
        <v>5839</v>
      </c>
      <c r="G1885" s="2" t="str">
        <f>HYPERLINK("https://probpalata.gov.ru/files/ИП930403448300000.jpeg","Скачать индивидуальный QR-код магазина")</f>
        <v>Скачать индивидуальный QR-код магазина</v>
      </c>
    </row>
    <row r="1886" spans="1:7" x14ac:dyDescent="0.25">
      <c r="A1886" t="s">
        <v>5271</v>
      </c>
      <c r="B1886" t="s">
        <v>5840</v>
      </c>
      <c r="C1886" t="s">
        <v>5836</v>
      </c>
      <c r="D1886" t="s">
        <v>5837</v>
      </c>
      <c r="E1886" t="s">
        <v>5838</v>
      </c>
      <c r="F1886" t="s">
        <v>5841</v>
      </c>
      <c r="G1886" s="2" t="str">
        <f>HYPERLINK("https://probpalata.gov.ru/files/ИП930403448300001.jpeg","Скачать индивидуальный QR-код магазина")</f>
        <v>Скачать индивидуальный QR-код магазина</v>
      </c>
    </row>
    <row r="1887" spans="1:7" x14ac:dyDescent="0.25">
      <c r="A1887" t="s">
        <v>5271</v>
      </c>
      <c r="B1887" t="s">
        <v>5842</v>
      </c>
      <c r="C1887" t="s">
        <v>5843</v>
      </c>
      <c r="D1887" t="s">
        <v>5844</v>
      </c>
      <c r="E1887" t="s">
        <v>5845</v>
      </c>
      <c r="F1887" t="s">
        <v>5846</v>
      </c>
      <c r="G1887" s="2" t="str">
        <f>HYPERLINK("https://probpalata.gov.ru/files/ИП930403533100000.jpeg","Скачать индивидуальный QR-код магазина")</f>
        <v>Скачать индивидуальный QR-код магазина</v>
      </c>
    </row>
    <row r="1888" spans="1:7" x14ac:dyDescent="0.25">
      <c r="A1888" t="s">
        <v>5271</v>
      </c>
      <c r="B1888" t="s">
        <v>5847</v>
      </c>
      <c r="C1888" t="s">
        <v>5848</v>
      </c>
      <c r="D1888" t="s">
        <v>5849</v>
      </c>
      <c r="E1888" t="s">
        <v>5850</v>
      </c>
      <c r="F1888" t="s">
        <v>5851</v>
      </c>
      <c r="G1888" s="2" t="str">
        <f>HYPERLINK("https://probpalata.gov.ru/files/ИП930403667100000.jpeg","Скачать индивидуальный QR-код магазина")</f>
        <v>Скачать индивидуальный QR-код магазина</v>
      </c>
    </row>
    <row r="1889" spans="1:7" x14ac:dyDescent="0.25">
      <c r="A1889" t="s">
        <v>5271</v>
      </c>
      <c r="B1889" t="s">
        <v>5852</v>
      </c>
      <c r="C1889" t="s">
        <v>5848</v>
      </c>
      <c r="D1889" t="s">
        <v>5849</v>
      </c>
      <c r="E1889" t="s">
        <v>5850</v>
      </c>
      <c r="F1889" t="s">
        <v>5853</v>
      </c>
      <c r="G1889" s="2" t="str">
        <f>HYPERLINK("https://probpalata.gov.ru/files/ИП930403667100002.jpeg","Скачать индивидуальный QR-код магазина")</f>
        <v>Скачать индивидуальный QR-код магазина</v>
      </c>
    </row>
    <row r="1890" spans="1:7" x14ac:dyDescent="0.25">
      <c r="A1890" t="s">
        <v>5271</v>
      </c>
      <c r="B1890" t="s">
        <v>5854</v>
      </c>
      <c r="C1890" t="s">
        <v>5855</v>
      </c>
      <c r="D1890" t="s">
        <v>5856</v>
      </c>
      <c r="E1890" t="s">
        <v>5857</v>
      </c>
      <c r="F1890" t="s">
        <v>5858</v>
      </c>
      <c r="G1890" s="2" t="str">
        <f>HYPERLINK("https://probpalata.gov.ru/files/ЮЛ930403558500000.jpeg","Скачать индивидуальный QR-код магазина")</f>
        <v>Скачать индивидуальный QR-код магазина</v>
      </c>
    </row>
    <row r="1891" spans="1:7" x14ac:dyDescent="0.25">
      <c r="A1891" t="s">
        <v>5271</v>
      </c>
      <c r="B1891" t="s">
        <v>5859</v>
      </c>
      <c r="C1891" t="s">
        <v>5855</v>
      </c>
      <c r="D1891" t="s">
        <v>5856</v>
      </c>
      <c r="E1891" t="s">
        <v>5857</v>
      </c>
      <c r="F1891" t="s">
        <v>5860</v>
      </c>
      <c r="G1891" s="2" t="str">
        <f>HYPERLINK("https://probpalata.gov.ru/files/ЮЛ930403558500014.jpeg","Скачать индивидуальный QR-код магазина")</f>
        <v>Скачать индивидуальный QR-код магазина</v>
      </c>
    </row>
    <row r="1892" spans="1:7" x14ac:dyDescent="0.25">
      <c r="A1892" t="s">
        <v>5271</v>
      </c>
      <c r="B1892" t="s">
        <v>5861</v>
      </c>
      <c r="C1892" t="s">
        <v>5862</v>
      </c>
      <c r="D1892" t="s">
        <v>5863</v>
      </c>
      <c r="E1892" t="s">
        <v>5864</v>
      </c>
      <c r="F1892" t="s">
        <v>5865</v>
      </c>
      <c r="G1892" s="2" t="str">
        <f>HYPERLINK("https://probpalata.gov.ru/files/ИП930403532600000.jpeg","Скачать индивидуальный QR-код магазина")</f>
        <v>Скачать индивидуальный QR-код магазина</v>
      </c>
    </row>
    <row r="1893" spans="1:7" x14ac:dyDescent="0.25">
      <c r="A1893" t="s">
        <v>5271</v>
      </c>
      <c r="B1893" t="s">
        <v>5866</v>
      </c>
      <c r="C1893" t="s">
        <v>5862</v>
      </c>
      <c r="D1893" t="s">
        <v>5863</v>
      </c>
      <c r="E1893" t="s">
        <v>5864</v>
      </c>
      <c r="F1893" t="s">
        <v>5867</v>
      </c>
      <c r="G1893" s="2" t="str">
        <f>HYPERLINK("https://probpalata.gov.ru/files/ИП930403532600001.jpeg","Скачать индивидуальный QR-код магазина")</f>
        <v>Скачать индивидуальный QR-код магазина</v>
      </c>
    </row>
    <row r="1894" spans="1:7" x14ac:dyDescent="0.25">
      <c r="A1894" t="s">
        <v>5271</v>
      </c>
      <c r="B1894" t="s">
        <v>5419</v>
      </c>
      <c r="C1894" t="s">
        <v>5862</v>
      </c>
      <c r="D1894" t="s">
        <v>5863</v>
      </c>
      <c r="E1894" t="s">
        <v>5864</v>
      </c>
      <c r="F1894" t="s">
        <v>5868</v>
      </c>
      <c r="G1894" s="2" t="str">
        <f>HYPERLINK("https://probpalata.gov.ru/files/ИП930403532600004.jpeg","Скачать индивидуальный QR-код магазина")</f>
        <v>Скачать индивидуальный QR-код магазина</v>
      </c>
    </row>
    <row r="1895" spans="1:7" x14ac:dyDescent="0.25">
      <c r="A1895" t="s">
        <v>5271</v>
      </c>
      <c r="B1895" t="s">
        <v>5869</v>
      </c>
      <c r="C1895" t="s">
        <v>5870</v>
      </c>
      <c r="D1895" t="s">
        <v>5871</v>
      </c>
      <c r="E1895" t="s">
        <v>5872</v>
      </c>
      <c r="F1895" t="s">
        <v>5873</v>
      </c>
      <c r="G1895" s="2" t="str">
        <f>HYPERLINK("https://probpalata.gov.ru/files/ИП930403596700000.jpeg","Скачать индивидуальный QR-код магазина")</f>
        <v>Скачать индивидуальный QR-код магазина</v>
      </c>
    </row>
    <row r="1896" spans="1:7" x14ac:dyDescent="0.25">
      <c r="A1896" t="s">
        <v>5271</v>
      </c>
      <c r="B1896" t="s">
        <v>5874</v>
      </c>
      <c r="C1896" t="s">
        <v>5870</v>
      </c>
      <c r="D1896" t="s">
        <v>5871</v>
      </c>
      <c r="E1896" t="s">
        <v>5872</v>
      </c>
      <c r="F1896" t="s">
        <v>5875</v>
      </c>
      <c r="G1896" s="2" t="str">
        <f>HYPERLINK("https://probpalata.gov.ru/files/ИП930403596700001.jpeg","Скачать индивидуальный QR-код магазина")</f>
        <v>Скачать индивидуальный QR-код магазина</v>
      </c>
    </row>
    <row r="1897" spans="1:7" x14ac:dyDescent="0.25">
      <c r="A1897" t="s">
        <v>5271</v>
      </c>
      <c r="B1897" t="s">
        <v>5876</v>
      </c>
      <c r="C1897" t="s">
        <v>5877</v>
      </c>
      <c r="D1897" t="s">
        <v>5878</v>
      </c>
      <c r="E1897" t="s">
        <v>5879</v>
      </c>
      <c r="F1897" t="s">
        <v>5880</v>
      </c>
      <c r="G1897" s="2" t="str">
        <f>HYPERLINK("https://probpalata.gov.ru/files/ИП930403629400000.jpeg","Скачать индивидуальный QR-код магазина")</f>
        <v>Скачать индивидуальный QR-код магазина</v>
      </c>
    </row>
    <row r="1898" spans="1:7" x14ac:dyDescent="0.25">
      <c r="A1898" t="s">
        <v>5271</v>
      </c>
      <c r="B1898" t="s">
        <v>5881</v>
      </c>
      <c r="C1898" t="s">
        <v>5877</v>
      </c>
      <c r="D1898" t="s">
        <v>5878</v>
      </c>
      <c r="E1898" t="s">
        <v>5879</v>
      </c>
      <c r="F1898" t="s">
        <v>5882</v>
      </c>
      <c r="G1898" s="2" t="str">
        <f>HYPERLINK("https://probpalata.gov.ru/files/ИП930403629400002.jpeg","Скачать индивидуальный QR-код магазина")</f>
        <v>Скачать индивидуальный QR-код магазина</v>
      </c>
    </row>
    <row r="1899" spans="1:7" x14ac:dyDescent="0.25">
      <c r="A1899" t="s">
        <v>5271</v>
      </c>
      <c r="B1899" t="s">
        <v>5883</v>
      </c>
      <c r="C1899" t="s">
        <v>5877</v>
      </c>
      <c r="D1899" t="s">
        <v>5878</v>
      </c>
      <c r="E1899" t="s">
        <v>5879</v>
      </c>
      <c r="F1899" t="s">
        <v>5884</v>
      </c>
      <c r="G1899" s="2" t="str">
        <f>HYPERLINK("https://probpalata.gov.ru/files/ИП930403629400003.jpeg","Скачать индивидуальный QR-код магазина")</f>
        <v>Скачать индивидуальный QR-код магазина</v>
      </c>
    </row>
    <row r="1900" spans="1:7" x14ac:dyDescent="0.25">
      <c r="A1900" t="s">
        <v>5271</v>
      </c>
      <c r="B1900" t="s">
        <v>5885</v>
      </c>
      <c r="C1900" t="s">
        <v>5886</v>
      </c>
      <c r="D1900" t="s">
        <v>5887</v>
      </c>
      <c r="E1900" t="s">
        <v>5888</v>
      </c>
      <c r="F1900" t="s">
        <v>5889</v>
      </c>
      <c r="G1900" s="2" t="str">
        <f>HYPERLINK("https://probpalata.gov.ru/files/ИП930403637000000.jpeg","Скачать индивидуальный QR-код магазина")</f>
        <v>Скачать индивидуальный QR-код магазина</v>
      </c>
    </row>
    <row r="1901" spans="1:7" x14ac:dyDescent="0.25">
      <c r="A1901" t="s">
        <v>5271</v>
      </c>
      <c r="B1901" t="s">
        <v>5890</v>
      </c>
      <c r="C1901" t="s">
        <v>5891</v>
      </c>
      <c r="D1901" t="s">
        <v>5892</v>
      </c>
      <c r="E1901" t="s">
        <v>5893</v>
      </c>
      <c r="F1901" t="s">
        <v>5894</v>
      </c>
      <c r="G1901" s="2" t="str">
        <f>HYPERLINK("https://probpalata.gov.ru/files/ИП930403726600000.jpeg","Скачать индивидуальный QR-код магазина")</f>
        <v>Скачать индивидуальный QR-код магазина</v>
      </c>
    </row>
    <row r="1902" spans="1:7" x14ac:dyDescent="0.25">
      <c r="A1902" t="s">
        <v>5271</v>
      </c>
      <c r="B1902" t="s">
        <v>5895</v>
      </c>
      <c r="C1902" t="s">
        <v>5896</v>
      </c>
      <c r="D1902" t="s">
        <v>5897</v>
      </c>
      <c r="E1902" t="s">
        <v>5898</v>
      </c>
      <c r="F1902" t="s">
        <v>5899</v>
      </c>
      <c r="G1902" s="2" t="str">
        <f>HYPERLINK("https://probpalata.gov.ru/files/ЮЛ930403526300005.jpeg","Скачать индивидуальный QR-код магазина")</f>
        <v>Скачать индивидуальный QR-код магазина</v>
      </c>
    </row>
    <row r="1903" spans="1:7" x14ac:dyDescent="0.25">
      <c r="A1903" t="s">
        <v>5271</v>
      </c>
      <c r="B1903" t="s">
        <v>5900</v>
      </c>
      <c r="C1903" t="s">
        <v>5901</v>
      </c>
      <c r="D1903" t="s">
        <v>5902</v>
      </c>
      <c r="E1903" t="s">
        <v>5903</v>
      </c>
      <c r="F1903" t="s">
        <v>5904</v>
      </c>
      <c r="G1903" s="2" t="str">
        <f>HYPERLINK("https://probpalata.gov.ru/files/ЮЛ930403526400000.jpeg","Скачать индивидуальный QR-код магазина")</f>
        <v>Скачать индивидуальный QR-код магазина</v>
      </c>
    </row>
    <row r="1904" spans="1:7" x14ac:dyDescent="0.25">
      <c r="A1904" t="s">
        <v>5271</v>
      </c>
      <c r="B1904" t="s">
        <v>5905</v>
      </c>
      <c r="C1904" t="s">
        <v>5901</v>
      </c>
      <c r="D1904" t="s">
        <v>5902</v>
      </c>
      <c r="E1904" t="s">
        <v>5903</v>
      </c>
      <c r="F1904" t="s">
        <v>5906</v>
      </c>
      <c r="G1904" s="2" t="str">
        <f>HYPERLINK("https://probpalata.gov.ru/files/ЮЛ930403526400001.jpeg","Скачать индивидуальный QR-код магазина")</f>
        <v>Скачать индивидуальный QR-код магазина</v>
      </c>
    </row>
    <row r="1905" spans="1:7" x14ac:dyDescent="0.25">
      <c r="A1905" t="s">
        <v>5271</v>
      </c>
      <c r="B1905" t="s">
        <v>5907</v>
      </c>
      <c r="C1905" t="s">
        <v>5908</v>
      </c>
      <c r="D1905" t="s">
        <v>5909</v>
      </c>
      <c r="E1905" t="s">
        <v>5910</v>
      </c>
      <c r="F1905" t="s">
        <v>5911</v>
      </c>
      <c r="G1905" s="2" t="str">
        <f>HYPERLINK("https://probpalata.gov.ru/files/ИП930403701600000.jpeg","Скачать индивидуальный QR-код магазина")</f>
        <v>Скачать индивидуальный QR-код магазина</v>
      </c>
    </row>
    <row r="1906" spans="1:7" x14ac:dyDescent="0.25">
      <c r="A1906" t="s">
        <v>5271</v>
      </c>
      <c r="B1906" t="s">
        <v>5912</v>
      </c>
      <c r="C1906" t="s">
        <v>5913</v>
      </c>
      <c r="D1906" t="s">
        <v>5914</v>
      </c>
      <c r="E1906" t="s">
        <v>5915</v>
      </c>
      <c r="F1906" t="s">
        <v>5916</v>
      </c>
      <c r="G1906" s="2" t="str">
        <f>HYPERLINK("https://probpalata.gov.ru/files/ЮЛ930403487500000.jpeg","Скачать индивидуальный QR-код магазина")</f>
        <v>Скачать индивидуальный QR-код магазина</v>
      </c>
    </row>
    <row r="1907" spans="1:7" x14ac:dyDescent="0.25">
      <c r="A1907" t="s">
        <v>5271</v>
      </c>
      <c r="B1907" t="s">
        <v>5917</v>
      </c>
      <c r="C1907" t="s">
        <v>5918</v>
      </c>
      <c r="D1907" t="s">
        <v>5919</v>
      </c>
      <c r="E1907" t="s">
        <v>5920</v>
      </c>
      <c r="F1907" t="s">
        <v>5921</v>
      </c>
      <c r="G1907" s="2" t="str">
        <f>HYPERLINK("https://probpalata.gov.ru/files/ИП930403531400000.jpeg","Скачать индивидуальный QR-код магазина")</f>
        <v>Скачать индивидуальный QR-код магазина</v>
      </c>
    </row>
    <row r="1908" spans="1:7" x14ac:dyDescent="0.25">
      <c r="A1908" t="s">
        <v>5271</v>
      </c>
      <c r="B1908" t="s">
        <v>5922</v>
      </c>
      <c r="C1908" t="s">
        <v>5918</v>
      </c>
      <c r="D1908" t="s">
        <v>5919</v>
      </c>
      <c r="E1908" t="s">
        <v>5920</v>
      </c>
      <c r="F1908" t="s">
        <v>5923</v>
      </c>
      <c r="G1908" s="2" t="str">
        <f>HYPERLINK("https://probpalata.gov.ru/files/ИП930403531400001.jpeg","Скачать индивидуальный QR-код магазина")</f>
        <v>Скачать индивидуальный QR-код магазина</v>
      </c>
    </row>
    <row r="1909" spans="1:7" x14ac:dyDescent="0.25">
      <c r="A1909" t="s">
        <v>5271</v>
      </c>
      <c r="B1909" t="s">
        <v>5924</v>
      </c>
      <c r="C1909" t="s">
        <v>5918</v>
      </c>
      <c r="D1909" t="s">
        <v>5919</v>
      </c>
      <c r="E1909" t="s">
        <v>5920</v>
      </c>
      <c r="F1909" t="s">
        <v>5925</v>
      </c>
      <c r="G1909" s="2" t="str">
        <f>HYPERLINK("https://probpalata.gov.ru/files/ИП930403531400002.jpeg","Скачать индивидуальный QR-код магазина")</f>
        <v>Скачать индивидуальный QR-код магазина</v>
      </c>
    </row>
    <row r="1910" spans="1:7" x14ac:dyDescent="0.25">
      <c r="A1910" t="s">
        <v>5271</v>
      </c>
      <c r="B1910" t="s">
        <v>5926</v>
      </c>
      <c r="C1910" t="s">
        <v>5918</v>
      </c>
      <c r="D1910" t="s">
        <v>5919</v>
      </c>
      <c r="E1910" t="s">
        <v>5920</v>
      </c>
      <c r="F1910" t="s">
        <v>5927</v>
      </c>
      <c r="G1910" s="2" t="str">
        <f>HYPERLINK("https://probpalata.gov.ru/files/ИП930403531400003.jpeg","Скачать индивидуальный QR-код магазина")</f>
        <v>Скачать индивидуальный QR-код магазина</v>
      </c>
    </row>
    <row r="1911" spans="1:7" x14ac:dyDescent="0.25">
      <c r="A1911" t="s">
        <v>5271</v>
      </c>
      <c r="B1911" t="s">
        <v>5928</v>
      </c>
      <c r="C1911" t="s">
        <v>5929</v>
      </c>
      <c r="D1911" t="s">
        <v>5930</v>
      </c>
      <c r="E1911" t="s">
        <v>5931</v>
      </c>
      <c r="F1911" t="s">
        <v>5932</v>
      </c>
      <c r="G1911" s="2" t="str">
        <f>HYPERLINK("https://probpalata.gov.ru/files/ИП930403882500000.jpeg","Скачать индивидуальный QR-код магазина")</f>
        <v>Скачать индивидуальный QR-код магазина</v>
      </c>
    </row>
    <row r="1912" spans="1:7" x14ac:dyDescent="0.25">
      <c r="A1912" t="s">
        <v>5271</v>
      </c>
      <c r="B1912" t="s">
        <v>5933</v>
      </c>
      <c r="C1912" t="s">
        <v>5934</v>
      </c>
      <c r="D1912" t="s">
        <v>5935</v>
      </c>
      <c r="E1912" t="s">
        <v>5936</v>
      </c>
      <c r="F1912" t="s">
        <v>5937</v>
      </c>
      <c r="G1912" s="2" t="str">
        <f>HYPERLINK("https://probpalata.gov.ru/files/П1000403441400000.jpeg","Скачать индивидуальный QR-код магазина")</f>
        <v>Скачать индивидуальный QR-код магазина</v>
      </c>
    </row>
    <row r="1913" spans="1:7" x14ac:dyDescent="0.25">
      <c r="A1913" t="s">
        <v>5271</v>
      </c>
      <c r="B1913" t="s">
        <v>5938</v>
      </c>
      <c r="C1913" t="s">
        <v>5939</v>
      </c>
      <c r="D1913" t="s">
        <v>5940</v>
      </c>
      <c r="E1913" t="s">
        <v>5941</v>
      </c>
      <c r="F1913" t="s">
        <v>5942</v>
      </c>
      <c r="G1913" s="2" t="str">
        <f>HYPERLINK("https://probpalata.gov.ru/files/ИП930403922900000.jpeg","Скачать индивидуальный QR-код магазина")</f>
        <v>Скачать индивидуальный QR-код магазина</v>
      </c>
    </row>
    <row r="1914" spans="1:7" x14ac:dyDescent="0.25">
      <c r="A1914" t="s">
        <v>5271</v>
      </c>
      <c r="B1914" t="s">
        <v>5943</v>
      </c>
      <c r="C1914" t="s">
        <v>5939</v>
      </c>
      <c r="D1914" t="s">
        <v>5940</v>
      </c>
      <c r="E1914" t="s">
        <v>5941</v>
      </c>
      <c r="F1914" t="s">
        <v>5944</v>
      </c>
      <c r="G1914" s="2" t="str">
        <f>HYPERLINK("https://probpalata.gov.ru/files/ИП930403922900001.jpeg","Скачать индивидуальный QR-код магазина")</f>
        <v>Скачать индивидуальный QR-код магазина</v>
      </c>
    </row>
    <row r="1915" spans="1:7" x14ac:dyDescent="0.25">
      <c r="A1915" t="s">
        <v>5271</v>
      </c>
      <c r="B1915" t="s">
        <v>5945</v>
      </c>
      <c r="C1915" t="s">
        <v>5946</v>
      </c>
      <c r="D1915" t="s">
        <v>5947</v>
      </c>
      <c r="E1915" t="s">
        <v>5948</v>
      </c>
      <c r="F1915" t="s">
        <v>5949</v>
      </c>
      <c r="G1915" s="2" t="str">
        <f>HYPERLINK("https://probpalata.gov.ru/files/ИП940403528000004.jpeg","Скачать индивидуальный QR-код магазина")</f>
        <v>Скачать индивидуальный QR-код магазина</v>
      </c>
    </row>
    <row r="1916" spans="1:7" x14ac:dyDescent="0.25">
      <c r="A1916" t="s">
        <v>5950</v>
      </c>
      <c r="B1916" t="s">
        <v>5951</v>
      </c>
      <c r="C1916" t="s">
        <v>848</v>
      </c>
      <c r="D1916" t="s">
        <v>849</v>
      </c>
      <c r="E1916" t="s">
        <v>850</v>
      </c>
      <c r="F1916" t="s">
        <v>5952</v>
      </c>
      <c r="G1916" s="2" t="str">
        <f>HYPERLINK("https://probpalata.gov.ru/files/ИП270901193700002.jpeg","Скачать индивидуальный QR-код магазина")</f>
        <v>Скачать индивидуальный QR-код магазина</v>
      </c>
    </row>
    <row r="1917" spans="1:7" x14ac:dyDescent="0.25">
      <c r="A1917" t="s">
        <v>5950</v>
      </c>
      <c r="B1917" t="s">
        <v>5953</v>
      </c>
      <c r="C1917" t="s">
        <v>848</v>
      </c>
      <c r="D1917" t="s">
        <v>849</v>
      </c>
      <c r="E1917" t="s">
        <v>850</v>
      </c>
      <c r="F1917" t="s">
        <v>5954</v>
      </c>
      <c r="G1917" s="2" t="str">
        <f>HYPERLINK("https://probpalata.gov.ru/files/ИП270901193700003.jpeg","Скачать индивидуальный QR-код магазина")</f>
        <v>Скачать индивидуальный QR-код магазина</v>
      </c>
    </row>
    <row r="1918" spans="1:7" x14ac:dyDescent="0.25">
      <c r="A1918" t="s">
        <v>5950</v>
      </c>
      <c r="B1918" t="s">
        <v>5955</v>
      </c>
      <c r="C1918" t="s">
        <v>863</v>
      </c>
      <c r="D1918" t="s">
        <v>864</v>
      </c>
      <c r="E1918" t="s">
        <v>865</v>
      </c>
      <c r="F1918" t="s">
        <v>5956</v>
      </c>
      <c r="G1918" s="2" t="str">
        <f>HYPERLINK("https://probpalata.gov.ru/files/ЮЛ270900211200052.jpeg","Скачать индивидуальный QR-код магазина")</f>
        <v>Скачать индивидуальный QR-код магазина</v>
      </c>
    </row>
    <row r="1919" spans="1:7" x14ac:dyDescent="0.25">
      <c r="A1919" t="s">
        <v>5950</v>
      </c>
      <c r="B1919" t="s">
        <v>5957</v>
      </c>
      <c r="C1919" t="s">
        <v>863</v>
      </c>
      <c r="D1919" t="s">
        <v>864</v>
      </c>
      <c r="E1919" t="s">
        <v>865</v>
      </c>
      <c r="F1919" t="s">
        <v>5958</v>
      </c>
      <c r="G1919" s="2" t="str">
        <f>HYPERLINK("https://probpalata.gov.ru/files/ЮЛ270900211200058.jpeg","Скачать индивидуальный QR-код магазина")</f>
        <v>Скачать индивидуальный QR-код магазина</v>
      </c>
    </row>
    <row r="1920" spans="1:7" x14ac:dyDescent="0.25">
      <c r="A1920" t="s">
        <v>5950</v>
      </c>
      <c r="B1920" t="s">
        <v>5959</v>
      </c>
      <c r="C1920" t="s">
        <v>863</v>
      </c>
      <c r="D1920" t="s">
        <v>864</v>
      </c>
      <c r="E1920" t="s">
        <v>865</v>
      </c>
      <c r="F1920" t="s">
        <v>5960</v>
      </c>
      <c r="G1920" s="2" t="str">
        <f>HYPERLINK("https://probpalata.gov.ru/files/ЮЛ270900211200083.jpeg","Скачать индивидуальный QR-код магазина")</f>
        <v>Скачать индивидуальный QR-код магазина</v>
      </c>
    </row>
    <row r="1921" spans="1:7" x14ac:dyDescent="0.25">
      <c r="A1921" t="s">
        <v>5950</v>
      </c>
      <c r="B1921" t="s">
        <v>5961</v>
      </c>
      <c r="C1921" t="s">
        <v>748</v>
      </c>
      <c r="D1921" t="s">
        <v>749</v>
      </c>
      <c r="E1921" t="s">
        <v>750</v>
      </c>
      <c r="F1921" t="s">
        <v>5962</v>
      </c>
      <c r="G1921" s="2" t="str">
        <f>HYPERLINK("https://probpalata.gov.ru/files/ЮЛ770100193500160.jpeg","Скачать индивидуальный QR-код магазина")</f>
        <v>Скачать индивидуальный QR-код магазина</v>
      </c>
    </row>
    <row r="1922" spans="1:7" x14ac:dyDescent="0.25">
      <c r="A1922" t="s">
        <v>5950</v>
      </c>
      <c r="B1922" t="s">
        <v>5963</v>
      </c>
      <c r="C1922" t="s">
        <v>798</v>
      </c>
      <c r="D1922" t="s">
        <v>799</v>
      </c>
      <c r="E1922" t="s">
        <v>800</v>
      </c>
      <c r="F1922" t="s">
        <v>5964</v>
      </c>
      <c r="G1922" s="2" t="str">
        <f>HYPERLINK("https://probpalata.gov.ru/files/ЮЛ780300308200919.jpeg","Скачать индивидуальный QR-код магазина")</f>
        <v>Скачать индивидуальный QR-код магазина</v>
      </c>
    </row>
    <row r="1923" spans="1:7" x14ac:dyDescent="0.25">
      <c r="A1923" t="s">
        <v>5950</v>
      </c>
      <c r="B1923" t="s">
        <v>5965</v>
      </c>
      <c r="C1923" t="s">
        <v>5966</v>
      </c>
      <c r="D1923" t="s">
        <v>5967</v>
      </c>
      <c r="E1923" t="s">
        <v>5968</v>
      </c>
      <c r="F1923" t="s">
        <v>5969</v>
      </c>
      <c r="G1923" s="2" t="str">
        <f>HYPERLINK("https://probpalata.gov.ru/files/ИП790901003500000.jpeg","Скачать индивидуальный QR-код магазина")</f>
        <v>Скачать индивидуальный QR-код магазина</v>
      </c>
    </row>
    <row r="1924" spans="1:7" x14ac:dyDescent="0.25">
      <c r="A1924" t="s">
        <v>5950</v>
      </c>
      <c r="B1924" t="s">
        <v>5970</v>
      </c>
      <c r="C1924" t="s">
        <v>5971</v>
      </c>
      <c r="D1924" t="s">
        <v>5972</v>
      </c>
      <c r="E1924" t="s">
        <v>5973</v>
      </c>
      <c r="F1924" t="s">
        <v>5974</v>
      </c>
      <c r="G1924" s="2" t="str">
        <f>HYPERLINK("https://probpalata.gov.ru/files/ИП790900913400000.jpeg","Скачать индивидуальный QR-код магазина")</f>
        <v>Скачать индивидуальный QR-код магазина</v>
      </c>
    </row>
    <row r="1925" spans="1:7" x14ac:dyDescent="0.25">
      <c r="A1925" t="s">
        <v>5950</v>
      </c>
      <c r="B1925" t="s">
        <v>5975</v>
      </c>
      <c r="C1925" t="s">
        <v>5976</v>
      </c>
      <c r="D1925" t="s">
        <v>5977</v>
      </c>
      <c r="E1925" t="s">
        <v>5978</v>
      </c>
      <c r="F1925" t="s">
        <v>5979</v>
      </c>
      <c r="G1925" s="2" t="str">
        <f>HYPERLINK("https://probpalata.gov.ru/files/ИП790900119900000.jpeg","Скачать индивидуальный QR-код магазина")</f>
        <v>Скачать индивидуальный QR-код магазина</v>
      </c>
    </row>
    <row r="1926" spans="1:7" x14ac:dyDescent="0.25">
      <c r="A1926" t="s">
        <v>5950</v>
      </c>
      <c r="B1926" t="s">
        <v>5980</v>
      </c>
      <c r="C1926" t="s">
        <v>3634</v>
      </c>
      <c r="D1926" t="s">
        <v>5981</v>
      </c>
      <c r="E1926" t="s">
        <v>5982</v>
      </c>
      <c r="F1926" t="s">
        <v>5983</v>
      </c>
      <c r="G1926" s="2" t="str">
        <f>HYPERLINK("https://probpalata.gov.ru/files/ЮЛ790900838000000.jpeg","Скачать индивидуальный QR-код магазина")</f>
        <v>Скачать индивидуальный QR-код магазина</v>
      </c>
    </row>
    <row r="1927" spans="1:7" x14ac:dyDescent="0.25">
      <c r="A1927" t="s">
        <v>5950</v>
      </c>
      <c r="B1927" t="s">
        <v>5984</v>
      </c>
      <c r="C1927" t="s">
        <v>3634</v>
      </c>
      <c r="D1927" t="s">
        <v>5981</v>
      </c>
      <c r="E1927" t="s">
        <v>5982</v>
      </c>
      <c r="F1927" t="s">
        <v>5985</v>
      </c>
      <c r="G1927" s="2" t="str">
        <f>HYPERLINK("https://probpalata.gov.ru/files/ЮЛ790900838000001.jpeg","Скачать индивидуальный QR-код магазина")</f>
        <v>Скачать индивидуальный QR-код магазина</v>
      </c>
    </row>
    <row r="1928" spans="1:7" x14ac:dyDescent="0.25">
      <c r="A1928" t="s">
        <v>5950</v>
      </c>
      <c r="B1928" t="s">
        <v>5986</v>
      </c>
      <c r="C1928" t="s">
        <v>5987</v>
      </c>
      <c r="D1928" t="s">
        <v>5988</v>
      </c>
      <c r="E1928" t="s">
        <v>5989</v>
      </c>
      <c r="F1928" t="s">
        <v>5990</v>
      </c>
      <c r="G1928" s="2" t="str">
        <f>HYPERLINK("https://probpalata.gov.ru/files/ИП790900211400000.jpeg","Скачать индивидуальный QR-код магазина")</f>
        <v>Скачать индивидуальный QR-код магазина</v>
      </c>
    </row>
    <row r="1929" spans="1:7" x14ac:dyDescent="0.25">
      <c r="A1929" t="s">
        <v>5950</v>
      </c>
      <c r="B1929" t="s">
        <v>5991</v>
      </c>
      <c r="C1929" t="s">
        <v>5992</v>
      </c>
      <c r="D1929" t="s">
        <v>5993</v>
      </c>
      <c r="E1929" t="s">
        <v>5994</v>
      </c>
      <c r="F1929" t="s">
        <v>5995</v>
      </c>
      <c r="G1929" s="2" t="str">
        <f>HYPERLINK("https://probpalata.gov.ru/files/ИП790900126100000.jpeg","Скачать индивидуальный QR-код магазина")</f>
        <v>Скачать индивидуальный QR-код магазина</v>
      </c>
    </row>
    <row r="1930" spans="1:7" x14ac:dyDescent="0.25">
      <c r="A1930" t="s">
        <v>5996</v>
      </c>
      <c r="B1930" t="s">
        <v>5997</v>
      </c>
      <c r="C1930" t="s">
        <v>5998</v>
      </c>
      <c r="D1930" t="s">
        <v>5999</v>
      </c>
      <c r="E1930" t="s">
        <v>6000</v>
      </c>
      <c r="F1930" t="s">
        <v>6001</v>
      </c>
      <c r="G1930" s="2" t="str">
        <f>HYPERLINK("https://probpalata.gov.ru/files/ИП500101685200000.jpeg","Скачать индивидуальный QR-код магазина")</f>
        <v>Скачать индивидуальный QR-код магазина</v>
      </c>
    </row>
    <row r="1931" spans="1:7" x14ac:dyDescent="0.25">
      <c r="A1931" t="s">
        <v>5996</v>
      </c>
      <c r="B1931" t="s">
        <v>6002</v>
      </c>
      <c r="C1931" t="s">
        <v>6003</v>
      </c>
      <c r="D1931" t="s">
        <v>6004</v>
      </c>
      <c r="E1931" t="s">
        <v>6005</v>
      </c>
      <c r="F1931" t="s">
        <v>6006</v>
      </c>
      <c r="G1931" s="2" t="str">
        <f>HYPERLINK("https://probpalata.gov.ru/files/ИП750903110500000.jpeg","Скачать индивидуальный QR-код магазина")</f>
        <v>Скачать индивидуальный QR-код магазина</v>
      </c>
    </row>
    <row r="1932" spans="1:7" x14ac:dyDescent="0.25">
      <c r="A1932" t="s">
        <v>5996</v>
      </c>
      <c r="B1932" t="s">
        <v>6007</v>
      </c>
      <c r="C1932" t="s">
        <v>6008</v>
      </c>
      <c r="D1932" t="s">
        <v>6009</v>
      </c>
      <c r="E1932" t="s">
        <v>6010</v>
      </c>
      <c r="F1932" t="s">
        <v>6011</v>
      </c>
      <c r="G1932" s="2" t="str">
        <f>HYPERLINK("https://probpalata.gov.ru/files/ИП750900298300000.jpeg","Скачать индивидуальный QR-код магазина")</f>
        <v>Скачать индивидуальный QR-код магазина</v>
      </c>
    </row>
    <row r="1933" spans="1:7" x14ac:dyDescent="0.25">
      <c r="A1933" t="s">
        <v>5996</v>
      </c>
      <c r="B1933" t="s">
        <v>6012</v>
      </c>
      <c r="C1933" t="s">
        <v>6008</v>
      </c>
      <c r="D1933" t="s">
        <v>6009</v>
      </c>
      <c r="E1933" t="s">
        <v>6010</v>
      </c>
      <c r="F1933" t="s">
        <v>6013</v>
      </c>
      <c r="G1933" s="2" t="str">
        <f>HYPERLINK("https://probpalata.gov.ru/files/ИП750900298300001.jpeg","Скачать индивидуальный QR-код магазина")</f>
        <v>Скачать индивидуальный QR-код магазина</v>
      </c>
    </row>
    <row r="1934" spans="1:7" x14ac:dyDescent="0.25">
      <c r="A1934" t="s">
        <v>5996</v>
      </c>
      <c r="B1934" t="s">
        <v>6014</v>
      </c>
      <c r="C1934" t="s">
        <v>6015</v>
      </c>
      <c r="D1934" t="s">
        <v>6016</v>
      </c>
      <c r="E1934" t="s">
        <v>6017</v>
      </c>
      <c r="F1934" t="s">
        <v>6018</v>
      </c>
      <c r="G1934" s="2" t="str">
        <f>HYPERLINK("https://probpalata.gov.ru/files/ИП380800086300000.jpeg","Скачать индивидуальный QR-код магазина")</f>
        <v>Скачать индивидуальный QR-код магазина</v>
      </c>
    </row>
    <row r="1935" spans="1:7" x14ac:dyDescent="0.25">
      <c r="A1935" t="s">
        <v>5996</v>
      </c>
      <c r="B1935" t="s">
        <v>6012</v>
      </c>
      <c r="C1935" t="s">
        <v>6019</v>
      </c>
      <c r="D1935" t="s">
        <v>6020</v>
      </c>
      <c r="E1935" t="s">
        <v>6021</v>
      </c>
      <c r="F1935" t="s">
        <v>6022</v>
      </c>
      <c r="G1935" s="2" t="str">
        <f>HYPERLINK("https://probpalata.gov.ru/files/ЮЛ380803559400006.jpeg","Скачать индивидуальный QR-код магазина")</f>
        <v>Скачать индивидуальный QR-код магазина</v>
      </c>
    </row>
    <row r="1936" spans="1:7" x14ac:dyDescent="0.25">
      <c r="A1936" t="s">
        <v>5996</v>
      </c>
      <c r="B1936" t="s">
        <v>6023</v>
      </c>
      <c r="C1936" t="s">
        <v>6019</v>
      </c>
      <c r="D1936" t="s">
        <v>6020</v>
      </c>
      <c r="E1936" t="s">
        <v>6021</v>
      </c>
      <c r="F1936" t="s">
        <v>6024</v>
      </c>
      <c r="G1936" s="2" t="str">
        <f>HYPERLINK("https://probpalata.gov.ru/files/ЮЛ380803559400052.jpeg","Скачать индивидуальный QR-код магазина")</f>
        <v>Скачать индивидуальный QR-код магазина</v>
      </c>
    </row>
    <row r="1937" spans="1:7" x14ac:dyDescent="0.25">
      <c r="A1937" t="s">
        <v>5996</v>
      </c>
      <c r="B1937" t="s">
        <v>6025</v>
      </c>
      <c r="C1937" t="s">
        <v>6026</v>
      </c>
      <c r="D1937" t="s">
        <v>6027</v>
      </c>
      <c r="E1937" t="s">
        <v>6028</v>
      </c>
      <c r="F1937" t="s">
        <v>6029</v>
      </c>
      <c r="G1937" s="2" t="str">
        <f>HYPERLINK("https://probpalata.gov.ru/files/ЮЛ540800214800001.jpeg","Скачать индивидуальный QR-код магазина")</f>
        <v>Скачать индивидуальный QR-код магазина</v>
      </c>
    </row>
    <row r="1938" spans="1:7" x14ac:dyDescent="0.25">
      <c r="A1938" t="s">
        <v>5996</v>
      </c>
      <c r="B1938" t="s">
        <v>6030</v>
      </c>
      <c r="C1938" t="s">
        <v>6026</v>
      </c>
      <c r="D1938" t="s">
        <v>6027</v>
      </c>
      <c r="E1938" t="s">
        <v>6028</v>
      </c>
      <c r="F1938" t="s">
        <v>6031</v>
      </c>
      <c r="G1938" s="2" t="str">
        <f>HYPERLINK("https://probpalata.gov.ru/files/ЮЛ540800214800003.jpeg","Скачать индивидуальный QR-код магазина")</f>
        <v>Скачать индивидуальный QR-код магазина</v>
      </c>
    </row>
    <row r="1939" spans="1:7" x14ac:dyDescent="0.25">
      <c r="A1939" t="s">
        <v>5996</v>
      </c>
      <c r="B1939" t="s">
        <v>6032</v>
      </c>
      <c r="C1939" t="s">
        <v>6026</v>
      </c>
      <c r="D1939" t="s">
        <v>6027</v>
      </c>
      <c r="E1939" t="s">
        <v>6028</v>
      </c>
      <c r="F1939" t="s">
        <v>6033</v>
      </c>
      <c r="G1939" s="2" t="str">
        <f>HYPERLINK("https://probpalata.gov.ru/files/ЮЛ540800214800004.jpeg","Скачать индивидуальный QR-код магазина")</f>
        <v>Скачать индивидуальный QR-код магазина</v>
      </c>
    </row>
    <row r="1940" spans="1:7" x14ac:dyDescent="0.25">
      <c r="A1940" t="s">
        <v>5996</v>
      </c>
      <c r="B1940" t="s">
        <v>6034</v>
      </c>
      <c r="C1940" t="s">
        <v>6026</v>
      </c>
      <c r="D1940" t="s">
        <v>6027</v>
      </c>
      <c r="E1940" t="s">
        <v>6028</v>
      </c>
      <c r="F1940" t="s">
        <v>6035</v>
      </c>
      <c r="G1940" s="2" t="str">
        <f>HYPERLINK("https://probpalata.gov.ru/files/ЮЛ540800214800005.jpeg","Скачать индивидуальный QR-код магазина")</f>
        <v>Скачать индивидуальный QR-код магазина</v>
      </c>
    </row>
    <row r="1941" spans="1:7" x14ac:dyDescent="0.25">
      <c r="A1941" t="s">
        <v>5996</v>
      </c>
      <c r="B1941" t="s">
        <v>6036</v>
      </c>
      <c r="C1941" t="s">
        <v>6026</v>
      </c>
      <c r="D1941" t="s">
        <v>6027</v>
      </c>
      <c r="E1941" t="s">
        <v>6028</v>
      </c>
      <c r="F1941" t="s">
        <v>6037</v>
      </c>
      <c r="G1941" s="2" t="str">
        <f>HYPERLINK("https://probpalata.gov.ru/files/ЮЛ540800214800006.jpeg","Скачать индивидуальный QR-код магазина")</f>
        <v>Скачать индивидуальный QR-код магазина</v>
      </c>
    </row>
    <row r="1942" spans="1:7" x14ac:dyDescent="0.25">
      <c r="A1942" t="s">
        <v>5996</v>
      </c>
      <c r="B1942" t="s">
        <v>6038</v>
      </c>
      <c r="C1942" t="s">
        <v>6039</v>
      </c>
      <c r="D1942" t="s">
        <v>6040</v>
      </c>
      <c r="E1942" t="s">
        <v>6041</v>
      </c>
      <c r="F1942" t="s">
        <v>6042</v>
      </c>
      <c r="G1942" s="2" t="str">
        <f>HYPERLINK("https://probpalata.gov.ru/files/ИП770101425100020.jpeg","Скачать индивидуальный QR-код магазина")</f>
        <v>Скачать индивидуальный QR-код магазина</v>
      </c>
    </row>
    <row r="1943" spans="1:7" x14ac:dyDescent="0.25">
      <c r="A1943" t="s">
        <v>5996</v>
      </c>
      <c r="B1943" t="s">
        <v>6043</v>
      </c>
      <c r="C1943" t="s">
        <v>6044</v>
      </c>
      <c r="D1943" t="s">
        <v>6045</v>
      </c>
      <c r="E1943" t="s">
        <v>6046</v>
      </c>
      <c r="F1943" t="s">
        <v>6047</v>
      </c>
      <c r="G1943" s="2" t="str">
        <f>HYPERLINK("https://probpalata.gov.ru/files/ЮЛ750903521800000.jpeg","Скачать индивидуальный QR-код магазина")</f>
        <v>Скачать индивидуальный QR-код магазина</v>
      </c>
    </row>
    <row r="1944" spans="1:7" x14ac:dyDescent="0.25">
      <c r="A1944" t="s">
        <v>5996</v>
      </c>
      <c r="B1944" t="s">
        <v>6048</v>
      </c>
      <c r="C1944" t="s">
        <v>6049</v>
      </c>
      <c r="D1944" t="s">
        <v>6050</v>
      </c>
      <c r="E1944" t="s">
        <v>6051</v>
      </c>
      <c r="F1944" t="s">
        <v>6052</v>
      </c>
      <c r="G1944" s="2" t="str">
        <f>HYPERLINK("https://probpalata.gov.ru/files/ИП750900782300000.jpeg","Скачать индивидуальный QR-код магазина")</f>
        <v>Скачать индивидуальный QR-код магазина</v>
      </c>
    </row>
    <row r="1945" spans="1:7" x14ac:dyDescent="0.25">
      <c r="A1945" t="s">
        <v>5996</v>
      </c>
      <c r="B1945" t="s">
        <v>6053</v>
      </c>
      <c r="C1945" t="s">
        <v>6054</v>
      </c>
      <c r="D1945" t="s">
        <v>6055</v>
      </c>
      <c r="E1945" t="s">
        <v>6056</v>
      </c>
      <c r="F1945" t="s">
        <v>6057</v>
      </c>
      <c r="G1945" s="2" t="str">
        <f>HYPERLINK("https://probpalata.gov.ru/files/ИП750900246500000.jpeg","Скачать индивидуальный QR-код магазина")</f>
        <v>Скачать индивидуальный QR-код магазина</v>
      </c>
    </row>
    <row r="1946" spans="1:7" x14ac:dyDescent="0.25">
      <c r="A1946" t="s">
        <v>5996</v>
      </c>
      <c r="B1946" t="s">
        <v>6058</v>
      </c>
      <c r="C1946" t="s">
        <v>6059</v>
      </c>
      <c r="D1946" t="s">
        <v>6060</v>
      </c>
      <c r="E1946" t="s">
        <v>6061</v>
      </c>
      <c r="F1946" t="s">
        <v>6062</v>
      </c>
      <c r="G1946" s="2" t="str">
        <f>HYPERLINK("https://probpalata.gov.ru/files/ИП750901467900000.jpeg","Скачать индивидуальный QR-код магазина")</f>
        <v>Скачать индивидуальный QR-код магазина</v>
      </c>
    </row>
    <row r="1947" spans="1:7" x14ac:dyDescent="0.25">
      <c r="A1947" t="s">
        <v>5996</v>
      </c>
      <c r="B1947" t="s">
        <v>6063</v>
      </c>
      <c r="C1947" t="s">
        <v>6064</v>
      </c>
      <c r="D1947" t="s">
        <v>6065</v>
      </c>
      <c r="E1947" t="s">
        <v>6066</v>
      </c>
      <c r="F1947" t="s">
        <v>6067</v>
      </c>
      <c r="G1947" s="2" t="str">
        <f>HYPERLINK("https://probpalata.gov.ru/files/ИП750901101800000.jpeg","Скачать индивидуальный QR-код магазина")</f>
        <v>Скачать индивидуальный QR-код магазина</v>
      </c>
    </row>
    <row r="1948" spans="1:7" x14ac:dyDescent="0.25">
      <c r="A1948" t="s">
        <v>5996</v>
      </c>
      <c r="B1948" t="s">
        <v>6068</v>
      </c>
      <c r="C1948" t="s">
        <v>6069</v>
      </c>
      <c r="D1948" t="s">
        <v>6070</v>
      </c>
      <c r="E1948" t="s">
        <v>6071</v>
      </c>
      <c r="F1948" t="s">
        <v>6072</v>
      </c>
      <c r="G1948" s="2" t="str">
        <f>HYPERLINK("https://probpalata.gov.ru/files/ИП750903247100000.jpeg","Скачать индивидуальный QR-код магазина")</f>
        <v>Скачать индивидуальный QR-код магазина</v>
      </c>
    </row>
    <row r="1949" spans="1:7" x14ac:dyDescent="0.25">
      <c r="A1949" t="s">
        <v>5996</v>
      </c>
      <c r="B1949" t="s">
        <v>6073</v>
      </c>
      <c r="C1949" t="s">
        <v>6074</v>
      </c>
      <c r="D1949" t="s">
        <v>6075</v>
      </c>
      <c r="E1949" t="s">
        <v>6076</v>
      </c>
      <c r="F1949" t="s">
        <v>6077</v>
      </c>
      <c r="G1949" s="2" t="str">
        <f>HYPERLINK("https://probpalata.gov.ru/files/ИП750903619400000.jpeg","Скачать индивидуальный QR-код магазина")</f>
        <v>Скачать индивидуальный QR-код магазина</v>
      </c>
    </row>
    <row r="1950" spans="1:7" x14ac:dyDescent="0.25">
      <c r="A1950" t="s">
        <v>5996</v>
      </c>
      <c r="B1950" t="s">
        <v>6078</v>
      </c>
      <c r="C1950" t="s">
        <v>6079</v>
      </c>
      <c r="D1950" t="s">
        <v>6080</v>
      </c>
      <c r="E1950" t="s">
        <v>6081</v>
      </c>
      <c r="F1950" t="s">
        <v>6082</v>
      </c>
      <c r="G1950" s="2" t="str">
        <f>HYPERLINK("https://probpalata.gov.ru/files/ИП750900393700000.jpeg","Скачать индивидуальный QR-код магазина")</f>
        <v>Скачать индивидуальный QR-код магазина</v>
      </c>
    </row>
    <row r="1951" spans="1:7" x14ac:dyDescent="0.25">
      <c r="A1951" t="s">
        <v>5996</v>
      </c>
      <c r="B1951" t="s">
        <v>6083</v>
      </c>
      <c r="C1951" t="s">
        <v>6084</v>
      </c>
      <c r="D1951" t="s">
        <v>6085</v>
      </c>
      <c r="E1951" t="s">
        <v>6086</v>
      </c>
      <c r="F1951" t="s">
        <v>6087</v>
      </c>
      <c r="G1951" s="2" t="str">
        <f>HYPERLINK("https://probpalata.gov.ru/files/ИП750900004800000.jpeg","Скачать индивидуальный QR-код магазина")</f>
        <v>Скачать индивидуальный QR-код магазина</v>
      </c>
    </row>
    <row r="1952" spans="1:7" x14ac:dyDescent="0.25">
      <c r="A1952" t="s">
        <v>5996</v>
      </c>
      <c r="B1952" t="s">
        <v>6088</v>
      </c>
      <c r="C1952" t="s">
        <v>6089</v>
      </c>
      <c r="D1952" t="s">
        <v>6090</v>
      </c>
      <c r="E1952" t="s">
        <v>6091</v>
      </c>
      <c r="F1952" t="s">
        <v>6092</v>
      </c>
      <c r="G1952" s="2" t="str">
        <f>HYPERLINK("https://probpalata.gov.ru/files/ИП750901689400000.jpeg","Скачать индивидуальный QR-код магазина")</f>
        <v>Скачать индивидуальный QR-код магазина</v>
      </c>
    </row>
    <row r="1953" spans="1:7" x14ac:dyDescent="0.25">
      <c r="A1953" t="s">
        <v>5996</v>
      </c>
      <c r="B1953" t="s">
        <v>6093</v>
      </c>
      <c r="C1953" t="s">
        <v>6094</v>
      </c>
      <c r="D1953" t="s">
        <v>6095</v>
      </c>
      <c r="E1953" t="s">
        <v>6096</v>
      </c>
      <c r="F1953" t="s">
        <v>6097</v>
      </c>
      <c r="G1953" s="2" t="str">
        <f>HYPERLINK("https://probpalata.gov.ru/files/ИП750900792700000.jpeg","Скачать индивидуальный QR-код магазина")</f>
        <v>Скачать индивидуальный QR-код магазина</v>
      </c>
    </row>
    <row r="1954" spans="1:7" x14ac:dyDescent="0.25">
      <c r="A1954" t="s">
        <v>5996</v>
      </c>
      <c r="B1954" t="s">
        <v>6098</v>
      </c>
      <c r="C1954" t="s">
        <v>6094</v>
      </c>
      <c r="D1954" t="s">
        <v>6095</v>
      </c>
      <c r="E1954" t="s">
        <v>6096</v>
      </c>
      <c r="F1954" t="s">
        <v>6099</v>
      </c>
      <c r="G1954" s="2" t="str">
        <f>HYPERLINK("https://probpalata.gov.ru/files/ИП750900792700002.jpeg","Скачать индивидуальный QR-код магазина")</f>
        <v>Скачать индивидуальный QR-код магазина</v>
      </c>
    </row>
    <row r="1955" spans="1:7" x14ac:dyDescent="0.25">
      <c r="A1955" t="s">
        <v>5996</v>
      </c>
      <c r="B1955" t="s">
        <v>6100</v>
      </c>
      <c r="C1955" t="s">
        <v>6101</v>
      </c>
      <c r="D1955" t="s">
        <v>6102</v>
      </c>
      <c r="E1955" t="s">
        <v>6103</v>
      </c>
      <c r="F1955" t="s">
        <v>6104</v>
      </c>
      <c r="G1955" s="2" t="str">
        <f>HYPERLINK("https://probpalata.gov.ru/files/ЮЛ750901104000000.jpeg","Скачать индивидуальный QR-код магазина")</f>
        <v>Скачать индивидуальный QR-код магазина</v>
      </c>
    </row>
    <row r="1956" spans="1:7" x14ac:dyDescent="0.25">
      <c r="A1956" t="s">
        <v>5996</v>
      </c>
      <c r="B1956" t="s">
        <v>6105</v>
      </c>
      <c r="C1956" t="s">
        <v>6106</v>
      </c>
      <c r="D1956" t="s">
        <v>6107</v>
      </c>
      <c r="E1956" t="s">
        <v>6108</v>
      </c>
      <c r="F1956" t="s">
        <v>6109</v>
      </c>
      <c r="G1956" s="2" t="str">
        <f>HYPERLINK("https://probpalata.gov.ru/files/ИП750901769600000.jpeg","Скачать индивидуальный QR-код магазина")</f>
        <v>Скачать индивидуальный QR-код магазина</v>
      </c>
    </row>
    <row r="1957" spans="1:7" x14ac:dyDescent="0.25">
      <c r="A1957" t="s">
        <v>5996</v>
      </c>
      <c r="B1957" t="s">
        <v>6110</v>
      </c>
      <c r="C1957" t="s">
        <v>6111</v>
      </c>
      <c r="D1957" t="s">
        <v>6112</v>
      </c>
      <c r="E1957" t="s">
        <v>6113</v>
      </c>
      <c r="F1957" t="s">
        <v>6114</v>
      </c>
      <c r="G1957" s="2" t="str">
        <f>HYPERLINK("https://probpalata.gov.ru/files/ИП750901153700000.jpeg","Скачать индивидуальный QR-код магазина")</f>
        <v>Скачать индивидуальный QR-код магазина</v>
      </c>
    </row>
    <row r="1958" spans="1:7" x14ac:dyDescent="0.25">
      <c r="A1958" t="s">
        <v>5996</v>
      </c>
      <c r="B1958" t="s">
        <v>6115</v>
      </c>
      <c r="C1958" t="s">
        <v>6116</v>
      </c>
      <c r="D1958" t="s">
        <v>6117</v>
      </c>
      <c r="E1958" t="s">
        <v>6118</v>
      </c>
      <c r="F1958" t="s">
        <v>6119</v>
      </c>
      <c r="G1958" s="2" t="str">
        <f>HYPERLINK("https://probpalata.gov.ru/files/ИП750900674900000.jpeg","Скачать индивидуальный QR-код магазина")</f>
        <v>Скачать индивидуальный QR-код магазина</v>
      </c>
    </row>
    <row r="1959" spans="1:7" x14ac:dyDescent="0.25">
      <c r="A1959" t="s">
        <v>5996</v>
      </c>
      <c r="B1959" t="s">
        <v>6120</v>
      </c>
      <c r="C1959" t="s">
        <v>6121</v>
      </c>
      <c r="D1959" t="s">
        <v>6122</v>
      </c>
      <c r="E1959" t="s">
        <v>6123</v>
      </c>
      <c r="F1959" t="s">
        <v>6124</v>
      </c>
      <c r="G1959" s="2" t="str">
        <f>HYPERLINK("https://probpalata.gov.ru/files/ИП520603241900000.jpeg","Скачать индивидуальный QR-код магазина")</f>
        <v>Скачать индивидуальный QR-код магазина</v>
      </c>
    </row>
    <row r="1960" spans="1:7" x14ac:dyDescent="0.25">
      <c r="A1960" t="s">
        <v>5996</v>
      </c>
      <c r="B1960" t="s">
        <v>6125</v>
      </c>
      <c r="C1960" t="s">
        <v>6126</v>
      </c>
      <c r="D1960" t="s">
        <v>6127</v>
      </c>
      <c r="E1960" t="s">
        <v>6128</v>
      </c>
      <c r="F1960" t="s">
        <v>6129</v>
      </c>
      <c r="G1960" s="2" t="str">
        <f>HYPERLINK("https://probpalata.gov.ru/files/ИП750900341800000.jpeg","Скачать индивидуальный QR-код магазина")</f>
        <v>Скачать индивидуальный QR-код магазина</v>
      </c>
    </row>
    <row r="1961" spans="1:7" x14ac:dyDescent="0.25">
      <c r="A1961" t="s">
        <v>5996</v>
      </c>
      <c r="B1961" t="s">
        <v>6130</v>
      </c>
      <c r="C1961" t="s">
        <v>6131</v>
      </c>
      <c r="D1961" t="s">
        <v>6132</v>
      </c>
      <c r="E1961" t="s">
        <v>6133</v>
      </c>
      <c r="F1961" t="s">
        <v>6134</v>
      </c>
      <c r="G1961" s="2" t="str">
        <f>HYPERLINK("https://probpalata.gov.ru/files/ИП750903514200000.jpeg","Скачать индивидуальный QR-код магазина")</f>
        <v>Скачать индивидуальный QR-код магазина</v>
      </c>
    </row>
    <row r="1962" spans="1:7" x14ac:dyDescent="0.25">
      <c r="A1962" t="s">
        <v>5996</v>
      </c>
      <c r="B1962" t="s">
        <v>6025</v>
      </c>
      <c r="C1962" t="s">
        <v>6135</v>
      </c>
      <c r="D1962" t="s">
        <v>6136</v>
      </c>
      <c r="E1962" t="s">
        <v>6137</v>
      </c>
      <c r="F1962" t="s">
        <v>6138</v>
      </c>
      <c r="G1962" s="2" t="str">
        <f>HYPERLINK("https://probpalata.gov.ru/files/ИП750900188500000.jpeg","Скачать индивидуальный QR-код магазина")</f>
        <v>Скачать индивидуальный QR-код магазина</v>
      </c>
    </row>
    <row r="1963" spans="1:7" x14ac:dyDescent="0.25">
      <c r="A1963" t="s">
        <v>5996</v>
      </c>
      <c r="B1963" t="s">
        <v>6014</v>
      </c>
      <c r="C1963" t="s">
        <v>6135</v>
      </c>
      <c r="D1963" t="s">
        <v>6136</v>
      </c>
      <c r="E1963" t="s">
        <v>6137</v>
      </c>
      <c r="F1963" t="s">
        <v>6139</v>
      </c>
      <c r="G1963" s="2" t="str">
        <f>HYPERLINK("https://probpalata.gov.ru/files/ИП750900188500001.jpeg","Скачать индивидуальный QR-код магазина")</f>
        <v>Скачать индивидуальный QR-код магазина</v>
      </c>
    </row>
    <row r="1964" spans="1:7" x14ac:dyDescent="0.25">
      <c r="A1964" t="s">
        <v>5996</v>
      </c>
      <c r="B1964" t="s">
        <v>6140</v>
      </c>
      <c r="C1964" t="s">
        <v>6141</v>
      </c>
      <c r="D1964" t="s">
        <v>6142</v>
      </c>
      <c r="E1964" t="s">
        <v>6143</v>
      </c>
      <c r="F1964" t="s">
        <v>6144</v>
      </c>
      <c r="G1964" s="2" t="str">
        <f>HYPERLINK("https://probpalata.gov.ru/files/ИП750900285100000.jpeg","Скачать индивидуальный QR-код магазина")</f>
        <v>Скачать индивидуальный QR-код магазина</v>
      </c>
    </row>
    <row r="1965" spans="1:7" x14ac:dyDescent="0.25">
      <c r="A1965" t="s">
        <v>5996</v>
      </c>
      <c r="B1965" t="s">
        <v>6145</v>
      </c>
      <c r="C1965" t="s">
        <v>6141</v>
      </c>
      <c r="D1965" t="s">
        <v>6142</v>
      </c>
      <c r="E1965" t="s">
        <v>6143</v>
      </c>
      <c r="F1965" t="s">
        <v>6146</v>
      </c>
      <c r="G1965" s="2" t="str">
        <f>HYPERLINK("https://probpalata.gov.ru/files/ИП750900285100001.jpeg","Скачать индивидуальный QR-код магазина")</f>
        <v>Скачать индивидуальный QR-код магазина</v>
      </c>
    </row>
    <row r="1966" spans="1:7" x14ac:dyDescent="0.25">
      <c r="A1966" t="s">
        <v>5996</v>
      </c>
      <c r="B1966" t="s">
        <v>6147</v>
      </c>
      <c r="C1966" t="s">
        <v>6141</v>
      </c>
      <c r="D1966" t="s">
        <v>6142</v>
      </c>
      <c r="E1966" t="s">
        <v>6143</v>
      </c>
      <c r="F1966" t="s">
        <v>6148</v>
      </c>
      <c r="G1966" s="2" t="str">
        <f>HYPERLINK("https://probpalata.gov.ru/files/ИП750900285100002.jpeg","Скачать индивидуальный QR-код магазина")</f>
        <v>Скачать индивидуальный QR-код магазина</v>
      </c>
    </row>
    <row r="1967" spans="1:7" x14ac:dyDescent="0.25">
      <c r="A1967" t="s">
        <v>5996</v>
      </c>
      <c r="B1967" t="s">
        <v>6149</v>
      </c>
      <c r="C1967" t="s">
        <v>6150</v>
      </c>
      <c r="D1967" t="s">
        <v>6151</v>
      </c>
      <c r="E1967" t="s">
        <v>6152</v>
      </c>
      <c r="F1967" t="s">
        <v>6153</v>
      </c>
      <c r="G1967" s="2" t="str">
        <f>HYPERLINK("https://probpalata.gov.ru/files/ИП750903872900000.jpeg","Скачать индивидуальный QR-код магазина")</f>
        <v>Скачать индивидуальный QR-код магазина</v>
      </c>
    </row>
    <row r="1968" spans="1:7" x14ac:dyDescent="0.25">
      <c r="A1968" t="s">
        <v>5996</v>
      </c>
      <c r="B1968" t="s">
        <v>6154</v>
      </c>
      <c r="C1968" t="s">
        <v>6155</v>
      </c>
      <c r="D1968" t="s">
        <v>6156</v>
      </c>
      <c r="E1968" t="s">
        <v>6157</v>
      </c>
      <c r="F1968" t="s">
        <v>6158</v>
      </c>
      <c r="G1968" s="2" t="str">
        <f>HYPERLINK("https://probpalata.gov.ru/files/ИП750900346600000.jpeg","Скачать индивидуальный QR-код магазина")</f>
        <v>Скачать индивидуальный QR-код магазина</v>
      </c>
    </row>
    <row r="1969" spans="1:7" x14ac:dyDescent="0.25">
      <c r="A1969" t="s">
        <v>5996</v>
      </c>
      <c r="B1969" t="s">
        <v>6159</v>
      </c>
      <c r="C1969" t="s">
        <v>6160</v>
      </c>
      <c r="D1969" t="s">
        <v>6161</v>
      </c>
      <c r="E1969" t="s">
        <v>6162</v>
      </c>
      <c r="F1969" t="s">
        <v>6163</v>
      </c>
      <c r="G1969" s="2" t="str">
        <f>HYPERLINK("https://probpalata.gov.ru/files/ИП750900569700000.jpeg","Скачать индивидуальный QR-код магазина")</f>
        <v>Скачать индивидуальный QR-код магазина</v>
      </c>
    </row>
    <row r="1970" spans="1:7" x14ac:dyDescent="0.25">
      <c r="A1970" t="s">
        <v>5996</v>
      </c>
      <c r="B1970" t="s">
        <v>6164</v>
      </c>
      <c r="C1970" t="s">
        <v>6160</v>
      </c>
      <c r="D1970" t="s">
        <v>6161</v>
      </c>
      <c r="E1970" t="s">
        <v>6162</v>
      </c>
      <c r="F1970" t="s">
        <v>6165</v>
      </c>
      <c r="G1970" s="2" t="str">
        <f>HYPERLINK("https://probpalata.gov.ru/files/ИП750900569700001.jpeg","Скачать индивидуальный QR-код магазина")</f>
        <v>Скачать индивидуальный QR-код магазина</v>
      </c>
    </row>
    <row r="1971" spans="1:7" x14ac:dyDescent="0.25">
      <c r="A1971" t="s">
        <v>5996</v>
      </c>
      <c r="B1971" t="s">
        <v>6166</v>
      </c>
      <c r="C1971" t="s">
        <v>6160</v>
      </c>
      <c r="D1971" t="s">
        <v>6161</v>
      </c>
      <c r="E1971" t="s">
        <v>6162</v>
      </c>
      <c r="F1971" t="s">
        <v>6167</v>
      </c>
      <c r="G1971" s="2" t="str">
        <f>HYPERLINK("https://probpalata.gov.ru/files/ИП750900569700002.jpeg","Скачать индивидуальный QR-код магазина")</f>
        <v>Скачать индивидуальный QR-код магазина</v>
      </c>
    </row>
    <row r="1972" spans="1:7" x14ac:dyDescent="0.25">
      <c r="A1972" t="s">
        <v>5996</v>
      </c>
      <c r="B1972" t="s">
        <v>6168</v>
      </c>
      <c r="C1972" t="s">
        <v>6160</v>
      </c>
      <c r="D1972" t="s">
        <v>6161</v>
      </c>
      <c r="E1972" t="s">
        <v>6162</v>
      </c>
      <c r="F1972" t="s">
        <v>6169</v>
      </c>
      <c r="G1972" s="2" t="str">
        <f>HYPERLINK("https://probpalata.gov.ru/files/ИП750900569700003.jpeg","Скачать индивидуальный QR-код магазина")</f>
        <v>Скачать индивидуальный QR-код магазина</v>
      </c>
    </row>
    <row r="1973" spans="1:7" x14ac:dyDescent="0.25">
      <c r="A1973" t="s">
        <v>5996</v>
      </c>
      <c r="B1973" t="s">
        <v>6170</v>
      </c>
      <c r="C1973" t="s">
        <v>6160</v>
      </c>
      <c r="D1973" t="s">
        <v>6161</v>
      </c>
      <c r="E1973" t="s">
        <v>6162</v>
      </c>
      <c r="F1973" t="s">
        <v>6171</v>
      </c>
      <c r="G1973" s="2" t="str">
        <f>HYPERLINK("https://probpalata.gov.ru/files/ИП750900569700004.jpeg","Скачать индивидуальный QR-код магазина")</f>
        <v>Скачать индивидуальный QR-код магазина</v>
      </c>
    </row>
    <row r="1974" spans="1:7" x14ac:dyDescent="0.25">
      <c r="A1974" t="s">
        <v>5996</v>
      </c>
      <c r="B1974" t="s">
        <v>6172</v>
      </c>
      <c r="C1974" t="s">
        <v>6173</v>
      </c>
      <c r="D1974" t="s">
        <v>6174</v>
      </c>
      <c r="E1974" t="s">
        <v>6175</v>
      </c>
      <c r="F1974" t="s">
        <v>6176</v>
      </c>
      <c r="G1974" s="2" t="str">
        <f>HYPERLINK("https://probpalata.gov.ru/files/ИП750900297300000.jpeg","Скачать индивидуальный QR-код магазина")</f>
        <v>Скачать индивидуальный QR-код магазина</v>
      </c>
    </row>
    <row r="1975" spans="1:7" x14ac:dyDescent="0.25">
      <c r="A1975" t="s">
        <v>5996</v>
      </c>
      <c r="B1975" t="s">
        <v>6177</v>
      </c>
      <c r="C1975" t="s">
        <v>6178</v>
      </c>
      <c r="D1975" t="s">
        <v>6179</v>
      </c>
      <c r="E1975" t="s">
        <v>6180</v>
      </c>
      <c r="F1975" t="s">
        <v>6181</v>
      </c>
      <c r="G1975" s="2" t="str">
        <f>HYPERLINK("https://probpalata.gov.ru/files/ИП750900123200001.jpeg","Скачать индивидуальный QR-код магазина")</f>
        <v>Скачать индивидуальный QR-код магазина</v>
      </c>
    </row>
    <row r="1976" spans="1:7" x14ac:dyDescent="0.25">
      <c r="A1976" t="s">
        <v>5996</v>
      </c>
      <c r="B1976" t="s">
        <v>6182</v>
      </c>
      <c r="C1976" t="s">
        <v>6178</v>
      </c>
      <c r="D1976" t="s">
        <v>6179</v>
      </c>
      <c r="E1976" t="s">
        <v>6180</v>
      </c>
      <c r="F1976" t="s">
        <v>6183</v>
      </c>
      <c r="G1976" s="2" t="str">
        <f>HYPERLINK("https://probpalata.gov.ru/files/ИП750900123200002.jpeg","Скачать индивидуальный QR-код магазина")</f>
        <v>Скачать индивидуальный QR-код магазина</v>
      </c>
    </row>
    <row r="1977" spans="1:7" x14ac:dyDescent="0.25">
      <c r="A1977" t="s">
        <v>5996</v>
      </c>
      <c r="B1977" t="s">
        <v>6184</v>
      </c>
      <c r="C1977" t="s">
        <v>6178</v>
      </c>
      <c r="D1977" t="s">
        <v>6179</v>
      </c>
      <c r="E1977" t="s">
        <v>6180</v>
      </c>
      <c r="F1977" t="s">
        <v>6185</v>
      </c>
      <c r="G1977" s="2" t="str">
        <f>HYPERLINK("https://probpalata.gov.ru/files/ИП750900123200003.jpeg","Скачать индивидуальный QR-код магазина")</f>
        <v>Скачать индивидуальный QR-код магазина</v>
      </c>
    </row>
    <row r="1978" spans="1:7" x14ac:dyDescent="0.25">
      <c r="A1978" t="s">
        <v>5996</v>
      </c>
      <c r="B1978" t="s">
        <v>6186</v>
      </c>
      <c r="C1978" t="s">
        <v>6178</v>
      </c>
      <c r="D1978" t="s">
        <v>6179</v>
      </c>
      <c r="E1978" t="s">
        <v>6180</v>
      </c>
      <c r="F1978" t="s">
        <v>6187</v>
      </c>
      <c r="G1978" s="2" t="str">
        <f>HYPERLINK("https://probpalata.gov.ru/files/ИП750900123200004.jpeg","Скачать индивидуальный QR-код магазина")</f>
        <v>Скачать индивидуальный QR-код магазина</v>
      </c>
    </row>
    <row r="1979" spans="1:7" x14ac:dyDescent="0.25">
      <c r="A1979" t="s">
        <v>5996</v>
      </c>
      <c r="B1979" t="s">
        <v>6188</v>
      </c>
      <c r="C1979" t="s">
        <v>6178</v>
      </c>
      <c r="D1979" t="s">
        <v>6179</v>
      </c>
      <c r="E1979" t="s">
        <v>6180</v>
      </c>
      <c r="F1979" t="s">
        <v>6189</v>
      </c>
      <c r="G1979" s="2" t="str">
        <f>HYPERLINK("https://probpalata.gov.ru/files/ИП750900123200005.jpeg","Скачать индивидуальный QR-код магазина")</f>
        <v>Скачать индивидуальный QR-код магазина</v>
      </c>
    </row>
    <row r="1980" spans="1:7" x14ac:dyDescent="0.25">
      <c r="A1980" t="s">
        <v>5996</v>
      </c>
      <c r="B1980" t="s">
        <v>6190</v>
      </c>
      <c r="C1980" t="s">
        <v>6178</v>
      </c>
      <c r="D1980" t="s">
        <v>6179</v>
      </c>
      <c r="E1980" t="s">
        <v>6180</v>
      </c>
      <c r="F1980" t="s">
        <v>6191</v>
      </c>
      <c r="G1980" s="2" t="str">
        <f>HYPERLINK("https://probpalata.gov.ru/files/ИП750900123200006.jpeg","Скачать индивидуальный QR-код магазина")</f>
        <v>Скачать индивидуальный QR-код магазина</v>
      </c>
    </row>
    <row r="1981" spans="1:7" x14ac:dyDescent="0.25">
      <c r="A1981" t="s">
        <v>5996</v>
      </c>
      <c r="B1981" t="s">
        <v>6192</v>
      </c>
      <c r="C1981" t="s">
        <v>6178</v>
      </c>
      <c r="D1981" t="s">
        <v>6179</v>
      </c>
      <c r="E1981" t="s">
        <v>6180</v>
      </c>
      <c r="F1981" t="s">
        <v>6193</v>
      </c>
      <c r="G1981" s="2" t="str">
        <f>HYPERLINK("https://probpalata.gov.ru/files/ИП750900123200007.jpeg","Скачать индивидуальный QR-код магазина")</f>
        <v>Скачать индивидуальный QR-код магазина</v>
      </c>
    </row>
    <row r="1982" spans="1:7" x14ac:dyDescent="0.25">
      <c r="A1982" t="s">
        <v>5996</v>
      </c>
      <c r="B1982" t="s">
        <v>6194</v>
      </c>
      <c r="C1982" t="s">
        <v>6178</v>
      </c>
      <c r="D1982" t="s">
        <v>6179</v>
      </c>
      <c r="E1982" t="s">
        <v>6180</v>
      </c>
      <c r="F1982" t="s">
        <v>6195</v>
      </c>
      <c r="G1982" s="2" t="str">
        <f>HYPERLINK("https://probpalata.gov.ru/files/ИП750900123200008.jpeg","Скачать индивидуальный QR-код магазина")</f>
        <v>Скачать индивидуальный QR-код магазина</v>
      </c>
    </row>
    <row r="1983" spans="1:7" x14ac:dyDescent="0.25">
      <c r="A1983" t="s">
        <v>5996</v>
      </c>
      <c r="B1983" t="s">
        <v>6196</v>
      </c>
      <c r="C1983" t="s">
        <v>6197</v>
      </c>
      <c r="D1983" t="s">
        <v>6198</v>
      </c>
      <c r="E1983" t="s">
        <v>6199</v>
      </c>
      <c r="F1983" t="s">
        <v>6200</v>
      </c>
      <c r="G1983" s="2" t="str">
        <f>HYPERLINK("https://probpalata.gov.ru/files/ИП750900339600000.jpeg","Скачать индивидуальный QR-код магазина")</f>
        <v>Скачать индивидуальный QR-код магазина</v>
      </c>
    </row>
    <row r="1984" spans="1:7" x14ac:dyDescent="0.25">
      <c r="A1984" t="s">
        <v>5996</v>
      </c>
      <c r="B1984" t="s">
        <v>6201</v>
      </c>
      <c r="C1984" t="s">
        <v>6197</v>
      </c>
      <c r="D1984" t="s">
        <v>6198</v>
      </c>
      <c r="E1984" t="s">
        <v>6199</v>
      </c>
      <c r="F1984" t="s">
        <v>6202</v>
      </c>
      <c r="G1984" s="2" t="str">
        <f>HYPERLINK("https://probpalata.gov.ru/files/ИП750900339600006.jpeg","Скачать индивидуальный QR-код магазина")</f>
        <v>Скачать индивидуальный QR-код магазина</v>
      </c>
    </row>
    <row r="1985" spans="1:7" x14ac:dyDescent="0.25">
      <c r="A1985" t="s">
        <v>5996</v>
      </c>
      <c r="B1985" t="s">
        <v>6170</v>
      </c>
      <c r="C1985" t="s">
        <v>6203</v>
      </c>
      <c r="D1985" t="s">
        <v>6204</v>
      </c>
      <c r="E1985" t="s">
        <v>6205</v>
      </c>
      <c r="F1985" t="s">
        <v>6206</v>
      </c>
      <c r="G1985" s="2" t="str">
        <f>HYPERLINK("https://probpalata.gov.ru/files/ИП750900250500001.jpeg","Скачать индивидуальный QR-код магазина")</f>
        <v>Скачать индивидуальный QR-код магазина</v>
      </c>
    </row>
    <row r="1986" spans="1:7" x14ac:dyDescent="0.25">
      <c r="A1986" t="s">
        <v>5996</v>
      </c>
      <c r="B1986" t="s">
        <v>6207</v>
      </c>
      <c r="C1986" t="s">
        <v>6203</v>
      </c>
      <c r="D1986" t="s">
        <v>6204</v>
      </c>
      <c r="E1986" t="s">
        <v>6205</v>
      </c>
      <c r="F1986" t="s">
        <v>6208</v>
      </c>
      <c r="G1986" s="2" t="str">
        <f>HYPERLINK("https://probpalata.gov.ru/files/ИП750900250500002.jpeg","Скачать индивидуальный QR-код магазина")</f>
        <v>Скачать индивидуальный QR-код магазина</v>
      </c>
    </row>
    <row r="1987" spans="1:7" x14ac:dyDescent="0.25">
      <c r="A1987" t="s">
        <v>5996</v>
      </c>
      <c r="B1987" t="s">
        <v>6209</v>
      </c>
      <c r="C1987" t="s">
        <v>6203</v>
      </c>
      <c r="D1987" t="s">
        <v>6204</v>
      </c>
      <c r="E1987" t="s">
        <v>6205</v>
      </c>
      <c r="F1987" t="s">
        <v>6210</v>
      </c>
      <c r="G1987" s="2" t="str">
        <f>HYPERLINK("https://probpalata.gov.ru/files/ИП750900250500003.jpeg","Скачать индивидуальный QR-код магазина")</f>
        <v>Скачать индивидуальный QR-код магазина</v>
      </c>
    </row>
    <row r="1988" spans="1:7" x14ac:dyDescent="0.25">
      <c r="A1988" t="s">
        <v>5996</v>
      </c>
      <c r="B1988" t="s">
        <v>6168</v>
      </c>
      <c r="C1988" t="s">
        <v>6211</v>
      </c>
      <c r="D1988" t="s">
        <v>6212</v>
      </c>
      <c r="E1988" t="s">
        <v>6213</v>
      </c>
      <c r="F1988" t="s">
        <v>6214</v>
      </c>
      <c r="G1988" s="2" t="str">
        <f>HYPERLINK("https://probpalata.gov.ru/files/ИП780300878900000.jpeg","Скачать индивидуальный QR-код магазина")</f>
        <v>Скачать индивидуальный QR-код магазина</v>
      </c>
    </row>
    <row r="1989" spans="1:7" x14ac:dyDescent="0.25">
      <c r="A1989" t="s">
        <v>5996</v>
      </c>
      <c r="B1989" t="s">
        <v>6215</v>
      </c>
      <c r="C1989" t="s">
        <v>6211</v>
      </c>
      <c r="D1989" t="s">
        <v>6212</v>
      </c>
      <c r="E1989" t="s">
        <v>6213</v>
      </c>
      <c r="F1989" t="s">
        <v>6216</v>
      </c>
      <c r="G1989" s="2" t="str">
        <f>HYPERLINK("https://probpalata.gov.ru/files/ИП780300878900005.jpeg","Скачать индивидуальный QR-код магазина")</f>
        <v>Скачать индивидуальный QR-код магазина</v>
      </c>
    </row>
    <row r="1990" spans="1:7" x14ac:dyDescent="0.25">
      <c r="A1990" t="s">
        <v>5996</v>
      </c>
      <c r="B1990" t="s">
        <v>6217</v>
      </c>
      <c r="C1990" t="s">
        <v>6218</v>
      </c>
      <c r="D1990" t="s">
        <v>6219</v>
      </c>
      <c r="E1990" t="s">
        <v>6220</v>
      </c>
      <c r="F1990" t="s">
        <v>6221</v>
      </c>
      <c r="G1990" s="2" t="str">
        <f>HYPERLINK("https://probpalata.gov.ru/files/ИП750900998700001.jpeg","Скачать индивидуальный QR-код магазина")</f>
        <v>Скачать индивидуальный QR-код магазина</v>
      </c>
    </row>
    <row r="1991" spans="1:7" x14ac:dyDescent="0.25">
      <c r="A1991" t="s">
        <v>5996</v>
      </c>
      <c r="B1991" t="s">
        <v>6222</v>
      </c>
      <c r="C1991" t="s">
        <v>6223</v>
      </c>
      <c r="D1991" t="s">
        <v>6224</v>
      </c>
      <c r="E1991" t="s">
        <v>6225</v>
      </c>
      <c r="F1991" t="s">
        <v>6226</v>
      </c>
      <c r="G1991" s="2" t="str">
        <f>HYPERLINK("https://probpalata.gov.ru/files/ЮЛ750901091500001.jpeg","Скачать индивидуальный QR-код магазина")</f>
        <v>Скачать индивидуальный QR-код магазина</v>
      </c>
    </row>
    <row r="1992" spans="1:7" x14ac:dyDescent="0.25">
      <c r="A1992" t="s">
        <v>5996</v>
      </c>
      <c r="B1992" t="s">
        <v>6227</v>
      </c>
      <c r="C1992" t="s">
        <v>6223</v>
      </c>
      <c r="D1992" t="s">
        <v>6224</v>
      </c>
      <c r="E1992" t="s">
        <v>6225</v>
      </c>
      <c r="F1992" t="s">
        <v>6228</v>
      </c>
      <c r="G1992" s="2" t="str">
        <f>HYPERLINK("https://probpalata.gov.ru/files/ЮЛ750901091500002.jpeg","Скачать индивидуальный QR-код магазина")</f>
        <v>Скачать индивидуальный QR-код магазина</v>
      </c>
    </row>
    <row r="1993" spans="1:7" x14ac:dyDescent="0.25">
      <c r="A1993" t="s">
        <v>5996</v>
      </c>
      <c r="B1993" t="s">
        <v>6229</v>
      </c>
      <c r="C1993" t="s">
        <v>6223</v>
      </c>
      <c r="D1993" t="s">
        <v>6224</v>
      </c>
      <c r="E1993" t="s">
        <v>6225</v>
      </c>
      <c r="F1993" t="s">
        <v>6230</v>
      </c>
      <c r="G1993" s="2" t="str">
        <f>HYPERLINK("https://probpalata.gov.ru/files/ЮЛ750901091500003.jpeg","Скачать индивидуальный QR-код магазина")</f>
        <v>Скачать индивидуальный QR-код магазина</v>
      </c>
    </row>
    <row r="1994" spans="1:7" x14ac:dyDescent="0.25">
      <c r="A1994" t="s">
        <v>5996</v>
      </c>
      <c r="B1994" t="s">
        <v>6231</v>
      </c>
      <c r="C1994" t="s">
        <v>6223</v>
      </c>
      <c r="D1994" t="s">
        <v>6224</v>
      </c>
      <c r="E1994" t="s">
        <v>6225</v>
      </c>
      <c r="F1994" t="s">
        <v>6232</v>
      </c>
      <c r="G1994" s="2" t="str">
        <f>HYPERLINK("https://probpalata.gov.ru/files/ЮЛ750901091500004.jpeg","Скачать индивидуальный QR-код магазина")</f>
        <v>Скачать индивидуальный QR-код магазина</v>
      </c>
    </row>
    <row r="1995" spans="1:7" x14ac:dyDescent="0.25">
      <c r="A1995" t="s">
        <v>5996</v>
      </c>
      <c r="B1995" t="s">
        <v>6233</v>
      </c>
      <c r="C1995" t="s">
        <v>6223</v>
      </c>
      <c r="D1995" t="s">
        <v>6224</v>
      </c>
      <c r="E1995" t="s">
        <v>6225</v>
      </c>
      <c r="F1995" t="s">
        <v>6234</v>
      </c>
      <c r="G1995" s="2" t="str">
        <f>HYPERLINK("https://probpalata.gov.ru/files/ЮЛ750901091500007.jpeg","Скачать индивидуальный QR-код магазина")</f>
        <v>Скачать индивидуальный QR-код магазина</v>
      </c>
    </row>
    <row r="1996" spans="1:7" x14ac:dyDescent="0.25">
      <c r="A1996" t="s">
        <v>5996</v>
      </c>
      <c r="B1996" t="s">
        <v>6235</v>
      </c>
      <c r="C1996" t="s">
        <v>6223</v>
      </c>
      <c r="D1996" t="s">
        <v>6224</v>
      </c>
      <c r="E1996" t="s">
        <v>6225</v>
      </c>
      <c r="F1996" t="s">
        <v>6236</v>
      </c>
      <c r="G1996" s="2" t="str">
        <f>HYPERLINK("https://probpalata.gov.ru/files/ЮЛ750901091500008.jpeg","Скачать индивидуальный QR-код магазина")</f>
        <v>Скачать индивидуальный QR-код магазина</v>
      </c>
    </row>
    <row r="1997" spans="1:7" x14ac:dyDescent="0.25">
      <c r="A1997" t="s">
        <v>5996</v>
      </c>
      <c r="B1997" t="s">
        <v>6237</v>
      </c>
      <c r="C1997" t="s">
        <v>6223</v>
      </c>
      <c r="D1997" t="s">
        <v>6224</v>
      </c>
      <c r="E1997" t="s">
        <v>6225</v>
      </c>
      <c r="F1997" t="s">
        <v>6238</v>
      </c>
      <c r="G1997" s="2" t="str">
        <f>HYPERLINK("https://probpalata.gov.ru/files/ЮЛ750901091500009.jpeg","Скачать индивидуальный QR-код магазина")</f>
        <v>Скачать индивидуальный QR-код магазина</v>
      </c>
    </row>
    <row r="1998" spans="1:7" x14ac:dyDescent="0.25">
      <c r="A1998" t="s">
        <v>5996</v>
      </c>
      <c r="B1998" t="s">
        <v>6239</v>
      </c>
      <c r="C1998" t="s">
        <v>6223</v>
      </c>
      <c r="D1998" t="s">
        <v>6224</v>
      </c>
      <c r="E1998" t="s">
        <v>6225</v>
      </c>
      <c r="F1998" t="s">
        <v>6240</v>
      </c>
      <c r="G1998" s="2" t="str">
        <f>HYPERLINK("https://probpalata.gov.ru/files/ЮЛ750901091500010.jpeg","Скачать индивидуальный QR-код магазина")</f>
        <v>Скачать индивидуальный QR-код магазина</v>
      </c>
    </row>
    <row r="1999" spans="1:7" x14ac:dyDescent="0.25">
      <c r="A1999" t="s">
        <v>5996</v>
      </c>
      <c r="B1999" t="s">
        <v>6241</v>
      </c>
      <c r="C1999" t="s">
        <v>6223</v>
      </c>
      <c r="D1999" t="s">
        <v>6224</v>
      </c>
      <c r="E1999" t="s">
        <v>6225</v>
      </c>
      <c r="F1999" t="s">
        <v>6242</v>
      </c>
      <c r="G1999" s="2" t="str">
        <f>HYPERLINK("https://probpalata.gov.ru/files/ЮЛ750901091500011.jpeg","Скачать индивидуальный QR-код магазина")</f>
        <v>Скачать индивидуальный QR-код магазина</v>
      </c>
    </row>
    <row r="2000" spans="1:7" x14ac:dyDescent="0.25">
      <c r="A2000" t="s">
        <v>5996</v>
      </c>
      <c r="B2000" t="s">
        <v>6243</v>
      </c>
      <c r="C2000" t="s">
        <v>6223</v>
      </c>
      <c r="D2000" t="s">
        <v>6224</v>
      </c>
      <c r="E2000" t="s">
        <v>6225</v>
      </c>
      <c r="F2000" t="s">
        <v>6244</v>
      </c>
      <c r="G2000" s="2" t="str">
        <f>HYPERLINK("https://probpalata.gov.ru/files/ЮЛ750901091500014.jpeg","Скачать индивидуальный QR-код магазина")</f>
        <v>Скачать индивидуальный QR-код магазина</v>
      </c>
    </row>
    <row r="2001" spans="1:7" x14ac:dyDescent="0.25">
      <c r="A2001" t="s">
        <v>5996</v>
      </c>
      <c r="B2001" t="s">
        <v>6245</v>
      </c>
      <c r="C2001" t="s">
        <v>6246</v>
      </c>
      <c r="D2001" t="s">
        <v>6247</v>
      </c>
      <c r="E2001" t="s">
        <v>6248</v>
      </c>
      <c r="F2001" t="s">
        <v>6249</v>
      </c>
      <c r="G2001" s="2" t="str">
        <f>HYPERLINK("https://probpalata.gov.ru/files/ИП540800286700001.jpeg","Скачать индивидуальный QR-код магазина")</f>
        <v>Скачать индивидуальный QR-код магазина</v>
      </c>
    </row>
    <row r="2002" spans="1:7" x14ac:dyDescent="0.25">
      <c r="A2002" t="s">
        <v>5996</v>
      </c>
      <c r="B2002" t="s">
        <v>6250</v>
      </c>
      <c r="C2002" t="s">
        <v>6246</v>
      </c>
      <c r="D2002" t="s">
        <v>6247</v>
      </c>
      <c r="E2002" t="s">
        <v>6248</v>
      </c>
      <c r="F2002" t="s">
        <v>6251</v>
      </c>
      <c r="G2002" s="2" t="str">
        <f>HYPERLINK("https://probpalata.gov.ru/files/ИП540800286700003.jpeg","Скачать индивидуальный QR-код магазина")</f>
        <v>Скачать индивидуальный QR-код магазина</v>
      </c>
    </row>
    <row r="2003" spans="1:7" x14ac:dyDescent="0.25">
      <c r="A2003" t="s">
        <v>5996</v>
      </c>
      <c r="B2003" t="s">
        <v>6014</v>
      </c>
      <c r="C2003" t="s">
        <v>6246</v>
      </c>
      <c r="D2003" t="s">
        <v>6247</v>
      </c>
      <c r="E2003" t="s">
        <v>6248</v>
      </c>
      <c r="F2003" t="s">
        <v>6252</v>
      </c>
      <c r="G2003" s="2" t="str">
        <f>HYPERLINK("https://probpalata.gov.ru/files/ИП540800286700004.jpeg","Скачать индивидуальный QR-код магазина")</f>
        <v>Скачать индивидуальный QR-код магазина</v>
      </c>
    </row>
    <row r="2004" spans="1:7" x14ac:dyDescent="0.25">
      <c r="A2004" t="s">
        <v>5996</v>
      </c>
      <c r="B2004" t="s">
        <v>6253</v>
      </c>
      <c r="C2004" t="s">
        <v>6246</v>
      </c>
      <c r="D2004" t="s">
        <v>6247</v>
      </c>
      <c r="E2004" t="s">
        <v>6248</v>
      </c>
      <c r="F2004" t="s">
        <v>6254</v>
      </c>
      <c r="G2004" s="2" t="str">
        <f>HYPERLINK("https://probpalata.gov.ru/files/ИП540800286700005.jpeg","Скачать индивидуальный QR-код магазина")</f>
        <v>Скачать индивидуальный QR-код магазина</v>
      </c>
    </row>
    <row r="2005" spans="1:7" x14ac:dyDescent="0.25">
      <c r="A2005" t="s">
        <v>5996</v>
      </c>
      <c r="B2005" t="s">
        <v>6255</v>
      </c>
      <c r="C2005" t="s">
        <v>6246</v>
      </c>
      <c r="D2005" t="s">
        <v>6247</v>
      </c>
      <c r="E2005" t="s">
        <v>6248</v>
      </c>
      <c r="F2005" t="s">
        <v>6256</v>
      </c>
      <c r="G2005" s="2" t="str">
        <f>HYPERLINK("https://probpalata.gov.ru/files/ИП540800286700006.jpeg","Скачать индивидуальный QR-код магазина")</f>
        <v>Скачать индивидуальный QR-код магазина</v>
      </c>
    </row>
    <row r="2006" spans="1:7" x14ac:dyDescent="0.25">
      <c r="A2006" t="s">
        <v>5996</v>
      </c>
      <c r="B2006" t="s">
        <v>6257</v>
      </c>
      <c r="C2006" t="s">
        <v>6246</v>
      </c>
      <c r="D2006" t="s">
        <v>6247</v>
      </c>
      <c r="E2006" t="s">
        <v>6248</v>
      </c>
      <c r="F2006" t="s">
        <v>6258</v>
      </c>
      <c r="G2006" s="2" t="str">
        <f>HYPERLINK("https://probpalata.gov.ru/files/ИП540800286700008.jpeg","Скачать индивидуальный QR-код магазина")</f>
        <v>Скачать индивидуальный QR-код магазина</v>
      </c>
    </row>
    <row r="2007" spans="1:7" x14ac:dyDescent="0.25">
      <c r="A2007" t="s">
        <v>5996</v>
      </c>
      <c r="B2007" t="s">
        <v>6259</v>
      </c>
      <c r="C2007" t="s">
        <v>6246</v>
      </c>
      <c r="D2007" t="s">
        <v>6247</v>
      </c>
      <c r="E2007" t="s">
        <v>6248</v>
      </c>
      <c r="F2007" t="s">
        <v>6260</v>
      </c>
      <c r="G2007" s="2" t="str">
        <f>HYPERLINK("https://probpalata.gov.ru/files/ИП540800286700009.jpeg","Скачать индивидуальный QR-код магазина")</f>
        <v>Скачать индивидуальный QR-код магазина</v>
      </c>
    </row>
    <row r="2008" spans="1:7" x14ac:dyDescent="0.25">
      <c r="A2008" t="s">
        <v>5996</v>
      </c>
      <c r="B2008" t="s">
        <v>6261</v>
      </c>
      <c r="C2008" t="s">
        <v>6246</v>
      </c>
      <c r="D2008" t="s">
        <v>6247</v>
      </c>
      <c r="E2008" t="s">
        <v>6248</v>
      </c>
      <c r="F2008" t="s">
        <v>6262</v>
      </c>
      <c r="G2008" s="2" t="str">
        <f>HYPERLINK("https://probpalata.gov.ru/files/ИП540800286700012.jpeg","Скачать индивидуальный QR-код магазина")</f>
        <v>Скачать индивидуальный QR-код магазина</v>
      </c>
    </row>
    <row r="2009" spans="1:7" x14ac:dyDescent="0.25">
      <c r="A2009" t="s">
        <v>5996</v>
      </c>
      <c r="B2009" t="s">
        <v>6263</v>
      </c>
      <c r="C2009" t="s">
        <v>6246</v>
      </c>
      <c r="D2009" t="s">
        <v>6247</v>
      </c>
      <c r="E2009" t="s">
        <v>6248</v>
      </c>
      <c r="F2009" t="s">
        <v>6264</v>
      </c>
      <c r="G2009" s="2" t="str">
        <f>HYPERLINK("https://probpalata.gov.ru/files/ИП540800286700013.jpeg","Скачать индивидуальный QR-код магазина")</f>
        <v>Скачать индивидуальный QR-код магазина</v>
      </c>
    </row>
    <row r="2010" spans="1:7" x14ac:dyDescent="0.25">
      <c r="A2010" t="s">
        <v>5996</v>
      </c>
      <c r="B2010" t="s">
        <v>6265</v>
      </c>
      <c r="C2010" t="s">
        <v>6246</v>
      </c>
      <c r="D2010" t="s">
        <v>6247</v>
      </c>
      <c r="E2010" t="s">
        <v>6248</v>
      </c>
      <c r="F2010" t="s">
        <v>6266</v>
      </c>
      <c r="G2010" s="2" t="str">
        <f>HYPERLINK("https://probpalata.gov.ru/files/ИП540800286700014.jpeg","Скачать индивидуальный QR-код магазина")</f>
        <v>Скачать индивидуальный QR-код магазина</v>
      </c>
    </row>
    <row r="2011" spans="1:7" x14ac:dyDescent="0.25">
      <c r="A2011" t="s">
        <v>5996</v>
      </c>
      <c r="B2011" t="s">
        <v>6267</v>
      </c>
      <c r="C2011" t="s">
        <v>6268</v>
      </c>
      <c r="D2011" t="s">
        <v>6269</v>
      </c>
      <c r="E2011" t="s">
        <v>6270</v>
      </c>
      <c r="F2011" t="s">
        <v>6271</v>
      </c>
      <c r="G2011" s="2" t="str">
        <f>HYPERLINK("https://probpalata.gov.ru/files/ЮЛ750903917900001.jpeg","Скачать индивидуальный QR-код магазина")</f>
        <v>Скачать индивидуальный QR-код магазина</v>
      </c>
    </row>
    <row r="2012" spans="1:7" x14ac:dyDescent="0.25">
      <c r="A2012" t="s">
        <v>5996</v>
      </c>
      <c r="B2012" t="s">
        <v>6243</v>
      </c>
      <c r="C2012" t="s">
        <v>6268</v>
      </c>
      <c r="D2012" t="s">
        <v>6269</v>
      </c>
      <c r="E2012" t="s">
        <v>6270</v>
      </c>
      <c r="F2012" t="s">
        <v>6272</v>
      </c>
      <c r="G2012" s="2" t="str">
        <f>HYPERLINK("https://probpalata.gov.ru/files/ЮЛ750903917900002.jpeg","Скачать индивидуальный QR-код магазина")</f>
        <v>Скачать индивидуальный QR-код магазина</v>
      </c>
    </row>
    <row r="2013" spans="1:7" x14ac:dyDescent="0.25">
      <c r="A2013" t="s">
        <v>5996</v>
      </c>
      <c r="B2013" t="s">
        <v>6273</v>
      </c>
      <c r="C2013" t="s">
        <v>6274</v>
      </c>
      <c r="D2013" t="s">
        <v>6275</v>
      </c>
      <c r="E2013" t="s">
        <v>6276</v>
      </c>
      <c r="F2013" t="s">
        <v>6277</v>
      </c>
      <c r="G2013" s="2" t="str">
        <f>HYPERLINK("https://probpalata.gov.ru/files/ЮЛ750901088700002.jpeg","Скачать индивидуальный QR-код магазина")</f>
        <v>Скачать индивидуальный QR-код магазина</v>
      </c>
    </row>
    <row r="2014" spans="1:7" x14ac:dyDescent="0.25">
      <c r="A2014" t="s">
        <v>5996</v>
      </c>
      <c r="B2014" t="s">
        <v>6227</v>
      </c>
      <c r="C2014" t="s">
        <v>6274</v>
      </c>
      <c r="D2014" t="s">
        <v>6275</v>
      </c>
      <c r="E2014" t="s">
        <v>6276</v>
      </c>
      <c r="F2014" t="s">
        <v>6278</v>
      </c>
      <c r="G2014" s="2" t="str">
        <f>HYPERLINK("https://probpalata.gov.ru/files/ЮЛ750901088700003.jpeg","Скачать индивидуальный QR-код магазина")</f>
        <v>Скачать индивидуальный QR-код магазина</v>
      </c>
    </row>
    <row r="2015" spans="1:7" x14ac:dyDescent="0.25">
      <c r="A2015" t="s">
        <v>5996</v>
      </c>
      <c r="B2015" t="s">
        <v>6231</v>
      </c>
      <c r="C2015" t="s">
        <v>6274</v>
      </c>
      <c r="D2015" t="s">
        <v>6275</v>
      </c>
      <c r="E2015" t="s">
        <v>6276</v>
      </c>
      <c r="F2015" t="s">
        <v>6279</v>
      </c>
      <c r="G2015" s="2" t="str">
        <f>HYPERLINK("https://probpalata.gov.ru/files/ЮЛ750901088700004.jpeg","Скачать индивидуальный QR-код магазина")</f>
        <v>Скачать индивидуальный QR-код магазина</v>
      </c>
    </row>
    <row r="2016" spans="1:7" x14ac:dyDescent="0.25">
      <c r="A2016" t="s">
        <v>5996</v>
      </c>
      <c r="B2016" t="s">
        <v>6222</v>
      </c>
      <c r="C2016" t="s">
        <v>6274</v>
      </c>
      <c r="D2016" t="s">
        <v>6275</v>
      </c>
      <c r="E2016" t="s">
        <v>6276</v>
      </c>
      <c r="F2016" t="s">
        <v>6280</v>
      </c>
      <c r="G2016" s="2" t="str">
        <f>HYPERLINK("https://probpalata.gov.ru/files/ЮЛ750901088700005.jpeg","Скачать индивидуальный QR-код магазина")</f>
        <v>Скачать индивидуальный QR-код магазина</v>
      </c>
    </row>
    <row r="2017" spans="1:7" x14ac:dyDescent="0.25">
      <c r="A2017" t="s">
        <v>5996</v>
      </c>
      <c r="B2017" t="s">
        <v>6229</v>
      </c>
      <c r="C2017" t="s">
        <v>6274</v>
      </c>
      <c r="D2017" t="s">
        <v>6275</v>
      </c>
      <c r="E2017" t="s">
        <v>6276</v>
      </c>
      <c r="F2017" t="s">
        <v>6281</v>
      </c>
      <c r="G2017" s="2" t="str">
        <f>HYPERLINK("https://probpalata.gov.ru/files/ЮЛ750901088700006.jpeg","Скачать индивидуальный QR-код магазина")</f>
        <v>Скачать индивидуальный QR-код магазина</v>
      </c>
    </row>
    <row r="2018" spans="1:7" x14ac:dyDescent="0.25">
      <c r="A2018" t="s">
        <v>5996</v>
      </c>
      <c r="B2018" t="s">
        <v>6282</v>
      </c>
      <c r="C2018" t="s">
        <v>6274</v>
      </c>
      <c r="D2018" t="s">
        <v>6275</v>
      </c>
      <c r="E2018" t="s">
        <v>6276</v>
      </c>
      <c r="F2018" t="s">
        <v>6283</v>
      </c>
      <c r="G2018" s="2" t="str">
        <f>HYPERLINK("https://probpalata.gov.ru/files/ЮЛ750901088700007.jpeg","Скачать индивидуальный QR-код магазина")</f>
        <v>Скачать индивидуальный QR-код магазина</v>
      </c>
    </row>
    <row r="2019" spans="1:7" x14ac:dyDescent="0.25">
      <c r="A2019" t="s">
        <v>5996</v>
      </c>
      <c r="B2019" t="s">
        <v>6235</v>
      </c>
      <c r="C2019" t="s">
        <v>6274</v>
      </c>
      <c r="D2019" t="s">
        <v>6275</v>
      </c>
      <c r="E2019" t="s">
        <v>6276</v>
      </c>
      <c r="F2019" t="s">
        <v>6284</v>
      </c>
      <c r="G2019" s="2" t="str">
        <f>HYPERLINK("https://probpalata.gov.ru/files/ЮЛ750901088700008.jpeg","Скачать индивидуальный QR-код магазина")</f>
        <v>Скачать индивидуальный QR-код магазина</v>
      </c>
    </row>
    <row r="2020" spans="1:7" x14ac:dyDescent="0.25">
      <c r="A2020" t="s">
        <v>5996</v>
      </c>
      <c r="B2020" t="s">
        <v>6237</v>
      </c>
      <c r="C2020" t="s">
        <v>6274</v>
      </c>
      <c r="D2020" t="s">
        <v>6275</v>
      </c>
      <c r="E2020" t="s">
        <v>6276</v>
      </c>
      <c r="F2020" t="s">
        <v>6285</v>
      </c>
      <c r="G2020" s="2" t="str">
        <f>HYPERLINK("https://probpalata.gov.ru/files/ЮЛ750901088700009.jpeg","Скачать индивидуальный QR-код магазина")</f>
        <v>Скачать индивидуальный QR-код магазина</v>
      </c>
    </row>
    <row r="2021" spans="1:7" x14ac:dyDescent="0.25">
      <c r="A2021" t="s">
        <v>5996</v>
      </c>
      <c r="B2021" t="s">
        <v>6239</v>
      </c>
      <c r="C2021" t="s">
        <v>6274</v>
      </c>
      <c r="D2021" t="s">
        <v>6275</v>
      </c>
      <c r="E2021" t="s">
        <v>6276</v>
      </c>
      <c r="F2021" t="s">
        <v>6286</v>
      </c>
      <c r="G2021" s="2" t="str">
        <f>HYPERLINK("https://probpalata.gov.ru/files/ЮЛ750901088700010.jpeg","Скачать индивидуальный QR-код магазина")</f>
        <v>Скачать индивидуальный QR-код магазина</v>
      </c>
    </row>
    <row r="2022" spans="1:7" x14ac:dyDescent="0.25">
      <c r="A2022" t="s">
        <v>5996</v>
      </c>
      <c r="B2022" t="s">
        <v>6287</v>
      </c>
      <c r="C2022" t="s">
        <v>6274</v>
      </c>
      <c r="D2022" t="s">
        <v>6275</v>
      </c>
      <c r="E2022" t="s">
        <v>6276</v>
      </c>
      <c r="F2022" t="s">
        <v>6288</v>
      </c>
      <c r="G2022" s="2" t="str">
        <f>HYPERLINK("https://probpalata.gov.ru/files/ЮЛ750901088700011.jpeg","Скачать индивидуальный QR-код магазина")</f>
        <v>Скачать индивидуальный QR-код магазина</v>
      </c>
    </row>
    <row r="2023" spans="1:7" x14ac:dyDescent="0.25">
      <c r="A2023" t="s">
        <v>5996</v>
      </c>
      <c r="B2023" t="s">
        <v>6289</v>
      </c>
      <c r="C2023" t="s">
        <v>6290</v>
      </c>
      <c r="D2023" t="s">
        <v>6291</v>
      </c>
      <c r="E2023" t="s">
        <v>6292</v>
      </c>
      <c r="F2023" t="s">
        <v>6293</v>
      </c>
      <c r="G2023" s="2" t="str">
        <f>HYPERLINK("https://probpalata.gov.ru/files/ЮЛ750900517300000.jpeg","Скачать индивидуальный QR-код магазина")</f>
        <v>Скачать индивидуальный QR-код магазина</v>
      </c>
    </row>
    <row r="2024" spans="1:7" x14ac:dyDescent="0.25">
      <c r="A2024" t="s">
        <v>5996</v>
      </c>
      <c r="B2024" t="s">
        <v>6007</v>
      </c>
      <c r="C2024" t="s">
        <v>6294</v>
      </c>
      <c r="D2024" t="s">
        <v>6295</v>
      </c>
      <c r="E2024" t="s">
        <v>6296</v>
      </c>
      <c r="F2024" t="s">
        <v>6297</v>
      </c>
      <c r="G2024" s="2" t="str">
        <f>HYPERLINK("https://probpalata.gov.ru/files/ИП750903562500000.jpeg","Скачать индивидуальный QR-код магазина")</f>
        <v>Скачать индивидуальный QR-код магазина</v>
      </c>
    </row>
    <row r="2025" spans="1:7" x14ac:dyDescent="0.25">
      <c r="A2025" t="s">
        <v>5996</v>
      </c>
      <c r="B2025" t="s">
        <v>6298</v>
      </c>
      <c r="C2025" t="s">
        <v>6299</v>
      </c>
      <c r="D2025" t="s">
        <v>6300</v>
      </c>
      <c r="E2025" t="s">
        <v>6301</v>
      </c>
      <c r="F2025" t="s">
        <v>6302</v>
      </c>
      <c r="G2025" s="2" t="str">
        <f>HYPERLINK("https://probpalata.gov.ru/files/ИП750903263500000.jpeg","Скачать индивидуальный QR-код магазина")</f>
        <v>Скачать индивидуальный QR-код магазина</v>
      </c>
    </row>
    <row r="2026" spans="1:7" x14ac:dyDescent="0.25">
      <c r="A2026" t="s">
        <v>5996</v>
      </c>
      <c r="B2026" t="s">
        <v>6303</v>
      </c>
      <c r="C2026" t="s">
        <v>1745</v>
      </c>
      <c r="D2026" t="s">
        <v>1746</v>
      </c>
      <c r="E2026" t="s">
        <v>1747</v>
      </c>
      <c r="F2026" t="s">
        <v>6304</v>
      </c>
      <c r="G2026" s="2" t="str">
        <f>HYPERLINK("https://probpalata.gov.ru/files/ЮЛ770100201500592.jpeg","Скачать индивидуальный QR-код магазина")</f>
        <v>Скачать индивидуальный QR-код магазина</v>
      </c>
    </row>
    <row r="2027" spans="1:7" x14ac:dyDescent="0.25">
      <c r="A2027" t="s">
        <v>5996</v>
      </c>
      <c r="B2027" t="s">
        <v>6030</v>
      </c>
      <c r="C2027" t="s">
        <v>1416</v>
      </c>
      <c r="D2027" t="s">
        <v>1417</v>
      </c>
      <c r="E2027" t="s">
        <v>1418</v>
      </c>
      <c r="F2027" t="s">
        <v>6305</v>
      </c>
      <c r="G2027" s="2" t="str">
        <f>HYPERLINK("https://probpalata.gov.ru/files/ЮЛ770100419400203.jpeg","Скачать индивидуальный QR-код магазина")</f>
        <v>Скачать индивидуальный QR-код магазина</v>
      </c>
    </row>
    <row r="2028" spans="1:7" x14ac:dyDescent="0.25">
      <c r="A2028" t="s">
        <v>5996</v>
      </c>
      <c r="B2028" t="s">
        <v>6030</v>
      </c>
      <c r="C2028" t="s">
        <v>748</v>
      </c>
      <c r="D2028" t="s">
        <v>749</v>
      </c>
      <c r="E2028" t="s">
        <v>750</v>
      </c>
      <c r="F2028" t="s">
        <v>6306</v>
      </c>
      <c r="G2028" s="2" t="str">
        <f>HYPERLINK("https://probpalata.gov.ru/files/ЮЛ770100193500287.jpeg","Скачать индивидуальный QR-код магазина")</f>
        <v>Скачать индивидуальный QR-код магазина</v>
      </c>
    </row>
    <row r="2029" spans="1:7" x14ac:dyDescent="0.25">
      <c r="A2029" t="s">
        <v>5996</v>
      </c>
      <c r="B2029" t="s">
        <v>6307</v>
      </c>
      <c r="C2029" t="s">
        <v>748</v>
      </c>
      <c r="D2029" t="s">
        <v>749</v>
      </c>
      <c r="E2029" t="s">
        <v>750</v>
      </c>
      <c r="F2029" t="s">
        <v>6308</v>
      </c>
      <c r="G2029" s="2" t="str">
        <f>HYPERLINK("https://probpalata.gov.ru/files/ЮЛ770100193500288.jpeg","Скачать индивидуальный QR-код магазина")</f>
        <v>Скачать индивидуальный QR-код магазина</v>
      </c>
    </row>
    <row r="2030" spans="1:7" x14ac:dyDescent="0.25">
      <c r="A2030" t="s">
        <v>5996</v>
      </c>
      <c r="B2030" t="s">
        <v>6303</v>
      </c>
      <c r="C2030" t="s">
        <v>748</v>
      </c>
      <c r="D2030" t="s">
        <v>749</v>
      </c>
      <c r="E2030" t="s">
        <v>750</v>
      </c>
      <c r="F2030" t="s">
        <v>6309</v>
      </c>
      <c r="G2030" s="2" t="str">
        <f>HYPERLINK("https://probpalata.gov.ru/files/ЮЛ770100193500949.jpeg","Скачать индивидуальный QR-код магазина")</f>
        <v>Скачать индивидуальный QR-код магазина</v>
      </c>
    </row>
    <row r="2031" spans="1:7" x14ac:dyDescent="0.25">
      <c r="A2031" t="s">
        <v>5996</v>
      </c>
      <c r="B2031" t="s">
        <v>6310</v>
      </c>
      <c r="C2031" t="s">
        <v>773</v>
      </c>
      <c r="D2031" t="s">
        <v>774</v>
      </c>
      <c r="E2031" t="s">
        <v>775</v>
      </c>
      <c r="F2031" t="s">
        <v>6311</v>
      </c>
      <c r="G2031" s="2" t="str">
        <f>HYPERLINK("https://probpalata.gov.ru/files/ЮЛ780300131300167.jpeg","Скачать индивидуальный QR-код магазина")</f>
        <v>Скачать индивидуальный QR-код магазина</v>
      </c>
    </row>
    <row r="2032" spans="1:7" x14ac:dyDescent="0.25">
      <c r="A2032" t="s">
        <v>5996</v>
      </c>
      <c r="B2032" t="s">
        <v>6312</v>
      </c>
      <c r="C2032" t="s">
        <v>773</v>
      </c>
      <c r="D2032" t="s">
        <v>774</v>
      </c>
      <c r="E2032" t="s">
        <v>775</v>
      </c>
      <c r="F2032" t="s">
        <v>6313</v>
      </c>
      <c r="G2032" s="2" t="str">
        <f>HYPERLINK("https://probpalata.gov.ru/files/ЮЛ780300131300168.jpeg","Скачать индивидуальный QR-код магазина")</f>
        <v>Скачать индивидуальный QR-код магазина</v>
      </c>
    </row>
    <row r="2033" spans="1:7" x14ac:dyDescent="0.25">
      <c r="A2033" t="s">
        <v>5996</v>
      </c>
      <c r="B2033" t="s">
        <v>6314</v>
      </c>
      <c r="C2033" t="s">
        <v>773</v>
      </c>
      <c r="D2033" t="s">
        <v>774</v>
      </c>
      <c r="E2033" t="s">
        <v>775</v>
      </c>
      <c r="F2033" t="s">
        <v>6315</v>
      </c>
      <c r="G2033" s="2" t="str">
        <f>HYPERLINK("https://probpalata.gov.ru/files/ЮЛ780300131300571.jpeg","Скачать индивидуальный QR-код магазина")</f>
        <v>Скачать индивидуальный QR-код магазина</v>
      </c>
    </row>
    <row r="2034" spans="1:7" x14ac:dyDescent="0.25">
      <c r="A2034" t="s">
        <v>5996</v>
      </c>
      <c r="B2034" t="s">
        <v>6316</v>
      </c>
      <c r="C2034" t="s">
        <v>4077</v>
      </c>
      <c r="D2034" t="s">
        <v>4078</v>
      </c>
      <c r="E2034" t="s">
        <v>4079</v>
      </c>
      <c r="F2034" t="s">
        <v>6317</v>
      </c>
      <c r="G2034" s="2" t="str">
        <f>HYPERLINK("https://probpalata.gov.ru/files/ЮЛ780300331800100.jpeg","Скачать индивидуальный QR-код магазина")</f>
        <v>Скачать индивидуальный QR-код магазина</v>
      </c>
    </row>
    <row r="2035" spans="1:7" x14ac:dyDescent="0.25">
      <c r="A2035" t="s">
        <v>5996</v>
      </c>
      <c r="B2035" t="s">
        <v>6318</v>
      </c>
      <c r="C2035" t="s">
        <v>798</v>
      </c>
      <c r="D2035" t="s">
        <v>799</v>
      </c>
      <c r="E2035" t="s">
        <v>800</v>
      </c>
      <c r="F2035" t="s">
        <v>6319</v>
      </c>
      <c r="G2035" s="2" t="str">
        <f>HYPERLINK("https://probpalata.gov.ru/files/ЮЛ780300308200337.jpeg","Скачать индивидуальный QR-код магазина")</f>
        <v>Скачать индивидуальный QR-код магазина</v>
      </c>
    </row>
    <row r="2036" spans="1:7" x14ac:dyDescent="0.25">
      <c r="A2036" t="s">
        <v>5996</v>
      </c>
      <c r="B2036" t="s">
        <v>6030</v>
      </c>
      <c r="C2036" t="s">
        <v>798</v>
      </c>
      <c r="D2036" t="s">
        <v>799</v>
      </c>
      <c r="E2036" t="s">
        <v>800</v>
      </c>
      <c r="F2036" t="s">
        <v>6320</v>
      </c>
      <c r="G2036" s="2" t="str">
        <f>HYPERLINK("https://probpalata.gov.ru/files/ЮЛ780300308200364.jpeg","Скачать индивидуальный QR-код магазина")</f>
        <v>Скачать индивидуальный QR-код магазина</v>
      </c>
    </row>
    <row r="2037" spans="1:7" x14ac:dyDescent="0.25">
      <c r="A2037" t="s">
        <v>5996</v>
      </c>
      <c r="B2037" t="s">
        <v>6321</v>
      </c>
      <c r="C2037" t="s">
        <v>798</v>
      </c>
      <c r="D2037" t="s">
        <v>799</v>
      </c>
      <c r="E2037" t="s">
        <v>800</v>
      </c>
      <c r="F2037" t="s">
        <v>6322</v>
      </c>
      <c r="G2037" s="2" t="str">
        <f>HYPERLINK("https://probpalata.gov.ru/files/ЮЛ780300308200928.jpeg","Скачать индивидуальный QR-код магазина")</f>
        <v>Скачать индивидуальный QR-код магазина</v>
      </c>
    </row>
    <row r="2038" spans="1:7" x14ac:dyDescent="0.25">
      <c r="A2038" t="s">
        <v>5996</v>
      </c>
      <c r="B2038" t="s">
        <v>6323</v>
      </c>
      <c r="C2038" t="s">
        <v>798</v>
      </c>
      <c r="D2038" t="s">
        <v>799</v>
      </c>
      <c r="E2038" t="s">
        <v>800</v>
      </c>
      <c r="F2038" t="s">
        <v>6324</v>
      </c>
      <c r="G2038" s="2" t="str">
        <f>HYPERLINK("https://probpalata.gov.ru/files/ЮЛ780300308200965.jpeg","Скачать индивидуальный QR-код магазина")</f>
        <v>Скачать индивидуальный QR-код магазина</v>
      </c>
    </row>
    <row r="2039" spans="1:7" x14ac:dyDescent="0.25">
      <c r="A2039" t="s">
        <v>5996</v>
      </c>
      <c r="B2039" t="s">
        <v>6325</v>
      </c>
      <c r="C2039" t="s">
        <v>798</v>
      </c>
      <c r="D2039" t="s">
        <v>799</v>
      </c>
      <c r="E2039" t="s">
        <v>800</v>
      </c>
      <c r="F2039" t="s">
        <v>6326</v>
      </c>
      <c r="G2039" s="2" t="str">
        <f>HYPERLINK("https://probpalata.gov.ru/files/ЮЛ780300308200966.jpeg","Скачать индивидуальный QR-код магазина")</f>
        <v>Скачать индивидуальный QR-код магазина</v>
      </c>
    </row>
    <row r="2040" spans="1:7" x14ac:dyDescent="0.25">
      <c r="A2040" t="s">
        <v>5996</v>
      </c>
      <c r="B2040" t="s">
        <v>6327</v>
      </c>
      <c r="C2040" t="s">
        <v>798</v>
      </c>
      <c r="D2040" t="s">
        <v>799</v>
      </c>
      <c r="E2040" t="s">
        <v>800</v>
      </c>
      <c r="F2040" t="s">
        <v>6328</v>
      </c>
      <c r="G2040" s="2" t="str">
        <f>HYPERLINK("https://probpalata.gov.ru/files/ЮЛ780300308200992.jpeg","Скачать индивидуальный QR-код магазина")</f>
        <v>Скачать индивидуальный QR-код магазина</v>
      </c>
    </row>
    <row r="2041" spans="1:7" x14ac:dyDescent="0.25">
      <c r="A2041" t="s">
        <v>5996</v>
      </c>
      <c r="B2041" t="s">
        <v>6312</v>
      </c>
      <c r="C2041" t="s">
        <v>798</v>
      </c>
      <c r="D2041" t="s">
        <v>799</v>
      </c>
      <c r="E2041" t="s">
        <v>800</v>
      </c>
      <c r="F2041" t="s">
        <v>6329</v>
      </c>
      <c r="G2041" s="2" t="str">
        <f>HYPERLINK("https://probpalata.gov.ru/files/ЮЛ780300308201057.jpeg","Скачать индивидуальный QR-код магазина")</f>
        <v>Скачать индивидуальный QR-код магазина</v>
      </c>
    </row>
    <row r="2042" spans="1:7" x14ac:dyDescent="0.25">
      <c r="A2042" t="s">
        <v>5996</v>
      </c>
      <c r="B2042" t="s">
        <v>6330</v>
      </c>
      <c r="C2042" t="s">
        <v>6331</v>
      </c>
      <c r="D2042" t="s">
        <v>6332</v>
      </c>
      <c r="E2042" t="s">
        <v>6333</v>
      </c>
      <c r="F2042" t="s">
        <v>6334</v>
      </c>
      <c r="G2042" s="2" t="str">
        <f>HYPERLINK("https://probpalata.gov.ru/files/ИП750900791000001.jpeg","Скачать индивидуальный QR-код магазина")</f>
        <v>Скачать индивидуальный QR-код магазина</v>
      </c>
    </row>
    <row r="2043" spans="1:7" x14ac:dyDescent="0.25">
      <c r="A2043" t="s">
        <v>6335</v>
      </c>
      <c r="B2043" t="s">
        <v>6336</v>
      </c>
      <c r="C2043" t="s">
        <v>6337</v>
      </c>
      <c r="D2043" t="s">
        <v>6338</v>
      </c>
      <c r="E2043" t="s">
        <v>6339</v>
      </c>
      <c r="F2043" t="s">
        <v>6340</v>
      </c>
      <c r="G2043" s="2" t="str">
        <f>HYPERLINK("https://probpalata.gov.ru/files/ИП900403778600000.jpeg","Скачать индивидуальный QR-код магазина")</f>
        <v>Скачать индивидуальный QR-код магазина</v>
      </c>
    </row>
    <row r="2044" spans="1:7" x14ac:dyDescent="0.25">
      <c r="A2044" t="s">
        <v>6335</v>
      </c>
      <c r="B2044" t="s">
        <v>6341</v>
      </c>
      <c r="C2044" t="s">
        <v>6342</v>
      </c>
      <c r="D2044" t="s">
        <v>6343</v>
      </c>
      <c r="E2044" t="s">
        <v>6344</v>
      </c>
      <c r="F2044" t="s">
        <v>6345</v>
      </c>
      <c r="G2044" s="2" t="str">
        <f>HYPERLINK("https://probpalata.gov.ru/files/ИП900404017700000.jpeg","Скачать индивидуальный QR-код магазина")</f>
        <v>Скачать индивидуальный QR-код магазина</v>
      </c>
    </row>
    <row r="2045" spans="1:7" x14ac:dyDescent="0.25">
      <c r="A2045" t="s">
        <v>6335</v>
      </c>
      <c r="B2045" t="s">
        <v>6346</v>
      </c>
      <c r="C2045" t="s">
        <v>6347</v>
      </c>
      <c r="D2045" t="s">
        <v>6348</v>
      </c>
      <c r="E2045" t="s">
        <v>6349</v>
      </c>
      <c r="F2045" t="s">
        <v>6350</v>
      </c>
      <c r="G2045" s="2" t="str">
        <f>HYPERLINK("https://probpalata.gov.ru/files/ИП900403880900000.jpeg","Скачать индивидуальный QR-код магазина")</f>
        <v>Скачать индивидуальный QR-код магазина</v>
      </c>
    </row>
    <row r="2046" spans="1:7" x14ac:dyDescent="0.25">
      <c r="A2046" t="s">
        <v>6335</v>
      </c>
      <c r="B2046" t="s">
        <v>6351</v>
      </c>
      <c r="C2046" t="s">
        <v>6352</v>
      </c>
      <c r="D2046" t="s">
        <v>6353</v>
      </c>
      <c r="E2046" t="s">
        <v>6354</v>
      </c>
      <c r="F2046" t="s">
        <v>6355</v>
      </c>
      <c r="G2046" s="2" t="str">
        <f>HYPERLINK("https://probpalata.gov.ru/files/ИП900403702600000.jpeg","Скачать индивидуальный QR-код магазина")</f>
        <v>Скачать индивидуальный QR-код магазина</v>
      </c>
    </row>
    <row r="2047" spans="1:7" x14ac:dyDescent="0.25">
      <c r="A2047" t="s">
        <v>6335</v>
      </c>
      <c r="B2047" t="s">
        <v>6341</v>
      </c>
      <c r="C2047" t="s">
        <v>6356</v>
      </c>
      <c r="D2047" t="s">
        <v>6357</v>
      </c>
      <c r="E2047" t="s">
        <v>6358</v>
      </c>
      <c r="F2047" t="s">
        <v>6359</v>
      </c>
      <c r="G2047" s="2" t="str">
        <f>HYPERLINK("https://probpalata.gov.ru/files/ИП900403867700000.jpeg","Скачать индивидуальный QR-код магазина")</f>
        <v>Скачать индивидуальный QR-код магазина</v>
      </c>
    </row>
    <row r="2048" spans="1:7" x14ac:dyDescent="0.25">
      <c r="A2048" t="s">
        <v>6335</v>
      </c>
      <c r="B2048" t="s">
        <v>6360</v>
      </c>
      <c r="C2048" t="s">
        <v>6361</v>
      </c>
      <c r="D2048" t="s">
        <v>6362</v>
      </c>
      <c r="E2048" t="s">
        <v>6363</v>
      </c>
      <c r="F2048" t="s">
        <v>6364</v>
      </c>
      <c r="G2048" s="2" t="str">
        <f>HYPERLINK("https://probpalata.gov.ru/files/ИП900403928100000.jpeg","Скачать индивидуальный QR-код магазина")</f>
        <v>Скачать индивидуальный QR-код магазина</v>
      </c>
    </row>
    <row r="2049" spans="1:7" x14ac:dyDescent="0.25">
      <c r="A2049" t="s">
        <v>6335</v>
      </c>
      <c r="B2049" t="s">
        <v>6365</v>
      </c>
      <c r="C2049" t="s">
        <v>5313</v>
      </c>
      <c r="D2049" t="s">
        <v>5314</v>
      </c>
      <c r="E2049" t="s">
        <v>5315</v>
      </c>
      <c r="F2049" t="s">
        <v>6366</v>
      </c>
      <c r="G2049" s="2" t="str">
        <f>HYPERLINK("https://probpalata.gov.ru/files/ИП900403634700000.jpeg","Скачать индивидуальный QR-код магазина")</f>
        <v>Скачать индивидуальный QR-код магазина</v>
      </c>
    </row>
    <row r="2050" spans="1:7" x14ac:dyDescent="0.25">
      <c r="A2050" t="s">
        <v>6335</v>
      </c>
      <c r="B2050" t="s">
        <v>6367</v>
      </c>
      <c r="C2050" t="s">
        <v>5382</v>
      </c>
      <c r="D2050" t="s">
        <v>5383</v>
      </c>
      <c r="E2050" t="s">
        <v>5384</v>
      </c>
      <c r="F2050" t="s">
        <v>6368</v>
      </c>
      <c r="G2050" s="2" t="str">
        <f>HYPERLINK("https://probpalata.gov.ru/files/ИП930403769500001.jpeg","Скачать индивидуальный QR-код магазина")</f>
        <v>Скачать индивидуальный QR-код магазина</v>
      </c>
    </row>
    <row r="2051" spans="1:7" x14ac:dyDescent="0.25">
      <c r="A2051" t="s">
        <v>6335</v>
      </c>
      <c r="B2051" t="s">
        <v>6369</v>
      </c>
      <c r="C2051" t="s">
        <v>5504</v>
      </c>
      <c r="D2051" t="s">
        <v>5505</v>
      </c>
      <c r="E2051" t="s">
        <v>5506</v>
      </c>
      <c r="F2051" t="s">
        <v>6370</v>
      </c>
      <c r="G2051" s="2" t="str">
        <f>HYPERLINK("https://probpalata.gov.ru/files/ИП930403762400003.jpeg","Скачать индивидуальный QR-код магазина")</f>
        <v>Скачать индивидуальный QR-код магазина</v>
      </c>
    </row>
    <row r="2052" spans="1:7" x14ac:dyDescent="0.25">
      <c r="A2052" t="s">
        <v>6335</v>
      </c>
      <c r="B2052" t="s">
        <v>6371</v>
      </c>
      <c r="C2052" t="s">
        <v>6372</v>
      </c>
      <c r="D2052" t="s">
        <v>6373</v>
      </c>
      <c r="E2052" t="s">
        <v>6374</v>
      </c>
      <c r="F2052" t="s">
        <v>6375</v>
      </c>
      <c r="G2052" s="2" t="str">
        <f>HYPERLINK("https://probpalata.gov.ru/files/ИП900403815800000.jpeg","Скачать индивидуальный QR-код магазина")</f>
        <v>Скачать индивидуальный QR-код магазина</v>
      </c>
    </row>
    <row r="2053" spans="1:7" x14ac:dyDescent="0.25">
      <c r="A2053" t="s">
        <v>6335</v>
      </c>
      <c r="B2053" t="s">
        <v>6376</v>
      </c>
      <c r="C2053" t="s">
        <v>6377</v>
      </c>
      <c r="D2053" t="s">
        <v>6378</v>
      </c>
      <c r="E2053" t="s">
        <v>6379</v>
      </c>
      <c r="F2053" t="s">
        <v>6380</v>
      </c>
      <c r="G2053" s="2" t="str">
        <f>HYPERLINK("https://probpalata.gov.ru/files/ИП900403577100000.jpeg","Скачать индивидуальный QR-код магазина")</f>
        <v>Скачать индивидуальный QR-код магазина</v>
      </c>
    </row>
    <row r="2054" spans="1:7" x14ac:dyDescent="0.25">
      <c r="A2054" t="s">
        <v>6335</v>
      </c>
      <c r="B2054" t="s">
        <v>6381</v>
      </c>
      <c r="C2054" t="s">
        <v>6377</v>
      </c>
      <c r="D2054" t="s">
        <v>6378</v>
      </c>
      <c r="E2054" t="s">
        <v>6379</v>
      </c>
      <c r="F2054" t="s">
        <v>6382</v>
      </c>
      <c r="G2054" s="2" t="str">
        <f>HYPERLINK("https://probpalata.gov.ru/files/ИП900403577100001.jpeg","Скачать индивидуальный QR-код магазина")</f>
        <v>Скачать индивидуальный QR-код магазина</v>
      </c>
    </row>
    <row r="2055" spans="1:7" x14ac:dyDescent="0.25">
      <c r="A2055" t="s">
        <v>6335</v>
      </c>
      <c r="B2055" t="s">
        <v>6383</v>
      </c>
      <c r="C2055" t="s">
        <v>6377</v>
      </c>
      <c r="D2055" t="s">
        <v>6378</v>
      </c>
      <c r="E2055" t="s">
        <v>6379</v>
      </c>
      <c r="F2055" t="s">
        <v>6384</v>
      </c>
      <c r="G2055" s="2" t="str">
        <f>HYPERLINK("https://probpalata.gov.ru/files/ИП900403577100002.jpeg","Скачать индивидуальный QR-код магазина")</f>
        <v>Скачать индивидуальный QR-код магазина</v>
      </c>
    </row>
    <row r="2056" spans="1:7" x14ac:dyDescent="0.25">
      <c r="A2056" t="s">
        <v>6335</v>
      </c>
      <c r="B2056" t="s">
        <v>6385</v>
      </c>
      <c r="C2056" t="s">
        <v>6377</v>
      </c>
      <c r="D2056" t="s">
        <v>6378</v>
      </c>
      <c r="E2056" t="s">
        <v>6379</v>
      </c>
      <c r="F2056" t="s">
        <v>6386</v>
      </c>
      <c r="G2056" s="2" t="str">
        <f>HYPERLINK("https://probpalata.gov.ru/files/ИП900403577100004.jpeg","Скачать индивидуальный QR-код магазина")</f>
        <v>Скачать индивидуальный QR-код магазина</v>
      </c>
    </row>
    <row r="2057" spans="1:7" x14ac:dyDescent="0.25">
      <c r="A2057" t="s">
        <v>6335</v>
      </c>
      <c r="B2057" t="s">
        <v>6387</v>
      </c>
      <c r="C2057" t="s">
        <v>6377</v>
      </c>
      <c r="D2057" t="s">
        <v>6378</v>
      </c>
      <c r="E2057" t="s">
        <v>6379</v>
      </c>
      <c r="F2057" t="s">
        <v>6388</v>
      </c>
      <c r="G2057" s="2" t="str">
        <f>HYPERLINK("https://probpalata.gov.ru/files/ИП900403577100005.jpeg","Скачать индивидуальный QR-код магазина")</f>
        <v>Скачать индивидуальный QR-код магазина</v>
      </c>
    </row>
    <row r="2058" spans="1:7" x14ac:dyDescent="0.25">
      <c r="A2058" t="s">
        <v>6335</v>
      </c>
      <c r="B2058" t="s">
        <v>6389</v>
      </c>
      <c r="C2058" t="s">
        <v>6377</v>
      </c>
      <c r="D2058" t="s">
        <v>6378</v>
      </c>
      <c r="E2058" t="s">
        <v>6379</v>
      </c>
      <c r="F2058" t="s">
        <v>6390</v>
      </c>
      <c r="G2058" s="2" t="str">
        <f>HYPERLINK("https://probpalata.gov.ru/files/ИП900403577100006.jpeg","Скачать индивидуальный QR-код магазина")</f>
        <v>Скачать индивидуальный QR-код магазина</v>
      </c>
    </row>
    <row r="2059" spans="1:7" x14ac:dyDescent="0.25">
      <c r="A2059" t="s">
        <v>6335</v>
      </c>
      <c r="B2059" t="s">
        <v>6391</v>
      </c>
      <c r="C2059" t="s">
        <v>6377</v>
      </c>
      <c r="D2059" t="s">
        <v>6378</v>
      </c>
      <c r="E2059" t="s">
        <v>6379</v>
      </c>
      <c r="F2059" t="s">
        <v>6392</v>
      </c>
      <c r="G2059" s="2" t="str">
        <f>HYPERLINK("https://probpalata.gov.ru/files/ИП900403577100007.jpeg","Скачать индивидуальный QR-код магазина")</f>
        <v>Скачать индивидуальный QR-код магазина</v>
      </c>
    </row>
    <row r="2060" spans="1:7" x14ac:dyDescent="0.25">
      <c r="A2060" t="s">
        <v>6335</v>
      </c>
      <c r="B2060" t="s">
        <v>6393</v>
      </c>
      <c r="C2060" t="s">
        <v>6394</v>
      </c>
      <c r="D2060" t="s">
        <v>6395</v>
      </c>
      <c r="E2060" t="s">
        <v>6396</v>
      </c>
      <c r="F2060" t="s">
        <v>6397</v>
      </c>
      <c r="G2060" s="2" t="str">
        <f>HYPERLINK("https://probpalata.gov.ru/files/ЮЛ900403932000000.jpeg","Скачать индивидуальный QR-код магазина")</f>
        <v>Скачать индивидуальный QR-код магазина</v>
      </c>
    </row>
    <row r="2061" spans="1:7" x14ac:dyDescent="0.25">
      <c r="A2061" t="s">
        <v>6335</v>
      </c>
      <c r="B2061" t="s">
        <v>6398</v>
      </c>
      <c r="C2061" t="s">
        <v>6399</v>
      </c>
      <c r="D2061" t="s">
        <v>6400</v>
      </c>
      <c r="E2061" t="s">
        <v>6401</v>
      </c>
      <c r="F2061" t="s">
        <v>6402</v>
      </c>
      <c r="G2061" s="2" t="str">
        <f>HYPERLINK("https://probpalata.gov.ru/files/ЮЛ900403858100000.jpeg","Скачать индивидуальный QR-код магазина")</f>
        <v>Скачать индивидуальный QR-код магазина</v>
      </c>
    </row>
    <row r="2062" spans="1:7" x14ac:dyDescent="0.25">
      <c r="A2062" t="s">
        <v>6335</v>
      </c>
      <c r="B2062" t="s">
        <v>6403</v>
      </c>
      <c r="C2062" t="s">
        <v>6404</v>
      </c>
      <c r="D2062" t="s">
        <v>6405</v>
      </c>
      <c r="E2062" t="s">
        <v>6406</v>
      </c>
      <c r="F2062" t="s">
        <v>6407</v>
      </c>
      <c r="G2062" s="2" t="str">
        <f>HYPERLINK("https://probpalata.gov.ru/files/ИП900404032500000.jpeg","Скачать индивидуальный QR-код магазина")</f>
        <v>Скачать индивидуальный QR-код магазина</v>
      </c>
    </row>
    <row r="2063" spans="1:7" x14ac:dyDescent="0.25">
      <c r="A2063" t="s">
        <v>6335</v>
      </c>
      <c r="B2063" t="s">
        <v>6408</v>
      </c>
      <c r="C2063" t="s">
        <v>6409</v>
      </c>
      <c r="D2063" t="s">
        <v>6410</v>
      </c>
      <c r="E2063" t="s">
        <v>6411</v>
      </c>
      <c r="F2063" t="s">
        <v>6412</v>
      </c>
      <c r="G2063" s="2" t="str">
        <f>HYPERLINK("https://probpalata.gov.ru/files/ИП900403953700000.jpeg","Скачать индивидуальный QR-код магазина")</f>
        <v>Скачать индивидуальный QR-код магазина</v>
      </c>
    </row>
    <row r="2064" spans="1:7" x14ac:dyDescent="0.25">
      <c r="A2064" t="s">
        <v>6335</v>
      </c>
      <c r="B2064" t="s">
        <v>6413</v>
      </c>
      <c r="C2064" t="s">
        <v>6414</v>
      </c>
      <c r="D2064" t="s">
        <v>6415</v>
      </c>
      <c r="E2064" t="s">
        <v>6416</v>
      </c>
      <c r="F2064" t="s">
        <v>6417</v>
      </c>
      <c r="G2064" s="2" t="str">
        <f>HYPERLINK("https://probpalata.gov.ru/files/ИП900403951700000.jpeg","Скачать индивидуальный QR-код магазина")</f>
        <v>Скачать индивидуальный QR-код магазина</v>
      </c>
    </row>
    <row r="2065" spans="1:7" x14ac:dyDescent="0.25">
      <c r="A2065" t="s">
        <v>6335</v>
      </c>
      <c r="B2065" t="s">
        <v>6418</v>
      </c>
      <c r="C2065" t="s">
        <v>6419</v>
      </c>
      <c r="D2065" t="s">
        <v>6420</v>
      </c>
      <c r="E2065" t="s">
        <v>6421</v>
      </c>
      <c r="F2065" t="s">
        <v>6422</v>
      </c>
      <c r="G2065" s="2" t="str">
        <f>HYPERLINK("https://probpalata.gov.ru/files/ЮЛ910403571400074.jpeg","Скачать индивидуальный QR-код магазина")</f>
        <v>Скачать индивидуальный QR-код магазина</v>
      </c>
    </row>
    <row r="2066" spans="1:7" x14ac:dyDescent="0.25">
      <c r="A2066" t="s">
        <v>6335</v>
      </c>
      <c r="B2066" t="s">
        <v>6418</v>
      </c>
      <c r="C2066" t="s">
        <v>6423</v>
      </c>
      <c r="D2066" t="s">
        <v>6424</v>
      </c>
      <c r="E2066" t="s">
        <v>6425</v>
      </c>
      <c r="F2066" t="s">
        <v>6426</v>
      </c>
      <c r="G2066" s="2" t="str">
        <f>HYPERLINK("https://probpalata.gov.ru/files/ЮЛ910403620200075.jpeg","Скачать индивидуальный QR-код магазина")</f>
        <v>Скачать индивидуальный QR-код магазина</v>
      </c>
    </row>
    <row r="2067" spans="1:7" x14ac:dyDescent="0.25">
      <c r="A2067" t="s">
        <v>6335</v>
      </c>
      <c r="B2067" t="s">
        <v>6427</v>
      </c>
      <c r="C2067" t="s">
        <v>6428</v>
      </c>
      <c r="D2067" t="s">
        <v>6429</v>
      </c>
      <c r="E2067" t="s">
        <v>6430</v>
      </c>
      <c r="F2067" t="s">
        <v>6431</v>
      </c>
      <c r="G2067" s="2" t="str">
        <f>HYPERLINK("https://probpalata.gov.ru/files/ИП900403666200000.jpeg","Скачать индивидуальный QR-код магазина")</f>
        <v>Скачать индивидуальный QR-код магазина</v>
      </c>
    </row>
    <row r="2068" spans="1:7" x14ac:dyDescent="0.25">
      <c r="A2068" t="s">
        <v>6335</v>
      </c>
      <c r="B2068" t="s">
        <v>6432</v>
      </c>
      <c r="C2068" t="s">
        <v>6433</v>
      </c>
      <c r="D2068" t="s">
        <v>6434</v>
      </c>
      <c r="E2068" t="s">
        <v>6435</v>
      </c>
      <c r="F2068" t="s">
        <v>6436</v>
      </c>
      <c r="G2068" s="2" t="str">
        <f>HYPERLINK("https://probpalata.gov.ru/files/ИП930403894800000.jpeg","Скачать индивидуальный QR-код магазина")</f>
        <v>Скачать индивидуальный QR-код магазина</v>
      </c>
    </row>
    <row r="2069" spans="1:7" x14ac:dyDescent="0.25">
      <c r="A2069" t="s">
        <v>6335</v>
      </c>
      <c r="B2069" t="s">
        <v>6437</v>
      </c>
      <c r="C2069" t="s">
        <v>6433</v>
      </c>
      <c r="D2069" t="s">
        <v>6434</v>
      </c>
      <c r="E2069" t="s">
        <v>6435</v>
      </c>
      <c r="F2069" t="s">
        <v>6438</v>
      </c>
      <c r="G2069" s="2" t="str">
        <f>HYPERLINK("https://probpalata.gov.ru/files/ИП930403894800002.jpeg","Скачать индивидуальный QR-код магазина")</f>
        <v>Скачать индивидуальный QR-код магазина</v>
      </c>
    </row>
    <row r="2070" spans="1:7" x14ac:dyDescent="0.25">
      <c r="A2070" t="s">
        <v>6335</v>
      </c>
      <c r="B2070" t="s">
        <v>6439</v>
      </c>
      <c r="C2070" t="s">
        <v>6433</v>
      </c>
      <c r="D2070" t="s">
        <v>6434</v>
      </c>
      <c r="E2070" t="s">
        <v>6435</v>
      </c>
      <c r="F2070" t="s">
        <v>6440</v>
      </c>
      <c r="G2070" s="2" t="str">
        <f>HYPERLINK("https://probpalata.gov.ru/files/ИП930403894800004.jpeg","Скачать индивидуальный QR-код магазина")</f>
        <v>Скачать индивидуальный QR-код магазина</v>
      </c>
    </row>
    <row r="2071" spans="1:7" x14ac:dyDescent="0.25">
      <c r="A2071" t="s">
        <v>6441</v>
      </c>
      <c r="B2071" t="s">
        <v>6442</v>
      </c>
      <c r="C2071" t="s">
        <v>6443</v>
      </c>
      <c r="D2071" t="s">
        <v>6444</v>
      </c>
      <c r="E2071" t="s">
        <v>6445</v>
      </c>
      <c r="F2071" t="s">
        <v>6446</v>
      </c>
      <c r="G2071" s="2" t="str">
        <f>HYPERLINK("https://probpalata.gov.ru/files/ИП520600153500007.jpeg","Скачать индивидуальный QR-код магазина")</f>
        <v>Скачать индивидуальный QR-код магазина</v>
      </c>
    </row>
    <row r="2072" spans="1:7" x14ac:dyDescent="0.25">
      <c r="A2072" t="s">
        <v>6441</v>
      </c>
      <c r="B2072" t="s">
        <v>6447</v>
      </c>
      <c r="C2072" t="s">
        <v>6448</v>
      </c>
      <c r="D2072" t="s">
        <v>6449</v>
      </c>
      <c r="E2072" t="s">
        <v>6450</v>
      </c>
      <c r="F2072" t="s">
        <v>6451</v>
      </c>
      <c r="G2072" s="2" t="str">
        <f>HYPERLINK("https://probpalata.gov.ru/files/ИП330100706400000.jpeg","Скачать индивидуальный QR-код магазина")</f>
        <v>Скачать индивидуальный QR-код магазина</v>
      </c>
    </row>
    <row r="2073" spans="1:7" x14ac:dyDescent="0.25">
      <c r="A2073" t="s">
        <v>6441</v>
      </c>
      <c r="B2073" t="s">
        <v>6452</v>
      </c>
      <c r="C2073" t="s">
        <v>6453</v>
      </c>
      <c r="D2073" t="s">
        <v>6454</v>
      </c>
      <c r="E2073" t="s">
        <v>6455</v>
      </c>
      <c r="F2073" t="s">
        <v>6456</v>
      </c>
      <c r="G2073" s="2" t="str">
        <f>HYPERLINK("https://probpalata.gov.ru/files/ИП370200363100000.jpeg","Скачать индивидуальный QR-код магазина")</f>
        <v>Скачать индивидуальный QR-код магазина</v>
      </c>
    </row>
    <row r="2074" spans="1:7" x14ac:dyDescent="0.25">
      <c r="A2074" t="s">
        <v>6441</v>
      </c>
      <c r="B2074" t="s">
        <v>6457</v>
      </c>
      <c r="C2074" t="s">
        <v>6458</v>
      </c>
      <c r="D2074" t="s">
        <v>6459</v>
      </c>
      <c r="E2074" t="s">
        <v>6460</v>
      </c>
      <c r="F2074" t="s">
        <v>6461</v>
      </c>
      <c r="G2074" s="2" t="str">
        <f>HYPERLINK("https://probpalata.gov.ru/files/ЮЛ370203209500000.jpeg","Скачать индивидуальный QR-код магазина")</f>
        <v>Скачать индивидуальный QR-код магазина</v>
      </c>
    </row>
    <row r="2075" spans="1:7" x14ac:dyDescent="0.25">
      <c r="A2075" t="s">
        <v>6441</v>
      </c>
      <c r="B2075" t="s">
        <v>6462</v>
      </c>
      <c r="C2075" t="s">
        <v>6463</v>
      </c>
      <c r="D2075" t="s">
        <v>6464</v>
      </c>
      <c r="E2075" t="s">
        <v>6465</v>
      </c>
      <c r="F2075" t="s">
        <v>6466</v>
      </c>
      <c r="G2075" s="2" t="str">
        <f>HYPERLINK("https://probpalata.gov.ru/files/ИП370201189800000.jpeg","Скачать индивидуальный QR-код магазина")</f>
        <v>Скачать индивидуальный QR-код магазина</v>
      </c>
    </row>
    <row r="2076" spans="1:7" x14ac:dyDescent="0.25">
      <c r="A2076" t="s">
        <v>6441</v>
      </c>
      <c r="B2076" t="s">
        <v>6467</v>
      </c>
      <c r="C2076" t="s">
        <v>6468</v>
      </c>
      <c r="D2076" t="s">
        <v>6469</v>
      </c>
      <c r="E2076" t="s">
        <v>6470</v>
      </c>
      <c r="F2076" t="s">
        <v>6471</v>
      </c>
      <c r="G2076" s="2" t="str">
        <f>HYPERLINK("https://probpalata.gov.ru/files/ИП370200180800000.jpeg","Скачать индивидуальный QR-код магазина")</f>
        <v>Скачать индивидуальный QR-код магазина</v>
      </c>
    </row>
    <row r="2077" spans="1:7" x14ac:dyDescent="0.25">
      <c r="A2077" t="s">
        <v>6441</v>
      </c>
      <c r="B2077" t="s">
        <v>6472</v>
      </c>
      <c r="C2077" t="s">
        <v>6473</v>
      </c>
      <c r="D2077" t="s">
        <v>6474</v>
      </c>
      <c r="E2077" t="s">
        <v>6475</v>
      </c>
      <c r="F2077" t="s">
        <v>6476</v>
      </c>
      <c r="G2077" s="2" t="str">
        <f>HYPERLINK("https://probpalata.gov.ru/files/ЮЛ370200834700000.jpeg","Скачать индивидуальный QR-код магазина")</f>
        <v>Скачать индивидуальный QR-код магазина</v>
      </c>
    </row>
    <row r="2078" spans="1:7" x14ac:dyDescent="0.25">
      <c r="A2078" t="s">
        <v>6441</v>
      </c>
      <c r="B2078" t="s">
        <v>6477</v>
      </c>
      <c r="C2078" t="s">
        <v>6478</v>
      </c>
      <c r="D2078" t="s">
        <v>6479</v>
      </c>
      <c r="E2078" t="s">
        <v>6480</v>
      </c>
      <c r="F2078" t="s">
        <v>6481</v>
      </c>
      <c r="G2078" s="2" t="str">
        <f>HYPERLINK("https://probpalata.gov.ru/files/ЮЛ370201038800000.jpeg","Скачать индивидуальный QR-код магазина")</f>
        <v>Скачать индивидуальный QR-код магазина</v>
      </c>
    </row>
    <row r="2079" spans="1:7" x14ac:dyDescent="0.25">
      <c r="A2079" t="s">
        <v>6441</v>
      </c>
      <c r="B2079" t="s">
        <v>6482</v>
      </c>
      <c r="C2079" t="s">
        <v>6483</v>
      </c>
      <c r="D2079" t="s">
        <v>6484</v>
      </c>
      <c r="E2079" t="s">
        <v>6485</v>
      </c>
      <c r="F2079" t="s">
        <v>6486</v>
      </c>
      <c r="G2079" s="2" t="str">
        <f>HYPERLINK("https://probpalata.gov.ru/files/ИП370203258600000.jpeg","Скачать индивидуальный QR-код магазина")</f>
        <v>Скачать индивидуальный QR-код магазина</v>
      </c>
    </row>
    <row r="2080" spans="1:7" x14ac:dyDescent="0.25">
      <c r="A2080" t="s">
        <v>6441</v>
      </c>
      <c r="B2080" t="s">
        <v>6487</v>
      </c>
      <c r="C2080" t="s">
        <v>6483</v>
      </c>
      <c r="D2080" t="s">
        <v>6484</v>
      </c>
      <c r="E2080" t="s">
        <v>6485</v>
      </c>
      <c r="F2080" t="s">
        <v>6488</v>
      </c>
      <c r="G2080" s="2" t="str">
        <f>HYPERLINK("https://probpalata.gov.ru/files/ИП370203258600001.jpeg","Скачать индивидуальный QR-код магазина")</f>
        <v>Скачать индивидуальный QR-код магазина</v>
      </c>
    </row>
    <row r="2081" spans="1:7" x14ac:dyDescent="0.25">
      <c r="A2081" t="s">
        <v>6441</v>
      </c>
      <c r="B2081" t="s">
        <v>6489</v>
      </c>
      <c r="C2081" t="s">
        <v>6490</v>
      </c>
      <c r="D2081" t="s">
        <v>6491</v>
      </c>
      <c r="E2081" t="s">
        <v>6492</v>
      </c>
      <c r="F2081" t="s">
        <v>6493</v>
      </c>
      <c r="G2081" s="2" t="str">
        <f>HYPERLINK("https://probpalata.gov.ru/files/ИП370203679100000.jpeg","Скачать индивидуальный QR-код магазина")</f>
        <v>Скачать индивидуальный QR-код магазина</v>
      </c>
    </row>
    <row r="2082" spans="1:7" x14ac:dyDescent="0.25">
      <c r="A2082" t="s">
        <v>6441</v>
      </c>
      <c r="B2082" t="s">
        <v>6494</v>
      </c>
      <c r="C2082" t="s">
        <v>6495</v>
      </c>
      <c r="D2082" t="s">
        <v>6496</v>
      </c>
      <c r="E2082" t="s">
        <v>6497</v>
      </c>
      <c r="F2082" t="s">
        <v>6498</v>
      </c>
      <c r="G2082" s="2" t="str">
        <f>HYPERLINK("https://probpalata.gov.ru/files/ИП370200166000000.jpeg","Скачать индивидуальный QR-код магазина")</f>
        <v>Скачать индивидуальный QR-код магазина</v>
      </c>
    </row>
    <row r="2083" spans="1:7" x14ac:dyDescent="0.25">
      <c r="A2083" t="s">
        <v>6441</v>
      </c>
      <c r="B2083" t="s">
        <v>6499</v>
      </c>
      <c r="C2083" t="s">
        <v>6500</v>
      </c>
      <c r="D2083" t="s">
        <v>6501</v>
      </c>
      <c r="E2083" t="s">
        <v>6502</v>
      </c>
      <c r="F2083" t="s">
        <v>6503</v>
      </c>
      <c r="G2083" s="2" t="str">
        <f>HYPERLINK("https://probpalata.gov.ru/files/ЮЛ370203388300000.jpeg","Скачать индивидуальный QR-код магазина")</f>
        <v>Скачать индивидуальный QR-код магазина</v>
      </c>
    </row>
    <row r="2084" spans="1:7" x14ac:dyDescent="0.25">
      <c r="A2084" t="s">
        <v>6441</v>
      </c>
      <c r="B2084" t="s">
        <v>6504</v>
      </c>
      <c r="C2084" t="s">
        <v>6505</v>
      </c>
      <c r="D2084" t="s">
        <v>6506</v>
      </c>
      <c r="E2084" t="s">
        <v>6507</v>
      </c>
      <c r="F2084" t="s">
        <v>6508</v>
      </c>
      <c r="G2084" s="2" t="str">
        <f>HYPERLINK("https://probpalata.gov.ru/files/ИП370200427400000.jpeg","Скачать индивидуальный QR-код магазина")</f>
        <v>Скачать индивидуальный QR-код магазина</v>
      </c>
    </row>
    <row r="2085" spans="1:7" x14ac:dyDescent="0.25">
      <c r="A2085" t="s">
        <v>6441</v>
      </c>
      <c r="B2085" t="s">
        <v>6509</v>
      </c>
      <c r="C2085" t="s">
        <v>6505</v>
      </c>
      <c r="D2085" t="s">
        <v>6506</v>
      </c>
      <c r="E2085" t="s">
        <v>6507</v>
      </c>
      <c r="F2085" t="s">
        <v>6510</v>
      </c>
      <c r="G2085" s="2" t="str">
        <f>HYPERLINK("https://probpalata.gov.ru/files/ИП370200427400001.jpeg","Скачать индивидуальный QR-код магазина")</f>
        <v>Скачать индивидуальный QR-код магазина</v>
      </c>
    </row>
    <row r="2086" spans="1:7" x14ac:dyDescent="0.25">
      <c r="A2086" t="s">
        <v>6441</v>
      </c>
      <c r="B2086" t="s">
        <v>6511</v>
      </c>
      <c r="C2086" t="s">
        <v>6505</v>
      </c>
      <c r="D2086" t="s">
        <v>6506</v>
      </c>
      <c r="E2086" t="s">
        <v>6507</v>
      </c>
      <c r="F2086" t="s">
        <v>6512</v>
      </c>
      <c r="G2086" s="2" t="str">
        <f>HYPERLINK("https://probpalata.gov.ru/files/ИП370200427400002.jpeg","Скачать индивидуальный QR-код магазина")</f>
        <v>Скачать индивидуальный QR-код магазина</v>
      </c>
    </row>
    <row r="2087" spans="1:7" x14ac:dyDescent="0.25">
      <c r="A2087" t="s">
        <v>6441</v>
      </c>
      <c r="B2087" t="s">
        <v>6513</v>
      </c>
      <c r="C2087" t="s">
        <v>6505</v>
      </c>
      <c r="D2087" t="s">
        <v>6506</v>
      </c>
      <c r="E2087" t="s">
        <v>6507</v>
      </c>
      <c r="F2087" t="s">
        <v>6514</v>
      </c>
      <c r="G2087" s="2" t="str">
        <f>HYPERLINK("https://probpalata.gov.ru/files/ИП370200427400003.jpeg","Скачать индивидуальный QR-код магазина")</f>
        <v>Скачать индивидуальный QR-код магазина</v>
      </c>
    </row>
    <row r="2088" spans="1:7" x14ac:dyDescent="0.25">
      <c r="A2088" t="s">
        <v>6441</v>
      </c>
      <c r="B2088" t="s">
        <v>6515</v>
      </c>
      <c r="C2088" t="s">
        <v>6505</v>
      </c>
      <c r="D2088" t="s">
        <v>6506</v>
      </c>
      <c r="E2088" t="s">
        <v>6507</v>
      </c>
      <c r="F2088" t="s">
        <v>6516</v>
      </c>
      <c r="G2088" s="2" t="str">
        <f>HYPERLINK("https://probpalata.gov.ru/files/ИП370200427400004.jpeg","Скачать индивидуальный QR-код магазина")</f>
        <v>Скачать индивидуальный QR-код магазина</v>
      </c>
    </row>
    <row r="2089" spans="1:7" x14ac:dyDescent="0.25">
      <c r="A2089" t="s">
        <v>6441</v>
      </c>
      <c r="B2089" t="s">
        <v>6517</v>
      </c>
      <c r="C2089" t="s">
        <v>6505</v>
      </c>
      <c r="D2089" t="s">
        <v>6506</v>
      </c>
      <c r="E2089" t="s">
        <v>6507</v>
      </c>
      <c r="F2089" t="s">
        <v>6518</v>
      </c>
      <c r="G2089" s="2" t="str">
        <f>HYPERLINK("https://probpalata.gov.ru/files/ИП370200427400005.jpeg","Скачать индивидуальный QR-код магазина")</f>
        <v>Скачать индивидуальный QR-код магазина</v>
      </c>
    </row>
    <row r="2090" spans="1:7" x14ac:dyDescent="0.25">
      <c r="A2090" t="s">
        <v>6441</v>
      </c>
      <c r="B2090" t="s">
        <v>6519</v>
      </c>
      <c r="C2090" t="s">
        <v>6505</v>
      </c>
      <c r="D2090" t="s">
        <v>6506</v>
      </c>
      <c r="E2090" t="s">
        <v>6507</v>
      </c>
      <c r="F2090" t="s">
        <v>6520</v>
      </c>
      <c r="G2090" s="2" t="str">
        <f>HYPERLINK("https://probpalata.gov.ru/files/ИП370200427400007.jpeg","Скачать индивидуальный QR-код магазина")</f>
        <v>Скачать индивидуальный QR-код магазина</v>
      </c>
    </row>
    <row r="2091" spans="1:7" x14ac:dyDescent="0.25">
      <c r="A2091" t="s">
        <v>6441</v>
      </c>
      <c r="B2091" t="s">
        <v>6521</v>
      </c>
      <c r="C2091" t="s">
        <v>6522</v>
      </c>
      <c r="D2091" t="s">
        <v>6523</v>
      </c>
      <c r="E2091" t="s">
        <v>6524</v>
      </c>
      <c r="F2091" t="s">
        <v>6525</v>
      </c>
      <c r="G2091" s="2" t="str">
        <f>HYPERLINK("https://probpalata.gov.ru/files/ЮЛ370200411400000.jpeg","Скачать индивидуальный QR-код магазина")</f>
        <v>Скачать индивидуальный QR-код магазина</v>
      </c>
    </row>
    <row r="2092" spans="1:7" x14ac:dyDescent="0.25">
      <c r="A2092" t="s">
        <v>6441</v>
      </c>
      <c r="B2092" t="s">
        <v>6526</v>
      </c>
      <c r="C2092" t="s">
        <v>6527</v>
      </c>
      <c r="D2092" t="s">
        <v>6528</v>
      </c>
      <c r="E2092" t="s">
        <v>6529</v>
      </c>
      <c r="F2092" t="s">
        <v>6530</v>
      </c>
      <c r="G2092" s="2" t="str">
        <f>HYPERLINK("https://probpalata.gov.ru/files/ИП370204012400000.jpeg","Скачать индивидуальный QR-код магазина")</f>
        <v>Скачать индивидуальный QR-код магазина</v>
      </c>
    </row>
    <row r="2093" spans="1:7" x14ac:dyDescent="0.25">
      <c r="A2093" t="s">
        <v>6441</v>
      </c>
      <c r="B2093" t="s">
        <v>6531</v>
      </c>
      <c r="C2093" t="s">
        <v>6532</v>
      </c>
      <c r="D2093" t="s">
        <v>6533</v>
      </c>
      <c r="E2093" t="s">
        <v>6534</v>
      </c>
      <c r="F2093" t="s">
        <v>6535</v>
      </c>
      <c r="G2093" s="2" t="str">
        <f>HYPERLINK("https://probpalata.gov.ru/files/ЮЛ370201851900000.jpeg","Скачать индивидуальный QR-код магазина")</f>
        <v>Скачать индивидуальный QR-код магазина</v>
      </c>
    </row>
    <row r="2094" spans="1:7" x14ac:dyDescent="0.25">
      <c r="A2094" t="s">
        <v>6441</v>
      </c>
      <c r="B2094" t="s">
        <v>6536</v>
      </c>
      <c r="C2094" t="s">
        <v>6537</v>
      </c>
      <c r="D2094" t="s">
        <v>6538</v>
      </c>
      <c r="E2094" t="s">
        <v>6539</v>
      </c>
      <c r="F2094" t="s">
        <v>6540</v>
      </c>
      <c r="G2094" s="2" t="str">
        <f>HYPERLINK("https://probpalata.gov.ru/files/ИП370203478600000.jpeg","Скачать индивидуальный QR-код магазина")</f>
        <v>Скачать индивидуальный QR-код магазина</v>
      </c>
    </row>
    <row r="2095" spans="1:7" x14ac:dyDescent="0.25">
      <c r="A2095" t="s">
        <v>6441</v>
      </c>
      <c r="B2095" t="s">
        <v>6541</v>
      </c>
      <c r="C2095" t="s">
        <v>6542</v>
      </c>
      <c r="D2095" t="s">
        <v>6543</v>
      </c>
      <c r="E2095" t="s">
        <v>6544</v>
      </c>
      <c r="F2095" t="s">
        <v>6545</v>
      </c>
      <c r="G2095" s="2" t="str">
        <f>HYPERLINK("https://probpalata.gov.ru/files/ИП370203205900000.jpeg","Скачать индивидуальный QR-код магазина")</f>
        <v>Скачать индивидуальный QR-код магазина</v>
      </c>
    </row>
    <row r="2096" spans="1:7" x14ac:dyDescent="0.25">
      <c r="A2096" t="s">
        <v>6441</v>
      </c>
      <c r="B2096" t="s">
        <v>6546</v>
      </c>
      <c r="C2096" t="s">
        <v>6547</v>
      </c>
      <c r="D2096" t="s">
        <v>6548</v>
      </c>
      <c r="E2096" t="s">
        <v>6549</v>
      </c>
      <c r="F2096" t="s">
        <v>6550</v>
      </c>
      <c r="G2096" s="2" t="str">
        <f>HYPERLINK("https://probpalata.gov.ru/files/ИП370203970900000.jpeg","Скачать индивидуальный QR-код магазина")</f>
        <v>Скачать индивидуальный QR-код магазина</v>
      </c>
    </row>
    <row r="2097" spans="1:7" x14ac:dyDescent="0.25">
      <c r="A2097" t="s">
        <v>6441</v>
      </c>
      <c r="B2097" t="s">
        <v>6551</v>
      </c>
      <c r="C2097" t="s">
        <v>6552</v>
      </c>
      <c r="D2097" t="s">
        <v>6553</v>
      </c>
      <c r="E2097" t="s">
        <v>6554</v>
      </c>
      <c r="F2097" t="s">
        <v>6555</v>
      </c>
      <c r="G2097" s="2" t="str">
        <f>HYPERLINK("https://probpalata.gov.ru/files/ИП500100420800000.jpeg","Скачать индивидуальный QR-код магазина")</f>
        <v>Скачать индивидуальный QR-код магазина</v>
      </c>
    </row>
    <row r="2098" spans="1:7" x14ac:dyDescent="0.25">
      <c r="A2098" t="s">
        <v>6441</v>
      </c>
      <c r="B2098" t="s">
        <v>6556</v>
      </c>
      <c r="C2098" t="s">
        <v>6552</v>
      </c>
      <c r="D2098" t="s">
        <v>6553</v>
      </c>
      <c r="E2098" t="s">
        <v>6554</v>
      </c>
      <c r="F2098" t="s">
        <v>6557</v>
      </c>
      <c r="G2098" s="2" t="str">
        <f>HYPERLINK("https://probpalata.gov.ru/files/ИП500100420800001.jpeg","Скачать индивидуальный QR-код магазина")</f>
        <v>Скачать индивидуальный QR-код магазина</v>
      </c>
    </row>
    <row r="2099" spans="1:7" x14ac:dyDescent="0.25">
      <c r="A2099" t="s">
        <v>6441</v>
      </c>
      <c r="B2099" t="s">
        <v>6558</v>
      </c>
      <c r="C2099" t="s">
        <v>6552</v>
      </c>
      <c r="D2099" t="s">
        <v>6553</v>
      </c>
      <c r="E2099" t="s">
        <v>6554</v>
      </c>
      <c r="F2099" t="s">
        <v>6559</v>
      </c>
      <c r="G2099" s="2" t="str">
        <f>HYPERLINK("https://probpalata.gov.ru/files/ИП500100420800003.jpeg","Скачать индивидуальный QR-код магазина")</f>
        <v>Скачать индивидуальный QR-код магазина</v>
      </c>
    </row>
    <row r="2100" spans="1:7" x14ac:dyDescent="0.25">
      <c r="A2100" t="s">
        <v>6441</v>
      </c>
      <c r="B2100" t="s">
        <v>6560</v>
      </c>
      <c r="C2100" t="s">
        <v>6552</v>
      </c>
      <c r="D2100" t="s">
        <v>6553</v>
      </c>
      <c r="E2100" t="s">
        <v>6554</v>
      </c>
      <c r="F2100" t="s">
        <v>6561</v>
      </c>
      <c r="G2100" s="2" t="str">
        <f>HYPERLINK("https://probpalata.gov.ru/files/ИП500100420800005.jpeg","Скачать индивидуальный QR-код магазина")</f>
        <v>Скачать индивидуальный QR-код магазина</v>
      </c>
    </row>
    <row r="2101" spans="1:7" x14ac:dyDescent="0.25">
      <c r="A2101" t="s">
        <v>6441</v>
      </c>
      <c r="B2101" t="s">
        <v>6562</v>
      </c>
      <c r="C2101" t="s">
        <v>6552</v>
      </c>
      <c r="D2101" t="s">
        <v>6553</v>
      </c>
      <c r="E2101" t="s">
        <v>6554</v>
      </c>
      <c r="F2101" t="s">
        <v>6563</v>
      </c>
      <c r="G2101" s="2" t="str">
        <f>HYPERLINK("https://probpalata.gov.ru/files/ИП500100420800006.jpeg","Скачать индивидуальный QR-код магазина")</f>
        <v>Скачать индивидуальный QR-код магазина</v>
      </c>
    </row>
    <row r="2102" spans="1:7" x14ac:dyDescent="0.25">
      <c r="A2102" t="s">
        <v>6441</v>
      </c>
      <c r="B2102" t="s">
        <v>6564</v>
      </c>
      <c r="C2102" t="s">
        <v>6552</v>
      </c>
      <c r="D2102" t="s">
        <v>6553</v>
      </c>
      <c r="E2102" t="s">
        <v>6554</v>
      </c>
      <c r="F2102" t="s">
        <v>6565</v>
      </c>
      <c r="G2102" s="2" t="str">
        <f>HYPERLINK("https://probpalata.gov.ru/files/ИП500100420800007.jpeg","Скачать индивидуальный QR-код магазина")</f>
        <v>Скачать индивидуальный QR-код магазина</v>
      </c>
    </row>
    <row r="2103" spans="1:7" x14ac:dyDescent="0.25">
      <c r="A2103" t="s">
        <v>6441</v>
      </c>
      <c r="B2103" t="s">
        <v>6566</v>
      </c>
      <c r="C2103" t="s">
        <v>6552</v>
      </c>
      <c r="D2103" t="s">
        <v>6553</v>
      </c>
      <c r="E2103" t="s">
        <v>6554</v>
      </c>
      <c r="F2103" t="s">
        <v>6567</v>
      </c>
      <c r="G2103" s="2" t="str">
        <f>HYPERLINK("https://probpalata.gov.ru/files/ИП500100420800008.jpeg","Скачать индивидуальный QR-код магазина")</f>
        <v>Скачать индивидуальный QR-код магазина</v>
      </c>
    </row>
    <row r="2104" spans="1:7" x14ac:dyDescent="0.25">
      <c r="A2104" t="s">
        <v>6441</v>
      </c>
      <c r="B2104" t="s">
        <v>6568</v>
      </c>
      <c r="C2104" t="s">
        <v>6552</v>
      </c>
      <c r="D2104" t="s">
        <v>6553</v>
      </c>
      <c r="E2104" t="s">
        <v>6554</v>
      </c>
      <c r="F2104" t="s">
        <v>6569</v>
      </c>
      <c r="G2104" s="2" t="str">
        <f>HYPERLINK("https://probpalata.gov.ru/files/ИП500100420800010.jpeg","Скачать индивидуальный QR-код магазина")</f>
        <v>Скачать индивидуальный QR-код магазина</v>
      </c>
    </row>
    <row r="2105" spans="1:7" x14ac:dyDescent="0.25">
      <c r="A2105" t="s">
        <v>6441</v>
      </c>
      <c r="B2105" t="s">
        <v>6570</v>
      </c>
      <c r="C2105" t="s">
        <v>6552</v>
      </c>
      <c r="D2105" t="s">
        <v>6553</v>
      </c>
      <c r="E2105" t="s">
        <v>6554</v>
      </c>
      <c r="F2105" t="s">
        <v>6571</v>
      </c>
      <c r="G2105" s="2" t="str">
        <f>HYPERLINK("https://probpalata.gov.ru/files/ИП500100420800012.jpeg","Скачать индивидуальный QR-код магазина")</f>
        <v>Скачать индивидуальный QR-код магазина</v>
      </c>
    </row>
    <row r="2106" spans="1:7" x14ac:dyDescent="0.25">
      <c r="A2106" t="s">
        <v>6441</v>
      </c>
      <c r="B2106" t="s">
        <v>6572</v>
      </c>
      <c r="C2106" t="s">
        <v>6552</v>
      </c>
      <c r="D2106" t="s">
        <v>6553</v>
      </c>
      <c r="E2106" t="s">
        <v>6554</v>
      </c>
      <c r="F2106" t="s">
        <v>6573</v>
      </c>
      <c r="G2106" s="2" t="str">
        <f>HYPERLINK("https://probpalata.gov.ru/files/ИП500100420800015.jpeg","Скачать индивидуальный QR-код магазина")</f>
        <v>Скачать индивидуальный QR-код магазина</v>
      </c>
    </row>
    <row r="2107" spans="1:7" x14ac:dyDescent="0.25">
      <c r="A2107" t="s">
        <v>6441</v>
      </c>
      <c r="B2107" t="s">
        <v>6574</v>
      </c>
      <c r="C2107" t="s">
        <v>6575</v>
      </c>
      <c r="D2107" t="s">
        <v>6576</v>
      </c>
      <c r="E2107" t="s">
        <v>6577</v>
      </c>
      <c r="F2107" t="s">
        <v>6578</v>
      </c>
      <c r="G2107" s="2" t="str">
        <f>HYPERLINK("https://probpalata.gov.ru/files/ИП370203270100000.jpeg","Скачать индивидуальный QR-код магазина")</f>
        <v>Скачать индивидуальный QR-код магазина</v>
      </c>
    </row>
    <row r="2108" spans="1:7" x14ac:dyDescent="0.25">
      <c r="A2108" t="s">
        <v>6441</v>
      </c>
      <c r="B2108" t="s">
        <v>6472</v>
      </c>
      <c r="C2108" t="s">
        <v>6579</v>
      </c>
      <c r="D2108" t="s">
        <v>6580</v>
      </c>
      <c r="E2108" t="s">
        <v>6581</v>
      </c>
      <c r="F2108" t="s">
        <v>6582</v>
      </c>
      <c r="G2108" s="2" t="str">
        <f>HYPERLINK("https://probpalata.gov.ru/files/ИП370200555800000.jpeg","Скачать индивидуальный QR-код магазина")</f>
        <v>Скачать индивидуальный QR-код магазина</v>
      </c>
    </row>
    <row r="2109" spans="1:7" x14ac:dyDescent="0.25">
      <c r="A2109" t="s">
        <v>6441</v>
      </c>
      <c r="B2109" t="s">
        <v>6583</v>
      </c>
      <c r="C2109" t="s">
        <v>6579</v>
      </c>
      <c r="D2109" t="s">
        <v>6580</v>
      </c>
      <c r="E2109" t="s">
        <v>6581</v>
      </c>
      <c r="F2109" t="s">
        <v>6584</v>
      </c>
      <c r="G2109" s="2" t="str">
        <f>HYPERLINK("https://probpalata.gov.ru/files/ИП370200555800001.jpeg","Скачать индивидуальный QR-код магазина")</f>
        <v>Скачать индивидуальный QR-код магазина</v>
      </c>
    </row>
    <row r="2110" spans="1:7" x14ac:dyDescent="0.25">
      <c r="A2110" t="s">
        <v>6441</v>
      </c>
      <c r="B2110" t="s">
        <v>6585</v>
      </c>
      <c r="C2110" t="s">
        <v>6586</v>
      </c>
      <c r="D2110" t="s">
        <v>6587</v>
      </c>
      <c r="E2110" t="s">
        <v>6588</v>
      </c>
      <c r="F2110" t="s">
        <v>6589</v>
      </c>
      <c r="G2110" s="2" t="str">
        <f>HYPERLINK("https://probpalata.gov.ru/files/ИП370204072000000.jpeg","Скачать индивидуальный QR-код магазина")</f>
        <v>Скачать индивидуальный QR-код магазина</v>
      </c>
    </row>
    <row r="2111" spans="1:7" x14ac:dyDescent="0.25">
      <c r="A2111" t="s">
        <v>6441</v>
      </c>
      <c r="B2111" t="s">
        <v>6590</v>
      </c>
      <c r="C2111" t="s">
        <v>6591</v>
      </c>
      <c r="D2111" t="s">
        <v>6592</v>
      </c>
      <c r="E2111" t="s">
        <v>6593</v>
      </c>
      <c r="F2111" t="s">
        <v>6594</v>
      </c>
      <c r="G2111" s="2" t="str">
        <f>HYPERLINK("https://probpalata.gov.ru/files/ЮЛ370200384000000.jpeg","Скачать индивидуальный QR-код магазина")</f>
        <v>Скачать индивидуальный QR-код магазина</v>
      </c>
    </row>
    <row r="2112" spans="1:7" x14ac:dyDescent="0.25">
      <c r="A2112" t="s">
        <v>6441</v>
      </c>
      <c r="B2112" t="s">
        <v>6595</v>
      </c>
      <c r="C2112" t="s">
        <v>6596</v>
      </c>
      <c r="D2112" t="s">
        <v>6597</v>
      </c>
      <c r="E2112" t="s">
        <v>6598</v>
      </c>
      <c r="F2112" t="s">
        <v>6599</v>
      </c>
      <c r="G2112" s="2" t="str">
        <f>HYPERLINK("https://probpalata.gov.ru/files/ИП370200472400000.jpeg","Скачать индивидуальный QR-код магазина")</f>
        <v>Скачать индивидуальный QR-код магазина</v>
      </c>
    </row>
    <row r="2113" spans="1:7" x14ac:dyDescent="0.25">
      <c r="A2113" t="s">
        <v>6441</v>
      </c>
      <c r="B2113" t="s">
        <v>6600</v>
      </c>
      <c r="C2113" t="s">
        <v>6601</v>
      </c>
      <c r="D2113" t="s">
        <v>6602</v>
      </c>
      <c r="E2113" t="s">
        <v>6603</v>
      </c>
      <c r="F2113" t="s">
        <v>6604</v>
      </c>
      <c r="G2113" s="2" t="str">
        <f>HYPERLINK("https://probpalata.gov.ru/files/ЮЛ370200695400000.jpeg","Скачать индивидуальный QR-код магазина")</f>
        <v>Скачать индивидуальный QR-код магазина</v>
      </c>
    </row>
    <row r="2114" spans="1:7" x14ac:dyDescent="0.25">
      <c r="A2114" t="s">
        <v>6441</v>
      </c>
      <c r="B2114" t="s">
        <v>6605</v>
      </c>
      <c r="C2114" t="s">
        <v>6606</v>
      </c>
      <c r="D2114" t="s">
        <v>6607</v>
      </c>
      <c r="E2114" t="s">
        <v>6608</v>
      </c>
      <c r="F2114" t="s">
        <v>6609</v>
      </c>
      <c r="G2114" s="2" t="str">
        <f>HYPERLINK("https://probpalata.gov.ru/files/ЮЛ370200267000000.jpeg","Скачать индивидуальный QR-код магазина")</f>
        <v>Скачать индивидуальный QR-код магазина</v>
      </c>
    </row>
    <row r="2115" spans="1:7" x14ac:dyDescent="0.25">
      <c r="A2115" t="s">
        <v>6441</v>
      </c>
      <c r="B2115" t="s">
        <v>6610</v>
      </c>
      <c r="C2115" t="s">
        <v>6611</v>
      </c>
      <c r="D2115" t="s">
        <v>6612</v>
      </c>
      <c r="E2115" t="s">
        <v>6613</v>
      </c>
      <c r="F2115" t="s">
        <v>6614</v>
      </c>
      <c r="G2115" s="2" t="str">
        <f>HYPERLINK("https://probpalata.gov.ru/files/ЮЛ370200959100000.jpeg","Скачать индивидуальный QR-код магазина")</f>
        <v>Скачать индивидуальный QR-код магазина</v>
      </c>
    </row>
    <row r="2116" spans="1:7" x14ac:dyDescent="0.25">
      <c r="A2116" t="s">
        <v>6441</v>
      </c>
      <c r="B2116" t="s">
        <v>6615</v>
      </c>
      <c r="C2116" t="s">
        <v>6616</v>
      </c>
      <c r="D2116" t="s">
        <v>6617</v>
      </c>
      <c r="E2116" t="s">
        <v>6618</v>
      </c>
      <c r="F2116" t="s">
        <v>6619</v>
      </c>
      <c r="G2116" s="2" t="str">
        <f>HYPERLINK("https://probpalata.gov.ru/files/ИП370201845400000.jpeg","Скачать индивидуальный QR-код магазина")</f>
        <v>Скачать индивидуальный QR-код магазина</v>
      </c>
    </row>
    <row r="2117" spans="1:7" x14ac:dyDescent="0.25">
      <c r="A2117" t="s">
        <v>6441</v>
      </c>
      <c r="B2117" t="s">
        <v>6620</v>
      </c>
      <c r="C2117" t="s">
        <v>6621</v>
      </c>
      <c r="D2117" t="s">
        <v>6622</v>
      </c>
      <c r="E2117" t="s">
        <v>6623</v>
      </c>
      <c r="F2117" t="s">
        <v>6624</v>
      </c>
      <c r="G2117" s="2" t="str">
        <f>HYPERLINK("https://probpalata.gov.ru/files/ИП370204012900000.jpeg","Скачать индивидуальный QR-код магазина")</f>
        <v>Скачать индивидуальный QR-код магазина</v>
      </c>
    </row>
    <row r="2118" spans="1:7" x14ac:dyDescent="0.25">
      <c r="A2118" t="s">
        <v>6441</v>
      </c>
      <c r="B2118" t="s">
        <v>6625</v>
      </c>
      <c r="C2118" t="s">
        <v>6626</v>
      </c>
      <c r="D2118" t="s">
        <v>6627</v>
      </c>
      <c r="E2118" t="s">
        <v>6628</v>
      </c>
      <c r="F2118" t="s">
        <v>6629</v>
      </c>
      <c r="G2118" s="2" t="str">
        <f>HYPERLINK("https://probpalata.gov.ru/files/ИП370203991800000.jpeg","Скачать индивидуальный QR-код магазина")</f>
        <v>Скачать индивидуальный QR-код магазина</v>
      </c>
    </row>
    <row r="2119" spans="1:7" x14ac:dyDescent="0.25">
      <c r="A2119" t="s">
        <v>6441</v>
      </c>
      <c r="B2119" t="s">
        <v>6630</v>
      </c>
      <c r="C2119" t="s">
        <v>6631</v>
      </c>
      <c r="D2119" t="s">
        <v>6632</v>
      </c>
      <c r="E2119" t="s">
        <v>6633</v>
      </c>
      <c r="F2119" t="s">
        <v>6634</v>
      </c>
      <c r="G2119" s="2" t="str">
        <f>HYPERLINK("https://probpalata.gov.ru/files/ИП370202000700000.jpeg","Скачать индивидуальный QR-код магазина")</f>
        <v>Скачать индивидуальный QR-код магазина</v>
      </c>
    </row>
    <row r="2120" spans="1:7" x14ac:dyDescent="0.25">
      <c r="A2120" t="s">
        <v>6441</v>
      </c>
      <c r="B2120" t="s">
        <v>6635</v>
      </c>
      <c r="C2120" t="s">
        <v>6636</v>
      </c>
      <c r="D2120" t="s">
        <v>6637</v>
      </c>
      <c r="E2120" t="s">
        <v>6638</v>
      </c>
      <c r="F2120" t="s">
        <v>6639</v>
      </c>
      <c r="G2120" s="2" t="str">
        <f>HYPERLINK("https://probpalata.gov.ru/files/ЮЛ370200638900000.jpeg","Скачать индивидуальный QR-код магазина")</f>
        <v>Скачать индивидуальный QR-код магазина</v>
      </c>
    </row>
    <row r="2121" spans="1:7" x14ac:dyDescent="0.25">
      <c r="A2121" t="s">
        <v>6441</v>
      </c>
      <c r="B2121" t="s">
        <v>6640</v>
      </c>
      <c r="C2121" t="s">
        <v>6641</v>
      </c>
      <c r="D2121" t="s">
        <v>6642</v>
      </c>
      <c r="E2121" t="s">
        <v>6643</v>
      </c>
      <c r="F2121" t="s">
        <v>6644</v>
      </c>
      <c r="G2121" s="2" t="str">
        <f>HYPERLINK("https://probpalata.gov.ru/files/ЮЛ370200406200000.jpeg","Скачать индивидуальный QR-код магазина")</f>
        <v>Скачать индивидуальный QR-код магазина</v>
      </c>
    </row>
    <row r="2122" spans="1:7" x14ac:dyDescent="0.25">
      <c r="A2122" t="s">
        <v>6441</v>
      </c>
      <c r="B2122" t="s">
        <v>6645</v>
      </c>
      <c r="C2122" t="s">
        <v>6646</v>
      </c>
      <c r="D2122" t="s">
        <v>6647</v>
      </c>
      <c r="E2122" t="s">
        <v>6648</v>
      </c>
      <c r="F2122" t="s">
        <v>6649</v>
      </c>
      <c r="G2122" s="2" t="str">
        <f>HYPERLINK("https://probpalata.gov.ru/files/ИП370203641200000.jpeg","Скачать индивидуальный QR-код магазина")</f>
        <v>Скачать индивидуальный QR-код магазина</v>
      </c>
    </row>
    <row r="2123" spans="1:7" x14ac:dyDescent="0.25">
      <c r="A2123" t="s">
        <v>6441</v>
      </c>
      <c r="B2123" t="s">
        <v>6650</v>
      </c>
      <c r="C2123" t="s">
        <v>6651</v>
      </c>
      <c r="D2123" t="s">
        <v>6652</v>
      </c>
      <c r="E2123" t="s">
        <v>6653</v>
      </c>
      <c r="F2123" t="s">
        <v>6654</v>
      </c>
      <c r="G2123" s="2" t="str">
        <f>HYPERLINK("https://probpalata.gov.ru/files/ИП370200820100000.jpeg","Скачать индивидуальный QR-код магазина")</f>
        <v>Скачать индивидуальный QR-код магазина</v>
      </c>
    </row>
    <row r="2124" spans="1:7" x14ac:dyDescent="0.25">
      <c r="A2124" t="s">
        <v>6441</v>
      </c>
      <c r="B2124" t="s">
        <v>6655</v>
      </c>
      <c r="C2124" t="s">
        <v>6656</v>
      </c>
      <c r="D2124" t="s">
        <v>6657</v>
      </c>
      <c r="E2124" t="s">
        <v>6658</v>
      </c>
      <c r="F2124" t="s">
        <v>6659</v>
      </c>
      <c r="G2124" s="2" t="str">
        <f>HYPERLINK("https://probpalata.gov.ru/files/ИП370204076600000.jpeg","Скачать индивидуальный QR-код магазина")</f>
        <v>Скачать индивидуальный QR-код магазина</v>
      </c>
    </row>
    <row r="2125" spans="1:7" x14ac:dyDescent="0.25">
      <c r="A2125" t="s">
        <v>6441</v>
      </c>
      <c r="B2125" t="s">
        <v>6660</v>
      </c>
      <c r="C2125" t="s">
        <v>6661</v>
      </c>
      <c r="D2125" t="s">
        <v>6662</v>
      </c>
      <c r="E2125" t="s">
        <v>6663</v>
      </c>
      <c r="F2125" t="s">
        <v>6664</v>
      </c>
      <c r="G2125" s="2" t="str">
        <f>HYPERLINK("https://probpalata.gov.ru/files/ИП370201327600000.jpeg","Скачать индивидуальный QR-код магазина")</f>
        <v>Скачать индивидуальный QR-код магазина</v>
      </c>
    </row>
    <row r="2126" spans="1:7" x14ac:dyDescent="0.25">
      <c r="A2126" t="s">
        <v>6441</v>
      </c>
      <c r="B2126" t="s">
        <v>6665</v>
      </c>
      <c r="C2126" t="s">
        <v>6666</v>
      </c>
      <c r="D2126" t="s">
        <v>6667</v>
      </c>
      <c r="E2126" t="s">
        <v>6668</v>
      </c>
      <c r="F2126" t="s">
        <v>6669</v>
      </c>
      <c r="G2126" s="2" t="str">
        <f>HYPERLINK("https://probpalata.gov.ru/files/ИП370201270900000.jpeg","Скачать индивидуальный QR-код магазина")</f>
        <v>Скачать индивидуальный QR-код магазина</v>
      </c>
    </row>
    <row r="2127" spans="1:7" x14ac:dyDescent="0.25">
      <c r="A2127" t="s">
        <v>6441</v>
      </c>
      <c r="B2127" t="s">
        <v>6670</v>
      </c>
      <c r="C2127" t="s">
        <v>6671</v>
      </c>
      <c r="D2127" t="s">
        <v>6672</v>
      </c>
      <c r="E2127" t="s">
        <v>6673</v>
      </c>
      <c r="F2127" t="s">
        <v>6674</v>
      </c>
      <c r="G2127" s="2" t="str">
        <f>HYPERLINK("https://probpalata.gov.ru/files/ИП370201027700000.jpeg","Скачать индивидуальный QR-код магазина")</f>
        <v>Скачать индивидуальный QR-код магазина</v>
      </c>
    </row>
    <row r="2128" spans="1:7" x14ac:dyDescent="0.25">
      <c r="A2128" t="s">
        <v>6441</v>
      </c>
      <c r="B2128" t="s">
        <v>6675</v>
      </c>
      <c r="C2128" t="s">
        <v>6676</v>
      </c>
      <c r="D2128" t="s">
        <v>6677</v>
      </c>
      <c r="E2128" t="s">
        <v>6678</v>
      </c>
      <c r="F2128" t="s">
        <v>6679</v>
      </c>
      <c r="G2128" s="2" t="str">
        <f>HYPERLINK("https://probpalata.gov.ru/files/ИП370201509600000.jpeg","Скачать индивидуальный QR-код магазина")</f>
        <v>Скачать индивидуальный QR-код магазина</v>
      </c>
    </row>
    <row r="2129" spans="1:7" x14ac:dyDescent="0.25">
      <c r="A2129" t="s">
        <v>6441</v>
      </c>
      <c r="B2129" t="s">
        <v>6680</v>
      </c>
      <c r="C2129" t="s">
        <v>6681</v>
      </c>
      <c r="D2129" t="s">
        <v>6682</v>
      </c>
      <c r="E2129" t="s">
        <v>6683</v>
      </c>
      <c r="F2129" t="s">
        <v>6684</v>
      </c>
      <c r="G2129" s="2" t="str">
        <f>HYPERLINK("https://probpalata.gov.ru/files/ИП370200082100000.jpeg","Скачать индивидуальный QR-код магазина")</f>
        <v>Скачать индивидуальный QR-код магазина</v>
      </c>
    </row>
    <row r="2130" spans="1:7" x14ac:dyDescent="0.25">
      <c r="A2130" t="s">
        <v>6441</v>
      </c>
      <c r="B2130" t="s">
        <v>6685</v>
      </c>
      <c r="C2130" t="s">
        <v>6681</v>
      </c>
      <c r="D2130" t="s">
        <v>6682</v>
      </c>
      <c r="E2130" t="s">
        <v>6683</v>
      </c>
      <c r="F2130" t="s">
        <v>6686</v>
      </c>
      <c r="G2130" s="2" t="str">
        <f>HYPERLINK("https://probpalata.gov.ru/files/ИП370200082100001.jpeg","Скачать индивидуальный QR-код магазина")</f>
        <v>Скачать индивидуальный QR-код магазина</v>
      </c>
    </row>
    <row r="2131" spans="1:7" x14ac:dyDescent="0.25">
      <c r="A2131" t="s">
        <v>6441</v>
      </c>
      <c r="B2131" t="s">
        <v>6687</v>
      </c>
      <c r="C2131" t="s">
        <v>6681</v>
      </c>
      <c r="D2131" t="s">
        <v>6682</v>
      </c>
      <c r="E2131" t="s">
        <v>6683</v>
      </c>
      <c r="F2131" t="s">
        <v>6688</v>
      </c>
      <c r="G2131" s="2" t="str">
        <f>HYPERLINK("https://probpalata.gov.ru/files/ИП370200082100002.jpeg","Скачать индивидуальный QR-код магазина")</f>
        <v>Скачать индивидуальный QR-код магазина</v>
      </c>
    </row>
    <row r="2132" spans="1:7" x14ac:dyDescent="0.25">
      <c r="A2132" t="s">
        <v>6441</v>
      </c>
      <c r="B2132" t="s">
        <v>6689</v>
      </c>
      <c r="C2132" t="s">
        <v>6681</v>
      </c>
      <c r="D2132" t="s">
        <v>6682</v>
      </c>
      <c r="E2132" t="s">
        <v>6683</v>
      </c>
      <c r="F2132" t="s">
        <v>6690</v>
      </c>
      <c r="G2132" s="2" t="str">
        <f>HYPERLINK("https://probpalata.gov.ru/files/ИП370200082100005.jpeg","Скачать индивидуальный QR-код магазина")</f>
        <v>Скачать индивидуальный QR-код магазина</v>
      </c>
    </row>
    <row r="2133" spans="1:7" x14ac:dyDescent="0.25">
      <c r="A2133" t="s">
        <v>6441</v>
      </c>
      <c r="B2133" t="s">
        <v>6691</v>
      </c>
      <c r="C2133" t="s">
        <v>6692</v>
      </c>
      <c r="D2133" t="s">
        <v>6693</v>
      </c>
      <c r="E2133" t="s">
        <v>6694</v>
      </c>
      <c r="F2133" t="s">
        <v>6695</v>
      </c>
      <c r="G2133" s="2" t="str">
        <f>HYPERLINK("https://probpalata.gov.ru/files/ИП370200041600000.jpeg","Скачать индивидуальный QR-код магазина")</f>
        <v>Скачать индивидуальный QR-код магазина</v>
      </c>
    </row>
    <row r="2134" spans="1:7" x14ac:dyDescent="0.25">
      <c r="A2134" t="s">
        <v>6441</v>
      </c>
      <c r="B2134" t="s">
        <v>6696</v>
      </c>
      <c r="C2134" t="s">
        <v>6697</v>
      </c>
      <c r="D2134" t="s">
        <v>6698</v>
      </c>
      <c r="E2134" t="s">
        <v>6699</v>
      </c>
      <c r="F2134" t="s">
        <v>6700</v>
      </c>
      <c r="G2134" s="2" t="str">
        <f>HYPERLINK("https://probpalata.gov.ru/files/ИП370200968800000.jpeg","Скачать индивидуальный QR-код магазина")</f>
        <v>Скачать индивидуальный QR-код магазина</v>
      </c>
    </row>
    <row r="2135" spans="1:7" x14ac:dyDescent="0.25">
      <c r="A2135" t="s">
        <v>6441</v>
      </c>
      <c r="B2135" t="s">
        <v>6701</v>
      </c>
      <c r="C2135" t="s">
        <v>6702</v>
      </c>
      <c r="D2135" t="s">
        <v>6703</v>
      </c>
      <c r="E2135" t="s">
        <v>6704</v>
      </c>
      <c r="F2135" t="s">
        <v>6705</v>
      </c>
      <c r="G2135" s="2" t="str">
        <f>HYPERLINK("https://probpalata.gov.ru/files/ЮЛ370200351100000.jpeg","Скачать индивидуальный QR-код магазина")</f>
        <v>Скачать индивидуальный QR-код магазина</v>
      </c>
    </row>
    <row r="2136" spans="1:7" x14ac:dyDescent="0.25">
      <c r="A2136" t="s">
        <v>6441</v>
      </c>
      <c r="B2136" t="s">
        <v>6706</v>
      </c>
      <c r="C2136" t="s">
        <v>6707</v>
      </c>
      <c r="D2136" t="s">
        <v>6708</v>
      </c>
      <c r="E2136" t="s">
        <v>6709</v>
      </c>
      <c r="F2136" t="s">
        <v>6710</v>
      </c>
      <c r="G2136" s="2" t="str">
        <f>HYPERLINK("https://probpalata.gov.ru/files/ИП370203579800000.jpeg","Скачать индивидуальный QR-код магазина")</f>
        <v>Скачать индивидуальный QR-код магазина</v>
      </c>
    </row>
    <row r="2137" spans="1:7" x14ac:dyDescent="0.25">
      <c r="A2137" t="s">
        <v>6441</v>
      </c>
      <c r="B2137" t="s">
        <v>6711</v>
      </c>
      <c r="C2137" t="s">
        <v>6712</v>
      </c>
      <c r="D2137" t="s">
        <v>6713</v>
      </c>
      <c r="E2137" t="s">
        <v>6714</v>
      </c>
      <c r="F2137" t="s">
        <v>6715</v>
      </c>
      <c r="G2137" s="2" t="str">
        <f>HYPERLINK("https://probpalata.gov.ru/files/ИП370200040100000.jpeg","Скачать индивидуальный QR-код магазина")</f>
        <v>Скачать индивидуальный QR-код магазина</v>
      </c>
    </row>
    <row r="2138" spans="1:7" x14ac:dyDescent="0.25">
      <c r="A2138" t="s">
        <v>6441</v>
      </c>
      <c r="B2138" t="s">
        <v>6716</v>
      </c>
      <c r="C2138" t="s">
        <v>6717</v>
      </c>
      <c r="D2138" t="s">
        <v>6718</v>
      </c>
      <c r="E2138" t="s">
        <v>6719</v>
      </c>
      <c r="F2138" t="s">
        <v>6720</v>
      </c>
      <c r="G2138" s="2" t="str">
        <f>HYPERLINK("https://probpalata.gov.ru/files/ИП370200513500000.jpeg","Скачать индивидуальный QR-код магазина")</f>
        <v>Скачать индивидуальный QR-код магазина</v>
      </c>
    </row>
    <row r="2139" spans="1:7" x14ac:dyDescent="0.25">
      <c r="A2139" t="s">
        <v>6441</v>
      </c>
      <c r="B2139" t="s">
        <v>6721</v>
      </c>
      <c r="C2139" t="s">
        <v>6722</v>
      </c>
      <c r="D2139" t="s">
        <v>6723</v>
      </c>
      <c r="E2139" t="s">
        <v>6724</v>
      </c>
      <c r="F2139" t="s">
        <v>6725</v>
      </c>
      <c r="G2139" s="2" t="str">
        <f>HYPERLINK("https://probpalata.gov.ru/files/ИП370200802800000.jpeg","Скачать индивидуальный QR-код магазина")</f>
        <v>Скачать индивидуальный QR-код магазина</v>
      </c>
    </row>
    <row r="2140" spans="1:7" x14ac:dyDescent="0.25">
      <c r="A2140" t="s">
        <v>6441</v>
      </c>
      <c r="B2140" t="s">
        <v>6726</v>
      </c>
      <c r="C2140" t="s">
        <v>6727</v>
      </c>
      <c r="D2140" t="s">
        <v>6728</v>
      </c>
      <c r="E2140" t="s">
        <v>6729</v>
      </c>
      <c r="F2140" t="s">
        <v>6730</v>
      </c>
      <c r="G2140" s="2" t="str">
        <f>HYPERLINK("https://probpalata.gov.ru/files/ИП370200884200000.jpeg","Скачать индивидуальный QR-код магазина")</f>
        <v>Скачать индивидуальный QR-код магазина</v>
      </c>
    </row>
    <row r="2141" spans="1:7" x14ac:dyDescent="0.25">
      <c r="A2141" t="s">
        <v>6441</v>
      </c>
      <c r="B2141" t="s">
        <v>6731</v>
      </c>
      <c r="C2141" t="s">
        <v>6727</v>
      </c>
      <c r="D2141" t="s">
        <v>6728</v>
      </c>
      <c r="E2141" t="s">
        <v>6729</v>
      </c>
      <c r="F2141" t="s">
        <v>6732</v>
      </c>
      <c r="G2141" s="2" t="str">
        <f>HYPERLINK("https://probpalata.gov.ru/files/ИП370200884200005.jpeg","Скачать индивидуальный QR-код магазина")</f>
        <v>Скачать индивидуальный QR-код магазина</v>
      </c>
    </row>
    <row r="2142" spans="1:7" x14ac:dyDescent="0.25">
      <c r="A2142" t="s">
        <v>6441</v>
      </c>
      <c r="B2142" t="s">
        <v>6733</v>
      </c>
      <c r="C2142" t="s">
        <v>6734</v>
      </c>
      <c r="D2142" t="s">
        <v>6735</v>
      </c>
      <c r="E2142" t="s">
        <v>6736</v>
      </c>
      <c r="F2142" t="s">
        <v>6737</v>
      </c>
      <c r="G2142" s="2" t="str">
        <f>HYPERLINK("https://probpalata.gov.ru/files/ИП370200275900000.jpeg","Скачать индивидуальный QR-код магазина")</f>
        <v>Скачать индивидуальный QR-код магазина</v>
      </c>
    </row>
    <row r="2143" spans="1:7" x14ac:dyDescent="0.25">
      <c r="A2143" t="s">
        <v>6441</v>
      </c>
      <c r="B2143" t="s">
        <v>6738</v>
      </c>
      <c r="C2143" t="s">
        <v>3055</v>
      </c>
      <c r="D2143" t="s">
        <v>3056</v>
      </c>
      <c r="E2143" t="s">
        <v>3057</v>
      </c>
      <c r="F2143" t="s">
        <v>6739</v>
      </c>
      <c r="G2143" s="2" t="str">
        <f>HYPERLINK("https://probpalata.gov.ru/files/ИП370200420000000.jpeg","Скачать индивидуальный QR-код магазина")</f>
        <v>Скачать индивидуальный QR-код магазина</v>
      </c>
    </row>
    <row r="2144" spans="1:7" x14ac:dyDescent="0.25">
      <c r="A2144" t="s">
        <v>6441</v>
      </c>
      <c r="B2144" t="s">
        <v>6740</v>
      </c>
      <c r="C2144" t="s">
        <v>3055</v>
      </c>
      <c r="D2144" t="s">
        <v>3056</v>
      </c>
      <c r="E2144" t="s">
        <v>3057</v>
      </c>
      <c r="F2144" t="s">
        <v>6741</v>
      </c>
      <c r="G2144" s="2" t="str">
        <f>HYPERLINK("https://probpalata.gov.ru/files/ИП370200420000001.jpeg","Скачать индивидуальный QR-код магазина")</f>
        <v>Скачать индивидуальный QR-код магазина</v>
      </c>
    </row>
    <row r="2145" spans="1:7" x14ac:dyDescent="0.25">
      <c r="A2145" t="s">
        <v>6441</v>
      </c>
      <c r="B2145" t="s">
        <v>6738</v>
      </c>
      <c r="C2145" t="s">
        <v>6742</v>
      </c>
      <c r="D2145" t="s">
        <v>6743</v>
      </c>
      <c r="E2145" t="s">
        <v>6744</v>
      </c>
      <c r="F2145" t="s">
        <v>6745</v>
      </c>
      <c r="G2145" s="2" t="str">
        <f>HYPERLINK("https://probpalata.gov.ru/files/ЮЛ370200241000000.jpeg","Скачать индивидуальный QR-код магазина")</f>
        <v>Скачать индивидуальный QR-код магазина</v>
      </c>
    </row>
    <row r="2146" spans="1:7" x14ac:dyDescent="0.25">
      <c r="A2146" t="s">
        <v>6441</v>
      </c>
      <c r="B2146" t="s">
        <v>6746</v>
      </c>
      <c r="C2146" t="s">
        <v>6747</v>
      </c>
      <c r="D2146" t="s">
        <v>6748</v>
      </c>
      <c r="E2146" t="s">
        <v>6749</v>
      </c>
      <c r="F2146" t="s">
        <v>6750</v>
      </c>
      <c r="G2146" s="2" t="str">
        <f>HYPERLINK("https://probpalata.gov.ru/files/ИП370200209200000.jpeg","Скачать индивидуальный QR-код магазина")</f>
        <v>Скачать индивидуальный QR-код магазина</v>
      </c>
    </row>
    <row r="2147" spans="1:7" x14ac:dyDescent="0.25">
      <c r="A2147" t="s">
        <v>6441</v>
      </c>
      <c r="B2147" t="s">
        <v>6751</v>
      </c>
      <c r="C2147" t="s">
        <v>6747</v>
      </c>
      <c r="D2147" t="s">
        <v>6748</v>
      </c>
      <c r="E2147" t="s">
        <v>6749</v>
      </c>
      <c r="F2147" t="s">
        <v>6752</v>
      </c>
      <c r="G2147" s="2" t="str">
        <f>HYPERLINK("https://probpalata.gov.ru/files/ИП370200209200002.jpeg","Скачать индивидуальный QR-код магазина")</f>
        <v>Скачать индивидуальный QR-код магазина</v>
      </c>
    </row>
    <row r="2148" spans="1:7" x14ac:dyDescent="0.25">
      <c r="A2148" t="s">
        <v>6441</v>
      </c>
      <c r="B2148" t="s">
        <v>6753</v>
      </c>
      <c r="C2148" t="s">
        <v>6747</v>
      </c>
      <c r="D2148" t="s">
        <v>6748</v>
      </c>
      <c r="E2148" t="s">
        <v>6749</v>
      </c>
      <c r="F2148" t="s">
        <v>6754</v>
      </c>
      <c r="G2148" s="2" t="str">
        <f>HYPERLINK("https://probpalata.gov.ru/files/ИП370200209200003.jpeg","Скачать индивидуальный QR-код магазина")</f>
        <v>Скачать индивидуальный QR-код магазина</v>
      </c>
    </row>
    <row r="2149" spans="1:7" x14ac:dyDescent="0.25">
      <c r="A2149" t="s">
        <v>6441</v>
      </c>
      <c r="B2149" t="s">
        <v>6755</v>
      </c>
      <c r="C2149" t="s">
        <v>6756</v>
      </c>
      <c r="D2149" t="s">
        <v>6757</v>
      </c>
      <c r="E2149" t="s">
        <v>6758</v>
      </c>
      <c r="F2149" t="s">
        <v>6759</v>
      </c>
      <c r="G2149" s="2" t="str">
        <f>HYPERLINK("https://probpalata.gov.ru/files/ЮЛ370204083300000.jpeg","Скачать индивидуальный QR-код магазина")</f>
        <v>Скачать индивидуальный QR-код магазина</v>
      </c>
    </row>
    <row r="2150" spans="1:7" x14ac:dyDescent="0.25">
      <c r="A2150" t="s">
        <v>6441</v>
      </c>
      <c r="B2150" t="s">
        <v>6760</v>
      </c>
      <c r="C2150" t="s">
        <v>6761</v>
      </c>
      <c r="D2150" t="s">
        <v>6762</v>
      </c>
      <c r="E2150" t="s">
        <v>6763</v>
      </c>
      <c r="F2150" t="s">
        <v>6764</v>
      </c>
      <c r="G2150" s="2" t="str">
        <f>HYPERLINK("https://probpalata.gov.ru/files/ИП370200802000000.jpeg","Скачать индивидуальный QR-код магазина")</f>
        <v>Скачать индивидуальный QR-код магазина</v>
      </c>
    </row>
    <row r="2151" spans="1:7" x14ac:dyDescent="0.25">
      <c r="A2151" t="s">
        <v>6441</v>
      </c>
      <c r="B2151" t="s">
        <v>6765</v>
      </c>
      <c r="C2151" t="s">
        <v>6766</v>
      </c>
      <c r="D2151" t="s">
        <v>6767</v>
      </c>
      <c r="E2151" t="s">
        <v>6768</v>
      </c>
      <c r="F2151" t="s">
        <v>6769</v>
      </c>
      <c r="G2151" s="2" t="str">
        <f>HYPERLINK("https://probpalata.gov.ru/files/ИП370200210500000.jpeg","Скачать индивидуальный QR-код магазина")</f>
        <v>Скачать индивидуальный QR-код магазина</v>
      </c>
    </row>
    <row r="2152" spans="1:7" x14ac:dyDescent="0.25">
      <c r="A2152" t="s">
        <v>6441</v>
      </c>
      <c r="B2152" t="s">
        <v>6770</v>
      </c>
      <c r="C2152" t="s">
        <v>6771</v>
      </c>
      <c r="D2152" t="s">
        <v>6772</v>
      </c>
      <c r="E2152" t="s">
        <v>6773</v>
      </c>
      <c r="F2152" t="s">
        <v>6774</v>
      </c>
      <c r="G2152" s="2" t="str">
        <f>HYPERLINK("https://probpalata.gov.ru/files/ИП370204088800000.jpeg","Скачать индивидуальный QR-код магазина")</f>
        <v>Скачать индивидуальный QR-код магазина</v>
      </c>
    </row>
    <row r="2153" spans="1:7" x14ac:dyDescent="0.25">
      <c r="A2153" t="s">
        <v>6441</v>
      </c>
      <c r="B2153" t="s">
        <v>6755</v>
      </c>
      <c r="C2153" t="s">
        <v>6775</v>
      </c>
      <c r="D2153" t="s">
        <v>6776</v>
      </c>
      <c r="E2153" t="s">
        <v>6777</v>
      </c>
      <c r="F2153" t="s">
        <v>6778</v>
      </c>
      <c r="G2153" s="2" t="str">
        <f>HYPERLINK("https://probpalata.gov.ru/files/ИП370200360300000.jpeg","Скачать индивидуальный QR-код магазина")</f>
        <v>Скачать индивидуальный QR-код магазина</v>
      </c>
    </row>
    <row r="2154" spans="1:7" x14ac:dyDescent="0.25">
      <c r="A2154" t="s">
        <v>6441</v>
      </c>
      <c r="B2154" t="s">
        <v>6779</v>
      </c>
      <c r="C2154" t="s">
        <v>6780</v>
      </c>
      <c r="D2154" t="s">
        <v>6781</v>
      </c>
      <c r="E2154" t="s">
        <v>6782</v>
      </c>
      <c r="F2154" t="s">
        <v>6783</v>
      </c>
      <c r="G2154" s="2" t="str">
        <f>HYPERLINK("https://probpalata.gov.ru/files/ИП370201403100000.jpeg","Скачать индивидуальный QR-код магазина")</f>
        <v>Скачать индивидуальный QR-код магазина</v>
      </c>
    </row>
    <row r="2155" spans="1:7" x14ac:dyDescent="0.25">
      <c r="A2155" t="s">
        <v>6441</v>
      </c>
      <c r="B2155" t="s">
        <v>6784</v>
      </c>
      <c r="C2155" t="s">
        <v>6785</v>
      </c>
      <c r="D2155" t="s">
        <v>6786</v>
      </c>
      <c r="E2155" t="s">
        <v>6787</v>
      </c>
      <c r="F2155" t="s">
        <v>6788</v>
      </c>
      <c r="G2155" s="2" t="str">
        <f>HYPERLINK("https://probpalata.gov.ru/files/ИП370200075800000.jpeg","Скачать индивидуальный QR-код магазина")</f>
        <v>Скачать индивидуальный QR-код магазина</v>
      </c>
    </row>
    <row r="2156" spans="1:7" x14ac:dyDescent="0.25">
      <c r="A2156" t="s">
        <v>6441</v>
      </c>
      <c r="B2156" t="s">
        <v>6789</v>
      </c>
      <c r="C2156" t="s">
        <v>6790</v>
      </c>
      <c r="D2156" t="s">
        <v>6791</v>
      </c>
      <c r="E2156" t="s">
        <v>6792</v>
      </c>
      <c r="F2156" t="s">
        <v>6793</v>
      </c>
      <c r="G2156" s="2" t="str">
        <f>HYPERLINK("https://probpalata.gov.ru/files/ИП370201172300000.jpeg","Скачать индивидуальный QR-код магазина")</f>
        <v>Скачать индивидуальный QR-код магазина</v>
      </c>
    </row>
    <row r="2157" spans="1:7" x14ac:dyDescent="0.25">
      <c r="A2157" t="s">
        <v>6441</v>
      </c>
      <c r="B2157" t="s">
        <v>6794</v>
      </c>
      <c r="C2157" t="s">
        <v>6795</v>
      </c>
      <c r="D2157" t="s">
        <v>6796</v>
      </c>
      <c r="E2157" t="s">
        <v>6797</v>
      </c>
      <c r="F2157" t="s">
        <v>6798</v>
      </c>
      <c r="G2157" s="2" t="str">
        <f>HYPERLINK("https://probpalata.gov.ru/files/ИП370200634000000.jpeg","Скачать индивидуальный QR-код магазина")</f>
        <v>Скачать индивидуальный QR-код магазина</v>
      </c>
    </row>
    <row r="2158" spans="1:7" x14ac:dyDescent="0.25">
      <c r="A2158" t="s">
        <v>6441</v>
      </c>
      <c r="B2158" t="s">
        <v>6799</v>
      </c>
      <c r="C2158" t="s">
        <v>6800</v>
      </c>
      <c r="D2158" t="s">
        <v>6801</v>
      </c>
      <c r="E2158" t="s">
        <v>6802</v>
      </c>
      <c r="F2158" t="s">
        <v>6803</v>
      </c>
      <c r="G2158" s="2" t="str">
        <f>HYPERLINK("https://probpalata.gov.ru/files/ИП370203632200000.jpeg","Скачать индивидуальный QR-код магазина")</f>
        <v>Скачать индивидуальный QR-код магазина</v>
      </c>
    </row>
    <row r="2159" spans="1:7" x14ac:dyDescent="0.25">
      <c r="A2159" t="s">
        <v>6441</v>
      </c>
      <c r="B2159" t="s">
        <v>6804</v>
      </c>
      <c r="C2159" t="s">
        <v>6805</v>
      </c>
      <c r="D2159" t="s">
        <v>6806</v>
      </c>
      <c r="E2159" t="s">
        <v>6807</v>
      </c>
      <c r="F2159" t="s">
        <v>6808</v>
      </c>
      <c r="G2159" s="2" t="str">
        <f>HYPERLINK("https://probpalata.gov.ru/files/ИП370203671600000.jpeg","Скачать индивидуальный QR-код магазина")</f>
        <v>Скачать индивидуальный QR-код магазина</v>
      </c>
    </row>
    <row r="2160" spans="1:7" x14ac:dyDescent="0.25">
      <c r="A2160" t="s">
        <v>6441</v>
      </c>
      <c r="B2160" t="s">
        <v>6809</v>
      </c>
      <c r="C2160" t="s">
        <v>6810</v>
      </c>
      <c r="D2160" t="s">
        <v>6811</v>
      </c>
      <c r="E2160" t="s">
        <v>6812</v>
      </c>
      <c r="F2160" t="s">
        <v>6813</v>
      </c>
      <c r="G2160" s="2" t="str">
        <f>HYPERLINK("https://probpalata.gov.ru/files/ИП770100529700000.jpeg","Скачать индивидуальный QR-код магазина")</f>
        <v>Скачать индивидуальный QR-код магазина</v>
      </c>
    </row>
    <row r="2161" spans="1:7" x14ac:dyDescent="0.25">
      <c r="A2161" t="s">
        <v>6441</v>
      </c>
      <c r="B2161" t="s">
        <v>6814</v>
      </c>
      <c r="C2161" t="s">
        <v>6815</v>
      </c>
      <c r="D2161" t="s">
        <v>6816</v>
      </c>
      <c r="E2161" t="s">
        <v>6817</v>
      </c>
      <c r="F2161" t="s">
        <v>6818</v>
      </c>
      <c r="G2161" s="2" t="str">
        <f>HYPERLINK("https://probpalata.gov.ru/files/ИП370201081800004.jpeg","Скачать индивидуальный QR-код магазина")</f>
        <v>Скачать индивидуальный QR-код магазина</v>
      </c>
    </row>
    <row r="2162" spans="1:7" x14ac:dyDescent="0.25">
      <c r="A2162" t="s">
        <v>6441</v>
      </c>
      <c r="B2162" t="s">
        <v>6819</v>
      </c>
      <c r="C2162" t="s">
        <v>6820</v>
      </c>
      <c r="D2162" t="s">
        <v>6821</v>
      </c>
      <c r="E2162" t="s">
        <v>6822</v>
      </c>
      <c r="F2162" t="s">
        <v>6823</v>
      </c>
      <c r="G2162" s="2" t="str">
        <f>HYPERLINK("https://probpalata.gov.ru/files/ИП370200350200000.jpeg","Скачать индивидуальный QR-код магазина")</f>
        <v>Скачать индивидуальный QR-код магазина</v>
      </c>
    </row>
    <row r="2163" spans="1:7" x14ac:dyDescent="0.25">
      <c r="A2163" t="s">
        <v>6441</v>
      </c>
      <c r="B2163" t="s">
        <v>6824</v>
      </c>
      <c r="C2163" t="s">
        <v>6825</v>
      </c>
      <c r="D2163" t="s">
        <v>6826</v>
      </c>
      <c r="E2163" t="s">
        <v>6827</v>
      </c>
      <c r="F2163" t="s">
        <v>6828</v>
      </c>
      <c r="G2163" s="2" t="str">
        <f>HYPERLINK("https://probpalata.gov.ru/files/ЮЛ370200049100000.jpeg","Скачать индивидуальный QR-код магазина")</f>
        <v>Скачать индивидуальный QR-код магазина</v>
      </c>
    </row>
    <row r="2164" spans="1:7" x14ac:dyDescent="0.25">
      <c r="A2164" t="s">
        <v>6441</v>
      </c>
      <c r="B2164" t="s">
        <v>6829</v>
      </c>
      <c r="C2164" t="s">
        <v>4559</v>
      </c>
      <c r="D2164" t="s">
        <v>4560</v>
      </c>
      <c r="E2164" t="s">
        <v>4561</v>
      </c>
      <c r="F2164" t="s">
        <v>6830</v>
      </c>
      <c r="G2164" s="2" t="str">
        <f>HYPERLINK("https://probpalata.gov.ru/files/ИП440200822300013.jpeg","Скачать индивидуальный QR-код магазина")</f>
        <v>Скачать индивидуальный QR-код магазина</v>
      </c>
    </row>
    <row r="2165" spans="1:7" x14ac:dyDescent="0.25">
      <c r="A2165" t="s">
        <v>6441</v>
      </c>
      <c r="B2165" t="s">
        <v>6831</v>
      </c>
      <c r="C2165" t="s">
        <v>6832</v>
      </c>
      <c r="D2165" t="s">
        <v>6833</v>
      </c>
      <c r="E2165" t="s">
        <v>6834</v>
      </c>
      <c r="F2165" t="s">
        <v>6835</v>
      </c>
      <c r="G2165" s="2" t="str">
        <f>HYPERLINK("https://probpalata.gov.ru/files/ИП440203671100000.jpeg","Скачать индивидуальный QR-код магазина")</f>
        <v>Скачать индивидуальный QR-код магазина</v>
      </c>
    </row>
    <row r="2166" spans="1:7" x14ac:dyDescent="0.25">
      <c r="A2166" t="s">
        <v>6441</v>
      </c>
      <c r="B2166" t="s">
        <v>6836</v>
      </c>
      <c r="C2166" t="s">
        <v>6837</v>
      </c>
      <c r="D2166" t="s">
        <v>6838</v>
      </c>
      <c r="E2166" t="s">
        <v>6839</v>
      </c>
      <c r="F2166" t="s">
        <v>6840</v>
      </c>
      <c r="G2166" s="2" t="str">
        <f>HYPERLINK("https://probpalata.gov.ru/files/ИП370200208400000.jpeg","Скачать индивидуальный QR-код магазина")</f>
        <v>Скачать индивидуальный QR-код магазина</v>
      </c>
    </row>
    <row r="2167" spans="1:7" x14ac:dyDescent="0.25">
      <c r="A2167" t="s">
        <v>6441</v>
      </c>
      <c r="B2167" t="s">
        <v>6841</v>
      </c>
      <c r="C2167" t="s">
        <v>671</v>
      </c>
      <c r="D2167" t="s">
        <v>672</v>
      </c>
      <c r="E2167" t="s">
        <v>673</v>
      </c>
      <c r="F2167" t="s">
        <v>6842</v>
      </c>
      <c r="G2167" s="2" t="str">
        <f>HYPERLINK("https://probpalata.gov.ru/files/ИП500100445500038.jpeg","Скачать индивидуальный QR-код магазина")</f>
        <v>Скачать индивидуальный QR-код магазина</v>
      </c>
    </row>
    <row r="2168" spans="1:7" x14ac:dyDescent="0.25">
      <c r="A2168" t="s">
        <v>6441</v>
      </c>
      <c r="B2168" t="s">
        <v>6843</v>
      </c>
      <c r="C2168" t="s">
        <v>1735</v>
      </c>
      <c r="D2168" t="s">
        <v>1736</v>
      </c>
      <c r="E2168" t="s">
        <v>1737</v>
      </c>
      <c r="F2168" t="s">
        <v>6844</v>
      </c>
      <c r="G2168" s="2" t="str">
        <f>HYPERLINK("https://probpalata.gov.ru/files/ЮЛ520603376600160.jpeg","Скачать индивидуальный QR-код магазина")</f>
        <v>Скачать индивидуальный QR-код магазина</v>
      </c>
    </row>
    <row r="2169" spans="1:7" x14ac:dyDescent="0.25">
      <c r="A2169" t="s">
        <v>6441</v>
      </c>
      <c r="B2169" t="s">
        <v>6845</v>
      </c>
      <c r="C2169" t="s">
        <v>6846</v>
      </c>
      <c r="D2169" t="s">
        <v>6847</v>
      </c>
      <c r="E2169" t="s">
        <v>6848</v>
      </c>
      <c r="F2169" t="s">
        <v>6849</v>
      </c>
      <c r="G2169" s="2" t="str">
        <f>HYPERLINK("https://probpalata.gov.ru/files/ИП370200413800000.jpeg","Скачать индивидуальный QR-код магазина")</f>
        <v>Скачать индивидуальный QR-код магазина</v>
      </c>
    </row>
    <row r="2170" spans="1:7" x14ac:dyDescent="0.25">
      <c r="A2170" t="s">
        <v>6441</v>
      </c>
      <c r="B2170" t="s">
        <v>6850</v>
      </c>
      <c r="C2170" t="s">
        <v>1745</v>
      </c>
      <c r="D2170" t="s">
        <v>1746</v>
      </c>
      <c r="E2170" t="s">
        <v>1747</v>
      </c>
      <c r="F2170" t="s">
        <v>6851</v>
      </c>
      <c r="G2170" s="2" t="str">
        <f>HYPERLINK("https://probpalata.gov.ru/files/ЮЛ770100201500552.jpeg","Скачать индивидуальный QR-код магазина")</f>
        <v>Скачать индивидуальный QR-код магазина</v>
      </c>
    </row>
    <row r="2171" spans="1:7" x14ac:dyDescent="0.25">
      <c r="A2171" t="s">
        <v>6441</v>
      </c>
      <c r="B2171" t="s">
        <v>6852</v>
      </c>
      <c r="C2171" t="s">
        <v>713</v>
      </c>
      <c r="D2171" t="s">
        <v>714</v>
      </c>
      <c r="E2171" t="s">
        <v>715</v>
      </c>
      <c r="F2171" t="s">
        <v>6853</v>
      </c>
      <c r="G2171" s="2" t="str">
        <f>HYPERLINK("https://probpalata.gov.ru/files/ЮЛ770101216600189.jpeg","Скачать индивидуальный QR-код магазина")</f>
        <v>Скачать индивидуальный QR-код магазина</v>
      </c>
    </row>
    <row r="2172" spans="1:7" x14ac:dyDescent="0.25">
      <c r="A2172" t="s">
        <v>6441</v>
      </c>
      <c r="B2172" t="s">
        <v>6854</v>
      </c>
      <c r="C2172" t="s">
        <v>713</v>
      </c>
      <c r="D2172" t="s">
        <v>714</v>
      </c>
      <c r="E2172" t="s">
        <v>715</v>
      </c>
      <c r="F2172" t="s">
        <v>6855</v>
      </c>
      <c r="G2172" s="2" t="str">
        <f>HYPERLINK("https://probpalata.gov.ru/files/ЮЛ770101216600287.jpeg","Скачать индивидуальный QR-код магазина")</f>
        <v>Скачать индивидуальный QR-код магазина</v>
      </c>
    </row>
    <row r="2173" spans="1:7" x14ac:dyDescent="0.25">
      <c r="A2173" t="s">
        <v>6441</v>
      </c>
      <c r="B2173" t="s">
        <v>6856</v>
      </c>
      <c r="C2173" t="s">
        <v>713</v>
      </c>
      <c r="D2173" t="s">
        <v>714</v>
      </c>
      <c r="E2173" t="s">
        <v>715</v>
      </c>
      <c r="F2173" t="s">
        <v>6857</v>
      </c>
      <c r="G2173" s="2" t="str">
        <f>HYPERLINK("https://probpalata.gov.ru/files/ЮЛ770101216600293.jpeg","Скачать индивидуальный QR-код магазина")</f>
        <v>Скачать индивидуальный QR-код магазина</v>
      </c>
    </row>
    <row r="2174" spans="1:7" x14ac:dyDescent="0.25">
      <c r="A2174" t="s">
        <v>6441</v>
      </c>
      <c r="B2174" t="s">
        <v>6858</v>
      </c>
      <c r="C2174" t="s">
        <v>713</v>
      </c>
      <c r="D2174" t="s">
        <v>714</v>
      </c>
      <c r="E2174" t="s">
        <v>715</v>
      </c>
      <c r="F2174" t="s">
        <v>6859</v>
      </c>
      <c r="G2174" s="2" t="str">
        <f>HYPERLINK("https://probpalata.gov.ru/files/ЮЛ770101216600868.jpeg","Скачать индивидуальный QR-код магазина")</f>
        <v>Скачать индивидуальный QR-код магазина</v>
      </c>
    </row>
    <row r="2175" spans="1:7" x14ac:dyDescent="0.25">
      <c r="A2175" t="s">
        <v>6441</v>
      </c>
      <c r="B2175" t="s">
        <v>6860</v>
      </c>
      <c r="C2175" t="s">
        <v>748</v>
      </c>
      <c r="D2175" t="s">
        <v>749</v>
      </c>
      <c r="E2175" t="s">
        <v>750</v>
      </c>
      <c r="F2175" t="s">
        <v>6861</v>
      </c>
      <c r="G2175" s="2" t="str">
        <f>HYPERLINK("https://probpalata.gov.ru/files/ЮЛ770100193500134.jpeg","Скачать индивидуальный QR-код магазина")</f>
        <v>Скачать индивидуальный QR-код магазина</v>
      </c>
    </row>
    <row r="2176" spans="1:7" x14ac:dyDescent="0.25">
      <c r="A2176" t="s">
        <v>6441</v>
      </c>
      <c r="B2176" t="s">
        <v>6862</v>
      </c>
      <c r="C2176" t="s">
        <v>748</v>
      </c>
      <c r="D2176" t="s">
        <v>749</v>
      </c>
      <c r="E2176" t="s">
        <v>750</v>
      </c>
      <c r="F2176" t="s">
        <v>6863</v>
      </c>
      <c r="G2176" s="2" t="str">
        <f>HYPERLINK("https://probpalata.gov.ru/files/ЮЛ770100193500136.jpeg","Скачать индивидуальный QR-код магазина")</f>
        <v>Скачать индивидуальный QR-код магазина</v>
      </c>
    </row>
    <row r="2177" spans="1:7" x14ac:dyDescent="0.25">
      <c r="A2177" t="s">
        <v>6441</v>
      </c>
      <c r="B2177" t="s">
        <v>6864</v>
      </c>
      <c r="C2177" t="s">
        <v>748</v>
      </c>
      <c r="D2177" t="s">
        <v>749</v>
      </c>
      <c r="E2177" t="s">
        <v>750</v>
      </c>
      <c r="F2177" t="s">
        <v>6865</v>
      </c>
      <c r="G2177" s="2" t="str">
        <f>HYPERLINK("https://probpalata.gov.ru/files/ЮЛ770100193500137.jpeg","Скачать индивидуальный QR-код магазина")</f>
        <v>Скачать индивидуальный QR-код магазина</v>
      </c>
    </row>
    <row r="2178" spans="1:7" x14ac:dyDescent="0.25">
      <c r="A2178" t="s">
        <v>6441</v>
      </c>
      <c r="B2178" t="s">
        <v>6850</v>
      </c>
      <c r="C2178" t="s">
        <v>748</v>
      </c>
      <c r="D2178" t="s">
        <v>749</v>
      </c>
      <c r="E2178" t="s">
        <v>750</v>
      </c>
      <c r="F2178" t="s">
        <v>6866</v>
      </c>
      <c r="G2178" s="2" t="str">
        <f>HYPERLINK("https://probpalata.gov.ru/files/ЮЛ770100193500996.jpeg","Скачать индивидуальный QR-код магазина")</f>
        <v>Скачать индивидуальный QR-код магазина</v>
      </c>
    </row>
    <row r="2179" spans="1:7" x14ac:dyDescent="0.25">
      <c r="A2179" t="s">
        <v>6441</v>
      </c>
      <c r="B2179" t="s">
        <v>6867</v>
      </c>
      <c r="C2179" t="s">
        <v>748</v>
      </c>
      <c r="D2179" t="s">
        <v>749</v>
      </c>
      <c r="E2179" t="s">
        <v>750</v>
      </c>
      <c r="F2179" t="s">
        <v>6868</v>
      </c>
      <c r="G2179" s="2" t="str">
        <f>HYPERLINK("https://probpalata.gov.ru/files/ЮЛ770100193501082.jpeg","Скачать индивидуальный QR-код магазина")</f>
        <v>Скачать индивидуальный QR-код магазина</v>
      </c>
    </row>
    <row r="2180" spans="1:7" x14ac:dyDescent="0.25">
      <c r="A2180" t="s">
        <v>6441</v>
      </c>
      <c r="B2180" t="s">
        <v>6869</v>
      </c>
      <c r="C2180" t="s">
        <v>6870</v>
      </c>
      <c r="D2180" t="s">
        <v>6871</v>
      </c>
      <c r="E2180" t="s">
        <v>6872</v>
      </c>
      <c r="F2180" t="s">
        <v>6873</v>
      </c>
      <c r="G2180" s="2" t="str">
        <f>HYPERLINK("https://probpalata.gov.ru/files/ИП370200078500000.jpeg","Скачать индивидуальный QR-код магазина")</f>
        <v>Скачать индивидуальный QR-код магазина</v>
      </c>
    </row>
    <row r="2181" spans="1:7" x14ac:dyDescent="0.25">
      <c r="A2181" t="s">
        <v>6441</v>
      </c>
      <c r="B2181" t="s">
        <v>6874</v>
      </c>
      <c r="C2181" t="s">
        <v>773</v>
      </c>
      <c r="D2181" t="s">
        <v>774</v>
      </c>
      <c r="E2181" t="s">
        <v>775</v>
      </c>
      <c r="F2181" t="s">
        <v>6875</v>
      </c>
      <c r="G2181" s="2" t="str">
        <f>HYPERLINK("https://probpalata.gov.ru/files/ЮЛ780300131300104.jpeg","Скачать индивидуальный QR-код магазина")</f>
        <v>Скачать индивидуальный QR-код магазина</v>
      </c>
    </row>
    <row r="2182" spans="1:7" x14ac:dyDescent="0.25">
      <c r="A2182" t="s">
        <v>6441</v>
      </c>
      <c r="B2182" t="s">
        <v>6876</v>
      </c>
      <c r="C2182" t="s">
        <v>791</v>
      </c>
      <c r="D2182" t="s">
        <v>792</v>
      </c>
      <c r="E2182" t="s">
        <v>793</v>
      </c>
      <c r="F2182" t="s">
        <v>6877</v>
      </c>
      <c r="G2182" s="2" t="str">
        <f>HYPERLINK("https://probpalata.gov.ru/files/ЮЛ780300323500005.jpeg","Скачать индивидуальный QR-код магазина")</f>
        <v>Скачать индивидуальный QR-код магазина</v>
      </c>
    </row>
    <row r="2183" spans="1:7" x14ac:dyDescent="0.25">
      <c r="A2183" t="s">
        <v>6441</v>
      </c>
      <c r="B2183" t="s">
        <v>6878</v>
      </c>
      <c r="C2183" t="s">
        <v>791</v>
      </c>
      <c r="D2183" t="s">
        <v>792</v>
      </c>
      <c r="E2183" t="s">
        <v>793</v>
      </c>
      <c r="F2183" t="s">
        <v>6879</v>
      </c>
      <c r="G2183" s="2" t="str">
        <f>HYPERLINK("https://probpalata.gov.ru/files/ЮЛ780300323500060.jpeg","Скачать индивидуальный QR-код магазина")</f>
        <v>Скачать индивидуальный QR-код магазина</v>
      </c>
    </row>
    <row r="2184" spans="1:7" x14ac:dyDescent="0.25">
      <c r="A2184" t="s">
        <v>6441</v>
      </c>
      <c r="B2184" t="s">
        <v>6841</v>
      </c>
      <c r="C2184" t="s">
        <v>798</v>
      </c>
      <c r="D2184" t="s">
        <v>799</v>
      </c>
      <c r="E2184" t="s">
        <v>800</v>
      </c>
      <c r="F2184" t="s">
        <v>6880</v>
      </c>
      <c r="G2184" s="2" t="str">
        <f>HYPERLINK("https://probpalata.gov.ru/files/ЮЛ780300308200140.jpeg","Скачать индивидуальный QR-код магазина")</f>
        <v>Скачать индивидуальный QR-код магазина</v>
      </c>
    </row>
    <row r="2185" spans="1:7" x14ac:dyDescent="0.25">
      <c r="A2185" t="s">
        <v>6441</v>
      </c>
      <c r="B2185" t="s">
        <v>6881</v>
      </c>
      <c r="C2185" t="s">
        <v>798</v>
      </c>
      <c r="D2185" t="s">
        <v>799</v>
      </c>
      <c r="E2185" t="s">
        <v>800</v>
      </c>
      <c r="F2185" t="s">
        <v>6882</v>
      </c>
      <c r="G2185" s="2" t="str">
        <f>HYPERLINK("https://probpalata.gov.ru/files/ЮЛ780300308200206.jpeg","Скачать индивидуальный QR-код магазина")</f>
        <v>Скачать индивидуальный QR-код магазина</v>
      </c>
    </row>
    <row r="2186" spans="1:7" x14ac:dyDescent="0.25">
      <c r="A2186" t="s">
        <v>6441</v>
      </c>
      <c r="B2186" t="s">
        <v>6883</v>
      </c>
      <c r="C2186" t="s">
        <v>798</v>
      </c>
      <c r="D2186" t="s">
        <v>799</v>
      </c>
      <c r="E2186" t="s">
        <v>800</v>
      </c>
      <c r="F2186" t="s">
        <v>6884</v>
      </c>
      <c r="G2186" s="2" t="str">
        <f>HYPERLINK("https://probpalata.gov.ru/files/ЮЛ780300308200224.jpeg","Скачать индивидуальный QR-код магазина")</f>
        <v>Скачать индивидуальный QR-код магазина</v>
      </c>
    </row>
    <row r="2187" spans="1:7" x14ac:dyDescent="0.25">
      <c r="A2187" t="s">
        <v>6441</v>
      </c>
      <c r="B2187" t="s">
        <v>6885</v>
      </c>
      <c r="C2187" t="s">
        <v>798</v>
      </c>
      <c r="D2187" t="s">
        <v>799</v>
      </c>
      <c r="E2187" t="s">
        <v>800</v>
      </c>
      <c r="F2187" t="s">
        <v>6886</v>
      </c>
      <c r="G2187" s="2" t="str">
        <f>HYPERLINK("https://probpalata.gov.ru/files/ЮЛ780300308201135.jpeg","Скачать индивидуальный QR-код магазина")</f>
        <v>Скачать индивидуальный QR-код магазина</v>
      </c>
    </row>
    <row r="2188" spans="1:7" x14ac:dyDescent="0.25">
      <c r="A2188" t="s">
        <v>6441</v>
      </c>
      <c r="B2188" t="s">
        <v>6887</v>
      </c>
      <c r="C2188" t="s">
        <v>823</v>
      </c>
      <c r="D2188" t="s">
        <v>824</v>
      </c>
      <c r="E2188" t="s">
        <v>825</v>
      </c>
      <c r="F2188" t="s">
        <v>6888</v>
      </c>
      <c r="G2188" s="2" t="str">
        <f>HYPERLINK("https://probpalata.gov.ru/files/ЮЛ780300363500105.jpeg","Скачать индивидуальный QR-код магазина")</f>
        <v>Скачать индивидуальный QR-код магазина</v>
      </c>
    </row>
    <row r="2189" spans="1:7" x14ac:dyDescent="0.25">
      <c r="A2189" t="s">
        <v>6441</v>
      </c>
      <c r="B2189" t="s">
        <v>6876</v>
      </c>
      <c r="C2189" t="s">
        <v>823</v>
      </c>
      <c r="D2189" t="s">
        <v>824</v>
      </c>
      <c r="E2189" t="s">
        <v>825</v>
      </c>
      <c r="F2189" t="s">
        <v>6889</v>
      </c>
      <c r="G2189" s="2" t="str">
        <f>HYPERLINK("https://probpalata.gov.ru/files/ЮЛ780300363500106.jpeg","Скачать индивидуальный QR-код магазина")</f>
        <v>Скачать индивидуальный QR-код магазина</v>
      </c>
    </row>
    <row r="2190" spans="1:7" x14ac:dyDescent="0.25">
      <c r="A2190" t="s">
        <v>6441</v>
      </c>
      <c r="B2190" t="s">
        <v>6890</v>
      </c>
      <c r="C2190" t="s">
        <v>1501</v>
      </c>
      <c r="D2190" t="s">
        <v>1502</v>
      </c>
      <c r="E2190" t="s">
        <v>1503</v>
      </c>
      <c r="F2190" t="s">
        <v>6891</v>
      </c>
      <c r="G2190" s="2" t="str">
        <f>HYPERLINK("https://probpalata.gov.ru/files/ЮЛ770100439200256.jpeg","Скачать индивидуальный QR-код магазина")</f>
        <v>Скачать индивидуальный QR-код магазина</v>
      </c>
    </row>
    <row r="2191" spans="1:7" x14ac:dyDescent="0.25">
      <c r="A2191" t="s">
        <v>6892</v>
      </c>
      <c r="B2191" t="s">
        <v>6893</v>
      </c>
      <c r="C2191" t="s">
        <v>6894</v>
      </c>
      <c r="D2191" t="s">
        <v>6895</v>
      </c>
      <c r="E2191" t="s">
        <v>6896</v>
      </c>
      <c r="F2191" t="s">
        <v>6897</v>
      </c>
      <c r="G2191" s="2" t="str">
        <f>HYPERLINK("https://probpalata.gov.ru/files/ИП030900572300008.jpeg","Скачать индивидуальный QR-код магазина")</f>
        <v>Скачать индивидуальный QR-код магазина</v>
      </c>
    </row>
    <row r="2192" spans="1:7" x14ac:dyDescent="0.25">
      <c r="A2192" t="s">
        <v>6892</v>
      </c>
      <c r="B2192" t="s">
        <v>6898</v>
      </c>
      <c r="C2192" t="s">
        <v>6899</v>
      </c>
      <c r="D2192" t="s">
        <v>6900</v>
      </c>
      <c r="E2192" t="s">
        <v>6901</v>
      </c>
      <c r="F2192" t="s">
        <v>6902</v>
      </c>
      <c r="G2192" s="2" t="str">
        <f>HYPERLINK("https://probpalata.gov.ru/files/ИП380801516400000.jpeg","Скачать индивидуальный QR-код магазина")</f>
        <v>Скачать индивидуальный QR-код магазина</v>
      </c>
    </row>
    <row r="2193" spans="1:7" x14ac:dyDescent="0.25">
      <c r="A2193" t="s">
        <v>6892</v>
      </c>
      <c r="B2193" t="s">
        <v>6903</v>
      </c>
      <c r="C2193" t="s">
        <v>838</v>
      </c>
      <c r="D2193" t="s">
        <v>839</v>
      </c>
      <c r="E2193" t="s">
        <v>840</v>
      </c>
      <c r="F2193" t="s">
        <v>6904</v>
      </c>
      <c r="G2193" s="2" t="str">
        <f>HYPERLINK("https://probpalata.gov.ru/files/ЮЛ140900343400014.jpeg","Скачать индивидуальный QR-код магазина")</f>
        <v>Скачать индивидуальный QR-код магазина</v>
      </c>
    </row>
    <row r="2194" spans="1:7" x14ac:dyDescent="0.25">
      <c r="A2194" t="s">
        <v>6892</v>
      </c>
      <c r="B2194" t="s">
        <v>6905</v>
      </c>
      <c r="C2194" t="s">
        <v>838</v>
      </c>
      <c r="D2194" t="s">
        <v>839</v>
      </c>
      <c r="E2194" t="s">
        <v>840</v>
      </c>
      <c r="F2194" t="s">
        <v>6906</v>
      </c>
      <c r="G2194" s="2" t="str">
        <f>HYPERLINK("https://probpalata.gov.ru/files/ЮЛ140900343400016.jpeg","Скачать индивидуальный QR-код магазина")</f>
        <v>Скачать индивидуальный QR-код магазина</v>
      </c>
    </row>
    <row r="2195" spans="1:7" x14ac:dyDescent="0.25">
      <c r="A2195" t="s">
        <v>6892</v>
      </c>
      <c r="B2195" t="s">
        <v>6907</v>
      </c>
      <c r="C2195" t="s">
        <v>6908</v>
      </c>
      <c r="D2195" t="s">
        <v>6909</v>
      </c>
      <c r="E2195" t="s">
        <v>6910</v>
      </c>
      <c r="F2195" t="s">
        <v>6911</v>
      </c>
      <c r="G2195" s="2" t="str">
        <f>HYPERLINK("https://probpalata.gov.ru/files/ИП380800786600000.jpeg","Скачать индивидуальный QR-код магазина")</f>
        <v>Скачать индивидуальный QR-код магазина</v>
      </c>
    </row>
    <row r="2196" spans="1:7" x14ac:dyDescent="0.25">
      <c r="A2196" t="s">
        <v>6892</v>
      </c>
      <c r="B2196" t="s">
        <v>6912</v>
      </c>
      <c r="C2196" t="s">
        <v>6908</v>
      </c>
      <c r="D2196" t="s">
        <v>6909</v>
      </c>
      <c r="E2196" t="s">
        <v>6910</v>
      </c>
      <c r="F2196" t="s">
        <v>6913</v>
      </c>
      <c r="G2196" s="2" t="str">
        <f>HYPERLINK("https://probpalata.gov.ru/files/ИП380800786600001.jpeg","Скачать индивидуальный QR-код магазина")</f>
        <v>Скачать индивидуальный QR-код магазина</v>
      </c>
    </row>
    <row r="2197" spans="1:7" x14ac:dyDescent="0.25">
      <c r="A2197" t="s">
        <v>6892</v>
      </c>
      <c r="B2197" t="s">
        <v>6914</v>
      </c>
      <c r="C2197" t="s">
        <v>6915</v>
      </c>
      <c r="D2197" t="s">
        <v>6916</v>
      </c>
      <c r="E2197" t="s">
        <v>6917</v>
      </c>
      <c r="F2197" t="s">
        <v>6918</v>
      </c>
      <c r="G2197" s="2" t="str">
        <f>HYPERLINK("https://probpalata.gov.ru/files/ЮЛ240803662200018.jpeg","Скачать индивидуальный QR-код магазина")</f>
        <v>Скачать индивидуальный QR-код магазина</v>
      </c>
    </row>
    <row r="2198" spans="1:7" x14ac:dyDescent="0.25">
      <c r="A2198" t="s">
        <v>6892</v>
      </c>
      <c r="B2198" t="s">
        <v>6919</v>
      </c>
      <c r="C2198" t="s">
        <v>903</v>
      </c>
      <c r="D2198" t="s">
        <v>904</v>
      </c>
      <c r="E2198" t="s">
        <v>905</v>
      </c>
      <c r="F2198" t="s">
        <v>6920</v>
      </c>
      <c r="G2198" s="2" t="str">
        <f>HYPERLINK("https://probpalata.gov.ru/files/ИП280901090600003.jpeg","Скачать индивидуальный QR-код магазина")</f>
        <v>Скачать индивидуальный QR-код магазина</v>
      </c>
    </row>
    <row r="2199" spans="1:7" x14ac:dyDescent="0.25">
      <c r="A2199" t="s">
        <v>6892</v>
      </c>
      <c r="B2199" t="s">
        <v>6921</v>
      </c>
      <c r="C2199" t="s">
        <v>903</v>
      </c>
      <c r="D2199" t="s">
        <v>904</v>
      </c>
      <c r="E2199" t="s">
        <v>905</v>
      </c>
      <c r="F2199" t="s">
        <v>6922</v>
      </c>
      <c r="G2199" s="2" t="str">
        <f>HYPERLINK("https://probpalata.gov.ru/files/ИП280901090600018.jpeg","Скачать индивидуальный QR-код магазина")</f>
        <v>Скачать индивидуальный QR-код магазина</v>
      </c>
    </row>
    <row r="2200" spans="1:7" x14ac:dyDescent="0.25">
      <c r="A2200" t="s">
        <v>6892</v>
      </c>
      <c r="B2200" t="s">
        <v>6923</v>
      </c>
      <c r="C2200" t="s">
        <v>903</v>
      </c>
      <c r="D2200" t="s">
        <v>904</v>
      </c>
      <c r="E2200" t="s">
        <v>905</v>
      </c>
      <c r="F2200" t="s">
        <v>6924</v>
      </c>
      <c r="G2200" s="2" t="str">
        <f>HYPERLINK("https://probpalata.gov.ru/files/ИП280901090600019.jpeg","Скачать индивидуальный QR-код магазина")</f>
        <v>Скачать индивидуальный QR-код магазина</v>
      </c>
    </row>
    <row r="2201" spans="1:7" x14ac:dyDescent="0.25">
      <c r="A2201" t="s">
        <v>6892</v>
      </c>
      <c r="B2201" t="s">
        <v>6925</v>
      </c>
      <c r="C2201" t="s">
        <v>6926</v>
      </c>
      <c r="D2201" t="s">
        <v>6927</v>
      </c>
      <c r="E2201" t="s">
        <v>6928</v>
      </c>
      <c r="F2201" t="s">
        <v>6929</v>
      </c>
      <c r="G2201" s="2" t="str">
        <f>HYPERLINK("https://probpalata.gov.ru/files/ИП380801396800004.jpeg","Скачать индивидуальный QR-код магазина")</f>
        <v>Скачать индивидуальный QR-код магазина</v>
      </c>
    </row>
    <row r="2202" spans="1:7" x14ac:dyDescent="0.25">
      <c r="A2202" t="s">
        <v>6892</v>
      </c>
      <c r="B2202" t="s">
        <v>6930</v>
      </c>
      <c r="C2202" t="s">
        <v>6931</v>
      </c>
      <c r="D2202" t="s">
        <v>6932</v>
      </c>
      <c r="E2202" t="s">
        <v>6933</v>
      </c>
      <c r="F2202" t="s">
        <v>6934</v>
      </c>
      <c r="G2202" s="2" t="str">
        <f>HYPERLINK("https://probpalata.gov.ru/files/ИП380801379100000.jpeg","Скачать индивидуальный QR-код магазина")</f>
        <v>Скачать индивидуальный QR-код магазина</v>
      </c>
    </row>
    <row r="2203" spans="1:7" x14ac:dyDescent="0.25">
      <c r="A2203" t="s">
        <v>6892</v>
      </c>
      <c r="B2203" t="s">
        <v>6925</v>
      </c>
      <c r="C2203" t="s">
        <v>6935</v>
      </c>
      <c r="D2203" t="s">
        <v>6936</v>
      </c>
      <c r="E2203" t="s">
        <v>6937</v>
      </c>
      <c r="F2203" t="s">
        <v>6938</v>
      </c>
      <c r="G2203" s="2" t="str">
        <f>HYPERLINK("https://probpalata.gov.ru/files/ИП380803299600001.jpeg","Скачать индивидуальный QR-код магазина")</f>
        <v>Скачать индивидуальный QR-код магазина</v>
      </c>
    </row>
    <row r="2204" spans="1:7" x14ac:dyDescent="0.25">
      <c r="A2204" t="s">
        <v>6892</v>
      </c>
      <c r="B2204" t="s">
        <v>6939</v>
      </c>
      <c r="C2204" t="s">
        <v>6935</v>
      </c>
      <c r="D2204" t="s">
        <v>6936</v>
      </c>
      <c r="E2204" t="s">
        <v>6937</v>
      </c>
      <c r="F2204" t="s">
        <v>6940</v>
      </c>
      <c r="G2204" s="2" t="str">
        <f>HYPERLINK("https://probpalata.gov.ru/files/ИП380803299600002.jpeg","Скачать индивидуальный QR-код магазина")</f>
        <v>Скачать индивидуальный QR-код магазина</v>
      </c>
    </row>
    <row r="2205" spans="1:7" x14ac:dyDescent="0.25">
      <c r="A2205" t="s">
        <v>6892</v>
      </c>
      <c r="B2205" t="s">
        <v>6941</v>
      </c>
      <c r="C2205" t="s">
        <v>6942</v>
      </c>
      <c r="D2205" t="s">
        <v>6943</v>
      </c>
      <c r="E2205" t="s">
        <v>6944</v>
      </c>
      <c r="F2205" t="s">
        <v>6945</v>
      </c>
      <c r="G2205" s="2" t="str">
        <f>HYPERLINK("https://probpalata.gov.ru/files/ИП380800431200000.jpeg","Скачать индивидуальный QR-код магазина")</f>
        <v>Скачать индивидуальный QR-код магазина</v>
      </c>
    </row>
    <row r="2206" spans="1:7" x14ac:dyDescent="0.25">
      <c r="A2206" t="s">
        <v>6892</v>
      </c>
      <c r="B2206" t="s">
        <v>6946</v>
      </c>
      <c r="C2206" t="s">
        <v>6942</v>
      </c>
      <c r="D2206" t="s">
        <v>6943</v>
      </c>
      <c r="E2206" t="s">
        <v>6944</v>
      </c>
      <c r="F2206" t="s">
        <v>6947</v>
      </c>
      <c r="G2206" s="2" t="str">
        <f>HYPERLINK("https://probpalata.gov.ru/files/ИП380800431200001.jpeg","Скачать индивидуальный QR-код магазина")</f>
        <v>Скачать индивидуальный QR-код магазина</v>
      </c>
    </row>
    <row r="2207" spans="1:7" x14ac:dyDescent="0.25">
      <c r="A2207" t="s">
        <v>6892</v>
      </c>
      <c r="B2207" t="s">
        <v>6948</v>
      </c>
      <c r="C2207" t="s">
        <v>6942</v>
      </c>
      <c r="D2207" t="s">
        <v>6943</v>
      </c>
      <c r="E2207" t="s">
        <v>6944</v>
      </c>
      <c r="F2207" t="s">
        <v>6949</v>
      </c>
      <c r="G2207" s="2" t="str">
        <f>HYPERLINK("https://probpalata.gov.ru/files/ИП380800431200003.jpeg","Скачать индивидуальный QR-код магазина")</f>
        <v>Скачать индивидуальный QR-код магазина</v>
      </c>
    </row>
    <row r="2208" spans="1:7" x14ac:dyDescent="0.25">
      <c r="A2208" t="s">
        <v>6892</v>
      </c>
      <c r="B2208" t="s">
        <v>6950</v>
      </c>
      <c r="C2208" t="s">
        <v>6951</v>
      </c>
      <c r="D2208" t="s">
        <v>6952</v>
      </c>
      <c r="E2208" t="s">
        <v>6953</v>
      </c>
      <c r="F2208" t="s">
        <v>6954</v>
      </c>
      <c r="G2208" s="2" t="str">
        <f>HYPERLINK("https://probpalata.gov.ru/files/ИП380801199000000.jpeg","Скачать индивидуальный QR-код магазина")</f>
        <v>Скачать индивидуальный QR-код магазина</v>
      </c>
    </row>
    <row r="2209" spans="1:7" x14ac:dyDescent="0.25">
      <c r="A2209" t="s">
        <v>6892</v>
      </c>
      <c r="B2209" t="s">
        <v>6955</v>
      </c>
      <c r="C2209" t="s">
        <v>6956</v>
      </c>
      <c r="D2209" t="s">
        <v>6957</v>
      </c>
      <c r="E2209" t="s">
        <v>6958</v>
      </c>
      <c r="F2209" t="s">
        <v>6959</v>
      </c>
      <c r="G2209" s="2" t="str">
        <f>HYPERLINK("https://probpalata.gov.ru/files/ИП380803955600000.jpeg","Скачать индивидуальный QR-код магазина")</f>
        <v>Скачать индивидуальный QR-код магазина</v>
      </c>
    </row>
    <row r="2210" spans="1:7" x14ac:dyDescent="0.25">
      <c r="A2210" t="s">
        <v>6892</v>
      </c>
      <c r="B2210" t="s">
        <v>6960</v>
      </c>
      <c r="C2210" t="s">
        <v>6961</v>
      </c>
      <c r="D2210" t="s">
        <v>6962</v>
      </c>
      <c r="E2210" t="s">
        <v>6963</v>
      </c>
      <c r="F2210" t="s">
        <v>6964</v>
      </c>
      <c r="G2210" s="2" t="str">
        <f>HYPERLINK("https://probpalata.gov.ru/files/ЮЛ380800040200000.jpeg","Скачать индивидуальный QR-код магазина")</f>
        <v>Скачать индивидуальный QR-код магазина</v>
      </c>
    </row>
    <row r="2211" spans="1:7" x14ac:dyDescent="0.25">
      <c r="A2211" t="s">
        <v>6892</v>
      </c>
      <c r="B2211" t="s">
        <v>6965</v>
      </c>
      <c r="C2211" t="s">
        <v>6966</v>
      </c>
      <c r="D2211" t="s">
        <v>6967</v>
      </c>
      <c r="E2211" t="s">
        <v>6968</v>
      </c>
      <c r="F2211" t="s">
        <v>6969</v>
      </c>
      <c r="G2211" s="2" t="str">
        <f>HYPERLINK("https://probpalata.gov.ru/files/ИП380800256900000.jpeg","Скачать индивидуальный QR-код магазина")</f>
        <v>Скачать индивидуальный QR-код магазина</v>
      </c>
    </row>
    <row r="2212" spans="1:7" x14ac:dyDescent="0.25">
      <c r="A2212" t="s">
        <v>6892</v>
      </c>
      <c r="B2212" t="s">
        <v>6970</v>
      </c>
      <c r="C2212" t="s">
        <v>6971</v>
      </c>
      <c r="D2212" t="s">
        <v>6972</v>
      </c>
      <c r="E2212" t="s">
        <v>6973</v>
      </c>
      <c r="F2212" t="s">
        <v>6974</v>
      </c>
      <c r="G2212" s="2" t="str">
        <f>HYPERLINK("https://probpalata.gov.ru/files/ЮЛ380803635000000.jpeg","Скачать индивидуальный QR-код магазина")</f>
        <v>Скачать индивидуальный QR-код магазина</v>
      </c>
    </row>
    <row r="2213" spans="1:7" x14ac:dyDescent="0.25">
      <c r="A2213" t="s">
        <v>6892</v>
      </c>
      <c r="B2213" t="s">
        <v>6939</v>
      </c>
      <c r="C2213" t="s">
        <v>6975</v>
      </c>
      <c r="D2213" t="s">
        <v>6976</v>
      </c>
      <c r="E2213" t="s">
        <v>6977</v>
      </c>
      <c r="F2213" t="s">
        <v>6978</v>
      </c>
      <c r="G2213" s="2" t="str">
        <f>HYPERLINK("https://probpalata.gov.ru/files/ИП380803299700001.jpeg","Скачать индивидуальный QR-код магазина")</f>
        <v>Скачать индивидуальный QR-код магазина</v>
      </c>
    </row>
    <row r="2214" spans="1:7" x14ac:dyDescent="0.25">
      <c r="A2214" t="s">
        <v>6892</v>
      </c>
      <c r="B2214" t="s">
        <v>6979</v>
      </c>
      <c r="C2214" t="s">
        <v>6980</v>
      </c>
      <c r="D2214" t="s">
        <v>6981</v>
      </c>
      <c r="E2214" t="s">
        <v>6982</v>
      </c>
      <c r="F2214" t="s">
        <v>6983</v>
      </c>
      <c r="G2214" s="2" t="str">
        <f>HYPERLINK("https://probpalata.gov.ru/files/ИП380801470600000.jpeg","Скачать индивидуальный QR-код магазина")</f>
        <v>Скачать индивидуальный QR-код магазина</v>
      </c>
    </row>
    <row r="2215" spans="1:7" x14ac:dyDescent="0.25">
      <c r="A2215" t="s">
        <v>6892</v>
      </c>
      <c r="B2215" t="s">
        <v>6984</v>
      </c>
      <c r="C2215" t="s">
        <v>6980</v>
      </c>
      <c r="D2215" t="s">
        <v>6981</v>
      </c>
      <c r="E2215" t="s">
        <v>6982</v>
      </c>
      <c r="F2215" t="s">
        <v>6985</v>
      </c>
      <c r="G2215" s="2" t="str">
        <f>HYPERLINK("https://probpalata.gov.ru/files/ИП380801470600009.jpeg","Скачать индивидуальный QR-код магазина")</f>
        <v>Скачать индивидуальный QR-код магазина</v>
      </c>
    </row>
    <row r="2216" spans="1:7" x14ac:dyDescent="0.25">
      <c r="A2216" t="s">
        <v>6892</v>
      </c>
      <c r="B2216" t="s">
        <v>6986</v>
      </c>
      <c r="C2216" t="s">
        <v>6980</v>
      </c>
      <c r="D2216" t="s">
        <v>6981</v>
      </c>
      <c r="E2216" t="s">
        <v>6982</v>
      </c>
      <c r="F2216" t="s">
        <v>6987</v>
      </c>
      <c r="G2216" s="2" t="str">
        <f>HYPERLINK("https://probpalata.gov.ru/files/ИП380801470600012.jpeg","Скачать индивидуальный QR-код магазина")</f>
        <v>Скачать индивидуальный QR-код магазина</v>
      </c>
    </row>
    <row r="2217" spans="1:7" x14ac:dyDescent="0.25">
      <c r="A2217" t="s">
        <v>6892</v>
      </c>
      <c r="B2217" t="s">
        <v>6988</v>
      </c>
      <c r="C2217" t="s">
        <v>6980</v>
      </c>
      <c r="D2217" t="s">
        <v>6981</v>
      </c>
      <c r="E2217" t="s">
        <v>6982</v>
      </c>
      <c r="F2217" t="s">
        <v>6989</v>
      </c>
      <c r="G2217" s="2" t="str">
        <f>HYPERLINK("https://probpalata.gov.ru/files/ИП380801470600016.jpeg","Скачать индивидуальный QR-код магазина")</f>
        <v>Скачать индивидуальный QR-код магазина</v>
      </c>
    </row>
    <row r="2218" spans="1:7" x14ac:dyDescent="0.25">
      <c r="A2218" t="s">
        <v>6892</v>
      </c>
      <c r="B2218" t="s">
        <v>6990</v>
      </c>
      <c r="C2218" t="s">
        <v>6980</v>
      </c>
      <c r="D2218" t="s">
        <v>6981</v>
      </c>
      <c r="E2218" t="s">
        <v>6982</v>
      </c>
      <c r="F2218" t="s">
        <v>6991</v>
      </c>
      <c r="G2218" s="2" t="str">
        <f>HYPERLINK("https://probpalata.gov.ru/files/ИП380801470600017.jpeg","Скачать индивидуальный QR-код магазина")</f>
        <v>Скачать индивидуальный QR-код магазина</v>
      </c>
    </row>
    <row r="2219" spans="1:7" x14ac:dyDescent="0.25">
      <c r="A2219" t="s">
        <v>6892</v>
      </c>
      <c r="B2219" t="s">
        <v>6992</v>
      </c>
      <c r="C2219" t="s">
        <v>6993</v>
      </c>
      <c r="D2219" t="s">
        <v>6994</v>
      </c>
      <c r="E2219" t="s">
        <v>6995</v>
      </c>
      <c r="F2219" t="s">
        <v>6996</v>
      </c>
      <c r="G2219" s="2" t="str">
        <f>HYPERLINK("https://probpalata.gov.ru/files/ЮЛ380800040000000.jpeg","Скачать индивидуальный QR-код магазина")</f>
        <v>Скачать индивидуальный QR-код магазина</v>
      </c>
    </row>
    <row r="2220" spans="1:7" x14ac:dyDescent="0.25">
      <c r="A2220" t="s">
        <v>6892</v>
      </c>
      <c r="B2220" t="s">
        <v>6997</v>
      </c>
      <c r="C2220" t="s">
        <v>6998</v>
      </c>
      <c r="D2220" t="s">
        <v>6999</v>
      </c>
      <c r="E2220" t="s">
        <v>7000</v>
      </c>
      <c r="F2220" t="s">
        <v>7001</v>
      </c>
      <c r="G2220" s="2" t="str">
        <f>HYPERLINK("https://probpalata.gov.ru/files/ИП380800292500000.jpeg","Скачать индивидуальный QR-код магазина")</f>
        <v>Скачать индивидуальный QR-код магазина</v>
      </c>
    </row>
    <row r="2221" spans="1:7" x14ac:dyDescent="0.25">
      <c r="A2221" t="s">
        <v>6892</v>
      </c>
      <c r="B2221" t="s">
        <v>7002</v>
      </c>
      <c r="C2221" t="s">
        <v>7003</v>
      </c>
      <c r="D2221" t="s">
        <v>7004</v>
      </c>
      <c r="E2221" t="s">
        <v>7005</v>
      </c>
      <c r="F2221" t="s">
        <v>7006</v>
      </c>
      <c r="G2221" s="2" t="str">
        <f>HYPERLINK("https://probpalata.gov.ru/files/ИП780300421000000.jpeg","Скачать индивидуальный QR-код магазина")</f>
        <v>Скачать индивидуальный QR-код магазина</v>
      </c>
    </row>
    <row r="2222" spans="1:7" x14ac:dyDescent="0.25">
      <c r="A2222" t="s">
        <v>6892</v>
      </c>
      <c r="B2222" t="s">
        <v>7007</v>
      </c>
      <c r="C2222" t="s">
        <v>7003</v>
      </c>
      <c r="D2222" t="s">
        <v>7004</v>
      </c>
      <c r="E2222" t="s">
        <v>7005</v>
      </c>
      <c r="F2222" t="s">
        <v>7008</v>
      </c>
      <c r="G2222" s="2" t="str">
        <f>HYPERLINK("https://probpalata.gov.ru/files/ИП780300421000001.jpeg","Скачать индивидуальный QR-код магазина")</f>
        <v>Скачать индивидуальный QR-код магазина</v>
      </c>
    </row>
    <row r="2223" spans="1:7" x14ac:dyDescent="0.25">
      <c r="A2223" t="s">
        <v>6892</v>
      </c>
      <c r="B2223" t="s">
        <v>7009</v>
      </c>
      <c r="C2223" t="s">
        <v>7003</v>
      </c>
      <c r="D2223" t="s">
        <v>7004</v>
      </c>
      <c r="E2223" t="s">
        <v>7005</v>
      </c>
      <c r="F2223" t="s">
        <v>7010</v>
      </c>
      <c r="G2223" s="2" t="str">
        <f>HYPERLINK("https://probpalata.gov.ru/files/ИП780300421000002.jpeg","Скачать индивидуальный QR-код магазина")</f>
        <v>Скачать индивидуальный QR-код магазина</v>
      </c>
    </row>
    <row r="2224" spans="1:7" x14ac:dyDescent="0.25">
      <c r="A2224" t="s">
        <v>6892</v>
      </c>
      <c r="B2224" t="s">
        <v>7011</v>
      </c>
      <c r="C2224" t="s">
        <v>7003</v>
      </c>
      <c r="D2224" t="s">
        <v>7004</v>
      </c>
      <c r="E2224" t="s">
        <v>7005</v>
      </c>
      <c r="F2224" t="s">
        <v>7012</v>
      </c>
      <c r="G2224" s="2" t="str">
        <f>HYPERLINK("https://probpalata.gov.ru/files/ИП780300421000003.jpeg","Скачать индивидуальный QR-код магазина")</f>
        <v>Скачать индивидуальный QR-код магазина</v>
      </c>
    </row>
    <row r="2225" spans="1:7" x14ac:dyDescent="0.25">
      <c r="A2225" t="s">
        <v>6892</v>
      </c>
      <c r="B2225" t="s">
        <v>7013</v>
      </c>
      <c r="C2225" t="s">
        <v>7014</v>
      </c>
      <c r="D2225" t="s">
        <v>7015</v>
      </c>
      <c r="E2225" t="s">
        <v>7016</v>
      </c>
      <c r="F2225" t="s">
        <v>7017</v>
      </c>
      <c r="G2225" s="2" t="str">
        <f>HYPERLINK("https://probpalata.gov.ru/files/ИП380801496900000.jpeg","Скачать индивидуальный QR-код магазина")</f>
        <v>Скачать индивидуальный QR-код магазина</v>
      </c>
    </row>
    <row r="2226" spans="1:7" x14ac:dyDescent="0.25">
      <c r="A2226" t="s">
        <v>6892</v>
      </c>
      <c r="B2226" t="s">
        <v>7018</v>
      </c>
      <c r="C2226" t="s">
        <v>7014</v>
      </c>
      <c r="D2226" t="s">
        <v>7015</v>
      </c>
      <c r="E2226" t="s">
        <v>7016</v>
      </c>
      <c r="F2226" t="s">
        <v>7019</v>
      </c>
      <c r="G2226" s="2" t="str">
        <f>HYPERLINK("https://probpalata.gov.ru/files/ИП380801496900002.jpeg","Скачать индивидуальный QR-код магазина")</f>
        <v>Скачать индивидуальный QR-код магазина</v>
      </c>
    </row>
    <row r="2227" spans="1:7" x14ac:dyDescent="0.25">
      <c r="A2227" t="s">
        <v>6892</v>
      </c>
      <c r="B2227" t="s">
        <v>7020</v>
      </c>
      <c r="C2227" t="s">
        <v>7014</v>
      </c>
      <c r="D2227" t="s">
        <v>7015</v>
      </c>
      <c r="E2227" t="s">
        <v>7016</v>
      </c>
      <c r="F2227" t="s">
        <v>7021</v>
      </c>
      <c r="G2227" s="2" t="str">
        <f>HYPERLINK("https://probpalata.gov.ru/files/ИП380801496900003.jpeg","Скачать индивидуальный QR-код магазина")</f>
        <v>Скачать индивидуальный QR-код магазина</v>
      </c>
    </row>
    <row r="2228" spans="1:7" x14ac:dyDescent="0.25">
      <c r="A2228" t="s">
        <v>6892</v>
      </c>
      <c r="B2228" t="s">
        <v>7022</v>
      </c>
      <c r="C2228" t="s">
        <v>7023</v>
      </c>
      <c r="D2228" t="s">
        <v>7024</v>
      </c>
      <c r="E2228" t="s">
        <v>7025</v>
      </c>
      <c r="F2228" t="s">
        <v>7026</v>
      </c>
      <c r="G2228" s="2" t="str">
        <f>HYPERLINK("https://probpalata.gov.ru/files/ИП380800397100000.jpeg","Скачать индивидуальный QR-код магазина")</f>
        <v>Скачать индивидуальный QR-код магазина</v>
      </c>
    </row>
    <row r="2229" spans="1:7" x14ac:dyDescent="0.25">
      <c r="A2229" t="s">
        <v>6892</v>
      </c>
      <c r="B2229" t="s">
        <v>7027</v>
      </c>
      <c r="C2229" t="s">
        <v>7023</v>
      </c>
      <c r="D2229" t="s">
        <v>7024</v>
      </c>
      <c r="E2229" t="s">
        <v>7025</v>
      </c>
      <c r="F2229" t="s">
        <v>7028</v>
      </c>
      <c r="G2229" s="2" t="str">
        <f>HYPERLINK("https://probpalata.gov.ru/files/ИП380800397100001.jpeg","Скачать индивидуальный QR-код магазина")</f>
        <v>Скачать индивидуальный QR-код магазина</v>
      </c>
    </row>
    <row r="2230" spans="1:7" x14ac:dyDescent="0.25">
      <c r="A2230" t="s">
        <v>6892</v>
      </c>
      <c r="B2230" t="s">
        <v>7029</v>
      </c>
      <c r="C2230" t="s">
        <v>7023</v>
      </c>
      <c r="D2230" t="s">
        <v>7024</v>
      </c>
      <c r="E2230" t="s">
        <v>7025</v>
      </c>
      <c r="F2230" t="s">
        <v>7030</v>
      </c>
      <c r="G2230" s="2" t="str">
        <f>HYPERLINK("https://probpalata.gov.ru/files/ИП380800397100003.jpeg","Скачать индивидуальный QR-код магазина")</f>
        <v>Скачать индивидуальный QR-код магазина</v>
      </c>
    </row>
    <row r="2231" spans="1:7" x14ac:dyDescent="0.25">
      <c r="A2231" t="s">
        <v>6892</v>
      </c>
      <c r="B2231" t="s">
        <v>7031</v>
      </c>
      <c r="C2231" t="s">
        <v>7023</v>
      </c>
      <c r="D2231" t="s">
        <v>7024</v>
      </c>
      <c r="E2231" t="s">
        <v>7025</v>
      </c>
      <c r="F2231" t="s">
        <v>7032</v>
      </c>
      <c r="G2231" s="2" t="str">
        <f>HYPERLINK("https://probpalata.gov.ru/files/ИП380800397100004.jpeg","Скачать индивидуальный QR-код магазина")</f>
        <v>Скачать индивидуальный QR-код магазина</v>
      </c>
    </row>
    <row r="2232" spans="1:7" x14ac:dyDescent="0.25">
      <c r="A2232" t="s">
        <v>6892</v>
      </c>
      <c r="B2232" t="s">
        <v>7033</v>
      </c>
      <c r="C2232" t="s">
        <v>7023</v>
      </c>
      <c r="D2232" t="s">
        <v>7024</v>
      </c>
      <c r="E2232" t="s">
        <v>7025</v>
      </c>
      <c r="F2232" t="s">
        <v>7034</v>
      </c>
      <c r="G2232" s="2" t="str">
        <f>HYPERLINK("https://probpalata.gov.ru/files/ИП380800397100005.jpeg","Скачать индивидуальный QR-код магазина")</f>
        <v>Скачать индивидуальный QR-код магазина</v>
      </c>
    </row>
    <row r="2233" spans="1:7" x14ac:dyDescent="0.25">
      <c r="A2233" t="s">
        <v>6892</v>
      </c>
      <c r="B2233" t="s">
        <v>7035</v>
      </c>
      <c r="C2233" t="s">
        <v>7023</v>
      </c>
      <c r="D2233" t="s">
        <v>7024</v>
      </c>
      <c r="E2233" t="s">
        <v>7025</v>
      </c>
      <c r="F2233" t="s">
        <v>7036</v>
      </c>
      <c r="G2233" s="2" t="str">
        <f>HYPERLINK("https://probpalata.gov.ru/files/ИП380800397100006.jpeg","Скачать индивидуальный QR-код магазина")</f>
        <v>Скачать индивидуальный QR-код магазина</v>
      </c>
    </row>
    <row r="2234" spans="1:7" x14ac:dyDescent="0.25">
      <c r="A2234" t="s">
        <v>6892</v>
      </c>
      <c r="B2234" t="s">
        <v>7037</v>
      </c>
      <c r="C2234" t="s">
        <v>7023</v>
      </c>
      <c r="D2234" t="s">
        <v>7024</v>
      </c>
      <c r="E2234" t="s">
        <v>7025</v>
      </c>
      <c r="F2234" t="s">
        <v>7038</v>
      </c>
      <c r="G2234" s="2" t="str">
        <f>HYPERLINK("https://probpalata.gov.ru/files/ИП380800397100007.jpeg","Скачать индивидуальный QR-код магазина")</f>
        <v>Скачать индивидуальный QR-код магазина</v>
      </c>
    </row>
    <row r="2235" spans="1:7" x14ac:dyDescent="0.25">
      <c r="A2235" t="s">
        <v>6892</v>
      </c>
      <c r="B2235" t="s">
        <v>7039</v>
      </c>
      <c r="C2235" t="s">
        <v>7023</v>
      </c>
      <c r="D2235" t="s">
        <v>7024</v>
      </c>
      <c r="E2235" t="s">
        <v>7025</v>
      </c>
      <c r="F2235" t="s">
        <v>7040</v>
      </c>
      <c r="G2235" s="2" t="str">
        <f>HYPERLINK("https://probpalata.gov.ru/files/ИП380800397100008.jpeg","Скачать индивидуальный QR-код магазина")</f>
        <v>Скачать индивидуальный QR-код магазина</v>
      </c>
    </row>
    <row r="2236" spans="1:7" x14ac:dyDescent="0.25">
      <c r="A2236" t="s">
        <v>6892</v>
      </c>
      <c r="B2236" t="s">
        <v>7022</v>
      </c>
      <c r="C2236" t="s">
        <v>7041</v>
      </c>
      <c r="D2236" t="s">
        <v>7042</v>
      </c>
      <c r="E2236" t="s">
        <v>7043</v>
      </c>
      <c r="F2236" t="s">
        <v>7044</v>
      </c>
      <c r="G2236" s="2" t="str">
        <f>HYPERLINK("https://probpalata.gov.ru/files/ЮЛ380800698400000.jpeg","Скачать индивидуальный QR-код магазина")</f>
        <v>Скачать индивидуальный QR-код магазина</v>
      </c>
    </row>
    <row r="2237" spans="1:7" x14ac:dyDescent="0.25">
      <c r="A2237" t="s">
        <v>6892</v>
      </c>
      <c r="B2237" t="s">
        <v>7035</v>
      </c>
      <c r="C2237" t="s">
        <v>7045</v>
      </c>
      <c r="D2237" t="s">
        <v>7046</v>
      </c>
      <c r="E2237" t="s">
        <v>7047</v>
      </c>
      <c r="F2237" t="s">
        <v>7048</v>
      </c>
      <c r="G2237" s="2" t="str">
        <f>HYPERLINK("https://probpalata.gov.ru/files/ЮЛ380803435300000.jpeg","Скачать индивидуальный QR-код магазина")</f>
        <v>Скачать индивидуальный QR-код магазина</v>
      </c>
    </row>
    <row r="2238" spans="1:7" x14ac:dyDescent="0.25">
      <c r="A2238" t="s">
        <v>6892</v>
      </c>
      <c r="B2238" t="s">
        <v>7049</v>
      </c>
      <c r="C2238" t="s">
        <v>7045</v>
      </c>
      <c r="D2238" t="s">
        <v>7046</v>
      </c>
      <c r="E2238" t="s">
        <v>7047</v>
      </c>
      <c r="F2238" t="s">
        <v>7050</v>
      </c>
      <c r="G2238" s="2" t="str">
        <f>HYPERLINK("https://probpalata.gov.ru/files/ЮЛ380803435300001.jpeg","Скачать индивидуальный QR-код магазина")</f>
        <v>Скачать индивидуальный QR-код магазина</v>
      </c>
    </row>
    <row r="2239" spans="1:7" x14ac:dyDescent="0.25">
      <c r="A2239" t="s">
        <v>6892</v>
      </c>
      <c r="B2239" t="s">
        <v>7035</v>
      </c>
      <c r="C2239" t="s">
        <v>7051</v>
      </c>
      <c r="D2239" t="s">
        <v>7052</v>
      </c>
      <c r="E2239" t="s">
        <v>7053</v>
      </c>
      <c r="F2239" t="s">
        <v>7054</v>
      </c>
      <c r="G2239" s="2" t="str">
        <f>HYPERLINK("https://probpalata.gov.ru/files/ИП380801115300000.jpeg","Скачать индивидуальный QR-код магазина")</f>
        <v>Скачать индивидуальный QR-код магазина</v>
      </c>
    </row>
    <row r="2240" spans="1:7" x14ac:dyDescent="0.25">
      <c r="A2240" t="s">
        <v>6892</v>
      </c>
      <c r="B2240" t="s">
        <v>7055</v>
      </c>
      <c r="C2240" t="s">
        <v>7051</v>
      </c>
      <c r="D2240" t="s">
        <v>7052</v>
      </c>
      <c r="E2240" t="s">
        <v>7053</v>
      </c>
      <c r="F2240" t="s">
        <v>7056</v>
      </c>
      <c r="G2240" s="2" t="str">
        <f>HYPERLINK("https://probpalata.gov.ru/files/ИП380801115300003.jpeg","Скачать индивидуальный QR-код магазина")</f>
        <v>Скачать индивидуальный QR-код магазина</v>
      </c>
    </row>
    <row r="2241" spans="1:7" x14ac:dyDescent="0.25">
      <c r="A2241" t="s">
        <v>6892</v>
      </c>
      <c r="B2241" t="s">
        <v>7057</v>
      </c>
      <c r="C2241" t="s">
        <v>7051</v>
      </c>
      <c r="D2241" t="s">
        <v>7052</v>
      </c>
      <c r="E2241" t="s">
        <v>7053</v>
      </c>
      <c r="F2241" t="s">
        <v>7058</v>
      </c>
      <c r="G2241" s="2" t="str">
        <f>HYPERLINK("https://probpalata.gov.ru/files/ИП380801115300005.jpeg","Скачать индивидуальный QR-код магазина")</f>
        <v>Скачать индивидуальный QR-код магазина</v>
      </c>
    </row>
    <row r="2242" spans="1:7" x14ac:dyDescent="0.25">
      <c r="A2242" t="s">
        <v>6892</v>
      </c>
      <c r="B2242" t="s">
        <v>7059</v>
      </c>
      <c r="C2242" t="s">
        <v>7051</v>
      </c>
      <c r="D2242" t="s">
        <v>7052</v>
      </c>
      <c r="E2242" t="s">
        <v>7053</v>
      </c>
      <c r="F2242" t="s">
        <v>7060</v>
      </c>
      <c r="G2242" s="2" t="str">
        <f>HYPERLINK("https://probpalata.gov.ru/files/ИП380801115300006.jpeg","Скачать индивидуальный QR-код магазина")</f>
        <v>Скачать индивидуальный QR-код магазина</v>
      </c>
    </row>
    <row r="2243" spans="1:7" x14ac:dyDescent="0.25">
      <c r="A2243" t="s">
        <v>6892</v>
      </c>
      <c r="B2243" t="s">
        <v>7055</v>
      </c>
      <c r="C2243" t="s">
        <v>7061</v>
      </c>
      <c r="D2243" t="s">
        <v>7062</v>
      </c>
      <c r="E2243" t="s">
        <v>7063</v>
      </c>
      <c r="F2243" t="s">
        <v>7064</v>
      </c>
      <c r="G2243" s="2" t="str">
        <f>HYPERLINK("https://probpalata.gov.ru/files/ЮЛ380801412900000.jpeg","Скачать индивидуальный QR-код магазина")</f>
        <v>Скачать индивидуальный QR-код магазина</v>
      </c>
    </row>
    <row r="2244" spans="1:7" x14ac:dyDescent="0.25">
      <c r="A2244" t="s">
        <v>6892</v>
      </c>
      <c r="B2244" t="s">
        <v>7035</v>
      </c>
      <c r="C2244" t="s">
        <v>7061</v>
      </c>
      <c r="D2244" t="s">
        <v>7062</v>
      </c>
      <c r="E2244" t="s">
        <v>7063</v>
      </c>
      <c r="F2244" t="s">
        <v>7065</v>
      </c>
      <c r="G2244" s="2" t="str">
        <f>HYPERLINK("https://probpalata.gov.ru/files/ЮЛ380801412900005.jpeg","Скачать индивидуальный QR-код магазина")</f>
        <v>Скачать индивидуальный QR-код магазина</v>
      </c>
    </row>
    <row r="2245" spans="1:7" x14ac:dyDescent="0.25">
      <c r="A2245" t="s">
        <v>6892</v>
      </c>
      <c r="B2245" t="s">
        <v>7059</v>
      </c>
      <c r="C2245" t="s">
        <v>7061</v>
      </c>
      <c r="D2245" t="s">
        <v>7062</v>
      </c>
      <c r="E2245" t="s">
        <v>7063</v>
      </c>
      <c r="F2245" t="s">
        <v>7066</v>
      </c>
      <c r="G2245" s="2" t="str">
        <f>HYPERLINK("https://probpalata.gov.ru/files/ЮЛ380801412900008.jpeg","Скачать индивидуальный QR-код магазина")</f>
        <v>Скачать индивидуальный QR-код магазина</v>
      </c>
    </row>
    <row r="2246" spans="1:7" x14ac:dyDescent="0.25">
      <c r="A2246" t="s">
        <v>6892</v>
      </c>
      <c r="B2246" t="s">
        <v>7057</v>
      </c>
      <c r="C2246" t="s">
        <v>7061</v>
      </c>
      <c r="D2246" t="s">
        <v>7062</v>
      </c>
      <c r="E2246" t="s">
        <v>7063</v>
      </c>
      <c r="F2246" t="s">
        <v>7067</v>
      </c>
      <c r="G2246" s="2" t="str">
        <f>HYPERLINK("https://probpalata.gov.ru/files/ЮЛ380801412900009.jpeg","Скачать индивидуальный QR-код магазина")</f>
        <v>Скачать индивидуальный QR-код магазина</v>
      </c>
    </row>
    <row r="2247" spans="1:7" x14ac:dyDescent="0.25">
      <c r="A2247" t="s">
        <v>6892</v>
      </c>
      <c r="B2247" t="s">
        <v>7068</v>
      </c>
      <c r="C2247" t="s">
        <v>7061</v>
      </c>
      <c r="D2247" t="s">
        <v>7062</v>
      </c>
      <c r="E2247" t="s">
        <v>7063</v>
      </c>
      <c r="F2247" t="s">
        <v>7069</v>
      </c>
      <c r="G2247" s="2" t="str">
        <f>HYPERLINK("https://probpalata.gov.ru/files/ЮЛ380801412900010.jpeg","Скачать индивидуальный QR-код магазина")</f>
        <v>Скачать индивидуальный QR-код магазина</v>
      </c>
    </row>
    <row r="2248" spans="1:7" x14ac:dyDescent="0.25">
      <c r="A2248" t="s">
        <v>6892</v>
      </c>
      <c r="B2248" t="s">
        <v>7055</v>
      </c>
      <c r="C2248" t="s">
        <v>7070</v>
      </c>
      <c r="D2248" t="s">
        <v>7071</v>
      </c>
      <c r="E2248" t="s">
        <v>7072</v>
      </c>
      <c r="F2248" t="s">
        <v>7073</v>
      </c>
      <c r="G2248" s="2" t="str">
        <f>HYPERLINK("https://probpalata.gov.ru/files/ЮЛ380800919100000.jpeg","Скачать индивидуальный QR-код магазина")</f>
        <v>Скачать индивидуальный QR-код магазина</v>
      </c>
    </row>
    <row r="2249" spans="1:7" x14ac:dyDescent="0.25">
      <c r="A2249" t="s">
        <v>6892</v>
      </c>
      <c r="B2249" t="s">
        <v>7074</v>
      </c>
      <c r="C2249" t="s">
        <v>7075</v>
      </c>
      <c r="D2249" t="s">
        <v>7076</v>
      </c>
      <c r="E2249" t="s">
        <v>7077</v>
      </c>
      <c r="F2249" t="s">
        <v>7078</v>
      </c>
      <c r="G2249" s="2" t="str">
        <f>HYPERLINK("https://probpalata.gov.ru/files/ИП380800044800000.jpeg","Скачать индивидуальный QR-код магазина")</f>
        <v>Скачать индивидуальный QR-код магазина</v>
      </c>
    </row>
    <row r="2250" spans="1:7" x14ac:dyDescent="0.25">
      <c r="A2250" t="s">
        <v>6892</v>
      </c>
      <c r="B2250" t="s">
        <v>7079</v>
      </c>
      <c r="C2250" t="s">
        <v>7080</v>
      </c>
      <c r="D2250" t="s">
        <v>7081</v>
      </c>
      <c r="E2250" t="s">
        <v>7082</v>
      </c>
      <c r="F2250" t="s">
        <v>7083</v>
      </c>
      <c r="G2250" s="2" t="str">
        <f>HYPERLINK("https://probpalata.gov.ru/files/ИП380801396700000.jpeg","Скачать индивидуальный QR-код магазина")</f>
        <v>Скачать индивидуальный QR-код магазина</v>
      </c>
    </row>
    <row r="2251" spans="1:7" x14ac:dyDescent="0.25">
      <c r="A2251" t="s">
        <v>6892</v>
      </c>
      <c r="B2251" t="s">
        <v>7084</v>
      </c>
      <c r="C2251" t="s">
        <v>7085</v>
      </c>
      <c r="D2251" t="s">
        <v>7086</v>
      </c>
      <c r="E2251" t="s">
        <v>7087</v>
      </c>
      <c r="F2251" t="s">
        <v>7088</v>
      </c>
      <c r="G2251" s="2" t="str">
        <f>HYPERLINK("https://probpalata.gov.ru/files/ЮЛ380800361600000.jpeg","Скачать индивидуальный QR-код магазина")</f>
        <v>Скачать индивидуальный QR-код магазина</v>
      </c>
    </row>
    <row r="2252" spans="1:7" x14ac:dyDescent="0.25">
      <c r="A2252" t="s">
        <v>6892</v>
      </c>
      <c r="B2252" t="s">
        <v>7089</v>
      </c>
      <c r="C2252" t="s">
        <v>7090</v>
      </c>
      <c r="D2252" t="s">
        <v>7091</v>
      </c>
      <c r="E2252" t="s">
        <v>7092</v>
      </c>
      <c r="F2252" t="s">
        <v>7093</v>
      </c>
      <c r="G2252" s="2" t="str">
        <f>HYPERLINK("https://probpalata.gov.ru/files/ЮЛ380800530700000.jpeg","Скачать индивидуальный QR-код магазина")</f>
        <v>Скачать индивидуальный QR-код магазина</v>
      </c>
    </row>
    <row r="2253" spans="1:7" x14ac:dyDescent="0.25">
      <c r="A2253" t="s">
        <v>6892</v>
      </c>
      <c r="B2253" t="s">
        <v>7094</v>
      </c>
      <c r="C2253" t="s">
        <v>7095</v>
      </c>
      <c r="D2253" t="s">
        <v>7096</v>
      </c>
      <c r="E2253" t="s">
        <v>7097</v>
      </c>
      <c r="F2253" t="s">
        <v>7098</v>
      </c>
      <c r="G2253" s="2" t="str">
        <f>HYPERLINK("https://probpalata.gov.ru/files/ИП380800789000002.jpeg","Скачать индивидуальный QR-код магазина")</f>
        <v>Скачать индивидуальный QR-код магазина</v>
      </c>
    </row>
    <row r="2254" spans="1:7" x14ac:dyDescent="0.25">
      <c r="A2254" t="s">
        <v>6892</v>
      </c>
      <c r="B2254" t="s">
        <v>7099</v>
      </c>
      <c r="C2254" t="s">
        <v>7095</v>
      </c>
      <c r="D2254" t="s">
        <v>7096</v>
      </c>
      <c r="E2254" t="s">
        <v>7097</v>
      </c>
      <c r="F2254" t="s">
        <v>7100</v>
      </c>
      <c r="G2254" s="2" t="str">
        <f>HYPERLINK("https://probpalata.gov.ru/files/ИП380800789000003.jpeg","Скачать индивидуальный QR-код магазина")</f>
        <v>Скачать индивидуальный QR-код магазина</v>
      </c>
    </row>
    <row r="2255" spans="1:7" x14ac:dyDescent="0.25">
      <c r="A2255" t="s">
        <v>6892</v>
      </c>
      <c r="B2255" t="s">
        <v>7101</v>
      </c>
      <c r="C2255" t="s">
        <v>7095</v>
      </c>
      <c r="D2255" t="s">
        <v>7096</v>
      </c>
      <c r="E2255" t="s">
        <v>7097</v>
      </c>
      <c r="F2255" t="s">
        <v>7102</v>
      </c>
      <c r="G2255" s="2" t="str">
        <f>HYPERLINK("https://probpalata.gov.ru/files/ИП380800789000004.jpeg","Скачать индивидуальный QR-код магазина")</f>
        <v>Скачать индивидуальный QR-код магазина</v>
      </c>
    </row>
    <row r="2256" spans="1:7" x14ac:dyDescent="0.25">
      <c r="A2256" t="s">
        <v>6892</v>
      </c>
      <c r="B2256" t="s">
        <v>7103</v>
      </c>
      <c r="C2256" t="s">
        <v>7104</v>
      </c>
      <c r="D2256" t="s">
        <v>7105</v>
      </c>
      <c r="E2256" t="s">
        <v>7106</v>
      </c>
      <c r="F2256" t="s">
        <v>7107</v>
      </c>
      <c r="G2256" s="2" t="str">
        <f>HYPERLINK("https://probpalata.gov.ru/files/ИП380800059400000.jpeg","Скачать индивидуальный QR-код магазина")</f>
        <v>Скачать индивидуальный QR-код магазина</v>
      </c>
    </row>
    <row r="2257" spans="1:7" x14ac:dyDescent="0.25">
      <c r="A2257" t="s">
        <v>6892</v>
      </c>
      <c r="B2257" t="s">
        <v>7108</v>
      </c>
      <c r="C2257" t="s">
        <v>7109</v>
      </c>
      <c r="D2257" t="s">
        <v>7110</v>
      </c>
      <c r="E2257" t="s">
        <v>7111</v>
      </c>
      <c r="F2257" t="s">
        <v>7112</v>
      </c>
      <c r="G2257" s="2" t="str">
        <f>HYPERLINK("https://probpalata.gov.ru/files/ЮЛ380800357900000.jpeg","Скачать индивидуальный QR-код магазина")</f>
        <v>Скачать индивидуальный QR-код магазина</v>
      </c>
    </row>
    <row r="2258" spans="1:7" x14ac:dyDescent="0.25">
      <c r="A2258" t="s">
        <v>6892</v>
      </c>
      <c r="B2258" t="s">
        <v>7113</v>
      </c>
      <c r="C2258" t="s">
        <v>7114</v>
      </c>
      <c r="D2258" t="s">
        <v>7115</v>
      </c>
      <c r="E2258" t="s">
        <v>7116</v>
      </c>
      <c r="F2258" t="s">
        <v>7117</v>
      </c>
      <c r="G2258" s="2" t="str">
        <f>HYPERLINK("https://probpalata.gov.ru/files/ЮЛ380800921100001.jpeg","Скачать индивидуальный QR-код магазина")</f>
        <v>Скачать индивидуальный QR-код магазина</v>
      </c>
    </row>
    <row r="2259" spans="1:7" x14ac:dyDescent="0.25">
      <c r="A2259" t="s">
        <v>6892</v>
      </c>
      <c r="B2259" t="s">
        <v>7118</v>
      </c>
      <c r="C2259" t="s">
        <v>7114</v>
      </c>
      <c r="D2259" t="s">
        <v>7115</v>
      </c>
      <c r="E2259" t="s">
        <v>7116</v>
      </c>
      <c r="F2259" t="s">
        <v>7119</v>
      </c>
      <c r="G2259" s="2" t="str">
        <f>HYPERLINK("https://probpalata.gov.ru/files/ЮЛ380800921100002.jpeg","Скачать индивидуальный QR-код магазина")</f>
        <v>Скачать индивидуальный QR-код магазина</v>
      </c>
    </row>
    <row r="2260" spans="1:7" x14ac:dyDescent="0.25">
      <c r="A2260" t="s">
        <v>6892</v>
      </c>
      <c r="B2260" t="s">
        <v>7120</v>
      </c>
      <c r="C2260" t="s">
        <v>7114</v>
      </c>
      <c r="D2260" t="s">
        <v>7115</v>
      </c>
      <c r="E2260" t="s">
        <v>7116</v>
      </c>
      <c r="F2260" t="s">
        <v>7121</v>
      </c>
      <c r="G2260" s="2" t="str">
        <f>HYPERLINK("https://probpalata.gov.ru/files/ЮЛ380800921100003.jpeg","Скачать индивидуальный QR-код магазина")</f>
        <v>Скачать индивидуальный QR-код магазина</v>
      </c>
    </row>
    <row r="2261" spans="1:7" x14ac:dyDescent="0.25">
      <c r="A2261" t="s">
        <v>6892</v>
      </c>
      <c r="B2261" t="s">
        <v>7122</v>
      </c>
      <c r="C2261" t="s">
        <v>7123</v>
      </c>
      <c r="D2261" t="s">
        <v>7124</v>
      </c>
      <c r="E2261" t="s">
        <v>7125</v>
      </c>
      <c r="F2261" t="s">
        <v>7126</v>
      </c>
      <c r="G2261" s="2" t="str">
        <f>HYPERLINK("https://probpalata.gov.ru/files/ЮЛ380801439600000.jpeg","Скачать индивидуальный QR-код магазина")</f>
        <v>Скачать индивидуальный QR-код магазина</v>
      </c>
    </row>
    <row r="2262" spans="1:7" x14ac:dyDescent="0.25">
      <c r="A2262" t="s">
        <v>6892</v>
      </c>
      <c r="B2262" t="s">
        <v>7127</v>
      </c>
      <c r="C2262" t="s">
        <v>7128</v>
      </c>
      <c r="D2262" t="s">
        <v>7129</v>
      </c>
      <c r="E2262" t="s">
        <v>7130</v>
      </c>
      <c r="F2262" t="s">
        <v>7131</v>
      </c>
      <c r="G2262" s="2" t="str">
        <f>HYPERLINK("https://probpalata.gov.ru/files/ЮЛ380803980600000.jpeg","Скачать индивидуальный QR-код магазина")</f>
        <v>Скачать индивидуальный QR-код магазина</v>
      </c>
    </row>
    <row r="2263" spans="1:7" x14ac:dyDescent="0.25">
      <c r="A2263" t="s">
        <v>6892</v>
      </c>
      <c r="B2263" t="s">
        <v>7132</v>
      </c>
      <c r="C2263" t="s">
        <v>7133</v>
      </c>
      <c r="D2263" t="s">
        <v>7134</v>
      </c>
      <c r="E2263" t="s">
        <v>7135</v>
      </c>
      <c r="F2263" t="s">
        <v>7136</v>
      </c>
      <c r="G2263" s="2" t="str">
        <f>HYPERLINK("https://probpalata.gov.ru/files/ИП380801195900000.jpeg","Скачать индивидуальный QR-код магазина")</f>
        <v>Скачать индивидуальный QR-код магазина</v>
      </c>
    </row>
    <row r="2264" spans="1:7" x14ac:dyDescent="0.25">
      <c r="A2264" t="s">
        <v>6892</v>
      </c>
      <c r="B2264" t="s">
        <v>7137</v>
      </c>
      <c r="C2264" t="s">
        <v>7138</v>
      </c>
      <c r="D2264" t="s">
        <v>7139</v>
      </c>
      <c r="E2264" t="s">
        <v>7140</v>
      </c>
      <c r="F2264" t="s">
        <v>7141</v>
      </c>
      <c r="G2264" s="2" t="str">
        <f>HYPERLINK("https://probpalata.gov.ru/files/ЮЛ030900299700004.jpeg","Скачать индивидуальный QR-код магазина")</f>
        <v>Скачать индивидуальный QR-код магазина</v>
      </c>
    </row>
    <row r="2265" spans="1:7" x14ac:dyDescent="0.25">
      <c r="A2265" t="s">
        <v>6892</v>
      </c>
      <c r="B2265" t="s">
        <v>7142</v>
      </c>
      <c r="C2265" t="s">
        <v>7138</v>
      </c>
      <c r="D2265" t="s">
        <v>7139</v>
      </c>
      <c r="E2265" t="s">
        <v>7140</v>
      </c>
      <c r="F2265" t="s">
        <v>7143</v>
      </c>
      <c r="G2265" s="2" t="str">
        <f>HYPERLINK("https://probpalata.gov.ru/files/ЮЛ030900299700008.jpeg","Скачать индивидуальный QR-код магазина")</f>
        <v>Скачать индивидуальный QR-код магазина</v>
      </c>
    </row>
    <row r="2266" spans="1:7" x14ac:dyDescent="0.25">
      <c r="A2266" t="s">
        <v>6892</v>
      </c>
      <c r="B2266" t="s">
        <v>7144</v>
      </c>
      <c r="C2266" t="s">
        <v>7138</v>
      </c>
      <c r="D2266" t="s">
        <v>7139</v>
      </c>
      <c r="E2266" t="s">
        <v>7140</v>
      </c>
      <c r="F2266" t="s">
        <v>7145</v>
      </c>
      <c r="G2266" s="2" t="str">
        <f>HYPERLINK("https://probpalata.gov.ru/files/ЮЛ030900299700010.jpeg","Скачать индивидуальный QR-код магазина")</f>
        <v>Скачать индивидуальный QR-код магазина</v>
      </c>
    </row>
    <row r="2267" spans="1:7" x14ac:dyDescent="0.25">
      <c r="A2267" t="s">
        <v>6892</v>
      </c>
      <c r="B2267" t="s">
        <v>7146</v>
      </c>
      <c r="C2267" t="s">
        <v>7138</v>
      </c>
      <c r="D2267" t="s">
        <v>7139</v>
      </c>
      <c r="E2267" t="s">
        <v>7140</v>
      </c>
      <c r="F2267" t="s">
        <v>7147</v>
      </c>
      <c r="G2267" s="2" t="str">
        <f>HYPERLINK("https://probpalata.gov.ru/files/ЮЛ030900299700011.jpeg","Скачать индивидуальный QR-код магазина")</f>
        <v>Скачать индивидуальный QR-код магазина</v>
      </c>
    </row>
    <row r="2268" spans="1:7" x14ac:dyDescent="0.25">
      <c r="A2268" t="s">
        <v>6892</v>
      </c>
      <c r="B2268" t="s">
        <v>7148</v>
      </c>
      <c r="C2268" t="s">
        <v>7149</v>
      </c>
      <c r="D2268" t="s">
        <v>7150</v>
      </c>
      <c r="E2268" t="s">
        <v>7151</v>
      </c>
      <c r="F2268" t="s">
        <v>7152</v>
      </c>
      <c r="G2268" s="2" t="str">
        <f>HYPERLINK("https://probpalata.gov.ru/files/ЮЛ380800499700000.jpeg","Скачать индивидуальный QR-код магазина")</f>
        <v>Скачать индивидуальный QR-код магазина</v>
      </c>
    </row>
    <row r="2269" spans="1:7" x14ac:dyDescent="0.25">
      <c r="A2269" t="s">
        <v>6892</v>
      </c>
      <c r="B2269" t="s">
        <v>7153</v>
      </c>
      <c r="C2269" t="s">
        <v>7149</v>
      </c>
      <c r="D2269" t="s">
        <v>7150</v>
      </c>
      <c r="E2269" t="s">
        <v>7151</v>
      </c>
      <c r="F2269" t="s">
        <v>7154</v>
      </c>
      <c r="G2269" s="2" t="str">
        <f>HYPERLINK("https://probpalata.gov.ru/files/ЮЛ380800499700001.jpeg","Скачать индивидуальный QR-код магазина")</f>
        <v>Скачать индивидуальный QR-код магазина</v>
      </c>
    </row>
    <row r="2270" spans="1:7" x14ac:dyDescent="0.25">
      <c r="A2270" t="s">
        <v>6892</v>
      </c>
      <c r="B2270" t="s">
        <v>7155</v>
      </c>
      <c r="C2270" t="s">
        <v>7149</v>
      </c>
      <c r="D2270" t="s">
        <v>7150</v>
      </c>
      <c r="E2270" t="s">
        <v>7151</v>
      </c>
      <c r="F2270" t="s">
        <v>7156</v>
      </c>
      <c r="G2270" s="2" t="str">
        <f>HYPERLINK("https://probpalata.gov.ru/files/ЮЛ380800499700004.jpeg","Скачать индивидуальный QR-код магазина")</f>
        <v>Скачать индивидуальный QR-код магазина</v>
      </c>
    </row>
    <row r="2271" spans="1:7" x14ac:dyDescent="0.25">
      <c r="A2271" t="s">
        <v>6892</v>
      </c>
      <c r="B2271" t="s">
        <v>7157</v>
      </c>
      <c r="C2271" t="s">
        <v>7158</v>
      </c>
      <c r="D2271" t="s">
        <v>7159</v>
      </c>
      <c r="E2271" t="s">
        <v>7160</v>
      </c>
      <c r="F2271" t="s">
        <v>7161</v>
      </c>
      <c r="G2271" s="2" t="str">
        <f>HYPERLINK("https://probpalata.gov.ru/files/ИП380803479400000.jpeg","Скачать индивидуальный QR-код магазина")</f>
        <v>Скачать индивидуальный QR-код магазина</v>
      </c>
    </row>
    <row r="2272" spans="1:7" x14ac:dyDescent="0.25">
      <c r="A2272" t="s">
        <v>6892</v>
      </c>
      <c r="B2272" t="s">
        <v>7162</v>
      </c>
      <c r="C2272" t="s">
        <v>7163</v>
      </c>
      <c r="D2272" t="s">
        <v>7164</v>
      </c>
      <c r="E2272" t="s">
        <v>7165</v>
      </c>
      <c r="F2272" t="s">
        <v>7166</v>
      </c>
      <c r="G2272" s="2" t="str">
        <f>HYPERLINK("https://probpalata.gov.ru/files/ИП380800926300004.jpeg","Скачать индивидуальный QR-код магазина")</f>
        <v>Скачать индивидуальный QR-код магазина</v>
      </c>
    </row>
    <row r="2273" spans="1:7" x14ac:dyDescent="0.25">
      <c r="A2273" t="s">
        <v>6892</v>
      </c>
      <c r="B2273" t="s">
        <v>7167</v>
      </c>
      <c r="C2273" t="s">
        <v>7163</v>
      </c>
      <c r="D2273" t="s">
        <v>7164</v>
      </c>
      <c r="E2273" t="s">
        <v>7165</v>
      </c>
      <c r="F2273" t="s">
        <v>7168</v>
      </c>
      <c r="G2273" s="2" t="str">
        <f>HYPERLINK("https://probpalata.gov.ru/files/ИП380800926300006.jpeg","Скачать индивидуальный QR-код магазина")</f>
        <v>Скачать индивидуальный QR-код магазина</v>
      </c>
    </row>
    <row r="2274" spans="1:7" x14ac:dyDescent="0.25">
      <c r="A2274" t="s">
        <v>6892</v>
      </c>
      <c r="B2274" t="s">
        <v>7169</v>
      </c>
      <c r="C2274" t="s">
        <v>7163</v>
      </c>
      <c r="D2274" t="s">
        <v>7164</v>
      </c>
      <c r="E2274" t="s">
        <v>7165</v>
      </c>
      <c r="F2274" t="s">
        <v>7170</v>
      </c>
      <c r="G2274" s="2" t="str">
        <f>HYPERLINK("https://probpalata.gov.ru/files/ИП380800926300008.jpeg","Скачать индивидуальный QR-код магазина")</f>
        <v>Скачать индивидуальный QR-код магазина</v>
      </c>
    </row>
    <row r="2275" spans="1:7" x14ac:dyDescent="0.25">
      <c r="A2275" t="s">
        <v>6892</v>
      </c>
      <c r="B2275" t="s">
        <v>7171</v>
      </c>
      <c r="C2275" t="s">
        <v>7172</v>
      </c>
      <c r="D2275" t="s">
        <v>7173</v>
      </c>
      <c r="E2275" t="s">
        <v>7174</v>
      </c>
      <c r="F2275" t="s">
        <v>7175</v>
      </c>
      <c r="G2275" s="2" t="str">
        <f>HYPERLINK("https://probpalata.gov.ru/files/ЮЛ380800577400000.jpeg","Скачать индивидуальный QR-код магазина")</f>
        <v>Скачать индивидуальный QR-код магазина</v>
      </c>
    </row>
    <row r="2276" spans="1:7" x14ac:dyDescent="0.25">
      <c r="A2276" t="s">
        <v>6892</v>
      </c>
      <c r="B2276" t="s">
        <v>7176</v>
      </c>
      <c r="C2276" t="s">
        <v>7172</v>
      </c>
      <c r="D2276" t="s">
        <v>7173</v>
      </c>
      <c r="E2276" t="s">
        <v>7174</v>
      </c>
      <c r="F2276" t="s">
        <v>7177</v>
      </c>
      <c r="G2276" s="2" t="str">
        <f>HYPERLINK("https://probpalata.gov.ru/files/ЮЛ380800577400003.jpeg","Скачать индивидуальный QR-код магазина")</f>
        <v>Скачать индивидуальный QR-код магазина</v>
      </c>
    </row>
    <row r="2277" spans="1:7" x14ac:dyDescent="0.25">
      <c r="A2277" t="s">
        <v>6892</v>
      </c>
      <c r="B2277" t="s">
        <v>7178</v>
      </c>
      <c r="C2277" t="s">
        <v>7172</v>
      </c>
      <c r="D2277" t="s">
        <v>7173</v>
      </c>
      <c r="E2277" t="s">
        <v>7174</v>
      </c>
      <c r="F2277" t="s">
        <v>7179</v>
      </c>
      <c r="G2277" s="2" t="str">
        <f>HYPERLINK("https://probpalata.gov.ru/files/ЮЛ380800577400005.jpeg","Скачать индивидуальный QR-код магазина")</f>
        <v>Скачать индивидуальный QR-код магазина</v>
      </c>
    </row>
    <row r="2278" spans="1:7" x14ac:dyDescent="0.25">
      <c r="A2278" t="s">
        <v>6892</v>
      </c>
      <c r="B2278" t="s">
        <v>7180</v>
      </c>
      <c r="C2278" t="s">
        <v>7172</v>
      </c>
      <c r="D2278" t="s">
        <v>7173</v>
      </c>
      <c r="E2278" t="s">
        <v>7174</v>
      </c>
      <c r="F2278" t="s">
        <v>7181</v>
      </c>
      <c r="G2278" s="2" t="str">
        <f>HYPERLINK("https://probpalata.gov.ru/files/ЮЛ380800577400006.jpeg","Скачать индивидуальный QR-код магазина")</f>
        <v>Скачать индивидуальный QR-код магазина</v>
      </c>
    </row>
    <row r="2279" spans="1:7" x14ac:dyDescent="0.25">
      <c r="A2279" t="s">
        <v>6892</v>
      </c>
      <c r="B2279" t="s">
        <v>7182</v>
      </c>
      <c r="C2279" t="s">
        <v>7183</v>
      </c>
      <c r="D2279" t="s">
        <v>7184</v>
      </c>
      <c r="E2279" t="s">
        <v>7185</v>
      </c>
      <c r="F2279" t="s">
        <v>7186</v>
      </c>
      <c r="G2279" s="2" t="str">
        <f>HYPERLINK("https://probpalata.gov.ru/files/ИП380800032100000.jpeg","Скачать индивидуальный QR-код магазина")</f>
        <v>Скачать индивидуальный QR-код магазина</v>
      </c>
    </row>
    <row r="2280" spans="1:7" x14ac:dyDescent="0.25">
      <c r="A2280" t="s">
        <v>6892</v>
      </c>
      <c r="B2280" t="s">
        <v>7187</v>
      </c>
      <c r="C2280" t="s">
        <v>7188</v>
      </c>
      <c r="D2280" t="s">
        <v>7189</v>
      </c>
      <c r="E2280" t="s">
        <v>7190</v>
      </c>
      <c r="F2280" t="s">
        <v>7191</v>
      </c>
      <c r="G2280" s="2" t="str">
        <f>HYPERLINK("https://probpalata.gov.ru/files/ИП380801473100000.jpeg","Скачать индивидуальный QR-код магазина")</f>
        <v>Скачать индивидуальный QR-код магазина</v>
      </c>
    </row>
    <row r="2281" spans="1:7" x14ac:dyDescent="0.25">
      <c r="A2281" t="s">
        <v>6892</v>
      </c>
      <c r="B2281" t="s">
        <v>7192</v>
      </c>
      <c r="C2281" t="s">
        <v>7188</v>
      </c>
      <c r="D2281" t="s">
        <v>7189</v>
      </c>
      <c r="E2281" t="s">
        <v>7190</v>
      </c>
      <c r="F2281" t="s">
        <v>7193</v>
      </c>
      <c r="G2281" s="2" t="str">
        <f>HYPERLINK("https://probpalata.gov.ru/files/ИП380801473100002.jpeg","Скачать индивидуальный QR-код магазина")</f>
        <v>Скачать индивидуальный QR-код магазина</v>
      </c>
    </row>
    <row r="2282" spans="1:7" x14ac:dyDescent="0.25">
      <c r="A2282" t="s">
        <v>6892</v>
      </c>
      <c r="B2282" t="s">
        <v>7194</v>
      </c>
      <c r="C2282" t="s">
        <v>7195</v>
      </c>
      <c r="D2282" t="s">
        <v>7196</v>
      </c>
      <c r="E2282" t="s">
        <v>7197</v>
      </c>
      <c r="F2282" t="s">
        <v>7198</v>
      </c>
      <c r="G2282" s="2" t="str">
        <f>HYPERLINK("https://probpalata.gov.ru/files/ИП380800785600000.jpeg","Скачать индивидуальный QR-код магазина")</f>
        <v>Скачать индивидуальный QR-код магазина</v>
      </c>
    </row>
    <row r="2283" spans="1:7" x14ac:dyDescent="0.25">
      <c r="A2283" t="s">
        <v>6892</v>
      </c>
      <c r="B2283" t="s">
        <v>7199</v>
      </c>
      <c r="C2283" t="s">
        <v>7200</v>
      </c>
      <c r="D2283" t="s">
        <v>7201</v>
      </c>
      <c r="E2283" t="s">
        <v>7202</v>
      </c>
      <c r="F2283" t="s">
        <v>7203</v>
      </c>
      <c r="G2283" s="2" t="str">
        <f>HYPERLINK("https://probpalata.gov.ru/files/ИП380801521800000.jpeg","Скачать индивидуальный QR-код магазина")</f>
        <v>Скачать индивидуальный QR-код магазина</v>
      </c>
    </row>
    <row r="2284" spans="1:7" x14ac:dyDescent="0.25">
      <c r="A2284" t="s">
        <v>6892</v>
      </c>
      <c r="B2284" t="s">
        <v>7204</v>
      </c>
      <c r="C2284" t="s">
        <v>7200</v>
      </c>
      <c r="D2284" t="s">
        <v>7201</v>
      </c>
      <c r="E2284" t="s">
        <v>7202</v>
      </c>
      <c r="F2284" t="s">
        <v>7205</v>
      </c>
      <c r="G2284" s="2" t="str">
        <f>HYPERLINK("https://probpalata.gov.ru/files/ИП380801521800004.jpeg","Скачать индивидуальный QR-код магазина")</f>
        <v>Скачать индивидуальный QR-код магазина</v>
      </c>
    </row>
    <row r="2285" spans="1:7" x14ac:dyDescent="0.25">
      <c r="A2285" t="s">
        <v>6892</v>
      </c>
      <c r="B2285" t="s">
        <v>7206</v>
      </c>
      <c r="C2285" t="s">
        <v>7200</v>
      </c>
      <c r="D2285" t="s">
        <v>7201</v>
      </c>
      <c r="E2285" t="s">
        <v>7202</v>
      </c>
      <c r="F2285" t="s">
        <v>7207</v>
      </c>
      <c r="G2285" s="2" t="str">
        <f>HYPERLINK("https://probpalata.gov.ru/files/ИП380801521800007.jpeg","Скачать индивидуальный QR-код магазина")</f>
        <v>Скачать индивидуальный QR-код магазина</v>
      </c>
    </row>
    <row r="2286" spans="1:7" x14ac:dyDescent="0.25">
      <c r="A2286" t="s">
        <v>6892</v>
      </c>
      <c r="B2286" t="s">
        <v>7208</v>
      </c>
      <c r="C2286" t="s">
        <v>7200</v>
      </c>
      <c r="D2286" t="s">
        <v>7201</v>
      </c>
      <c r="E2286" t="s">
        <v>7202</v>
      </c>
      <c r="F2286" t="s">
        <v>7209</v>
      </c>
      <c r="G2286" s="2" t="str">
        <f>HYPERLINK("https://probpalata.gov.ru/files/ИП380801521800009.jpeg","Скачать индивидуальный QR-код магазина")</f>
        <v>Скачать индивидуальный QR-код магазина</v>
      </c>
    </row>
    <row r="2287" spans="1:7" x14ac:dyDescent="0.25">
      <c r="A2287" t="s">
        <v>6892</v>
      </c>
      <c r="B2287" t="s">
        <v>7210</v>
      </c>
      <c r="C2287" t="s">
        <v>7211</v>
      </c>
      <c r="D2287" t="s">
        <v>7212</v>
      </c>
      <c r="E2287" t="s">
        <v>7213</v>
      </c>
      <c r="F2287" t="s">
        <v>7214</v>
      </c>
      <c r="G2287" s="2" t="str">
        <f>HYPERLINK("https://probpalata.gov.ru/files/ИП380803358900000.jpeg","Скачать индивидуальный QR-код магазина")</f>
        <v>Скачать индивидуальный QR-код магазина</v>
      </c>
    </row>
    <row r="2288" spans="1:7" x14ac:dyDescent="0.25">
      <c r="A2288" t="s">
        <v>6892</v>
      </c>
      <c r="B2288" t="s">
        <v>7215</v>
      </c>
      <c r="C2288" t="s">
        <v>7216</v>
      </c>
      <c r="D2288" t="s">
        <v>7217</v>
      </c>
      <c r="E2288" t="s">
        <v>7218</v>
      </c>
      <c r="F2288" t="s">
        <v>7219</v>
      </c>
      <c r="G2288" s="2" t="str">
        <f>HYPERLINK("https://probpalata.gov.ru/files/ИП380800717000000.jpeg","Скачать индивидуальный QR-код магазина")</f>
        <v>Скачать индивидуальный QR-код магазина</v>
      </c>
    </row>
    <row r="2289" spans="1:7" x14ac:dyDescent="0.25">
      <c r="A2289" t="s">
        <v>6892</v>
      </c>
      <c r="B2289" t="s">
        <v>7220</v>
      </c>
      <c r="C2289" t="s">
        <v>7216</v>
      </c>
      <c r="D2289" t="s">
        <v>7217</v>
      </c>
      <c r="E2289" t="s">
        <v>7218</v>
      </c>
      <c r="F2289" t="s">
        <v>7221</v>
      </c>
      <c r="G2289" s="2" t="str">
        <f>HYPERLINK("https://probpalata.gov.ru/files/ИП380800717000004.jpeg","Скачать индивидуальный QR-код магазина")</f>
        <v>Скачать индивидуальный QR-код магазина</v>
      </c>
    </row>
    <row r="2290" spans="1:7" x14ac:dyDescent="0.25">
      <c r="A2290" t="s">
        <v>6892</v>
      </c>
      <c r="B2290" t="s">
        <v>7222</v>
      </c>
      <c r="C2290" t="s">
        <v>7223</v>
      </c>
      <c r="D2290" t="s">
        <v>7224</v>
      </c>
      <c r="E2290" t="s">
        <v>7225</v>
      </c>
      <c r="F2290" t="s">
        <v>7226</v>
      </c>
      <c r="G2290" s="2" t="str">
        <f>HYPERLINK("https://probpalata.gov.ru/files/ИП380800056300000.jpeg","Скачать индивидуальный QR-код магазина")</f>
        <v>Скачать индивидуальный QR-код магазина</v>
      </c>
    </row>
    <row r="2291" spans="1:7" x14ac:dyDescent="0.25">
      <c r="A2291" t="s">
        <v>6892</v>
      </c>
      <c r="B2291" t="s">
        <v>7227</v>
      </c>
      <c r="C2291" t="s">
        <v>7223</v>
      </c>
      <c r="D2291" t="s">
        <v>7224</v>
      </c>
      <c r="E2291" t="s">
        <v>7225</v>
      </c>
      <c r="F2291" t="s">
        <v>7228</v>
      </c>
      <c r="G2291" s="2" t="str">
        <f>HYPERLINK("https://probpalata.gov.ru/files/ИП380800056300001.jpeg","Скачать индивидуальный QR-код магазина")</f>
        <v>Скачать индивидуальный QR-код магазина</v>
      </c>
    </row>
    <row r="2292" spans="1:7" x14ac:dyDescent="0.25">
      <c r="A2292" t="s">
        <v>6892</v>
      </c>
      <c r="B2292" t="s">
        <v>7229</v>
      </c>
      <c r="C2292" t="s">
        <v>7223</v>
      </c>
      <c r="D2292" t="s">
        <v>7224</v>
      </c>
      <c r="E2292" t="s">
        <v>7225</v>
      </c>
      <c r="F2292" t="s">
        <v>7230</v>
      </c>
      <c r="G2292" s="2" t="str">
        <f>HYPERLINK("https://probpalata.gov.ru/files/ИП380800056300002.jpeg","Скачать индивидуальный QR-код магазина")</f>
        <v>Скачать индивидуальный QR-код магазина</v>
      </c>
    </row>
    <row r="2293" spans="1:7" x14ac:dyDescent="0.25">
      <c r="A2293" t="s">
        <v>6892</v>
      </c>
      <c r="B2293" t="s">
        <v>7231</v>
      </c>
      <c r="C2293" t="s">
        <v>7232</v>
      </c>
      <c r="D2293" t="s">
        <v>7233</v>
      </c>
      <c r="E2293" t="s">
        <v>7234</v>
      </c>
      <c r="F2293" t="s">
        <v>7235</v>
      </c>
      <c r="G2293" s="2" t="str">
        <f>HYPERLINK("https://probpalata.gov.ru/files/ЮЛ380801299700000.jpeg","Скачать индивидуальный QR-код магазина")</f>
        <v>Скачать индивидуальный QR-код магазина</v>
      </c>
    </row>
    <row r="2294" spans="1:7" x14ac:dyDescent="0.25">
      <c r="A2294" t="s">
        <v>6892</v>
      </c>
      <c r="B2294" t="s">
        <v>7236</v>
      </c>
      <c r="C2294" t="s">
        <v>7237</v>
      </c>
      <c r="D2294" t="s">
        <v>7238</v>
      </c>
      <c r="E2294" t="s">
        <v>7239</v>
      </c>
      <c r="F2294" t="s">
        <v>7240</v>
      </c>
      <c r="G2294" s="2" t="str">
        <f>HYPERLINK("https://probpalata.gov.ru/files/ИП380803556500001.jpeg","Скачать индивидуальный QR-код магазина")</f>
        <v>Скачать индивидуальный QR-код магазина</v>
      </c>
    </row>
    <row r="2295" spans="1:7" x14ac:dyDescent="0.25">
      <c r="A2295" t="s">
        <v>6892</v>
      </c>
      <c r="B2295" t="s">
        <v>7241</v>
      </c>
      <c r="C2295" t="s">
        <v>7237</v>
      </c>
      <c r="D2295" t="s">
        <v>7238</v>
      </c>
      <c r="E2295" t="s">
        <v>7239</v>
      </c>
      <c r="F2295" t="s">
        <v>7242</v>
      </c>
      <c r="G2295" s="2" t="str">
        <f>HYPERLINK("https://probpalata.gov.ru/files/ИП380803556500002.jpeg","Скачать индивидуальный QR-код магазина")</f>
        <v>Скачать индивидуальный QR-код магазина</v>
      </c>
    </row>
    <row r="2296" spans="1:7" x14ac:dyDescent="0.25">
      <c r="A2296" t="s">
        <v>6892</v>
      </c>
      <c r="B2296" t="s">
        <v>7243</v>
      </c>
      <c r="C2296" t="s">
        <v>7244</v>
      </c>
      <c r="D2296" t="s">
        <v>7245</v>
      </c>
      <c r="E2296" t="s">
        <v>7246</v>
      </c>
      <c r="F2296" t="s">
        <v>7247</v>
      </c>
      <c r="G2296" s="2" t="str">
        <f>HYPERLINK("https://probpalata.gov.ru/files/ИП380801049800002.jpeg","Скачать индивидуальный QR-код магазина")</f>
        <v>Скачать индивидуальный QR-код магазина</v>
      </c>
    </row>
    <row r="2297" spans="1:7" x14ac:dyDescent="0.25">
      <c r="A2297" t="s">
        <v>6892</v>
      </c>
      <c r="B2297" t="s">
        <v>7248</v>
      </c>
      <c r="C2297" t="s">
        <v>7244</v>
      </c>
      <c r="D2297" t="s">
        <v>7245</v>
      </c>
      <c r="E2297" t="s">
        <v>7246</v>
      </c>
      <c r="F2297" t="s">
        <v>7249</v>
      </c>
      <c r="G2297" s="2" t="str">
        <f>HYPERLINK("https://probpalata.gov.ru/files/ИП380801049800004.jpeg","Скачать индивидуальный QR-код магазина")</f>
        <v>Скачать индивидуальный QR-код магазина</v>
      </c>
    </row>
    <row r="2298" spans="1:7" x14ac:dyDescent="0.25">
      <c r="A2298" t="s">
        <v>6892</v>
      </c>
      <c r="B2298" t="s">
        <v>7250</v>
      </c>
      <c r="C2298" t="s">
        <v>7244</v>
      </c>
      <c r="D2298" t="s">
        <v>7245</v>
      </c>
      <c r="E2298" t="s">
        <v>7246</v>
      </c>
      <c r="F2298" t="s">
        <v>7251</v>
      </c>
      <c r="G2298" s="2" t="str">
        <f>HYPERLINK("https://probpalata.gov.ru/files/ИП380801049800005.jpeg","Скачать индивидуальный QR-код магазина")</f>
        <v>Скачать индивидуальный QR-код магазина</v>
      </c>
    </row>
    <row r="2299" spans="1:7" x14ac:dyDescent="0.25">
      <c r="A2299" t="s">
        <v>6892</v>
      </c>
      <c r="B2299" t="s">
        <v>7089</v>
      </c>
      <c r="C2299" t="s">
        <v>7252</v>
      </c>
      <c r="D2299" t="s">
        <v>7253</v>
      </c>
      <c r="E2299" t="s">
        <v>7254</v>
      </c>
      <c r="F2299" t="s">
        <v>7255</v>
      </c>
      <c r="G2299" s="2" t="str">
        <f>HYPERLINK("https://probpalata.gov.ru/files/ИП380800708000000.jpeg","Скачать индивидуальный QR-код магазина")</f>
        <v>Скачать индивидуальный QR-код магазина</v>
      </c>
    </row>
    <row r="2300" spans="1:7" x14ac:dyDescent="0.25">
      <c r="A2300" t="s">
        <v>6892</v>
      </c>
      <c r="B2300" t="s">
        <v>7227</v>
      </c>
      <c r="C2300" t="s">
        <v>7256</v>
      </c>
      <c r="D2300" t="s">
        <v>7257</v>
      </c>
      <c r="E2300" t="s">
        <v>7258</v>
      </c>
      <c r="F2300" t="s">
        <v>7259</v>
      </c>
      <c r="G2300" s="2" t="str">
        <f>HYPERLINK("https://probpalata.gov.ru/files/ИП380800069100000.jpeg","Скачать индивидуальный QR-код магазина")</f>
        <v>Скачать индивидуальный QR-код магазина</v>
      </c>
    </row>
    <row r="2301" spans="1:7" x14ac:dyDescent="0.25">
      <c r="A2301" t="s">
        <v>6892</v>
      </c>
      <c r="B2301" t="s">
        <v>7229</v>
      </c>
      <c r="C2301" t="s">
        <v>7256</v>
      </c>
      <c r="D2301" t="s">
        <v>7257</v>
      </c>
      <c r="E2301" t="s">
        <v>7258</v>
      </c>
      <c r="F2301" t="s">
        <v>7260</v>
      </c>
      <c r="G2301" s="2" t="str">
        <f>HYPERLINK("https://probpalata.gov.ru/files/ИП380800069100001.jpeg","Скачать индивидуальный QR-код магазина")</f>
        <v>Скачать индивидуальный QR-код магазина</v>
      </c>
    </row>
    <row r="2302" spans="1:7" x14ac:dyDescent="0.25">
      <c r="A2302" t="s">
        <v>6892</v>
      </c>
      <c r="B2302" t="s">
        <v>7261</v>
      </c>
      <c r="C2302" t="s">
        <v>7256</v>
      </c>
      <c r="D2302" t="s">
        <v>7257</v>
      </c>
      <c r="E2302" t="s">
        <v>7258</v>
      </c>
      <c r="F2302" t="s">
        <v>7262</v>
      </c>
      <c r="G2302" s="2" t="str">
        <f>HYPERLINK("https://probpalata.gov.ru/files/ИП380800069100002.jpeg","Скачать индивидуальный QR-код магазина")</f>
        <v>Скачать индивидуальный QR-код магазина</v>
      </c>
    </row>
    <row r="2303" spans="1:7" x14ac:dyDescent="0.25">
      <c r="A2303" t="s">
        <v>6892</v>
      </c>
      <c r="B2303" t="s">
        <v>7263</v>
      </c>
      <c r="C2303" t="s">
        <v>7264</v>
      </c>
      <c r="D2303" t="s">
        <v>7265</v>
      </c>
      <c r="E2303" t="s">
        <v>7266</v>
      </c>
      <c r="F2303" t="s">
        <v>7267</v>
      </c>
      <c r="G2303" s="2" t="str">
        <f>HYPERLINK("https://probpalata.gov.ru/files/ИП380803089900000.jpeg","Скачать индивидуальный QR-код магазина")</f>
        <v>Скачать индивидуальный QR-код магазина</v>
      </c>
    </row>
    <row r="2304" spans="1:7" x14ac:dyDescent="0.25">
      <c r="A2304" t="s">
        <v>6892</v>
      </c>
      <c r="B2304" t="s">
        <v>7268</v>
      </c>
      <c r="C2304" t="s">
        <v>7264</v>
      </c>
      <c r="D2304" t="s">
        <v>7265</v>
      </c>
      <c r="E2304" t="s">
        <v>7266</v>
      </c>
      <c r="F2304" t="s">
        <v>7269</v>
      </c>
      <c r="G2304" s="2" t="str">
        <f>HYPERLINK("https://probpalata.gov.ru/files/ИП380803089900001.jpeg","Скачать индивидуальный QR-код магазина")</f>
        <v>Скачать индивидуальный QR-код магазина</v>
      </c>
    </row>
    <row r="2305" spans="1:7" x14ac:dyDescent="0.25">
      <c r="A2305" t="s">
        <v>6892</v>
      </c>
      <c r="B2305" t="s">
        <v>7270</v>
      </c>
      <c r="C2305" t="s">
        <v>7271</v>
      </c>
      <c r="D2305" t="s">
        <v>7272</v>
      </c>
      <c r="E2305" t="s">
        <v>7273</v>
      </c>
      <c r="F2305" t="s">
        <v>7274</v>
      </c>
      <c r="G2305" s="2" t="str">
        <f>HYPERLINK("https://probpalata.gov.ru/files/ИП380801299800007.jpeg","Скачать индивидуальный QR-код магазина")</f>
        <v>Скачать индивидуальный QR-код магазина</v>
      </c>
    </row>
    <row r="2306" spans="1:7" x14ac:dyDescent="0.25">
      <c r="A2306" t="s">
        <v>6892</v>
      </c>
      <c r="B2306" t="s">
        <v>7275</v>
      </c>
      <c r="C2306" t="s">
        <v>7276</v>
      </c>
      <c r="D2306" t="s">
        <v>7277</v>
      </c>
      <c r="E2306" t="s">
        <v>7278</v>
      </c>
      <c r="F2306" t="s">
        <v>7279</v>
      </c>
      <c r="G2306" s="2" t="str">
        <f>HYPERLINK("https://probpalata.gov.ru/files/ЮЛ380803798600000.jpeg","Скачать индивидуальный QR-код магазина")</f>
        <v>Скачать индивидуальный QR-код магазина</v>
      </c>
    </row>
    <row r="2307" spans="1:7" x14ac:dyDescent="0.25">
      <c r="A2307" t="s">
        <v>6892</v>
      </c>
      <c r="B2307" t="s">
        <v>7280</v>
      </c>
      <c r="C2307" t="s">
        <v>7281</v>
      </c>
      <c r="D2307" t="s">
        <v>7282</v>
      </c>
      <c r="E2307" t="s">
        <v>7283</v>
      </c>
      <c r="F2307" t="s">
        <v>7284</v>
      </c>
      <c r="G2307" s="2" t="str">
        <f>HYPERLINK("https://probpalata.gov.ru/files/ЮЛ380800689100000.jpeg","Скачать индивидуальный QR-код магазина")</f>
        <v>Скачать индивидуальный QR-код магазина</v>
      </c>
    </row>
    <row r="2308" spans="1:7" x14ac:dyDescent="0.25">
      <c r="A2308" t="s">
        <v>6892</v>
      </c>
      <c r="B2308" t="s">
        <v>7285</v>
      </c>
      <c r="C2308" t="s">
        <v>7286</v>
      </c>
      <c r="D2308" t="s">
        <v>7287</v>
      </c>
      <c r="E2308" t="s">
        <v>7288</v>
      </c>
      <c r="F2308" t="s">
        <v>7289</v>
      </c>
      <c r="G2308" s="2" t="str">
        <f>HYPERLINK("https://probpalata.gov.ru/files/ИП380801888000000.jpeg","Скачать индивидуальный QR-код магазина")</f>
        <v>Скачать индивидуальный QR-код магазина</v>
      </c>
    </row>
    <row r="2309" spans="1:7" x14ac:dyDescent="0.25">
      <c r="A2309" t="s">
        <v>6892</v>
      </c>
      <c r="B2309" t="s">
        <v>7290</v>
      </c>
      <c r="C2309" t="s">
        <v>7291</v>
      </c>
      <c r="D2309" t="s">
        <v>7292</v>
      </c>
      <c r="E2309" t="s">
        <v>7293</v>
      </c>
      <c r="F2309" t="s">
        <v>7294</v>
      </c>
      <c r="G2309" s="2" t="str">
        <f>HYPERLINK("https://probpalata.gov.ru/files/ЮЛ380803731200000.jpeg","Скачать индивидуальный QR-код магазина")</f>
        <v>Скачать индивидуальный QR-код магазина</v>
      </c>
    </row>
    <row r="2310" spans="1:7" x14ac:dyDescent="0.25">
      <c r="A2310" t="s">
        <v>6892</v>
      </c>
      <c r="B2310" t="s">
        <v>7295</v>
      </c>
      <c r="C2310" t="s">
        <v>7296</v>
      </c>
      <c r="D2310" t="s">
        <v>7297</v>
      </c>
      <c r="E2310" t="s">
        <v>7298</v>
      </c>
      <c r="F2310" t="s">
        <v>7299</v>
      </c>
      <c r="G2310" s="2" t="str">
        <f>HYPERLINK("https://probpalata.gov.ru/files/ИП380801009800000.jpeg","Скачать индивидуальный QR-код магазина")</f>
        <v>Скачать индивидуальный QR-код магазина</v>
      </c>
    </row>
    <row r="2311" spans="1:7" x14ac:dyDescent="0.25">
      <c r="A2311" t="s">
        <v>6892</v>
      </c>
      <c r="B2311" t="s">
        <v>7300</v>
      </c>
      <c r="C2311" t="s">
        <v>7296</v>
      </c>
      <c r="D2311" t="s">
        <v>7297</v>
      </c>
      <c r="E2311" t="s">
        <v>7298</v>
      </c>
      <c r="F2311" t="s">
        <v>7301</v>
      </c>
      <c r="G2311" s="2" t="str">
        <f>HYPERLINK("https://probpalata.gov.ru/files/ИП380801009800001.jpeg","Скачать индивидуальный QR-код магазина")</f>
        <v>Скачать индивидуальный QR-код магазина</v>
      </c>
    </row>
    <row r="2312" spans="1:7" x14ac:dyDescent="0.25">
      <c r="A2312" t="s">
        <v>6892</v>
      </c>
      <c r="B2312" t="s">
        <v>7302</v>
      </c>
      <c r="C2312" t="s">
        <v>7296</v>
      </c>
      <c r="D2312" t="s">
        <v>7297</v>
      </c>
      <c r="E2312" t="s">
        <v>7298</v>
      </c>
      <c r="F2312" t="s">
        <v>7303</v>
      </c>
      <c r="G2312" s="2" t="str">
        <f>HYPERLINK("https://probpalata.gov.ru/files/ИП380801009800002.jpeg","Скачать индивидуальный QR-код магазина")</f>
        <v>Скачать индивидуальный QR-код магазина</v>
      </c>
    </row>
    <row r="2313" spans="1:7" x14ac:dyDescent="0.25">
      <c r="A2313" t="s">
        <v>6892</v>
      </c>
      <c r="B2313" t="s">
        <v>7304</v>
      </c>
      <c r="C2313" t="s">
        <v>7305</v>
      </c>
      <c r="D2313" t="s">
        <v>7306</v>
      </c>
      <c r="E2313" t="s">
        <v>7307</v>
      </c>
      <c r="F2313" t="s">
        <v>7308</v>
      </c>
      <c r="G2313" s="2" t="str">
        <f>HYPERLINK("https://probpalata.gov.ru/files/ИП380803271200000.jpeg","Скачать индивидуальный QR-код магазина")</f>
        <v>Скачать индивидуальный QR-код магазина</v>
      </c>
    </row>
    <row r="2314" spans="1:7" x14ac:dyDescent="0.25">
      <c r="A2314" t="s">
        <v>6892</v>
      </c>
      <c r="B2314" t="s">
        <v>7309</v>
      </c>
      <c r="C2314" t="s">
        <v>7310</v>
      </c>
      <c r="D2314" t="s">
        <v>7311</v>
      </c>
      <c r="E2314" t="s">
        <v>7312</v>
      </c>
      <c r="F2314" t="s">
        <v>7313</v>
      </c>
      <c r="G2314" s="2" t="str">
        <f>HYPERLINK("https://probpalata.gov.ru/files/ИП380801412000000.jpeg","Скачать индивидуальный QR-код магазина")</f>
        <v>Скачать индивидуальный QR-код магазина</v>
      </c>
    </row>
    <row r="2315" spans="1:7" x14ac:dyDescent="0.25">
      <c r="A2315" t="s">
        <v>6892</v>
      </c>
      <c r="B2315" t="s">
        <v>7314</v>
      </c>
      <c r="C2315" t="s">
        <v>7310</v>
      </c>
      <c r="D2315" t="s">
        <v>7311</v>
      </c>
      <c r="E2315" t="s">
        <v>7312</v>
      </c>
      <c r="F2315" t="s">
        <v>7315</v>
      </c>
      <c r="G2315" s="2" t="str">
        <f>HYPERLINK("https://probpalata.gov.ru/files/ИП380801412000001.jpeg","Скачать индивидуальный QR-код магазина")</f>
        <v>Скачать индивидуальный QR-код магазина</v>
      </c>
    </row>
    <row r="2316" spans="1:7" x14ac:dyDescent="0.25">
      <c r="A2316" t="s">
        <v>6892</v>
      </c>
      <c r="B2316" t="s">
        <v>7316</v>
      </c>
      <c r="C2316" t="s">
        <v>7310</v>
      </c>
      <c r="D2316" t="s">
        <v>7311</v>
      </c>
      <c r="E2316" t="s">
        <v>7312</v>
      </c>
      <c r="F2316" t="s">
        <v>7317</v>
      </c>
      <c r="G2316" s="2" t="str">
        <f>HYPERLINK("https://probpalata.gov.ru/files/ИП380801412000002.jpeg","Скачать индивидуальный QR-код магазина")</f>
        <v>Скачать индивидуальный QR-код магазина</v>
      </c>
    </row>
    <row r="2317" spans="1:7" x14ac:dyDescent="0.25">
      <c r="A2317" t="s">
        <v>6892</v>
      </c>
      <c r="B2317" t="s">
        <v>7318</v>
      </c>
      <c r="C2317" t="s">
        <v>7310</v>
      </c>
      <c r="D2317" t="s">
        <v>7311</v>
      </c>
      <c r="E2317" t="s">
        <v>7312</v>
      </c>
      <c r="F2317" t="s">
        <v>7319</v>
      </c>
      <c r="G2317" s="2" t="str">
        <f>HYPERLINK("https://probpalata.gov.ru/files/ИП380801412000003.jpeg","Скачать индивидуальный QR-код магазина")</f>
        <v>Скачать индивидуальный QR-код магазина</v>
      </c>
    </row>
    <row r="2318" spans="1:7" x14ac:dyDescent="0.25">
      <c r="A2318" t="s">
        <v>6892</v>
      </c>
      <c r="B2318" t="s">
        <v>7320</v>
      </c>
      <c r="C2318" t="s">
        <v>7310</v>
      </c>
      <c r="D2318" t="s">
        <v>7311</v>
      </c>
      <c r="E2318" t="s">
        <v>7312</v>
      </c>
      <c r="F2318" t="s">
        <v>7321</v>
      </c>
      <c r="G2318" s="2" t="str">
        <f>HYPERLINK("https://probpalata.gov.ru/files/ИП380801412000004.jpeg","Скачать индивидуальный QR-код магазина")</f>
        <v>Скачать индивидуальный QR-код магазина</v>
      </c>
    </row>
    <row r="2319" spans="1:7" x14ac:dyDescent="0.25">
      <c r="A2319" t="s">
        <v>6892</v>
      </c>
      <c r="B2319" t="s">
        <v>7322</v>
      </c>
      <c r="C2319" t="s">
        <v>7310</v>
      </c>
      <c r="D2319" t="s">
        <v>7311</v>
      </c>
      <c r="E2319" t="s">
        <v>7312</v>
      </c>
      <c r="F2319" t="s">
        <v>7323</v>
      </c>
      <c r="G2319" s="2" t="str">
        <f>HYPERLINK("https://probpalata.gov.ru/files/ИП380801412000005.jpeg","Скачать индивидуальный QR-код магазина")</f>
        <v>Скачать индивидуальный QR-код магазина</v>
      </c>
    </row>
    <row r="2320" spans="1:7" x14ac:dyDescent="0.25">
      <c r="A2320" t="s">
        <v>6892</v>
      </c>
      <c r="B2320" t="s">
        <v>7324</v>
      </c>
      <c r="C2320" t="s">
        <v>7310</v>
      </c>
      <c r="D2320" t="s">
        <v>7311</v>
      </c>
      <c r="E2320" t="s">
        <v>7312</v>
      </c>
      <c r="F2320" t="s">
        <v>7325</v>
      </c>
      <c r="G2320" s="2" t="str">
        <f>HYPERLINK("https://probpalata.gov.ru/files/ИП380801412000006.jpeg","Скачать индивидуальный QR-код магазина")</f>
        <v>Скачать индивидуальный QR-код магазина</v>
      </c>
    </row>
    <row r="2321" spans="1:7" x14ac:dyDescent="0.25">
      <c r="A2321" t="s">
        <v>6892</v>
      </c>
      <c r="B2321" t="s">
        <v>7326</v>
      </c>
      <c r="C2321" t="s">
        <v>7310</v>
      </c>
      <c r="D2321" t="s">
        <v>7311</v>
      </c>
      <c r="E2321" t="s">
        <v>7312</v>
      </c>
      <c r="F2321" t="s">
        <v>7327</v>
      </c>
      <c r="G2321" s="2" t="str">
        <f>HYPERLINK("https://probpalata.gov.ru/files/ИП380801412000007.jpeg","Скачать индивидуальный QR-код магазина")</f>
        <v>Скачать индивидуальный QR-код магазина</v>
      </c>
    </row>
    <row r="2322" spans="1:7" x14ac:dyDescent="0.25">
      <c r="A2322" t="s">
        <v>6892</v>
      </c>
      <c r="B2322" t="s">
        <v>7328</v>
      </c>
      <c r="C2322" t="s">
        <v>7329</v>
      </c>
      <c r="D2322" t="s">
        <v>7330</v>
      </c>
      <c r="E2322" t="s">
        <v>7331</v>
      </c>
      <c r="F2322" t="s">
        <v>7332</v>
      </c>
      <c r="G2322" s="2" t="str">
        <f>HYPERLINK("https://probpalata.gov.ru/files/ИП380801198800007.jpeg","Скачать индивидуальный QR-код магазина")</f>
        <v>Скачать индивидуальный QR-код магазина</v>
      </c>
    </row>
    <row r="2323" spans="1:7" x14ac:dyDescent="0.25">
      <c r="A2323" t="s">
        <v>6892</v>
      </c>
      <c r="B2323" t="s">
        <v>7333</v>
      </c>
      <c r="C2323" t="s">
        <v>7329</v>
      </c>
      <c r="D2323" t="s">
        <v>7330</v>
      </c>
      <c r="E2323" t="s">
        <v>7331</v>
      </c>
      <c r="F2323" t="s">
        <v>7334</v>
      </c>
      <c r="G2323" s="2" t="str">
        <f>HYPERLINK("https://probpalata.gov.ru/files/ИП380801198800012.jpeg","Скачать индивидуальный QR-код магазина")</f>
        <v>Скачать индивидуальный QR-код магазина</v>
      </c>
    </row>
    <row r="2324" spans="1:7" x14ac:dyDescent="0.25">
      <c r="A2324" t="s">
        <v>6892</v>
      </c>
      <c r="B2324" t="s">
        <v>7335</v>
      </c>
      <c r="C2324" t="s">
        <v>7329</v>
      </c>
      <c r="D2324" t="s">
        <v>7330</v>
      </c>
      <c r="E2324" t="s">
        <v>7331</v>
      </c>
      <c r="F2324" t="s">
        <v>7336</v>
      </c>
      <c r="G2324" s="2" t="str">
        <f>HYPERLINK("https://probpalata.gov.ru/files/ИП380801198800015.jpeg","Скачать индивидуальный QR-код магазина")</f>
        <v>Скачать индивидуальный QR-код магазина</v>
      </c>
    </row>
    <row r="2325" spans="1:7" x14ac:dyDescent="0.25">
      <c r="A2325" t="s">
        <v>6892</v>
      </c>
      <c r="B2325" t="s">
        <v>7337</v>
      </c>
      <c r="C2325" t="s">
        <v>6019</v>
      </c>
      <c r="D2325" t="s">
        <v>6020</v>
      </c>
      <c r="E2325" t="s">
        <v>6021</v>
      </c>
      <c r="F2325" t="s">
        <v>7338</v>
      </c>
      <c r="G2325" s="2" t="str">
        <f>HYPERLINK("https://probpalata.gov.ru/files/ЮЛ380803559400000.jpeg","Скачать индивидуальный QR-код магазина")</f>
        <v>Скачать индивидуальный QR-код магазина</v>
      </c>
    </row>
    <row r="2326" spans="1:7" x14ac:dyDescent="0.25">
      <c r="A2326" t="s">
        <v>6892</v>
      </c>
      <c r="B2326" t="s">
        <v>7339</v>
      </c>
      <c r="C2326" t="s">
        <v>6019</v>
      </c>
      <c r="D2326" t="s">
        <v>6020</v>
      </c>
      <c r="E2326" t="s">
        <v>6021</v>
      </c>
      <c r="F2326" t="s">
        <v>7340</v>
      </c>
      <c r="G2326" s="2" t="str">
        <f>HYPERLINK("https://probpalata.gov.ru/files/ЮЛ380803559400015.jpeg","Скачать индивидуальный QR-код магазина")</f>
        <v>Скачать индивидуальный QR-код магазина</v>
      </c>
    </row>
    <row r="2327" spans="1:7" x14ac:dyDescent="0.25">
      <c r="A2327" t="s">
        <v>6892</v>
      </c>
      <c r="B2327" t="s">
        <v>7341</v>
      </c>
      <c r="C2327" t="s">
        <v>6019</v>
      </c>
      <c r="D2327" t="s">
        <v>6020</v>
      </c>
      <c r="E2327" t="s">
        <v>6021</v>
      </c>
      <c r="F2327" t="s">
        <v>7342</v>
      </c>
      <c r="G2327" s="2" t="str">
        <f>HYPERLINK("https://probpalata.gov.ru/files/ЮЛ380803559400018.jpeg","Скачать индивидуальный QR-код магазина")</f>
        <v>Скачать индивидуальный QR-код магазина</v>
      </c>
    </row>
    <row r="2328" spans="1:7" x14ac:dyDescent="0.25">
      <c r="A2328" t="s">
        <v>6892</v>
      </c>
      <c r="B2328" t="s">
        <v>7343</v>
      </c>
      <c r="C2328" t="s">
        <v>6019</v>
      </c>
      <c r="D2328" t="s">
        <v>6020</v>
      </c>
      <c r="E2328" t="s">
        <v>6021</v>
      </c>
      <c r="F2328" t="s">
        <v>7344</v>
      </c>
      <c r="G2328" s="2" t="str">
        <f>HYPERLINK("https://probpalata.gov.ru/files/ЮЛ380803559400021.jpeg","Скачать индивидуальный QR-код магазина")</f>
        <v>Скачать индивидуальный QR-код магазина</v>
      </c>
    </row>
    <row r="2329" spans="1:7" x14ac:dyDescent="0.25">
      <c r="A2329" t="s">
        <v>6892</v>
      </c>
      <c r="B2329" t="s">
        <v>7345</v>
      </c>
      <c r="C2329" t="s">
        <v>6019</v>
      </c>
      <c r="D2329" t="s">
        <v>6020</v>
      </c>
      <c r="E2329" t="s">
        <v>6021</v>
      </c>
      <c r="F2329" t="s">
        <v>7346</v>
      </c>
      <c r="G2329" s="2" t="str">
        <f>HYPERLINK("https://probpalata.gov.ru/files/ЮЛ380803559400024.jpeg","Скачать индивидуальный QR-код магазина")</f>
        <v>Скачать индивидуальный QR-код магазина</v>
      </c>
    </row>
    <row r="2330" spans="1:7" x14ac:dyDescent="0.25">
      <c r="A2330" t="s">
        <v>6892</v>
      </c>
      <c r="B2330" t="s">
        <v>7347</v>
      </c>
      <c r="C2330" t="s">
        <v>6019</v>
      </c>
      <c r="D2330" t="s">
        <v>6020</v>
      </c>
      <c r="E2330" t="s">
        <v>6021</v>
      </c>
      <c r="F2330" t="s">
        <v>7348</v>
      </c>
      <c r="G2330" s="2" t="str">
        <f>HYPERLINK("https://probpalata.gov.ru/files/ЮЛ380803559400030.jpeg","Скачать индивидуальный QR-код магазина")</f>
        <v>Скачать индивидуальный QR-код магазина</v>
      </c>
    </row>
    <row r="2331" spans="1:7" x14ac:dyDescent="0.25">
      <c r="A2331" t="s">
        <v>6892</v>
      </c>
      <c r="B2331" t="s">
        <v>7349</v>
      </c>
      <c r="C2331" t="s">
        <v>6019</v>
      </c>
      <c r="D2331" t="s">
        <v>6020</v>
      </c>
      <c r="E2331" t="s">
        <v>6021</v>
      </c>
      <c r="F2331" t="s">
        <v>7350</v>
      </c>
      <c r="G2331" s="2" t="str">
        <f>HYPERLINK("https://probpalata.gov.ru/files/ЮЛ380803559400044.jpeg","Скачать индивидуальный QR-код магазина")</f>
        <v>Скачать индивидуальный QR-код магазина</v>
      </c>
    </row>
    <row r="2332" spans="1:7" x14ac:dyDescent="0.25">
      <c r="A2332" t="s">
        <v>6892</v>
      </c>
      <c r="B2332" t="s">
        <v>7351</v>
      </c>
      <c r="C2332" t="s">
        <v>6019</v>
      </c>
      <c r="D2332" t="s">
        <v>6020</v>
      </c>
      <c r="E2332" t="s">
        <v>6021</v>
      </c>
      <c r="F2332" t="s">
        <v>7352</v>
      </c>
      <c r="G2332" s="2" t="str">
        <f>HYPERLINK("https://probpalata.gov.ru/files/ЮЛ380803559400045.jpeg","Скачать индивидуальный QR-код магазина")</f>
        <v>Скачать индивидуальный QR-код магазина</v>
      </c>
    </row>
    <row r="2333" spans="1:7" x14ac:dyDescent="0.25">
      <c r="A2333" t="s">
        <v>6892</v>
      </c>
      <c r="B2333" t="s">
        <v>7353</v>
      </c>
      <c r="C2333" t="s">
        <v>6019</v>
      </c>
      <c r="D2333" t="s">
        <v>6020</v>
      </c>
      <c r="E2333" t="s">
        <v>6021</v>
      </c>
      <c r="F2333" t="s">
        <v>7354</v>
      </c>
      <c r="G2333" s="2" t="str">
        <f>HYPERLINK("https://probpalata.gov.ru/files/ЮЛ380803559400047.jpeg","Скачать индивидуальный QR-код магазина")</f>
        <v>Скачать индивидуальный QR-код магазина</v>
      </c>
    </row>
    <row r="2334" spans="1:7" x14ac:dyDescent="0.25">
      <c r="A2334" t="s">
        <v>6892</v>
      </c>
      <c r="B2334" t="s">
        <v>7355</v>
      </c>
      <c r="C2334" t="s">
        <v>6019</v>
      </c>
      <c r="D2334" t="s">
        <v>6020</v>
      </c>
      <c r="E2334" t="s">
        <v>6021</v>
      </c>
      <c r="F2334" t="s">
        <v>7356</v>
      </c>
      <c r="G2334" s="2" t="str">
        <f>HYPERLINK("https://probpalata.gov.ru/files/ЮЛ380803559400048.jpeg","Скачать индивидуальный QR-код магазина")</f>
        <v>Скачать индивидуальный QR-код магазина</v>
      </c>
    </row>
    <row r="2335" spans="1:7" x14ac:dyDescent="0.25">
      <c r="A2335" t="s">
        <v>6892</v>
      </c>
      <c r="B2335" t="s">
        <v>7357</v>
      </c>
      <c r="C2335" t="s">
        <v>6019</v>
      </c>
      <c r="D2335" t="s">
        <v>6020</v>
      </c>
      <c r="E2335" t="s">
        <v>6021</v>
      </c>
      <c r="F2335" t="s">
        <v>7358</v>
      </c>
      <c r="G2335" s="2" t="str">
        <f>HYPERLINK("https://probpalata.gov.ru/files/ЮЛ380803559400049.jpeg","Скачать индивидуальный QR-код магазина")</f>
        <v>Скачать индивидуальный QR-код магазина</v>
      </c>
    </row>
    <row r="2336" spans="1:7" x14ac:dyDescent="0.25">
      <c r="A2336" t="s">
        <v>6892</v>
      </c>
      <c r="B2336" t="s">
        <v>7359</v>
      </c>
      <c r="C2336" t="s">
        <v>6019</v>
      </c>
      <c r="D2336" t="s">
        <v>6020</v>
      </c>
      <c r="E2336" t="s">
        <v>6021</v>
      </c>
      <c r="F2336" t="s">
        <v>7360</v>
      </c>
      <c r="G2336" s="2" t="str">
        <f>HYPERLINK("https://probpalata.gov.ru/files/ЮЛ380803559400050.jpeg","Скачать индивидуальный QR-код магазина")</f>
        <v>Скачать индивидуальный QR-код магазина</v>
      </c>
    </row>
    <row r="2337" spans="1:7" x14ac:dyDescent="0.25">
      <c r="A2337" t="s">
        <v>6892</v>
      </c>
      <c r="B2337" t="s">
        <v>7361</v>
      </c>
      <c r="C2337" t="s">
        <v>6019</v>
      </c>
      <c r="D2337" t="s">
        <v>6020</v>
      </c>
      <c r="E2337" t="s">
        <v>6021</v>
      </c>
      <c r="F2337" t="s">
        <v>7362</v>
      </c>
      <c r="G2337" s="2" t="str">
        <f>HYPERLINK("https://probpalata.gov.ru/files/ЮЛ380803559400055.jpeg","Скачать индивидуальный QR-код магазина")</f>
        <v>Скачать индивидуальный QR-код магазина</v>
      </c>
    </row>
    <row r="2338" spans="1:7" x14ac:dyDescent="0.25">
      <c r="A2338" t="s">
        <v>6892</v>
      </c>
      <c r="B2338" t="s">
        <v>7363</v>
      </c>
      <c r="C2338" t="s">
        <v>7364</v>
      </c>
      <c r="D2338" t="s">
        <v>7365</v>
      </c>
      <c r="E2338" t="s">
        <v>7366</v>
      </c>
      <c r="F2338" t="s">
        <v>7367</v>
      </c>
      <c r="G2338" s="2" t="str">
        <f>HYPERLINK("https://probpalata.gov.ru/files/ИП380801676600000.jpeg","Скачать индивидуальный QR-код магазина")</f>
        <v>Скачать индивидуальный QR-код магазина</v>
      </c>
    </row>
    <row r="2339" spans="1:7" x14ac:dyDescent="0.25">
      <c r="A2339" t="s">
        <v>6892</v>
      </c>
      <c r="B2339" t="s">
        <v>7368</v>
      </c>
      <c r="C2339" t="s">
        <v>7369</v>
      </c>
      <c r="D2339" t="s">
        <v>7370</v>
      </c>
      <c r="E2339" t="s">
        <v>7371</v>
      </c>
      <c r="F2339" t="s">
        <v>7372</v>
      </c>
      <c r="G2339" s="2" t="str">
        <f>HYPERLINK("https://probpalata.gov.ru/files/ЮЛ380801369100000.jpeg","Скачать индивидуальный QR-код магазина")</f>
        <v>Скачать индивидуальный QR-код магазина</v>
      </c>
    </row>
    <row r="2340" spans="1:7" x14ac:dyDescent="0.25">
      <c r="A2340" t="s">
        <v>6892</v>
      </c>
      <c r="B2340" t="s">
        <v>7373</v>
      </c>
      <c r="C2340" t="s">
        <v>7374</v>
      </c>
      <c r="D2340" t="s">
        <v>7375</v>
      </c>
      <c r="E2340" t="s">
        <v>7376</v>
      </c>
      <c r="F2340" t="s">
        <v>7377</v>
      </c>
      <c r="G2340" s="2" t="str">
        <f>HYPERLINK("https://probpalata.gov.ru/files/ИП380801439300001.jpeg","Скачать индивидуальный QR-код магазина")</f>
        <v>Скачать индивидуальный QR-код магазина</v>
      </c>
    </row>
    <row r="2341" spans="1:7" x14ac:dyDescent="0.25">
      <c r="A2341" t="s">
        <v>6892</v>
      </c>
      <c r="B2341" t="s">
        <v>7378</v>
      </c>
      <c r="C2341" t="s">
        <v>7379</v>
      </c>
      <c r="D2341" t="s">
        <v>7380</v>
      </c>
      <c r="E2341" t="s">
        <v>7381</v>
      </c>
      <c r="F2341" t="s">
        <v>7382</v>
      </c>
      <c r="G2341" s="2" t="str">
        <f>HYPERLINK("https://probpalata.gov.ru/files/ИП380801469400000.jpeg","Скачать индивидуальный QR-код магазина")</f>
        <v>Скачать индивидуальный QR-код магазина</v>
      </c>
    </row>
    <row r="2342" spans="1:7" x14ac:dyDescent="0.25">
      <c r="A2342" t="s">
        <v>6892</v>
      </c>
      <c r="B2342" t="s">
        <v>7383</v>
      </c>
      <c r="C2342" t="s">
        <v>7379</v>
      </c>
      <c r="D2342" t="s">
        <v>7380</v>
      </c>
      <c r="E2342" t="s">
        <v>7381</v>
      </c>
      <c r="F2342" t="s">
        <v>7384</v>
      </c>
      <c r="G2342" s="2" t="str">
        <f>HYPERLINK("https://probpalata.gov.ru/files/ИП380801469400001.jpeg","Скачать индивидуальный QR-код магазина")</f>
        <v>Скачать индивидуальный QR-код магазина</v>
      </c>
    </row>
    <row r="2343" spans="1:7" x14ac:dyDescent="0.25">
      <c r="A2343" t="s">
        <v>6892</v>
      </c>
      <c r="B2343" t="s">
        <v>7385</v>
      </c>
      <c r="C2343" t="s">
        <v>7379</v>
      </c>
      <c r="D2343" t="s">
        <v>7380</v>
      </c>
      <c r="E2343" t="s">
        <v>7381</v>
      </c>
      <c r="F2343" t="s">
        <v>7386</v>
      </c>
      <c r="G2343" s="2" t="str">
        <f>HYPERLINK("https://probpalata.gov.ru/files/ИП380801469400002.jpeg","Скачать индивидуальный QR-код магазина")</f>
        <v>Скачать индивидуальный QR-код магазина</v>
      </c>
    </row>
    <row r="2344" spans="1:7" x14ac:dyDescent="0.25">
      <c r="A2344" t="s">
        <v>6892</v>
      </c>
      <c r="B2344" t="s">
        <v>7387</v>
      </c>
      <c r="C2344" t="s">
        <v>7388</v>
      </c>
      <c r="D2344" t="s">
        <v>7389</v>
      </c>
      <c r="E2344" t="s">
        <v>7390</v>
      </c>
      <c r="F2344" t="s">
        <v>7391</v>
      </c>
      <c r="G2344" s="2" t="str">
        <f>HYPERLINK("https://probpalata.gov.ru/files/ИП380801815300000.jpeg","Скачать индивидуальный QR-код магазина")</f>
        <v>Скачать индивидуальный QR-код магазина</v>
      </c>
    </row>
    <row r="2345" spans="1:7" x14ac:dyDescent="0.25">
      <c r="A2345" t="s">
        <v>6892</v>
      </c>
      <c r="B2345" t="s">
        <v>7392</v>
      </c>
      <c r="C2345" t="s">
        <v>7388</v>
      </c>
      <c r="D2345" t="s">
        <v>7389</v>
      </c>
      <c r="E2345" t="s">
        <v>7390</v>
      </c>
      <c r="F2345" t="s">
        <v>7393</v>
      </c>
      <c r="G2345" s="2" t="str">
        <f>HYPERLINK("https://probpalata.gov.ru/files/ИП380801815300001.jpeg","Скачать индивидуальный QR-код магазина")</f>
        <v>Скачать индивидуальный QR-код магазина</v>
      </c>
    </row>
    <row r="2346" spans="1:7" x14ac:dyDescent="0.25">
      <c r="A2346" t="s">
        <v>6892</v>
      </c>
      <c r="B2346" t="s">
        <v>7394</v>
      </c>
      <c r="C2346" t="s">
        <v>7395</v>
      </c>
      <c r="D2346" t="s">
        <v>7396</v>
      </c>
      <c r="E2346" t="s">
        <v>7397</v>
      </c>
      <c r="F2346" t="s">
        <v>7398</v>
      </c>
      <c r="G2346" s="2" t="str">
        <f>HYPERLINK("https://probpalata.gov.ru/files/ИП380801379400000.jpeg","Скачать индивидуальный QR-код магазина")</f>
        <v>Скачать индивидуальный QR-код магазина</v>
      </c>
    </row>
    <row r="2347" spans="1:7" x14ac:dyDescent="0.25">
      <c r="A2347" t="s">
        <v>6892</v>
      </c>
      <c r="B2347" t="s">
        <v>7399</v>
      </c>
      <c r="C2347" t="s">
        <v>3489</v>
      </c>
      <c r="D2347" t="s">
        <v>7400</v>
      </c>
      <c r="E2347" t="s">
        <v>7401</v>
      </c>
      <c r="F2347" t="s">
        <v>7402</v>
      </c>
      <c r="G2347" s="2" t="str">
        <f>HYPERLINK("https://probpalata.gov.ru/files/ЮЛ380801801700001.jpeg","Скачать индивидуальный QR-код магазина")</f>
        <v>Скачать индивидуальный QR-код магазина</v>
      </c>
    </row>
    <row r="2348" spans="1:7" x14ac:dyDescent="0.25">
      <c r="A2348" t="s">
        <v>6892</v>
      </c>
      <c r="B2348" t="s">
        <v>7403</v>
      </c>
      <c r="C2348" t="s">
        <v>7404</v>
      </c>
      <c r="D2348" t="s">
        <v>7405</v>
      </c>
      <c r="E2348" t="s">
        <v>7406</v>
      </c>
      <c r="F2348" t="s">
        <v>7407</v>
      </c>
      <c r="G2348" s="2" t="str">
        <f>HYPERLINK("https://probpalata.gov.ru/files/ИП380801396100000.jpeg","Скачать индивидуальный QR-код магазина")</f>
        <v>Скачать индивидуальный QR-код магазина</v>
      </c>
    </row>
    <row r="2349" spans="1:7" x14ac:dyDescent="0.25">
      <c r="A2349" t="s">
        <v>6892</v>
      </c>
      <c r="B2349" t="s">
        <v>7408</v>
      </c>
      <c r="C2349" t="s">
        <v>7404</v>
      </c>
      <c r="D2349" t="s">
        <v>7405</v>
      </c>
      <c r="E2349" t="s">
        <v>7406</v>
      </c>
      <c r="F2349" t="s">
        <v>7409</v>
      </c>
      <c r="G2349" s="2" t="str">
        <f>HYPERLINK("https://probpalata.gov.ru/files/ИП380801396100002.jpeg","Скачать индивидуальный QR-код магазина")</f>
        <v>Скачать индивидуальный QR-код магазина</v>
      </c>
    </row>
    <row r="2350" spans="1:7" x14ac:dyDescent="0.25">
      <c r="A2350" t="s">
        <v>6892</v>
      </c>
      <c r="B2350" t="s">
        <v>7410</v>
      </c>
      <c r="C2350" t="s">
        <v>7404</v>
      </c>
      <c r="D2350" t="s">
        <v>7405</v>
      </c>
      <c r="E2350" t="s">
        <v>7406</v>
      </c>
      <c r="F2350" t="s">
        <v>7411</v>
      </c>
      <c r="G2350" s="2" t="str">
        <f>HYPERLINK("https://probpalata.gov.ru/files/ИП380801396100004.jpeg","Скачать индивидуальный QR-код магазина")</f>
        <v>Скачать индивидуальный QR-код магазина</v>
      </c>
    </row>
    <row r="2351" spans="1:7" x14ac:dyDescent="0.25">
      <c r="A2351" t="s">
        <v>6892</v>
      </c>
      <c r="B2351" t="s">
        <v>7412</v>
      </c>
      <c r="C2351" t="s">
        <v>7413</v>
      </c>
      <c r="D2351" t="s">
        <v>7414</v>
      </c>
      <c r="E2351" t="s">
        <v>7415</v>
      </c>
      <c r="F2351" t="s">
        <v>7416</v>
      </c>
      <c r="G2351" s="2" t="str">
        <f>HYPERLINK("https://probpalata.gov.ru/files/ИП380800501700000.jpeg","Скачать индивидуальный QR-код магазина")</f>
        <v>Скачать индивидуальный QR-код магазина</v>
      </c>
    </row>
    <row r="2352" spans="1:7" x14ac:dyDescent="0.25">
      <c r="A2352" t="s">
        <v>6892</v>
      </c>
      <c r="B2352" t="s">
        <v>7417</v>
      </c>
      <c r="C2352" t="s">
        <v>7413</v>
      </c>
      <c r="D2352" t="s">
        <v>7414</v>
      </c>
      <c r="E2352" t="s">
        <v>7415</v>
      </c>
      <c r="F2352" t="s">
        <v>7418</v>
      </c>
      <c r="G2352" s="2" t="str">
        <f>HYPERLINK("https://probpalata.gov.ru/files/ИП380800501700004.jpeg","Скачать индивидуальный QR-код магазина")</f>
        <v>Скачать индивидуальный QR-код магазина</v>
      </c>
    </row>
    <row r="2353" spans="1:7" x14ac:dyDescent="0.25">
      <c r="A2353" t="s">
        <v>6892</v>
      </c>
      <c r="B2353" t="s">
        <v>7419</v>
      </c>
      <c r="C2353" t="s">
        <v>7413</v>
      </c>
      <c r="D2353" t="s">
        <v>7414</v>
      </c>
      <c r="E2353" t="s">
        <v>7415</v>
      </c>
      <c r="F2353" t="s">
        <v>7420</v>
      </c>
      <c r="G2353" s="2" t="str">
        <f>HYPERLINK("https://probpalata.gov.ru/files/ИП380800501700010.jpeg","Скачать индивидуальный QR-код магазина")</f>
        <v>Скачать индивидуальный QR-код магазина</v>
      </c>
    </row>
    <row r="2354" spans="1:7" x14ac:dyDescent="0.25">
      <c r="A2354" t="s">
        <v>6892</v>
      </c>
      <c r="B2354" t="s">
        <v>7421</v>
      </c>
      <c r="C2354" t="s">
        <v>7413</v>
      </c>
      <c r="D2354" t="s">
        <v>7414</v>
      </c>
      <c r="E2354" t="s">
        <v>7415</v>
      </c>
      <c r="F2354" t="s">
        <v>7422</v>
      </c>
      <c r="G2354" s="2" t="str">
        <f>HYPERLINK("https://probpalata.gov.ru/files/ИП380800501700011.jpeg","Скачать индивидуальный QR-код магазина")</f>
        <v>Скачать индивидуальный QR-код магазина</v>
      </c>
    </row>
    <row r="2355" spans="1:7" x14ac:dyDescent="0.25">
      <c r="A2355" t="s">
        <v>6892</v>
      </c>
      <c r="B2355" t="s">
        <v>7423</v>
      </c>
      <c r="C2355" t="s">
        <v>7424</v>
      </c>
      <c r="D2355" t="s">
        <v>7425</v>
      </c>
      <c r="E2355" t="s">
        <v>7426</v>
      </c>
      <c r="F2355" t="s">
        <v>7427</v>
      </c>
      <c r="G2355" s="2" t="str">
        <f>HYPERLINK("https://probpalata.gov.ru/files/ИП380800166300000.jpeg","Скачать индивидуальный QR-код магазина")</f>
        <v>Скачать индивидуальный QR-код магазина</v>
      </c>
    </row>
    <row r="2356" spans="1:7" x14ac:dyDescent="0.25">
      <c r="A2356" t="s">
        <v>6892</v>
      </c>
      <c r="B2356" t="s">
        <v>7428</v>
      </c>
      <c r="C2356" t="s">
        <v>7424</v>
      </c>
      <c r="D2356" t="s">
        <v>7425</v>
      </c>
      <c r="E2356" t="s">
        <v>7426</v>
      </c>
      <c r="F2356" t="s">
        <v>7429</v>
      </c>
      <c r="G2356" s="2" t="str">
        <f>HYPERLINK("https://probpalata.gov.ru/files/ИП380800166300001.jpeg","Скачать индивидуальный QR-код магазина")</f>
        <v>Скачать индивидуальный QR-код магазина</v>
      </c>
    </row>
    <row r="2357" spans="1:7" x14ac:dyDescent="0.25">
      <c r="A2357" t="s">
        <v>6892</v>
      </c>
      <c r="B2357" t="s">
        <v>7430</v>
      </c>
      <c r="C2357" t="s">
        <v>7424</v>
      </c>
      <c r="D2357" t="s">
        <v>7425</v>
      </c>
      <c r="E2357" t="s">
        <v>7426</v>
      </c>
      <c r="F2357" t="s">
        <v>7431</v>
      </c>
      <c r="G2357" s="2" t="str">
        <f>HYPERLINK("https://probpalata.gov.ru/files/ИП380800166300003.jpeg","Скачать индивидуальный QR-код магазина")</f>
        <v>Скачать индивидуальный QR-код магазина</v>
      </c>
    </row>
    <row r="2358" spans="1:7" x14ac:dyDescent="0.25">
      <c r="A2358" t="s">
        <v>6892</v>
      </c>
      <c r="B2358" t="s">
        <v>7432</v>
      </c>
      <c r="C2358" t="s">
        <v>7433</v>
      </c>
      <c r="D2358" t="s">
        <v>7434</v>
      </c>
      <c r="E2358" t="s">
        <v>7435</v>
      </c>
      <c r="F2358" t="s">
        <v>7436</v>
      </c>
      <c r="G2358" s="2" t="str">
        <f>HYPERLINK("https://probpalata.gov.ru/files/ИП380803635900000.jpeg","Скачать индивидуальный QR-код магазина")</f>
        <v>Скачать индивидуальный QR-код магазина</v>
      </c>
    </row>
    <row r="2359" spans="1:7" x14ac:dyDescent="0.25">
      <c r="A2359" t="s">
        <v>6892</v>
      </c>
      <c r="B2359" t="s">
        <v>7437</v>
      </c>
      <c r="C2359" t="s">
        <v>7438</v>
      </c>
      <c r="D2359" t="s">
        <v>7439</v>
      </c>
      <c r="E2359" t="s">
        <v>7440</v>
      </c>
      <c r="F2359" t="s">
        <v>7441</v>
      </c>
      <c r="G2359" s="2" t="str">
        <f>HYPERLINK("https://probpalata.gov.ru/files/ИП380801514600000.jpeg","Скачать индивидуальный QR-код магазина")</f>
        <v>Скачать индивидуальный QR-код магазина</v>
      </c>
    </row>
    <row r="2360" spans="1:7" x14ac:dyDescent="0.25">
      <c r="A2360" t="s">
        <v>6892</v>
      </c>
      <c r="B2360" t="s">
        <v>7442</v>
      </c>
      <c r="C2360" t="s">
        <v>7443</v>
      </c>
      <c r="D2360" t="s">
        <v>7444</v>
      </c>
      <c r="E2360" t="s">
        <v>7445</v>
      </c>
      <c r="F2360" t="s">
        <v>7446</v>
      </c>
      <c r="G2360" s="2" t="str">
        <f>HYPERLINK("https://probpalata.gov.ru/files/ИП380801452200000.jpeg","Скачать индивидуальный QR-код магазина")</f>
        <v>Скачать индивидуальный QR-код магазина</v>
      </c>
    </row>
    <row r="2361" spans="1:7" x14ac:dyDescent="0.25">
      <c r="A2361" t="s">
        <v>6892</v>
      </c>
      <c r="B2361" t="s">
        <v>7447</v>
      </c>
      <c r="C2361" t="s">
        <v>7448</v>
      </c>
      <c r="D2361" t="s">
        <v>7449</v>
      </c>
      <c r="E2361" t="s">
        <v>7450</v>
      </c>
      <c r="F2361" t="s">
        <v>7451</v>
      </c>
      <c r="G2361" s="2" t="str">
        <f>HYPERLINK("https://probpalata.gov.ru/files/ИП380801481900000.jpeg","Скачать индивидуальный QR-код магазина")</f>
        <v>Скачать индивидуальный QR-код магазина</v>
      </c>
    </row>
    <row r="2362" spans="1:7" x14ac:dyDescent="0.25">
      <c r="A2362" t="s">
        <v>6892</v>
      </c>
      <c r="B2362" t="s">
        <v>7452</v>
      </c>
      <c r="C2362" t="s">
        <v>7453</v>
      </c>
      <c r="D2362" t="s">
        <v>7454</v>
      </c>
      <c r="E2362" t="s">
        <v>7455</v>
      </c>
      <c r="F2362" t="s">
        <v>7456</v>
      </c>
      <c r="G2362" s="2" t="str">
        <f>HYPERLINK("https://probpalata.gov.ru/files/ЮЛ380801383300000.jpeg","Скачать индивидуальный QR-код магазина")</f>
        <v>Скачать индивидуальный QR-код магазина</v>
      </c>
    </row>
    <row r="2363" spans="1:7" x14ac:dyDescent="0.25">
      <c r="A2363" t="s">
        <v>6892</v>
      </c>
      <c r="B2363" t="s">
        <v>7457</v>
      </c>
      <c r="C2363" t="s">
        <v>7458</v>
      </c>
      <c r="D2363" t="s">
        <v>7459</v>
      </c>
      <c r="E2363" t="s">
        <v>7460</v>
      </c>
      <c r="F2363" t="s">
        <v>7461</v>
      </c>
      <c r="G2363" s="2" t="str">
        <f>HYPERLINK("https://probpalata.gov.ru/files/ИП380801497000000.jpeg","Скачать индивидуальный QR-код магазина")</f>
        <v>Скачать индивидуальный QR-код магазина</v>
      </c>
    </row>
    <row r="2364" spans="1:7" x14ac:dyDescent="0.25">
      <c r="A2364" t="s">
        <v>6892</v>
      </c>
      <c r="B2364" t="s">
        <v>7462</v>
      </c>
      <c r="C2364" t="s">
        <v>7463</v>
      </c>
      <c r="D2364" t="s">
        <v>7464</v>
      </c>
      <c r="E2364" t="s">
        <v>7465</v>
      </c>
      <c r="F2364" t="s">
        <v>7466</v>
      </c>
      <c r="G2364" s="2" t="str">
        <f>HYPERLINK("https://probpalata.gov.ru/files/ЮЛ380803492300000.jpeg","Скачать индивидуальный QR-код магазина")</f>
        <v>Скачать индивидуальный QR-код магазина</v>
      </c>
    </row>
    <row r="2365" spans="1:7" x14ac:dyDescent="0.25">
      <c r="A2365" t="s">
        <v>6892</v>
      </c>
      <c r="B2365" t="s">
        <v>7467</v>
      </c>
      <c r="C2365" t="s">
        <v>7468</v>
      </c>
      <c r="D2365" t="s">
        <v>7469</v>
      </c>
      <c r="E2365" t="s">
        <v>7470</v>
      </c>
      <c r="F2365" t="s">
        <v>7471</v>
      </c>
      <c r="G2365" s="2" t="str">
        <f>HYPERLINK("https://probpalata.gov.ru/files/ЮЛ380803852700000.jpeg","Скачать индивидуальный QR-код магазина")</f>
        <v>Скачать индивидуальный QR-код магазина</v>
      </c>
    </row>
    <row r="2366" spans="1:7" x14ac:dyDescent="0.25">
      <c r="A2366" t="s">
        <v>6892</v>
      </c>
      <c r="B2366" t="s">
        <v>7472</v>
      </c>
      <c r="C2366" t="s">
        <v>7473</v>
      </c>
      <c r="D2366" t="s">
        <v>7474</v>
      </c>
      <c r="E2366" t="s">
        <v>7475</v>
      </c>
      <c r="F2366" t="s">
        <v>7476</v>
      </c>
      <c r="G2366" s="2" t="str">
        <f>HYPERLINK("https://probpalata.gov.ru/files/ИП380800847800000.jpeg","Скачать индивидуальный QR-код магазина")</f>
        <v>Скачать индивидуальный QR-код магазина</v>
      </c>
    </row>
    <row r="2367" spans="1:7" x14ac:dyDescent="0.25">
      <c r="A2367" t="s">
        <v>6892</v>
      </c>
      <c r="B2367" t="s">
        <v>7477</v>
      </c>
      <c r="C2367" t="s">
        <v>7478</v>
      </c>
      <c r="D2367" t="s">
        <v>7479</v>
      </c>
      <c r="E2367" t="s">
        <v>7480</v>
      </c>
      <c r="F2367" t="s">
        <v>7481</v>
      </c>
      <c r="G2367" s="2" t="str">
        <f>HYPERLINK("https://probpalata.gov.ru/files/ЮЛ380800111300000.jpeg","Скачать индивидуальный QR-код магазина")</f>
        <v>Скачать индивидуальный QR-код магазина</v>
      </c>
    </row>
    <row r="2368" spans="1:7" x14ac:dyDescent="0.25">
      <c r="A2368" t="s">
        <v>6892</v>
      </c>
      <c r="B2368" t="s">
        <v>7482</v>
      </c>
      <c r="C2368" t="s">
        <v>7483</v>
      </c>
      <c r="D2368" t="s">
        <v>7484</v>
      </c>
      <c r="E2368" t="s">
        <v>7485</v>
      </c>
      <c r="F2368" t="s">
        <v>7486</v>
      </c>
      <c r="G2368" s="2" t="str">
        <f>HYPERLINK("https://probpalata.gov.ru/files/ИП380801379700000.jpeg","Скачать индивидуальный QR-код магазина")</f>
        <v>Скачать индивидуальный QR-код магазина</v>
      </c>
    </row>
    <row r="2369" spans="1:7" x14ac:dyDescent="0.25">
      <c r="A2369" t="s">
        <v>6892</v>
      </c>
      <c r="B2369" t="s">
        <v>7487</v>
      </c>
      <c r="C2369" t="s">
        <v>7488</v>
      </c>
      <c r="D2369" t="s">
        <v>7489</v>
      </c>
      <c r="E2369" t="s">
        <v>7490</v>
      </c>
      <c r="F2369" t="s">
        <v>7491</v>
      </c>
      <c r="G2369" s="2" t="str">
        <f>HYPERLINK("https://probpalata.gov.ru/files/ИП380800606800000.jpeg","Скачать индивидуальный QR-код магазина")</f>
        <v>Скачать индивидуальный QR-код магазина</v>
      </c>
    </row>
    <row r="2370" spans="1:7" x14ac:dyDescent="0.25">
      <c r="A2370" t="s">
        <v>6892</v>
      </c>
      <c r="B2370" t="s">
        <v>7492</v>
      </c>
      <c r="C2370" t="s">
        <v>7493</v>
      </c>
      <c r="D2370" t="s">
        <v>7494</v>
      </c>
      <c r="E2370" t="s">
        <v>7495</v>
      </c>
      <c r="F2370" t="s">
        <v>7496</v>
      </c>
      <c r="G2370" s="2" t="str">
        <f>HYPERLINK("https://probpalata.gov.ru/files/ИП380800149200000.jpeg","Скачать индивидуальный QR-код магазина")</f>
        <v>Скачать индивидуальный QR-код магазина</v>
      </c>
    </row>
    <row r="2371" spans="1:7" x14ac:dyDescent="0.25">
      <c r="A2371" t="s">
        <v>6892</v>
      </c>
      <c r="B2371" t="s">
        <v>7497</v>
      </c>
      <c r="C2371" t="s">
        <v>7498</v>
      </c>
      <c r="D2371" t="s">
        <v>7499</v>
      </c>
      <c r="E2371" t="s">
        <v>7500</v>
      </c>
      <c r="F2371" t="s">
        <v>7501</v>
      </c>
      <c r="G2371" s="2" t="str">
        <f>HYPERLINK("https://probpalata.gov.ru/files/ИП380800395700000.jpeg","Скачать индивидуальный QR-код магазина")</f>
        <v>Скачать индивидуальный QR-код магазина</v>
      </c>
    </row>
    <row r="2372" spans="1:7" x14ac:dyDescent="0.25">
      <c r="A2372" t="s">
        <v>6892</v>
      </c>
      <c r="B2372" t="s">
        <v>7502</v>
      </c>
      <c r="C2372" t="s">
        <v>7498</v>
      </c>
      <c r="D2372" t="s">
        <v>7499</v>
      </c>
      <c r="E2372" t="s">
        <v>7500</v>
      </c>
      <c r="F2372" t="s">
        <v>7503</v>
      </c>
      <c r="G2372" s="2" t="str">
        <f>HYPERLINK("https://probpalata.gov.ru/files/ИП380800395700001.jpeg","Скачать индивидуальный QR-код магазина")</f>
        <v>Скачать индивидуальный QR-код магазина</v>
      </c>
    </row>
    <row r="2373" spans="1:7" x14ac:dyDescent="0.25">
      <c r="A2373" t="s">
        <v>6892</v>
      </c>
      <c r="B2373" t="s">
        <v>7504</v>
      </c>
      <c r="C2373" t="s">
        <v>7498</v>
      </c>
      <c r="D2373" t="s">
        <v>7499</v>
      </c>
      <c r="E2373" t="s">
        <v>7500</v>
      </c>
      <c r="F2373" t="s">
        <v>7505</v>
      </c>
      <c r="G2373" s="2" t="str">
        <f>HYPERLINK("https://probpalata.gov.ru/files/ИП380800395700004.jpeg","Скачать индивидуальный QR-код магазина")</f>
        <v>Скачать индивидуальный QR-код магазина</v>
      </c>
    </row>
    <row r="2374" spans="1:7" x14ac:dyDescent="0.25">
      <c r="A2374" t="s">
        <v>6892</v>
      </c>
      <c r="B2374" t="s">
        <v>7506</v>
      </c>
      <c r="C2374" t="s">
        <v>7507</v>
      </c>
      <c r="D2374" t="s">
        <v>7508</v>
      </c>
      <c r="E2374" t="s">
        <v>7509</v>
      </c>
      <c r="F2374" t="s">
        <v>7510</v>
      </c>
      <c r="G2374" s="2" t="str">
        <f>HYPERLINK("https://probpalata.gov.ru/files/ИП380801300700001.jpeg","Скачать индивидуальный QR-код магазина")</f>
        <v>Скачать индивидуальный QR-код магазина</v>
      </c>
    </row>
    <row r="2375" spans="1:7" x14ac:dyDescent="0.25">
      <c r="A2375" t="s">
        <v>6892</v>
      </c>
      <c r="B2375" t="s">
        <v>7511</v>
      </c>
      <c r="C2375" t="s">
        <v>7512</v>
      </c>
      <c r="D2375" t="s">
        <v>7513</v>
      </c>
      <c r="E2375" t="s">
        <v>7514</v>
      </c>
      <c r="F2375" t="s">
        <v>7515</v>
      </c>
      <c r="G2375" s="2" t="str">
        <f>HYPERLINK("https://probpalata.gov.ru/files/ИП380803219000000.jpeg","Скачать индивидуальный QR-код магазина")</f>
        <v>Скачать индивидуальный QR-код магазина</v>
      </c>
    </row>
    <row r="2376" spans="1:7" x14ac:dyDescent="0.25">
      <c r="A2376" t="s">
        <v>6892</v>
      </c>
      <c r="B2376" t="s">
        <v>7516</v>
      </c>
      <c r="C2376" t="s">
        <v>7517</v>
      </c>
      <c r="D2376" t="s">
        <v>7518</v>
      </c>
      <c r="E2376" t="s">
        <v>7519</v>
      </c>
      <c r="F2376" t="s">
        <v>7520</v>
      </c>
      <c r="G2376" s="2" t="str">
        <f>HYPERLINK("https://probpalata.gov.ru/files/ИП380801516500000.jpeg","Скачать индивидуальный QR-код магазина")</f>
        <v>Скачать индивидуальный QR-код магазина</v>
      </c>
    </row>
    <row r="2377" spans="1:7" x14ac:dyDescent="0.25">
      <c r="A2377" t="s">
        <v>6892</v>
      </c>
      <c r="B2377" t="s">
        <v>7521</v>
      </c>
      <c r="C2377" t="s">
        <v>7517</v>
      </c>
      <c r="D2377" t="s">
        <v>7518</v>
      </c>
      <c r="E2377" t="s">
        <v>7519</v>
      </c>
      <c r="F2377" t="s">
        <v>7522</v>
      </c>
      <c r="G2377" s="2" t="str">
        <f>HYPERLINK("https://probpalata.gov.ru/files/ИП380801516500003.jpeg","Скачать индивидуальный QR-код магазина")</f>
        <v>Скачать индивидуальный QR-код магазина</v>
      </c>
    </row>
    <row r="2378" spans="1:7" x14ac:dyDescent="0.25">
      <c r="A2378" t="s">
        <v>6892</v>
      </c>
      <c r="B2378" t="s">
        <v>7523</v>
      </c>
      <c r="C2378" t="s">
        <v>7517</v>
      </c>
      <c r="D2378" t="s">
        <v>7518</v>
      </c>
      <c r="E2378" t="s">
        <v>7519</v>
      </c>
      <c r="F2378" t="s">
        <v>7524</v>
      </c>
      <c r="G2378" s="2" t="str">
        <f>HYPERLINK("https://probpalata.gov.ru/files/ИП380801516500004.jpeg","Скачать индивидуальный QR-код магазина")</f>
        <v>Скачать индивидуальный QR-код магазина</v>
      </c>
    </row>
    <row r="2379" spans="1:7" x14ac:dyDescent="0.25">
      <c r="A2379" t="s">
        <v>6892</v>
      </c>
      <c r="B2379" t="s">
        <v>7525</v>
      </c>
      <c r="C2379" t="s">
        <v>7526</v>
      </c>
      <c r="D2379" t="s">
        <v>7527</v>
      </c>
      <c r="E2379" t="s">
        <v>7528</v>
      </c>
      <c r="F2379" t="s">
        <v>7529</v>
      </c>
      <c r="G2379" s="2" t="str">
        <f>HYPERLINK("https://probpalata.gov.ru/files/ИП380800700700000.jpeg","Скачать индивидуальный QR-код магазина")</f>
        <v>Скачать индивидуальный QR-код магазина</v>
      </c>
    </row>
    <row r="2380" spans="1:7" x14ac:dyDescent="0.25">
      <c r="A2380" t="s">
        <v>6892</v>
      </c>
      <c r="B2380" t="s">
        <v>7530</v>
      </c>
      <c r="C2380" t="s">
        <v>7531</v>
      </c>
      <c r="D2380" t="s">
        <v>7532</v>
      </c>
      <c r="E2380" t="s">
        <v>7533</v>
      </c>
      <c r="F2380" t="s">
        <v>7534</v>
      </c>
      <c r="G2380" s="2" t="str">
        <f>HYPERLINK("https://probpalata.gov.ru/files/ИП380800578200000.jpeg","Скачать индивидуальный QR-код магазина")</f>
        <v>Скачать индивидуальный QR-код магазина</v>
      </c>
    </row>
    <row r="2381" spans="1:7" x14ac:dyDescent="0.25">
      <c r="A2381" t="s">
        <v>6892</v>
      </c>
      <c r="B2381" t="s">
        <v>7535</v>
      </c>
      <c r="C2381" t="s">
        <v>7531</v>
      </c>
      <c r="D2381" t="s">
        <v>7532</v>
      </c>
      <c r="E2381" t="s">
        <v>7533</v>
      </c>
      <c r="F2381" t="s">
        <v>7536</v>
      </c>
      <c r="G2381" s="2" t="str">
        <f>HYPERLINK("https://probpalata.gov.ru/files/ИП380800578200001.jpeg","Скачать индивидуальный QR-код магазина")</f>
        <v>Скачать индивидуальный QR-код магазина</v>
      </c>
    </row>
    <row r="2382" spans="1:7" x14ac:dyDescent="0.25">
      <c r="A2382" t="s">
        <v>6892</v>
      </c>
      <c r="B2382" t="s">
        <v>7537</v>
      </c>
      <c r="C2382" t="s">
        <v>7531</v>
      </c>
      <c r="D2382" t="s">
        <v>7532</v>
      </c>
      <c r="E2382" t="s">
        <v>7533</v>
      </c>
      <c r="F2382" t="s">
        <v>7538</v>
      </c>
      <c r="G2382" s="2" t="str">
        <f>HYPERLINK("https://probpalata.gov.ru/files/ИП380800578200003.jpeg","Скачать индивидуальный QR-код магазина")</f>
        <v>Скачать индивидуальный QR-код магазина</v>
      </c>
    </row>
    <row r="2383" spans="1:7" x14ac:dyDescent="0.25">
      <c r="A2383" t="s">
        <v>6892</v>
      </c>
      <c r="B2383" t="s">
        <v>7539</v>
      </c>
      <c r="C2383" t="s">
        <v>7531</v>
      </c>
      <c r="D2383" t="s">
        <v>7532</v>
      </c>
      <c r="E2383" t="s">
        <v>7533</v>
      </c>
      <c r="F2383" t="s">
        <v>7540</v>
      </c>
      <c r="G2383" s="2" t="str">
        <f>HYPERLINK("https://probpalata.gov.ru/files/ИП380800578200004.jpeg","Скачать индивидуальный QR-код магазина")</f>
        <v>Скачать индивидуальный QR-код магазина</v>
      </c>
    </row>
    <row r="2384" spans="1:7" x14ac:dyDescent="0.25">
      <c r="A2384" t="s">
        <v>6892</v>
      </c>
      <c r="B2384" t="s">
        <v>7541</v>
      </c>
      <c r="C2384" t="s">
        <v>7531</v>
      </c>
      <c r="D2384" t="s">
        <v>7532</v>
      </c>
      <c r="E2384" t="s">
        <v>7533</v>
      </c>
      <c r="F2384" t="s">
        <v>7542</v>
      </c>
      <c r="G2384" s="2" t="str">
        <f>HYPERLINK("https://probpalata.gov.ru/files/ИП380800578200006.jpeg","Скачать индивидуальный QR-код магазина")</f>
        <v>Скачать индивидуальный QR-код магазина</v>
      </c>
    </row>
    <row r="2385" spans="1:7" x14ac:dyDescent="0.25">
      <c r="A2385" t="s">
        <v>6892</v>
      </c>
      <c r="B2385" t="s">
        <v>7543</v>
      </c>
      <c r="C2385" t="s">
        <v>7544</v>
      </c>
      <c r="D2385" t="s">
        <v>7545</v>
      </c>
      <c r="E2385" t="s">
        <v>7546</v>
      </c>
      <c r="F2385" t="s">
        <v>7547</v>
      </c>
      <c r="G2385" s="2" t="str">
        <f>HYPERLINK("https://probpalata.gov.ru/files/ИП380800843700000.jpeg","Скачать индивидуальный QR-код магазина")</f>
        <v>Скачать индивидуальный QR-код магазина</v>
      </c>
    </row>
    <row r="2386" spans="1:7" x14ac:dyDescent="0.25">
      <c r="A2386" t="s">
        <v>6892</v>
      </c>
      <c r="B2386" t="s">
        <v>7548</v>
      </c>
      <c r="C2386" t="s">
        <v>7549</v>
      </c>
      <c r="D2386" t="s">
        <v>7550</v>
      </c>
      <c r="E2386" t="s">
        <v>7551</v>
      </c>
      <c r="F2386" t="s">
        <v>7552</v>
      </c>
      <c r="G2386" s="2" t="str">
        <f>HYPERLINK("https://probpalata.gov.ru/files/ИП030900498200000.jpeg","Скачать индивидуальный QR-код магазина")</f>
        <v>Скачать индивидуальный QR-код магазина</v>
      </c>
    </row>
    <row r="2387" spans="1:7" x14ac:dyDescent="0.25">
      <c r="A2387" t="s">
        <v>6892</v>
      </c>
      <c r="B2387" t="s">
        <v>7553</v>
      </c>
      <c r="C2387" t="s">
        <v>7549</v>
      </c>
      <c r="D2387" t="s">
        <v>7550</v>
      </c>
      <c r="E2387" t="s">
        <v>7551</v>
      </c>
      <c r="F2387" t="s">
        <v>7554</v>
      </c>
      <c r="G2387" s="2" t="str">
        <f>HYPERLINK("https://probpalata.gov.ru/files/ИП030900498200002.jpeg","Скачать индивидуальный QR-код магазина")</f>
        <v>Скачать индивидуальный QR-код магазина</v>
      </c>
    </row>
    <row r="2388" spans="1:7" x14ac:dyDescent="0.25">
      <c r="A2388" t="s">
        <v>6892</v>
      </c>
      <c r="B2388" t="s">
        <v>7555</v>
      </c>
      <c r="C2388" t="s">
        <v>7549</v>
      </c>
      <c r="D2388" t="s">
        <v>7550</v>
      </c>
      <c r="E2388" t="s">
        <v>7551</v>
      </c>
      <c r="F2388" t="s">
        <v>7556</v>
      </c>
      <c r="G2388" s="2" t="str">
        <f>HYPERLINK("https://probpalata.gov.ru/files/ИП030900498200003.jpeg","Скачать индивидуальный QR-код магазина")</f>
        <v>Скачать индивидуальный QR-код магазина</v>
      </c>
    </row>
    <row r="2389" spans="1:7" x14ac:dyDescent="0.25">
      <c r="A2389" t="s">
        <v>6892</v>
      </c>
      <c r="B2389" t="s">
        <v>7557</v>
      </c>
      <c r="C2389" t="s">
        <v>7549</v>
      </c>
      <c r="D2389" t="s">
        <v>7550</v>
      </c>
      <c r="E2389" t="s">
        <v>7551</v>
      </c>
      <c r="F2389" t="s">
        <v>7558</v>
      </c>
      <c r="G2389" s="2" t="str">
        <f>HYPERLINK("https://probpalata.gov.ru/files/ИП030900498200006.jpeg","Скачать индивидуальный QR-код магазина")</f>
        <v>Скачать индивидуальный QR-код магазина</v>
      </c>
    </row>
    <row r="2390" spans="1:7" x14ac:dyDescent="0.25">
      <c r="A2390" t="s">
        <v>6892</v>
      </c>
      <c r="B2390" t="s">
        <v>7559</v>
      </c>
      <c r="C2390" t="s">
        <v>660</v>
      </c>
      <c r="D2390" t="s">
        <v>661</v>
      </c>
      <c r="E2390" t="s">
        <v>662</v>
      </c>
      <c r="F2390" t="s">
        <v>7560</v>
      </c>
      <c r="G2390" s="2" t="str">
        <f>HYPERLINK("https://probpalata.gov.ru/files/ИП380801916600000.jpeg","Скачать индивидуальный QR-код магазина")</f>
        <v>Скачать индивидуальный QR-код магазина</v>
      </c>
    </row>
    <row r="2391" spans="1:7" x14ac:dyDescent="0.25">
      <c r="A2391" t="s">
        <v>6892</v>
      </c>
      <c r="B2391" t="s">
        <v>7561</v>
      </c>
      <c r="C2391" t="s">
        <v>660</v>
      </c>
      <c r="D2391" t="s">
        <v>661</v>
      </c>
      <c r="E2391" t="s">
        <v>662</v>
      </c>
      <c r="F2391" t="s">
        <v>7562</v>
      </c>
      <c r="G2391" s="2" t="str">
        <f>HYPERLINK("https://probpalata.gov.ru/files/ИП380801916600001.jpeg","Скачать индивидуальный QR-код магазина")</f>
        <v>Скачать индивидуальный QR-код магазина</v>
      </c>
    </row>
    <row r="2392" spans="1:7" x14ac:dyDescent="0.25">
      <c r="A2392" t="s">
        <v>6892</v>
      </c>
      <c r="B2392" t="s">
        <v>7563</v>
      </c>
      <c r="C2392" t="s">
        <v>7564</v>
      </c>
      <c r="D2392" t="s">
        <v>7565</v>
      </c>
      <c r="E2392" t="s">
        <v>7566</v>
      </c>
      <c r="F2392" t="s">
        <v>7567</v>
      </c>
      <c r="G2392" s="2" t="str">
        <f>HYPERLINK("https://probpalata.gov.ru/files/ИП380801356600000.jpeg","Скачать индивидуальный QR-код магазина")</f>
        <v>Скачать индивидуальный QR-код магазина</v>
      </c>
    </row>
    <row r="2393" spans="1:7" x14ac:dyDescent="0.25">
      <c r="A2393" t="s">
        <v>6892</v>
      </c>
      <c r="B2393" t="s">
        <v>7568</v>
      </c>
      <c r="C2393" t="s">
        <v>7564</v>
      </c>
      <c r="D2393" t="s">
        <v>7565</v>
      </c>
      <c r="E2393" t="s">
        <v>7566</v>
      </c>
      <c r="F2393" t="s">
        <v>7569</v>
      </c>
      <c r="G2393" s="2" t="str">
        <f>HYPERLINK("https://probpalata.gov.ru/files/ИП380801356600001.jpeg","Скачать индивидуальный QR-код магазина")</f>
        <v>Скачать индивидуальный QR-код магазина</v>
      </c>
    </row>
    <row r="2394" spans="1:7" x14ac:dyDescent="0.25">
      <c r="A2394" t="s">
        <v>6892</v>
      </c>
      <c r="B2394" t="s">
        <v>7570</v>
      </c>
      <c r="C2394" t="s">
        <v>7571</v>
      </c>
      <c r="D2394" t="s">
        <v>7572</v>
      </c>
      <c r="E2394" t="s">
        <v>7573</v>
      </c>
      <c r="F2394" t="s">
        <v>7574</v>
      </c>
      <c r="G2394" s="2" t="str">
        <f>HYPERLINK("https://probpalata.gov.ru/files/ЮЛ380800266200000.jpeg","Скачать индивидуальный QR-код магазина")</f>
        <v>Скачать индивидуальный QR-код магазина</v>
      </c>
    </row>
    <row r="2395" spans="1:7" x14ac:dyDescent="0.25">
      <c r="A2395" t="s">
        <v>6892</v>
      </c>
      <c r="B2395" t="s">
        <v>7575</v>
      </c>
      <c r="C2395" t="s">
        <v>7576</v>
      </c>
      <c r="D2395" t="s">
        <v>7577</v>
      </c>
      <c r="E2395" t="s">
        <v>7578</v>
      </c>
      <c r="F2395" t="s">
        <v>7579</v>
      </c>
      <c r="G2395" s="2" t="str">
        <f>HYPERLINK("https://probpalata.gov.ru/files/ЮЛ380801517000000.jpeg","Скачать индивидуальный QR-код магазина")</f>
        <v>Скачать индивидуальный QR-код магазина</v>
      </c>
    </row>
    <row r="2396" spans="1:7" x14ac:dyDescent="0.25">
      <c r="A2396" t="s">
        <v>6892</v>
      </c>
      <c r="B2396" t="s">
        <v>7580</v>
      </c>
      <c r="C2396" t="s">
        <v>7581</v>
      </c>
      <c r="D2396" t="s">
        <v>7582</v>
      </c>
      <c r="E2396" t="s">
        <v>7583</v>
      </c>
      <c r="F2396" t="s">
        <v>7584</v>
      </c>
      <c r="G2396" s="2" t="str">
        <f>HYPERLINK("https://probpalata.gov.ru/files/ИП380800056200000.jpeg","Скачать индивидуальный QR-код магазина")</f>
        <v>Скачать индивидуальный QR-код магазина</v>
      </c>
    </row>
    <row r="2397" spans="1:7" x14ac:dyDescent="0.25">
      <c r="A2397" t="s">
        <v>6892</v>
      </c>
      <c r="B2397" t="s">
        <v>7585</v>
      </c>
      <c r="C2397" t="s">
        <v>7586</v>
      </c>
      <c r="D2397" t="s">
        <v>7587</v>
      </c>
      <c r="E2397" t="s">
        <v>7588</v>
      </c>
      <c r="F2397" t="s">
        <v>7589</v>
      </c>
      <c r="G2397" s="2" t="str">
        <f>HYPERLINK("https://probpalata.gov.ru/files/ИП380804102800000.jpeg","Скачать индивидуальный QR-код магазина")</f>
        <v>Скачать индивидуальный QR-код магазина</v>
      </c>
    </row>
    <row r="2398" spans="1:7" x14ac:dyDescent="0.25">
      <c r="A2398" t="s">
        <v>6892</v>
      </c>
      <c r="B2398" t="s">
        <v>7590</v>
      </c>
      <c r="C2398" t="s">
        <v>7591</v>
      </c>
      <c r="D2398" t="s">
        <v>7592</v>
      </c>
      <c r="E2398" t="s">
        <v>7593</v>
      </c>
      <c r="F2398" t="s">
        <v>7594</v>
      </c>
      <c r="G2398" s="2" t="str">
        <f>HYPERLINK("https://probpalata.gov.ru/files/ИП380801594900000.jpeg","Скачать индивидуальный QR-код магазина")</f>
        <v>Скачать индивидуальный QR-код магазина</v>
      </c>
    </row>
    <row r="2399" spans="1:7" x14ac:dyDescent="0.25">
      <c r="A2399" t="s">
        <v>6892</v>
      </c>
      <c r="B2399" t="s">
        <v>7595</v>
      </c>
      <c r="C2399" t="s">
        <v>7591</v>
      </c>
      <c r="D2399" t="s">
        <v>7592</v>
      </c>
      <c r="E2399" t="s">
        <v>7593</v>
      </c>
      <c r="F2399" t="s">
        <v>7596</v>
      </c>
      <c r="G2399" s="2" t="str">
        <f>HYPERLINK("https://probpalata.gov.ru/files/ИП380801594900006.jpeg","Скачать индивидуальный QR-код магазина")</f>
        <v>Скачать индивидуальный QR-код магазина</v>
      </c>
    </row>
    <row r="2400" spans="1:7" x14ac:dyDescent="0.25">
      <c r="A2400" t="s">
        <v>6892</v>
      </c>
      <c r="B2400" t="s">
        <v>7597</v>
      </c>
      <c r="C2400" t="s">
        <v>7598</v>
      </c>
      <c r="D2400" t="s">
        <v>7599</v>
      </c>
      <c r="E2400" t="s">
        <v>7600</v>
      </c>
      <c r="F2400" t="s">
        <v>7601</v>
      </c>
      <c r="G2400" s="2" t="str">
        <f>HYPERLINK("https://probpalata.gov.ru/files/ИП380800010700000.jpeg","Скачать индивидуальный QR-код магазина")</f>
        <v>Скачать индивидуальный QR-код магазина</v>
      </c>
    </row>
    <row r="2401" spans="1:7" x14ac:dyDescent="0.25">
      <c r="A2401" t="s">
        <v>6892</v>
      </c>
      <c r="B2401" t="s">
        <v>7602</v>
      </c>
      <c r="C2401" t="s">
        <v>7603</v>
      </c>
      <c r="D2401" t="s">
        <v>7604</v>
      </c>
      <c r="E2401" t="s">
        <v>7605</v>
      </c>
      <c r="F2401" t="s">
        <v>7606</v>
      </c>
      <c r="G2401" s="2" t="str">
        <f>HYPERLINK("https://probpalata.gov.ru/files/ИП380803636700000.jpeg","Скачать индивидуальный QR-код магазина")</f>
        <v>Скачать индивидуальный QR-код магазина</v>
      </c>
    </row>
    <row r="2402" spans="1:7" x14ac:dyDescent="0.25">
      <c r="A2402" t="s">
        <v>6892</v>
      </c>
      <c r="B2402" t="s">
        <v>7607</v>
      </c>
      <c r="C2402" t="s">
        <v>7608</v>
      </c>
      <c r="D2402" t="s">
        <v>7609</v>
      </c>
      <c r="E2402" t="s">
        <v>7610</v>
      </c>
      <c r="F2402" t="s">
        <v>7611</v>
      </c>
      <c r="G2402" s="2" t="str">
        <f>HYPERLINK("https://probpalata.gov.ru/files/ИП380800578800000.jpeg","Скачать индивидуальный QR-код магазина")</f>
        <v>Скачать индивидуальный QR-код магазина</v>
      </c>
    </row>
    <row r="2403" spans="1:7" x14ac:dyDescent="0.25">
      <c r="A2403" t="s">
        <v>6892</v>
      </c>
      <c r="B2403" t="s">
        <v>7612</v>
      </c>
      <c r="C2403" t="s">
        <v>7608</v>
      </c>
      <c r="D2403" t="s">
        <v>7609</v>
      </c>
      <c r="E2403" t="s">
        <v>7610</v>
      </c>
      <c r="F2403" t="s">
        <v>7613</v>
      </c>
      <c r="G2403" s="2" t="str">
        <f>HYPERLINK("https://probpalata.gov.ru/files/ИП380800578800001.jpeg","Скачать индивидуальный QR-код магазина")</f>
        <v>Скачать индивидуальный QR-код магазина</v>
      </c>
    </row>
    <row r="2404" spans="1:7" x14ac:dyDescent="0.25">
      <c r="A2404" t="s">
        <v>6892</v>
      </c>
      <c r="B2404" t="s">
        <v>7614</v>
      </c>
      <c r="C2404" t="s">
        <v>7615</v>
      </c>
      <c r="D2404" t="s">
        <v>7616</v>
      </c>
      <c r="E2404" t="s">
        <v>7617</v>
      </c>
      <c r="F2404" t="s">
        <v>7618</v>
      </c>
      <c r="G2404" s="2" t="str">
        <f>HYPERLINK("https://probpalata.gov.ru/files/ИП380801367000000.jpeg","Скачать индивидуальный QR-код магазина")</f>
        <v>Скачать индивидуальный QR-код магазина</v>
      </c>
    </row>
    <row r="2405" spans="1:7" x14ac:dyDescent="0.25">
      <c r="A2405" t="s">
        <v>6892</v>
      </c>
      <c r="B2405" t="s">
        <v>7619</v>
      </c>
      <c r="C2405" t="s">
        <v>7620</v>
      </c>
      <c r="D2405" t="s">
        <v>7621</v>
      </c>
      <c r="E2405" t="s">
        <v>7622</v>
      </c>
      <c r="F2405" t="s">
        <v>7623</v>
      </c>
      <c r="G2405" s="2" t="str">
        <f>HYPERLINK("https://probpalata.gov.ru/files/ИП380801598700000.jpeg","Скачать индивидуальный QR-код магазина")</f>
        <v>Скачать индивидуальный QR-код магазина</v>
      </c>
    </row>
    <row r="2406" spans="1:7" x14ac:dyDescent="0.25">
      <c r="A2406" t="s">
        <v>6892</v>
      </c>
      <c r="B2406" t="s">
        <v>7624</v>
      </c>
      <c r="C2406" t="s">
        <v>7625</v>
      </c>
      <c r="D2406" t="s">
        <v>7626</v>
      </c>
      <c r="E2406" t="s">
        <v>7627</v>
      </c>
      <c r="F2406" t="s">
        <v>7628</v>
      </c>
      <c r="G2406" s="2" t="str">
        <f>HYPERLINK("https://probpalata.gov.ru/files/ИП380801388100000.jpeg","Скачать индивидуальный QR-код магазина")</f>
        <v>Скачать индивидуальный QR-код магазина</v>
      </c>
    </row>
    <row r="2407" spans="1:7" x14ac:dyDescent="0.25">
      <c r="A2407" t="s">
        <v>6892</v>
      </c>
      <c r="B2407" t="s">
        <v>7492</v>
      </c>
      <c r="C2407" t="s">
        <v>7629</v>
      </c>
      <c r="D2407" t="s">
        <v>7630</v>
      </c>
      <c r="E2407" t="s">
        <v>7631</v>
      </c>
      <c r="F2407" t="s">
        <v>7632</v>
      </c>
      <c r="G2407" s="2" t="str">
        <f>HYPERLINK("https://probpalata.gov.ru/files/ЮЛ380800074700001.jpeg","Скачать индивидуальный QR-код магазина")</f>
        <v>Скачать индивидуальный QR-код магазина</v>
      </c>
    </row>
    <row r="2408" spans="1:7" x14ac:dyDescent="0.25">
      <c r="A2408" t="s">
        <v>6892</v>
      </c>
      <c r="B2408" t="s">
        <v>6893</v>
      </c>
      <c r="C2408" t="s">
        <v>7629</v>
      </c>
      <c r="D2408" t="s">
        <v>7630</v>
      </c>
      <c r="E2408" t="s">
        <v>7631</v>
      </c>
      <c r="F2408" t="s">
        <v>7633</v>
      </c>
      <c r="G2408" s="2" t="str">
        <f>HYPERLINK("https://probpalata.gov.ru/files/ЮЛ380800074700002.jpeg","Скачать индивидуальный QR-код магазина")</f>
        <v>Скачать индивидуальный QR-код магазина</v>
      </c>
    </row>
    <row r="2409" spans="1:7" x14ac:dyDescent="0.25">
      <c r="A2409" t="s">
        <v>6892</v>
      </c>
      <c r="B2409" t="s">
        <v>7634</v>
      </c>
      <c r="C2409" t="s">
        <v>7635</v>
      </c>
      <c r="D2409" t="s">
        <v>7636</v>
      </c>
      <c r="E2409" t="s">
        <v>7637</v>
      </c>
      <c r="F2409" t="s">
        <v>7638</v>
      </c>
      <c r="G2409" s="2" t="str">
        <f>HYPERLINK("https://probpalata.gov.ru/files/ЮЛ380800844900000.jpeg","Скачать индивидуальный QR-код магазина")</f>
        <v>Скачать индивидуальный QR-код магазина</v>
      </c>
    </row>
    <row r="2410" spans="1:7" x14ac:dyDescent="0.25">
      <c r="A2410" t="s">
        <v>6892</v>
      </c>
      <c r="B2410" t="s">
        <v>7639</v>
      </c>
      <c r="C2410" t="s">
        <v>7635</v>
      </c>
      <c r="D2410" t="s">
        <v>7636</v>
      </c>
      <c r="E2410" t="s">
        <v>7637</v>
      </c>
      <c r="F2410" t="s">
        <v>7640</v>
      </c>
      <c r="G2410" s="2" t="str">
        <f>HYPERLINK("https://probpalata.gov.ru/files/ЮЛ380800844900002.jpeg","Скачать индивидуальный QR-код магазина")</f>
        <v>Скачать индивидуальный QR-код магазина</v>
      </c>
    </row>
    <row r="2411" spans="1:7" x14ac:dyDescent="0.25">
      <c r="A2411" t="s">
        <v>6892</v>
      </c>
      <c r="B2411" t="s">
        <v>7641</v>
      </c>
      <c r="C2411" t="s">
        <v>3761</v>
      </c>
      <c r="D2411" t="s">
        <v>3762</v>
      </c>
      <c r="E2411" t="s">
        <v>3763</v>
      </c>
      <c r="F2411" t="s">
        <v>7642</v>
      </c>
      <c r="G2411" s="2" t="str">
        <f>HYPERLINK("https://probpalata.gov.ru/files/ЮЛ470300219500010.jpeg","Скачать индивидуальный QR-код магазина")</f>
        <v>Скачать индивидуальный QR-код магазина</v>
      </c>
    </row>
    <row r="2412" spans="1:7" x14ac:dyDescent="0.25">
      <c r="A2412" t="s">
        <v>6892</v>
      </c>
      <c r="B2412" t="s">
        <v>7643</v>
      </c>
      <c r="C2412" t="s">
        <v>671</v>
      </c>
      <c r="D2412" t="s">
        <v>672</v>
      </c>
      <c r="E2412" t="s">
        <v>673</v>
      </c>
      <c r="F2412" t="s">
        <v>7644</v>
      </c>
      <c r="G2412" s="2" t="str">
        <f>HYPERLINK("https://probpalata.gov.ru/files/ИП500100445500019.jpeg","Скачать индивидуальный QR-код магазина")</f>
        <v>Скачать индивидуальный QR-код магазина</v>
      </c>
    </row>
    <row r="2413" spans="1:7" x14ac:dyDescent="0.25">
      <c r="A2413" t="s">
        <v>6892</v>
      </c>
      <c r="B2413" t="s">
        <v>6893</v>
      </c>
      <c r="C2413" t="s">
        <v>671</v>
      </c>
      <c r="D2413" t="s">
        <v>672</v>
      </c>
      <c r="E2413" t="s">
        <v>673</v>
      </c>
      <c r="F2413" t="s">
        <v>7645</v>
      </c>
      <c r="G2413" s="2" t="str">
        <f>HYPERLINK("https://probpalata.gov.ru/files/ИП500100445500044.jpeg","Скачать индивидуальный QR-код магазина")</f>
        <v>Скачать индивидуальный QR-код магазина</v>
      </c>
    </row>
    <row r="2414" spans="1:7" x14ac:dyDescent="0.25">
      <c r="A2414" t="s">
        <v>6892</v>
      </c>
      <c r="B2414" t="s">
        <v>7646</v>
      </c>
      <c r="C2414" t="s">
        <v>671</v>
      </c>
      <c r="D2414" t="s">
        <v>672</v>
      </c>
      <c r="E2414" t="s">
        <v>673</v>
      </c>
      <c r="F2414" t="s">
        <v>7647</v>
      </c>
      <c r="G2414" s="2" t="str">
        <f>HYPERLINK("https://probpalata.gov.ru/files/ИП500100445500117.jpeg","Скачать индивидуальный QR-код магазина")</f>
        <v>Скачать индивидуальный QR-код магазина</v>
      </c>
    </row>
    <row r="2415" spans="1:7" x14ac:dyDescent="0.25">
      <c r="A2415" t="s">
        <v>6892</v>
      </c>
      <c r="B2415" t="s">
        <v>7648</v>
      </c>
      <c r="C2415" t="s">
        <v>1735</v>
      </c>
      <c r="D2415" t="s">
        <v>1736</v>
      </c>
      <c r="E2415" t="s">
        <v>1737</v>
      </c>
      <c r="F2415" t="s">
        <v>7649</v>
      </c>
      <c r="G2415" s="2" t="str">
        <f>HYPERLINK("https://probpalata.gov.ru/files/ЮЛ520603376600034.jpeg","Скачать индивидуальный QR-код магазина")</f>
        <v>Скачать индивидуальный QR-код магазина</v>
      </c>
    </row>
    <row r="2416" spans="1:7" x14ac:dyDescent="0.25">
      <c r="A2416" t="s">
        <v>6892</v>
      </c>
      <c r="B2416" t="s">
        <v>7650</v>
      </c>
      <c r="C2416" t="s">
        <v>6039</v>
      </c>
      <c r="D2416" t="s">
        <v>6040</v>
      </c>
      <c r="E2416" t="s">
        <v>6041</v>
      </c>
      <c r="F2416" t="s">
        <v>7651</v>
      </c>
      <c r="G2416" s="2" t="str">
        <f>HYPERLINK("https://probpalata.gov.ru/files/ИП770101425100000.jpeg","Скачать индивидуальный QR-код магазина")</f>
        <v>Скачать индивидуальный QR-код магазина</v>
      </c>
    </row>
    <row r="2417" spans="1:7" x14ac:dyDescent="0.25">
      <c r="A2417" t="s">
        <v>6892</v>
      </c>
      <c r="B2417" t="s">
        <v>7206</v>
      </c>
      <c r="C2417" t="s">
        <v>6039</v>
      </c>
      <c r="D2417" t="s">
        <v>6040</v>
      </c>
      <c r="E2417" t="s">
        <v>6041</v>
      </c>
      <c r="F2417" t="s">
        <v>7652</v>
      </c>
      <c r="G2417" s="2" t="str">
        <f>HYPERLINK("https://probpalata.gov.ru/files/ИП770101425100010.jpeg","Скачать индивидуальный QR-код магазина")</f>
        <v>Скачать индивидуальный QR-код магазина</v>
      </c>
    </row>
    <row r="2418" spans="1:7" x14ac:dyDescent="0.25">
      <c r="A2418" t="s">
        <v>6892</v>
      </c>
      <c r="B2418" t="s">
        <v>7653</v>
      </c>
      <c r="C2418" t="s">
        <v>6039</v>
      </c>
      <c r="D2418" t="s">
        <v>6040</v>
      </c>
      <c r="E2418" t="s">
        <v>6041</v>
      </c>
      <c r="F2418" t="s">
        <v>7654</v>
      </c>
      <c r="G2418" s="2" t="str">
        <f>HYPERLINK("https://probpalata.gov.ru/files/ИП770101425100018.jpeg","Скачать индивидуальный QR-код магазина")</f>
        <v>Скачать индивидуальный QR-код магазина</v>
      </c>
    </row>
    <row r="2419" spans="1:7" x14ac:dyDescent="0.25">
      <c r="A2419" t="s">
        <v>6892</v>
      </c>
      <c r="B2419" t="s">
        <v>7655</v>
      </c>
      <c r="C2419" t="s">
        <v>6039</v>
      </c>
      <c r="D2419" t="s">
        <v>6040</v>
      </c>
      <c r="E2419" t="s">
        <v>6041</v>
      </c>
      <c r="F2419" t="s">
        <v>7656</v>
      </c>
      <c r="G2419" s="2" t="str">
        <f>HYPERLINK("https://probpalata.gov.ru/files/ИП770101425100025.jpeg","Скачать индивидуальный QR-код магазина")</f>
        <v>Скачать индивидуальный QR-код магазина</v>
      </c>
    </row>
    <row r="2420" spans="1:7" x14ac:dyDescent="0.25">
      <c r="A2420" t="s">
        <v>6892</v>
      </c>
      <c r="B2420" t="s">
        <v>7089</v>
      </c>
      <c r="C2420" t="s">
        <v>6039</v>
      </c>
      <c r="D2420" t="s">
        <v>6040</v>
      </c>
      <c r="E2420" t="s">
        <v>6041</v>
      </c>
      <c r="F2420" t="s">
        <v>7657</v>
      </c>
      <c r="G2420" s="2" t="str">
        <f>HYPERLINK("https://probpalata.gov.ru/files/ИП770101425100027.jpeg","Скачать индивидуальный QR-код магазина")</f>
        <v>Скачать индивидуальный QR-код магазина</v>
      </c>
    </row>
    <row r="2421" spans="1:7" x14ac:dyDescent="0.25">
      <c r="A2421" t="s">
        <v>6892</v>
      </c>
      <c r="B2421" t="s">
        <v>7658</v>
      </c>
      <c r="C2421" t="s">
        <v>6039</v>
      </c>
      <c r="D2421" t="s">
        <v>6040</v>
      </c>
      <c r="E2421" t="s">
        <v>6041</v>
      </c>
      <c r="F2421" t="s">
        <v>7659</v>
      </c>
      <c r="G2421" s="2" t="str">
        <f>HYPERLINK("https://probpalata.gov.ru/files/ИП770101425100037.jpeg","Скачать индивидуальный QR-код магазина")</f>
        <v>Скачать индивидуальный QR-код магазина</v>
      </c>
    </row>
    <row r="2422" spans="1:7" x14ac:dyDescent="0.25">
      <c r="A2422" t="s">
        <v>6892</v>
      </c>
      <c r="B2422" t="s">
        <v>7660</v>
      </c>
      <c r="C2422" t="s">
        <v>7661</v>
      </c>
      <c r="D2422" t="s">
        <v>7662</v>
      </c>
      <c r="E2422" t="s">
        <v>7663</v>
      </c>
      <c r="F2422" t="s">
        <v>7664</v>
      </c>
      <c r="G2422" s="2" t="str">
        <f>HYPERLINK("https://probpalata.gov.ru/files/ИП380800783600000.jpeg","Скачать индивидуальный QR-код магазина")</f>
        <v>Скачать индивидуальный QR-код магазина</v>
      </c>
    </row>
    <row r="2423" spans="1:7" x14ac:dyDescent="0.25">
      <c r="A2423" t="s">
        <v>6892</v>
      </c>
      <c r="B2423" t="s">
        <v>7665</v>
      </c>
      <c r="C2423" t="s">
        <v>7661</v>
      </c>
      <c r="D2423" t="s">
        <v>7662</v>
      </c>
      <c r="E2423" t="s">
        <v>7663</v>
      </c>
      <c r="F2423" t="s">
        <v>7666</v>
      </c>
      <c r="G2423" s="2" t="str">
        <f>HYPERLINK("https://probpalata.gov.ru/files/ИП380800783600002.jpeg","Скачать индивидуальный QR-код магазина")</f>
        <v>Скачать индивидуальный QR-код магазина</v>
      </c>
    </row>
    <row r="2424" spans="1:7" x14ac:dyDescent="0.25">
      <c r="A2424" t="s">
        <v>6892</v>
      </c>
      <c r="B2424" t="s">
        <v>7667</v>
      </c>
      <c r="C2424" t="s">
        <v>7668</v>
      </c>
      <c r="D2424" t="s">
        <v>7669</v>
      </c>
      <c r="E2424" t="s">
        <v>7670</v>
      </c>
      <c r="F2424" t="s">
        <v>7671</v>
      </c>
      <c r="G2424" s="2" t="str">
        <f>HYPERLINK("https://probpalata.gov.ru/files/ИП000801254400000.jpeg","Скачать индивидуальный QR-код магазина")</f>
        <v>Скачать индивидуальный QR-код магазина</v>
      </c>
    </row>
    <row r="2425" spans="1:7" x14ac:dyDescent="0.25">
      <c r="A2425" t="s">
        <v>6892</v>
      </c>
      <c r="B2425" t="s">
        <v>7672</v>
      </c>
      <c r="C2425" t="s">
        <v>7668</v>
      </c>
      <c r="D2425" t="s">
        <v>7669</v>
      </c>
      <c r="E2425" t="s">
        <v>7670</v>
      </c>
      <c r="F2425" t="s">
        <v>7673</v>
      </c>
      <c r="G2425" s="2" t="str">
        <f>HYPERLINK("https://probpalata.gov.ru/files/ИП000801254400001.jpeg","Скачать индивидуальный QR-код магазина")</f>
        <v>Скачать индивидуальный QR-код магазина</v>
      </c>
    </row>
    <row r="2426" spans="1:7" x14ac:dyDescent="0.25">
      <c r="A2426" t="s">
        <v>6892</v>
      </c>
      <c r="B2426" t="s">
        <v>7674</v>
      </c>
      <c r="C2426" t="s">
        <v>7668</v>
      </c>
      <c r="D2426" t="s">
        <v>7669</v>
      </c>
      <c r="E2426" t="s">
        <v>7670</v>
      </c>
      <c r="F2426" t="s">
        <v>7675</v>
      </c>
      <c r="G2426" s="2" t="str">
        <f>HYPERLINK("https://probpalata.gov.ru/files/ИП000801254400002.jpeg","Скачать индивидуальный QR-код магазина")</f>
        <v>Скачать индивидуальный QR-код магазина</v>
      </c>
    </row>
    <row r="2427" spans="1:7" x14ac:dyDescent="0.25">
      <c r="A2427" t="s">
        <v>6892</v>
      </c>
      <c r="B2427" t="s">
        <v>7676</v>
      </c>
      <c r="C2427" t="s">
        <v>7668</v>
      </c>
      <c r="D2427" t="s">
        <v>7669</v>
      </c>
      <c r="E2427" t="s">
        <v>7670</v>
      </c>
      <c r="F2427" t="s">
        <v>7677</v>
      </c>
      <c r="G2427" s="2" t="str">
        <f>HYPERLINK("https://probpalata.gov.ru/files/ИП000801254400003.jpeg","Скачать индивидуальный QR-код магазина")</f>
        <v>Скачать индивидуальный QR-код магазина</v>
      </c>
    </row>
    <row r="2428" spans="1:7" x14ac:dyDescent="0.25">
      <c r="A2428" t="s">
        <v>6892</v>
      </c>
      <c r="B2428" t="s">
        <v>7678</v>
      </c>
      <c r="C2428" t="s">
        <v>7668</v>
      </c>
      <c r="D2428" t="s">
        <v>7669</v>
      </c>
      <c r="E2428" t="s">
        <v>7670</v>
      </c>
      <c r="F2428" t="s">
        <v>7679</v>
      </c>
      <c r="G2428" s="2" t="str">
        <f>HYPERLINK("https://probpalata.gov.ru/files/ИП000801254400004.jpeg","Скачать индивидуальный QR-код магазина")</f>
        <v>Скачать индивидуальный QR-код магазина</v>
      </c>
    </row>
    <row r="2429" spans="1:7" x14ac:dyDescent="0.25">
      <c r="A2429" t="s">
        <v>6892</v>
      </c>
      <c r="B2429" t="s">
        <v>7680</v>
      </c>
      <c r="C2429" t="s">
        <v>7668</v>
      </c>
      <c r="D2429" t="s">
        <v>7669</v>
      </c>
      <c r="E2429" t="s">
        <v>7670</v>
      </c>
      <c r="F2429" t="s">
        <v>7681</v>
      </c>
      <c r="G2429" s="2" t="str">
        <f>HYPERLINK("https://probpalata.gov.ru/files/ИП000801254400005.jpeg","Скачать индивидуальный QR-код магазина")</f>
        <v>Скачать индивидуальный QR-код магазина</v>
      </c>
    </row>
    <row r="2430" spans="1:7" x14ac:dyDescent="0.25">
      <c r="A2430" t="s">
        <v>6892</v>
      </c>
      <c r="B2430" t="s">
        <v>7682</v>
      </c>
      <c r="C2430" t="s">
        <v>7683</v>
      </c>
      <c r="D2430" t="s">
        <v>7684</v>
      </c>
      <c r="E2430" t="s">
        <v>7685</v>
      </c>
      <c r="F2430" t="s">
        <v>7686</v>
      </c>
      <c r="G2430" s="2" t="str">
        <f>HYPERLINK("https://probpalata.gov.ru/files/ИП380803821200000.jpeg","Скачать индивидуальный QR-код магазина")</f>
        <v>Скачать индивидуальный QR-код магазина</v>
      </c>
    </row>
    <row r="2431" spans="1:7" x14ac:dyDescent="0.25">
      <c r="A2431" t="s">
        <v>6892</v>
      </c>
      <c r="B2431" t="s">
        <v>7687</v>
      </c>
      <c r="C2431" t="s">
        <v>6223</v>
      </c>
      <c r="D2431" t="s">
        <v>6224</v>
      </c>
      <c r="E2431" t="s">
        <v>6225</v>
      </c>
      <c r="F2431" t="s">
        <v>7688</v>
      </c>
      <c r="G2431" s="2" t="str">
        <f>HYPERLINK("https://probpalata.gov.ru/files/ЮЛ750901091500012.jpeg","Скачать индивидуальный QR-код магазина")</f>
        <v>Скачать индивидуальный QR-код магазина</v>
      </c>
    </row>
    <row r="2432" spans="1:7" x14ac:dyDescent="0.25">
      <c r="A2432" t="s">
        <v>6892</v>
      </c>
      <c r="B2432" t="s">
        <v>7689</v>
      </c>
      <c r="C2432" t="s">
        <v>6223</v>
      </c>
      <c r="D2432" t="s">
        <v>6224</v>
      </c>
      <c r="E2432" t="s">
        <v>6225</v>
      </c>
      <c r="F2432" t="s">
        <v>7690</v>
      </c>
      <c r="G2432" s="2" t="str">
        <f>HYPERLINK("https://probpalata.gov.ru/files/ЮЛ750901091500013.jpeg","Скачать индивидуальный QR-код магазина")</f>
        <v>Скачать индивидуальный QR-код магазина</v>
      </c>
    </row>
    <row r="2433" spans="1:7" x14ac:dyDescent="0.25">
      <c r="A2433" t="s">
        <v>6892</v>
      </c>
      <c r="B2433" t="s">
        <v>7691</v>
      </c>
      <c r="C2433" t="s">
        <v>6268</v>
      </c>
      <c r="D2433" t="s">
        <v>6269</v>
      </c>
      <c r="E2433" t="s">
        <v>6270</v>
      </c>
      <c r="F2433" t="s">
        <v>7692</v>
      </c>
      <c r="G2433" s="2" t="str">
        <f>HYPERLINK("https://probpalata.gov.ru/files/ЮЛ750903917900003.jpeg","Скачать индивидуальный QR-код магазина")</f>
        <v>Скачать индивидуальный QR-код магазина</v>
      </c>
    </row>
    <row r="2434" spans="1:7" x14ac:dyDescent="0.25">
      <c r="A2434" t="s">
        <v>6892</v>
      </c>
      <c r="B2434" t="s">
        <v>7693</v>
      </c>
      <c r="C2434" t="s">
        <v>6274</v>
      </c>
      <c r="D2434" t="s">
        <v>6275</v>
      </c>
      <c r="E2434" t="s">
        <v>6276</v>
      </c>
      <c r="F2434" t="s">
        <v>7694</v>
      </c>
      <c r="G2434" s="2" t="str">
        <f>HYPERLINK("https://probpalata.gov.ru/files/ЮЛ750901088700012.jpeg","Скачать индивидуальный QR-код магазина")</f>
        <v>Скачать индивидуальный QR-код магазина</v>
      </c>
    </row>
    <row r="2435" spans="1:7" x14ac:dyDescent="0.25">
      <c r="A2435" t="s">
        <v>6892</v>
      </c>
      <c r="B2435" t="s">
        <v>7691</v>
      </c>
      <c r="C2435" t="s">
        <v>6274</v>
      </c>
      <c r="D2435" t="s">
        <v>6275</v>
      </c>
      <c r="E2435" t="s">
        <v>6276</v>
      </c>
      <c r="F2435" t="s">
        <v>7695</v>
      </c>
      <c r="G2435" s="2" t="str">
        <f>HYPERLINK("https://probpalata.gov.ru/files/ЮЛ750901088700013.jpeg","Скачать индивидуальный QR-код магазина")</f>
        <v>Скачать индивидуальный QR-код магазина</v>
      </c>
    </row>
    <row r="2436" spans="1:7" x14ac:dyDescent="0.25">
      <c r="A2436" t="s">
        <v>6892</v>
      </c>
      <c r="B2436" t="s">
        <v>7696</v>
      </c>
      <c r="C2436" t="s">
        <v>713</v>
      </c>
      <c r="D2436" t="s">
        <v>714</v>
      </c>
      <c r="E2436" t="s">
        <v>715</v>
      </c>
      <c r="F2436" t="s">
        <v>7697</v>
      </c>
      <c r="G2436" s="2" t="str">
        <f>HYPERLINK("https://probpalata.gov.ru/files/ЮЛ770101216600081.jpeg","Скачать индивидуальный QR-код магазина")</f>
        <v>Скачать индивидуальный QR-код магазина</v>
      </c>
    </row>
    <row r="2437" spans="1:7" x14ac:dyDescent="0.25">
      <c r="A2437" t="s">
        <v>6892</v>
      </c>
      <c r="B2437" t="s">
        <v>7698</v>
      </c>
      <c r="C2437" t="s">
        <v>713</v>
      </c>
      <c r="D2437" t="s">
        <v>714</v>
      </c>
      <c r="E2437" t="s">
        <v>715</v>
      </c>
      <c r="F2437" t="s">
        <v>7699</v>
      </c>
      <c r="G2437" s="2" t="str">
        <f>HYPERLINK("https://probpalata.gov.ru/files/ЮЛ770101216600149.jpeg","Скачать индивидуальный QR-код магазина")</f>
        <v>Скачать индивидуальный QR-код магазина</v>
      </c>
    </row>
    <row r="2438" spans="1:7" x14ac:dyDescent="0.25">
      <c r="A2438" t="s">
        <v>6892</v>
      </c>
      <c r="B2438" t="s">
        <v>7700</v>
      </c>
      <c r="C2438" t="s">
        <v>713</v>
      </c>
      <c r="D2438" t="s">
        <v>714</v>
      </c>
      <c r="E2438" t="s">
        <v>715</v>
      </c>
      <c r="F2438" t="s">
        <v>7701</v>
      </c>
      <c r="G2438" s="2" t="str">
        <f>HYPERLINK("https://probpalata.gov.ru/files/ЮЛ770101216600288.jpeg","Скачать индивидуальный QR-код магазина")</f>
        <v>Скачать индивидуальный QR-код магазина</v>
      </c>
    </row>
    <row r="2439" spans="1:7" x14ac:dyDescent="0.25">
      <c r="A2439" t="s">
        <v>6892</v>
      </c>
      <c r="B2439" t="s">
        <v>7702</v>
      </c>
      <c r="C2439" t="s">
        <v>713</v>
      </c>
      <c r="D2439" t="s">
        <v>714</v>
      </c>
      <c r="E2439" t="s">
        <v>715</v>
      </c>
      <c r="F2439" t="s">
        <v>7703</v>
      </c>
      <c r="G2439" s="2" t="str">
        <f>HYPERLINK("https://probpalata.gov.ru/files/ЮЛ770101216600314.jpeg","Скачать индивидуальный QR-код магазина")</f>
        <v>Скачать индивидуальный QR-код магазина</v>
      </c>
    </row>
    <row r="2440" spans="1:7" x14ac:dyDescent="0.25">
      <c r="A2440" t="s">
        <v>6892</v>
      </c>
      <c r="B2440" t="s">
        <v>7704</v>
      </c>
      <c r="C2440" t="s">
        <v>713</v>
      </c>
      <c r="D2440" t="s">
        <v>714</v>
      </c>
      <c r="E2440" t="s">
        <v>715</v>
      </c>
      <c r="F2440" t="s">
        <v>7705</v>
      </c>
      <c r="G2440" s="2" t="str">
        <f>HYPERLINK("https://probpalata.gov.ru/files/ЮЛ770101216600379.jpeg","Скачать индивидуальный QR-код магазина")</f>
        <v>Скачать индивидуальный QR-код магазина</v>
      </c>
    </row>
    <row r="2441" spans="1:7" x14ac:dyDescent="0.25">
      <c r="A2441" t="s">
        <v>6892</v>
      </c>
      <c r="B2441" t="s">
        <v>7706</v>
      </c>
      <c r="C2441" t="s">
        <v>713</v>
      </c>
      <c r="D2441" t="s">
        <v>714</v>
      </c>
      <c r="E2441" t="s">
        <v>715</v>
      </c>
      <c r="F2441" t="s">
        <v>7707</v>
      </c>
      <c r="G2441" s="2" t="str">
        <f>HYPERLINK("https://probpalata.gov.ru/files/ЮЛ770101216600389.jpeg","Скачать индивидуальный QR-код магазина")</f>
        <v>Скачать индивидуальный QR-код магазина</v>
      </c>
    </row>
    <row r="2442" spans="1:7" x14ac:dyDescent="0.25">
      <c r="A2442" t="s">
        <v>6892</v>
      </c>
      <c r="B2442" t="s">
        <v>7708</v>
      </c>
      <c r="C2442" t="s">
        <v>713</v>
      </c>
      <c r="D2442" t="s">
        <v>714</v>
      </c>
      <c r="E2442" t="s">
        <v>715</v>
      </c>
      <c r="F2442" t="s">
        <v>7709</v>
      </c>
      <c r="G2442" s="2" t="str">
        <f>HYPERLINK("https://probpalata.gov.ru/files/ЮЛ770101216600605.jpeg","Скачать индивидуальный QR-код магазина")</f>
        <v>Скачать индивидуальный QR-код магазина</v>
      </c>
    </row>
    <row r="2443" spans="1:7" x14ac:dyDescent="0.25">
      <c r="A2443" t="s">
        <v>6892</v>
      </c>
      <c r="B2443" t="s">
        <v>7710</v>
      </c>
      <c r="C2443" t="s">
        <v>713</v>
      </c>
      <c r="D2443" t="s">
        <v>714</v>
      </c>
      <c r="E2443" t="s">
        <v>715</v>
      </c>
      <c r="F2443" t="s">
        <v>7711</v>
      </c>
      <c r="G2443" s="2" t="str">
        <f>HYPERLINK("https://probpalata.gov.ru/files/ЮЛ770101216600637.jpeg","Скачать индивидуальный QR-код магазина")</f>
        <v>Скачать индивидуальный QR-код магазина</v>
      </c>
    </row>
    <row r="2444" spans="1:7" x14ac:dyDescent="0.25">
      <c r="A2444" t="s">
        <v>6892</v>
      </c>
      <c r="B2444" t="s">
        <v>7712</v>
      </c>
      <c r="C2444" t="s">
        <v>713</v>
      </c>
      <c r="D2444" t="s">
        <v>714</v>
      </c>
      <c r="E2444" t="s">
        <v>715</v>
      </c>
      <c r="F2444" t="s">
        <v>7713</v>
      </c>
      <c r="G2444" s="2" t="str">
        <f>HYPERLINK("https://probpalata.gov.ru/files/ЮЛ770101216600656.jpeg","Скачать индивидуальный QR-код магазина")</f>
        <v>Скачать индивидуальный QR-код магазина</v>
      </c>
    </row>
    <row r="2445" spans="1:7" x14ac:dyDescent="0.25">
      <c r="A2445" t="s">
        <v>6892</v>
      </c>
      <c r="B2445" t="s">
        <v>7714</v>
      </c>
      <c r="C2445" t="s">
        <v>713</v>
      </c>
      <c r="D2445" t="s">
        <v>714</v>
      </c>
      <c r="E2445" t="s">
        <v>715</v>
      </c>
      <c r="F2445" t="s">
        <v>7715</v>
      </c>
      <c r="G2445" s="2" t="str">
        <f>HYPERLINK("https://probpalata.gov.ru/files/ЮЛ770101216600864.jpeg","Скачать индивидуальный QR-код магазина")</f>
        <v>Скачать индивидуальный QR-код магазина</v>
      </c>
    </row>
    <row r="2446" spans="1:7" x14ac:dyDescent="0.25">
      <c r="A2446" t="s">
        <v>6892</v>
      </c>
      <c r="B2446" t="s">
        <v>7716</v>
      </c>
      <c r="C2446" t="s">
        <v>713</v>
      </c>
      <c r="D2446" t="s">
        <v>714</v>
      </c>
      <c r="E2446" t="s">
        <v>715</v>
      </c>
      <c r="F2446" t="s">
        <v>7717</v>
      </c>
      <c r="G2446" s="2" t="str">
        <f>HYPERLINK("https://probpalata.gov.ru/files/ЮЛ770101216600875.jpeg","Скачать индивидуальный QR-код магазина")</f>
        <v>Скачать индивидуальный QR-код магазина</v>
      </c>
    </row>
    <row r="2447" spans="1:7" x14ac:dyDescent="0.25">
      <c r="A2447" t="s">
        <v>6892</v>
      </c>
      <c r="B2447" t="s">
        <v>7718</v>
      </c>
      <c r="C2447" t="s">
        <v>713</v>
      </c>
      <c r="D2447" t="s">
        <v>714</v>
      </c>
      <c r="E2447" t="s">
        <v>715</v>
      </c>
      <c r="F2447" t="s">
        <v>7719</v>
      </c>
      <c r="G2447" s="2" t="str">
        <f>HYPERLINK("https://probpalata.gov.ru/files/ЮЛ770101216600890.jpeg","Скачать индивидуальный QR-код магазина")</f>
        <v>Скачать индивидуальный QR-код магазина</v>
      </c>
    </row>
    <row r="2448" spans="1:7" x14ac:dyDescent="0.25">
      <c r="A2448" t="s">
        <v>6892</v>
      </c>
      <c r="B2448" t="s">
        <v>7720</v>
      </c>
      <c r="C2448" t="s">
        <v>713</v>
      </c>
      <c r="D2448" t="s">
        <v>714</v>
      </c>
      <c r="E2448" t="s">
        <v>715</v>
      </c>
      <c r="F2448" t="s">
        <v>7721</v>
      </c>
      <c r="G2448" s="2" t="str">
        <f>HYPERLINK("https://probpalata.gov.ru/files/ЮЛ770101216600913.jpeg","Скачать индивидуальный QR-код магазина")</f>
        <v>Скачать индивидуальный QR-код магазина</v>
      </c>
    </row>
    <row r="2449" spans="1:7" x14ac:dyDescent="0.25">
      <c r="A2449" t="s">
        <v>6892</v>
      </c>
      <c r="B2449" t="s">
        <v>7722</v>
      </c>
      <c r="C2449" t="s">
        <v>713</v>
      </c>
      <c r="D2449" t="s">
        <v>714</v>
      </c>
      <c r="E2449" t="s">
        <v>715</v>
      </c>
      <c r="F2449" t="s">
        <v>7723</v>
      </c>
      <c r="G2449" s="2" t="str">
        <f>HYPERLINK("https://probpalata.gov.ru/files/ЮЛ770101216600980.jpeg","Скачать индивидуальный QR-код магазина")</f>
        <v>Скачать индивидуальный QR-код магазина</v>
      </c>
    </row>
    <row r="2450" spans="1:7" x14ac:dyDescent="0.25">
      <c r="A2450" t="s">
        <v>6892</v>
      </c>
      <c r="B2450" t="s">
        <v>7724</v>
      </c>
      <c r="C2450" t="s">
        <v>713</v>
      </c>
      <c r="D2450" t="s">
        <v>714</v>
      </c>
      <c r="E2450" t="s">
        <v>715</v>
      </c>
      <c r="F2450" t="s">
        <v>7725</v>
      </c>
      <c r="G2450" s="2" t="str">
        <f>HYPERLINK("https://probpalata.gov.ru/files/ЮЛ770101216600992.jpeg","Скачать индивидуальный QR-код магазина")</f>
        <v>Скачать индивидуальный QR-код магазина</v>
      </c>
    </row>
    <row r="2451" spans="1:7" x14ac:dyDescent="0.25">
      <c r="A2451" t="s">
        <v>6892</v>
      </c>
      <c r="B2451" t="s">
        <v>7726</v>
      </c>
      <c r="C2451" t="s">
        <v>7727</v>
      </c>
      <c r="D2451" t="s">
        <v>7728</v>
      </c>
      <c r="E2451" t="s">
        <v>7729</v>
      </c>
      <c r="F2451" t="s">
        <v>7730</v>
      </c>
      <c r="G2451" s="2" t="str">
        <f>HYPERLINK("https://probpalata.gov.ru/files/ЮЛ770100167700006.jpeg","Скачать индивидуальный QR-код магазина")</f>
        <v>Скачать индивидуальный QR-код магазина</v>
      </c>
    </row>
    <row r="2452" spans="1:7" x14ac:dyDescent="0.25">
      <c r="A2452" t="s">
        <v>6892</v>
      </c>
      <c r="B2452" t="s">
        <v>6893</v>
      </c>
      <c r="C2452" t="s">
        <v>1416</v>
      </c>
      <c r="D2452" t="s">
        <v>1417</v>
      </c>
      <c r="E2452" t="s">
        <v>1418</v>
      </c>
      <c r="F2452" t="s">
        <v>7731</v>
      </c>
      <c r="G2452" s="2" t="str">
        <f>HYPERLINK("https://probpalata.gov.ru/files/ЮЛ770100419400133.jpeg","Скачать индивидуальный QR-код магазина")</f>
        <v>Скачать индивидуальный QR-код магазина</v>
      </c>
    </row>
    <row r="2453" spans="1:7" x14ac:dyDescent="0.25">
      <c r="A2453" t="s">
        <v>6892</v>
      </c>
      <c r="B2453" t="s">
        <v>7732</v>
      </c>
      <c r="C2453" t="s">
        <v>1416</v>
      </c>
      <c r="D2453" t="s">
        <v>1417</v>
      </c>
      <c r="E2453" t="s">
        <v>1418</v>
      </c>
      <c r="F2453" t="s">
        <v>7733</v>
      </c>
      <c r="G2453" s="2" t="str">
        <f>HYPERLINK("https://probpalata.gov.ru/files/ЮЛ770100419400230.jpeg","Скачать индивидуальный QR-код магазина")</f>
        <v>Скачать индивидуальный QR-код магазина</v>
      </c>
    </row>
    <row r="2454" spans="1:7" x14ac:dyDescent="0.25">
      <c r="A2454" t="s">
        <v>6892</v>
      </c>
      <c r="B2454" t="s">
        <v>7734</v>
      </c>
      <c r="C2454" t="s">
        <v>748</v>
      </c>
      <c r="D2454" t="s">
        <v>749</v>
      </c>
      <c r="E2454" t="s">
        <v>750</v>
      </c>
      <c r="F2454" t="s">
        <v>7735</v>
      </c>
      <c r="G2454" s="2" t="str">
        <f>HYPERLINK("https://probpalata.gov.ru/files/ЮЛ770100193500138.jpeg","Скачать индивидуальный QR-код магазина")</f>
        <v>Скачать индивидуальный QR-код магазина</v>
      </c>
    </row>
    <row r="2455" spans="1:7" x14ac:dyDescent="0.25">
      <c r="A2455" t="s">
        <v>6892</v>
      </c>
      <c r="B2455" t="s">
        <v>7736</v>
      </c>
      <c r="C2455" t="s">
        <v>748</v>
      </c>
      <c r="D2455" t="s">
        <v>749</v>
      </c>
      <c r="E2455" t="s">
        <v>750</v>
      </c>
      <c r="F2455" t="s">
        <v>7737</v>
      </c>
      <c r="G2455" s="2" t="str">
        <f>HYPERLINK("https://probpalata.gov.ru/files/ЮЛ770100193500139.jpeg","Скачать индивидуальный QR-код магазина")</f>
        <v>Скачать индивидуальный QR-код магазина</v>
      </c>
    </row>
    <row r="2456" spans="1:7" x14ac:dyDescent="0.25">
      <c r="A2456" t="s">
        <v>6892</v>
      </c>
      <c r="B2456" t="s">
        <v>7738</v>
      </c>
      <c r="C2456" t="s">
        <v>748</v>
      </c>
      <c r="D2456" t="s">
        <v>749</v>
      </c>
      <c r="E2456" t="s">
        <v>750</v>
      </c>
      <c r="F2456" t="s">
        <v>7739</v>
      </c>
      <c r="G2456" s="2" t="str">
        <f>HYPERLINK("https://probpalata.gov.ru/files/ЮЛ770100193500140.jpeg","Скачать индивидуальный QR-код магазина")</f>
        <v>Скачать индивидуальный QR-код магазина</v>
      </c>
    </row>
    <row r="2457" spans="1:7" x14ac:dyDescent="0.25">
      <c r="A2457" t="s">
        <v>6892</v>
      </c>
      <c r="B2457" t="s">
        <v>7740</v>
      </c>
      <c r="C2457" t="s">
        <v>748</v>
      </c>
      <c r="D2457" t="s">
        <v>749</v>
      </c>
      <c r="E2457" t="s">
        <v>750</v>
      </c>
      <c r="F2457" t="s">
        <v>7741</v>
      </c>
      <c r="G2457" s="2" t="str">
        <f>HYPERLINK("https://probpalata.gov.ru/files/ЮЛ770100193500141.jpeg","Скачать индивидуальный QR-код магазина")</f>
        <v>Скачать индивидуальный QR-код магазина</v>
      </c>
    </row>
    <row r="2458" spans="1:7" x14ac:dyDescent="0.25">
      <c r="A2458" t="s">
        <v>6892</v>
      </c>
      <c r="B2458" t="s">
        <v>7742</v>
      </c>
      <c r="C2458" t="s">
        <v>748</v>
      </c>
      <c r="D2458" t="s">
        <v>749</v>
      </c>
      <c r="E2458" t="s">
        <v>750</v>
      </c>
      <c r="F2458" t="s">
        <v>7743</v>
      </c>
      <c r="G2458" s="2" t="str">
        <f>HYPERLINK("https://probpalata.gov.ru/files/ЮЛ770100193500142.jpeg","Скачать индивидуальный QR-код магазина")</f>
        <v>Скачать индивидуальный QR-код магазина</v>
      </c>
    </row>
    <row r="2459" spans="1:7" x14ac:dyDescent="0.25">
      <c r="A2459" t="s">
        <v>6892</v>
      </c>
      <c r="B2459" t="s">
        <v>7744</v>
      </c>
      <c r="C2459" t="s">
        <v>748</v>
      </c>
      <c r="D2459" t="s">
        <v>749</v>
      </c>
      <c r="E2459" t="s">
        <v>750</v>
      </c>
      <c r="F2459" t="s">
        <v>7745</v>
      </c>
      <c r="G2459" s="2" t="str">
        <f>HYPERLINK("https://probpalata.gov.ru/files/ЮЛ770100193500373.jpeg","Скачать индивидуальный QR-код магазина")</f>
        <v>Скачать индивидуальный QR-код магазина</v>
      </c>
    </row>
    <row r="2460" spans="1:7" x14ac:dyDescent="0.25">
      <c r="A2460" t="s">
        <v>6892</v>
      </c>
      <c r="B2460" t="s">
        <v>7746</v>
      </c>
      <c r="C2460" t="s">
        <v>748</v>
      </c>
      <c r="D2460" t="s">
        <v>749</v>
      </c>
      <c r="E2460" t="s">
        <v>750</v>
      </c>
      <c r="F2460" t="s">
        <v>7747</v>
      </c>
      <c r="G2460" s="2" t="str">
        <f>HYPERLINK("https://probpalata.gov.ru/files/ЮЛ770100193500377.jpeg","Скачать индивидуальный QR-код магазина")</f>
        <v>Скачать индивидуальный QR-код магазина</v>
      </c>
    </row>
    <row r="2461" spans="1:7" x14ac:dyDescent="0.25">
      <c r="A2461" t="s">
        <v>6892</v>
      </c>
      <c r="B2461" t="s">
        <v>7748</v>
      </c>
      <c r="C2461" t="s">
        <v>748</v>
      </c>
      <c r="D2461" t="s">
        <v>749</v>
      </c>
      <c r="E2461" t="s">
        <v>750</v>
      </c>
      <c r="F2461" t="s">
        <v>7749</v>
      </c>
      <c r="G2461" s="2" t="str">
        <f>HYPERLINK("https://probpalata.gov.ru/files/ЮЛ770100193500483.jpeg","Скачать индивидуальный QR-код магазина")</f>
        <v>Скачать индивидуальный QR-код магазина</v>
      </c>
    </row>
    <row r="2462" spans="1:7" x14ac:dyDescent="0.25">
      <c r="A2462" t="s">
        <v>6892</v>
      </c>
      <c r="B2462" t="s">
        <v>7750</v>
      </c>
      <c r="C2462" t="s">
        <v>748</v>
      </c>
      <c r="D2462" t="s">
        <v>749</v>
      </c>
      <c r="E2462" t="s">
        <v>750</v>
      </c>
      <c r="F2462" t="s">
        <v>7751</v>
      </c>
      <c r="G2462" s="2" t="str">
        <f>HYPERLINK("https://probpalata.gov.ru/files/ЮЛ770100193500775.jpeg","Скачать индивидуальный QR-код магазина")</f>
        <v>Скачать индивидуальный QR-код магазина</v>
      </c>
    </row>
    <row r="2463" spans="1:7" x14ac:dyDescent="0.25">
      <c r="A2463" t="s">
        <v>6892</v>
      </c>
      <c r="B2463" t="s">
        <v>7752</v>
      </c>
      <c r="C2463" t="s">
        <v>748</v>
      </c>
      <c r="D2463" t="s">
        <v>749</v>
      </c>
      <c r="E2463" t="s">
        <v>750</v>
      </c>
      <c r="F2463" t="s">
        <v>7753</v>
      </c>
      <c r="G2463" s="2" t="str">
        <f>HYPERLINK("https://probpalata.gov.ru/files/ЮЛ770100193500779.jpeg","Скачать индивидуальный QR-код магазина")</f>
        <v>Скачать индивидуальный QR-код магазина</v>
      </c>
    </row>
    <row r="2464" spans="1:7" x14ac:dyDescent="0.25">
      <c r="A2464" t="s">
        <v>6892</v>
      </c>
      <c r="B2464" t="s">
        <v>7754</v>
      </c>
      <c r="C2464" t="s">
        <v>748</v>
      </c>
      <c r="D2464" t="s">
        <v>749</v>
      </c>
      <c r="E2464" t="s">
        <v>750</v>
      </c>
      <c r="F2464" t="s">
        <v>7755</v>
      </c>
      <c r="G2464" s="2" t="str">
        <f>HYPERLINK("https://probpalata.gov.ru/files/ЮЛ770100193500795.jpeg","Скачать индивидуальный QR-код магазина")</f>
        <v>Скачать индивидуальный QR-код магазина</v>
      </c>
    </row>
    <row r="2465" spans="1:7" x14ac:dyDescent="0.25">
      <c r="A2465" t="s">
        <v>6892</v>
      </c>
      <c r="B2465" t="s">
        <v>7756</v>
      </c>
      <c r="C2465" t="s">
        <v>748</v>
      </c>
      <c r="D2465" t="s">
        <v>749</v>
      </c>
      <c r="E2465" t="s">
        <v>750</v>
      </c>
      <c r="F2465" t="s">
        <v>7757</v>
      </c>
      <c r="G2465" s="2" t="str">
        <f>HYPERLINK("https://probpalata.gov.ru/files/ЮЛ770100193500804.jpeg","Скачать индивидуальный QR-код магазина")</f>
        <v>Скачать индивидуальный QR-код магазина</v>
      </c>
    </row>
    <row r="2466" spans="1:7" x14ac:dyDescent="0.25">
      <c r="A2466" t="s">
        <v>6892</v>
      </c>
      <c r="B2466" t="s">
        <v>7758</v>
      </c>
      <c r="C2466" t="s">
        <v>748</v>
      </c>
      <c r="D2466" t="s">
        <v>749</v>
      </c>
      <c r="E2466" t="s">
        <v>750</v>
      </c>
      <c r="F2466" t="s">
        <v>7759</v>
      </c>
      <c r="G2466" s="2" t="str">
        <f>HYPERLINK("https://probpalata.gov.ru/files/ЮЛ770100193500837.jpeg","Скачать индивидуальный QR-код магазина")</f>
        <v>Скачать индивидуальный QR-код магазина</v>
      </c>
    </row>
    <row r="2467" spans="1:7" x14ac:dyDescent="0.25">
      <c r="A2467" t="s">
        <v>6892</v>
      </c>
      <c r="B2467" t="s">
        <v>7760</v>
      </c>
      <c r="C2467" t="s">
        <v>748</v>
      </c>
      <c r="D2467" t="s">
        <v>749</v>
      </c>
      <c r="E2467" t="s">
        <v>750</v>
      </c>
      <c r="F2467" t="s">
        <v>7761</v>
      </c>
      <c r="G2467" s="2" t="str">
        <f>HYPERLINK("https://probpalata.gov.ru/files/ЮЛ770100193500853.jpeg","Скачать индивидуальный QR-код магазина")</f>
        <v>Скачать индивидуальный QR-код магазина</v>
      </c>
    </row>
    <row r="2468" spans="1:7" x14ac:dyDescent="0.25">
      <c r="A2468" t="s">
        <v>6892</v>
      </c>
      <c r="B2468" t="s">
        <v>7762</v>
      </c>
      <c r="C2468" t="s">
        <v>748</v>
      </c>
      <c r="D2468" t="s">
        <v>749</v>
      </c>
      <c r="E2468" t="s">
        <v>750</v>
      </c>
      <c r="F2468" t="s">
        <v>7763</v>
      </c>
      <c r="G2468" s="2" t="str">
        <f>HYPERLINK("https://probpalata.gov.ru/files/ЮЛ770100193500866.jpeg","Скачать индивидуальный QR-код магазина")</f>
        <v>Скачать индивидуальный QR-код магазина</v>
      </c>
    </row>
    <row r="2469" spans="1:7" x14ac:dyDescent="0.25">
      <c r="A2469" t="s">
        <v>6892</v>
      </c>
      <c r="B2469" t="s">
        <v>7764</v>
      </c>
      <c r="C2469" t="s">
        <v>748</v>
      </c>
      <c r="D2469" t="s">
        <v>749</v>
      </c>
      <c r="E2469" t="s">
        <v>750</v>
      </c>
      <c r="F2469" t="s">
        <v>7765</v>
      </c>
      <c r="G2469" s="2" t="str">
        <f>HYPERLINK("https://probpalata.gov.ru/files/ЮЛ770100193501043.jpeg","Скачать индивидуальный QR-код магазина")</f>
        <v>Скачать индивидуальный QR-код магазина</v>
      </c>
    </row>
    <row r="2470" spans="1:7" x14ac:dyDescent="0.25">
      <c r="A2470" t="s">
        <v>6892</v>
      </c>
      <c r="B2470" t="s">
        <v>7766</v>
      </c>
      <c r="C2470" t="s">
        <v>748</v>
      </c>
      <c r="D2470" t="s">
        <v>749</v>
      </c>
      <c r="E2470" t="s">
        <v>750</v>
      </c>
      <c r="F2470" t="s">
        <v>7767</v>
      </c>
      <c r="G2470" s="2" t="str">
        <f>HYPERLINK("https://probpalata.gov.ru/files/ЮЛ770100193501135.jpeg","Скачать индивидуальный QR-код магазина")</f>
        <v>Скачать индивидуальный QR-код магазина</v>
      </c>
    </row>
    <row r="2471" spans="1:7" x14ac:dyDescent="0.25">
      <c r="A2471" t="s">
        <v>6892</v>
      </c>
      <c r="B2471" t="s">
        <v>7768</v>
      </c>
      <c r="C2471" t="s">
        <v>773</v>
      </c>
      <c r="D2471" t="s">
        <v>774</v>
      </c>
      <c r="E2471" t="s">
        <v>775</v>
      </c>
      <c r="F2471" t="s">
        <v>7769</v>
      </c>
      <c r="G2471" s="2" t="str">
        <f>HYPERLINK("https://probpalata.gov.ru/files/ЮЛ780300131300106.jpeg","Скачать индивидуальный QR-код магазина")</f>
        <v>Скачать индивидуальный QR-код магазина</v>
      </c>
    </row>
    <row r="2472" spans="1:7" x14ac:dyDescent="0.25">
      <c r="A2472" t="s">
        <v>6892</v>
      </c>
      <c r="B2472" t="s">
        <v>7770</v>
      </c>
      <c r="C2472" t="s">
        <v>773</v>
      </c>
      <c r="D2472" t="s">
        <v>774</v>
      </c>
      <c r="E2472" t="s">
        <v>775</v>
      </c>
      <c r="F2472" t="s">
        <v>7771</v>
      </c>
      <c r="G2472" s="2" t="str">
        <f>HYPERLINK("https://probpalata.gov.ru/files/ЮЛ780300131300107.jpeg","Скачать индивидуальный QR-код магазина")</f>
        <v>Скачать индивидуальный QR-код магазина</v>
      </c>
    </row>
    <row r="2473" spans="1:7" x14ac:dyDescent="0.25">
      <c r="A2473" t="s">
        <v>6892</v>
      </c>
      <c r="B2473" t="s">
        <v>7772</v>
      </c>
      <c r="C2473" t="s">
        <v>773</v>
      </c>
      <c r="D2473" t="s">
        <v>774</v>
      </c>
      <c r="E2473" t="s">
        <v>775</v>
      </c>
      <c r="F2473" t="s">
        <v>7773</v>
      </c>
      <c r="G2473" s="2" t="str">
        <f>HYPERLINK("https://probpalata.gov.ru/files/ЮЛ780300131300578.jpeg","Скачать индивидуальный QR-код магазина")</f>
        <v>Скачать индивидуальный QR-код магазина</v>
      </c>
    </row>
    <row r="2474" spans="1:7" x14ac:dyDescent="0.25">
      <c r="A2474" t="s">
        <v>6892</v>
      </c>
      <c r="B2474" t="s">
        <v>7774</v>
      </c>
      <c r="C2474" t="s">
        <v>787</v>
      </c>
      <c r="D2474" t="s">
        <v>788</v>
      </c>
      <c r="E2474" t="s">
        <v>789</v>
      </c>
      <c r="F2474" t="s">
        <v>7775</v>
      </c>
      <c r="G2474" s="2" t="str">
        <f>HYPERLINK("https://probpalata.gov.ru/files/ЮЛ780300328000060.jpeg","Скачать индивидуальный QR-код магазина")</f>
        <v>Скачать индивидуальный QR-код магазина</v>
      </c>
    </row>
    <row r="2475" spans="1:7" x14ac:dyDescent="0.25">
      <c r="A2475" t="s">
        <v>6892</v>
      </c>
      <c r="B2475" t="s">
        <v>7776</v>
      </c>
      <c r="C2475" t="s">
        <v>787</v>
      </c>
      <c r="D2475" t="s">
        <v>788</v>
      </c>
      <c r="E2475" t="s">
        <v>789</v>
      </c>
      <c r="F2475" t="s">
        <v>7777</v>
      </c>
      <c r="G2475" s="2" t="str">
        <f>HYPERLINK("https://probpalata.gov.ru/files/ЮЛ780300328000061.jpeg","Скачать индивидуальный QR-код магазина")</f>
        <v>Скачать индивидуальный QR-код магазина</v>
      </c>
    </row>
    <row r="2476" spans="1:7" x14ac:dyDescent="0.25">
      <c r="A2476" t="s">
        <v>6892</v>
      </c>
      <c r="B2476" t="s">
        <v>7778</v>
      </c>
      <c r="C2476" t="s">
        <v>787</v>
      </c>
      <c r="D2476" t="s">
        <v>788</v>
      </c>
      <c r="E2476" t="s">
        <v>789</v>
      </c>
      <c r="F2476" t="s">
        <v>7779</v>
      </c>
      <c r="G2476" s="2" t="str">
        <f>HYPERLINK("https://probpalata.gov.ru/files/ЮЛ780300328000244.jpeg","Скачать индивидуальный QR-код магазина")</f>
        <v>Скачать индивидуальный QR-код магазина</v>
      </c>
    </row>
    <row r="2477" spans="1:7" x14ac:dyDescent="0.25">
      <c r="A2477" t="s">
        <v>6892</v>
      </c>
      <c r="B2477" t="s">
        <v>7772</v>
      </c>
      <c r="C2477" t="s">
        <v>4077</v>
      </c>
      <c r="D2477" t="s">
        <v>4078</v>
      </c>
      <c r="E2477" t="s">
        <v>4079</v>
      </c>
      <c r="F2477" t="s">
        <v>7780</v>
      </c>
      <c r="G2477" s="2" t="str">
        <f>HYPERLINK("https://probpalata.gov.ru/files/ЮЛ780300331800008.jpeg","Скачать индивидуальный QR-код магазина")</f>
        <v>Скачать индивидуальный QR-код магазина</v>
      </c>
    </row>
    <row r="2478" spans="1:7" x14ac:dyDescent="0.25">
      <c r="A2478" t="s">
        <v>6892</v>
      </c>
      <c r="B2478" t="s">
        <v>7781</v>
      </c>
      <c r="C2478" t="s">
        <v>4077</v>
      </c>
      <c r="D2478" t="s">
        <v>4078</v>
      </c>
      <c r="E2478" t="s">
        <v>4079</v>
      </c>
      <c r="F2478" t="s">
        <v>7782</v>
      </c>
      <c r="G2478" s="2" t="str">
        <f>HYPERLINK("https://probpalata.gov.ru/files/ЮЛ780300331800085.jpeg","Скачать индивидуальный QR-код магазина")</f>
        <v>Скачать индивидуальный QR-код магазина</v>
      </c>
    </row>
    <row r="2479" spans="1:7" x14ac:dyDescent="0.25">
      <c r="A2479" t="s">
        <v>6892</v>
      </c>
      <c r="B2479" t="s">
        <v>7783</v>
      </c>
      <c r="C2479" t="s">
        <v>7784</v>
      </c>
      <c r="D2479" t="s">
        <v>7785</v>
      </c>
      <c r="E2479" t="s">
        <v>7786</v>
      </c>
      <c r="F2479" t="s">
        <v>7787</v>
      </c>
      <c r="G2479" s="2" t="str">
        <f>HYPERLINK("https://probpalata.gov.ru/files/ИП380800518100000.jpeg","Скачать индивидуальный QR-код магазина")</f>
        <v>Скачать индивидуальный QR-код магазина</v>
      </c>
    </row>
    <row r="2480" spans="1:7" x14ac:dyDescent="0.25">
      <c r="A2480" t="s">
        <v>6892</v>
      </c>
      <c r="B2480" t="s">
        <v>7788</v>
      </c>
      <c r="C2480" t="s">
        <v>7784</v>
      </c>
      <c r="D2480" t="s">
        <v>7785</v>
      </c>
      <c r="E2480" t="s">
        <v>7786</v>
      </c>
      <c r="F2480" t="s">
        <v>7789</v>
      </c>
      <c r="G2480" s="2" t="str">
        <f>HYPERLINK("https://probpalata.gov.ru/files/ИП380800518100002.jpeg","Скачать индивидуальный QR-код магазина")</f>
        <v>Скачать индивидуальный QR-код магазина</v>
      </c>
    </row>
    <row r="2481" spans="1:7" x14ac:dyDescent="0.25">
      <c r="A2481" t="s">
        <v>6892</v>
      </c>
      <c r="B2481" t="s">
        <v>7790</v>
      </c>
      <c r="C2481" t="s">
        <v>7784</v>
      </c>
      <c r="D2481" t="s">
        <v>7785</v>
      </c>
      <c r="E2481" t="s">
        <v>7786</v>
      </c>
      <c r="F2481" t="s">
        <v>7791</v>
      </c>
      <c r="G2481" s="2" t="str">
        <f>HYPERLINK("https://probpalata.gov.ru/files/ИП380800518100003.jpeg","Скачать индивидуальный QR-код магазина")</f>
        <v>Скачать индивидуальный QR-код магазина</v>
      </c>
    </row>
    <row r="2482" spans="1:7" x14ac:dyDescent="0.25">
      <c r="A2482" t="s">
        <v>6892</v>
      </c>
      <c r="B2482" t="s">
        <v>7792</v>
      </c>
      <c r="C2482" t="s">
        <v>798</v>
      </c>
      <c r="D2482" t="s">
        <v>799</v>
      </c>
      <c r="E2482" t="s">
        <v>800</v>
      </c>
      <c r="F2482" t="s">
        <v>7793</v>
      </c>
      <c r="G2482" s="2" t="str">
        <f>HYPERLINK("https://probpalata.gov.ru/files/ЮЛ780300308200029.jpeg","Скачать индивидуальный QR-код магазина")</f>
        <v>Скачать индивидуальный QR-код магазина</v>
      </c>
    </row>
    <row r="2483" spans="1:7" x14ac:dyDescent="0.25">
      <c r="A2483" t="s">
        <v>6892</v>
      </c>
      <c r="B2483" t="s">
        <v>6893</v>
      </c>
      <c r="C2483" t="s">
        <v>798</v>
      </c>
      <c r="D2483" t="s">
        <v>799</v>
      </c>
      <c r="E2483" t="s">
        <v>800</v>
      </c>
      <c r="F2483" t="s">
        <v>7794</v>
      </c>
      <c r="G2483" s="2" t="str">
        <f>HYPERLINK("https://probpalata.gov.ru/files/ЮЛ780300308200060.jpeg","Скачать индивидуальный QR-код магазина")</f>
        <v>Скачать индивидуальный QR-код магазина</v>
      </c>
    </row>
    <row r="2484" spans="1:7" x14ac:dyDescent="0.25">
      <c r="A2484" t="s">
        <v>6892</v>
      </c>
      <c r="B2484" t="s">
        <v>7732</v>
      </c>
      <c r="C2484" t="s">
        <v>798</v>
      </c>
      <c r="D2484" t="s">
        <v>799</v>
      </c>
      <c r="E2484" t="s">
        <v>800</v>
      </c>
      <c r="F2484" t="s">
        <v>7795</v>
      </c>
      <c r="G2484" s="2" t="str">
        <f>HYPERLINK("https://probpalata.gov.ru/files/ЮЛ780300308200061.jpeg","Скачать индивидуальный QR-код магазина")</f>
        <v>Скачать индивидуальный QR-код магазина</v>
      </c>
    </row>
    <row r="2485" spans="1:7" x14ac:dyDescent="0.25">
      <c r="A2485" t="s">
        <v>6892</v>
      </c>
      <c r="B2485" t="s">
        <v>7796</v>
      </c>
      <c r="C2485" t="s">
        <v>798</v>
      </c>
      <c r="D2485" t="s">
        <v>799</v>
      </c>
      <c r="E2485" t="s">
        <v>800</v>
      </c>
      <c r="F2485" t="s">
        <v>7797</v>
      </c>
      <c r="G2485" s="2" t="str">
        <f>HYPERLINK("https://probpalata.gov.ru/files/ЮЛ780300308200090.jpeg","Скачать индивидуальный QR-код магазина")</f>
        <v>Скачать индивидуальный QR-код магазина</v>
      </c>
    </row>
    <row r="2486" spans="1:7" x14ac:dyDescent="0.25">
      <c r="A2486" t="s">
        <v>6892</v>
      </c>
      <c r="B2486" t="s">
        <v>7798</v>
      </c>
      <c r="C2486" t="s">
        <v>798</v>
      </c>
      <c r="D2486" t="s">
        <v>799</v>
      </c>
      <c r="E2486" t="s">
        <v>800</v>
      </c>
      <c r="F2486" t="s">
        <v>7799</v>
      </c>
      <c r="G2486" s="2" t="str">
        <f>HYPERLINK("https://probpalata.gov.ru/files/ЮЛ780300308200158.jpeg","Скачать индивидуальный QR-код магазина")</f>
        <v>Скачать индивидуальный QR-код магазина</v>
      </c>
    </row>
    <row r="2487" spans="1:7" x14ac:dyDescent="0.25">
      <c r="A2487" t="s">
        <v>6892</v>
      </c>
      <c r="B2487" t="s">
        <v>7800</v>
      </c>
      <c r="C2487" t="s">
        <v>798</v>
      </c>
      <c r="D2487" t="s">
        <v>799</v>
      </c>
      <c r="E2487" t="s">
        <v>800</v>
      </c>
      <c r="F2487" t="s">
        <v>7801</v>
      </c>
      <c r="G2487" s="2" t="str">
        <f>HYPERLINK("https://probpalata.gov.ru/files/ЮЛ780300308200331.jpeg","Скачать индивидуальный QR-код магазина")</f>
        <v>Скачать индивидуальный QR-код магазина</v>
      </c>
    </row>
    <row r="2488" spans="1:7" x14ac:dyDescent="0.25">
      <c r="A2488" t="s">
        <v>6892</v>
      </c>
      <c r="B2488" t="s">
        <v>7802</v>
      </c>
      <c r="C2488" t="s">
        <v>798</v>
      </c>
      <c r="D2488" t="s">
        <v>799</v>
      </c>
      <c r="E2488" t="s">
        <v>800</v>
      </c>
      <c r="F2488" t="s">
        <v>7803</v>
      </c>
      <c r="G2488" s="2" t="str">
        <f>HYPERLINK("https://probpalata.gov.ru/files/ЮЛ780300308200341.jpeg","Скачать индивидуальный QR-код магазина")</f>
        <v>Скачать индивидуальный QR-код магазина</v>
      </c>
    </row>
    <row r="2489" spans="1:7" x14ac:dyDescent="0.25">
      <c r="A2489" t="s">
        <v>6892</v>
      </c>
      <c r="B2489" t="s">
        <v>7776</v>
      </c>
      <c r="C2489" t="s">
        <v>798</v>
      </c>
      <c r="D2489" t="s">
        <v>799</v>
      </c>
      <c r="E2489" t="s">
        <v>800</v>
      </c>
      <c r="F2489" t="s">
        <v>7804</v>
      </c>
      <c r="G2489" s="2" t="str">
        <f>HYPERLINK("https://probpalata.gov.ru/files/ЮЛ780300308200359.jpeg","Скачать индивидуальный QR-код магазина")</f>
        <v>Скачать индивидуальный QR-код магазина</v>
      </c>
    </row>
    <row r="2490" spans="1:7" x14ac:dyDescent="0.25">
      <c r="A2490" t="s">
        <v>6892</v>
      </c>
      <c r="B2490" t="s">
        <v>7805</v>
      </c>
      <c r="C2490" t="s">
        <v>798</v>
      </c>
      <c r="D2490" t="s">
        <v>799</v>
      </c>
      <c r="E2490" t="s">
        <v>800</v>
      </c>
      <c r="F2490" t="s">
        <v>7806</v>
      </c>
      <c r="G2490" s="2" t="str">
        <f>HYPERLINK("https://probpalata.gov.ru/files/ЮЛ780300308200361.jpeg","Скачать индивидуальный QR-код магазина")</f>
        <v>Скачать индивидуальный QR-код магазина</v>
      </c>
    </row>
    <row r="2491" spans="1:7" x14ac:dyDescent="0.25">
      <c r="A2491" t="s">
        <v>6892</v>
      </c>
      <c r="B2491" t="s">
        <v>7807</v>
      </c>
      <c r="C2491" t="s">
        <v>798</v>
      </c>
      <c r="D2491" t="s">
        <v>799</v>
      </c>
      <c r="E2491" t="s">
        <v>800</v>
      </c>
      <c r="F2491" t="s">
        <v>7808</v>
      </c>
      <c r="G2491" s="2" t="str">
        <f>HYPERLINK("https://probpalata.gov.ru/files/ЮЛ780300308200586.jpeg","Скачать индивидуальный QR-код магазина")</f>
        <v>Скачать индивидуальный QR-код магазина</v>
      </c>
    </row>
    <row r="2492" spans="1:7" x14ac:dyDescent="0.25">
      <c r="A2492" t="s">
        <v>6892</v>
      </c>
      <c r="B2492" t="s">
        <v>7809</v>
      </c>
      <c r="C2492" t="s">
        <v>798</v>
      </c>
      <c r="D2492" t="s">
        <v>799</v>
      </c>
      <c r="E2492" t="s">
        <v>800</v>
      </c>
      <c r="F2492" t="s">
        <v>7810</v>
      </c>
      <c r="G2492" s="2" t="str">
        <f>HYPERLINK("https://probpalata.gov.ru/files/ЮЛ780300308200903.jpeg","Скачать индивидуальный QR-код магазина")</f>
        <v>Скачать индивидуальный QR-код магазина</v>
      </c>
    </row>
    <row r="2493" spans="1:7" x14ac:dyDescent="0.25">
      <c r="A2493" t="s">
        <v>6892</v>
      </c>
      <c r="B2493" t="s">
        <v>7811</v>
      </c>
      <c r="C2493" t="s">
        <v>798</v>
      </c>
      <c r="D2493" t="s">
        <v>799</v>
      </c>
      <c r="E2493" t="s">
        <v>800</v>
      </c>
      <c r="F2493" t="s">
        <v>7812</v>
      </c>
      <c r="G2493" s="2" t="str">
        <f>HYPERLINK("https://probpalata.gov.ru/files/ЮЛ780300308201033.jpeg","Скачать индивидуальный QR-код магазина")</f>
        <v>Скачать индивидуальный QR-код магазина</v>
      </c>
    </row>
    <row r="2494" spans="1:7" x14ac:dyDescent="0.25">
      <c r="A2494" t="s">
        <v>6892</v>
      </c>
      <c r="B2494" t="s">
        <v>7813</v>
      </c>
      <c r="C2494" t="s">
        <v>798</v>
      </c>
      <c r="D2494" t="s">
        <v>799</v>
      </c>
      <c r="E2494" t="s">
        <v>800</v>
      </c>
      <c r="F2494" t="s">
        <v>7814</v>
      </c>
      <c r="G2494" s="2" t="str">
        <f>HYPERLINK("https://probpalata.gov.ru/files/ЮЛ780300308201042.jpeg","Скачать индивидуальный QR-код магазина")</f>
        <v>Скачать индивидуальный QR-код магазина</v>
      </c>
    </row>
    <row r="2495" spans="1:7" x14ac:dyDescent="0.25">
      <c r="A2495" t="s">
        <v>6892</v>
      </c>
      <c r="B2495" t="s">
        <v>7815</v>
      </c>
      <c r="C2495" t="s">
        <v>798</v>
      </c>
      <c r="D2495" t="s">
        <v>799</v>
      </c>
      <c r="E2495" t="s">
        <v>800</v>
      </c>
      <c r="F2495" t="s">
        <v>7816</v>
      </c>
      <c r="G2495" s="2" t="str">
        <f>HYPERLINK("https://probpalata.gov.ru/files/ЮЛ780300308201059.jpeg","Скачать индивидуальный QR-код магазина")</f>
        <v>Скачать индивидуальный QR-код магазина</v>
      </c>
    </row>
    <row r="2496" spans="1:7" x14ac:dyDescent="0.25">
      <c r="A2496" t="s">
        <v>6892</v>
      </c>
      <c r="B2496" t="s">
        <v>7781</v>
      </c>
      <c r="C2496" t="s">
        <v>798</v>
      </c>
      <c r="D2496" t="s">
        <v>799</v>
      </c>
      <c r="E2496" t="s">
        <v>800</v>
      </c>
      <c r="F2496" t="s">
        <v>7817</v>
      </c>
      <c r="G2496" s="2" t="str">
        <f>HYPERLINK("https://probpalata.gov.ru/files/ЮЛ780300308201066.jpeg","Скачать индивидуальный QR-код магазина")</f>
        <v>Скачать индивидуальный QR-код магазина</v>
      </c>
    </row>
    <row r="2497" spans="1:7" x14ac:dyDescent="0.25">
      <c r="A2497" t="s">
        <v>6892</v>
      </c>
      <c r="B2497" t="s">
        <v>7492</v>
      </c>
      <c r="C2497" t="s">
        <v>798</v>
      </c>
      <c r="D2497" t="s">
        <v>799</v>
      </c>
      <c r="E2497" t="s">
        <v>800</v>
      </c>
      <c r="F2497" t="s">
        <v>7818</v>
      </c>
      <c r="G2497" s="2" t="str">
        <f>HYPERLINK("https://probpalata.gov.ru/files/ЮЛ780300308201085.jpeg","Скачать индивидуальный QR-код магазина")</f>
        <v>Скачать индивидуальный QR-код магазина</v>
      </c>
    </row>
    <row r="2498" spans="1:7" x14ac:dyDescent="0.25">
      <c r="A2498" t="s">
        <v>6892</v>
      </c>
      <c r="B2498" t="s">
        <v>7819</v>
      </c>
      <c r="C2498" t="s">
        <v>798</v>
      </c>
      <c r="D2498" t="s">
        <v>799</v>
      </c>
      <c r="E2498" t="s">
        <v>800</v>
      </c>
      <c r="F2498" t="s">
        <v>7820</v>
      </c>
      <c r="G2498" s="2" t="str">
        <f>HYPERLINK("https://probpalata.gov.ru/files/ЮЛ780300308201086.jpeg","Скачать индивидуальный QR-код магазина")</f>
        <v>Скачать индивидуальный QR-код магазина</v>
      </c>
    </row>
    <row r="2499" spans="1:7" x14ac:dyDescent="0.25">
      <c r="A2499" t="s">
        <v>6892</v>
      </c>
      <c r="B2499" t="s">
        <v>7821</v>
      </c>
      <c r="C2499" t="s">
        <v>798</v>
      </c>
      <c r="D2499" t="s">
        <v>799</v>
      </c>
      <c r="E2499" t="s">
        <v>800</v>
      </c>
      <c r="F2499" t="s">
        <v>7822</v>
      </c>
      <c r="G2499" s="2" t="str">
        <f>HYPERLINK("https://probpalata.gov.ru/files/ЮЛ780300308201133.jpeg","Скачать индивидуальный QR-код магазина")</f>
        <v>Скачать индивидуальный QR-код магазина</v>
      </c>
    </row>
    <row r="2500" spans="1:7" x14ac:dyDescent="0.25">
      <c r="A2500" t="s">
        <v>6892</v>
      </c>
      <c r="B2500" t="s">
        <v>7823</v>
      </c>
      <c r="C2500" t="s">
        <v>7824</v>
      </c>
      <c r="D2500" t="s">
        <v>7825</v>
      </c>
      <c r="E2500" t="s">
        <v>7826</v>
      </c>
      <c r="F2500" t="s">
        <v>7827</v>
      </c>
      <c r="G2500" s="2" t="str">
        <f>HYPERLINK("https://probpalata.gov.ru/files/ИП380803226900000.jpeg","Скачать индивидуальный QR-код магазина")</f>
        <v>Скачать индивидуальный QR-код магазина</v>
      </c>
    </row>
    <row r="2501" spans="1:7" x14ac:dyDescent="0.25">
      <c r="A2501" t="s">
        <v>6892</v>
      </c>
      <c r="B2501" t="s">
        <v>7828</v>
      </c>
      <c r="C2501" t="s">
        <v>7829</v>
      </c>
      <c r="D2501" t="s">
        <v>7830</v>
      </c>
      <c r="E2501" t="s">
        <v>7831</v>
      </c>
      <c r="F2501" t="s">
        <v>7832</v>
      </c>
      <c r="G2501" s="2" t="str">
        <f>HYPERLINK("https://probpalata.gov.ru/files/ИП380801009000000.jpeg","Скачать индивидуальный QR-код магазина")</f>
        <v>Скачать индивидуальный QR-код магазина</v>
      </c>
    </row>
    <row r="2502" spans="1:7" x14ac:dyDescent="0.25">
      <c r="A2502" t="s">
        <v>6892</v>
      </c>
      <c r="B2502" t="s">
        <v>7833</v>
      </c>
      <c r="C2502" t="s">
        <v>7829</v>
      </c>
      <c r="D2502" t="s">
        <v>7830</v>
      </c>
      <c r="E2502" t="s">
        <v>7831</v>
      </c>
      <c r="F2502" t="s">
        <v>7834</v>
      </c>
      <c r="G2502" s="2" t="str">
        <f>HYPERLINK("https://probpalata.gov.ru/files/ИП380801009000001.jpeg","Скачать индивидуальный QR-код магазина")</f>
        <v>Скачать индивидуальный QR-код магазина</v>
      </c>
    </row>
    <row r="2503" spans="1:7" x14ac:dyDescent="0.25">
      <c r="A2503" t="s">
        <v>6892</v>
      </c>
      <c r="B2503" t="s">
        <v>7835</v>
      </c>
      <c r="C2503" t="s">
        <v>7836</v>
      </c>
      <c r="D2503" t="s">
        <v>7837</v>
      </c>
      <c r="E2503" t="s">
        <v>7838</v>
      </c>
      <c r="F2503" t="s">
        <v>7839</v>
      </c>
      <c r="G2503" s="2" t="str">
        <f>HYPERLINK("https://probpalata.gov.ru/files/ИП380803134700000.jpeg","Скачать индивидуальный QR-код магазина")</f>
        <v>Скачать индивидуальный QR-код магазина</v>
      </c>
    </row>
    <row r="2504" spans="1:7" x14ac:dyDescent="0.25">
      <c r="A2504" t="s">
        <v>6892</v>
      </c>
      <c r="B2504" t="s">
        <v>7840</v>
      </c>
      <c r="C2504" t="s">
        <v>7841</v>
      </c>
      <c r="D2504" t="s">
        <v>7842</v>
      </c>
      <c r="E2504" t="s">
        <v>7843</v>
      </c>
      <c r="F2504" t="s">
        <v>7844</v>
      </c>
      <c r="G2504" s="2" t="str">
        <f>HYPERLINK("https://probpalata.gov.ru/files/ЮЛ900403653600004.jpeg","Скачать индивидуальный QR-код магазина")</f>
        <v>Скачать индивидуальный QR-код магазина</v>
      </c>
    </row>
    <row r="2505" spans="1:7" x14ac:dyDescent="0.25">
      <c r="A2505" t="s">
        <v>6892</v>
      </c>
      <c r="B2505" t="s">
        <v>7845</v>
      </c>
      <c r="C2505" t="s">
        <v>1501</v>
      </c>
      <c r="D2505" t="s">
        <v>1502</v>
      </c>
      <c r="E2505" t="s">
        <v>1503</v>
      </c>
      <c r="F2505" t="s">
        <v>7846</v>
      </c>
      <c r="G2505" s="2" t="str">
        <f>HYPERLINK("https://probpalata.gov.ru/files/ЮЛ770100439200023.jpeg","Скачать индивидуальный QR-код магазина")</f>
        <v>Скачать индивидуальный QR-код магазина</v>
      </c>
    </row>
    <row r="2506" spans="1:7" x14ac:dyDescent="0.25">
      <c r="A2506" t="s">
        <v>6892</v>
      </c>
      <c r="B2506" t="s">
        <v>7847</v>
      </c>
      <c r="C2506" t="s">
        <v>1501</v>
      </c>
      <c r="D2506" t="s">
        <v>1502</v>
      </c>
      <c r="E2506" t="s">
        <v>1503</v>
      </c>
      <c r="F2506" t="s">
        <v>7848</v>
      </c>
      <c r="G2506" s="2" t="str">
        <f>HYPERLINK("https://probpalata.gov.ru/files/ЮЛ770100439200172.jpeg","Скачать индивидуальный QR-код магазина")</f>
        <v>Скачать индивидуальный QR-код магазина</v>
      </c>
    </row>
    <row r="2507" spans="1:7" x14ac:dyDescent="0.25">
      <c r="A2507" t="s">
        <v>6892</v>
      </c>
      <c r="B2507" t="s">
        <v>7849</v>
      </c>
      <c r="C2507" t="s">
        <v>1501</v>
      </c>
      <c r="D2507" t="s">
        <v>1502</v>
      </c>
      <c r="E2507" t="s">
        <v>1503</v>
      </c>
      <c r="F2507" t="s">
        <v>7850</v>
      </c>
      <c r="G2507" s="2" t="str">
        <f>HYPERLINK("https://probpalata.gov.ru/files/ЮЛ770100439200185.jpeg","Скачать индивидуальный QR-код магазина")</f>
        <v>Скачать индивидуальный QR-код магазина</v>
      </c>
    </row>
    <row r="2508" spans="1:7" x14ac:dyDescent="0.25">
      <c r="A2508" t="s">
        <v>6892</v>
      </c>
      <c r="B2508" t="s">
        <v>7851</v>
      </c>
      <c r="C2508" t="s">
        <v>7852</v>
      </c>
      <c r="D2508" t="s">
        <v>7853</v>
      </c>
      <c r="E2508" t="s">
        <v>7854</v>
      </c>
      <c r="F2508" t="s">
        <v>7855</v>
      </c>
      <c r="G2508" s="2" t="str">
        <f>HYPERLINK("https://probpalata.gov.ru/files/ЮЛ770100029500007.jpeg","Скачать индивидуальный QR-код магазина")</f>
        <v>Скачать индивидуальный QR-код магазина</v>
      </c>
    </row>
    <row r="2509" spans="1:7" x14ac:dyDescent="0.25">
      <c r="A2509" t="s">
        <v>6892</v>
      </c>
      <c r="B2509" t="s">
        <v>7856</v>
      </c>
      <c r="C2509" t="s">
        <v>1853</v>
      </c>
      <c r="D2509" t="s">
        <v>1854</v>
      </c>
      <c r="E2509" t="s">
        <v>1855</v>
      </c>
      <c r="F2509" t="s">
        <v>7857</v>
      </c>
      <c r="G2509" s="2" t="str">
        <f>HYPERLINK("https://probpalata.gov.ru/files/ЮЛ770104000500005.jpeg","Скачать индивидуальный QR-код магазина")</f>
        <v>Скачать индивидуальный QR-код магазина</v>
      </c>
    </row>
    <row r="2510" spans="1:7" x14ac:dyDescent="0.25">
      <c r="A2510" t="s">
        <v>7858</v>
      </c>
      <c r="B2510" t="s">
        <v>7859</v>
      </c>
      <c r="C2510" t="s">
        <v>7860</v>
      </c>
      <c r="D2510" t="s">
        <v>7861</v>
      </c>
      <c r="E2510" t="s">
        <v>7862</v>
      </c>
      <c r="F2510" t="s">
        <v>7863</v>
      </c>
      <c r="G2510" s="2" t="str">
        <f>HYPERLINK("https://probpalata.gov.ru/files/ИП070500317700000.jpeg","Скачать индивидуальный QR-код магазина")</f>
        <v>Скачать индивидуальный QR-код магазина</v>
      </c>
    </row>
    <row r="2511" spans="1:7" x14ac:dyDescent="0.25">
      <c r="A2511" t="s">
        <v>7858</v>
      </c>
      <c r="B2511" t="s">
        <v>7864</v>
      </c>
      <c r="C2511" t="s">
        <v>7865</v>
      </c>
      <c r="D2511" t="s">
        <v>7866</v>
      </c>
      <c r="E2511" t="s">
        <v>7867</v>
      </c>
      <c r="F2511" t="s">
        <v>7868</v>
      </c>
      <c r="G2511" s="2" t="str">
        <f>HYPERLINK("https://probpalata.gov.ru/files/ИП070503637900000.jpeg","Скачать индивидуальный QR-код магазина")</f>
        <v>Скачать индивидуальный QR-код магазина</v>
      </c>
    </row>
    <row r="2512" spans="1:7" x14ac:dyDescent="0.25">
      <c r="A2512" t="s">
        <v>7858</v>
      </c>
      <c r="B2512" t="s">
        <v>7869</v>
      </c>
      <c r="C2512" t="s">
        <v>7870</v>
      </c>
      <c r="D2512" t="s">
        <v>7871</v>
      </c>
      <c r="E2512" t="s">
        <v>7872</v>
      </c>
      <c r="F2512" t="s">
        <v>7873</v>
      </c>
      <c r="G2512" s="2" t="str">
        <f>HYPERLINK("https://probpalata.gov.ru/files/ИП070503466000000.jpeg","Скачать индивидуальный QR-код магазина")</f>
        <v>Скачать индивидуальный QR-код магазина</v>
      </c>
    </row>
    <row r="2513" spans="1:7" x14ac:dyDescent="0.25">
      <c r="A2513" t="s">
        <v>7858</v>
      </c>
      <c r="B2513" t="s">
        <v>7874</v>
      </c>
      <c r="C2513" t="s">
        <v>7875</v>
      </c>
      <c r="D2513" t="s">
        <v>7876</v>
      </c>
      <c r="E2513" t="s">
        <v>7877</v>
      </c>
      <c r="F2513" t="s">
        <v>7878</v>
      </c>
      <c r="G2513" s="2" t="str">
        <f>HYPERLINK("https://probpalata.gov.ru/files/ЮЛ070500437000000.jpeg","Скачать индивидуальный QR-код магазина")</f>
        <v>Скачать индивидуальный QR-код магазина</v>
      </c>
    </row>
    <row r="2514" spans="1:7" x14ac:dyDescent="0.25">
      <c r="A2514" t="s">
        <v>7858</v>
      </c>
      <c r="B2514" t="s">
        <v>7879</v>
      </c>
      <c r="C2514" t="s">
        <v>7880</v>
      </c>
      <c r="D2514" t="s">
        <v>7881</v>
      </c>
      <c r="E2514" t="s">
        <v>7882</v>
      </c>
      <c r="F2514" t="s">
        <v>7883</v>
      </c>
      <c r="G2514" s="2" t="str">
        <f>HYPERLINK("https://probpalata.gov.ru/files/ИП070500606000000.jpeg","Скачать индивидуальный QR-код магазина")</f>
        <v>Скачать индивидуальный QR-код магазина</v>
      </c>
    </row>
    <row r="2515" spans="1:7" x14ac:dyDescent="0.25">
      <c r="A2515" t="s">
        <v>7858</v>
      </c>
      <c r="B2515" t="s">
        <v>7884</v>
      </c>
      <c r="C2515" t="s">
        <v>7885</v>
      </c>
      <c r="D2515" t="s">
        <v>7886</v>
      </c>
      <c r="E2515" t="s">
        <v>7887</v>
      </c>
      <c r="F2515" t="s">
        <v>7888</v>
      </c>
      <c r="G2515" s="2" t="str">
        <f>HYPERLINK("https://probpalata.gov.ru/files/ЮЛ070500611200000.jpeg","Скачать индивидуальный QR-код магазина")</f>
        <v>Скачать индивидуальный QR-код магазина</v>
      </c>
    </row>
    <row r="2516" spans="1:7" x14ac:dyDescent="0.25">
      <c r="A2516" t="s">
        <v>7858</v>
      </c>
      <c r="B2516" t="s">
        <v>7889</v>
      </c>
      <c r="C2516" t="s">
        <v>7890</v>
      </c>
      <c r="D2516" t="s">
        <v>7891</v>
      </c>
      <c r="E2516" t="s">
        <v>7892</v>
      </c>
      <c r="F2516" t="s">
        <v>7893</v>
      </c>
      <c r="G2516" s="2" t="str">
        <f>HYPERLINK("https://probpalata.gov.ru/files/ИП070500558900000.jpeg","Скачать индивидуальный QR-код магазина")</f>
        <v>Скачать индивидуальный QR-код магазина</v>
      </c>
    </row>
    <row r="2517" spans="1:7" x14ac:dyDescent="0.25">
      <c r="A2517" t="s">
        <v>7858</v>
      </c>
      <c r="B2517" t="s">
        <v>7894</v>
      </c>
      <c r="C2517" t="s">
        <v>7895</v>
      </c>
      <c r="D2517" t="s">
        <v>7896</v>
      </c>
      <c r="E2517" t="s">
        <v>7897</v>
      </c>
      <c r="F2517" t="s">
        <v>7898</v>
      </c>
      <c r="G2517" s="2" t="str">
        <f>HYPERLINK("https://probpalata.gov.ru/files/ИП070500008200000.jpeg","Скачать индивидуальный QR-код магазина")</f>
        <v>Скачать индивидуальный QR-код магазина</v>
      </c>
    </row>
    <row r="2518" spans="1:7" x14ac:dyDescent="0.25">
      <c r="A2518" t="s">
        <v>7858</v>
      </c>
      <c r="B2518" t="s">
        <v>7899</v>
      </c>
      <c r="C2518" t="s">
        <v>7900</v>
      </c>
      <c r="D2518" t="s">
        <v>7901</v>
      </c>
      <c r="E2518" t="s">
        <v>7902</v>
      </c>
      <c r="F2518" t="s">
        <v>7903</v>
      </c>
      <c r="G2518" s="2" t="str">
        <f>HYPERLINK("https://probpalata.gov.ru/files/ИП070500693200000.jpeg","Скачать индивидуальный QR-код магазина")</f>
        <v>Скачать индивидуальный QR-код магазина</v>
      </c>
    </row>
    <row r="2519" spans="1:7" x14ac:dyDescent="0.25">
      <c r="A2519" t="s">
        <v>7858</v>
      </c>
      <c r="B2519" t="s">
        <v>7904</v>
      </c>
      <c r="C2519" t="s">
        <v>7905</v>
      </c>
      <c r="D2519" t="s">
        <v>7906</v>
      </c>
      <c r="E2519" t="s">
        <v>7907</v>
      </c>
      <c r="F2519" t="s">
        <v>7908</v>
      </c>
      <c r="G2519" s="2" t="str">
        <f>HYPERLINK("https://probpalata.gov.ru/files/ИП070500311200000.jpeg","Скачать индивидуальный QR-код магазина")</f>
        <v>Скачать индивидуальный QR-код магазина</v>
      </c>
    </row>
    <row r="2520" spans="1:7" x14ac:dyDescent="0.25">
      <c r="A2520" t="s">
        <v>7858</v>
      </c>
      <c r="B2520" t="s">
        <v>7909</v>
      </c>
      <c r="C2520" t="s">
        <v>7910</v>
      </c>
      <c r="D2520" t="s">
        <v>7911</v>
      </c>
      <c r="E2520" t="s">
        <v>7912</v>
      </c>
      <c r="F2520" t="s">
        <v>7913</v>
      </c>
      <c r="G2520" s="2" t="str">
        <f>HYPERLINK("https://probpalata.gov.ru/files/ИП070500532800000.jpeg","Скачать индивидуальный QR-код магазина")</f>
        <v>Скачать индивидуальный QR-код магазина</v>
      </c>
    </row>
    <row r="2521" spans="1:7" x14ac:dyDescent="0.25">
      <c r="A2521" t="s">
        <v>7858</v>
      </c>
      <c r="B2521" t="s">
        <v>7914</v>
      </c>
      <c r="C2521" t="s">
        <v>7915</v>
      </c>
      <c r="D2521" t="s">
        <v>7916</v>
      </c>
      <c r="E2521" t="s">
        <v>7917</v>
      </c>
      <c r="F2521" t="s">
        <v>7918</v>
      </c>
      <c r="G2521" s="2" t="str">
        <f>HYPERLINK("https://probpalata.gov.ru/files/ИП070500311600000.jpeg","Скачать индивидуальный QR-код магазина")</f>
        <v>Скачать индивидуальный QR-код магазина</v>
      </c>
    </row>
    <row r="2522" spans="1:7" x14ac:dyDescent="0.25">
      <c r="A2522" t="s">
        <v>7858</v>
      </c>
      <c r="B2522" t="s">
        <v>7919</v>
      </c>
      <c r="C2522" t="s">
        <v>7920</v>
      </c>
      <c r="D2522" t="s">
        <v>7921</v>
      </c>
      <c r="E2522" t="s">
        <v>7922</v>
      </c>
      <c r="F2522" t="s">
        <v>7923</v>
      </c>
      <c r="G2522" s="2" t="str">
        <f>HYPERLINK("https://probpalata.gov.ru/files/ИП070501720100000.jpeg","Скачать индивидуальный QR-код магазина")</f>
        <v>Скачать индивидуальный QR-код магазина</v>
      </c>
    </row>
    <row r="2523" spans="1:7" x14ac:dyDescent="0.25">
      <c r="A2523" t="s">
        <v>7858</v>
      </c>
      <c r="B2523" t="s">
        <v>7924</v>
      </c>
      <c r="C2523" t="s">
        <v>7925</v>
      </c>
      <c r="D2523" t="s">
        <v>7926</v>
      </c>
      <c r="E2523" t="s">
        <v>7927</v>
      </c>
      <c r="F2523" t="s">
        <v>7928</v>
      </c>
      <c r="G2523" s="2" t="str">
        <f>HYPERLINK("https://probpalata.gov.ru/files/ИП070501756800000.jpeg","Скачать индивидуальный QR-код магазина")</f>
        <v>Скачать индивидуальный QR-код магазина</v>
      </c>
    </row>
    <row r="2524" spans="1:7" x14ac:dyDescent="0.25">
      <c r="A2524" t="s">
        <v>7858</v>
      </c>
      <c r="B2524" t="s">
        <v>7929</v>
      </c>
      <c r="C2524" t="s">
        <v>7930</v>
      </c>
      <c r="D2524" t="s">
        <v>7931</v>
      </c>
      <c r="E2524" t="s">
        <v>7932</v>
      </c>
      <c r="F2524" t="s">
        <v>7933</v>
      </c>
      <c r="G2524" s="2" t="str">
        <f>HYPERLINK("https://probpalata.gov.ru/files/ИП070503045100000.jpeg","Скачать индивидуальный QR-код магазина")</f>
        <v>Скачать индивидуальный QR-код магазина</v>
      </c>
    </row>
    <row r="2525" spans="1:7" x14ac:dyDescent="0.25">
      <c r="A2525" t="s">
        <v>7858</v>
      </c>
      <c r="B2525" t="s">
        <v>7934</v>
      </c>
      <c r="C2525" t="s">
        <v>7935</v>
      </c>
      <c r="D2525" t="s">
        <v>7936</v>
      </c>
      <c r="E2525" t="s">
        <v>7937</v>
      </c>
      <c r="F2525" t="s">
        <v>7938</v>
      </c>
      <c r="G2525" s="2" t="str">
        <f>HYPERLINK("https://probpalata.gov.ru/files/ИП070501145000000.jpeg","Скачать индивидуальный QR-код магазина")</f>
        <v>Скачать индивидуальный QR-код магазина</v>
      </c>
    </row>
    <row r="2526" spans="1:7" x14ac:dyDescent="0.25">
      <c r="A2526" t="s">
        <v>7858</v>
      </c>
      <c r="B2526" t="s">
        <v>7939</v>
      </c>
      <c r="C2526" t="s">
        <v>7940</v>
      </c>
      <c r="D2526" t="s">
        <v>7941</v>
      </c>
      <c r="E2526" t="s">
        <v>7942</v>
      </c>
      <c r="F2526" t="s">
        <v>7943</v>
      </c>
      <c r="G2526" s="2" t="str">
        <f>HYPERLINK("https://probpalata.gov.ru/files/ИП070500531200000.jpeg","Скачать индивидуальный QR-код магазина")</f>
        <v>Скачать индивидуальный QR-код магазина</v>
      </c>
    </row>
    <row r="2527" spans="1:7" x14ac:dyDescent="0.25">
      <c r="A2527" t="s">
        <v>7858</v>
      </c>
      <c r="B2527" t="s">
        <v>7904</v>
      </c>
      <c r="C2527" t="s">
        <v>7944</v>
      </c>
      <c r="D2527" t="s">
        <v>7945</v>
      </c>
      <c r="E2527" t="s">
        <v>7946</v>
      </c>
      <c r="F2527" t="s">
        <v>7947</v>
      </c>
      <c r="G2527" s="2" t="str">
        <f>HYPERLINK("https://probpalata.gov.ru/files/ИП070500070300000.jpeg","Скачать индивидуальный QR-код магазина")</f>
        <v>Скачать индивидуальный QR-код магазина</v>
      </c>
    </row>
    <row r="2528" spans="1:7" x14ac:dyDescent="0.25">
      <c r="A2528" t="s">
        <v>7858</v>
      </c>
      <c r="B2528" t="s">
        <v>7904</v>
      </c>
      <c r="C2528" t="s">
        <v>7948</v>
      </c>
      <c r="D2528" t="s">
        <v>7949</v>
      </c>
      <c r="E2528" t="s">
        <v>7950</v>
      </c>
      <c r="F2528" t="s">
        <v>7951</v>
      </c>
      <c r="G2528" s="2" t="str">
        <f>HYPERLINK("https://probpalata.gov.ru/files/ИП070500796200000.jpeg","Скачать индивидуальный QR-код магазина")</f>
        <v>Скачать индивидуальный QR-код магазина</v>
      </c>
    </row>
    <row r="2529" spans="1:7" x14ac:dyDescent="0.25">
      <c r="A2529" t="s">
        <v>7858</v>
      </c>
      <c r="B2529" t="s">
        <v>7952</v>
      </c>
      <c r="C2529" t="s">
        <v>7953</v>
      </c>
      <c r="D2529" t="s">
        <v>7954</v>
      </c>
      <c r="E2529" t="s">
        <v>7955</v>
      </c>
      <c r="F2529" t="s">
        <v>7956</v>
      </c>
      <c r="G2529" s="2" t="str">
        <f>HYPERLINK("https://probpalata.gov.ru/files/ИП340403773000000.jpeg","Скачать индивидуальный QR-код магазина")</f>
        <v>Скачать индивидуальный QR-код магазина</v>
      </c>
    </row>
    <row r="2530" spans="1:7" x14ac:dyDescent="0.25">
      <c r="A2530" t="s">
        <v>7858</v>
      </c>
      <c r="B2530" t="s">
        <v>7957</v>
      </c>
      <c r="C2530" t="s">
        <v>7958</v>
      </c>
      <c r="D2530" t="s">
        <v>7959</v>
      </c>
      <c r="E2530" t="s">
        <v>7960</v>
      </c>
      <c r="F2530" t="s">
        <v>7961</v>
      </c>
      <c r="G2530" s="2" t="str">
        <f>HYPERLINK("https://probpalata.gov.ru/files/ИП070500445400000.jpeg","Скачать индивидуальный QR-код магазина")</f>
        <v>Скачать индивидуальный QR-код магазина</v>
      </c>
    </row>
    <row r="2531" spans="1:7" x14ac:dyDescent="0.25">
      <c r="A2531" t="s">
        <v>7858</v>
      </c>
      <c r="B2531" t="s">
        <v>7962</v>
      </c>
      <c r="C2531" t="s">
        <v>3783</v>
      </c>
      <c r="D2531" t="s">
        <v>3784</v>
      </c>
      <c r="E2531" t="s">
        <v>3785</v>
      </c>
      <c r="F2531" t="s">
        <v>7963</v>
      </c>
      <c r="G2531" s="2" t="str">
        <f>HYPERLINK("https://probpalata.gov.ru/files/ИП610400829500019.jpeg","Скачать индивидуальный QR-код магазина")</f>
        <v>Скачать индивидуальный QR-код магазина</v>
      </c>
    </row>
    <row r="2532" spans="1:7" x14ac:dyDescent="0.25">
      <c r="A2532" t="s">
        <v>7858</v>
      </c>
      <c r="B2532" t="s">
        <v>7964</v>
      </c>
      <c r="C2532" t="s">
        <v>7965</v>
      </c>
      <c r="D2532" t="s">
        <v>7966</v>
      </c>
      <c r="E2532" t="s">
        <v>7967</v>
      </c>
      <c r="F2532" t="s">
        <v>7968</v>
      </c>
      <c r="G2532" s="2" t="str">
        <f>HYPERLINK("https://probpalata.gov.ru/files/ЮЛ660700070800072.jpeg","Скачать индивидуальный QR-код магазина")</f>
        <v>Скачать индивидуальный QR-код магазина</v>
      </c>
    </row>
    <row r="2533" spans="1:7" x14ac:dyDescent="0.25">
      <c r="A2533" t="s">
        <v>7858</v>
      </c>
      <c r="B2533" t="s">
        <v>7969</v>
      </c>
      <c r="C2533" t="s">
        <v>1745</v>
      </c>
      <c r="D2533" t="s">
        <v>1746</v>
      </c>
      <c r="E2533" t="s">
        <v>1747</v>
      </c>
      <c r="F2533" t="s">
        <v>7970</v>
      </c>
      <c r="G2533" s="2" t="str">
        <f>HYPERLINK("https://probpalata.gov.ru/files/ЮЛ770100201500567.jpeg","Скачать индивидуальный QR-код магазина")</f>
        <v>Скачать индивидуальный QR-код магазина</v>
      </c>
    </row>
    <row r="2534" spans="1:7" x14ac:dyDescent="0.25">
      <c r="A2534" t="s">
        <v>7858</v>
      </c>
      <c r="B2534" t="s">
        <v>7971</v>
      </c>
      <c r="C2534" t="s">
        <v>713</v>
      </c>
      <c r="D2534" t="s">
        <v>714</v>
      </c>
      <c r="E2534" t="s">
        <v>715</v>
      </c>
      <c r="F2534" t="s">
        <v>7972</v>
      </c>
      <c r="G2534" s="2" t="str">
        <f>HYPERLINK("https://probpalata.gov.ru/files/ЮЛ770101216600785.jpeg","Скачать индивидуальный QR-код магазина")</f>
        <v>Скачать индивидуальный QR-код магазина</v>
      </c>
    </row>
    <row r="2535" spans="1:7" x14ac:dyDescent="0.25">
      <c r="A2535" t="s">
        <v>7858</v>
      </c>
      <c r="B2535" t="s">
        <v>7973</v>
      </c>
      <c r="C2535" t="s">
        <v>713</v>
      </c>
      <c r="D2535" t="s">
        <v>714</v>
      </c>
      <c r="E2535" t="s">
        <v>715</v>
      </c>
      <c r="F2535" t="s">
        <v>7974</v>
      </c>
      <c r="G2535" s="2" t="str">
        <f>HYPERLINK("https://probpalata.gov.ru/files/ЮЛ770101216600903.jpeg","Скачать индивидуальный QR-код магазина")</f>
        <v>Скачать индивидуальный QR-код магазина</v>
      </c>
    </row>
    <row r="2536" spans="1:7" x14ac:dyDescent="0.25">
      <c r="A2536" t="s">
        <v>7858</v>
      </c>
      <c r="B2536" t="s">
        <v>7975</v>
      </c>
      <c r="C2536" t="s">
        <v>1416</v>
      </c>
      <c r="D2536" t="s">
        <v>1417</v>
      </c>
      <c r="E2536" t="s">
        <v>1418</v>
      </c>
      <c r="F2536" t="s">
        <v>7976</v>
      </c>
      <c r="G2536" s="2" t="str">
        <f>HYPERLINK("https://probpalata.gov.ru/files/ЮЛ770100419400184.jpeg","Скачать индивидуальный QR-код магазина")</f>
        <v>Скачать индивидуальный QR-код магазина</v>
      </c>
    </row>
    <row r="2537" spans="1:7" x14ac:dyDescent="0.25">
      <c r="A2537" t="s">
        <v>7858</v>
      </c>
      <c r="B2537" t="s">
        <v>7977</v>
      </c>
      <c r="C2537" t="s">
        <v>1416</v>
      </c>
      <c r="D2537" t="s">
        <v>1417</v>
      </c>
      <c r="E2537" t="s">
        <v>1418</v>
      </c>
      <c r="F2537" t="s">
        <v>7978</v>
      </c>
      <c r="G2537" s="2" t="str">
        <f>HYPERLINK("https://probpalata.gov.ru/files/ЮЛ770100419400188.jpeg","Скачать индивидуальный QR-код магазина")</f>
        <v>Скачать индивидуальный QR-код магазина</v>
      </c>
    </row>
    <row r="2538" spans="1:7" x14ac:dyDescent="0.25">
      <c r="A2538" t="s">
        <v>7858</v>
      </c>
      <c r="B2538" t="s">
        <v>7979</v>
      </c>
      <c r="C2538" t="s">
        <v>748</v>
      </c>
      <c r="D2538" t="s">
        <v>749</v>
      </c>
      <c r="E2538" t="s">
        <v>750</v>
      </c>
      <c r="F2538" t="s">
        <v>7980</v>
      </c>
      <c r="G2538" s="2" t="str">
        <f>HYPERLINK("https://probpalata.gov.ru/files/ЮЛ770100193500261.jpeg","Скачать индивидуальный QR-код магазина")</f>
        <v>Скачать индивидуальный QR-код магазина</v>
      </c>
    </row>
    <row r="2539" spans="1:7" x14ac:dyDescent="0.25">
      <c r="A2539" t="s">
        <v>7858</v>
      </c>
      <c r="B2539" t="s">
        <v>7981</v>
      </c>
      <c r="C2539" t="s">
        <v>748</v>
      </c>
      <c r="D2539" t="s">
        <v>749</v>
      </c>
      <c r="E2539" t="s">
        <v>750</v>
      </c>
      <c r="F2539" t="s">
        <v>7982</v>
      </c>
      <c r="G2539" s="2" t="str">
        <f>HYPERLINK("https://probpalata.gov.ru/files/ЮЛ770100193500540.jpeg","Скачать индивидуальный QR-код магазина")</f>
        <v>Скачать индивидуальный QR-код магазина</v>
      </c>
    </row>
    <row r="2540" spans="1:7" x14ac:dyDescent="0.25">
      <c r="A2540" t="s">
        <v>7858</v>
      </c>
      <c r="B2540" t="s">
        <v>7983</v>
      </c>
      <c r="C2540" t="s">
        <v>748</v>
      </c>
      <c r="D2540" t="s">
        <v>749</v>
      </c>
      <c r="E2540" t="s">
        <v>750</v>
      </c>
      <c r="F2540" t="s">
        <v>7984</v>
      </c>
      <c r="G2540" s="2" t="str">
        <f>HYPERLINK("https://probpalata.gov.ru/files/ЮЛ770100193500644.jpeg","Скачать индивидуальный QR-код магазина")</f>
        <v>Скачать индивидуальный QR-код магазина</v>
      </c>
    </row>
    <row r="2541" spans="1:7" x14ac:dyDescent="0.25">
      <c r="A2541" t="s">
        <v>7858</v>
      </c>
      <c r="B2541" t="s">
        <v>7985</v>
      </c>
      <c r="C2541" t="s">
        <v>748</v>
      </c>
      <c r="D2541" t="s">
        <v>749</v>
      </c>
      <c r="E2541" t="s">
        <v>750</v>
      </c>
      <c r="F2541" t="s">
        <v>7986</v>
      </c>
      <c r="G2541" s="2" t="str">
        <f>HYPERLINK("https://probpalata.gov.ru/files/ЮЛ770100193500768.jpeg","Скачать индивидуальный QR-код магазина")</f>
        <v>Скачать индивидуальный QR-код магазина</v>
      </c>
    </row>
    <row r="2542" spans="1:7" x14ac:dyDescent="0.25">
      <c r="A2542" t="s">
        <v>7858</v>
      </c>
      <c r="B2542" t="s">
        <v>7969</v>
      </c>
      <c r="C2542" t="s">
        <v>748</v>
      </c>
      <c r="D2542" t="s">
        <v>749</v>
      </c>
      <c r="E2542" t="s">
        <v>750</v>
      </c>
      <c r="F2542" t="s">
        <v>7987</v>
      </c>
      <c r="G2542" s="2" t="str">
        <f>HYPERLINK("https://probpalata.gov.ru/files/ЮЛ770100193500903.jpeg","Скачать индивидуальный QR-код магазина")</f>
        <v>Скачать индивидуальный QR-код магазина</v>
      </c>
    </row>
    <row r="2543" spans="1:7" x14ac:dyDescent="0.25">
      <c r="A2543" t="s">
        <v>7858</v>
      </c>
      <c r="B2543" t="s">
        <v>7988</v>
      </c>
      <c r="C2543" t="s">
        <v>748</v>
      </c>
      <c r="D2543" t="s">
        <v>749</v>
      </c>
      <c r="E2543" t="s">
        <v>750</v>
      </c>
      <c r="F2543" t="s">
        <v>7989</v>
      </c>
      <c r="G2543" s="2" t="str">
        <f>HYPERLINK("https://probpalata.gov.ru/files/ЮЛ770100193501104.jpeg","Скачать индивидуальный QR-код магазина")</f>
        <v>Скачать индивидуальный QR-код магазина</v>
      </c>
    </row>
    <row r="2544" spans="1:7" x14ac:dyDescent="0.25">
      <c r="A2544" t="s">
        <v>7858</v>
      </c>
      <c r="B2544" t="s">
        <v>7990</v>
      </c>
      <c r="C2544" t="s">
        <v>773</v>
      </c>
      <c r="D2544" t="s">
        <v>774</v>
      </c>
      <c r="E2544" t="s">
        <v>775</v>
      </c>
      <c r="F2544" t="s">
        <v>7991</v>
      </c>
      <c r="G2544" s="2" t="str">
        <f>HYPERLINK("https://probpalata.gov.ru/files/ЮЛ780300131300211.jpeg","Скачать индивидуальный QR-код магазина")</f>
        <v>Скачать индивидуальный QR-код магазина</v>
      </c>
    </row>
    <row r="2545" spans="1:7" x14ac:dyDescent="0.25">
      <c r="A2545" t="s">
        <v>7858</v>
      </c>
      <c r="B2545" t="s">
        <v>7992</v>
      </c>
      <c r="C2545" t="s">
        <v>773</v>
      </c>
      <c r="D2545" t="s">
        <v>774</v>
      </c>
      <c r="E2545" t="s">
        <v>775</v>
      </c>
      <c r="F2545" t="s">
        <v>7993</v>
      </c>
      <c r="G2545" s="2" t="str">
        <f>HYPERLINK("https://probpalata.gov.ru/files/ЮЛ780300131300213.jpeg","Скачать индивидуальный QR-код магазина")</f>
        <v>Скачать индивидуальный QR-код магазина</v>
      </c>
    </row>
    <row r="2546" spans="1:7" x14ac:dyDescent="0.25">
      <c r="A2546" t="s">
        <v>7858</v>
      </c>
      <c r="B2546" t="s">
        <v>7994</v>
      </c>
      <c r="C2546" t="s">
        <v>773</v>
      </c>
      <c r="D2546" t="s">
        <v>774</v>
      </c>
      <c r="E2546" t="s">
        <v>775</v>
      </c>
      <c r="F2546" t="s">
        <v>7995</v>
      </c>
      <c r="G2546" s="2" t="str">
        <f>HYPERLINK("https://probpalata.gov.ru/files/ЮЛ780300131300214.jpeg","Скачать индивидуальный QR-код магазина")</f>
        <v>Скачать индивидуальный QR-код магазина</v>
      </c>
    </row>
    <row r="2547" spans="1:7" x14ac:dyDescent="0.25">
      <c r="A2547" t="s">
        <v>7858</v>
      </c>
      <c r="B2547" t="s">
        <v>7996</v>
      </c>
      <c r="C2547" t="s">
        <v>773</v>
      </c>
      <c r="D2547" t="s">
        <v>774</v>
      </c>
      <c r="E2547" t="s">
        <v>775</v>
      </c>
      <c r="F2547" t="s">
        <v>7997</v>
      </c>
      <c r="G2547" s="2" t="str">
        <f>HYPERLINK("https://probpalata.gov.ru/files/ЮЛ780300131300477.jpeg","Скачать индивидуальный QR-код магазина")</f>
        <v>Скачать индивидуальный QR-код магазина</v>
      </c>
    </row>
    <row r="2548" spans="1:7" x14ac:dyDescent="0.25">
      <c r="A2548" t="s">
        <v>7858</v>
      </c>
      <c r="B2548" t="s">
        <v>7998</v>
      </c>
      <c r="C2548" t="s">
        <v>773</v>
      </c>
      <c r="D2548" t="s">
        <v>774</v>
      </c>
      <c r="E2548" t="s">
        <v>775</v>
      </c>
      <c r="F2548" t="s">
        <v>7999</v>
      </c>
      <c r="G2548" s="2" t="str">
        <f>HYPERLINK("https://probpalata.gov.ru/files/ЮЛ780300131300569.jpeg","Скачать индивидуальный QR-код магазина")</f>
        <v>Скачать индивидуальный QR-код магазина</v>
      </c>
    </row>
    <row r="2549" spans="1:7" x14ac:dyDescent="0.25">
      <c r="A2549" t="s">
        <v>7858</v>
      </c>
      <c r="B2549" t="s">
        <v>8000</v>
      </c>
      <c r="C2549" t="s">
        <v>773</v>
      </c>
      <c r="D2549" t="s">
        <v>774</v>
      </c>
      <c r="E2549" t="s">
        <v>775</v>
      </c>
      <c r="F2549" t="s">
        <v>8001</v>
      </c>
      <c r="G2549" s="2" t="str">
        <f>HYPERLINK("https://probpalata.gov.ru/files/ЮЛ780300131300576.jpeg","Скачать индивидуальный QR-код магазина")</f>
        <v>Скачать индивидуальный QR-код магазина</v>
      </c>
    </row>
    <row r="2550" spans="1:7" x14ac:dyDescent="0.25">
      <c r="A2550" t="s">
        <v>7858</v>
      </c>
      <c r="B2550" t="s">
        <v>8002</v>
      </c>
      <c r="C2550" t="s">
        <v>787</v>
      </c>
      <c r="D2550" t="s">
        <v>788</v>
      </c>
      <c r="E2550" t="s">
        <v>789</v>
      </c>
      <c r="F2550" t="s">
        <v>8003</v>
      </c>
      <c r="G2550" s="2" t="str">
        <f>HYPERLINK("https://probpalata.gov.ru/files/ЮЛ780300328000089.jpeg","Скачать индивидуальный QR-код магазина")</f>
        <v>Скачать индивидуальный QR-код магазина</v>
      </c>
    </row>
    <row r="2551" spans="1:7" x14ac:dyDescent="0.25">
      <c r="A2551" t="s">
        <v>7858</v>
      </c>
      <c r="B2551" t="s">
        <v>8004</v>
      </c>
      <c r="C2551" t="s">
        <v>787</v>
      </c>
      <c r="D2551" t="s">
        <v>788</v>
      </c>
      <c r="E2551" t="s">
        <v>789</v>
      </c>
      <c r="F2551" t="s">
        <v>8005</v>
      </c>
      <c r="G2551" s="2" t="str">
        <f>HYPERLINK("https://probpalata.gov.ru/files/ЮЛ780300328000090.jpeg","Скачать индивидуальный QR-код магазина")</f>
        <v>Скачать индивидуальный QR-код магазина</v>
      </c>
    </row>
    <row r="2552" spans="1:7" x14ac:dyDescent="0.25">
      <c r="A2552" t="s">
        <v>7858</v>
      </c>
      <c r="B2552" t="s">
        <v>8006</v>
      </c>
      <c r="C2552" t="s">
        <v>787</v>
      </c>
      <c r="D2552" t="s">
        <v>788</v>
      </c>
      <c r="E2552" t="s">
        <v>789</v>
      </c>
      <c r="F2552" t="s">
        <v>8007</v>
      </c>
      <c r="G2552" s="2" t="str">
        <f>HYPERLINK("https://probpalata.gov.ru/files/ЮЛ780300328000091.jpeg","Скачать индивидуальный QR-код магазина")</f>
        <v>Скачать индивидуальный QR-код магазина</v>
      </c>
    </row>
    <row r="2553" spans="1:7" x14ac:dyDescent="0.25">
      <c r="A2553" t="s">
        <v>7858</v>
      </c>
      <c r="B2553" t="s">
        <v>8008</v>
      </c>
      <c r="C2553" t="s">
        <v>787</v>
      </c>
      <c r="D2553" t="s">
        <v>788</v>
      </c>
      <c r="E2553" t="s">
        <v>789</v>
      </c>
      <c r="F2553" t="s">
        <v>8009</v>
      </c>
      <c r="G2553" s="2" t="str">
        <f>HYPERLINK("https://probpalata.gov.ru/files/ЮЛ780300328000220.jpeg","Скачать индивидуальный QR-код магазина")</f>
        <v>Скачать индивидуальный QR-код магазина</v>
      </c>
    </row>
    <row r="2554" spans="1:7" x14ac:dyDescent="0.25">
      <c r="A2554" t="s">
        <v>7858</v>
      </c>
      <c r="B2554" t="s">
        <v>8010</v>
      </c>
      <c r="C2554" t="s">
        <v>787</v>
      </c>
      <c r="D2554" t="s">
        <v>788</v>
      </c>
      <c r="E2554" t="s">
        <v>789</v>
      </c>
      <c r="F2554" t="s">
        <v>8011</v>
      </c>
      <c r="G2554" s="2" t="str">
        <f>HYPERLINK("https://probpalata.gov.ru/files/ЮЛ780300328000242.jpeg","Скачать индивидуальный QR-код магазина")</f>
        <v>Скачать индивидуальный QR-код магазина</v>
      </c>
    </row>
    <row r="2555" spans="1:7" x14ac:dyDescent="0.25">
      <c r="A2555" t="s">
        <v>7858</v>
      </c>
      <c r="B2555" t="s">
        <v>8012</v>
      </c>
      <c r="C2555" t="s">
        <v>787</v>
      </c>
      <c r="D2555" t="s">
        <v>788</v>
      </c>
      <c r="E2555" t="s">
        <v>789</v>
      </c>
      <c r="F2555" t="s">
        <v>8013</v>
      </c>
      <c r="G2555" s="2" t="str">
        <f>HYPERLINK("https://probpalata.gov.ru/files/ЮЛ780300328000253.jpeg","Скачать индивидуальный QR-код магазина")</f>
        <v>Скачать индивидуальный QR-код магазина</v>
      </c>
    </row>
    <row r="2556" spans="1:7" x14ac:dyDescent="0.25">
      <c r="A2556" t="s">
        <v>7858</v>
      </c>
      <c r="B2556" t="s">
        <v>8014</v>
      </c>
      <c r="C2556" t="s">
        <v>4077</v>
      </c>
      <c r="D2556" t="s">
        <v>4078</v>
      </c>
      <c r="E2556" t="s">
        <v>4079</v>
      </c>
      <c r="F2556" t="s">
        <v>8015</v>
      </c>
      <c r="G2556" s="2" t="str">
        <f>HYPERLINK("https://probpalata.gov.ru/files/ЮЛ780300331800073.jpeg","Скачать индивидуальный QR-код магазина")</f>
        <v>Скачать индивидуальный QR-код магазина</v>
      </c>
    </row>
    <row r="2557" spans="1:7" x14ac:dyDescent="0.25">
      <c r="A2557" t="s">
        <v>7858</v>
      </c>
      <c r="B2557" t="s">
        <v>8016</v>
      </c>
      <c r="C2557" t="s">
        <v>4077</v>
      </c>
      <c r="D2557" t="s">
        <v>4078</v>
      </c>
      <c r="E2557" t="s">
        <v>4079</v>
      </c>
      <c r="F2557" t="s">
        <v>8017</v>
      </c>
      <c r="G2557" s="2" t="str">
        <f>HYPERLINK("https://probpalata.gov.ru/files/ЮЛ780300331800127.jpeg","Скачать индивидуальный QR-код магазина")</f>
        <v>Скачать индивидуальный QR-код магазина</v>
      </c>
    </row>
    <row r="2558" spans="1:7" x14ac:dyDescent="0.25">
      <c r="A2558" t="s">
        <v>7858</v>
      </c>
      <c r="B2558" t="s">
        <v>8018</v>
      </c>
      <c r="C2558" t="s">
        <v>791</v>
      </c>
      <c r="D2558" t="s">
        <v>792</v>
      </c>
      <c r="E2558" t="s">
        <v>793</v>
      </c>
      <c r="F2558" t="s">
        <v>8019</v>
      </c>
      <c r="G2558" s="2" t="str">
        <f>HYPERLINK("https://probpalata.gov.ru/files/ЮЛ780300323500018.jpeg","Скачать индивидуальный QR-код магазина")</f>
        <v>Скачать индивидуальный QR-код магазина</v>
      </c>
    </row>
    <row r="2559" spans="1:7" x14ac:dyDescent="0.25">
      <c r="A2559" t="s">
        <v>7858</v>
      </c>
      <c r="B2559" t="s">
        <v>8020</v>
      </c>
      <c r="C2559" t="s">
        <v>791</v>
      </c>
      <c r="D2559" t="s">
        <v>792</v>
      </c>
      <c r="E2559" t="s">
        <v>793</v>
      </c>
      <c r="F2559" t="s">
        <v>8021</v>
      </c>
      <c r="G2559" s="2" t="str">
        <f>HYPERLINK("https://probpalata.gov.ru/files/ЮЛ780300323500025.jpeg","Скачать индивидуальный QR-код магазина")</f>
        <v>Скачать индивидуальный QR-код магазина</v>
      </c>
    </row>
    <row r="2560" spans="1:7" x14ac:dyDescent="0.25">
      <c r="A2560" t="s">
        <v>7858</v>
      </c>
      <c r="B2560" t="s">
        <v>8022</v>
      </c>
      <c r="C2560" t="s">
        <v>791</v>
      </c>
      <c r="D2560" t="s">
        <v>792</v>
      </c>
      <c r="E2560" t="s">
        <v>793</v>
      </c>
      <c r="F2560" t="s">
        <v>8023</v>
      </c>
      <c r="G2560" s="2" t="str">
        <f>HYPERLINK("https://probpalata.gov.ru/files/ЮЛ780300323500221.jpeg","Скачать индивидуальный QR-код магазина")</f>
        <v>Скачать индивидуальный QR-код магазина</v>
      </c>
    </row>
    <row r="2561" spans="1:7" x14ac:dyDescent="0.25">
      <c r="A2561" t="s">
        <v>7858</v>
      </c>
      <c r="B2561" t="s">
        <v>7992</v>
      </c>
      <c r="C2561" t="s">
        <v>798</v>
      </c>
      <c r="D2561" t="s">
        <v>799</v>
      </c>
      <c r="E2561" t="s">
        <v>800</v>
      </c>
      <c r="F2561" t="s">
        <v>8024</v>
      </c>
      <c r="G2561" s="2" t="str">
        <f>HYPERLINK("https://probpalata.gov.ru/files/ЮЛ780300308200095.jpeg","Скачать индивидуальный QR-код магазина")</f>
        <v>Скачать индивидуальный QR-код магазина</v>
      </c>
    </row>
    <row r="2562" spans="1:7" x14ac:dyDescent="0.25">
      <c r="A2562" t="s">
        <v>7858</v>
      </c>
      <c r="B2562" t="s">
        <v>8025</v>
      </c>
      <c r="C2562" t="s">
        <v>798</v>
      </c>
      <c r="D2562" t="s">
        <v>799</v>
      </c>
      <c r="E2562" t="s">
        <v>800</v>
      </c>
      <c r="F2562" t="s">
        <v>8026</v>
      </c>
      <c r="G2562" s="2" t="str">
        <f>HYPERLINK("https://probpalata.gov.ru/files/ЮЛ780300308200126.jpeg","Скачать индивидуальный QR-код магазина")</f>
        <v>Скачать индивидуальный QR-код магазина</v>
      </c>
    </row>
    <row r="2563" spans="1:7" x14ac:dyDescent="0.25">
      <c r="A2563" t="s">
        <v>7858</v>
      </c>
      <c r="B2563" t="s">
        <v>8027</v>
      </c>
      <c r="C2563" t="s">
        <v>798</v>
      </c>
      <c r="D2563" t="s">
        <v>799</v>
      </c>
      <c r="E2563" t="s">
        <v>800</v>
      </c>
      <c r="F2563" t="s">
        <v>8028</v>
      </c>
      <c r="G2563" s="2" t="str">
        <f>HYPERLINK("https://probpalata.gov.ru/files/ЮЛ780300308200434.jpeg","Скачать индивидуальный QR-код магазина")</f>
        <v>Скачать индивидуальный QR-код магазина</v>
      </c>
    </row>
    <row r="2564" spans="1:7" x14ac:dyDescent="0.25">
      <c r="A2564" t="s">
        <v>7858</v>
      </c>
      <c r="B2564" t="s">
        <v>8029</v>
      </c>
      <c r="C2564" t="s">
        <v>798</v>
      </c>
      <c r="D2564" t="s">
        <v>799</v>
      </c>
      <c r="E2564" t="s">
        <v>800</v>
      </c>
      <c r="F2564" t="s">
        <v>8030</v>
      </c>
      <c r="G2564" s="2" t="str">
        <f>HYPERLINK("https://probpalata.gov.ru/files/ЮЛ780300308200446.jpeg","Скачать индивидуальный QR-код магазина")</f>
        <v>Скачать индивидуальный QR-код магазина</v>
      </c>
    </row>
    <row r="2565" spans="1:7" x14ac:dyDescent="0.25">
      <c r="A2565" t="s">
        <v>7858</v>
      </c>
      <c r="B2565" t="s">
        <v>8031</v>
      </c>
      <c r="C2565" t="s">
        <v>798</v>
      </c>
      <c r="D2565" t="s">
        <v>799</v>
      </c>
      <c r="E2565" t="s">
        <v>800</v>
      </c>
      <c r="F2565" t="s">
        <v>8032</v>
      </c>
      <c r="G2565" s="2" t="str">
        <f>HYPERLINK("https://probpalata.gov.ru/files/ЮЛ780300308200461.jpeg","Скачать индивидуальный QR-код магазина")</f>
        <v>Скачать индивидуальный QR-код магазина</v>
      </c>
    </row>
    <row r="2566" spans="1:7" x14ac:dyDescent="0.25">
      <c r="A2566" t="s">
        <v>7858</v>
      </c>
      <c r="B2566" t="s">
        <v>8033</v>
      </c>
      <c r="C2566" t="s">
        <v>798</v>
      </c>
      <c r="D2566" t="s">
        <v>799</v>
      </c>
      <c r="E2566" t="s">
        <v>800</v>
      </c>
      <c r="F2566" t="s">
        <v>8034</v>
      </c>
      <c r="G2566" s="2" t="str">
        <f>HYPERLINK("https://probpalata.gov.ru/files/ЮЛ780300308200570.jpeg","Скачать индивидуальный QR-код магазина")</f>
        <v>Скачать индивидуальный QR-код магазина</v>
      </c>
    </row>
    <row r="2567" spans="1:7" x14ac:dyDescent="0.25">
      <c r="A2567" t="s">
        <v>7858</v>
      </c>
      <c r="B2567" t="s">
        <v>8035</v>
      </c>
      <c r="C2567" t="s">
        <v>798</v>
      </c>
      <c r="D2567" t="s">
        <v>799</v>
      </c>
      <c r="E2567" t="s">
        <v>800</v>
      </c>
      <c r="F2567" t="s">
        <v>8036</v>
      </c>
      <c r="G2567" s="2" t="str">
        <f>HYPERLINK("https://probpalata.gov.ru/files/ЮЛ780300308200665.jpeg","Скачать индивидуальный QR-код магазина")</f>
        <v>Скачать индивидуальный QR-код магазина</v>
      </c>
    </row>
    <row r="2568" spans="1:7" x14ac:dyDescent="0.25">
      <c r="A2568" t="s">
        <v>7858</v>
      </c>
      <c r="B2568" t="s">
        <v>7990</v>
      </c>
      <c r="C2568" t="s">
        <v>798</v>
      </c>
      <c r="D2568" t="s">
        <v>799</v>
      </c>
      <c r="E2568" t="s">
        <v>800</v>
      </c>
      <c r="F2568" t="s">
        <v>8037</v>
      </c>
      <c r="G2568" s="2" t="str">
        <f>HYPERLINK("https://probpalata.gov.ru/files/ЮЛ780300308200868.jpeg","Скачать индивидуальный QR-код магазина")</f>
        <v>Скачать индивидуальный QR-код магазина</v>
      </c>
    </row>
    <row r="2569" spans="1:7" x14ac:dyDescent="0.25">
      <c r="A2569" t="s">
        <v>7858</v>
      </c>
      <c r="B2569" t="s">
        <v>8038</v>
      </c>
      <c r="C2569" t="s">
        <v>798</v>
      </c>
      <c r="D2569" t="s">
        <v>799</v>
      </c>
      <c r="E2569" t="s">
        <v>800</v>
      </c>
      <c r="F2569" t="s">
        <v>8039</v>
      </c>
      <c r="G2569" s="2" t="str">
        <f>HYPERLINK("https://probpalata.gov.ru/files/ЮЛ780300308200870.jpeg","Скачать индивидуальный QR-код магазина")</f>
        <v>Скачать индивидуальный QR-код магазина</v>
      </c>
    </row>
    <row r="2570" spans="1:7" x14ac:dyDescent="0.25">
      <c r="A2570" t="s">
        <v>7858</v>
      </c>
      <c r="B2570" t="s">
        <v>8002</v>
      </c>
      <c r="C2570" t="s">
        <v>798</v>
      </c>
      <c r="D2570" t="s">
        <v>799</v>
      </c>
      <c r="E2570" t="s">
        <v>800</v>
      </c>
      <c r="F2570" t="s">
        <v>8040</v>
      </c>
      <c r="G2570" s="2" t="str">
        <f>HYPERLINK("https://probpalata.gov.ru/files/ЮЛ780300308200874.jpeg","Скачать индивидуальный QR-код магазина")</f>
        <v>Скачать индивидуальный QR-код магазина</v>
      </c>
    </row>
    <row r="2571" spans="1:7" x14ac:dyDescent="0.25">
      <c r="A2571" t="s">
        <v>7858</v>
      </c>
      <c r="B2571" t="s">
        <v>8041</v>
      </c>
      <c r="C2571" t="s">
        <v>798</v>
      </c>
      <c r="D2571" t="s">
        <v>799</v>
      </c>
      <c r="E2571" t="s">
        <v>800</v>
      </c>
      <c r="F2571" t="s">
        <v>8042</v>
      </c>
      <c r="G2571" s="2" t="str">
        <f>HYPERLINK("https://probpalata.gov.ru/files/ЮЛ780300308201235.jpeg","Скачать индивидуальный QR-код магазина")</f>
        <v>Скачать индивидуальный QR-код магазина</v>
      </c>
    </row>
    <row r="2572" spans="1:7" x14ac:dyDescent="0.25">
      <c r="A2572" t="s">
        <v>7858</v>
      </c>
      <c r="B2572" t="s">
        <v>8043</v>
      </c>
      <c r="C2572" t="s">
        <v>823</v>
      </c>
      <c r="D2572" t="s">
        <v>824</v>
      </c>
      <c r="E2572" t="s">
        <v>825</v>
      </c>
      <c r="F2572" t="s">
        <v>8044</v>
      </c>
      <c r="G2572" s="2" t="str">
        <f>HYPERLINK("https://probpalata.gov.ru/files/ЮЛ780300363500034.jpeg","Скачать индивидуальный QR-код магазина")</f>
        <v>Скачать индивидуальный QR-код магазина</v>
      </c>
    </row>
    <row r="2573" spans="1:7" x14ac:dyDescent="0.25">
      <c r="A2573" t="s">
        <v>7858</v>
      </c>
      <c r="B2573" t="s">
        <v>8018</v>
      </c>
      <c r="C2573" t="s">
        <v>823</v>
      </c>
      <c r="D2573" t="s">
        <v>824</v>
      </c>
      <c r="E2573" t="s">
        <v>825</v>
      </c>
      <c r="F2573" t="s">
        <v>8045</v>
      </c>
      <c r="G2573" s="2" t="str">
        <f>HYPERLINK("https://probpalata.gov.ru/files/ЮЛ780300363500146.jpeg","Скачать индивидуальный QR-код магазина")</f>
        <v>Скачать индивидуальный QR-код магазина</v>
      </c>
    </row>
    <row r="2574" spans="1:7" x14ac:dyDescent="0.25">
      <c r="A2574" t="s">
        <v>7858</v>
      </c>
      <c r="B2574" t="s">
        <v>8022</v>
      </c>
      <c r="C2574" t="s">
        <v>823</v>
      </c>
      <c r="D2574" t="s">
        <v>824</v>
      </c>
      <c r="E2574" t="s">
        <v>825</v>
      </c>
      <c r="F2574" t="s">
        <v>8046</v>
      </c>
      <c r="G2574" s="2" t="str">
        <f>HYPERLINK("https://probpalata.gov.ru/files/ЮЛ780300363500147.jpeg","Скачать индивидуальный QR-код магазина")</f>
        <v>Скачать индивидуальный QR-код магазина</v>
      </c>
    </row>
    <row r="2575" spans="1:7" x14ac:dyDescent="0.25">
      <c r="A2575" t="s">
        <v>7858</v>
      </c>
      <c r="B2575" t="s">
        <v>7992</v>
      </c>
      <c r="C2575" t="s">
        <v>823</v>
      </c>
      <c r="D2575" t="s">
        <v>824</v>
      </c>
      <c r="E2575" t="s">
        <v>825</v>
      </c>
      <c r="F2575" t="s">
        <v>8047</v>
      </c>
      <c r="G2575" s="2" t="str">
        <f>HYPERLINK("https://probpalata.gov.ru/files/ЮЛ780300363500148.jpeg","Скачать индивидуальный QR-код магазина")</f>
        <v>Скачать индивидуальный QR-код магазина</v>
      </c>
    </row>
    <row r="2576" spans="1:7" x14ac:dyDescent="0.25">
      <c r="A2576" t="s">
        <v>7858</v>
      </c>
      <c r="B2576" t="s">
        <v>8048</v>
      </c>
      <c r="C2576" t="s">
        <v>1501</v>
      </c>
      <c r="D2576" t="s">
        <v>1502</v>
      </c>
      <c r="E2576" t="s">
        <v>1503</v>
      </c>
      <c r="F2576" t="s">
        <v>8049</v>
      </c>
      <c r="G2576" s="2" t="str">
        <f>HYPERLINK("https://probpalata.gov.ru/files/ЮЛ770100439200006.jpeg","Скачать индивидуальный QR-код магазина")</f>
        <v>Скачать индивидуальный QR-код магазина</v>
      </c>
    </row>
    <row r="2577" spans="1:7" x14ac:dyDescent="0.25">
      <c r="A2577" t="s">
        <v>8050</v>
      </c>
      <c r="B2577" t="s">
        <v>8051</v>
      </c>
      <c r="C2577" t="s">
        <v>8052</v>
      </c>
      <c r="D2577" t="s">
        <v>8053</v>
      </c>
      <c r="E2577" t="s">
        <v>8054</v>
      </c>
      <c r="F2577" t="s">
        <v>8055</v>
      </c>
      <c r="G2577" s="2" t="str">
        <f>HYPERLINK("https://probpalata.gov.ru/files/ИП390303912700000.jpeg","Скачать индивидуальный QR-код магазина")</f>
        <v>Скачать индивидуальный QR-код магазина</v>
      </c>
    </row>
    <row r="2578" spans="1:7" x14ac:dyDescent="0.25">
      <c r="A2578" t="s">
        <v>8050</v>
      </c>
      <c r="B2578" t="s">
        <v>8056</v>
      </c>
      <c r="C2578" t="s">
        <v>8057</v>
      </c>
      <c r="D2578" t="s">
        <v>8058</v>
      </c>
      <c r="E2578" t="s">
        <v>8059</v>
      </c>
      <c r="F2578" t="s">
        <v>8060</v>
      </c>
      <c r="G2578" s="2" t="str">
        <f>HYPERLINK("https://probpalata.gov.ru/files/ИП390303203700000.jpeg","Скачать индивидуальный QR-код магазина")</f>
        <v>Скачать индивидуальный QR-код магазина</v>
      </c>
    </row>
    <row r="2579" spans="1:7" x14ac:dyDescent="0.25">
      <c r="A2579" t="s">
        <v>8050</v>
      </c>
      <c r="B2579" t="s">
        <v>8061</v>
      </c>
      <c r="C2579" t="s">
        <v>8062</v>
      </c>
      <c r="D2579" t="s">
        <v>8063</v>
      </c>
      <c r="E2579" t="s">
        <v>8064</v>
      </c>
      <c r="F2579" t="s">
        <v>8065</v>
      </c>
      <c r="G2579" s="2" t="str">
        <f>HYPERLINK("https://probpalata.gov.ru/files/ИП390300132500000.jpeg","Скачать индивидуальный QR-код магазина")</f>
        <v>Скачать индивидуальный QR-код магазина</v>
      </c>
    </row>
    <row r="2580" spans="1:7" x14ac:dyDescent="0.25">
      <c r="A2580" t="s">
        <v>8050</v>
      </c>
      <c r="B2580" t="s">
        <v>8066</v>
      </c>
      <c r="C2580" t="s">
        <v>8062</v>
      </c>
      <c r="D2580" t="s">
        <v>8063</v>
      </c>
      <c r="E2580" t="s">
        <v>8064</v>
      </c>
      <c r="F2580" t="s">
        <v>8067</v>
      </c>
      <c r="G2580" s="2" t="str">
        <f>HYPERLINK("https://probpalata.gov.ru/files/ИП390300132500001.jpeg","Скачать индивидуальный QR-код магазина")</f>
        <v>Скачать индивидуальный QR-код магазина</v>
      </c>
    </row>
    <row r="2581" spans="1:7" x14ac:dyDescent="0.25">
      <c r="A2581" t="s">
        <v>8050</v>
      </c>
      <c r="B2581" t="s">
        <v>8068</v>
      </c>
      <c r="C2581" t="s">
        <v>8069</v>
      </c>
      <c r="D2581" t="s">
        <v>8070</v>
      </c>
      <c r="E2581" t="s">
        <v>8071</v>
      </c>
      <c r="F2581" t="s">
        <v>8072</v>
      </c>
      <c r="G2581" s="2" t="str">
        <f>HYPERLINK("https://probpalata.gov.ru/files/ИП390300872000000.jpeg","Скачать индивидуальный QR-код магазина")</f>
        <v>Скачать индивидуальный QR-код магазина</v>
      </c>
    </row>
    <row r="2582" spans="1:7" x14ac:dyDescent="0.25">
      <c r="A2582" t="s">
        <v>8050</v>
      </c>
      <c r="B2582" t="s">
        <v>8073</v>
      </c>
      <c r="C2582" t="s">
        <v>8069</v>
      </c>
      <c r="D2582" t="s">
        <v>8070</v>
      </c>
      <c r="E2582" t="s">
        <v>8071</v>
      </c>
      <c r="F2582" t="s">
        <v>8074</v>
      </c>
      <c r="G2582" s="2" t="str">
        <f>HYPERLINK("https://probpalata.gov.ru/files/ИП390300872000001.jpeg","Скачать индивидуальный QR-код магазина")</f>
        <v>Скачать индивидуальный QR-код магазина</v>
      </c>
    </row>
    <row r="2583" spans="1:7" x14ac:dyDescent="0.25">
      <c r="A2583" t="s">
        <v>8050</v>
      </c>
      <c r="B2583" t="s">
        <v>8075</v>
      </c>
      <c r="C2583" t="s">
        <v>8076</v>
      </c>
      <c r="D2583" t="s">
        <v>8077</v>
      </c>
      <c r="E2583" t="s">
        <v>8078</v>
      </c>
      <c r="F2583" t="s">
        <v>8079</v>
      </c>
      <c r="G2583" s="2" t="str">
        <f>HYPERLINK("https://probpalata.gov.ru/files/ИП390300494700000.jpeg","Скачать индивидуальный QR-код магазина")</f>
        <v>Скачать индивидуальный QR-код магазина</v>
      </c>
    </row>
    <row r="2584" spans="1:7" x14ac:dyDescent="0.25">
      <c r="A2584" t="s">
        <v>8050</v>
      </c>
      <c r="B2584" t="s">
        <v>8080</v>
      </c>
      <c r="C2584" t="s">
        <v>853</v>
      </c>
      <c r="D2584" t="s">
        <v>854</v>
      </c>
      <c r="E2584" t="s">
        <v>855</v>
      </c>
      <c r="F2584" t="s">
        <v>8081</v>
      </c>
      <c r="G2584" s="2" t="str">
        <f>HYPERLINK("https://probpalata.gov.ru/files/ИП270900039700003.jpeg","Скачать индивидуальный QR-код магазина")</f>
        <v>Скачать индивидуальный QR-код магазина</v>
      </c>
    </row>
    <row r="2585" spans="1:7" x14ac:dyDescent="0.25">
      <c r="A2585" t="s">
        <v>8050</v>
      </c>
      <c r="B2585" t="s">
        <v>8082</v>
      </c>
      <c r="C2585" t="s">
        <v>8083</v>
      </c>
      <c r="D2585" t="s">
        <v>8084</v>
      </c>
      <c r="E2585" t="s">
        <v>8085</v>
      </c>
      <c r="F2585" t="s">
        <v>8086</v>
      </c>
      <c r="G2585" s="2" t="str">
        <f>HYPERLINK("https://probpalata.gov.ru/files/ИП390303822800000.jpeg","Скачать индивидуальный QR-код магазина")</f>
        <v>Скачать индивидуальный QR-код магазина</v>
      </c>
    </row>
    <row r="2586" spans="1:7" x14ac:dyDescent="0.25">
      <c r="A2586" t="s">
        <v>8050</v>
      </c>
      <c r="B2586" t="s">
        <v>8087</v>
      </c>
      <c r="C2586" t="s">
        <v>8083</v>
      </c>
      <c r="D2586" t="s">
        <v>8084</v>
      </c>
      <c r="E2586" t="s">
        <v>8085</v>
      </c>
      <c r="F2586" t="s">
        <v>8088</v>
      </c>
      <c r="G2586" s="2" t="str">
        <f>HYPERLINK("https://probpalata.gov.ru/files/ИП390303822800001.jpeg","Скачать индивидуальный QR-код магазина")</f>
        <v>Скачать индивидуальный QR-код магазина</v>
      </c>
    </row>
    <row r="2587" spans="1:7" x14ac:dyDescent="0.25">
      <c r="A2587" t="s">
        <v>8050</v>
      </c>
      <c r="B2587" t="s">
        <v>8089</v>
      </c>
      <c r="C2587" t="s">
        <v>8083</v>
      </c>
      <c r="D2587" t="s">
        <v>8084</v>
      </c>
      <c r="E2587" t="s">
        <v>8085</v>
      </c>
      <c r="F2587" t="s">
        <v>8090</v>
      </c>
      <c r="G2587" s="2" t="str">
        <f>HYPERLINK("https://probpalata.gov.ru/files/ИП390303822800002.jpeg","Скачать индивидуальный QR-код магазина")</f>
        <v>Скачать индивидуальный QR-код магазина</v>
      </c>
    </row>
    <row r="2588" spans="1:7" x14ac:dyDescent="0.25">
      <c r="A2588" t="s">
        <v>8050</v>
      </c>
      <c r="B2588" t="s">
        <v>8091</v>
      </c>
      <c r="C2588" t="s">
        <v>8083</v>
      </c>
      <c r="D2588" t="s">
        <v>8084</v>
      </c>
      <c r="E2588" t="s">
        <v>8085</v>
      </c>
      <c r="F2588" t="s">
        <v>8092</v>
      </c>
      <c r="G2588" s="2" t="str">
        <f>HYPERLINK("https://probpalata.gov.ru/files/ИП390303822800003.jpeg","Скачать индивидуальный QR-код магазина")</f>
        <v>Скачать индивидуальный QR-код магазина</v>
      </c>
    </row>
    <row r="2589" spans="1:7" x14ac:dyDescent="0.25">
      <c r="A2589" t="s">
        <v>8050</v>
      </c>
      <c r="B2589" t="s">
        <v>8093</v>
      </c>
      <c r="C2589" t="s">
        <v>8083</v>
      </c>
      <c r="D2589" t="s">
        <v>8084</v>
      </c>
      <c r="E2589" t="s">
        <v>8085</v>
      </c>
      <c r="F2589" t="s">
        <v>8094</v>
      </c>
      <c r="G2589" s="2" t="str">
        <f>HYPERLINK("https://probpalata.gov.ru/files/ИП390303822800004.jpeg","Скачать индивидуальный QR-код магазина")</f>
        <v>Скачать индивидуальный QR-код магазина</v>
      </c>
    </row>
    <row r="2590" spans="1:7" x14ac:dyDescent="0.25">
      <c r="A2590" t="s">
        <v>8050</v>
      </c>
      <c r="B2590" t="s">
        <v>8095</v>
      </c>
      <c r="C2590" t="s">
        <v>8096</v>
      </c>
      <c r="D2590" t="s">
        <v>8097</v>
      </c>
      <c r="E2590" t="s">
        <v>8098</v>
      </c>
      <c r="F2590" t="s">
        <v>8099</v>
      </c>
      <c r="G2590" s="2" t="str">
        <f>HYPERLINK("https://probpalata.gov.ru/files/ИП380800521000000.jpeg","Скачать индивидуальный QR-код магазина")</f>
        <v>Скачать индивидуальный QR-код магазина</v>
      </c>
    </row>
    <row r="2591" spans="1:7" x14ac:dyDescent="0.25">
      <c r="A2591" t="s">
        <v>8050</v>
      </c>
      <c r="B2591" t="s">
        <v>8100</v>
      </c>
      <c r="C2591" t="s">
        <v>8101</v>
      </c>
      <c r="D2591" t="s">
        <v>8102</v>
      </c>
      <c r="E2591" t="s">
        <v>8103</v>
      </c>
      <c r="F2591" t="s">
        <v>8104</v>
      </c>
      <c r="G2591" s="2" t="str">
        <f>HYPERLINK("https://probpalata.gov.ru/files/ЮЛ390303185000000.jpeg","Скачать индивидуальный QR-код магазина")</f>
        <v>Скачать индивидуальный QR-код магазина</v>
      </c>
    </row>
    <row r="2592" spans="1:7" x14ac:dyDescent="0.25">
      <c r="A2592" t="s">
        <v>8050</v>
      </c>
      <c r="B2592" t="s">
        <v>8105</v>
      </c>
      <c r="C2592" t="s">
        <v>8106</v>
      </c>
      <c r="D2592" t="s">
        <v>8107</v>
      </c>
      <c r="E2592" t="s">
        <v>8108</v>
      </c>
      <c r="F2592" t="s">
        <v>8109</v>
      </c>
      <c r="G2592" s="2" t="str">
        <f>HYPERLINK("https://probpalata.gov.ru/files/ЮЛ390303574900000.jpeg","Скачать индивидуальный QR-код магазина")</f>
        <v>Скачать индивидуальный QR-код магазина</v>
      </c>
    </row>
    <row r="2593" spans="1:7" x14ac:dyDescent="0.25">
      <c r="A2593" t="s">
        <v>8050</v>
      </c>
      <c r="B2593" t="s">
        <v>8110</v>
      </c>
      <c r="C2593" t="s">
        <v>8111</v>
      </c>
      <c r="D2593" t="s">
        <v>8112</v>
      </c>
      <c r="E2593" t="s">
        <v>8113</v>
      </c>
      <c r="F2593" t="s">
        <v>8114</v>
      </c>
      <c r="G2593" s="2" t="str">
        <f>HYPERLINK("https://probpalata.gov.ru/files/ЮЛ390303578100000.jpeg","Скачать индивидуальный QR-код магазина")</f>
        <v>Скачать индивидуальный QR-код магазина</v>
      </c>
    </row>
    <row r="2594" spans="1:7" x14ac:dyDescent="0.25">
      <c r="A2594" t="s">
        <v>8050</v>
      </c>
      <c r="B2594" t="s">
        <v>8115</v>
      </c>
      <c r="C2594" t="s">
        <v>8116</v>
      </c>
      <c r="D2594" t="s">
        <v>8117</v>
      </c>
      <c r="E2594" t="s">
        <v>8118</v>
      </c>
      <c r="F2594" t="s">
        <v>8119</v>
      </c>
      <c r="G2594" s="2" t="str">
        <f>HYPERLINK("https://probpalata.gov.ru/files/ЮЛ390304014000000.jpeg","Скачать индивидуальный QR-код магазина")</f>
        <v>Скачать индивидуальный QR-код магазина</v>
      </c>
    </row>
    <row r="2595" spans="1:7" x14ac:dyDescent="0.25">
      <c r="A2595" t="s">
        <v>8050</v>
      </c>
      <c r="B2595" t="s">
        <v>8120</v>
      </c>
      <c r="C2595" t="s">
        <v>8121</v>
      </c>
      <c r="D2595" t="s">
        <v>8122</v>
      </c>
      <c r="E2595" t="s">
        <v>8123</v>
      </c>
      <c r="F2595" t="s">
        <v>8124</v>
      </c>
      <c r="G2595" s="2" t="str">
        <f>HYPERLINK("https://probpalata.gov.ru/files/ИП390303698900000.jpeg","Скачать индивидуальный QR-код магазина")</f>
        <v>Скачать индивидуальный QR-код магазина</v>
      </c>
    </row>
    <row r="2596" spans="1:7" x14ac:dyDescent="0.25">
      <c r="A2596" t="s">
        <v>8050</v>
      </c>
      <c r="B2596" t="s">
        <v>8125</v>
      </c>
      <c r="C2596" t="s">
        <v>8126</v>
      </c>
      <c r="D2596" t="s">
        <v>8127</v>
      </c>
      <c r="E2596" t="s">
        <v>8128</v>
      </c>
      <c r="F2596" t="s">
        <v>8129</v>
      </c>
      <c r="G2596" s="2" t="str">
        <f>HYPERLINK("https://probpalata.gov.ru/files/ИП390301247900000.jpeg","Скачать индивидуальный QR-код магазина")</f>
        <v>Скачать индивидуальный QR-код магазина</v>
      </c>
    </row>
    <row r="2597" spans="1:7" x14ac:dyDescent="0.25">
      <c r="A2597" t="s">
        <v>8050</v>
      </c>
      <c r="B2597" t="s">
        <v>8130</v>
      </c>
      <c r="C2597" t="s">
        <v>8131</v>
      </c>
      <c r="D2597" t="s">
        <v>8132</v>
      </c>
      <c r="E2597" t="s">
        <v>8133</v>
      </c>
      <c r="F2597" t="s">
        <v>8134</v>
      </c>
      <c r="G2597" s="2" t="str">
        <f>HYPERLINK("https://probpalata.gov.ru/files/ИП390303739500000.jpeg","Скачать индивидуальный QR-код магазина")</f>
        <v>Скачать индивидуальный QR-код магазина</v>
      </c>
    </row>
    <row r="2598" spans="1:7" x14ac:dyDescent="0.25">
      <c r="A2598" t="s">
        <v>8050</v>
      </c>
      <c r="B2598" t="s">
        <v>8135</v>
      </c>
      <c r="C2598" t="s">
        <v>8136</v>
      </c>
      <c r="D2598" t="s">
        <v>8137</v>
      </c>
      <c r="E2598" t="s">
        <v>8138</v>
      </c>
      <c r="F2598" t="s">
        <v>8139</v>
      </c>
      <c r="G2598" s="2" t="str">
        <f>HYPERLINK("https://probpalata.gov.ru/files/ИП390303953000000.jpeg","Скачать индивидуальный QR-код магазина")</f>
        <v>Скачать индивидуальный QR-код магазина</v>
      </c>
    </row>
    <row r="2599" spans="1:7" x14ac:dyDescent="0.25">
      <c r="A2599" t="s">
        <v>8050</v>
      </c>
      <c r="B2599" t="s">
        <v>8140</v>
      </c>
      <c r="C2599" t="s">
        <v>8141</v>
      </c>
      <c r="D2599" t="s">
        <v>8142</v>
      </c>
      <c r="E2599" t="s">
        <v>8143</v>
      </c>
      <c r="F2599" t="s">
        <v>8144</v>
      </c>
      <c r="G2599" s="2" t="str">
        <f>HYPERLINK("https://probpalata.gov.ru/files/ИП390303681400000.jpeg","Скачать индивидуальный QR-код магазина")</f>
        <v>Скачать индивидуальный QR-код магазина</v>
      </c>
    </row>
    <row r="2600" spans="1:7" x14ac:dyDescent="0.25">
      <c r="A2600" t="s">
        <v>8050</v>
      </c>
      <c r="B2600" t="s">
        <v>8145</v>
      </c>
      <c r="C2600" t="s">
        <v>8146</v>
      </c>
      <c r="D2600" t="s">
        <v>8147</v>
      </c>
      <c r="E2600" t="s">
        <v>8148</v>
      </c>
      <c r="F2600" t="s">
        <v>8149</v>
      </c>
      <c r="G2600" s="2" t="str">
        <f>HYPERLINK("https://probpalata.gov.ru/files/ИП390300028700000.jpeg","Скачать индивидуальный QR-код магазина")</f>
        <v>Скачать индивидуальный QR-код магазина</v>
      </c>
    </row>
    <row r="2601" spans="1:7" x14ac:dyDescent="0.25">
      <c r="A2601" t="s">
        <v>8050</v>
      </c>
      <c r="B2601" t="s">
        <v>8150</v>
      </c>
      <c r="C2601" t="s">
        <v>8146</v>
      </c>
      <c r="D2601" t="s">
        <v>8147</v>
      </c>
      <c r="E2601" t="s">
        <v>8148</v>
      </c>
      <c r="F2601" t="s">
        <v>8151</v>
      </c>
      <c r="G2601" s="2" t="str">
        <f>HYPERLINK("https://probpalata.gov.ru/files/ИП390300028700001.jpeg","Скачать индивидуальный QR-код магазина")</f>
        <v>Скачать индивидуальный QR-код магазина</v>
      </c>
    </row>
    <row r="2602" spans="1:7" x14ac:dyDescent="0.25">
      <c r="A2602" t="s">
        <v>8050</v>
      </c>
      <c r="B2602" t="s">
        <v>8152</v>
      </c>
      <c r="C2602" t="s">
        <v>8153</v>
      </c>
      <c r="D2602" t="s">
        <v>8154</v>
      </c>
      <c r="E2602" t="s">
        <v>8155</v>
      </c>
      <c r="F2602" t="s">
        <v>8156</v>
      </c>
      <c r="G2602" s="2" t="str">
        <f>HYPERLINK("https://probpalata.gov.ru/files/ЮЛ390300015200000.jpeg","Скачать индивидуальный QR-код магазина")</f>
        <v>Скачать индивидуальный QR-код магазина</v>
      </c>
    </row>
    <row r="2603" spans="1:7" x14ac:dyDescent="0.25">
      <c r="A2603" t="s">
        <v>8050</v>
      </c>
      <c r="B2603" t="s">
        <v>8157</v>
      </c>
      <c r="C2603" t="s">
        <v>8158</v>
      </c>
      <c r="D2603" t="s">
        <v>8159</v>
      </c>
      <c r="E2603" t="s">
        <v>8160</v>
      </c>
      <c r="F2603" t="s">
        <v>8161</v>
      </c>
      <c r="G2603" s="2" t="str">
        <f>HYPERLINK("https://probpalata.gov.ru/files/ИП390300719600000.jpeg","Скачать индивидуальный QR-код магазина")</f>
        <v>Скачать индивидуальный QR-код магазина</v>
      </c>
    </row>
    <row r="2604" spans="1:7" x14ac:dyDescent="0.25">
      <c r="A2604" t="s">
        <v>8050</v>
      </c>
      <c r="B2604" t="s">
        <v>8162</v>
      </c>
      <c r="C2604" t="s">
        <v>8158</v>
      </c>
      <c r="D2604" t="s">
        <v>8159</v>
      </c>
      <c r="E2604" t="s">
        <v>8160</v>
      </c>
      <c r="F2604" t="s">
        <v>8163</v>
      </c>
      <c r="G2604" s="2" t="str">
        <f>HYPERLINK("https://probpalata.gov.ru/files/ИП390300719600001.jpeg","Скачать индивидуальный QR-код магазина")</f>
        <v>Скачать индивидуальный QR-код магазина</v>
      </c>
    </row>
    <row r="2605" spans="1:7" x14ac:dyDescent="0.25">
      <c r="A2605" t="s">
        <v>8050</v>
      </c>
      <c r="B2605" t="s">
        <v>8164</v>
      </c>
      <c r="C2605" t="s">
        <v>8158</v>
      </c>
      <c r="D2605" t="s">
        <v>8159</v>
      </c>
      <c r="E2605" t="s">
        <v>8160</v>
      </c>
      <c r="F2605" t="s">
        <v>8165</v>
      </c>
      <c r="G2605" s="2" t="str">
        <f>HYPERLINK("https://probpalata.gov.ru/files/ИП390300719600002.jpeg","Скачать индивидуальный QR-код магазина")</f>
        <v>Скачать индивидуальный QR-код магазина</v>
      </c>
    </row>
    <row r="2606" spans="1:7" x14ac:dyDescent="0.25">
      <c r="A2606" t="s">
        <v>8050</v>
      </c>
      <c r="B2606" t="s">
        <v>8166</v>
      </c>
      <c r="C2606" t="s">
        <v>8167</v>
      </c>
      <c r="D2606" t="s">
        <v>8168</v>
      </c>
      <c r="E2606" t="s">
        <v>8169</v>
      </c>
      <c r="F2606" t="s">
        <v>8170</v>
      </c>
      <c r="G2606" s="2" t="str">
        <f>HYPERLINK("https://probpalata.gov.ru/files/ИП390303189200000.jpeg","Скачать индивидуальный QR-код магазина")</f>
        <v>Скачать индивидуальный QR-код магазина</v>
      </c>
    </row>
    <row r="2607" spans="1:7" x14ac:dyDescent="0.25">
      <c r="A2607" t="s">
        <v>8050</v>
      </c>
      <c r="B2607" t="s">
        <v>8171</v>
      </c>
      <c r="C2607" t="s">
        <v>8172</v>
      </c>
      <c r="D2607" t="s">
        <v>8173</v>
      </c>
      <c r="E2607" t="s">
        <v>8174</v>
      </c>
      <c r="F2607" t="s">
        <v>8175</v>
      </c>
      <c r="G2607" s="2" t="str">
        <f>HYPERLINK("https://probpalata.gov.ru/files/ИП390301136600000.jpeg","Скачать индивидуальный QR-код магазина")</f>
        <v>Скачать индивидуальный QR-код магазина</v>
      </c>
    </row>
    <row r="2608" spans="1:7" x14ac:dyDescent="0.25">
      <c r="A2608" t="s">
        <v>8050</v>
      </c>
      <c r="B2608" t="s">
        <v>8176</v>
      </c>
      <c r="C2608" t="s">
        <v>8172</v>
      </c>
      <c r="D2608" t="s">
        <v>8173</v>
      </c>
      <c r="E2608" t="s">
        <v>8174</v>
      </c>
      <c r="F2608" t="s">
        <v>8177</v>
      </c>
      <c r="G2608" s="2" t="str">
        <f>HYPERLINK("https://probpalata.gov.ru/files/ИП390301136600001.jpeg","Скачать индивидуальный QR-код магазина")</f>
        <v>Скачать индивидуальный QR-код магазина</v>
      </c>
    </row>
    <row r="2609" spans="1:7" x14ac:dyDescent="0.25">
      <c r="A2609" t="s">
        <v>8050</v>
      </c>
      <c r="B2609" t="s">
        <v>8178</v>
      </c>
      <c r="C2609" t="s">
        <v>8172</v>
      </c>
      <c r="D2609" t="s">
        <v>8173</v>
      </c>
      <c r="E2609" t="s">
        <v>8174</v>
      </c>
      <c r="F2609" t="s">
        <v>8179</v>
      </c>
      <c r="G2609" s="2" t="str">
        <f>HYPERLINK("https://probpalata.gov.ru/files/ИП390301136600002.jpeg","Скачать индивидуальный QR-код магазина")</f>
        <v>Скачать индивидуальный QR-код магазина</v>
      </c>
    </row>
    <row r="2610" spans="1:7" x14ac:dyDescent="0.25">
      <c r="A2610" t="s">
        <v>8050</v>
      </c>
      <c r="B2610" t="s">
        <v>8180</v>
      </c>
      <c r="C2610" t="s">
        <v>8181</v>
      </c>
      <c r="D2610" t="s">
        <v>8182</v>
      </c>
      <c r="E2610" t="s">
        <v>8183</v>
      </c>
      <c r="F2610" t="s">
        <v>8184</v>
      </c>
      <c r="G2610" s="2" t="str">
        <f>HYPERLINK("https://probpalata.gov.ru/files/ИП390303837500000.jpeg","Скачать индивидуальный QR-код магазина")</f>
        <v>Скачать индивидуальный QR-код магазина</v>
      </c>
    </row>
    <row r="2611" spans="1:7" x14ac:dyDescent="0.25">
      <c r="A2611" t="s">
        <v>8050</v>
      </c>
      <c r="B2611" t="s">
        <v>8185</v>
      </c>
      <c r="C2611" t="s">
        <v>8186</v>
      </c>
      <c r="D2611" t="s">
        <v>8187</v>
      </c>
      <c r="E2611" t="s">
        <v>8188</v>
      </c>
      <c r="F2611" t="s">
        <v>8189</v>
      </c>
      <c r="G2611" s="2" t="str">
        <f>HYPERLINK("https://probpalata.gov.ru/files/ИП390301141600000.jpeg","Скачать индивидуальный QR-код магазина")</f>
        <v>Скачать индивидуальный QR-код магазина</v>
      </c>
    </row>
    <row r="2612" spans="1:7" x14ac:dyDescent="0.25">
      <c r="A2612" t="s">
        <v>8050</v>
      </c>
      <c r="B2612" t="s">
        <v>8190</v>
      </c>
      <c r="C2612" t="s">
        <v>8186</v>
      </c>
      <c r="D2612" t="s">
        <v>8187</v>
      </c>
      <c r="E2612" t="s">
        <v>8188</v>
      </c>
      <c r="F2612" t="s">
        <v>8191</v>
      </c>
      <c r="G2612" s="2" t="str">
        <f>HYPERLINK("https://probpalata.gov.ru/files/ИП390301141600002.jpeg","Скачать индивидуальный QR-код магазина")</f>
        <v>Скачать индивидуальный QR-код магазина</v>
      </c>
    </row>
    <row r="2613" spans="1:7" x14ac:dyDescent="0.25">
      <c r="A2613" t="s">
        <v>8050</v>
      </c>
      <c r="B2613" t="s">
        <v>8192</v>
      </c>
      <c r="C2613" t="s">
        <v>8193</v>
      </c>
      <c r="D2613" t="s">
        <v>8194</v>
      </c>
      <c r="E2613" t="s">
        <v>8195</v>
      </c>
      <c r="F2613" t="s">
        <v>8196</v>
      </c>
      <c r="G2613" s="2" t="str">
        <f>HYPERLINK("https://probpalata.gov.ru/files/ИП390301606900000.jpeg","Скачать индивидуальный QR-код магазина")</f>
        <v>Скачать индивидуальный QR-код магазина</v>
      </c>
    </row>
    <row r="2614" spans="1:7" x14ac:dyDescent="0.25">
      <c r="A2614" t="s">
        <v>8050</v>
      </c>
      <c r="B2614" t="s">
        <v>8197</v>
      </c>
      <c r="C2614" t="s">
        <v>8198</v>
      </c>
      <c r="D2614" t="s">
        <v>8199</v>
      </c>
      <c r="E2614" t="s">
        <v>8200</v>
      </c>
      <c r="F2614" t="s">
        <v>8201</v>
      </c>
      <c r="G2614" s="2" t="str">
        <f>HYPERLINK("https://probpalata.gov.ru/files/ИП390300301600000.jpeg","Скачать индивидуальный QR-код магазина")</f>
        <v>Скачать индивидуальный QR-код магазина</v>
      </c>
    </row>
    <row r="2615" spans="1:7" x14ac:dyDescent="0.25">
      <c r="A2615" t="s">
        <v>8050</v>
      </c>
      <c r="B2615" t="s">
        <v>8202</v>
      </c>
      <c r="C2615" t="s">
        <v>8203</v>
      </c>
      <c r="D2615" t="s">
        <v>8204</v>
      </c>
      <c r="E2615" t="s">
        <v>8205</v>
      </c>
      <c r="F2615" t="s">
        <v>8206</v>
      </c>
      <c r="G2615" s="2" t="str">
        <f>HYPERLINK("https://probpalata.gov.ru/files/ИП390300148100000.jpeg","Скачать индивидуальный QR-код магазина")</f>
        <v>Скачать индивидуальный QR-код магазина</v>
      </c>
    </row>
    <row r="2616" spans="1:7" x14ac:dyDescent="0.25">
      <c r="A2616" t="s">
        <v>8050</v>
      </c>
      <c r="B2616" t="s">
        <v>8207</v>
      </c>
      <c r="C2616" t="s">
        <v>8203</v>
      </c>
      <c r="D2616" t="s">
        <v>8204</v>
      </c>
      <c r="E2616" t="s">
        <v>8205</v>
      </c>
      <c r="F2616" t="s">
        <v>8208</v>
      </c>
      <c r="G2616" s="2" t="str">
        <f>HYPERLINK("https://probpalata.gov.ru/files/ИП390300148100001.jpeg","Скачать индивидуальный QR-код магазина")</f>
        <v>Скачать индивидуальный QR-код магазина</v>
      </c>
    </row>
    <row r="2617" spans="1:7" x14ac:dyDescent="0.25">
      <c r="A2617" t="s">
        <v>8050</v>
      </c>
      <c r="B2617" t="s">
        <v>8209</v>
      </c>
      <c r="C2617" t="s">
        <v>8210</v>
      </c>
      <c r="D2617" t="s">
        <v>8211</v>
      </c>
      <c r="E2617" t="s">
        <v>8212</v>
      </c>
      <c r="F2617" t="s">
        <v>8213</v>
      </c>
      <c r="G2617" s="2" t="str">
        <f>HYPERLINK("https://probpalata.gov.ru/files/ИП390301146900004.jpeg","Скачать индивидуальный QR-код магазина")</f>
        <v>Скачать индивидуальный QR-код магазина</v>
      </c>
    </row>
    <row r="2618" spans="1:7" x14ac:dyDescent="0.25">
      <c r="A2618" t="s">
        <v>8050</v>
      </c>
      <c r="B2618" t="s">
        <v>8214</v>
      </c>
      <c r="C2618" t="s">
        <v>8215</v>
      </c>
      <c r="D2618" t="s">
        <v>8216</v>
      </c>
      <c r="E2618" t="s">
        <v>8217</v>
      </c>
      <c r="F2618" t="s">
        <v>8218</v>
      </c>
      <c r="G2618" s="2" t="str">
        <f>HYPERLINK("https://probpalata.gov.ru/files/ИП390301284400001.jpeg","Скачать индивидуальный QR-код магазина")</f>
        <v>Скачать индивидуальный QR-код магазина</v>
      </c>
    </row>
    <row r="2619" spans="1:7" x14ac:dyDescent="0.25">
      <c r="A2619" t="s">
        <v>8050</v>
      </c>
      <c r="B2619" t="s">
        <v>8219</v>
      </c>
      <c r="C2619" t="s">
        <v>8215</v>
      </c>
      <c r="D2619" t="s">
        <v>8216</v>
      </c>
      <c r="E2619" t="s">
        <v>8217</v>
      </c>
      <c r="F2619" t="s">
        <v>8220</v>
      </c>
      <c r="G2619" s="2" t="str">
        <f>HYPERLINK("https://probpalata.gov.ru/files/ИП390301284400003.jpeg","Скачать индивидуальный QR-код магазина")</f>
        <v>Скачать индивидуальный QR-код магазина</v>
      </c>
    </row>
    <row r="2620" spans="1:7" x14ac:dyDescent="0.25">
      <c r="A2620" t="s">
        <v>8050</v>
      </c>
      <c r="B2620" t="s">
        <v>8221</v>
      </c>
      <c r="C2620" t="s">
        <v>8215</v>
      </c>
      <c r="D2620" t="s">
        <v>8216</v>
      </c>
      <c r="E2620" t="s">
        <v>8217</v>
      </c>
      <c r="F2620" t="s">
        <v>8222</v>
      </c>
      <c r="G2620" s="2" t="str">
        <f>HYPERLINK("https://probpalata.gov.ru/files/ИП390301284400004.jpeg","Скачать индивидуальный QR-код магазина")</f>
        <v>Скачать индивидуальный QR-код магазина</v>
      </c>
    </row>
    <row r="2621" spans="1:7" x14ac:dyDescent="0.25">
      <c r="A2621" t="s">
        <v>8050</v>
      </c>
      <c r="B2621" t="s">
        <v>8223</v>
      </c>
      <c r="C2621" t="s">
        <v>8224</v>
      </c>
      <c r="D2621" t="s">
        <v>8225</v>
      </c>
      <c r="E2621" t="s">
        <v>8226</v>
      </c>
      <c r="F2621" t="s">
        <v>8227</v>
      </c>
      <c r="G2621" s="2" t="str">
        <f>HYPERLINK("https://probpalata.gov.ru/files/ИП390303933700000.jpeg","Скачать индивидуальный QR-код магазина")</f>
        <v>Скачать индивидуальный QR-код магазина</v>
      </c>
    </row>
    <row r="2622" spans="1:7" x14ac:dyDescent="0.25">
      <c r="A2622" t="s">
        <v>8050</v>
      </c>
      <c r="B2622" t="s">
        <v>8228</v>
      </c>
      <c r="C2622" t="s">
        <v>8229</v>
      </c>
      <c r="D2622" t="s">
        <v>8230</v>
      </c>
      <c r="E2622" t="s">
        <v>8231</v>
      </c>
      <c r="F2622" t="s">
        <v>8232</v>
      </c>
      <c r="G2622" s="2" t="str">
        <f>HYPERLINK("https://probpalata.gov.ru/files/ИП390303765000000.jpeg","Скачать индивидуальный QR-код магазина")</f>
        <v>Скачать индивидуальный QR-код магазина</v>
      </c>
    </row>
    <row r="2623" spans="1:7" x14ac:dyDescent="0.25">
      <c r="A2623" t="s">
        <v>8050</v>
      </c>
      <c r="B2623" t="s">
        <v>8233</v>
      </c>
      <c r="C2623" t="s">
        <v>8229</v>
      </c>
      <c r="D2623" t="s">
        <v>8230</v>
      </c>
      <c r="E2623" t="s">
        <v>8231</v>
      </c>
      <c r="F2623" t="s">
        <v>8234</v>
      </c>
      <c r="G2623" s="2" t="str">
        <f>HYPERLINK("https://probpalata.gov.ru/files/ИП390303765000001.jpeg","Скачать индивидуальный QR-код магазина")</f>
        <v>Скачать индивидуальный QR-код магазина</v>
      </c>
    </row>
    <row r="2624" spans="1:7" x14ac:dyDescent="0.25">
      <c r="A2624" t="s">
        <v>8050</v>
      </c>
      <c r="B2624" t="s">
        <v>8235</v>
      </c>
      <c r="C2624" t="s">
        <v>8236</v>
      </c>
      <c r="D2624" t="s">
        <v>8237</v>
      </c>
      <c r="E2624" t="s">
        <v>8238</v>
      </c>
      <c r="F2624" t="s">
        <v>8239</v>
      </c>
      <c r="G2624" s="2" t="str">
        <f>HYPERLINK("https://probpalata.gov.ru/files/ИП390303625300000.jpeg","Скачать индивидуальный QR-код магазина")</f>
        <v>Скачать индивидуальный QR-код магазина</v>
      </c>
    </row>
    <row r="2625" spans="1:7" x14ac:dyDescent="0.25">
      <c r="A2625" t="s">
        <v>8050</v>
      </c>
      <c r="B2625" t="s">
        <v>8240</v>
      </c>
      <c r="C2625" t="s">
        <v>8241</v>
      </c>
      <c r="D2625" t="s">
        <v>8242</v>
      </c>
      <c r="E2625" t="s">
        <v>8243</v>
      </c>
      <c r="F2625" t="s">
        <v>8244</v>
      </c>
      <c r="G2625" s="2" t="str">
        <f>HYPERLINK("https://probpalata.gov.ru/files/ИП390300993800001.jpeg","Скачать индивидуальный QR-код магазина")</f>
        <v>Скачать индивидуальный QR-код магазина</v>
      </c>
    </row>
    <row r="2626" spans="1:7" x14ac:dyDescent="0.25">
      <c r="A2626" t="s">
        <v>8050</v>
      </c>
      <c r="B2626" t="s">
        <v>8245</v>
      </c>
      <c r="C2626" t="s">
        <v>8241</v>
      </c>
      <c r="D2626" t="s">
        <v>8242</v>
      </c>
      <c r="E2626" t="s">
        <v>8243</v>
      </c>
      <c r="F2626" t="s">
        <v>8246</v>
      </c>
      <c r="G2626" s="2" t="str">
        <f>HYPERLINK("https://probpalata.gov.ru/files/ИП390300993800002.jpeg","Скачать индивидуальный QR-код магазина")</f>
        <v>Скачать индивидуальный QR-код магазина</v>
      </c>
    </row>
    <row r="2627" spans="1:7" x14ac:dyDescent="0.25">
      <c r="A2627" t="s">
        <v>8050</v>
      </c>
      <c r="B2627" t="s">
        <v>8247</v>
      </c>
      <c r="C2627" t="s">
        <v>8241</v>
      </c>
      <c r="D2627" t="s">
        <v>8242</v>
      </c>
      <c r="E2627" t="s">
        <v>8243</v>
      </c>
      <c r="F2627" t="s">
        <v>8248</v>
      </c>
      <c r="G2627" s="2" t="str">
        <f>HYPERLINK("https://probpalata.gov.ru/files/ИП390300993800003.jpeg","Скачать индивидуальный QR-код магазина")</f>
        <v>Скачать индивидуальный QR-код магазина</v>
      </c>
    </row>
    <row r="2628" spans="1:7" x14ac:dyDescent="0.25">
      <c r="A2628" t="s">
        <v>8050</v>
      </c>
      <c r="B2628" t="s">
        <v>8249</v>
      </c>
      <c r="C2628" t="s">
        <v>8241</v>
      </c>
      <c r="D2628" t="s">
        <v>8242</v>
      </c>
      <c r="E2628" t="s">
        <v>8243</v>
      </c>
      <c r="F2628" t="s">
        <v>8250</v>
      </c>
      <c r="G2628" s="2" t="str">
        <f>HYPERLINK("https://probpalata.gov.ru/files/ИП390300993800005.jpeg","Скачать индивидуальный QR-код магазина")</f>
        <v>Скачать индивидуальный QR-код магазина</v>
      </c>
    </row>
    <row r="2629" spans="1:7" x14ac:dyDescent="0.25">
      <c r="A2629" t="s">
        <v>8050</v>
      </c>
      <c r="B2629" t="s">
        <v>8251</v>
      </c>
      <c r="C2629" t="s">
        <v>8252</v>
      </c>
      <c r="D2629" t="s">
        <v>8253</v>
      </c>
      <c r="E2629" t="s">
        <v>8254</v>
      </c>
      <c r="F2629" t="s">
        <v>8255</v>
      </c>
      <c r="G2629" s="2" t="str">
        <f>HYPERLINK("https://probpalata.gov.ru/files/ИП390303720300000.jpeg","Скачать индивидуальный QR-код магазина")</f>
        <v>Скачать индивидуальный QR-код магазина</v>
      </c>
    </row>
    <row r="2630" spans="1:7" x14ac:dyDescent="0.25">
      <c r="A2630" t="s">
        <v>8050</v>
      </c>
      <c r="B2630" t="s">
        <v>8256</v>
      </c>
      <c r="C2630" t="s">
        <v>8257</v>
      </c>
      <c r="D2630" t="s">
        <v>8258</v>
      </c>
      <c r="E2630" t="s">
        <v>8259</v>
      </c>
      <c r="F2630" t="s">
        <v>8260</v>
      </c>
      <c r="G2630" s="2" t="str">
        <f>HYPERLINK("https://probpalata.gov.ru/files/ИП390301137300000.jpeg","Скачать индивидуальный QR-код магазина")</f>
        <v>Скачать индивидуальный QR-код магазина</v>
      </c>
    </row>
    <row r="2631" spans="1:7" x14ac:dyDescent="0.25">
      <c r="A2631" t="s">
        <v>8050</v>
      </c>
      <c r="B2631" t="s">
        <v>8261</v>
      </c>
      <c r="C2631" t="s">
        <v>8262</v>
      </c>
      <c r="D2631" t="s">
        <v>8263</v>
      </c>
      <c r="E2631" t="s">
        <v>8264</v>
      </c>
      <c r="F2631" t="s">
        <v>8265</v>
      </c>
      <c r="G2631" s="2" t="str">
        <f>HYPERLINK("https://probpalata.gov.ru/files/ЮЛ390300377200000.jpeg","Скачать индивидуальный QR-код магазина")</f>
        <v>Скачать индивидуальный QR-код магазина</v>
      </c>
    </row>
    <row r="2632" spans="1:7" x14ac:dyDescent="0.25">
      <c r="A2632" t="s">
        <v>8050</v>
      </c>
      <c r="B2632" t="s">
        <v>8266</v>
      </c>
      <c r="C2632" t="s">
        <v>8267</v>
      </c>
      <c r="D2632" t="s">
        <v>8268</v>
      </c>
      <c r="E2632" t="s">
        <v>8269</v>
      </c>
      <c r="F2632" t="s">
        <v>8270</v>
      </c>
      <c r="G2632" s="2" t="str">
        <f>HYPERLINK("https://probpalata.gov.ru/files/ИП390300083400000.jpeg","Скачать индивидуальный QR-код магазина")</f>
        <v>Скачать индивидуальный QR-код магазина</v>
      </c>
    </row>
    <row r="2633" spans="1:7" x14ac:dyDescent="0.25">
      <c r="A2633" t="s">
        <v>8050</v>
      </c>
      <c r="B2633" t="s">
        <v>8271</v>
      </c>
      <c r="C2633" t="s">
        <v>8267</v>
      </c>
      <c r="D2633" t="s">
        <v>8268</v>
      </c>
      <c r="E2633" t="s">
        <v>8269</v>
      </c>
      <c r="F2633" t="s">
        <v>8272</v>
      </c>
      <c r="G2633" s="2" t="str">
        <f>HYPERLINK("https://probpalata.gov.ru/files/ИП390300083400001.jpeg","Скачать индивидуальный QR-код магазина")</f>
        <v>Скачать индивидуальный QR-код магазина</v>
      </c>
    </row>
    <row r="2634" spans="1:7" x14ac:dyDescent="0.25">
      <c r="A2634" t="s">
        <v>8050</v>
      </c>
      <c r="B2634" t="s">
        <v>8273</v>
      </c>
      <c r="C2634" t="s">
        <v>8274</v>
      </c>
      <c r="D2634" t="s">
        <v>8275</v>
      </c>
      <c r="E2634" t="s">
        <v>8276</v>
      </c>
      <c r="F2634" t="s">
        <v>8277</v>
      </c>
      <c r="G2634" s="2" t="str">
        <f>HYPERLINK("https://probpalata.gov.ru/files/ИП390300305200002.jpeg","Скачать индивидуальный QR-код магазина")</f>
        <v>Скачать индивидуальный QR-код магазина</v>
      </c>
    </row>
    <row r="2635" spans="1:7" x14ac:dyDescent="0.25">
      <c r="A2635" t="s">
        <v>8050</v>
      </c>
      <c r="B2635" t="s">
        <v>8278</v>
      </c>
      <c r="C2635" t="s">
        <v>8274</v>
      </c>
      <c r="D2635" t="s">
        <v>8275</v>
      </c>
      <c r="E2635" t="s">
        <v>8276</v>
      </c>
      <c r="F2635" t="s">
        <v>8279</v>
      </c>
      <c r="G2635" s="2" t="str">
        <f>HYPERLINK("https://probpalata.gov.ru/files/ИП390300305200003.jpeg","Скачать индивидуальный QR-код магазина")</f>
        <v>Скачать индивидуальный QR-код магазина</v>
      </c>
    </row>
    <row r="2636" spans="1:7" x14ac:dyDescent="0.25">
      <c r="A2636" t="s">
        <v>8050</v>
      </c>
      <c r="B2636" t="s">
        <v>8280</v>
      </c>
      <c r="C2636" t="s">
        <v>8281</v>
      </c>
      <c r="D2636" t="s">
        <v>8282</v>
      </c>
      <c r="E2636" t="s">
        <v>8283</v>
      </c>
      <c r="F2636" t="s">
        <v>8284</v>
      </c>
      <c r="G2636" s="2" t="str">
        <f>HYPERLINK("https://probpalata.gov.ru/files/ИП390300944700000.jpeg","Скачать индивидуальный QR-код магазина")</f>
        <v>Скачать индивидуальный QR-код магазина</v>
      </c>
    </row>
    <row r="2637" spans="1:7" x14ac:dyDescent="0.25">
      <c r="A2637" t="s">
        <v>8050</v>
      </c>
      <c r="B2637" t="s">
        <v>8285</v>
      </c>
      <c r="C2637" t="s">
        <v>8281</v>
      </c>
      <c r="D2637" t="s">
        <v>8282</v>
      </c>
      <c r="E2637" t="s">
        <v>8283</v>
      </c>
      <c r="F2637" t="s">
        <v>8286</v>
      </c>
      <c r="G2637" s="2" t="str">
        <f>HYPERLINK("https://probpalata.gov.ru/files/ИП390300944700003.jpeg","Скачать индивидуальный QR-код магазина")</f>
        <v>Скачать индивидуальный QR-код магазина</v>
      </c>
    </row>
    <row r="2638" spans="1:7" x14ac:dyDescent="0.25">
      <c r="A2638" t="s">
        <v>8050</v>
      </c>
      <c r="B2638" t="s">
        <v>8287</v>
      </c>
      <c r="C2638" t="s">
        <v>8281</v>
      </c>
      <c r="D2638" t="s">
        <v>8282</v>
      </c>
      <c r="E2638" t="s">
        <v>8283</v>
      </c>
      <c r="F2638" t="s">
        <v>8288</v>
      </c>
      <c r="G2638" s="2" t="str">
        <f>HYPERLINK("https://probpalata.gov.ru/files/ИП390300944700004.jpeg","Скачать индивидуальный QR-код магазина")</f>
        <v>Скачать индивидуальный QR-код магазина</v>
      </c>
    </row>
    <row r="2639" spans="1:7" x14ac:dyDescent="0.25">
      <c r="A2639" t="s">
        <v>8050</v>
      </c>
      <c r="B2639" t="s">
        <v>8289</v>
      </c>
      <c r="C2639" t="s">
        <v>8290</v>
      </c>
      <c r="D2639" t="s">
        <v>8291</v>
      </c>
      <c r="E2639" t="s">
        <v>8292</v>
      </c>
      <c r="F2639" t="s">
        <v>8293</v>
      </c>
      <c r="G2639" s="2" t="str">
        <f>HYPERLINK("https://probpalata.gov.ru/files/ИП390300547200004.jpeg","Скачать индивидуальный QR-код магазина")</f>
        <v>Скачать индивидуальный QR-код магазина</v>
      </c>
    </row>
    <row r="2640" spans="1:7" x14ac:dyDescent="0.25">
      <c r="A2640" t="s">
        <v>8050</v>
      </c>
      <c r="B2640" t="s">
        <v>8294</v>
      </c>
      <c r="C2640" t="s">
        <v>8295</v>
      </c>
      <c r="D2640" t="s">
        <v>8296</v>
      </c>
      <c r="E2640" t="s">
        <v>8297</v>
      </c>
      <c r="F2640" t="s">
        <v>8298</v>
      </c>
      <c r="G2640" s="2" t="str">
        <f>HYPERLINK("https://probpalata.gov.ru/files/ИП390300300400000.jpeg","Скачать индивидуальный QR-код магазина")</f>
        <v>Скачать индивидуальный QR-код магазина</v>
      </c>
    </row>
    <row r="2641" spans="1:7" x14ac:dyDescent="0.25">
      <c r="A2641" t="s">
        <v>8050</v>
      </c>
      <c r="B2641" t="s">
        <v>8299</v>
      </c>
      <c r="C2641" t="s">
        <v>8300</v>
      </c>
      <c r="D2641" t="s">
        <v>8301</v>
      </c>
      <c r="E2641" t="s">
        <v>8302</v>
      </c>
      <c r="F2641" t="s">
        <v>8303</v>
      </c>
      <c r="G2641" s="2" t="str">
        <f>HYPERLINK("https://probpalata.gov.ru/files/ИП390302010800000.jpeg","Скачать индивидуальный QR-код магазина")</f>
        <v>Скачать индивидуальный QR-код магазина</v>
      </c>
    </row>
    <row r="2642" spans="1:7" x14ac:dyDescent="0.25">
      <c r="A2642" t="s">
        <v>8050</v>
      </c>
      <c r="B2642" t="s">
        <v>8304</v>
      </c>
      <c r="C2642" t="s">
        <v>8300</v>
      </c>
      <c r="D2642" t="s">
        <v>8301</v>
      </c>
      <c r="E2642" t="s">
        <v>8302</v>
      </c>
      <c r="F2642" t="s">
        <v>8305</v>
      </c>
      <c r="G2642" s="2" t="str">
        <f>HYPERLINK("https://probpalata.gov.ru/files/ИП390302010800003.jpeg","Скачать индивидуальный QR-код магазина")</f>
        <v>Скачать индивидуальный QR-код магазина</v>
      </c>
    </row>
    <row r="2643" spans="1:7" x14ac:dyDescent="0.25">
      <c r="A2643" t="s">
        <v>8050</v>
      </c>
      <c r="B2643" t="s">
        <v>8306</v>
      </c>
      <c r="C2643" t="s">
        <v>8307</v>
      </c>
      <c r="D2643" t="s">
        <v>8308</v>
      </c>
      <c r="E2643" t="s">
        <v>8309</v>
      </c>
      <c r="F2643" t="s">
        <v>8310</v>
      </c>
      <c r="G2643" s="2" t="str">
        <f>HYPERLINK("https://probpalata.gov.ru/files/ИП390301713500000.jpeg","Скачать индивидуальный QR-код магазина")</f>
        <v>Скачать индивидуальный QR-код магазина</v>
      </c>
    </row>
    <row r="2644" spans="1:7" x14ac:dyDescent="0.25">
      <c r="A2644" t="s">
        <v>8050</v>
      </c>
      <c r="B2644" t="s">
        <v>8311</v>
      </c>
      <c r="C2644" t="s">
        <v>8307</v>
      </c>
      <c r="D2644" t="s">
        <v>8308</v>
      </c>
      <c r="E2644" t="s">
        <v>8309</v>
      </c>
      <c r="F2644" t="s">
        <v>8312</v>
      </c>
      <c r="G2644" s="2" t="str">
        <f>HYPERLINK("https://probpalata.gov.ru/files/ИП390301713500001.jpeg","Скачать индивидуальный QR-код магазина")</f>
        <v>Скачать индивидуальный QR-код магазина</v>
      </c>
    </row>
    <row r="2645" spans="1:7" x14ac:dyDescent="0.25">
      <c r="A2645" t="s">
        <v>8050</v>
      </c>
      <c r="B2645" t="s">
        <v>8313</v>
      </c>
      <c r="C2645" t="s">
        <v>8307</v>
      </c>
      <c r="D2645" t="s">
        <v>8308</v>
      </c>
      <c r="E2645" t="s">
        <v>8309</v>
      </c>
      <c r="F2645" t="s">
        <v>8314</v>
      </c>
      <c r="G2645" s="2" t="str">
        <f>HYPERLINK("https://probpalata.gov.ru/files/ИП390301713500002.jpeg","Скачать индивидуальный QR-код магазина")</f>
        <v>Скачать индивидуальный QR-код магазина</v>
      </c>
    </row>
    <row r="2646" spans="1:7" x14ac:dyDescent="0.25">
      <c r="A2646" t="s">
        <v>8050</v>
      </c>
      <c r="B2646" t="s">
        <v>8315</v>
      </c>
      <c r="C2646" t="s">
        <v>8307</v>
      </c>
      <c r="D2646" t="s">
        <v>8308</v>
      </c>
      <c r="E2646" t="s">
        <v>8309</v>
      </c>
      <c r="F2646" t="s">
        <v>8316</v>
      </c>
      <c r="G2646" s="2" t="str">
        <f>HYPERLINK("https://probpalata.gov.ru/files/ИП390301713500004.jpeg","Скачать индивидуальный QR-код магазина")</f>
        <v>Скачать индивидуальный QR-код магазина</v>
      </c>
    </row>
    <row r="2647" spans="1:7" x14ac:dyDescent="0.25">
      <c r="A2647" t="s">
        <v>8050</v>
      </c>
      <c r="B2647" t="s">
        <v>8317</v>
      </c>
      <c r="C2647" t="s">
        <v>8307</v>
      </c>
      <c r="D2647" t="s">
        <v>8308</v>
      </c>
      <c r="E2647" t="s">
        <v>8309</v>
      </c>
      <c r="F2647" t="s">
        <v>8318</v>
      </c>
      <c r="G2647" s="2" t="str">
        <f>HYPERLINK("https://probpalata.gov.ru/files/ИП390301713500005.jpeg","Скачать индивидуальный QR-код магазина")</f>
        <v>Скачать индивидуальный QR-код магазина</v>
      </c>
    </row>
    <row r="2648" spans="1:7" x14ac:dyDescent="0.25">
      <c r="A2648" t="s">
        <v>8050</v>
      </c>
      <c r="B2648" t="s">
        <v>8319</v>
      </c>
      <c r="C2648" t="s">
        <v>8307</v>
      </c>
      <c r="D2648" t="s">
        <v>8308</v>
      </c>
      <c r="E2648" t="s">
        <v>8309</v>
      </c>
      <c r="F2648" t="s">
        <v>8320</v>
      </c>
      <c r="G2648" s="2" t="str">
        <f>HYPERLINK("https://probpalata.gov.ru/files/ИП390301713500006.jpeg","Скачать индивидуальный QR-код магазина")</f>
        <v>Скачать индивидуальный QR-код магазина</v>
      </c>
    </row>
    <row r="2649" spans="1:7" x14ac:dyDescent="0.25">
      <c r="A2649" t="s">
        <v>8050</v>
      </c>
      <c r="B2649" t="s">
        <v>8321</v>
      </c>
      <c r="C2649" t="s">
        <v>8322</v>
      </c>
      <c r="D2649" t="s">
        <v>8323</v>
      </c>
      <c r="E2649" t="s">
        <v>8324</v>
      </c>
      <c r="F2649" t="s">
        <v>8325</v>
      </c>
      <c r="G2649" s="2" t="str">
        <f>HYPERLINK("https://probpalata.gov.ru/files/ИП390303933800000.jpeg","Скачать индивидуальный QR-код магазина")</f>
        <v>Скачать индивидуальный QR-код магазина</v>
      </c>
    </row>
    <row r="2650" spans="1:7" x14ac:dyDescent="0.25">
      <c r="A2650" t="s">
        <v>8050</v>
      </c>
      <c r="B2650" t="s">
        <v>8326</v>
      </c>
      <c r="C2650" t="s">
        <v>8327</v>
      </c>
      <c r="D2650" t="s">
        <v>8328</v>
      </c>
      <c r="E2650" t="s">
        <v>8329</v>
      </c>
      <c r="F2650" t="s">
        <v>8330</v>
      </c>
      <c r="G2650" s="2" t="str">
        <f>HYPERLINK("https://probpalata.gov.ru/files/ЮЛ390300208200000.jpeg","Скачать индивидуальный QR-код магазина")</f>
        <v>Скачать индивидуальный QR-код магазина</v>
      </c>
    </row>
    <row r="2651" spans="1:7" x14ac:dyDescent="0.25">
      <c r="A2651" t="s">
        <v>8050</v>
      </c>
      <c r="B2651" t="s">
        <v>8331</v>
      </c>
      <c r="C2651" t="s">
        <v>8332</v>
      </c>
      <c r="D2651" t="s">
        <v>8333</v>
      </c>
      <c r="E2651" t="s">
        <v>8334</v>
      </c>
      <c r="F2651" t="s">
        <v>8335</v>
      </c>
      <c r="G2651" s="2" t="str">
        <f>HYPERLINK("https://probpalata.gov.ru/files/ИП390301461800000.jpeg","Скачать индивидуальный QR-код магазина")</f>
        <v>Скачать индивидуальный QR-код магазина</v>
      </c>
    </row>
    <row r="2652" spans="1:7" x14ac:dyDescent="0.25">
      <c r="A2652" t="s">
        <v>8050</v>
      </c>
      <c r="B2652" t="s">
        <v>8336</v>
      </c>
      <c r="C2652" t="s">
        <v>8332</v>
      </c>
      <c r="D2652" t="s">
        <v>8333</v>
      </c>
      <c r="E2652" t="s">
        <v>8334</v>
      </c>
      <c r="F2652" t="s">
        <v>8337</v>
      </c>
      <c r="G2652" s="2" t="str">
        <f>HYPERLINK("https://probpalata.gov.ru/files/ИП390301461800002.jpeg","Скачать индивидуальный QR-код магазина")</f>
        <v>Скачать индивидуальный QR-код магазина</v>
      </c>
    </row>
    <row r="2653" spans="1:7" x14ac:dyDescent="0.25">
      <c r="A2653" t="s">
        <v>8050</v>
      </c>
      <c r="B2653" t="s">
        <v>8338</v>
      </c>
      <c r="C2653" t="s">
        <v>8332</v>
      </c>
      <c r="D2653" t="s">
        <v>8333</v>
      </c>
      <c r="E2653" t="s">
        <v>8334</v>
      </c>
      <c r="F2653" t="s">
        <v>8339</v>
      </c>
      <c r="G2653" s="2" t="str">
        <f>HYPERLINK("https://probpalata.gov.ru/files/ИП390301461800004.jpeg","Скачать индивидуальный QR-код магазина")</f>
        <v>Скачать индивидуальный QR-код магазина</v>
      </c>
    </row>
    <row r="2654" spans="1:7" x14ac:dyDescent="0.25">
      <c r="A2654" t="s">
        <v>8050</v>
      </c>
      <c r="B2654" t="s">
        <v>8340</v>
      </c>
      <c r="C2654" t="s">
        <v>8332</v>
      </c>
      <c r="D2654" t="s">
        <v>8333</v>
      </c>
      <c r="E2654" t="s">
        <v>8334</v>
      </c>
      <c r="F2654" t="s">
        <v>8341</v>
      </c>
      <c r="G2654" s="2" t="str">
        <f>HYPERLINK("https://probpalata.gov.ru/files/ИП390301461800005.jpeg","Скачать индивидуальный QR-код магазина")</f>
        <v>Скачать индивидуальный QR-код магазина</v>
      </c>
    </row>
    <row r="2655" spans="1:7" x14ac:dyDescent="0.25">
      <c r="A2655" t="s">
        <v>8050</v>
      </c>
      <c r="B2655" t="s">
        <v>8342</v>
      </c>
      <c r="C2655" t="s">
        <v>8332</v>
      </c>
      <c r="D2655" t="s">
        <v>8333</v>
      </c>
      <c r="E2655" t="s">
        <v>8334</v>
      </c>
      <c r="F2655" t="s">
        <v>8343</v>
      </c>
      <c r="G2655" s="2" t="str">
        <f>HYPERLINK("https://probpalata.gov.ru/files/ИП390301461800006.jpeg","Скачать индивидуальный QR-код магазина")</f>
        <v>Скачать индивидуальный QR-код магазина</v>
      </c>
    </row>
    <row r="2656" spans="1:7" x14ac:dyDescent="0.25">
      <c r="A2656" t="s">
        <v>8050</v>
      </c>
      <c r="B2656" t="s">
        <v>8344</v>
      </c>
      <c r="C2656" t="s">
        <v>8332</v>
      </c>
      <c r="D2656" t="s">
        <v>8333</v>
      </c>
      <c r="E2656" t="s">
        <v>8334</v>
      </c>
      <c r="F2656" t="s">
        <v>8345</v>
      </c>
      <c r="G2656" s="2" t="str">
        <f>HYPERLINK("https://probpalata.gov.ru/files/ИП390301461800007.jpeg","Скачать индивидуальный QR-код магазина")</f>
        <v>Скачать индивидуальный QR-код магазина</v>
      </c>
    </row>
    <row r="2657" spans="1:7" x14ac:dyDescent="0.25">
      <c r="A2657" t="s">
        <v>8050</v>
      </c>
      <c r="B2657" t="s">
        <v>8346</v>
      </c>
      <c r="C2657" t="s">
        <v>8347</v>
      </c>
      <c r="D2657" t="s">
        <v>8348</v>
      </c>
      <c r="E2657" t="s">
        <v>8349</v>
      </c>
      <c r="F2657" t="s">
        <v>8350</v>
      </c>
      <c r="G2657" s="2" t="str">
        <f>HYPERLINK("https://probpalata.gov.ru/files/ИП390300549900000.jpeg","Скачать индивидуальный QR-код магазина")</f>
        <v>Скачать индивидуальный QR-код магазина</v>
      </c>
    </row>
    <row r="2658" spans="1:7" x14ac:dyDescent="0.25">
      <c r="A2658" t="s">
        <v>8050</v>
      </c>
      <c r="B2658" t="s">
        <v>8351</v>
      </c>
      <c r="C2658" t="s">
        <v>8347</v>
      </c>
      <c r="D2658" t="s">
        <v>8348</v>
      </c>
      <c r="E2658" t="s">
        <v>8349</v>
      </c>
      <c r="F2658" t="s">
        <v>8352</v>
      </c>
      <c r="G2658" s="2" t="str">
        <f>HYPERLINK("https://probpalata.gov.ru/files/ИП390300549900001.jpeg","Скачать индивидуальный QR-код магазина")</f>
        <v>Скачать индивидуальный QR-код магазина</v>
      </c>
    </row>
    <row r="2659" spans="1:7" x14ac:dyDescent="0.25">
      <c r="A2659" t="s">
        <v>8050</v>
      </c>
      <c r="B2659" t="s">
        <v>8353</v>
      </c>
      <c r="C2659" t="s">
        <v>8354</v>
      </c>
      <c r="D2659" t="s">
        <v>8355</v>
      </c>
      <c r="E2659" t="s">
        <v>8356</v>
      </c>
      <c r="F2659" t="s">
        <v>8357</v>
      </c>
      <c r="G2659" s="2" t="str">
        <f>HYPERLINK("https://probpalata.gov.ru/files/ИП390301049500000.jpeg","Скачать индивидуальный QR-код магазина")</f>
        <v>Скачать индивидуальный QR-код магазина</v>
      </c>
    </row>
    <row r="2660" spans="1:7" x14ac:dyDescent="0.25">
      <c r="A2660" t="s">
        <v>8050</v>
      </c>
      <c r="B2660" t="s">
        <v>8358</v>
      </c>
      <c r="C2660" t="s">
        <v>8354</v>
      </c>
      <c r="D2660" t="s">
        <v>8355</v>
      </c>
      <c r="E2660" t="s">
        <v>8356</v>
      </c>
      <c r="F2660" t="s">
        <v>8359</v>
      </c>
      <c r="G2660" s="2" t="str">
        <f>HYPERLINK("https://probpalata.gov.ru/files/ИП390301049500001.jpeg","Скачать индивидуальный QR-код магазина")</f>
        <v>Скачать индивидуальный QR-код магазина</v>
      </c>
    </row>
    <row r="2661" spans="1:7" x14ac:dyDescent="0.25">
      <c r="A2661" t="s">
        <v>8050</v>
      </c>
      <c r="B2661" t="s">
        <v>8360</v>
      </c>
      <c r="C2661" t="s">
        <v>8361</v>
      </c>
      <c r="D2661" t="s">
        <v>8362</v>
      </c>
      <c r="E2661" t="s">
        <v>8363</v>
      </c>
      <c r="F2661" t="s">
        <v>8364</v>
      </c>
      <c r="G2661" s="2" t="str">
        <f>HYPERLINK("https://probpalata.gov.ru/files/ИП390301772600000.jpeg","Скачать индивидуальный QR-код магазина")</f>
        <v>Скачать индивидуальный QR-код магазина</v>
      </c>
    </row>
    <row r="2662" spans="1:7" x14ac:dyDescent="0.25">
      <c r="A2662" t="s">
        <v>8050</v>
      </c>
      <c r="B2662" t="s">
        <v>8365</v>
      </c>
      <c r="C2662" t="s">
        <v>8366</v>
      </c>
      <c r="D2662" t="s">
        <v>8367</v>
      </c>
      <c r="E2662" t="s">
        <v>8368</v>
      </c>
      <c r="F2662" t="s">
        <v>8369</v>
      </c>
      <c r="G2662" s="2" t="str">
        <f>HYPERLINK("https://probpalata.gov.ru/files/ИП390303443300000.jpeg","Скачать индивидуальный QR-код магазина")</f>
        <v>Скачать индивидуальный QR-код магазина</v>
      </c>
    </row>
    <row r="2663" spans="1:7" x14ac:dyDescent="0.25">
      <c r="A2663" t="s">
        <v>8050</v>
      </c>
      <c r="B2663" t="s">
        <v>8370</v>
      </c>
      <c r="C2663" t="s">
        <v>8366</v>
      </c>
      <c r="D2663" t="s">
        <v>8367</v>
      </c>
      <c r="E2663" t="s">
        <v>8368</v>
      </c>
      <c r="F2663" t="s">
        <v>8371</v>
      </c>
      <c r="G2663" s="2" t="str">
        <f>HYPERLINK("https://probpalata.gov.ru/files/ИП390303443300001.jpeg","Скачать индивидуальный QR-код магазина")</f>
        <v>Скачать индивидуальный QR-код магазина</v>
      </c>
    </row>
    <row r="2664" spans="1:7" x14ac:dyDescent="0.25">
      <c r="A2664" t="s">
        <v>8050</v>
      </c>
      <c r="B2664" t="s">
        <v>8372</v>
      </c>
      <c r="C2664" t="s">
        <v>8373</v>
      </c>
      <c r="D2664" t="s">
        <v>8374</v>
      </c>
      <c r="E2664" t="s">
        <v>8375</v>
      </c>
      <c r="F2664" t="s">
        <v>8376</v>
      </c>
      <c r="G2664" s="2" t="str">
        <f>HYPERLINK("https://probpalata.gov.ru/files/ИП390301280600000.jpeg","Скачать индивидуальный QR-код магазина")</f>
        <v>Скачать индивидуальный QR-код магазина</v>
      </c>
    </row>
    <row r="2665" spans="1:7" x14ac:dyDescent="0.25">
      <c r="A2665" t="s">
        <v>8050</v>
      </c>
      <c r="B2665" t="s">
        <v>8377</v>
      </c>
      <c r="C2665" t="s">
        <v>8378</v>
      </c>
      <c r="D2665" t="s">
        <v>8379</v>
      </c>
      <c r="E2665" t="s">
        <v>8380</v>
      </c>
      <c r="F2665" t="s">
        <v>8381</v>
      </c>
      <c r="G2665" s="2" t="str">
        <f>HYPERLINK("https://probpalata.gov.ru/files/ИП390303821300000.jpeg","Скачать индивидуальный QR-код магазина")</f>
        <v>Скачать индивидуальный QR-код магазина</v>
      </c>
    </row>
    <row r="2666" spans="1:7" x14ac:dyDescent="0.25">
      <c r="A2666" t="s">
        <v>8050</v>
      </c>
      <c r="B2666" t="s">
        <v>8382</v>
      </c>
      <c r="C2666" t="s">
        <v>8383</v>
      </c>
      <c r="D2666" t="s">
        <v>8384</v>
      </c>
      <c r="E2666" t="s">
        <v>8385</v>
      </c>
      <c r="F2666" t="s">
        <v>8386</v>
      </c>
      <c r="G2666" s="2" t="str">
        <f>HYPERLINK("https://probpalata.gov.ru/files/ИП390303915200000.jpeg","Скачать индивидуальный QR-код магазина")</f>
        <v>Скачать индивидуальный QR-код магазина</v>
      </c>
    </row>
    <row r="2667" spans="1:7" x14ac:dyDescent="0.25">
      <c r="A2667" t="s">
        <v>8050</v>
      </c>
      <c r="B2667" t="s">
        <v>8387</v>
      </c>
      <c r="C2667" t="s">
        <v>8388</v>
      </c>
      <c r="D2667" t="s">
        <v>8389</v>
      </c>
      <c r="E2667" t="s">
        <v>8390</v>
      </c>
      <c r="F2667" t="s">
        <v>8391</v>
      </c>
      <c r="G2667" s="2" t="str">
        <f>HYPERLINK("https://probpalata.gov.ru/files/ИП390303725100000.jpeg","Скачать индивидуальный QR-код магазина")</f>
        <v>Скачать индивидуальный QR-код магазина</v>
      </c>
    </row>
    <row r="2668" spans="1:7" x14ac:dyDescent="0.25">
      <c r="A2668" t="s">
        <v>8050</v>
      </c>
      <c r="B2668" t="s">
        <v>8392</v>
      </c>
      <c r="C2668" t="s">
        <v>8388</v>
      </c>
      <c r="D2668" t="s">
        <v>8389</v>
      </c>
      <c r="E2668" t="s">
        <v>8390</v>
      </c>
      <c r="F2668" t="s">
        <v>8393</v>
      </c>
      <c r="G2668" s="2" t="str">
        <f>HYPERLINK("https://probpalata.gov.ru/files/ИП390303725100001.jpeg","Скачать индивидуальный QR-код магазина")</f>
        <v>Скачать индивидуальный QR-код магазина</v>
      </c>
    </row>
    <row r="2669" spans="1:7" x14ac:dyDescent="0.25">
      <c r="A2669" t="s">
        <v>8050</v>
      </c>
      <c r="B2669" t="s">
        <v>8394</v>
      </c>
      <c r="C2669" t="s">
        <v>8395</v>
      </c>
      <c r="D2669" t="s">
        <v>8396</v>
      </c>
      <c r="E2669" t="s">
        <v>8397</v>
      </c>
      <c r="F2669" t="s">
        <v>8398</v>
      </c>
      <c r="G2669" s="2" t="str">
        <f>HYPERLINK("https://probpalata.gov.ru/files/ИП390300493500004.jpeg","Скачать индивидуальный QR-код магазина")</f>
        <v>Скачать индивидуальный QR-код магазина</v>
      </c>
    </row>
    <row r="2670" spans="1:7" x14ac:dyDescent="0.25">
      <c r="A2670" t="s">
        <v>8050</v>
      </c>
      <c r="B2670" t="s">
        <v>8399</v>
      </c>
      <c r="C2670" t="s">
        <v>8395</v>
      </c>
      <c r="D2670" t="s">
        <v>8396</v>
      </c>
      <c r="E2670" t="s">
        <v>8397</v>
      </c>
      <c r="F2670" t="s">
        <v>8400</v>
      </c>
      <c r="G2670" s="2" t="str">
        <f>HYPERLINK("https://probpalata.gov.ru/files/ИП390300493500005.jpeg","Скачать индивидуальный QR-код магазина")</f>
        <v>Скачать индивидуальный QR-код магазина</v>
      </c>
    </row>
    <row r="2671" spans="1:7" x14ac:dyDescent="0.25">
      <c r="A2671" t="s">
        <v>8050</v>
      </c>
      <c r="B2671" t="s">
        <v>8401</v>
      </c>
      <c r="C2671" t="s">
        <v>8402</v>
      </c>
      <c r="D2671" t="s">
        <v>8403</v>
      </c>
      <c r="E2671" t="s">
        <v>8404</v>
      </c>
      <c r="F2671" t="s">
        <v>8405</v>
      </c>
      <c r="G2671" s="2" t="str">
        <f>HYPERLINK("https://probpalata.gov.ru/files/ИП390300392200000.jpeg","Скачать индивидуальный QR-код магазина")</f>
        <v>Скачать индивидуальный QR-код магазина</v>
      </c>
    </row>
    <row r="2672" spans="1:7" x14ac:dyDescent="0.25">
      <c r="A2672" t="s">
        <v>8050</v>
      </c>
      <c r="B2672" t="s">
        <v>8406</v>
      </c>
      <c r="C2672" t="s">
        <v>8402</v>
      </c>
      <c r="D2672" t="s">
        <v>8403</v>
      </c>
      <c r="E2672" t="s">
        <v>8404</v>
      </c>
      <c r="F2672" t="s">
        <v>8407</v>
      </c>
      <c r="G2672" s="2" t="str">
        <f>HYPERLINK("https://probpalata.gov.ru/files/ИП390300392200001.jpeg","Скачать индивидуальный QR-код магазина")</f>
        <v>Скачать индивидуальный QR-код магазина</v>
      </c>
    </row>
    <row r="2673" spans="1:7" x14ac:dyDescent="0.25">
      <c r="A2673" t="s">
        <v>8050</v>
      </c>
      <c r="B2673" t="s">
        <v>8408</v>
      </c>
      <c r="C2673" t="s">
        <v>8402</v>
      </c>
      <c r="D2673" t="s">
        <v>8403</v>
      </c>
      <c r="E2673" t="s">
        <v>8404</v>
      </c>
      <c r="F2673" t="s">
        <v>8409</v>
      </c>
      <c r="G2673" s="2" t="str">
        <f>HYPERLINK("https://probpalata.gov.ru/files/ИП390300392200002.jpeg","Скачать индивидуальный QR-код магазина")</f>
        <v>Скачать индивидуальный QR-код магазина</v>
      </c>
    </row>
    <row r="2674" spans="1:7" x14ac:dyDescent="0.25">
      <c r="A2674" t="s">
        <v>8050</v>
      </c>
      <c r="B2674" t="s">
        <v>8410</v>
      </c>
      <c r="C2674" t="s">
        <v>8402</v>
      </c>
      <c r="D2674" t="s">
        <v>8403</v>
      </c>
      <c r="E2674" t="s">
        <v>8404</v>
      </c>
      <c r="F2674" t="s">
        <v>8411</v>
      </c>
      <c r="G2674" s="2" t="str">
        <f>HYPERLINK("https://probpalata.gov.ru/files/ИП390300392200008.jpeg","Скачать индивидуальный QR-код магазина")</f>
        <v>Скачать индивидуальный QR-код магазина</v>
      </c>
    </row>
    <row r="2675" spans="1:7" x14ac:dyDescent="0.25">
      <c r="A2675" t="s">
        <v>8050</v>
      </c>
      <c r="B2675" t="s">
        <v>8412</v>
      </c>
      <c r="C2675" t="s">
        <v>8402</v>
      </c>
      <c r="D2675" t="s">
        <v>8403</v>
      </c>
      <c r="E2675" t="s">
        <v>8404</v>
      </c>
      <c r="F2675" t="s">
        <v>8413</v>
      </c>
      <c r="G2675" s="2" t="str">
        <f>HYPERLINK("https://probpalata.gov.ru/files/ИП390300392200010.jpeg","Скачать индивидуальный QR-код магазина")</f>
        <v>Скачать индивидуальный QR-код магазина</v>
      </c>
    </row>
    <row r="2676" spans="1:7" x14ac:dyDescent="0.25">
      <c r="A2676" t="s">
        <v>8050</v>
      </c>
      <c r="B2676" t="s">
        <v>8414</v>
      </c>
      <c r="C2676" t="s">
        <v>8402</v>
      </c>
      <c r="D2676" t="s">
        <v>8403</v>
      </c>
      <c r="E2676" t="s">
        <v>8404</v>
      </c>
      <c r="F2676" t="s">
        <v>8415</v>
      </c>
      <c r="G2676" s="2" t="str">
        <f>HYPERLINK("https://probpalata.gov.ru/files/ИП390300392200011.jpeg","Скачать индивидуальный QR-код магазина")</f>
        <v>Скачать индивидуальный QR-код магазина</v>
      </c>
    </row>
    <row r="2677" spans="1:7" x14ac:dyDescent="0.25">
      <c r="A2677" t="s">
        <v>8050</v>
      </c>
      <c r="B2677" t="s">
        <v>8416</v>
      </c>
      <c r="C2677" t="s">
        <v>8402</v>
      </c>
      <c r="D2677" t="s">
        <v>8403</v>
      </c>
      <c r="E2677" t="s">
        <v>8404</v>
      </c>
      <c r="F2677" t="s">
        <v>8417</v>
      </c>
      <c r="G2677" s="2" t="str">
        <f>HYPERLINK("https://probpalata.gov.ru/files/ИП390300392200012.jpeg","Скачать индивидуальный QR-код магазина")</f>
        <v>Скачать индивидуальный QR-код магазина</v>
      </c>
    </row>
    <row r="2678" spans="1:7" x14ac:dyDescent="0.25">
      <c r="A2678" t="s">
        <v>8050</v>
      </c>
      <c r="B2678" t="s">
        <v>8418</v>
      </c>
      <c r="C2678" t="s">
        <v>8402</v>
      </c>
      <c r="D2678" t="s">
        <v>8403</v>
      </c>
      <c r="E2678" t="s">
        <v>8404</v>
      </c>
      <c r="F2678" t="s">
        <v>8419</v>
      </c>
      <c r="G2678" s="2" t="str">
        <f>HYPERLINK("https://probpalata.gov.ru/files/ИП390300392200013.jpeg","Скачать индивидуальный QR-код магазина")</f>
        <v>Скачать индивидуальный QR-код магазина</v>
      </c>
    </row>
    <row r="2679" spans="1:7" x14ac:dyDescent="0.25">
      <c r="A2679" t="s">
        <v>8050</v>
      </c>
      <c r="B2679" t="s">
        <v>8420</v>
      </c>
      <c r="C2679" t="s">
        <v>8402</v>
      </c>
      <c r="D2679" t="s">
        <v>8403</v>
      </c>
      <c r="E2679" t="s">
        <v>8404</v>
      </c>
      <c r="F2679" t="s">
        <v>8421</v>
      </c>
      <c r="G2679" s="2" t="str">
        <f>HYPERLINK("https://probpalata.gov.ru/files/ИП390300392200015.jpeg","Скачать индивидуальный QR-код магазина")</f>
        <v>Скачать индивидуальный QR-код магазина</v>
      </c>
    </row>
    <row r="2680" spans="1:7" x14ac:dyDescent="0.25">
      <c r="A2680" t="s">
        <v>8050</v>
      </c>
      <c r="B2680" t="s">
        <v>8422</v>
      </c>
      <c r="C2680" t="s">
        <v>8402</v>
      </c>
      <c r="D2680" t="s">
        <v>8403</v>
      </c>
      <c r="E2680" t="s">
        <v>8404</v>
      </c>
      <c r="F2680" t="s">
        <v>8423</v>
      </c>
      <c r="G2680" s="2" t="str">
        <f>HYPERLINK("https://probpalata.gov.ru/files/ИП390300392200019.jpeg","Скачать индивидуальный QR-код магазина")</f>
        <v>Скачать индивидуальный QR-код магазина</v>
      </c>
    </row>
    <row r="2681" spans="1:7" x14ac:dyDescent="0.25">
      <c r="A2681" t="s">
        <v>8050</v>
      </c>
      <c r="B2681" t="s">
        <v>8424</v>
      </c>
      <c r="C2681" t="s">
        <v>8402</v>
      </c>
      <c r="D2681" t="s">
        <v>8403</v>
      </c>
      <c r="E2681" t="s">
        <v>8404</v>
      </c>
      <c r="F2681" t="s">
        <v>8425</v>
      </c>
      <c r="G2681" s="2" t="str">
        <f>HYPERLINK("https://probpalata.gov.ru/files/ИП390300392200020.jpeg","Скачать индивидуальный QR-код магазина")</f>
        <v>Скачать индивидуальный QR-код магазина</v>
      </c>
    </row>
    <row r="2682" spans="1:7" x14ac:dyDescent="0.25">
      <c r="A2682" t="s">
        <v>8050</v>
      </c>
      <c r="B2682" t="s">
        <v>8426</v>
      </c>
      <c r="C2682" t="s">
        <v>8402</v>
      </c>
      <c r="D2682" t="s">
        <v>8403</v>
      </c>
      <c r="E2682" t="s">
        <v>8404</v>
      </c>
      <c r="F2682" t="s">
        <v>8427</v>
      </c>
      <c r="G2682" s="2" t="str">
        <f>HYPERLINK("https://probpalata.gov.ru/files/ИП390300392200021.jpeg","Скачать индивидуальный QR-код магазина")</f>
        <v>Скачать индивидуальный QR-код магазина</v>
      </c>
    </row>
    <row r="2683" spans="1:7" x14ac:dyDescent="0.25">
      <c r="A2683" t="s">
        <v>8050</v>
      </c>
      <c r="B2683" t="s">
        <v>8428</v>
      </c>
      <c r="C2683" t="s">
        <v>8402</v>
      </c>
      <c r="D2683" t="s">
        <v>8403</v>
      </c>
      <c r="E2683" t="s">
        <v>8404</v>
      </c>
      <c r="F2683" t="s">
        <v>8429</v>
      </c>
      <c r="G2683" s="2" t="str">
        <f>HYPERLINK("https://probpalata.gov.ru/files/ИП390300392200027.jpeg","Скачать индивидуальный QR-код магазина")</f>
        <v>Скачать индивидуальный QR-код магазина</v>
      </c>
    </row>
    <row r="2684" spans="1:7" x14ac:dyDescent="0.25">
      <c r="A2684" t="s">
        <v>8050</v>
      </c>
      <c r="B2684" t="s">
        <v>8430</v>
      </c>
      <c r="C2684" t="s">
        <v>8402</v>
      </c>
      <c r="D2684" t="s">
        <v>8403</v>
      </c>
      <c r="E2684" t="s">
        <v>8404</v>
      </c>
      <c r="F2684" t="s">
        <v>8431</v>
      </c>
      <c r="G2684" s="2" t="str">
        <f>HYPERLINK("https://probpalata.gov.ru/files/ИП390300392200031.jpeg","Скачать индивидуальный QR-код магазина")</f>
        <v>Скачать индивидуальный QR-код магазина</v>
      </c>
    </row>
    <row r="2685" spans="1:7" x14ac:dyDescent="0.25">
      <c r="A2685" t="s">
        <v>8050</v>
      </c>
      <c r="B2685" t="s">
        <v>8432</v>
      </c>
      <c r="C2685" t="s">
        <v>8402</v>
      </c>
      <c r="D2685" t="s">
        <v>8403</v>
      </c>
      <c r="E2685" t="s">
        <v>8404</v>
      </c>
      <c r="F2685" t="s">
        <v>8433</v>
      </c>
      <c r="G2685" s="2" t="str">
        <f>HYPERLINK("https://probpalata.gov.ru/files/ИП390300392200033.jpeg","Скачать индивидуальный QR-код магазина")</f>
        <v>Скачать индивидуальный QR-код магазина</v>
      </c>
    </row>
    <row r="2686" spans="1:7" x14ac:dyDescent="0.25">
      <c r="A2686" t="s">
        <v>8050</v>
      </c>
      <c r="B2686" t="s">
        <v>8434</v>
      </c>
      <c r="C2686" t="s">
        <v>8402</v>
      </c>
      <c r="D2686" t="s">
        <v>8403</v>
      </c>
      <c r="E2686" t="s">
        <v>8404</v>
      </c>
      <c r="F2686" t="s">
        <v>8435</v>
      </c>
      <c r="G2686" s="2" t="str">
        <f>HYPERLINK("https://probpalata.gov.ru/files/ИП390300392200034.jpeg","Скачать индивидуальный QR-код магазина")</f>
        <v>Скачать индивидуальный QR-код магазина</v>
      </c>
    </row>
    <row r="2687" spans="1:7" x14ac:dyDescent="0.25">
      <c r="A2687" t="s">
        <v>8050</v>
      </c>
      <c r="B2687" t="s">
        <v>8436</v>
      </c>
      <c r="C2687" t="s">
        <v>8402</v>
      </c>
      <c r="D2687" t="s">
        <v>8403</v>
      </c>
      <c r="E2687" t="s">
        <v>8404</v>
      </c>
      <c r="F2687" t="s">
        <v>8437</v>
      </c>
      <c r="G2687" s="2" t="str">
        <f>HYPERLINK("https://probpalata.gov.ru/files/ИП390300392200036.jpeg","Скачать индивидуальный QR-код магазина")</f>
        <v>Скачать индивидуальный QR-код магазина</v>
      </c>
    </row>
    <row r="2688" spans="1:7" x14ac:dyDescent="0.25">
      <c r="A2688" t="s">
        <v>8050</v>
      </c>
      <c r="B2688" t="s">
        <v>8438</v>
      </c>
      <c r="C2688" t="s">
        <v>8402</v>
      </c>
      <c r="D2688" t="s">
        <v>8403</v>
      </c>
      <c r="E2688" t="s">
        <v>8404</v>
      </c>
      <c r="F2688" t="s">
        <v>8439</v>
      </c>
      <c r="G2688" s="2" t="str">
        <f>HYPERLINK("https://probpalata.gov.ru/files/ИП390300392200037.jpeg","Скачать индивидуальный QR-код магазина")</f>
        <v>Скачать индивидуальный QR-код магазина</v>
      </c>
    </row>
    <row r="2689" spans="1:7" x14ac:dyDescent="0.25">
      <c r="A2689" t="s">
        <v>8050</v>
      </c>
      <c r="B2689" t="s">
        <v>8440</v>
      </c>
      <c r="C2689" t="s">
        <v>8402</v>
      </c>
      <c r="D2689" t="s">
        <v>8403</v>
      </c>
      <c r="E2689" t="s">
        <v>8404</v>
      </c>
      <c r="F2689" t="s">
        <v>8441</v>
      </c>
      <c r="G2689" s="2" t="str">
        <f>HYPERLINK("https://probpalata.gov.ru/files/ИП390300392200038.jpeg","Скачать индивидуальный QR-код магазина")</f>
        <v>Скачать индивидуальный QR-код магазина</v>
      </c>
    </row>
    <row r="2690" spans="1:7" x14ac:dyDescent="0.25">
      <c r="A2690" t="s">
        <v>8050</v>
      </c>
      <c r="B2690" t="s">
        <v>8442</v>
      </c>
      <c r="C2690" t="s">
        <v>8443</v>
      </c>
      <c r="D2690" t="s">
        <v>8444</v>
      </c>
      <c r="E2690" t="s">
        <v>8445</v>
      </c>
      <c r="F2690" t="s">
        <v>8446</v>
      </c>
      <c r="G2690" s="2" t="str">
        <f>HYPERLINK("https://probpalata.gov.ru/files/ИП390303885800000.jpeg","Скачать индивидуальный QR-код магазина")</f>
        <v>Скачать индивидуальный QR-код магазина</v>
      </c>
    </row>
    <row r="2691" spans="1:7" x14ac:dyDescent="0.25">
      <c r="A2691" t="s">
        <v>8050</v>
      </c>
      <c r="B2691" t="s">
        <v>8447</v>
      </c>
      <c r="C2691" t="s">
        <v>8448</v>
      </c>
      <c r="D2691" t="s">
        <v>8449</v>
      </c>
      <c r="E2691" t="s">
        <v>8450</v>
      </c>
      <c r="F2691" t="s">
        <v>8451</v>
      </c>
      <c r="G2691" s="2" t="str">
        <f>HYPERLINK("https://probpalata.gov.ru/files/ИП390300494600001.jpeg","Скачать индивидуальный QR-код магазина")</f>
        <v>Скачать индивидуальный QR-код магазина</v>
      </c>
    </row>
    <row r="2692" spans="1:7" x14ac:dyDescent="0.25">
      <c r="A2692" t="s">
        <v>8050</v>
      </c>
      <c r="B2692" t="s">
        <v>8452</v>
      </c>
      <c r="C2692" t="s">
        <v>8453</v>
      </c>
      <c r="D2692" t="s">
        <v>8454</v>
      </c>
      <c r="E2692" t="s">
        <v>8455</v>
      </c>
      <c r="F2692" t="s">
        <v>8456</v>
      </c>
      <c r="G2692" s="2" t="str">
        <f>HYPERLINK("https://probpalata.gov.ru/files/ИП390303394900000.jpeg","Скачать индивидуальный QR-код магазина")</f>
        <v>Скачать индивидуальный QR-код магазина</v>
      </c>
    </row>
    <row r="2693" spans="1:7" x14ac:dyDescent="0.25">
      <c r="A2693" t="s">
        <v>8050</v>
      </c>
      <c r="B2693" t="s">
        <v>8457</v>
      </c>
      <c r="C2693" t="s">
        <v>8458</v>
      </c>
      <c r="D2693" t="s">
        <v>8459</v>
      </c>
      <c r="E2693" t="s">
        <v>8460</v>
      </c>
      <c r="F2693" t="s">
        <v>8461</v>
      </c>
      <c r="G2693" s="2" t="str">
        <f>HYPERLINK("https://probpalata.gov.ru/files/ИП390303933900001.jpeg","Скачать индивидуальный QR-код магазина")</f>
        <v>Скачать индивидуальный QR-код магазина</v>
      </c>
    </row>
    <row r="2694" spans="1:7" x14ac:dyDescent="0.25">
      <c r="A2694" t="s">
        <v>8050</v>
      </c>
      <c r="B2694" t="s">
        <v>8462</v>
      </c>
      <c r="C2694" t="s">
        <v>8458</v>
      </c>
      <c r="D2694" t="s">
        <v>8459</v>
      </c>
      <c r="E2694" t="s">
        <v>8460</v>
      </c>
      <c r="F2694" t="s">
        <v>8463</v>
      </c>
      <c r="G2694" s="2" t="str">
        <f>HYPERLINK("https://probpalata.gov.ru/files/ИП390303933900002.jpeg","Скачать индивидуальный QR-код магазина")</f>
        <v>Скачать индивидуальный QR-код магазина</v>
      </c>
    </row>
    <row r="2695" spans="1:7" x14ac:dyDescent="0.25">
      <c r="A2695" t="s">
        <v>8050</v>
      </c>
      <c r="B2695" t="s">
        <v>8464</v>
      </c>
      <c r="C2695" t="s">
        <v>8465</v>
      </c>
      <c r="D2695" t="s">
        <v>8466</v>
      </c>
      <c r="E2695" t="s">
        <v>8467</v>
      </c>
      <c r="F2695" t="s">
        <v>8468</v>
      </c>
      <c r="G2695" s="2" t="str">
        <f>HYPERLINK("https://probpalata.gov.ru/files/ИП390301649800000.jpeg","Скачать индивидуальный QR-код магазина")</f>
        <v>Скачать индивидуальный QR-код магазина</v>
      </c>
    </row>
    <row r="2696" spans="1:7" x14ac:dyDescent="0.25">
      <c r="A2696" t="s">
        <v>8050</v>
      </c>
      <c r="B2696" t="s">
        <v>8469</v>
      </c>
      <c r="C2696" t="s">
        <v>8470</v>
      </c>
      <c r="D2696" t="s">
        <v>8471</v>
      </c>
      <c r="E2696" t="s">
        <v>8472</v>
      </c>
      <c r="F2696" t="s">
        <v>8473</v>
      </c>
      <c r="G2696" s="2" t="str">
        <f>HYPERLINK("https://probpalata.gov.ru/files/ИП390300863600000.jpeg","Скачать индивидуальный QR-код магазина")</f>
        <v>Скачать индивидуальный QR-код магазина</v>
      </c>
    </row>
    <row r="2697" spans="1:7" x14ac:dyDescent="0.25">
      <c r="A2697" t="s">
        <v>8050</v>
      </c>
      <c r="B2697" t="s">
        <v>8474</v>
      </c>
      <c r="C2697" t="s">
        <v>8470</v>
      </c>
      <c r="D2697" t="s">
        <v>8471</v>
      </c>
      <c r="E2697" t="s">
        <v>8472</v>
      </c>
      <c r="F2697" t="s">
        <v>8475</v>
      </c>
      <c r="G2697" s="2" t="str">
        <f>HYPERLINK("https://probpalata.gov.ru/files/ИП390300863600001.jpeg","Скачать индивидуальный QR-код магазина")</f>
        <v>Скачать индивидуальный QR-код магазина</v>
      </c>
    </row>
    <row r="2698" spans="1:7" x14ac:dyDescent="0.25">
      <c r="A2698" t="s">
        <v>8050</v>
      </c>
      <c r="B2698" t="s">
        <v>8476</v>
      </c>
      <c r="C2698" t="s">
        <v>8470</v>
      </c>
      <c r="D2698" t="s">
        <v>8471</v>
      </c>
      <c r="E2698" t="s">
        <v>8472</v>
      </c>
      <c r="F2698" t="s">
        <v>8477</v>
      </c>
      <c r="G2698" s="2" t="str">
        <f>HYPERLINK("https://probpalata.gov.ru/files/ИП390300863600002.jpeg","Скачать индивидуальный QR-код магазина")</f>
        <v>Скачать индивидуальный QR-код магазина</v>
      </c>
    </row>
    <row r="2699" spans="1:7" x14ac:dyDescent="0.25">
      <c r="A2699" t="s">
        <v>8050</v>
      </c>
      <c r="B2699" t="s">
        <v>8478</v>
      </c>
      <c r="C2699" t="s">
        <v>8470</v>
      </c>
      <c r="D2699" t="s">
        <v>8471</v>
      </c>
      <c r="E2699" t="s">
        <v>8472</v>
      </c>
      <c r="F2699" t="s">
        <v>8479</v>
      </c>
      <c r="G2699" s="2" t="str">
        <f>HYPERLINK("https://probpalata.gov.ru/files/ИП390300863600003.jpeg","Скачать индивидуальный QR-код магазина")</f>
        <v>Скачать индивидуальный QR-код магазина</v>
      </c>
    </row>
    <row r="2700" spans="1:7" x14ac:dyDescent="0.25">
      <c r="A2700" t="s">
        <v>8050</v>
      </c>
      <c r="B2700" t="s">
        <v>8480</v>
      </c>
      <c r="C2700" t="s">
        <v>8470</v>
      </c>
      <c r="D2700" t="s">
        <v>8471</v>
      </c>
      <c r="E2700" t="s">
        <v>8472</v>
      </c>
      <c r="F2700" t="s">
        <v>8481</v>
      </c>
      <c r="G2700" s="2" t="str">
        <f>HYPERLINK("https://probpalata.gov.ru/files/ИП390300863600004.jpeg","Скачать индивидуальный QR-код магазина")</f>
        <v>Скачать индивидуальный QR-код магазина</v>
      </c>
    </row>
    <row r="2701" spans="1:7" x14ac:dyDescent="0.25">
      <c r="A2701" t="s">
        <v>8050</v>
      </c>
      <c r="B2701" t="s">
        <v>8482</v>
      </c>
      <c r="C2701" t="s">
        <v>8483</v>
      </c>
      <c r="D2701" t="s">
        <v>8484</v>
      </c>
      <c r="E2701" t="s">
        <v>8485</v>
      </c>
      <c r="F2701" t="s">
        <v>8486</v>
      </c>
      <c r="G2701" s="2" t="str">
        <f>HYPERLINK("https://probpalata.gov.ru/files/ИП390303921100000.jpeg","Скачать индивидуальный QR-код магазина")</f>
        <v>Скачать индивидуальный QR-код магазина</v>
      </c>
    </row>
    <row r="2702" spans="1:7" x14ac:dyDescent="0.25">
      <c r="A2702" t="s">
        <v>8050</v>
      </c>
      <c r="B2702" t="s">
        <v>8487</v>
      </c>
      <c r="C2702" t="s">
        <v>8488</v>
      </c>
      <c r="D2702" t="s">
        <v>8489</v>
      </c>
      <c r="E2702" t="s">
        <v>8490</v>
      </c>
      <c r="F2702" t="s">
        <v>8491</v>
      </c>
      <c r="G2702" s="2" t="str">
        <f>HYPERLINK("https://probpalata.gov.ru/files/ИП390301476200000.jpeg","Скачать индивидуальный QR-код магазина")</f>
        <v>Скачать индивидуальный QR-код магазина</v>
      </c>
    </row>
    <row r="2703" spans="1:7" x14ac:dyDescent="0.25">
      <c r="A2703" t="s">
        <v>8050</v>
      </c>
      <c r="B2703" t="s">
        <v>8492</v>
      </c>
      <c r="C2703" t="s">
        <v>8493</v>
      </c>
      <c r="D2703" t="s">
        <v>8494</v>
      </c>
      <c r="E2703" t="s">
        <v>8495</v>
      </c>
      <c r="F2703" t="s">
        <v>8496</v>
      </c>
      <c r="G2703" s="2" t="str">
        <f>HYPERLINK("https://probpalata.gov.ru/files/ИП390303834700000.jpeg","Скачать индивидуальный QR-код магазина")</f>
        <v>Скачать индивидуальный QR-код магазина</v>
      </c>
    </row>
    <row r="2704" spans="1:7" x14ac:dyDescent="0.25">
      <c r="A2704" t="s">
        <v>8050</v>
      </c>
      <c r="B2704" t="s">
        <v>8497</v>
      </c>
      <c r="C2704" t="s">
        <v>8498</v>
      </c>
      <c r="D2704" t="s">
        <v>8499</v>
      </c>
      <c r="E2704" t="s">
        <v>8500</v>
      </c>
      <c r="F2704" t="s">
        <v>8501</v>
      </c>
      <c r="G2704" s="2" t="str">
        <f>HYPERLINK("https://probpalata.gov.ru/files/ЮЛ390300891900001.jpeg","Скачать индивидуальный QR-код магазина")</f>
        <v>Скачать индивидуальный QR-код магазина</v>
      </c>
    </row>
    <row r="2705" spans="1:7" x14ac:dyDescent="0.25">
      <c r="A2705" t="s">
        <v>8050</v>
      </c>
      <c r="B2705" t="s">
        <v>8502</v>
      </c>
      <c r="C2705" t="s">
        <v>8498</v>
      </c>
      <c r="D2705" t="s">
        <v>8499</v>
      </c>
      <c r="E2705" t="s">
        <v>8500</v>
      </c>
      <c r="F2705" t="s">
        <v>8503</v>
      </c>
      <c r="G2705" s="2" t="str">
        <f>HYPERLINK("https://probpalata.gov.ru/files/ЮЛ390300891900002.jpeg","Скачать индивидуальный QR-код магазина")</f>
        <v>Скачать индивидуальный QR-код магазина</v>
      </c>
    </row>
    <row r="2706" spans="1:7" x14ac:dyDescent="0.25">
      <c r="A2706" t="s">
        <v>8050</v>
      </c>
      <c r="B2706" t="s">
        <v>8504</v>
      </c>
      <c r="C2706" t="s">
        <v>8498</v>
      </c>
      <c r="D2706" t="s">
        <v>8499</v>
      </c>
      <c r="E2706" t="s">
        <v>8500</v>
      </c>
      <c r="F2706" t="s">
        <v>8505</v>
      </c>
      <c r="G2706" s="2" t="str">
        <f>HYPERLINK("https://probpalata.gov.ru/files/ЮЛ390300891900003.jpeg","Скачать индивидуальный QR-код магазина")</f>
        <v>Скачать индивидуальный QR-код магазина</v>
      </c>
    </row>
    <row r="2707" spans="1:7" x14ac:dyDescent="0.25">
      <c r="A2707" t="s">
        <v>8050</v>
      </c>
      <c r="B2707" t="s">
        <v>8506</v>
      </c>
      <c r="C2707" t="s">
        <v>8498</v>
      </c>
      <c r="D2707" t="s">
        <v>8499</v>
      </c>
      <c r="E2707" t="s">
        <v>8500</v>
      </c>
      <c r="F2707" t="s">
        <v>8507</v>
      </c>
      <c r="G2707" s="2" t="str">
        <f>HYPERLINK("https://probpalata.gov.ru/files/ЮЛ390300891900004.jpeg","Скачать индивидуальный QR-код магазина")</f>
        <v>Скачать индивидуальный QR-код магазина</v>
      </c>
    </row>
    <row r="2708" spans="1:7" x14ac:dyDescent="0.25">
      <c r="A2708" t="s">
        <v>8050</v>
      </c>
      <c r="B2708" t="s">
        <v>8508</v>
      </c>
      <c r="C2708" t="s">
        <v>8498</v>
      </c>
      <c r="D2708" t="s">
        <v>8499</v>
      </c>
      <c r="E2708" t="s">
        <v>8500</v>
      </c>
      <c r="F2708" t="s">
        <v>8509</v>
      </c>
      <c r="G2708" s="2" t="str">
        <f>HYPERLINK("https://probpalata.gov.ru/files/ЮЛ390300891900006.jpeg","Скачать индивидуальный QR-код магазина")</f>
        <v>Скачать индивидуальный QR-код магазина</v>
      </c>
    </row>
    <row r="2709" spans="1:7" x14ac:dyDescent="0.25">
      <c r="A2709" t="s">
        <v>8050</v>
      </c>
      <c r="B2709" t="s">
        <v>8510</v>
      </c>
      <c r="C2709" t="s">
        <v>8498</v>
      </c>
      <c r="D2709" t="s">
        <v>8499</v>
      </c>
      <c r="E2709" t="s">
        <v>8500</v>
      </c>
      <c r="F2709" t="s">
        <v>8511</v>
      </c>
      <c r="G2709" s="2" t="str">
        <f>HYPERLINK("https://probpalata.gov.ru/files/ЮЛ390300891900007.jpeg","Скачать индивидуальный QR-код магазина")</f>
        <v>Скачать индивидуальный QR-код магазина</v>
      </c>
    </row>
    <row r="2710" spans="1:7" x14ac:dyDescent="0.25">
      <c r="A2710" t="s">
        <v>8050</v>
      </c>
      <c r="B2710" t="s">
        <v>8512</v>
      </c>
      <c r="C2710" t="s">
        <v>8498</v>
      </c>
      <c r="D2710" t="s">
        <v>8499</v>
      </c>
      <c r="E2710" t="s">
        <v>8500</v>
      </c>
      <c r="F2710" t="s">
        <v>8513</v>
      </c>
      <c r="G2710" s="2" t="str">
        <f>HYPERLINK("https://probpalata.gov.ru/files/ЮЛ390300891900009.jpeg","Скачать индивидуальный QR-код магазина")</f>
        <v>Скачать индивидуальный QR-код магазина</v>
      </c>
    </row>
    <row r="2711" spans="1:7" x14ac:dyDescent="0.25">
      <c r="A2711" t="s">
        <v>8050</v>
      </c>
      <c r="B2711" t="s">
        <v>8514</v>
      </c>
      <c r="C2711" t="s">
        <v>8498</v>
      </c>
      <c r="D2711" t="s">
        <v>8499</v>
      </c>
      <c r="E2711" t="s">
        <v>8500</v>
      </c>
      <c r="F2711" t="s">
        <v>8515</v>
      </c>
      <c r="G2711" s="2" t="str">
        <f>HYPERLINK("https://probpalata.gov.ru/files/ЮЛ390300891900010.jpeg","Скачать индивидуальный QR-код магазина")</f>
        <v>Скачать индивидуальный QR-код магазина</v>
      </c>
    </row>
    <row r="2712" spans="1:7" x14ac:dyDescent="0.25">
      <c r="A2712" t="s">
        <v>8050</v>
      </c>
      <c r="B2712" t="s">
        <v>8516</v>
      </c>
      <c r="C2712" t="s">
        <v>8498</v>
      </c>
      <c r="D2712" t="s">
        <v>8499</v>
      </c>
      <c r="E2712" t="s">
        <v>8500</v>
      </c>
      <c r="F2712" t="s">
        <v>8517</v>
      </c>
      <c r="G2712" s="2" t="str">
        <f>HYPERLINK("https://probpalata.gov.ru/files/ЮЛ390300891900011.jpeg","Скачать индивидуальный QR-код магазина")</f>
        <v>Скачать индивидуальный QR-код магазина</v>
      </c>
    </row>
    <row r="2713" spans="1:7" x14ac:dyDescent="0.25">
      <c r="A2713" t="s">
        <v>8050</v>
      </c>
      <c r="B2713" t="s">
        <v>8518</v>
      </c>
      <c r="C2713" t="s">
        <v>8498</v>
      </c>
      <c r="D2713" t="s">
        <v>8499</v>
      </c>
      <c r="E2713" t="s">
        <v>8500</v>
      </c>
      <c r="F2713" t="s">
        <v>8519</v>
      </c>
      <c r="G2713" s="2" t="str">
        <f>HYPERLINK("https://probpalata.gov.ru/files/ЮЛ390300891900012.jpeg","Скачать индивидуальный QR-код магазина")</f>
        <v>Скачать индивидуальный QR-код магазина</v>
      </c>
    </row>
    <row r="2714" spans="1:7" x14ac:dyDescent="0.25">
      <c r="A2714" t="s">
        <v>8050</v>
      </c>
      <c r="B2714" t="s">
        <v>8520</v>
      </c>
      <c r="C2714" t="s">
        <v>8498</v>
      </c>
      <c r="D2714" t="s">
        <v>8499</v>
      </c>
      <c r="E2714" t="s">
        <v>8500</v>
      </c>
      <c r="F2714" t="s">
        <v>8521</v>
      </c>
      <c r="G2714" s="2" t="str">
        <f>HYPERLINK("https://probpalata.gov.ru/files/ЮЛ390300891900013.jpeg","Скачать индивидуальный QR-код магазина")</f>
        <v>Скачать индивидуальный QR-код магазина</v>
      </c>
    </row>
    <row r="2715" spans="1:7" x14ac:dyDescent="0.25">
      <c r="A2715" t="s">
        <v>8050</v>
      </c>
      <c r="B2715" t="s">
        <v>8522</v>
      </c>
      <c r="C2715" t="s">
        <v>8498</v>
      </c>
      <c r="D2715" t="s">
        <v>8499</v>
      </c>
      <c r="E2715" t="s">
        <v>8500</v>
      </c>
      <c r="F2715" t="s">
        <v>8523</v>
      </c>
      <c r="G2715" s="2" t="str">
        <f>HYPERLINK("https://probpalata.gov.ru/files/ЮЛ390300891900014.jpeg","Скачать индивидуальный QR-код магазина")</f>
        <v>Скачать индивидуальный QR-код магазина</v>
      </c>
    </row>
    <row r="2716" spans="1:7" x14ac:dyDescent="0.25">
      <c r="A2716" t="s">
        <v>8050</v>
      </c>
      <c r="B2716" t="s">
        <v>8524</v>
      </c>
      <c r="C2716" t="s">
        <v>8498</v>
      </c>
      <c r="D2716" t="s">
        <v>8499</v>
      </c>
      <c r="E2716" t="s">
        <v>8500</v>
      </c>
      <c r="F2716" t="s">
        <v>8525</v>
      </c>
      <c r="G2716" s="2" t="str">
        <f>HYPERLINK("https://probpalata.gov.ru/files/ЮЛ390300891900015.jpeg","Скачать индивидуальный QR-код магазина")</f>
        <v>Скачать индивидуальный QR-код магазина</v>
      </c>
    </row>
    <row r="2717" spans="1:7" x14ac:dyDescent="0.25">
      <c r="A2717" t="s">
        <v>8050</v>
      </c>
      <c r="B2717" t="s">
        <v>8526</v>
      </c>
      <c r="C2717" t="s">
        <v>8527</v>
      </c>
      <c r="D2717" t="s">
        <v>8528</v>
      </c>
      <c r="E2717" t="s">
        <v>8529</v>
      </c>
      <c r="F2717" t="s">
        <v>8530</v>
      </c>
      <c r="G2717" s="2" t="str">
        <f>HYPERLINK("https://probpalata.gov.ru/files/ИП390302030400000.jpeg","Скачать индивидуальный QR-код магазина")</f>
        <v>Скачать индивидуальный QR-код магазина</v>
      </c>
    </row>
    <row r="2718" spans="1:7" x14ac:dyDescent="0.25">
      <c r="A2718" t="s">
        <v>8050</v>
      </c>
      <c r="B2718" t="s">
        <v>8531</v>
      </c>
      <c r="C2718" t="s">
        <v>8527</v>
      </c>
      <c r="D2718" t="s">
        <v>8528</v>
      </c>
      <c r="E2718" t="s">
        <v>8529</v>
      </c>
      <c r="F2718" t="s">
        <v>8532</v>
      </c>
      <c r="G2718" s="2" t="str">
        <f>HYPERLINK("https://probpalata.gov.ru/files/ИП390302030400001.jpeg","Скачать индивидуальный QR-код магазина")</f>
        <v>Скачать индивидуальный QR-код магазина</v>
      </c>
    </row>
    <row r="2719" spans="1:7" x14ac:dyDescent="0.25">
      <c r="A2719" t="s">
        <v>8050</v>
      </c>
      <c r="B2719" t="s">
        <v>8533</v>
      </c>
      <c r="C2719" t="s">
        <v>8534</v>
      </c>
      <c r="D2719" t="s">
        <v>8535</v>
      </c>
      <c r="E2719" t="s">
        <v>8536</v>
      </c>
      <c r="F2719" t="s">
        <v>8537</v>
      </c>
      <c r="G2719" s="2" t="str">
        <f>HYPERLINK("https://probpalata.gov.ru/files/ИП390301121600001.jpeg","Скачать индивидуальный QR-код магазина")</f>
        <v>Скачать индивидуальный QR-код магазина</v>
      </c>
    </row>
    <row r="2720" spans="1:7" x14ac:dyDescent="0.25">
      <c r="A2720" t="s">
        <v>8050</v>
      </c>
      <c r="B2720" t="s">
        <v>8480</v>
      </c>
      <c r="C2720" t="s">
        <v>8538</v>
      </c>
      <c r="D2720" t="s">
        <v>8539</v>
      </c>
      <c r="E2720" t="s">
        <v>8540</v>
      </c>
      <c r="F2720" t="s">
        <v>8541</v>
      </c>
      <c r="G2720" s="2" t="str">
        <f>HYPERLINK("https://probpalata.gov.ru/files/ИП390304021100000.jpeg","Скачать индивидуальный QR-код магазина")</f>
        <v>Скачать индивидуальный QR-код магазина</v>
      </c>
    </row>
    <row r="2721" spans="1:7" x14ac:dyDescent="0.25">
      <c r="A2721" t="s">
        <v>8050</v>
      </c>
      <c r="B2721" t="s">
        <v>8474</v>
      </c>
      <c r="C2721" t="s">
        <v>8538</v>
      </c>
      <c r="D2721" t="s">
        <v>8539</v>
      </c>
      <c r="E2721" t="s">
        <v>8540</v>
      </c>
      <c r="F2721" t="s">
        <v>8542</v>
      </c>
      <c r="G2721" s="2" t="str">
        <f>HYPERLINK("https://probpalata.gov.ru/files/ИП390304021100001.jpeg","Скачать индивидуальный QR-код магазина")</f>
        <v>Скачать индивидуальный QR-код магазина</v>
      </c>
    </row>
    <row r="2722" spans="1:7" x14ac:dyDescent="0.25">
      <c r="A2722" t="s">
        <v>8050</v>
      </c>
      <c r="B2722" t="s">
        <v>8476</v>
      </c>
      <c r="C2722" t="s">
        <v>8538</v>
      </c>
      <c r="D2722" t="s">
        <v>8539</v>
      </c>
      <c r="E2722" t="s">
        <v>8540</v>
      </c>
      <c r="F2722" t="s">
        <v>8543</v>
      </c>
      <c r="G2722" s="2" t="str">
        <f>HYPERLINK("https://probpalata.gov.ru/files/ИП390304021100002.jpeg","Скачать индивидуальный QR-код магазина")</f>
        <v>Скачать индивидуальный QR-код магазина</v>
      </c>
    </row>
    <row r="2723" spans="1:7" x14ac:dyDescent="0.25">
      <c r="A2723" t="s">
        <v>8050</v>
      </c>
      <c r="B2723" t="s">
        <v>8544</v>
      </c>
      <c r="C2723" t="s">
        <v>8545</v>
      </c>
      <c r="D2723" t="s">
        <v>8546</v>
      </c>
      <c r="E2723" t="s">
        <v>8547</v>
      </c>
      <c r="F2723" t="s">
        <v>8548</v>
      </c>
      <c r="G2723" s="2" t="str">
        <f>HYPERLINK("https://probpalata.gov.ru/files/ИП390303038400000.jpeg","Скачать индивидуальный QR-код магазина")</f>
        <v>Скачать индивидуальный QR-код магазина</v>
      </c>
    </row>
    <row r="2724" spans="1:7" x14ac:dyDescent="0.25">
      <c r="A2724" t="s">
        <v>8050</v>
      </c>
      <c r="B2724" t="s">
        <v>8549</v>
      </c>
      <c r="C2724" t="s">
        <v>8550</v>
      </c>
      <c r="D2724" t="s">
        <v>8551</v>
      </c>
      <c r="E2724" t="s">
        <v>8552</v>
      </c>
      <c r="F2724" t="s">
        <v>8553</v>
      </c>
      <c r="G2724" s="2" t="str">
        <f>HYPERLINK("https://probpalata.gov.ru/files/ИП390303892300000.jpeg","Скачать индивидуальный QR-код магазина")</f>
        <v>Скачать индивидуальный QR-код магазина</v>
      </c>
    </row>
    <row r="2725" spans="1:7" x14ac:dyDescent="0.25">
      <c r="A2725" t="s">
        <v>8050</v>
      </c>
      <c r="B2725" t="s">
        <v>8554</v>
      </c>
      <c r="C2725" t="s">
        <v>8550</v>
      </c>
      <c r="D2725" t="s">
        <v>8551</v>
      </c>
      <c r="E2725" t="s">
        <v>8552</v>
      </c>
      <c r="F2725" t="s">
        <v>8555</v>
      </c>
      <c r="G2725" s="2" t="str">
        <f>HYPERLINK("https://probpalata.gov.ru/files/ИП390303892300001.jpeg","Скачать индивидуальный QR-код магазина")</f>
        <v>Скачать индивидуальный QR-код магазина</v>
      </c>
    </row>
    <row r="2726" spans="1:7" x14ac:dyDescent="0.25">
      <c r="A2726" t="s">
        <v>8050</v>
      </c>
      <c r="B2726" t="s">
        <v>8556</v>
      </c>
      <c r="C2726" t="s">
        <v>8550</v>
      </c>
      <c r="D2726" t="s">
        <v>8551</v>
      </c>
      <c r="E2726" t="s">
        <v>8552</v>
      </c>
      <c r="F2726" t="s">
        <v>8557</v>
      </c>
      <c r="G2726" s="2" t="str">
        <f>HYPERLINK("https://probpalata.gov.ru/files/ИП390303892300002.jpeg","Скачать индивидуальный QR-код магазина")</f>
        <v>Скачать индивидуальный QR-код магазина</v>
      </c>
    </row>
    <row r="2727" spans="1:7" x14ac:dyDescent="0.25">
      <c r="A2727" t="s">
        <v>8050</v>
      </c>
      <c r="B2727" t="s">
        <v>8558</v>
      </c>
      <c r="C2727" t="s">
        <v>8559</v>
      </c>
      <c r="D2727" t="s">
        <v>8560</v>
      </c>
      <c r="E2727" t="s">
        <v>8561</v>
      </c>
      <c r="F2727" t="s">
        <v>8562</v>
      </c>
      <c r="G2727" s="2" t="str">
        <f>HYPERLINK("https://probpalata.gov.ru/files/ИП390303909900000.jpeg","Скачать индивидуальный QR-код магазина")</f>
        <v>Скачать индивидуальный QR-код магазина</v>
      </c>
    </row>
    <row r="2728" spans="1:7" x14ac:dyDescent="0.25">
      <c r="A2728" t="s">
        <v>8050</v>
      </c>
      <c r="B2728" t="s">
        <v>8563</v>
      </c>
      <c r="C2728" t="s">
        <v>8564</v>
      </c>
      <c r="D2728" t="s">
        <v>8565</v>
      </c>
      <c r="E2728" t="s">
        <v>8566</v>
      </c>
      <c r="F2728" t="s">
        <v>8567</v>
      </c>
      <c r="G2728" s="2" t="str">
        <f>HYPERLINK("https://probpalata.gov.ru/files/ИП390304095900000.jpeg","Скачать индивидуальный QR-код магазина")</f>
        <v>Скачать индивидуальный QR-код магазина</v>
      </c>
    </row>
    <row r="2729" spans="1:7" x14ac:dyDescent="0.25">
      <c r="A2729" t="s">
        <v>8050</v>
      </c>
      <c r="B2729" t="s">
        <v>8568</v>
      </c>
      <c r="C2729" t="s">
        <v>8569</v>
      </c>
      <c r="D2729" t="s">
        <v>8570</v>
      </c>
      <c r="E2729" t="s">
        <v>8571</v>
      </c>
      <c r="F2729" t="s">
        <v>8572</v>
      </c>
      <c r="G2729" s="2" t="str">
        <f>HYPERLINK("https://probpalata.gov.ru/files/ИП390301630600000.jpeg","Скачать индивидуальный QR-код магазина")</f>
        <v>Скачать индивидуальный QR-код магазина</v>
      </c>
    </row>
    <row r="2730" spans="1:7" x14ac:dyDescent="0.25">
      <c r="A2730" t="s">
        <v>8050</v>
      </c>
      <c r="B2730" t="s">
        <v>8573</v>
      </c>
      <c r="C2730" t="s">
        <v>8574</v>
      </c>
      <c r="D2730" t="s">
        <v>8575</v>
      </c>
      <c r="E2730" t="s">
        <v>8576</v>
      </c>
      <c r="F2730" t="s">
        <v>8577</v>
      </c>
      <c r="G2730" s="2" t="str">
        <f>HYPERLINK("https://probpalata.gov.ru/files/ИП390300371600000.jpeg","Скачать индивидуальный QR-код магазина")</f>
        <v>Скачать индивидуальный QR-код магазина</v>
      </c>
    </row>
    <row r="2731" spans="1:7" x14ac:dyDescent="0.25">
      <c r="A2731" t="s">
        <v>8050</v>
      </c>
      <c r="B2731" t="s">
        <v>8578</v>
      </c>
      <c r="C2731" t="s">
        <v>8579</v>
      </c>
      <c r="D2731" t="s">
        <v>8580</v>
      </c>
      <c r="E2731" t="s">
        <v>8581</v>
      </c>
      <c r="F2731" t="s">
        <v>8582</v>
      </c>
      <c r="G2731" s="2" t="str">
        <f>HYPERLINK("https://probpalata.gov.ru/files/ЮЛ390300092900000.jpeg","Скачать индивидуальный QR-код магазина")</f>
        <v>Скачать индивидуальный QR-код магазина</v>
      </c>
    </row>
    <row r="2732" spans="1:7" x14ac:dyDescent="0.25">
      <c r="A2732" t="s">
        <v>8050</v>
      </c>
      <c r="B2732" t="s">
        <v>8583</v>
      </c>
      <c r="C2732" t="s">
        <v>8584</v>
      </c>
      <c r="D2732" t="s">
        <v>8585</v>
      </c>
      <c r="E2732" t="s">
        <v>8586</v>
      </c>
      <c r="F2732" t="s">
        <v>8587</v>
      </c>
      <c r="G2732" s="2" t="str">
        <f>HYPERLINK("https://probpalata.gov.ru/files/ЮЛ390303733300000.jpeg","Скачать индивидуальный QR-код магазина")</f>
        <v>Скачать индивидуальный QR-код магазина</v>
      </c>
    </row>
    <row r="2733" spans="1:7" x14ac:dyDescent="0.25">
      <c r="A2733" t="s">
        <v>8050</v>
      </c>
      <c r="B2733" t="s">
        <v>8588</v>
      </c>
      <c r="C2733" t="s">
        <v>8584</v>
      </c>
      <c r="D2733" t="s">
        <v>8585</v>
      </c>
      <c r="E2733" t="s">
        <v>8586</v>
      </c>
      <c r="F2733" t="s">
        <v>8589</v>
      </c>
      <c r="G2733" s="2" t="str">
        <f>HYPERLINK("https://probpalata.gov.ru/files/ЮЛ390303733300002.jpeg","Скачать индивидуальный QR-код магазина")</f>
        <v>Скачать индивидуальный QR-код магазина</v>
      </c>
    </row>
    <row r="2734" spans="1:7" x14ac:dyDescent="0.25">
      <c r="A2734" t="s">
        <v>8050</v>
      </c>
      <c r="B2734" t="s">
        <v>8590</v>
      </c>
      <c r="C2734" t="s">
        <v>8591</v>
      </c>
      <c r="D2734" t="s">
        <v>8592</v>
      </c>
      <c r="E2734" t="s">
        <v>8593</v>
      </c>
      <c r="F2734" t="s">
        <v>8594</v>
      </c>
      <c r="G2734" s="2" t="str">
        <f>HYPERLINK("https://probpalata.gov.ru/files/ИП390300543200001.jpeg","Скачать индивидуальный QR-код магазина")</f>
        <v>Скачать индивидуальный QR-код магазина</v>
      </c>
    </row>
    <row r="2735" spans="1:7" x14ac:dyDescent="0.25">
      <c r="A2735" t="s">
        <v>8050</v>
      </c>
      <c r="B2735" t="s">
        <v>8595</v>
      </c>
      <c r="C2735" t="s">
        <v>8591</v>
      </c>
      <c r="D2735" t="s">
        <v>8592</v>
      </c>
      <c r="E2735" t="s">
        <v>8593</v>
      </c>
      <c r="F2735" t="s">
        <v>8596</v>
      </c>
      <c r="G2735" s="2" t="str">
        <f>HYPERLINK("https://probpalata.gov.ru/files/ИП390300543200002.jpeg","Скачать индивидуальный QR-код магазина")</f>
        <v>Скачать индивидуальный QR-код магазина</v>
      </c>
    </row>
    <row r="2736" spans="1:7" x14ac:dyDescent="0.25">
      <c r="A2736" t="s">
        <v>8050</v>
      </c>
      <c r="B2736" t="s">
        <v>8597</v>
      </c>
      <c r="C2736" t="s">
        <v>8598</v>
      </c>
      <c r="D2736" t="s">
        <v>8599</v>
      </c>
      <c r="E2736" t="s">
        <v>8600</v>
      </c>
      <c r="F2736" t="s">
        <v>8601</v>
      </c>
      <c r="G2736" s="2" t="str">
        <f>HYPERLINK("https://probpalata.gov.ru/files/ИП390300494800000.jpeg","Скачать индивидуальный QR-код магазина")</f>
        <v>Скачать индивидуальный QR-код магазина</v>
      </c>
    </row>
    <row r="2737" spans="1:7" x14ac:dyDescent="0.25">
      <c r="A2737" t="s">
        <v>8050</v>
      </c>
      <c r="B2737" t="s">
        <v>8602</v>
      </c>
      <c r="C2737" t="s">
        <v>8598</v>
      </c>
      <c r="D2737" t="s">
        <v>8599</v>
      </c>
      <c r="E2737" t="s">
        <v>8600</v>
      </c>
      <c r="F2737" t="s">
        <v>8603</v>
      </c>
      <c r="G2737" s="2" t="str">
        <f>HYPERLINK("https://probpalata.gov.ru/files/ИП390300494800001.jpeg","Скачать индивидуальный QR-код магазина")</f>
        <v>Скачать индивидуальный QR-код магазина</v>
      </c>
    </row>
    <row r="2738" spans="1:7" x14ac:dyDescent="0.25">
      <c r="A2738" t="s">
        <v>8050</v>
      </c>
      <c r="B2738" t="s">
        <v>8604</v>
      </c>
      <c r="C2738" t="s">
        <v>8605</v>
      </c>
      <c r="D2738" t="s">
        <v>8606</v>
      </c>
      <c r="E2738" t="s">
        <v>8607</v>
      </c>
      <c r="F2738" t="s">
        <v>8608</v>
      </c>
      <c r="G2738" s="2" t="str">
        <f>HYPERLINK("https://probpalata.gov.ru/files/ЮЛ390300645700000.jpeg","Скачать индивидуальный QR-код магазина")</f>
        <v>Скачать индивидуальный QR-код магазина</v>
      </c>
    </row>
    <row r="2739" spans="1:7" x14ac:dyDescent="0.25">
      <c r="A2739" t="s">
        <v>8050</v>
      </c>
      <c r="B2739" t="s">
        <v>8609</v>
      </c>
      <c r="C2739" t="s">
        <v>8605</v>
      </c>
      <c r="D2739" t="s">
        <v>8606</v>
      </c>
      <c r="E2739" t="s">
        <v>8607</v>
      </c>
      <c r="F2739" t="s">
        <v>8610</v>
      </c>
      <c r="G2739" s="2" t="str">
        <f>HYPERLINK("https://probpalata.gov.ru/files/ЮЛ390300645700001.jpeg","Скачать индивидуальный QR-код магазина")</f>
        <v>Скачать индивидуальный QR-код магазина</v>
      </c>
    </row>
    <row r="2740" spans="1:7" x14ac:dyDescent="0.25">
      <c r="A2740" t="s">
        <v>8050</v>
      </c>
      <c r="B2740" t="s">
        <v>8611</v>
      </c>
      <c r="C2740" t="s">
        <v>8605</v>
      </c>
      <c r="D2740" t="s">
        <v>8606</v>
      </c>
      <c r="E2740" t="s">
        <v>8607</v>
      </c>
      <c r="F2740" t="s">
        <v>8612</v>
      </c>
      <c r="G2740" s="2" t="str">
        <f>HYPERLINK("https://probpalata.gov.ru/files/ЮЛ390300645700002.jpeg","Скачать индивидуальный QR-код магазина")</f>
        <v>Скачать индивидуальный QR-код магазина</v>
      </c>
    </row>
    <row r="2741" spans="1:7" x14ac:dyDescent="0.25">
      <c r="A2741" t="s">
        <v>8050</v>
      </c>
      <c r="B2741" t="s">
        <v>8613</v>
      </c>
      <c r="C2741" t="s">
        <v>8605</v>
      </c>
      <c r="D2741" t="s">
        <v>8606</v>
      </c>
      <c r="E2741" t="s">
        <v>8607</v>
      </c>
      <c r="F2741" t="s">
        <v>8614</v>
      </c>
      <c r="G2741" s="2" t="str">
        <f>HYPERLINK("https://probpalata.gov.ru/files/ЮЛ390300645700003.jpeg","Скачать индивидуальный QR-код магазина")</f>
        <v>Скачать индивидуальный QR-код магазина</v>
      </c>
    </row>
    <row r="2742" spans="1:7" x14ac:dyDescent="0.25">
      <c r="A2742" t="s">
        <v>8050</v>
      </c>
      <c r="B2742" t="s">
        <v>8615</v>
      </c>
      <c r="C2742" t="s">
        <v>8605</v>
      </c>
      <c r="D2742" t="s">
        <v>8606</v>
      </c>
      <c r="E2742" t="s">
        <v>8607</v>
      </c>
      <c r="F2742" t="s">
        <v>8616</v>
      </c>
      <c r="G2742" s="2" t="str">
        <f>HYPERLINK("https://probpalata.gov.ru/files/ЮЛ390300645700004.jpeg","Скачать индивидуальный QR-код магазина")</f>
        <v>Скачать индивидуальный QR-код магазина</v>
      </c>
    </row>
    <row r="2743" spans="1:7" x14ac:dyDescent="0.25">
      <c r="A2743" t="s">
        <v>8050</v>
      </c>
      <c r="B2743" t="s">
        <v>8617</v>
      </c>
      <c r="C2743" t="s">
        <v>8605</v>
      </c>
      <c r="D2743" t="s">
        <v>8606</v>
      </c>
      <c r="E2743" t="s">
        <v>8607</v>
      </c>
      <c r="F2743" t="s">
        <v>8618</v>
      </c>
      <c r="G2743" s="2" t="str">
        <f>HYPERLINK("https://probpalata.gov.ru/files/ЮЛ390300645700005.jpeg","Скачать индивидуальный QR-код магазина")</f>
        <v>Скачать индивидуальный QR-код магазина</v>
      </c>
    </row>
    <row r="2744" spans="1:7" x14ac:dyDescent="0.25">
      <c r="A2744" t="s">
        <v>8050</v>
      </c>
      <c r="B2744" t="s">
        <v>8619</v>
      </c>
      <c r="C2744" t="s">
        <v>8605</v>
      </c>
      <c r="D2744" t="s">
        <v>8606</v>
      </c>
      <c r="E2744" t="s">
        <v>8607</v>
      </c>
      <c r="F2744" t="s">
        <v>8620</v>
      </c>
      <c r="G2744" s="2" t="str">
        <f>HYPERLINK("https://probpalata.gov.ru/files/ЮЛ390300645700006.jpeg","Скачать индивидуальный QR-код магазина")</f>
        <v>Скачать индивидуальный QR-код магазина</v>
      </c>
    </row>
    <row r="2745" spans="1:7" x14ac:dyDescent="0.25">
      <c r="A2745" t="s">
        <v>8050</v>
      </c>
      <c r="B2745" t="s">
        <v>8621</v>
      </c>
      <c r="C2745" t="s">
        <v>8605</v>
      </c>
      <c r="D2745" t="s">
        <v>8606</v>
      </c>
      <c r="E2745" t="s">
        <v>8607</v>
      </c>
      <c r="F2745" t="s">
        <v>8622</v>
      </c>
      <c r="G2745" s="2" t="str">
        <f>HYPERLINK("https://probpalata.gov.ru/files/ЮЛ390300645700007.jpeg","Скачать индивидуальный QR-код магазина")</f>
        <v>Скачать индивидуальный QR-код магазина</v>
      </c>
    </row>
    <row r="2746" spans="1:7" x14ac:dyDescent="0.25">
      <c r="A2746" t="s">
        <v>8050</v>
      </c>
      <c r="B2746" t="s">
        <v>8623</v>
      </c>
      <c r="C2746" t="s">
        <v>8624</v>
      </c>
      <c r="D2746" t="s">
        <v>8625</v>
      </c>
      <c r="E2746" t="s">
        <v>8626</v>
      </c>
      <c r="F2746" t="s">
        <v>8627</v>
      </c>
      <c r="G2746" s="2" t="str">
        <f>HYPERLINK("https://probpalata.gov.ru/files/ЮЛ390300143600000.jpeg","Скачать индивидуальный QR-код магазина")</f>
        <v>Скачать индивидуальный QR-код магазина</v>
      </c>
    </row>
    <row r="2747" spans="1:7" x14ac:dyDescent="0.25">
      <c r="A2747" t="s">
        <v>8050</v>
      </c>
      <c r="B2747" t="s">
        <v>8628</v>
      </c>
      <c r="C2747" t="s">
        <v>8629</v>
      </c>
      <c r="D2747" t="s">
        <v>8630</v>
      </c>
      <c r="E2747" t="s">
        <v>8631</v>
      </c>
      <c r="F2747" t="s">
        <v>8632</v>
      </c>
      <c r="G2747" s="2" t="str">
        <f>HYPERLINK("https://probpalata.gov.ru/files/ЮЛ390301285700001.jpeg","Скачать индивидуальный QR-код магазина")</f>
        <v>Скачать индивидуальный QR-код магазина</v>
      </c>
    </row>
    <row r="2748" spans="1:7" x14ac:dyDescent="0.25">
      <c r="A2748" t="s">
        <v>8050</v>
      </c>
      <c r="B2748" t="s">
        <v>8633</v>
      </c>
      <c r="C2748" t="s">
        <v>8634</v>
      </c>
      <c r="D2748" t="s">
        <v>8635</v>
      </c>
      <c r="E2748" t="s">
        <v>8636</v>
      </c>
      <c r="F2748" t="s">
        <v>8637</v>
      </c>
      <c r="G2748" s="2" t="str">
        <f>HYPERLINK("https://probpalata.gov.ru/files/ЮЛ390300090100000.jpeg","Скачать индивидуальный QR-код магазина")</f>
        <v>Скачать индивидуальный QR-код магазина</v>
      </c>
    </row>
    <row r="2749" spans="1:7" x14ac:dyDescent="0.25">
      <c r="A2749" t="s">
        <v>8050</v>
      </c>
      <c r="B2749" t="s">
        <v>8638</v>
      </c>
      <c r="C2749" t="s">
        <v>8639</v>
      </c>
      <c r="D2749" t="s">
        <v>8640</v>
      </c>
      <c r="E2749" t="s">
        <v>8641</v>
      </c>
      <c r="F2749" t="s">
        <v>8642</v>
      </c>
      <c r="G2749" s="2" t="str">
        <f>HYPERLINK("https://probpalata.gov.ru/files/ЮЛ390300104800000.jpeg","Скачать индивидуальный QR-код магазина")</f>
        <v>Скачать индивидуальный QR-код магазина</v>
      </c>
    </row>
    <row r="2750" spans="1:7" x14ac:dyDescent="0.25">
      <c r="A2750" t="s">
        <v>8050</v>
      </c>
      <c r="B2750" t="s">
        <v>8643</v>
      </c>
      <c r="C2750" t="s">
        <v>8644</v>
      </c>
      <c r="D2750" t="s">
        <v>8645</v>
      </c>
      <c r="E2750" t="s">
        <v>8646</v>
      </c>
      <c r="F2750" t="s">
        <v>8647</v>
      </c>
      <c r="G2750" s="2" t="str">
        <f>HYPERLINK("https://probpalata.gov.ru/files/ЮЛ390300180400000.jpeg","Скачать индивидуальный QR-код магазина")</f>
        <v>Скачать индивидуальный QR-код магазина</v>
      </c>
    </row>
    <row r="2751" spans="1:7" x14ac:dyDescent="0.25">
      <c r="A2751" t="s">
        <v>8050</v>
      </c>
      <c r="B2751" t="s">
        <v>8648</v>
      </c>
      <c r="C2751" t="s">
        <v>8649</v>
      </c>
      <c r="D2751" t="s">
        <v>8650</v>
      </c>
      <c r="E2751" t="s">
        <v>8651</v>
      </c>
      <c r="F2751" t="s">
        <v>8652</v>
      </c>
      <c r="G2751" s="2" t="str">
        <f>HYPERLINK("https://probpalata.gov.ru/files/ЮЛ390300028600000.jpeg","Скачать индивидуальный QR-код магазина")</f>
        <v>Скачать индивидуальный QR-код магазина</v>
      </c>
    </row>
    <row r="2752" spans="1:7" x14ac:dyDescent="0.25">
      <c r="A2752" t="s">
        <v>8050</v>
      </c>
      <c r="B2752" t="s">
        <v>8653</v>
      </c>
      <c r="C2752" t="s">
        <v>8654</v>
      </c>
      <c r="D2752" t="s">
        <v>8655</v>
      </c>
      <c r="E2752" t="s">
        <v>8656</v>
      </c>
      <c r="F2752" t="s">
        <v>8657</v>
      </c>
      <c r="G2752" s="2" t="str">
        <f>HYPERLINK("https://probpalata.gov.ru/files/ЮЛ390300652300000.jpeg","Скачать индивидуальный QR-код магазина")</f>
        <v>Скачать индивидуальный QR-код магазина</v>
      </c>
    </row>
    <row r="2753" spans="1:7" x14ac:dyDescent="0.25">
      <c r="A2753" t="s">
        <v>8050</v>
      </c>
      <c r="B2753" t="s">
        <v>8658</v>
      </c>
      <c r="C2753" t="s">
        <v>8659</v>
      </c>
      <c r="D2753" t="s">
        <v>8660</v>
      </c>
      <c r="E2753" t="s">
        <v>8661</v>
      </c>
      <c r="F2753" t="s">
        <v>8662</v>
      </c>
      <c r="G2753" s="2" t="str">
        <f>HYPERLINK("https://probpalata.gov.ru/files/ЮЛ390301019200000.jpeg","Скачать индивидуальный QR-код магазина")</f>
        <v>Скачать индивидуальный QR-код магазина</v>
      </c>
    </row>
    <row r="2754" spans="1:7" x14ac:dyDescent="0.25">
      <c r="A2754" t="s">
        <v>8050</v>
      </c>
      <c r="B2754" t="s">
        <v>8663</v>
      </c>
      <c r="C2754" t="s">
        <v>8664</v>
      </c>
      <c r="D2754" t="s">
        <v>8665</v>
      </c>
      <c r="E2754" t="s">
        <v>8666</v>
      </c>
      <c r="F2754" t="s">
        <v>8667</v>
      </c>
      <c r="G2754" s="2" t="str">
        <f>HYPERLINK("https://probpalata.gov.ru/files/ЮЛ390301081400000.jpeg","Скачать индивидуальный QR-код магазина")</f>
        <v>Скачать индивидуальный QR-код магазина</v>
      </c>
    </row>
    <row r="2755" spans="1:7" x14ac:dyDescent="0.25">
      <c r="A2755" t="s">
        <v>8050</v>
      </c>
      <c r="B2755" t="s">
        <v>8668</v>
      </c>
      <c r="C2755" t="s">
        <v>8664</v>
      </c>
      <c r="D2755" t="s">
        <v>8665</v>
      </c>
      <c r="E2755" t="s">
        <v>8666</v>
      </c>
      <c r="F2755" t="s">
        <v>8669</v>
      </c>
      <c r="G2755" s="2" t="str">
        <f>HYPERLINK("https://probpalata.gov.ru/files/ЮЛ390301081400001.jpeg","Скачать индивидуальный QR-код магазина")</f>
        <v>Скачать индивидуальный QR-код магазина</v>
      </c>
    </row>
    <row r="2756" spans="1:7" x14ac:dyDescent="0.25">
      <c r="A2756" t="s">
        <v>8050</v>
      </c>
      <c r="B2756" t="s">
        <v>8670</v>
      </c>
      <c r="C2756" t="s">
        <v>8664</v>
      </c>
      <c r="D2756" t="s">
        <v>8665</v>
      </c>
      <c r="E2756" t="s">
        <v>8666</v>
      </c>
      <c r="F2756" t="s">
        <v>8671</v>
      </c>
      <c r="G2756" s="2" t="str">
        <f>HYPERLINK("https://probpalata.gov.ru/files/ЮЛ390301081400004.jpeg","Скачать индивидуальный QR-код магазина")</f>
        <v>Скачать индивидуальный QR-код магазина</v>
      </c>
    </row>
    <row r="2757" spans="1:7" x14ac:dyDescent="0.25">
      <c r="A2757" t="s">
        <v>8050</v>
      </c>
      <c r="B2757" t="s">
        <v>8672</v>
      </c>
      <c r="C2757" t="s">
        <v>8664</v>
      </c>
      <c r="D2757" t="s">
        <v>8665</v>
      </c>
      <c r="E2757" t="s">
        <v>8666</v>
      </c>
      <c r="F2757" t="s">
        <v>8673</v>
      </c>
      <c r="G2757" s="2" t="str">
        <f>HYPERLINK("https://probpalata.gov.ru/files/ЮЛ390301081400005.jpeg","Скачать индивидуальный QR-код магазина")</f>
        <v>Скачать индивидуальный QR-код магазина</v>
      </c>
    </row>
    <row r="2758" spans="1:7" x14ac:dyDescent="0.25">
      <c r="A2758" t="s">
        <v>8050</v>
      </c>
      <c r="B2758" t="s">
        <v>8674</v>
      </c>
      <c r="C2758" t="s">
        <v>8664</v>
      </c>
      <c r="D2758" t="s">
        <v>8665</v>
      </c>
      <c r="E2758" t="s">
        <v>8666</v>
      </c>
      <c r="F2758" t="s">
        <v>8675</v>
      </c>
      <c r="G2758" s="2" t="str">
        <f>HYPERLINK("https://probpalata.gov.ru/files/ЮЛ390301081400007.jpeg","Скачать индивидуальный QR-код магазина")</f>
        <v>Скачать индивидуальный QR-код магазина</v>
      </c>
    </row>
    <row r="2759" spans="1:7" x14ac:dyDescent="0.25">
      <c r="A2759" t="s">
        <v>8050</v>
      </c>
      <c r="B2759" t="s">
        <v>8676</v>
      </c>
      <c r="C2759" t="s">
        <v>8664</v>
      </c>
      <c r="D2759" t="s">
        <v>8665</v>
      </c>
      <c r="E2759" t="s">
        <v>8666</v>
      </c>
      <c r="F2759" t="s">
        <v>8677</v>
      </c>
      <c r="G2759" s="2" t="str">
        <f>HYPERLINK("https://probpalata.gov.ru/files/ЮЛ390301081400008.jpeg","Скачать индивидуальный QR-код магазина")</f>
        <v>Скачать индивидуальный QR-код магазина</v>
      </c>
    </row>
    <row r="2760" spans="1:7" x14ac:dyDescent="0.25">
      <c r="A2760" t="s">
        <v>8050</v>
      </c>
      <c r="B2760" t="s">
        <v>8678</v>
      </c>
      <c r="C2760" t="s">
        <v>8664</v>
      </c>
      <c r="D2760" t="s">
        <v>8665</v>
      </c>
      <c r="E2760" t="s">
        <v>8666</v>
      </c>
      <c r="F2760" t="s">
        <v>8679</v>
      </c>
      <c r="G2760" s="2" t="str">
        <f>HYPERLINK("https://probpalata.gov.ru/files/ЮЛ390301081400009.jpeg","Скачать индивидуальный QR-код магазина")</f>
        <v>Скачать индивидуальный QR-код магазина</v>
      </c>
    </row>
    <row r="2761" spans="1:7" x14ac:dyDescent="0.25">
      <c r="A2761" t="s">
        <v>8050</v>
      </c>
      <c r="B2761" t="s">
        <v>8680</v>
      </c>
      <c r="C2761" t="s">
        <v>8664</v>
      </c>
      <c r="D2761" t="s">
        <v>8665</v>
      </c>
      <c r="E2761" t="s">
        <v>8666</v>
      </c>
      <c r="F2761" t="s">
        <v>8681</v>
      </c>
      <c r="G2761" s="2" t="str">
        <f>HYPERLINK("https://probpalata.gov.ru/files/ЮЛ390301081400010.jpeg","Скачать индивидуальный QR-код магазина")</f>
        <v>Скачать индивидуальный QR-код магазина</v>
      </c>
    </row>
    <row r="2762" spans="1:7" x14ac:dyDescent="0.25">
      <c r="A2762" t="s">
        <v>8050</v>
      </c>
      <c r="B2762" t="s">
        <v>8682</v>
      </c>
      <c r="C2762" t="s">
        <v>8664</v>
      </c>
      <c r="D2762" t="s">
        <v>8665</v>
      </c>
      <c r="E2762" t="s">
        <v>8666</v>
      </c>
      <c r="F2762" t="s">
        <v>8683</v>
      </c>
      <c r="G2762" s="2" t="str">
        <f>HYPERLINK("https://probpalata.gov.ru/files/ЮЛ390301081400011.jpeg","Скачать индивидуальный QR-код магазина")</f>
        <v>Скачать индивидуальный QR-код магазина</v>
      </c>
    </row>
    <row r="2763" spans="1:7" x14ac:dyDescent="0.25">
      <c r="A2763" t="s">
        <v>8050</v>
      </c>
      <c r="B2763" t="s">
        <v>8604</v>
      </c>
      <c r="C2763" t="s">
        <v>8684</v>
      </c>
      <c r="D2763" t="s">
        <v>8685</v>
      </c>
      <c r="E2763" t="s">
        <v>8686</v>
      </c>
      <c r="F2763" t="s">
        <v>8687</v>
      </c>
      <c r="G2763" s="2" t="str">
        <f>HYPERLINK("https://probpalata.gov.ru/files/ЮЛ390300384700000.jpeg","Скачать индивидуальный QR-код магазина")</f>
        <v>Скачать индивидуальный QR-код магазина</v>
      </c>
    </row>
    <row r="2764" spans="1:7" x14ac:dyDescent="0.25">
      <c r="A2764" t="s">
        <v>8050</v>
      </c>
      <c r="B2764" t="s">
        <v>8611</v>
      </c>
      <c r="C2764" t="s">
        <v>8684</v>
      </c>
      <c r="D2764" t="s">
        <v>8685</v>
      </c>
      <c r="E2764" t="s">
        <v>8686</v>
      </c>
      <c r="F2764" t="s">
        <v>8688</v>
      </c>
      <c r="G2764" s="2" t="str">
        <f>HYPERLINK("https://probpalata.gov.ru/files/ЮЛ390300384700001.jpeg","Скачать индивидуальный QR-код магазина")</f>
        <v>Скачать индивидуальный QR-код магазина</v>
      </c>
    </row>
    <row r="2765" spans="1:7" x14ac:dyDescent="0.25">
      <c r="A2765" t="s">
        <v>8050</v>
      </c>
      <c r="B2765" t="s">
        <v>8619</v>
      </c>
      <c r="C2765" t="s">
        <v>8684</v>
      </c>
      <c r="D2765" t="s">
        <v>8685</v>
      </c>
      <c r="E2765" t="s">
        <v>8686</v>
      </c>
      <c r="F2765" t="s">
        <v>8689</v>
      </c>
      <c r="G2765" s="2" t="str">
        <f>HYPERLINK("https://probpalata.gov.ru/files/ЮЛ390300384700002.jpeg","Скачать индивидуальный QR-код магазина")</f>
        <v>Скачать индивидуальный QR-код магазина</v>
      </c>
    </row>
    <row r="2766" spans="1:7" x14ac:dyDescent="0.25">
      <c r="A2766" t="s">
        <v>8050</v>
      </c>
      <c r="B2766" t="s">
        <v>8613</v>
      </c>
      <c r="C2766" t="s">
        <v>8684</v>
      </c>
      <c r="D2766" t="s">
        <v>8685</v>
      </c>
      <c r="E2766" t="s">
        <v>8686</v>
      </c>
      <c r="F2766" t="s">
        <v>8690</v>
      </c>
      <c r="G2766" s="2" t="str">
        <f>HYPERLINK("https://probpalata.gov.ru/files/ЮЛ390300384700003.jpeg","Скачать индивидуальный QR-код магазина")</f>
        <v>Скачать индивидуальный QR-код магазина</v>
      </c>
    </row>
    <row r="2767" spans="1:7" x14ac:dyDescent="0.25">
      <c r="A2767" t="s">
        <v>8050</v>
      </c>
      <c r="B2767" t="s">
        <v>8609</v>
      </c>
      <c r="C2767" t="s">
        <v>8684</v>
      </c>
      <c r="D2767" t="s">
        <v>8685</v>
      </c>
      <c r="E2767" t="s">
        <v>8686</v>
      </c>
      <c r="F2767" t="s">
        <v>8691</v>
      </c>
      <c r="G2767" s="2" t="str">
        <f>HYPERLINK("https://probpalata.gov.ru/files/ЮЛ390300384700004.jpeg","Скачать индивидуальный QR-код магазина")</f>
        <v>Скачать индивидуальный QR-код магазина</v>
      </c>
    </row>
    <row r="2768" spans="1:7" x14ac:dyDescent="0.25">
      <c r="A2768" t="s">
        <v>8050</v>
      </c>
      <c r="B2768" t="s">
        <v>8615</v>
      </c>
      <c r="C2768" t="s">
        <v>8684</v>
      </c>
      <c r="D2768" t="s">
        <v>8685</v>
      </c>
      <c r="E2768" t="s">
        <v>8686</v>
      </c>
      <c r="F2768" t="s">
        <v>8692</v>
      </c>
      <c r="G2768" s="2" t="str">
        <f>HYPERLINK("https://probpalata.gov.ru/files/ЮЛ390300384700005.jpeg","Скачать индивидуальный QR-код магазина")</f>
        <v>Скачать индивидуальный QR-код магазина</v>
      </c>
    </row>
    <row r="2769" spans="1:7" x14ac:dyDescent="0.25">
      <c r="A2769" t="s">
        <v>8050</v>
      </c>
      <c r="B2769" t="s">
        <v>8621</v>
      </c>
      <c r="C2769" t="s">
        <v>8684</v>
      </c>
      <c r="D2769" t="s">
        <v>8685</v>
      </c>
      <c r="E2769" t="s">
        <v>8686</v>
      </c>
      <c r="F2769" t="s">
        <v>8693</v>
      </c>
      <c r="G2769" s="2" t="str">
        <f>HYPERLINK("https://probpalata.gov.ru/files/ЮЛ390300384700006.jpeg","Скачать индивидуальный QR-код магазина")</f>
        <v>Скачать индивидуальный QR-код магазина</v>
      </c>
    </row>
    <row r="2770" spans="1:7" x14ac:dyDescent="0.25">
      <c r="A2770" t="s">
        <v>8050</v>
      </c>
      <c r="B2770" t="s">
        <v>8617</v>
      </c>
      <c r="C2770" t="s">
        <v>8684</v>
      </c>
      <c r="D2770" t="s">
        <v>8685</v>
      </c>
      <c r="E2770" t="s">
        <v>8686</v>
      </c>
      <c r="F2770" t="s">
        <v>8694</v>
      </c>
      <c r="G2770" s="2" t="str">
        <f>HYPERLINK("https://probpalata.gov.ru/files/ЮЛ390300384700007.jpeg","Скачать индивидуальный QR-код магазина")</f>
        <v>Скачать индивидуальный QR-код магазина</v>
      </c>
    </row>
    <row r="2771" spans="1:7" x14ac:dyDescent="0.25">
      <c r="A2771" t="s">
        <v>8050</v>
      </c>
      <c r="B2771" t="s">
        <v>8695</v>
      </c>
      <c r="C2771" t="s">
        <v>8696</v>
      </c>
      <c r="D2771" t="s">
        <v>8697</v>
      </c>
      <c r="E2771" t="s">
        <v>8698</v>
      </c>
      <c r="F2771" t="s">
        <v>8699</v>
      </c>
      <c r="G2771" s="2" t="str">
        <f>HYPERLINK("https://probpalata.gov.ru/files/ЮЛ390301464900000.jpeg","Скачать индивидуальный QR-код магазина")</f>
        <v>Скачать индивидуальный QR-код магазина</v>
      </c>
    </row>
    <row r="2772" spans="1:7" x14ac:dyDescent="0.25">
      <c r="A2772" t="s">
        <v>8050</v>
      </c>
      <c r="B2772" t="s">
        <v>8700</v>
      </c>
      <c r="C2772" t="s">
        <v>8701</v>
      </c>
      <c r="D2772" t="s">
        <v>8702</v>
      </c>
      <c r="E2772" t="s">
        <v>8703</v>
      </c>
      <c r="F2772" t="s">
        <v>8704</v>
      </c>
      <c r="G2772" s="2" t="str">
        <f>HYPERLINK("https://probpalata.gov.ru/files/ЮЛ390300272000000.jpeg","Скачать индивидуальный QR-код магазина")</f>
        <v>Скачать индивидуальный QR-код магазина</v>
      </c>
    </row>
    <row r="2773" spans="1:7" x14ac:dyDescent="0.25">
      <c r="A2773" t="s">
        <v>8050</v>
      </c>
      <c r="B2773" t="s">
        <v>8705</v>
      </c>
      <c r="C2773" t="s">
        <v>8706</v>
      </c>
      <c r="D2773" t="s">
        <v>8707</v>
      </c>
      <c r="E2773" t="s">
        <v>8708</v>
      </c>
      <c r="F2773" t="s">
        <v>8709</v>
      </c>
      <c r="G2773" s="2" t="str">
        <f>HYPERLINK("https://probpalata.gov.ru/files/ЮЛ390303848600000.jpeg","Скачать индивидуальный QR-код магазина")</f>
        <v>Скачать индивидуальный QR-код магазина</v>
      </c>
    </row>
    <row r="2774" spans="1:7" x14ac:dyDescent="0.25">
      <c r="A2774" t="s">
        <v>8050</v>
      </c>
      <c r="B2774" t="s">
        <v>8710</v>
      </c>
      <c r="C2774" t="s">
        <v>8711</v>
      </c>
      <c r="D2774" t="s">
        <v>8712</v>
      </c>
      <c r="E2774" t="s">
        <v>8713</v>
      </c>
      <c r="F2774" t="s">
        <v>8714</v>
      </c>
      <c r="G2774" s="2" t="str">
        <f>HYPERLINK("https://probpalata.gov.ru/files/ЮЛ390300392500000.jpeg","Скачать индивидуальный QR-код магазина")</f>
        <v>Скачать индивидуальный QR-код магазина</v>
      </c>
    </row>
    <row r="2775" spans="1:7" x14ac:dyDescent="0.25">
      <c r="A2775" t="s">
        <v>8050</v>
      </c>
      <c r="B2775" t="s">
        <v>8715</v>
      </c>
      <c r="C2775" t="s">
        <v>8716</v>
      </c>
      <c r="D2775" t="s">
        <v>8717</v>
      </c>
      <c r="E2775" t="s">
        <v>8718</v>
      </c>
      <c r="F2775" t="s">
        <v>8719</v>
      </c>
      <c r="G2775" s="2" t="str">
        <f>HYPERLINK("https://probpalata.gov.ru/files/ЮЛ390300017500000.jpeg","Скачать индивидуальный QR-код магазина")</f>
        <v>Скачать индивидуальный QR-код магазина</v>
      </c>
    </row>
    <row r="2776" spans="1:7" x14ac:dyDescent="0.25">
      <c r="A2776" t="s">
        <v>8050</v>
      </c>
      <c r="B2776" t="s">
        <v>8720</v>
      </c>
      <c r="C2776" t="s">
        <v>8721</v>
      </c>
      <c r="D2776" t="s">
        <v>8722</v>
      </c>
      <c r="E2776" t="s">
        <v>8723</v>
      </c>
      <c r="F2776" t="s">
        <v>8724</v>
      </c>
      <c r="G2776" s="2" t="str">
        <f>HYPERLINK("https://probpalata.gov.ru/files/ЮЛ390300295500000.jpeg","Скачать индивидуальный QR-код магазина")</f>
        <v>Скачать индивидуальный QR-код магазина</v>
      </c>
    </row>
    <row r="2777" spans="1:7" x14ac:dyDescent="0.25">
      <c r="A2777" t="s">
        <v>8050</v>
      </c>
      <c r="B2777" t="s">
        <v>8725</v>
      </c>
      <c r="C2777" t="s">
        <v>8726</v>
      </c>
      <c r="D2777" t="s">
        <v>8727</v>
      </c>
      <c r="E2777" t="s">
        <v>8728</v>
      </c>
      <c r="F2777" t="s">
        <v>8729</v>
      </c>
      <c r="G2777" s="2" t="str">
        <f>HYPERLINK("https://probpalata.gov.ru/files/ЮЛ390301079100006.jpeg","Скачать индивидуальный QR-код магазина")</f>
        <v>Скачать индивидуальный QR-код магазина</v>
      </c>
    </row>
    <row r="2778" spans="1:7" x14ac:dyDescent="0.25">
      <c r="A2778" t="s">
        <v>8050</v>
      </c>
      <c r="B2778" t="s">
        <v>8730</v>
      </c>
      <c r="C2778" t="s">
        <v>8731</v>
      </c>
      <c r="D2778" t="s">
        <v>8732</v>
      </c>
      <c r="E2778" t="s">
        <v>8733</v>
      </c>
      <c r="F2778" t="s">
        <v>8734</v>
      </c>
      <c r="G2778" s="2" t="str">
        <f>HYPERLINK("https://probpalata.gov.ru/files/ИП390300074700000.jpeg","Скачать индивидуальный QR-код магазина")</f>
        <v>Скачать индивидуальный QR-код магазина</v>
      </c>
    </row>
    <row r="2779" spans="1:7" x14ac:dyDescent="0.25">
      <c r="A2779" t="s">
        <v>8050</v>
      </c>
      <c r="B2779" t="s">
        <v>8735</v>
      </c>
      <c r="C2779" t="s">
        <v>8731</v>
      </c>
      <c r="D2779" t="s">
        <v>8732</v>
      </c>
      <c r="E2779" t="s">
        <v>8733</v>
      </c>
      <c r="F2779" t="s">
        <v>8736</v>
      </c>
      <c r="G2779" s="2" t="str">
        <f>HYPERLINK("https://probpalata.gov.ru/files/ИП390300074700001.jpeg","Скачать индивидуальный QR-код магазина")</f>
        <v>Скачать индивидуальный QR-код магазина</v>
      </c>
    </row>
    <row r="2780" spans="1:7" x14ac:dyDescent="0.25">
      <c r="A2780" t="s">
        <v>8050</v>
      </c>
      <c r="B2780" t="s">
        <v>8737</v>
      </c>
      <c r="C2780" t="s">
        <v>8731</v>
      </c>
      <c r="D2780" t="s">
        <v>8732</v>
      </c>
      <c r="E2780" t="s">
        <v>8733</v>
      </c>
      <c r="F2780" t="s">
        <v>8738</v>
      </c>
      <c r="G2780" s="2" t="str">
        <f>HYPERLINK("https://probpalata.gov.ru/files/ИП390300074700002.jpeg","Скачать индивидуальный QR-код магазина")</f>
        <v>Скачать индивидуальный QR-код магазина</v>
      </c>
    </row>
    <row r="2781" spans="1:7" x14ac:dyDescent="0.25">
      <c r="A2781" t="s">
        <v>8050</v>
      </c>
      <c r="B2781" t="s">
        <v>8739</v>
      </c>
      <c r="C2781" t="s">
        <v>8740</v>
      </c>
      <c r="D2781" t="s">
        <v>8741</v>
      </c>
      <c r="E2781" t="s">
        <v>8742</v>
      </c>
      <c r="F2781" t="s">
        <v>8743</v>
      </c>
      <c r="G2781" s="2" t="str">
        <f>HYPERLINK("https://probpalata.gov.ru/files/ИП390301900500000.jpeg","Скачать индивидуальный QR-код магазина")</f>
        <v>Скачать индивидуальный QR-код магазина</v>
      </c>
    </row>
    <row r="2782" spans="1:7" x14ac:dyDescent="0.25">
      <c r="A2782" t="s">
        <v>8050</v>
      </c>
      <c r="B2782" t="s">
        <v>8744</v>
      </c>
      <c r="C2782" t="s">
        <v>8745</v>
      </c>
      <c r="D2782" t="s">
        <v>8746</v>
      </c>
      <c r="E2782" t="s">
        <v>8747</v>
      </c>
      <c r="F2782" t="s">
        <v>8748</v>
      </c>
      <c r="G2782" s="2" t="str">
        <f>HYPERLINK("https://probpalata.gov.ru/files/ИП390301759600000.jpeg","Скачать индивидуальный QR-код магазина")</f>
        <v>Скачать индивидуальный QR-код магазина</v>
      </c>
    </row>
    <row r="2783" spans="1:7" x14ac:dyDescent="0.25">
      <c r="A2783" t="s">
        <v>8050</v>
      </c>
      <c r="B2783" t="s">
        <v>8749</v>
      </c>
      <c r="C2783" t="s">
        <v>8745</v>
      </c>
      <c r="D2783" t="s">
        <v>8746</v>
      </c>
      <c r="E2783" t="s">
        <v>8747</v>
      </c>
      <c r="F2783" t="s">
        <v>8750</v>
      </c>
      <c r="G2783" s="2" t="str">
        <f>HYPERLINK("https://probpalata.gov.ru/files/ИП390301759600002.jpeg","Скачать индивидуальный QR-код магазина")</f>
        <v>Скачать индивидуальный QR-код магазина</v>
      </c>
    </row>
    <row r="2784" spans="1:7" x14ac:dyDescent="0.25">
      <c r="A2784" t="s">
        <v>8050</v>
      </c>
      <c r="B2784" t="s">
        <v>8751</v>
      </c>
      <c r="C2784" t="s">
        <v>8752</v>
      </c>
      <c r="D2784" t="s">
        <v>8753</v>
      </c>
      <c r="E2784" t="s">
        <v>8754</v>
      </c>
      <c r="F2784" t="s">
        <v>8755</v>
      </c>
      <c r="G2784" s="2" t="str">
        <f>HYPERLINK("https://probpalata.gov.ru/files/ЮЛ390301039100000.jpeg","Скачать индивидуальный QR-код магазина")</f>
        <v>Скачать индивидуальный QR-код магазина</v>
      </c>
    </row>
    <row r="2785" spans="1:7" x14ac:dyDescent="0.25">
      <c r="A2785" t="s">
        <v>8050</v>
      </c>
      <c r="B2785" t="s">
        <v>8756</v>
      </c>
      <c r="C2785" t="s">
        <v>8757</v>
      </c>
      <c r="D2785" t="s">
        <v>8758</v>
      </c>
      <c r="E2785" t="s">
        <v>8759</v>
      </c>
      <c r="F2785" t="s">
        <v>8760</v>
      </c>
      <c r="G2785" s="2" t="str">
        <f>HYPERLINK("https://probpalata.gov.ru/files/ИП390302017400000.jpeg","Скачать индивидуальный QR-код магазина")</f>
        <v>Скачать индивидуальный QR-код магазина</v>
      </c>
    </row>
    <row r="2786" spans="1:7" x14ac:dyDescent="0.25">
      <c r="A2786" t="s">
        <v>8050</v>
      </c>
      <c r="B2786" t="s">
        <v>8761</v>
      </c>
      <c r="C2786" t="s">
        <v>8762</v>
      </c>
      <c r="D2786" t="s">
        <v>8763</v>
      </c>
      <c r="E2786" t="s">
        <v>8764</v>
      </c>
      <c r="F2786" t="s">
        <v>8765</v>
      </c>
      <c r="G2786" s="2" t="str">
        <f>HYPERLINK("https://probpalata.gov.ru/files/ИП390301392100000.jpeg","Скачать индивидуальный QR-код магазина")</f>
        <v>Скачать индивидуальный QR-код магазина</v>
      </c>
    </row>
    <row r="2787" spans="1:7" x14ac:dyDescent="0.25">
      <c r="A2787" t="s">
        <v>8050</v>
      </c>
      <c r="B2787" t="s">
        <v>8766</v>
      </c>
      <c r="C2787" t="s">
        <v>8767</v>
      </c>
      <c r="D2787" t="s">
        <v>8768</v>
      </c>
      <c r="E2787" t="s">
        <v>8769</v>
      </c>
      <c r="F2787" t="s">
        <v>8770</v>
      </c>
      <c r="G2787" s="2" t="str">
        <f>HYPERLINK("https://probpalata.gov.ru/files/ИП390303788100000.jpeg","Скачать индивидуальный QR-код магазина")</f>
        <v>Скачать индивидуальный QR-код магазина</v>
      </c>
    </row>
    <row r="2788" spans="1:7" x14ac:dyDescent="0.25">
      <c r="A2788" t="s">
        <v>8050</v>
      </c>
      <c r="B2788" t="s">
        <v>8771</v>
      </c>
      <c r="C2788" t="s">
        <v>8772</v>
      </c>
      <c r="D2788" t="s">
        <v>8773</v>
      </c>
      <c r="E2788" t="s">
        <v>8774</v>
      </c>
      <c r="F2788" t="s">
        <v>8775</v>
      </c>
      <c r="G2788" s="2" t="str">
        <f>HYPERLINK("https://probpalata.gov.ru/files/ИП390300118300000.jpeg","Скачать индивидуальный QR-код магазина")</f>
        <v>Скачать индивидуальный QR-код магазина</v>
      </c>
    </row>
    <row r="2789" spans="1:7" x14ac:dyDescent="0.25">
      <c r="A2789" t="s">
        <v>8050</v>
      </c>
      <c r="B2789" t="s">
        <v>8776</v>
      </c>
      <c r="C2789" t="s">
        <v>8777</v>
      </c>
      <c r="D2789" t="s">
        <v>8778</v>
      </c>
      <c r="E2789" t="s">
        <v>8779</v>
      </c>
      <c r="F2789" t="s">
        <v>8780</v>
      </c>
      <c r="G2789" s="2" t="str">
        <f>HYPERLINK("https://probpalata.gov.ru/files/ИП390301085400001.jpeg","Скачать индивидуальный QR-код магазина")</f>
        <v>Скачать индивидуальный QR-код магазина</v>
      </c>
    </row>
    <row r="2790" spans="1:7" x14ac:dyDescent="0.25">
      <c r="A2790" t="s">
        <v>8050</v>
      </c>
      <c r="B2790" t="s">
        <v>8781</v>
      </c>
      <c r="C2790" t="s">
        <v>8782</v>
      </c>
      <c r="D2790" t="s">
        <v>8783</v>
      </c>
      <c r="E2790" t="s">
        <v>8784</v>
      </c>
      <c r="F2790" t="s">
        <v>8785</v>
      </c>
      <c r="G2790" s="2" t="str">
        <f>HYPERLINK("https://probpalata.gov.ru/files/ИП390301687200000.jpeg","Скачать индивидуальный QR-код магазина")</f>
        <v>Скачать индивидуальный QR-код магазина</v>
      </c>
    </row>
    <row r="2791" spans="1:7" x14ac:dyDescent="0.25">
      <c r="A2791" t="s">
        <v>8050</v>
      </c>
      <c r="B2791" t="s">
        <v>8786</v>
      </c>
      <c r="C2791" t="s">
        <v>8782</v>
      </c>
      <c r="D2791" t="s">
        <v>8783</v>
      </c>
      <c r="E2791" t="s">
        <v>8784</v>
      </c>
      <c r="F2791" t="s">
        <v>8787</v>
      </c>
      <c r="G2791" s="2" t="str">
        <f>HYPERLINK("https://probpalata.gov.ru/files/ИП390301687200005.jpeg","Скачать индивидуальный QR-код магазина")</f>
        <v>Скачать индивидуальный QR-код магазина</v>
      </c>
    </row>
    <row r="2792" spans="1:7" x14ac:dyDescent="0.25">
      <c r="A2792" t="s">
        <v>8050</v>
      </c>
      <c r="B2792" t="s">
        <v>8788</v>
      </c>
      <c r="C2792" t="s">
        <v>8782</v>
      </c>
      <c r="D2792" t="s">
        <v>8783</v>
      </c>
      <c r="E2792" t="s">
        <v>8784</v>
      </c>
      <c r="F2792" t="s">
        <v>8789</v>
      </c>
      <c r="G2792" s="2" t="str">
        <f>HYPERLINK("https://probpalata.gov.ru/files/ИП390301687200006.jpeg","Скачать индивидуальный QR-код магазина")</f>
        <v>Скачать индивидуальный QR-код магазина</v>
      </c>
    </row>
    <row r="2793" spans="1:7" x14ac:dyDescent="0.25">
      <c r="A2793" t="s">
        <v>8050</v>
      </c>
      <c r="B2793" t="s">
        <v>8790</v>
      </c>
      <c r="C2793" t="s">
        <v>8782</v>
      </c>
      <c r="D2793" t="s">
        <v>8783</v>
      </c>
      <c r="E2793" t="s">
        <v>8784</v>
      </c>
      <c r="F2793" t="s">
        <v>8791</v>
      </c>
      <c r="G2793" s="2" t="str">
        <f>HYPERLINK("https://probpalata.gov.ru/files/ИП390301687200007.jpeg","Скачать индивидуальный QR-код магазина")</f>
        <v>Скачать индивидуальный QR-код магазина</v>
      </c>
    </row>
    <row r="2794" spans="1:7" x14ac:dyDescent="0.25">
      <c r="A2794" t="s">
        <v>8050</v>
      </c>
      <c r="B2794" t="s">
        <v>8792</v>
      </c>
      <c r="C2794" t="s">
        <v>8793</v>
      </c>
      <c r="D2794" t="s">
        <v>8794</v>
      </c>
      <c r="E2794" t="s">
        <v>8795</v>
      </c>
      <c r="F2794" t="s">
        <v>8796</v>
      </c>
      <c r="G2794" s="2" t="str">
        <f>HYPERLINK("https://probpalata.gov.ru/files/ИП390303208700003.jpeg","Скачать индивидуальный QR-код магазина")</f>
        <v>Скачать индивидуальный QR-код магазина</v>
      </c>
    </row>
    <row r="2795" spans="1:7" x14ac:dyDescent="0.25">
      <c r="A2795" t="s">
        <v>8050</v>
      </c>
      <c r="B2795" t="s">
        <v>8797</v>
      </c>
      <c r="C2795" t="s">
        <v>8798</v>
      </c>
      <c r="D2795" t="s">
        <v>8799</v>
      </c>
      <c r="E2795" t="s">
        <v>8800</v>
      </c>
      <c r="F2795" t="s">
        <v>8801</v>
      </c>
      <c r="G2795" s="2" t="str">
        <f>HYPERLINK("https://probpalata.gov.ru/files/ИП390300943300002.jpeg","Скачать индивидуальный QR-код магазина")</f>
        <v>Скачать индивидуальный QR-код магазина</v>
      </c>
    </row>
    <row r="2796" spans="1:7" x14ac:dyDescent="0.25">
      <c r="A2796" t="s">
        <v>8050</v>
      </c>
      <c r="B2796" t="s">
        <v>8802</v>
      </c>
      <c r="C2796" t="s">
        <v>8798</v>
      </c>
      <c r="D2796" t="s">
        <v>8799</v>
      </c>
      <c r="E2796" t="s">
        <v>8800</v>
      </c>
      <c r="F2796" t="s">
        <v>8803</v>
      </c>
      <c r="G2796" s="2" t="str">
        <f>HYPERLINK("https://probpalata.gov.ru/files/ИП390300943300006.jpeg","Скачать индивидуальный QR-код магазина")</f>
        <v>Скачать индивидуальный QR-код магазина</v>
      </c>
    </row>
    <row r="2797" spans="1:7" x14ac:dyDescent="0.25">
      <c r="A2797" t="s">
        <v>8050</v>
      </c>
      <c r="B2797" t="s">
        <v>8804</v>
      </c>
      <c r="C2797" t="s">
        <v>8805</v>
      </c>
      <c r="D2797" t="s">
        <v>8806</v>
      </c>
      <c r="E2797" t="s">
        <v>8807</v>
      </c>
      <c r="F2797" t="s">
        <v>8808</v>
      </c>
      <c r="G2797" s="2" t="str">
        <f>HYPERLINK("https://probpalata.gov.ru/files/ИП390303661600000.jpeg","Скачать индивидуальный QR-код магазина")</f>
        <v>Скачать индивидуальный QR-код магазина</v>
      </c>
    </row>
    <row r="2798" spans="1:7" x14ac:dyDescent="0.25">
      <c r="A2798" t="s">
        <v>8050</v>
      </c>
      <c r="B2798" t="s">
        <v>8809</v>
      </c>
      <c r="C2798" t="s">
        <v>8810</v>
      </c>
      <c r="D2798" t="s">
        <v>8811</v>
      </c>
      <c r="E2798" t="s">
        <v>8812</v>
      </c>
      <c r="F2798" t="s">
        <v>8813</v>
      </c>
      <c r="G2798" s="2" t="str">
        <f>HYPERLINK("https://probpalata.gov.ru/files/ИП390301050100000.jpeg","Скачать индивидуальный QR-код магазина")</f>
        <v>Скачать индивидуальный QR-код магазина</v>
      </c>
    </row>
    <row r="2799" spans="1:7" x14ac:dyDescent="0.25">
      <c r="A2799" t="s">
        <v>8050</v>
      </c>
      <c r="B2799" t="s">
        <v>8814</v>
      </c>
      <c r="C2799" t="s">
        <v>8815</v>
      </c>
      <c r="D2799" t="s">
        <v>8816</v>
      </c>
      <c r="E2799" t="s">
        <v>8817</v>
      </c>
      <c r="F2799" t="s">
        <v>8818</v>
      </c>
      <c r="G2799" s="2" t="str">
        <f>HYPERLINK("https://probpalata.gov.ru/files/ИП390303728600000.jpeg","Скачать индивидуальный QR-код магазина")</f>
        <v>Скачать индивидуальный QR-код магазина</v>
      </c>
    </row>
    <row r="2800" spans="1:7" x14ac:dyDescent="0.25">
      <c r="A2800" t="s">
        <v>8050</v>
      </c>
      <c r="B2800" t="s">
        <v>8819</v>
      </c>
      <c r="C2800" t="s">
        <v>8820</v>
      </c>
      <c r="D2800" t="s">
        <v>8821</v>
      </c>
      <c r="E2800" t="s">
        <v>8822</v>
      </c>
      <c r="F2800" t="s">
        <v>8823</v>
      </c>
      <c r="G2800" s="2" t="str">
        <f>HYPERLINK("https://probpalata.gov.ru/files/ЮЛ390300274600000.jpeg","Скачать индивидуальный QR-код магазина")</f>
        <v>Скачать индивидуальный QR-код магазина</v>
      </c>
    </row>
    <row r="2801" spans="1:7" x14ac:dyDescent="0.25">
      <c r="A2801" t="s">
        <v>8050</v>
      </c>
      <c r="B2801" t="s">
        <v>8824</v>
      </c>
      <c r="C2801" t="s">
        <v>8825</v>
      </c>
      <c r="D2801" t="s">
        <v>8826</v>
      </c>
      <c r="E2801" t="s">
        <v>8827</v>
      </c>
      <c r="F2801" t="s">
        <v>8828</v>
      </c>
      <c r="G2801" s="2" t="str">
        <f>HYPERLINK("https://probpalata.gov.ru/files/ИП390301501000000.jpeg","Скачать индивидуальный QR-код магазина")</f>
        <v>Скачать индивидуальный QR-код магазина</v>
      </c>
    </row>
    <row r="2802" spans="1:7" x14ac:dyDescent="0.25">
      <c r="A2802" t="s">
        <v>8050</v>
      </c>
      <c r="B2802" t="s">
        <v>8829</v>
      </c>
      <c r="C2802" t="s">
        <v>8830</v>
      </c>
      <c r="D2802" t="s">
        <v>8831</v>
      </c>
      <c r="E2802" t="s">
        <v>8832</v>
      </c>
      <c r="F2802" t="s">
        <v>8833</v>
      </c>
      <c r="G2802" s="2" t="str">
        <f>HYPERLINK("https://probpalata.gov.ru/files/ИП390300566000000.jpeg","Скачать индивидуальный QR-код магазина")</f>
        <v>Скачать индивидуальный QR-код магазина</v>
      </c>
    </row>
    <row r="2803" spans="1:7" x14ac:dyDescent="0.25">
      <c r="A2803" t="s">
        <v>8050</v>
      </c>
      <c r="B2803" t="s">
        <v>8834</v>
      </c>
      <c r="C2803" t="s">
        <v>8835</v>
      </c>
      <c r="D2803" t="s">
        <v>8836</v>
      </c>
      <c r="E2803" t="s">
        <v>8837</v>
      </c>
      <c r="F2803" t="s">
        <v>8838</v>
      </c>
      <c r="G2803" s="2" t="str">
        <f>HYPERLINK("https://probpalata.gov.ru/files/ИП390303728700000.jpeg","Скачать индивидуальный QR-код магазина")</f>
        <v>Скачать индивидуальный QR-код магазина</v>
      </c>
    </row>
    <row r="2804" spans="1:7" x14ac:dyDescent="0.25">
      <c r="A2804" t="s">
        <v>8050</v>
      </c>
      <c r="B2804" t="s">
        <v>8839</v>
      </c>
      <c r="C2804" t="s">
        <v>8840</v>
      </c>
      <c r="D2804" t="s">
        <v>8841</v>
      </c>
      <c r="E2804" t="s">
        <v>8842</v>
      </c>
      <c r="F2804" t="s">
        <v>8843</v>
      </c>
      <c r="G2804" s="2" t="str">
        <f>HYPERLINK("https://probpalata.gov.ru/files/ИП390300157600000.jpeg","Скачать индивидуальный QR-код магазина")</f>
        <v>Скачать индивидуальный QR-код магазина</v>
      </c>
    </row>
    <row r="2805" spans="1:7" x14ac:dyDescent="0.25">
      <c r="A2805" t="s">
        <v>8050</v>
      </c>
      <c r="B2805" t="s">
        <v>8844</v>
      </c>
      <c r="C2805" t="s">
        <v>8845</v>
      </c>
      <c r="D2805" t="s">
        <v>8846</v>
      </c>
      <c r="E2805" t="s">
        <v>8847</v>
      </c>
      <c r="F2805" t="s">
        <v>8848</v>
      </c>
      <c r="G2805" s="2" t="str">
        <f>HYPERLINK("https://probpalata.gov.ru/files/ИП390300759200002.jpeg","Скачать индивидуальный QR-код магазина")</f>
        <v>Скачать индивидуальный QR-код магазина</v>
      </c>
    </row>
    <row r="2806" spans="1:7" x14ac:dyDescent="0.25">
      <c r="A2806" t="s">
        <v>8050</v>
      </c>
      <c r="B2806" t="s">
        <v>8849</v>
      </c>
      <c r="C2806" t="s">
        <v>8845</v>
      </c>
      <c r="D2806" t="s">
        <v>8846</v>
      </c>
      <c r="E2806" t="s">
        <v>8847</v>
      </c>
      <c r="F2806" t="s">
        <v>8850</v>
      </c>
      <c r="G2806" s="2" t="str">
        <f>HYPERLINK("https://probpalata.gov.ru/files/ИП390300759200003.jpeg","Скачать индивидуальный QR-код магазина")</f>
        <v>Скачать индивидуальный QR-код магазина</v>
      </c>
    </row>
    <row r="2807" spans="1:7" x14ac:dyDescent="0.25">
      <c r="A2807" t="s">
        <v>8050</v>
      </c>
      <c r="B2807" t="s">
        <v>8851</v>
      </c>
      <c r="C2807" t="s">
        <v>8845</v>
      </c>
      <c r="D2807" t="s">
        <v>8846</v>
      </c>
      <c r="E2807" t="s">
        <v>8847</v>
      </c>
      <c r="F2807" t="s">
        <v>8852</v>
      </c>
      <c r="G2807" s="2" t="str">
        <f>HYPERLINK("https://probpalata.gov.ru/files/ИП390300759200005.jpeg","Скачать индивидуальный QR-код магазина")</f>
        <v>Скачать индивидуальный QR-код магазина</v>
      </c>
    </row>
    <row r="2808" spans="1:7" x14ac:dyDescent="0.25">
      <c r="A2808" t="s">
        <v>8050</v>
      </c>
      <c r="B2808" t="s">
        <v>8853</v>
      </c>
      <c r="C2808" t="s">
        <v>8845</v>
      </c>
      <c r="D2808" t="s">
        <v>8846</v>
      </c>
      <c r="E2808" t="s">
        <v>8847</v>
      </c>
      <c r="F2808" t="s">
        <v>8854</v>
      </c>
      <c r="G2808" s="2" t="str">
        <f>HYPERLINK("https://probpalata.gov.ru/files/ИП390300759200007.jpeg","Скачать индивидуальный QR-код магазина")</f>
        <v>Скачать индивидуальный QR-код магазина</v>
      </c>
    </row>
    <row r="2809" spans="1:7" x14ac:dyDescent="0.25">
      <c r="A2809" t="s">
        <v>8050</v>
      </c>
      <c r="B2809" t="s">
        <v>8855</v>
      </c>
      <c r="C2809" t="s">
        <v>8845</v>
      </c>
      <c r="D2809" t="s">
        <v>8846</v>
      </c>
      <c r="E2809" t="s">
        <v>8847</v>
      </c>
      <c r="F2809" t="s">
        <v>8856</v>
      </c>
      <c r="G2809" s="2" t="str">
        <f>HYPERLINK("https://probpalata.gov.ru/files/ИП390300759200009.jpeg","Скачать индивидуальный QR-код магазина")</f>
        <v>Скачать индивидуальный QR-код магазина</v>
      </c>
    </row>
    <row r="2810" spans="1:7" x14ac:dyDescent="0.25">
      <c r="A2810" t="s">
        <v>8050</v>
      </c>
      <c r="B2810" t="s">
        <v>8857</v>
      </c>
      <c r="C2810" t="s">
        <v>8845</v>
      </c>
      <c r="D2810" t="s">
        <v>8846</v>
      </c>
      <c r="E2810" t="s">
        <v>8847</v>
      </c>
      <c r="F2810" t="s">
        <v>8858</v>
      </c>
      <c r="G2810" s="2" t="str">
        <f>HYPERLINK("https://probpalata.gov.ru/files/ИП390300759200010.jpeg","Скачать индивидуальный QR-код магазина")</f>
        <v>Скачать индивидуальный QR-код магазина</v>
      </c>
    </row>
    <row r="2811" spans="1:7" x14ac:dyDescent="0.25">
      <c r="A2811" t="s">
        <v>8050</v>
      </c>
      <c r="B2811" t="s">
        <v>8859</v>
      </c>
      <c r="C2811" t="s">
        <v>8845</v>
      </c>
      <c r="D2811" t="s">
        <v>8846</v>
      </c>
      <c r="E2811" t="s">
        <v>8847</v>
      </c>
      <c r="F2811" t="s">
        <v>8860</v>
      </c>
      <c r="G2811" s="2" t="str">
        <f>HYPERLINK("https://probpalata.gov.ru/files/ИП390300759200011.jpeg","Скачать индивидуальный QR-код магазина")</f>
        <v>Скачать индивидуальный QR-код магазина</v>
      </c>
    </row>
    <row r="2812" spans="1:7" x14ac:dyDescent="0.25">
      <c r="A2812" t="s">
        <v>8050</v>
      </c>
      <c r="B2812" t="s">
        <v>8861</v>
      </c>
      <c r="C2812" t="s">
        <v>8845</v>
      </c>
      <c r="D2812" t="s">
        <v>8846</v>
      </c>
      <c r="E2812" t="s">
        <v>8847</v>
      </c>
      <c r="F2812" t="s">
        <v>8862</v>
      </c>
      <c r="G2812" s="2" t="str">
        <f>HYPERLINK("https://probpalata.gov.ru/files/ИП390300759200012.jpeg","Скачать индивидуальный QR-код магазина")</f>
        <v>Скачать индивидуальный QR-код магазина</v>
      </c>
    </row>
    <row r="2813" spans="1:7" x14ac:dyDescent="0.25">
      <c r="A2813" t="s">
        <v>8050</v>
      </c>
      <c r="B2813" t="s">
        <v>8863</v>
      </c>
      <c r="C2813" t="s">
        <v>8864</v>
      </c>
      <c r="D2813" t="s">
        <v>8865</v>
      </c>
      <c r="E2813" t="s">
        <v>8866</v>
      </c>
      <c r="F2813" t="s">
        <v>8867</v>
      </c>
      <c r="G2813" s="2" t="str">
        <f>HYPERLINK("https://probpalata.gov.ru/files/ИП390300944000000.jpeg","Скачать индивидуальный QR-код магазина")</f>
        <v>Скачать индивидуальный QR-код магазина</v>
      </c>
    </row>
    <row r="2814" spans="1:7" x14ac:dyDescent="0.25">
      <c r="A2814" t="s">
        <v>8050</v>
      </c>
      <c r="B2814" t="s">
        <v>8868</v>
      </c>
      <c r="C2814" t="s">
        <v>8869</v>
      </c>
      <c r="D2814" t="s">
        <v>8870</v>
      </c>
      <c r="E2814" t="s">
        <v>8871</v>
      </c>
      <c r="F2814" t="s">
        <v>8872</v>
      </c>
      <c r="G2814" s="2" t="str">
        <f>HYPERLINK("https://probpalata.gov.ru/files/ИП390301127200000.jpeg","Скачать индивидуальный QR-код магазина")</f>
        <v>Скачать индивидуальный QR-код магазина</v>
      </c>
    </row>
    <row r="2815" spans="1:7" x14ac:dyDescent="0.25">
      <c r="A2815" t="s">
        <v>8050</v>
      </c>
      <c r="B2815" t="s">
        <v>8873</v>
      </c>
      <c r="C2815" t="s">
        <v>8874</v>
      </c>
      <c r="D2815" t="s">
        <v>8875</v>
      </c>
      <c r="E2815" t="s">
        <v>8876</v>
      </c>
      <c r="F2815" t="s">
        <v>8877</v>
      </c>
      <c r="G2815" s="2" t="str">
        <f>HYPERLINK("https://probpalata.gov.ru/files/ИП390303880700000.jpeg","Скачать индивидуальный QR-код магазина")</f>
        <v>Скачать индивидуальный QR-код магазина</v>
      </c>
    </row>
    <row r="2816" spans="1:7" x14ac:dyDescent="0.25">
      <c r="A2816" t="s">
        <v>8050</v>
      </c>
      <c r="B2816" t="s">
        <v>8878</v>
      </c>
      <c r="C2816" t="s">
        <v>8879</v>
      </c>
      <c r="D2816" t="s">
        <v>8880</v>
      </c>
      <c r="E2816" t="s">
        <v>8881</v>
      </c>
      <c r="F2816" t="s">
        <v>8882</v>
      </c>
      <c r="G2816" s="2" t="str">
        <f>HYPERLINK("https://probpalata.gov.ru/files/ИП390301862400000.jpeg","Скачать индивидуальный QR-код магазина")</f>
        <v>Скачать индивидуальный QR-код магазина</v>
      </c>
    </row>
    <row r="2817" spans="1:7" x14ac:dyDescent="0.25">
      <c r="A2817" t="s">
        <v>8050</v>
      </c>
      <c r="B2817" t="s">
        <v>8883</v>
      </c>
      <c r="C2817" t="s">
        <v>8884</v>
      </c>
      <c r="D2817" t="s">
        <v>8885</v>
      </c>
      <c r="E2817" t="s">
        <v>8886</v>
      </c>
      <c r="F2817" t="s">
        <v>8887</v>
      </c>
      <c r="G2817" s="2" t="str">
        <f>HYPERLINK("https://probpalata.gov.ru/files/ИП390301407100000.jpeg","Скачать индивидуальный QR-код магазина")</f>
        <v>Скачать индивидуальный QR-код магазина</v>
      </c>
    </row>
    <row r="2818" spans="1:7" x14ac:dyDescent="0.25">
      <c r="A2818" t="s">
        <v>8050</v>
      </c>
      <c r="B2818" t="s">
        <v>8888</v>
      </c>
      <c r="C2818" t="s">
        <v>8889</v>
      </c>
      <c r="D2818" t="s">
        <v>8890</v>
      </c>
      <c r="E2818" t="s">
        <v>8891</v>
      </c>
      <c r="F2818" t="s">
        <v>8892</v>
      </c>
      <c r="G2818" s="2" t="str">
        <f>HYPERLINK("https://probpalata.gov.ru/files/ИП390300822100000.jpeg","Скачать индивидуальный QR-код магазина")</f>
        <v>Скачать индивидуальный QR-код магазина</v>
      </c>
    </row>
    <row r="2819" spans="1:7" x14ac:dyDescent="0.25">
      <c r="A2819" t="s">
        <v>8050</v>
      </c>
      <c r="B2819" t="s">
        <v>8558</v>
      </c>
      <c r="C2819" t="s">
        <v>8893</v>
      </c>
      <c r="D2819" t="s">
        <v>8894</v>
      </c>
      <c r="E2819" t="s">
        <v>8895</v>
      </c>
      <c r="F2819" t="s">
        <v>8896</v>
      </c>
      <c r="G2819" s="2" t="str">
        <f>HYPERLINK("https://probpalata.gov.ru/files/ИП390303953800000.jpeg","Скачать индивидуальный QR-код магазина")</f>
        <v>Скачать индивидуальный QR-код магазина</v>
      </c>
    </row>
    <row r="2820" spans="1:7" x14ac:dyDescent="0.25">
      <c r="A2820" t="s">
        <v>8050</v>
      </c>
      <c r="B2820" t="s">
        <v>8897</v>
      </c>
      <c r="C2820" t="s">
        <v>8893</v>
      </c>
      <c r="D2820" t="s">
        <v>8894</v>
      </c>
      <c r="E2820" t="s">
        <v>8895</v>
      </c>
      <c r="F2820" t="s">
        <v>8898</v>
      </c>
      <c r="G2820" s="2" t="str">
        <f>HYPERLINK("https://probpalata.gov.ru/files/ИП390303953800001.jpeg","Скачать индивидуальный QR-код магазина")</f>
        <v>Скачать индивидуальный QR-код магазина</v>
      </c>
    </row>
    <row r="2821" spans="1:7" x14ac:dyDescent="0.25">
      <c r="A2821" t="s">
        <v>8050</v>
      </c>
      <c r="B2821" t="s">
        <v>8899</v>
      </c>
      <c r="C2821" t="s">
        <v>8900</v>
      </c>
      <c r="D2821" t="s">
        <v>8901</v>
      </c>
      <c r="E2821" t="s">
        <v>8902</v>
      </c>
      <c r="F2821" t="s">
        <v>8903</v>
      </c>
      <c r="G2821" s="2" t="str">
        <f>HYPERLINK("https://probpalata.gov.ru/files/ИП390300996200000.jpeg","Скачать индивидуальный QR-код магазина")</f>
        <v>Скачать индивидуальный QR-код магазина</v>
      </c>
    </row>
    <row r="2822" spans="1:7" x14ac:dyDescent="0.25">
      <c r="A2822" t="s">
        <v>8050</v>
      </c>
      <c r="B2822" t="s">
        <v>8904</v>
      </c>
      <c r="C2822" t="s">
        <v>8905</v>
      </c>
      <c r="D2822" t="s">
        <v>8906</v>
      </c>
      <c r="E2822" t="s">
        <v>8907</v>
      </c>
      <c r="F2822" t="s">
        <v>8908</v>
      </c>
      <c r="G2822" s="2" t="str">
        <f>HYPERLINK("https://probpalata.gov.ru/files/ИП390303226600000.jpeg","Скачать индивидуальный QR-код магазина")</f>
        <v>Скачать индивидуальный QR-код магазина</v>
      </c>
    </row>
    <row r="2823" spans="1:7" x14ac:dyDescent="0.25">
      <c r="A2823" t="s">
        <v>8050</v>
      </c>
      <c r="B2823" t="s">
        <v>8909</v>
      </c>
      <c r="C2823" t="s">
        <v>8910</v>
      </c>
      <c r="D2823" t="s">
        <v>8911</v>
      </c>
      <c r="E2823" t="s">
        <v>8912</v>
      </c>
      <c r="F2823" t="s">
        <v>8913</v>
      </c>
      <c r="G2823" s="2" t="str">
        <f>HYPERLINK("https://probpalata.gov.ru/files/ИП390301293700000.jpeg","Скачать индивидуальный QR-код магазина")</f>
        <v>Скачать индивидуальный QR-код магазина</v>
      </c>
    </row>
    <row r="2824" spans="1:7" x14ac:dyDescent="0.25">
      <c r="A2824" t="s">
        <v>8050</v>
      </c>
      <c r="B2824" t="s">
        <v>8914</v>
      </c>
      <c r="C2824" t="s">
        <v>8910</v>
      </c>
      <c r="D2824" t="s">
        <v>8911</v>
      </c>
      <c r="E2824" t="s">
        <v>8912</v>
      </c>
      <c r="F2824" t="s">
        <v>8915</v>
      </c>
      <c r="G2824" s="2" t="str">
        <f>HYPERLINK("https://probpalata.gov.ru/files/ИП390301293700002.jpeg","Скачать индивидуальный QR-код магазина")</f>
        <v>Скачать индивидуальный QR-код магазина</v>
      </c>
    </row>
    <row r="2825" spans="1:7" x14ac:dyDescent="0.25">
      <c r="A2825" t="s">
        <v>8050</v>
      </c>
      <c r="B2825" t="s">
        <v>8916</v>
      </c>
      <c r="C2825" t="s">
        <v>8917</v>
      </c>
      <c r="D2825" t="s">
        <v>8918</v>
      </c>
      <c r="E2825" t="s">
        <v>8919</v>
      </c>
      <c r="F2825" t="s">
        <v>8920</v>
      </c>
      <c r="G2825" s="2" t="str">
        <f>HYPERLINK("https://probpalata.gov.ru/files/ИП390303661500000.jpeg","Скачать индивидуальный QR-код магазина")</f>
        <v>Скачать индивидуальный QR-код магазина</v>
      </c>
    </row>
    <row r="2826" spans="1:7" x14ac:dyDescent="0.25">
      <c r="A2826" t="s">
        <v>8050</v>
      </c>
      <c r="B2826" t="s">
        <v>8921</v>
      </c>
      <c r="C2826" t="s">
        <v>8922</v>
      </c>
      <c r="D2826" t="s">
        <v>8923</v>
      </c>
      <c r="E2826" t="s">
        <v>8924</v>
      </c>
      <c r="F2826" t="s">
        <v>8925</v>
      </c>
      <c r="G2826" s="2" t="str">
        <f>HYPERLINK("https://probpalata.gov.ru/files/ИП390300762100001.jpeg","Скачать индивидуальный QR-код магазина")</f>
        <v>Скачать индивидуальный QR-код магазина</v>
      </c>
    </row>
    <row r="2827" spans="1:7" x14ac:dyDescent="0.25">
      <c r="A2827" t="s">
        <v>8050</v>
      </c>
      <c r="B2827" t="s">
        <v>8926</v>
      </c>
      <c r="C2827" t="s">
        <v>8922</v>
      </c>
      <c r="D2827" t="s">
        <v>8923</v>
      </c>
      <c r="E2827" t="s">
        <v>8924</v>
      </c>
      <c r="F2827" t="s">
        <v>8927</v>
      </c>
      <c r="G2827" s="2" t="str">
        <f>HYPERLINK("https://probpalata.gov.ru/files/ИП390300762100002.jpeg","Скачать индивидуальный QR-код магазина")</f>
        <v>Скачать индивидуальный QR-код магазина</v>
      </c>
    </row>
    <row r="2828" spans="1:7" x14ac:dyDescent="0.25">
      <c r="A2828" t="s">
        <v>8050</v>
      </c>
      <c r="B2828" t="s">
        <v>8928</v>
      </c>
      <c r="C2828" t="s">
        <v>8922</v>
      </c>
      <c r="D2828" t="s">
        <v>8923</v>
      </c>
      <c r="E2828" t="s">
        <v>8924</v>
      </c>
      <c r="F2828" t="s">
        <v>8929</v>
      </c>
      <c r="G2828" s="2" t="str">
        <f>HYPERLINK("https://probpalata.gov.ru/files/ИП390300762100006.jpeg","Скачать индивидуальный QR-код магазина")</f>
        <v>Скачать индивидуальный QR-код магазина</v>
      </c>
    </row>
    <row r="2829" spans="1:7" x14ac:dyDescent="0.25">
      <c r="A2829" t="s">
        <v>8050</v>
      </c>
      <c r="B2829" t="s">
        <v>8930</v>
      </c>
      <c r="C2829" t="s">
        <v>8922</v>
      </c>
      <c r="D2829" t="s">
        <v>8923</v>
      </c>
      <c r="E2829" t="s">
        <v>8924</v>
      </c>
      <c r="F2829" t="s">
        <v>8931</v>
      </c>
      <c r="G2829" s="2" t="str">
        <f>HYPERLINK("https://probpalata.gov.ru/files/ИП390300762100008.jpeg","Скачать индивидуальный QR-код магазина")</f>
        <v>Скачать индивидуальный QR-код магазина</v>
      </c>
    </row>
    <row r="2830" spans="1:7" x14ac:dyDescent="0.25">
      <c r="A2830" t="s">
        <v>8050</v>
      </c>
      <c r="B2830" t="s">
        <v>8932</v>
      </c>
      <c r="C2830" t="s">
        <v>8933</v>
      </c>
      <c r="D2830" t="s">
        <v>8934</v>
      </c>
      <c r="E2830" t="s">
        <v>8935</v>
      </c>
      <c r="F2830" t="s">
        <v>8936</v>
      </c>
      <c r="G2830" s="2" t="str">
        <f>HYPERLINK("https://probpalata.gov.ru/files/ИП390303824900000.jpeg","Скачать индивидуальный QR-код магазина")</f>
        <v>Скачать индивидуальный QR-код магазина</v>
      </c>
    </row>
    <row r="2831" spans="1:7" x14ac:dyDescent="0.25">
      <c r="A2831" t="s">
        <v>8050</v>
      </c>
      <c r="B2831" t="s">
        <v>8937</v>
      </c>
      <c r="C2831" t="s">
        <v>8938</v>
      </c>
      <c r="D2831" t="s">
        <v>8939</v>
      </c>
      <c r="E2831" t="s">
        <v>8940</v>
      </c>
      <c r="F2831" t="s">
        <v>8941</v>
      </c>
      <c r="G2831" s="2" t="str">
        <f>HYPERLINK("https://probpalata.gov.ru/files/ИП390303807900000.jpeg","Скачать индивидуальный QR-код магазина")</f>
        <v>Скачать индивидуальный QR-код магазина</v>
      </c>
    </row>
    <row r="2832" spans="1:7" x14ac:dyDescent="0.25">
      <c r="A2832" t="s">
        <v>8050</v>
      </c>
      <c r="B2832" t="s">
        <v>8056</v>
      </c>
      <c r="C2832" t="s">
        <v>8942</v>
      </c>
      <c r="D2832" t="s">
        <v>8943</v>
      </c>
      <c r="E2832" t="s">
        <v>8944</v>
      </c>
      <c r="F2832" t="s">
        <v>8945</v>
      </c>
      <c r="G2832" s="2" t="str">
        <f>HYPERLINK("https://probpalata.gov.ru/files/ИП390303818000000.jpeg","Скачать индивидуальный QR-код магазина")</f>
        <v>Скачать индивидуальный QR-код магазина</v>
      </c>
    </row>
    <row r="2833" spans="1:7" x14ac:dyDescent="0.25">
      <c r="A2833" t="s">
        <v>8050</v>
      </c>
      <c r="B2833" t="s">
        <v>8946</v>
      </c>
      <c r="C2833" t="s">
        <v>8942</v>
      </c>
      <c r="D2833" t="s">
        <v>8943</v>
      </c>
      <c r="E2833" t="s">
        <v>8944</v>
      </c>
      <c r="F2833" t="s">
        <v>8947</v>
      </c>
      <c r="G2833" s="2" t="str">
        <f>HYPERLINK("https://probpalata.gov.ru/files/ИП390303818000001.jpeg","Скачать индивидуальный QR-код магазина")</f>
        <v>Скачать индивидуальный QR-код магазина</v>
      </c>
    </row>
    <row r="2834" spans="1:7" x14ac:dyDescent="0.25">
      <c r="A2834" t="s">
        <v>8050</v>
      </c>
      <c r="B2834" t="s">
        <v>8948</v>
      </c>
      <c r="C2834" t="s">
        <v>8949</v>
      </c>
      <c r="D2834" t="s">
        <v>8950</v>
      </c>
      <c r="E2834" t="s">
        <v>8951</v>
      </c>
      <c r="F2834" t="s">
        <v>8952</v>
      </c>
      <c r="G2834" s="2" t="str">
        <f>HYPERLINK("https://probpalata.gov.ru/files/ЮЛ390300313900000.jpeg","Скачать индивидуальный QR-код магазина")</f>
        <v>Скачать индивидуальный QR-код магазина</v>
      </c>
    </row>
    <row r="2835" spans="1:7" x14ac:dyDescent="0.25">
      <c r="A2835" t="s">
        <v>8050</v>
      </c>
      <c r="B2835" t="s">
        <v>8953</v>
      </c>
      <c r="C2835" t="s">
        <v>8949</v>
      </c>
      <c r="D2835" t="s">
        <v>8950</v>
      </c>
      <c r="E2835" t="s">
        <v>8951</v>
      </c>
      <c r="F2835" t="s">
        <v>8954</v>
      </c>
      <c r="G2835" s="2" t="str">
        <f>HYPERLINK("https://probpalata.gov.ru/files/ЮЛ390300313900002.jpeg","Скачать индивидуальный QR-код магазина")</f>
        <v>Скачать индивидуальный QR-код магазина</v>
      </c>
    </row>
    <row r="2836" spans="1:7" x14ac:dyDescent="0.25">
      <c r="A2836" t="s">
        <v>8050</v>
      </c>
      <c r="B2836" t="s">
        <v>8955</v>
      </c>
      <c r="C2836" t="s">
        <v>8949</v>
      </c>
      <c r="D2836" t="s">
        <v>8950</v>
      </c>
      <c r="E2836" t="s">
        <v>8951</v>
      </c>
      <c r="F2836" t="s">
        <v>8956</v>
      </c>
      <c r="G2836" s="2" t="str">
        <f>HYPERLINK("https://probpalata.gov.ru/files/ЮЛ390300313900003.jpeg","Скачать индивидуальный QR-код магазина")</f>
        <v>Скачать индивидуальный QR-код магазина</v>
      </c>
    </row>
    <row r="2837" spans="1:7" x14ac:dyDescent="0.25">
      <c r="A2837" t="s">
        <v>8050</v>
      </c>
      <c r="B2837" t="s">
        <v>8957</v>
      </c>
      <c r="C2837" t="s">
        <v>8958</v>
      </c>
      <c r="D2837" t="s">
        <v>8959</v>
      </c>
      <c r="E2837" t="s">
        <v>8960</v>
      </c>
      <c r="F2837" t="s">
        <v>8961</v>
      </c>
      <c r="G2837" s="2" t="str">
        <f>HYPERLINK("https://probpalata.gov.ru/files/ИП390301231000000.jpeg","Скачать индивидуальный QR-код магазина")</f>
        <v>Скачать индивидуальный QR-код магазина</v>
      </c>
    </row>
    <row r="2838" spans="1:7" x14ac:dyDescent="0.25">
      <c r="A2838" t="s">
        <v>8050</v>
      </c>
      <c r="B2838" t="s">
        <v>8962</v>
      </c>
      <c r="C2838" t="s">
        <v>8963</v>
      </c>
      <c r="D2838" t="s">
        <v>8964</v>
      </c>
      <c r="E2838" t="s">
        <v>8965</v>
      </c>
      <c r="F2838" t="s">
        <v>8966</v>
      </c>
      <c r="G2838" s="2" t="str">
        <f>HYPERLINK("https://probpalata.gov.ru/files/ЮЛ390303747800000.jpeg","Скачать индивидуальный QR-код магазина")</f>
        <v>Скачать индивидуальный QR-код магазина</v>
      </c>
    </row>
    <row r="2839" spans="1:7" x14ac:dyDescent="0.25">
      <c r="A2839" t="s">
        <v>8050</v>
      </c>
      <c r="B2839" t="s">
        <v>8967</v>
      </c>
      <c r="C2839" t="s">
        <v>8968</v>
      </c>
      <c r="D2839" t="s">
        <v>8969</v>
      </c>
      <c r="E2839" t="s">
        <v>8970</v>
      </c>
      <c r="F2839" t="s">
        <v>8971</v>
      </c>
      <c r="G2839" s="2" t="str">
        <f>HYPERLINK("https://probpalata.gov.ru/files/ЮЛ390301217300000.jpeg","Скачать индивидуальный QR-код магазина")</f>
        <v>Скачать индивидуальный QR-код магазина</v>
      </c>
    </row>
    <row r="2840" spans="1:7" x14ac:dyDescent="0.25">
      <c r="A2840" t="s">
        <v>8050</v>
      </c>
      <c r="B2840" t="s">
        <v>8972</v>
      </c>
      <c r="C2840" t="s">
        <v>8973</v>
      </c>
      <c r="D2840" t="s">
        <v>8974</v>
      </c>
      <c r="E2840" t="s">
        <v>8975</v>
      </c>
      <c r="F2840" t="s">
        <v>8976</v>
      </c>
      <c r="G2840" s="2" t="str">
        <f>HYPERLINK("https://probpalata.gov.ru/files/ИП390303679600000.jpeg","Скачать индивидуальный QR-код магазина")</f>
        <v>Скачать индивидуальный QR-код магазина</v>
      </c>
    </row>
    <row r="2841" spans="1:7" x14ac:dyDescent="0.25">
      <c r="A2841" t="s">
        <v>8050</v>
      </c>
      <c r="B2841" t="s">
        <v>8977</v>
      </c>
      <c r="C2841" t="s">
        <v>8978</v>
      </c>
      <c r="D2841" t="s">
        <v>8979</v>
      </c>
      <c r="E2841" t="s">
        <v>8980</v>
      </c>
      <c r="F2841" t="s">
        <v>8981</v>
      </c>
      <c r="G2841" s="2" t="str">
        <f>HYPERLINK("https://probpalata.gov.ru/files/ИП390303396900000.jpeg","Скачать индивидуальный QR-код магазина")</f>
        <v>Скачать индивидуальный QR-код магазина</v>
      </c>
    </row>
    <row r="2842" spans="1:7" x14ac:dyDescent="0.25">
      <c r="A2842" t="s">
        <v>8050</v>
      </c>
      <c r="B2842" t="s">
        <v>8982</v>
      </c>
      <c r="C2842" t="s">
        <v>8983</v>
      </c>
      <c r="D2842" t="s">
        <v>8984</v>
      </c>
      <c r="E2842" t="s">
        <v>8985</v>
      </c>
      <c r="F2842" t="s">
        <v>8986</v>
      </c>
      <c r="G2842" s="2" t="str">
        <f>HYPERLINK("https://probpalata.gov.ru/files/ИП390301974300000.jpeg","Скачать индивидуальный QR-код магазина")</f>
        <v>Скачать индивидуальный QR-код магазина</v>
      </c>
    </row>
    <row r="2843" spans="1:7" x14ac:dyDescent="0.25">
      <c r="A2843" t="s">
        <v>8050</v>
      </c>
      <c r="B2843" t="s">
        <v>8987</v>
      </c>
      <c r="C2843" t="s">
        <v>8988</v>
      </c>
      <c r="D2843" t="s">
        <v>8989</v>
      </c>
      <c r="E2843" t="s">
        <v>8990</v>
      </c>
      <c r="F2843" t="s">
        <v>8991</v>
      </c>
      <c r="G2843" s="2" t="str">
        <f>HYPERLINK("https://probpalata.gov.ru/files/ИП390303824700000.jpeg","Скачать индивидуальный QR-код магазина")</f>
        <v>Скачать индивидуальный QR-код магазина</v>
      </c>
    </row>
    <row r="2844" spans="1:7" x14ac:dyDescent="0.25">
      <c r="A2844" t="s">
        <v>8050</v>
      </c>
      <c r="B2844" t="s">
        <v>8992</v>
      </c>
      <c r="C2844" t="s">
        <v>8993</v>
      </c>
      <c r="D2844" t="s">
        <v>8994</v>
      </c>
      <c r="E2844" t="s">
        <v>8995</v>
      </c>
      <c r="F2844" t="s">
        <v>8996</v>
      </c>
      <c r="G2844" s="2" t="str">
        <f>HYPERLINK("https://probpalata.gov.ru/files/ЮЛ390300814700002.jpeg","Скачать индивидуальный QR-код магазина")</f>
        <v>Скачать индивидуальный QR-код магазина</v>
      </c>
    </row>
    <row r="2845" spans="1:7" x14ac:dyDescent="0.25">
      <c r="A2845" t="s">
        <v>8050</v>
      </c>
      <c r="B2845" t="s">
        <v>8997</v>
      </c>
      <c r="C2845" t="s">
        <v>8993</v>
      </c>
      <c r="D2845" t="s">
        <v>8994</v>
      </c>
      <c r="E2845" t="s">
        <v>8995</v>
      </c>
      <c r="F2845" t="s">
        <v>8998</v>
      </c>
      <c r="G2845" s="2" t="str">
        <f>HYPERLINK("https://probpalata.gov.ru/files/ЮЛ390300814700005.jpeg","Скачать индивидуальный QR-код магазина")</f>
        <v>Скачать индивидуальный QR-код магазина</v>
      </c>
    </row>
    <row r="2846" spans="1:7" x14ac:dyDescent="0.25">
      <c r="A2846" t="s">
        <v>8050</v>
      </c>
      <c r="B2846" t="s">
        <v>8999</v>
      </c>
      <c r="C2846" t="s">
        <v>8993</v>
      </c>
      <c r="D2846" t="s">
        <v>8994</v>
      </c>
      <c r="E2846" t="s">
        <v>8995</v>
      </c>
      <c r="F2846" t="s">
        <v>9000</v>
      </c>
      <c r="G2846" s="2" t="str">
        <f>HYPERLINK("https://probpalata.gov.ru/files/ЮЛ390300814700007.jpeg","Скачать индивидуальный QR-код магазина")</f>
        <v>Скачать индивидуальный QR-код магазина</v>
      </c>
    </row>
    <row r="2847" spans="1:7" x14ac:dyDescent="0.25">
      <c r="A2847" t="s">
        <v>8050</v>
      </c>
      <c r="B2847" t="s">
        <v>9001</v>
      </c>
      <c r="C2847" t="s">
        <v>8993</v>
      </c>
      <c r="D2847" t="s">
        <v>8994</v>
      </c>
      <c r="E2847" t="s">
        <v>8995</v>
      </c>
      <c r="F2847" t="s">
        <v>9002</v>
      </c>
      <c r="G2847" s="2" t="str">
        <f>HYPERLINK("https://probpalata.gov.ru/files/ЮЛ390300814700010.jpeg","Скачать индивидуальный QR-код магазина")</f>
        <v>Скачать индивидуальный QR-код магазина</v>
      </c>
    </row>
    <row r="2848" spans="1:7" x14ac:dyDescent="0.25">
      <c r="A2848" t="s">
        <v>8050</v>
      </c>
      <c r="B2848" t="s">
        <v>9003</v>
      </c>
      <c r="C2848" t="s">
        <v>8993</v>
      </c>
      <c r="D2848" t="s">
        <v>8994</v>
      </c>
      <c r="E2848" t="s">
        <v>8995</v>
      </c>
      <c r="F2848" t="s">
        <v>9004</v>
      </c>
      <c r="G2848" s="2" t="str">
        <f>HYPERLINK("https://probpalata.gov.ru/files/ЮЛ390300814700012.jpeg","Скачать индивидуальный QR-код магазина")</f>
        <v>Скачать индивидуальный QR-код магазина</v>
      </c>
    </row>
    <row r="2849" spans="1:7" x14ac:dyDescent="0.25">
      <c r="A2849" t="s">
        <v>8050</v>
      </c>
      <c r="B2849" t="s">
        <v>9005</v>
      </c>
      <c r="C2849" t="s">
        <v>8993</v>
      </c>
      <c r="D2849" t="s">
        <v>8994</v>
      </c>
      <c r="E2849" t="s">
        <v>8995</v>
      </c>
      <c r="F2849" t="s">
        <v>9006</v>
      </c>
      <c r="G2849" s="2" t="str">
        <f>HYPERLINK("https://probpalata.gov.ru/files/ЮЛ390300814700013.jpeg","Скачать индивидуальный QR-код магазина")</f>
        <v>Скачать индивидуальный QR-код магазина</v>
      </c>
    </row>
    <row r="2850" spans="1:7" x14ac:dyDescent="0.25">
      <c r="A2850" t="s">
        <v>8050</v>
      </c>
      <c r="B2850" t="s">
        <v>9007</v>
      </c>
      <c r="C2850" t="s">
        <v>8993</v>
      </c>
      <c r="D2850" t="s">
        <v>8994</v>
      </c>
      <c r="E2850" t="s">
        <v>8995</v>
      </c>
      <c r="F2850" t="s">
        <v>9008</v>
      </c>
      <c r="G2850" s="2" t="str">
        <f>HYPERLINK("https://probpalata.gov.ru/files/ЮЛ390300814700014.jpeg","Скачать индивидуальный QR-код магазина")</f>
        <v>Скачать индивидуальный QR-код магазина</v>
      </c>
    </row>
    <row r="2851" spans="1:7" x14ac:dyDescent="0.25">
      <c r="A2851" t="s">
        <v>8050</v>
      </c>
      <c r="B2851" t="s">
        <v>9009</v>
      </c>
      <c r="C2851" t="s">
        <v>8993</v>
      </c>
      <c r="D2851" t="s">
        <v>8994</v>
      </c>
      <c r="E2851" t="s">
        <v>8995</v>
      </c>
      <c r="F2851" t="s">
        <v>9010</v>
      </c>
      <c r="G2851" s="2" t="str">
        <f>HYPERLINK("https://probpalata.gov.ru/files/ЮЛ390300814700015.jpeg","Скачать индивидуальный QR-код магазина")</f>
        <v>Скачать индивидуальный QR-код магазина</v>
      </c>
    </row>
    <row r="2852" spans="1:7" x14ac:dyDescent="0.25">
      <c r="A2852" t="s">
        <v>8050</v>
      </c>
      <c r="B2852" t="s">
        <v>9011</v>
      </c>
      <c r="C2852" t="s">
        <v>9012</v>
      </c>
      <c r="D2852" t="s">
        <v>9013</v>
      </c>
      <c r="E2852" t="s">
        <v>9014</v>
      </c>
      <c r="F2852" t="s">
        <v>9015</v>
      </c>
      <c r="G2852" s="2" t="str">
        <f>HYPERLINK("https://probpalata.gov.ru/files/ИП390300744900000.jpeg","Скачать индивидуальный QR-код магазина")</f>
        <v>Скачать индивидуальный QR-код магазина</v>
      </c>
    </row>
    <row r="2853" spans="1:7" x14ac:dyDescent="0.25">
      <c r="A2853" t="s">
        <v>8050</v>
      </c>
      <c r="B2853" t="s">
        <v>9016</v>
      </c>
      <c r="C2853" t="s">
        <v>9017</v>
      </c>
      <c r="D2853" t="s">
        <v>9018</v>
      </c>
      <c r="E2853" t="s">
        <v>9019</v>
      </c>
      <c r="F2853" t="s">
        <v>9020</v>
      </c>
      <c r="G2853" s="2" t="str">
        <f>HYPERLINK("https://probpalata.gov.ru/files/ИП390303832400000.jpeg","Скачать индивидуальный QR-код магазина")</f>
        <v>Скачать индивидуальный QR-код магазина</v>
      </c>
    </row>
    <row r="2854" spans="1:7" x14ac:dyDescent="0.25">
      <c r="A2854" t="s">
        <v>8050</v>
      </c>
      <c r="B2854" t="s">
        <v>9021</v>
      </c>
      <c r="C2854" t="s">
        <v>9017</v>
      </c>
      <c r="D2854" t="s">
        <v>9018</v>
      </c>
      <c r="E2854" t="s">
        <v>9019</v>
      </c>
      <c r="F2854" t="s">
        <v>9022</v>
      </c>
      <c r="G2854" s="2" t="str">
        <f>HYPERLINK("https://probpalata.gov.ru/files/ИП390303832400002.jpeg","Скачать индивидуальный QR-код магазина")</f>
        <v>Скачать индивидуальный QR-код магазина</v>
      </c>
    </row>
    <row r="2855" spans="1:7" x14ac:dyDescent="0.25">
      <c r="A2855" t="s">
        <v>8050</v>
      </c>
      <c r="B2855" t="s">
        <v>9023</v>
      </c>
      <c r="C2855" t="s">
        <v>9024</v>
      </c>
      <c r="D2855" t="s">
        <v>9025</v>
      </c>
      <c r="E2855" t="s">
        <v>9026</v>
      </c>
      <c r="F2855" t="s">
        <v>9027</v>
      </c>
      <c r="G2855" s="2" t="str">
        <f>HYPERLINK("https://probpalata.gov.ru/files/ИП390303754900001.jpeg","Скачать индивидуальный QR-код магазина")</f>
        <v>Скачать индивидуальный QR-код магазина</v>
      </c>
    </row>
    <row r="2856" spans="1:7" x14ac:dyDescent="0.25">
      <c r="A2856" t="s">
        <v>8050</v>
      </c>
      <c r="B2856" t="s">
        <v>9028</v>
      </c>
      <c r="C2856" t="s">
        <v>9024</v>
      </c>
      <c r="D2856" t="s">
        <v>9025</v>
      </c>
      <c r="E2856" t="s">
        <v>9026</v>
      </c>
      <c r="F2856" t="s">
        <v>9029</v>
      </c>
      <c r="G2856" s="2" t="str">
        <f>HYPERLINK("https://probpalata.gov.ru/files/ИП390303754900002.jpeg","Скачать индивидуальный QR-код магазина")</f>
        <v>Скачать индивидуальный QR-код магазина</v>
      </c>
    </row>
    <row r="2857" spans="1:7" x14ac:dyDescent="0.25">
      <c r="A2857" t="s">
        <v>8050</v>
      </c>
      <c r="B2857" t="s">
        <v>9030</v>
      </c>
      <c r="C2857" t="s">
        <v>9024</v>
      </c>
      <c r="D2857" t="s">
        <v>9025</v>
      </c>
      <c r="E2857" t="s">
        <v>9026</v>
      </c>
      <c r="F2857" t="s">
        <v>9031</v>
      </c>
      <c r="G2857" s="2" t="str">
        <f>HYPERLINK("https://probpalata.gov.ru/files/ИП390303754900003.jpeg","Скачать индивидуальный QR-код магазина")</f>
        <v>Скачать индивидуальный QR-код магазина</v>
      </c>
    </row>
    <row r="2858" spans="1:7" x14ac:dyDescent="0.25">
      <c r="A2858" t="s">
        <v>8050</v>
      </c>
      <c r="B2858" t="s">
        <v>9032</v>
      </c>
      <c r="C2858" t="s">
        <v>9033</v>
      </c>
      <c r="D2858" t="s">
        <v>9034</v>
      </c>
      <c r="E2858" t="s">
        <v>9035</v>
      </c>
      <c r="F2858" t="s">
        <v>9036</v>
      </c>
      <c r="G2858" s="2" t="str">
        <f>HYPERLINK("https://probpalata.gov.ru/files/ИП390303931900000.jpeg","Скачать индивидуальный QR-код магазина")</f>
        <v>Скачать индивидуальный QR-код магазина</v>
      </c>
    </row>
    <row r="2859" spans="1:7" x14ac:dyDescent="0.25">
      <c r="A2859" t="s">
        <v>8050</v>
      </c>
      <c r="B2859" t="s">
        <v>8056</v>
      </c>
      <c r="C2859" t="s">
        <v>9037</v>
      </c>
      <c r="D2859" t="s">
        <v>9038</v>
      </c>
      <c r="E2859" t="s">
        <v>9039</v>
      </c>
      <c r="F2859" t="s">
        <v>9040</v>
      </c>
      <c r="G2859" s="2" t="str">
        <f>HYPERLINK("https://probpalata.gov.ru/files/ИП390303885700000.jpeg","Скачать индивидуальный QR-код магазина")</f>
        <v>Скачать индивидуальный QR-код магазина</v>
      </c>
    </row>
    <row r="2860" spans="1:7" x14ac:dyDescent="0.25">
      <c r="A2860" t="s">
        <v>8050</v>
      </c>
      <c r="B2860" t="s">
        <v>9041</v>
      </c>
      <c r="C2860" t="s">
        <v>9042</v>
      </c>
      <c r="D2860" t="s">
        <v>9043</v>
      </c>
      <c r="E2860" t="s">
        <v>9044</v>
      </c>
      <c r="F2860" t="s">
        <v>9045</v>
      </c>
      <c r="G2860" s="2" t="str">
        <f>HYPERLINK("https://probpalata.gov.ru/files/ИП390304112700000.jpeg","Скачать индивидуальный QR-код магазина")</f>
        <v>Скачать индивидуальный QR-код магазина</v>
      </c>
    </row>
    <row r="2861" spans="1:7" x14ac:dyDescent="0.25">
      <c r="A2861" t="s">
        <v>8050</v>
      </c>
      <c r="B2861" t="s">
        <v>9046</v>
      </c>
      <c r="C2861" t="s">
        <v>9047</v>
      </c>
      <c r="D2861" t="s">
        <v>9048</v>
      </c>
      <c r="E2861" t="s">
        <v>9049</v>
      </c>
      <c r="F2861" t="s">
        <v>9050</v>
      </c>
      <c r="G2861" s="2" t="str">
        <f>HYPERLINK("https://probpalata.gov.ru/files/ИП390300312800001.jpeg","Скачать индивидуальный QR-код магазина")</f>
        <v>Скачать индивидуальный QR-код магазина</v>
      </c>
    </row>
    <row r="2862" spans="1:7" x14ac:dyDescent="0.25">
      <c r="A2862" t="s">
        <v>8050</v>
      </c>
      <c r="B2862" t="s">
        <v>9051</v>
      </c>
      <c r="C2862" t="s">
        <v>9047</v>
      </c>
      <c r="D2862" t="s">
        <v>9048</v>
      </c>
      <c r="E2862" t="s">
        <v>9049</v>
      </c>
      <c r="F2862" t="s">
        <v>9052</v>
      </c>
      <c r="G2862" s="2" t="str">
        <f>HYPERLINK("https://probpalata.gov.ru/files/ИП390300312800005.jpeg","Скачать индивидуальный QR-код магазина")</f>
        <v>Скачать индивидуальный QR-код магазина</v>
      </c>
    </row>
    <row r="2863" spans="1:7" x14ac:dyDescent="0.25">
      <c r="A2863" t="s">
        <v>8050</v>
      </c>
      <c r="B2863" t="s">
        <v>9053</v>
      </c>
      <c r="C2863" t="s">
        <v>9047</v>
      </c>
      <c r="D2863" t="s">
        <v>9048</v>
      </c>
      <c r="E2863" t="s">
        <v>9049</v>
      </c>
      <c r="F2863" t="s">
        <v>9054</v>
      </c>
      <c r="G2863" s="2" t="str">
        <f>HYPERLINK("https://probpalata.gov.ru/files/ИП390300312800006.jpeg","Скачать индивидуальный QR-код магазина")</f>
        <v>Скачать индивидуальный QR-код магазина</v>
      </c>
    </row>
    <row r="2864" spans="1:7" x14ac:dyDescent="0.25">
      <c r="A2864" t="s">
        <v>8050</v>
      </c>
      <c r="B2864" t="s">
        <v>9055</v>
      </c>
      <c r="C2864" t="s">
        <v>9047</v>
      </c>
      <c r="D2864" t="s">
        <v>9048</v>
      </c>
      <c r="E2864" t="s">
        <v>9049</v>
      </c>
      <c r="F2864" t="s">
        <v>9056</v>
      </c>
      <c r="G2864" s="2" t="str">
        <f>HYPERLINK("https://probpalata.gov.ru/files/ИП390300312800007.jpeg","Скачать индивидуальный QR-код магазина")</f>
        <v>Скачать индивидуальный QR-код магазина</v>
      </c>
    </row>
    <row r="2865" spans="1:7" x14ac:dyDescent="0.25">
      <c r="A2865" t="s">
        <v>8050</v>
      </c>
      <c r="B2865" t="s">
        <v>9057</v>
      </c>
      <c r="C2865" t="s">
        <v>9047</v>
      </c>
      <c r="D2865" t="s">
        <v>9048</v>
      </c>
      <c r="E2865" t="s">
        <v>9049</v>
      </c>
      <c r="F2865" t="s">
        <v>9058</v>
      </c>
      <c r="G2865" s="2" t="str">
        <f>HYPERLINK("https://probpalata.gov.ru/files/ИП390300312800008.jpeg","Скачать индивидуальный QR-код магазина")</f>
        <v>Скачать индивидуальный QR-код магазина</v>
      </c>
    </row>
    <row r="2866" spans="1:7" x14ac:dyDescent="0.25">
      <c r="A2866" t="s">
        <v>8050</v>
      </c>
      <c r="B2866" t="s">
        <v>9059</v>
      </c>
      <c r="C2866" t="s">
        <v>9060</v>
      </c>
      <c r="D2866" t="s">
        <v>9061</v>
      </c>
      <c r="E2866" t="s">
        <v>9062</v>
      </c>
      <c r="F2866" t="s">
        <v>9063</v>
      </c>
      <c r="G2866" s="2" t="str">
        <f>HYPERLINK("https://probpalata.gov.ru/files/ИП770103325500000.jpeg","Скачать индивидуальный QR-код магазина")</f>
        <v>Скачать индивидуальный QR-код магазина</v>
      </c>
    </row>
    <row r="2867" spans="1:7" x14ac:dyDescent="0.25">
      <c r="A2867" t="s">
        <v>8050</v>
      </c>
      <c r="B2867" t="s">
        <v>8056</v>
      </c>
      <c r="C2867" t="s">
        <v>9064</v>
      </c>
      <c r="D2867" t="s">
        <v>9065</v>
      </c>
      <c r="E2867" t="s">
        <v>9066</v>
      </c>
      <c r="F2867" t="s">
        <v>9067</v>
      </c>
      <c r="G2867" s="2" t="str">
        <f>HYPERLINK("https://probpalata.gov.ru/files/ИП390301917000000.jpeg","Скачать индивидуальный QR-код магазина")</f>
        <v>Скачать индивидуальный QR-код магазина</v>
      </c>
    </row>
    <row r="2868" spans="1:7" x14ac:dyDescent="0.25">
      <c r="A2868" t="s">
        <v>8050</v>
      </c>
      <c r="B2868" t="s">
        <v>9068</v>
      </c>
      <c r="C2868" t="s">
        <v>9069</v>
      </c>
      <c r="D2868" t="s">
        <v>9070</v>
      </c>
      <c r="E2868" t="s">
        <v>9071</v>
      </c>
      <c r="F2868" t="s">
        <v>9072</v>
      </c>
      <c r="G2868" s="2" t="str">
        <f>HYPERLINK("https://probpalata.gov.ru/files/ИП390301219300000.jpeg","Скачать индивидуальный QR-код магазина")</f>
        <v>Скачать индивидуальный QR-код магазина</v>
      </c>
    </row>
    <row r="2869" spans="1:7" x14ac:dyDescent="0.25">
      <c r="A2869" t="s">
        <v>8050</v>
      </c>
      <c r="B2869" t="s">
        <v>9073</v>
      </c>
      <c r="C2869" t="s">
        <v>9069</v>
      </c>
      <c r="D2869" t="s">
        <v>9070</v>
      </c>
      <c r="E2869" t="s">
        <v>9071</v>
      </c>
      <c r="F2869" t="s">
        <v>9074</v>
      </c>
      <c r="G2869" s="2" t="str">
        <f>HYPERLINK("https://probpalata.gov.ru/files/ИП390301219300003.jpeg","Скачать индивидуальный QR-код магазина")</f>
        <v>Скачать индивидуальный QR-код магазина</v>
      </c>
    </row>
    <row r="2870" spans="1:7" x14ac:dyDescent="0.25">
      <c r="A2870" t="s">
        <v>8050</v>
      </c>
      <c r="B2870" t="s">
        <v>9075</v>
      </c>
      <c r="C2870" t="s">
        <v>9069</v>
      </c>
      <c r="D2870" t="s">
        <v>9070</v>
      </c>
      <c r="E2870" t="s">
        <v>9071</v>
      </c>
      <c r="F2870" t="s">
        <v>9076</v>
      </c>
      <c r="G2870" s="2" t="str">
        <f>HYPERLINK("https://probpalata.gov.ru/files/ИП390301219300004.jpeg","Скачать индивидуальный QR-код магазина")</f>
        <v>Скачать индивидуальный QR-код магазина</v>
      </c>
    </row>
    <row r="2871" spans="1:7" x14ac:dyDescent="0.25">
      <c r="A2871" t="s">
        <v>8050</v>
      </c>
      <c r="B2871" t="s">
        <v>9077</v>
      </c>
      <c r="C2871" t="s">
        <v>9078</v>
      </c>
      <c r="D2871" t="s">
        <v>9079</v>
      </c>
      <c r="E2871" t="s">
        <v>9080</v>
      </c>
      <c r="F2871" t="s">
        <v>9081</v>
      </c>
      <c r="G2871" s="2" t="str">
        <f>HYPERLINK("https://probpalata.gov.ru/files/ИП390301283300000.jpeg","Скачать индивидуальный QR-код магазина")</f>
        <v>Скачать индивидуальный QR-код магазина</v>
      </c>
    </row>
    <row r="2872" spans="1:7" x14ac:dyDescent="0.25">
      <c r="A2872" t="s">
        <v>8050</v>
      </c>
      <c r="B2872" t="s">
        <v>9082</v>
      </c>
      <c r="C2872" t="s">
        <v>9083</v>
      </c>
      <c r="D2872" t="s">
        <v>9084</v>
      </c>
      <c r="E2872" t="s">
        <v>9085</v>
      </c>
      <c r="F2872" t="s">
        <v>9086</v>
      </c>
      <c r="G2872" s="2" t="str">
        <f>HYPERLINK("https://probpalata.gov.ru/files/ИП390303382300000.jpeg","Скачать индивидуальный QR-код магазина")</f>
        <v>Скачать индивидуальный QR-код магазина</v>
      </c>
    </row>
    <row r="2873" spans="1:7" x14ac:dyDescent="0.25">
      <c r="A2873" t="s">
        <v>8050</v>
      </c>
      <c r="B2873" t="s">
        <v>9087</v>
      </c>
      <c r="C2873" t="s">
        <v>9088</v>
      </c>
      <c r="D2873" t="s">
        <v>9089</v>
      </c>
      <c r="E2873" t="s">
        <v>9090</v>
      </c>
      <c r="F2873" t="s">
        <v>9091</v>
      </c>
      <c r="G2873" s="2" t="str">
        <f>HYPERLINK("https://probpalata.gov.ru/files/ИП390301751400000.jpeg","Скачать индивидуальный QR-код магазина")</f>
        <v>Скачать индивидуальный QR-код магазина</v>
      </c>
    </row>
    <row r="2874" spans="1:7" x14ac:dyDescent="0.25">
      <c r="A2874" t="s">
        <v>8050</v>
      </c>
      <c r="B2874" t="s">
        <v>9092</v>
      </c>
      <c r="C2874" t="s">
        <v>9093</v>
      </c>
      <c r="D2874" t="s">
        <v>9094</v>
      </c>
      <c r="E2874" t="s">
        <v>9095</v>
      </c>
      <c r="F2874" t="s">
        <v>9096</v>
      </c>
      <c r="G2874" s="2" t="str">
        <f>HYPERLINK("https://probpalata.gov.ru/files/ИП390303434500000.jpeg","Скачать индивидуальный QR-код магазина")</f>
        <v>Скачать индивидуальный QR-код магазина</v>
      </c>
    </row>
    <row r="2875" spans="1:7" x14ac:dyDescent="0.25">
      <c r="A2875" t="s">
        <v>8050</v>
      </c>
      <c r="B2875" t="s">
        <v>9097</v>
      </c>
      <c r="C2875" t="s">
        <v>9098</v>
      </c>
      <c r="D2875" t="s">
        <v>9099</v>
      </c>
      <c r="E2875" t="s">
        <v>9100</v>
      </c>
      <c r="F2875" t="s">
        <v>9101</v>
      </c>
      <c r="G2875" s="2" t="str">
        <f>HYPERLINK("https://probpalata.gov.ru/files/ИП390303801500000.jpeg","Скачать индивидуальный QR-код магазина")</f>
        <v>Скачать индивидуальный QR-код магазина</v>
      </c>
    </row>
    <row r="2876" spans="1:7" x14ac:dyDescent="0.25">
      <c r="A2876" t="s">
        <v>8050</v>
      </c>
      <c r="B2876" t="s">
        <v>8967</v>
      </c>
      <c r="C2876" t="s">
        <v>9102</v>
      </c>
      <c r="D2876" t="s">
        <v>9103</v>
      </c>
      <c r="E2876" t="s">
        <v>9104</v>
      </c>
      <c r="F2876" t="s">
        <v>9105</v>
      </c>
      <c r="G2876" s="2" t="str">
        <f>HYPERLINK("https://probpalata.gov.ru/files/ИП390300810500000.jpeg","Скачать индивидуальный QR-код магазина")</f>
        <v>Скачать индивидуальный QR-код магазина</v>
      </c>
    </row>
    <row r="2877" spans="1:7" x14ac:dyDescent="0.25">
      <c r="A2877" t="s">
        <v>8050</v>
      </c>
      <c r="B2877" t="s">
        <v>9106</v>
      </c>
      <c r="C2877" t="s">
        <v>9107</v>
      </c>
      <c r="D2877" t="s">
        <v>9108</v>
      </c>
      <c r="E2877" t="s">
        <v>9109</v>
      </c>
      <c r="F2877" t="s">
        <v>9110</v>
      </c>
      <c r="G2877" s="2" t="str">
        <f>HYPERLINK("https://probpalata.gov.ru/files/ИП390303881700000.jpeg","Скачать индивидуальный QR-код магазина")</f>
        <v>Скачать индивидуальный QR-код магазина</v>
      </c>
    </row>
    <row r="2878" spans="1:7" x14ac:dyDescent="0.25">
      <c r="A2878" t="s">
        <v>8050</v>
      </c>
      <c r="B2878" t="s">
        <v>9111</v>
      </c>
      <c r="C2878" t="s">
        <v>9112</v>
      </c>
      <c r="D2878" t="s">
        <v>9113</v>
      </c>
      <c r="E2878" t="s">
        <v>9114</v>
      </c>
      <c r="F2878" t="s">
        <v>9115</v>
      </c>
      <c r="G2878" s="2" t="str">
        <f>HYPERLINK("https://probpalata.gov.ru/files/ИП390301862100000.jpeg","Скачать индивидуальный QR-код магазина")</f>
        <v>Скачать индивидуальный QR-код магазина</v>
      </c>
    </row>
    <row r="2879" spans="1:7" x14ac:dyDescent="0.25">
      <c r="A2879" t="s">
        <v>8050</v>
      </c>
      <c r="B2879" t="s">
        <v>9116</v>
      </c>
      <c r="C2879" t="s">
        <v>9117</v>
      </c>
      <c r="D2879" t="s">
        <v>9118</v>
      </c>
      <c r="E2879" t="s">
        <v>9119</v>
      </c>
      <c r="F2879" t="s">
        <v>9120</v>
      </c>
      <c r="G2879" s="2" t="str">
        <f>HYPERLINK("https://probpalata.gov.ru/files/ИП390303826900000.jpeg","Скачать индивидуальный QR-код магазина")</f>
        <v>Скачать индивидуальный QR-код магазина</v>
      </c>
    </row>
    <row r="2880" spans="1:7" x14ac:dyDescent="0.25">
      <c r="A2880" t="s">
        <v>8050</v>
      </c>
      <c r="B2880" t="s">
        <v>9041</v>
      </c>
      <c r="C2880" t="s">
        <v>9121</v>
      </c>
      <c r="D2880" t="s">
        <v>9122</v>
      </c>
      <c r="E2880" t="s">
        <v>9123</v>
      </c>
      <c r="F2880" t="s">
        <v>9124</v>
      </c>
      <c r="G2880" s="2" t="str">
        <f>HYPERLINK("https://probpalata.gov.ru/files/ИП390303836800000.jpeg","Скачать индивидуальный QR-код магазина")</f>
        <v>Скачать индивидуальный QR-код магазина</v>
      </c>
    </row>
    <row r="2881" spans="1:7" x14ac:dyDescent="0.25">
      <c r="A2881" t="s">
        <v>8050</v>
      </c>
      <c r="B2881" t="s">
        <v>9125</v>
      </c>
      <c r="C2881" t="s">
        <v>9126</v>
      </c>
      <c r="D2881" t="s">
        <v>9127</v>
      </c>
      <c r="E2881" t="s">
        <v>9128</v>
      </c>
      <c r="F2881" t="s">
        <v>9129</v>
      </c>
      <c r="G2881" s="2" t="str">
        <f>HYPERLINK("https://probpalata.gov.ru/files/ИП390303830400000.jpeg","Скачать индивидуальный QR-код магазина")</f>
        <v>Скачать индивидуальный QR-код магазина</v>
      </c>
    </row>
    <row r="2882" spans="1:7" x14ac:dyDescent="0.25">
      <c r="A2882" t="s">
        <v>8050</v>
      </c>
      <c r="B2882" t="s">
        <v>9130</v>
      </c>
      <c r="C2882" t="s">
        <v>9126</v>
      </c>
      <c r="D2882" t="s">
        <v>9127</v>
      </c>
      <c r="E2882" t="s">
        <v>9128</v>
      </c>
      <c r="F2882" t="s">
        <v>9131</v>
      </c>
      <c r="G2882" s="2" t="str">
        <f>HYPERLINK("https://probpalata.gov.ru/files/ИП390303830400002.jpeg","Скачать индивидуальный QR-код магазина")</f>
        <v>Скачать индивидуальный QR-код магазина</v>
      </c>
    </row>
    <row r="2883" spans="1:7" x14ac:dyDescent="0.25">
      <c r="A2883" t="s">
        <v>8050</v>
      </c>
      <c r="B2883" t="s">
        <v>9132</v>
      </c>
      <c r="C2883" t="s">
        <v>9133</v>
      </c>
      <c r="D2883" t="s">
        <v>9134</v>
      </c>
      <c r="E2883" t="s">
        <v>9135</v>
      </c>
      <c r="F2883" t="s">
        <v>9136</v>
      </c>
      <c r="G2883" s="2" t="str">
        <f>HYPERLINK("https://probpalata.gov.ru/files/ЮЛ390300979800000.jpeg","Скачать индивидуальный QR-код магазина")</f>
        <v>Скачать индивидуальный QR-код магазина</v>
      </c>
    </row>
    <row r="2884" spans="1:7" x14ac:dyDescent="0.25">
      <c r="A2884" t="s">
        <v>8050</v>
      </c>
      <c r="B2884" t="s">
        <v>9137</v>
      </c>
      <c r="C2884" t="s">
        <v>9138</v>
      </c>
      <c r="D2884" t="s">
        <v>9139</v>
      </c>
      <c r="E2884" t="s">
        <v>9140</v>
      </c>
      <c r="F2884" t="s">
        <v>9141</v>
      </c>
      <c r="G2884" s="2" t="str">
        <f>HYPERLINK("https://probpalata.gov.ru/files/ЮЛ390300181000002.jpeg","Скачать индивидуальный QR-код магазина")</f>
        <v>Скачать индивидуальный QR-код магазина</v>
      </c>
    </row>
    <row r="2885" spans="1:7" x14ac:dyDescent="0.25">
      <c r="A2885" t="s">
        <v>8050</v>
      </c>
      <c r="B2885" t="s">
        <v>9142</v>
      </c>
      <c r="C2885" t="s">
        <v>9138</v>
      </c>
      <c r="D2885" t="s">
        <v>9139</v>
      </c>
      <c r="E2885" t="s">
        <v>9140</v>
      </c>
      <c r="F2885" t="s">
        <v>9143</v>
      </c>
      <c r="G2885" s="2" t="str">
        <f>HYPERLINK("https://probpalata.gov.ru/files/ЮЛ390300181000003.jpeg","Скачать индивидуальный QR-код магазина")</f>
        <v>Скачать индивидуальный QR-код магазина</v>
      </c>
    </row>
    <row r="2886" spans="1:7" x14ac:dyDescent="0.25">
      <c r="A2886" t="s">
        <v>8050</v>
      </c>
      <c r="B2886" t="s">
        <v>9144</v>
      </c>
      <c r="C2886" t="s">
        <v>9145</v>
      </c>
      <c r="D2886" t="s">
        <v>9146</v>
      </c>
      <c r="E2886" t="s">
        <v>9147</v>
      </c>
      <c r="F2886" t="s">
        <v>9148</v>
      </c>
      <c r="G2886" s="2" t="str">
        <f>HYPERLINK("https://probpalata.gov.ru/files/ИП390300989400000.jpeg","Скачать индивидуальный QR-код магазина")</f>
        <v>Скачать индивидуальный QR-код магазина</v>
      </c>
    </row>
    <row r="2887" spans="1:7" x14ac:dyDescent="0.25">
      <c r="A2887" t="s">
        <v>8050</v>
      </c>
      <c r="B2887" t="s">
        <v>9149</v>
      </c>
      <c r="C2887" t="s">
        <v>9145</v>
      </c>
      <c r="D2887" t="s">
        <v>9146</v>
      </c>
      <c r="E2887" t="s">
        <v>9147</v>
      </c>
      <c r="F2887" t="s">
        <v>9150</v>
      </c>
      <c r="G2887" s="2" t="str">
        <f>HYPERLINK("https://probpalata.gov.ru/files/ИП390300989400001.jpeg","Скачать индивидуальный QR-код магазина")</f>
        <v>Скачать индивидуальный QR-код магазина</v>
      </c>
    </row>
    <row r="2888" spans="1:7" x14ac:dyDescent="0.25">
      <c r="A2888" t="s">
        <v>8050</v>
      </c>
      <c r="B2888" t="s">
        <v>9151</v>
      </c>
      <c r="C2888" t="s">
        <v>9145</v>
      </c>
      <c r="D2888" t="s">
        <v>9146</v>
      </c>
      <c r="E2888" t="s">
        <v>9147</v>
      </c>
      <c r="F2888" t="s">
        <v>9152</v>
      </c>
      <c r="G2888" s="2" t="str">
        <f>HYPERLINK("https://probpalata.gov.ru/files/ИП390300989400002.jpeg","Скачать индивидуальный QR-код магазина")</f>
        <v>Скачать индивидуальный QR-код магазина</v>
      </c>
    </row>
    <row r="2889" spans="1:7" x14ac:dyDescent="0.25">
      <c r="A2889" t="s">
        <v>8050</v>
      </c>
      <c r="B2889" t="s">
        <v>9153</v>
      </c>
      <c r="C2889" t="s">
        <v>9145</v>
      </c>
      <c r="D2889" t="s">
        <v>9146</v>
      </c>
      <c r="E2889" t="s">
        <v>9147</v>
      </c>
      <c r="F2889" t="s">
        <v>9154</v>
      </c>
      <c r="G2889" s="2" t="str">
        <f>HYPERLINK("https://probpalata.gov.ru/files/ИП390300989400003.jpeg","Скачать индивидуальный QR-код магазина")</f>
        <v>Скачать индивидуальный QR-код магазина</v>
      </c>
    </row>
    <row r="2890" spans="1:7" x14ac:dyDescent="0.25">
      <c r="A2890" t="s">
        <v>8050</v>
      </c>
      <c r="B2890" t="s">
        <v>9155</v>
      </c>
      <c r="C2890" t="s">
        <v>9145</v>
      </c>
      <c r="D2890" t="s">
        <v>9146</v>
      </c>
      <c r="E2890" t="s">
        <v>9147</v>
      </c>
      <c r="F2890" t="s">
        <v>9156</v>
      </c>
      <c r="G2890" s="2" t="str">
        <f>HYPERLINK("https://probpalata.gov.ru/files/ИП390300989400006.jpeg","Скачать индивидуальный QR-код магазина")</f>
        <v>Скачать индивидуальный QR-код магазина</v>
      </c>
    </row>
    <row r="2891" spans="1:7" x14ac:dyDescent="0.25">
      <c r="A2891" t="s">
        <v>8050</v>
      </c>
      <c r="B2891" t="s">
        <v>9157</v>
      </c>
      <c r="C2891" t="s">
        <v>9145</v>
      </c>
      <c r="D2891" t="s">
        <v>9146</v>
      </c>
      <c r="E2891" t="s">
        <v>9147</v>
      </c>
      <c r="F2891" t="s">
        <v>9158</v>
      </c>
      <c r="G2891" s="2" t="str">
        <f>HYPERLINK("https://probpalata.gov.ru/files/ИП390300989400007.jpeg","Скачать индивидуальный QR-код магазина")</f>
        <v>Скачать индивидуальный QR-код магазина</v>
      </c>
    </row>
    <row r="2892" spans="1:7" x14ac:dyDescent="0.25">
      <c r="A2892" t="s">
        <v>8050</v>
      </c>
      <c r="B2892" t="s">
        <v>9159</v>
      </c>
      <c r="C2892" t="s">
        <v>9145</v>
      </c>
      <c r="D2892" t="s">
        <v>9146</v>
      </c>
      <c r="E2892" t="s">
        <v>9147</v>
      </c>
      <c r="F2892" t="s">
        <v>9160</v>
      </c>
      <c r="G2892" s="2" t="str">
        <f>HYPERLINK("https://probpalata.gov.ru/files/ИП390300989400008.jpeg","Скачать индивидуальный QR-код магазина")</f>
        <v>Скачать индивидуальный QR-код магазина</v>
      </c>
    </row>
    <row r="2893" spans="1:7" x14ac:dyDescent="0.25">
      <c r="A2893" t="s">
        <v>8050</v>
      </c>
      <c r="B2893" t="s">
        <v>9161</v>
      </c>
      <c r="C2893" t="s">
        <v>9145</v>
      </c>
      <c r="D2893" t="s">
        <v>9146</v>
      </c>
      <c r="E2893" t="s">
        <v>9147</v>
      </c>
      <c r="F2893" t="s">
        <v>9162</v>
      </c>
      <c r="G2893" s="2" t="str">
        <f>HYPERLINK("https://probpalata.gov.ru/files/ИП390300989400010.jpeg","Скачать индивидуальный QR-код магазина")</f>
        <v>Скачать индивидуальный QR-код магазина</v>
      </c>
    </row>
    <row r="2894" spans="1:7" x14ac:dyDescent="0.25">
      <c r="A2894" t="s">
        <v>8050</v>
      </c>
      <c r="B2894" t="s">
        <v>8568</v>
      </c>
      <c r="C2894" t="s">
        <v>9163</v>
      </c>
      <c r="D2894" t="s">
        <v>9164</v>
      </c>
      <c r="E2894" t="s">
        <v>9165</v>
      </c>
      <c r="F2894" t="s">
        <v>9166</v>
      </c>
      <c r="G2894" s="2" t="str">
        <f>HYPERLINK("https://probpalata.gov.ru/files/ИП390301840800001.jpeg","Скачать индивидуальный QR-код магазина")</f>
        <v>Скачать индивидуальный QR-код магазина</v>
      </c>
    </row>
    <row r="2895" spans="1:7" x14ac:dyDescent="0.25">
      <c r="A2895" t="s">
        <v>8050</v>
      </c>
      <c r="B2895" t="s">
        <v>9167</v>
      </c>
      <c r="C2895" t="s">
        <v>9168</v>
      </c>
      <c r="D2895" t="s">
        <v>9169</v>
      </c>
      <c r="E2895" t="s">
        <v>9170</v>
      </c>
      <c r="F2895" t="s">
        <v>9171</v>
      </c>
      <c r="G2895" s="2" t="str">
        <f>HYPERLINK("https://probpalata.gov.ru/files/ИП390301678500000.jpeg","Скачать индивидуальный QR-код магазина")</f>
        <v>Скачать индивидуальный QR-код магазина</v>
      </c>
    </row>
    <row r="2896" spans="1:7" x14ac:dyDescent="0.25">
      <c r="A2896" t="s">
        <v>8050</v>
      </c>
      <c r="B2896" t="s">
        <v>9172</v>
      </c>
      <c r="C2896" t="s">
        <v>9173</v>
      </c>
      <c r="D2896" t="s">
        <v>9174</v>
      </c>
      <c r="E2896" t="s">
        <v>9175</v>
      </c>
      <c r="F2896" t="s">
        <v>9176</v>
      </c>
      <c r="G2896" s="2" t="str">
        <f>HYPERLINK("https://probpalata.gov.ru/files/ЮЛ390301505800000.jpeg","Скачать индивидуальный QR-код магазина")</f>
        <v>Скачать индивидуальный QR-код магазина</v>
      </c>
    </row>
    <row r="2897" spans="1:7" x14ac:dyDescent="0.25">
      <c r="A2897" t="s">
        <v>8050</v>
      </c>
      <c r="B2897" t="s">
        <v>9177</v>
      </c>
      <c r="C2897" t="s">
        <v>9178</v>
      </c>
      <c r="D2897" t="s">
        <v>9179</v>
      </c>
      <c r="E2897" t="s">
        <v>9180</v>
      </c>
      <c r="F2897" t="s">
        <v>9181</v>
      </c>
      <c r="G2897" s="2" t="str">
        <f>HYPERLINK("https://probpalata.gov.ru/files/ЮЛ390301566300000.jpeg","Скачать индивидуальный QR-код магазина")</f>
        <v>Скачать индивидуальный QR-код магазина</v>
      </c>
    </row>
    <row r="2898" spans="1:7" x14ac:dyDescent="0.25">
      <c r="A2898" t="s">
        <v>8050</v>
      </c>
      <c r="B2898" t="s">
        <v>9182</v>
      </c>
      <c r="C2898" t="s">
        <v>9183</v>
      </c>
      <c r="D2898" t="s">
        <v>9184</v>
      </c>
      <c r="E2898" t="s">
        <v>9185</v>
      </c>
      <c r="F2898" t="s">
        <v>9186</v>
      </c>
      <c r="G2898" s="2" t="str">
        <f>HYPERLINK("https://probpalata.gov.ru/files/ИП390300188400000.jpeg","Скачать индивидуальный QR-код магазина")</f>
        <v>Скачать индивидуальный QR-код магазина</v>
      </c>
    </row>
    <row r="2899" spans="1:7" x14ac:dyDescent="0.25">
      <c r="A2899" t="s">
        <v>8050</v>
      </c>
      <c r="B2899" t="s">
        <v>8087</v>
      </c>
      <c r="C2899" t="s">
        <v>9183</v>
      </c>
      <c r="D2899" t="s">
        <v>9184</v>
      </c>
      <c r="E2899" t="s">
        <v>9185</v>
      </c>
      <c r="F2899" t="s">
        <v>9187</v>
      </c>
      <c r="G2899" s="2" t="str">
        <f>HYPERLINK("https://probpalata.gov.ru/files/ИП390300188400002.jpeg","Скачать индивидуальный QR-код магазина")</f>
        <v>Скачать индивидуальный QR-код магазина</v>
      </c>
    </row>
    <row r="2900" spans="1:7" x14ac:dyDescent="0.25">
      <c r="A2900" t="s">
        <v>8050</v>
      </c>
      <c r="B2900" t="s">
        <v>8089</v>
      </c>
      <c r="C2900" t="s">
        <v>9183</v>
      </c>
      <c r="D2900" t="s">
        <v>9184</v>
      </c>
      <c r="E2900" t="s">
        <v>9185</v>
      </c>
      <c r="F2900" t="s">
        <v>9188</v>
      </c>
      <c r="G2900" s="2" t="str">
        <f>HYPERLINK("https://probpalata.gov.ru/files/ИП390300188400003.jpeg","Скачать индивидуальный QR-код магазина")</f>
        <v>Скачать индивидуальный QR-код магазина</v>
      </c>
    </row>
    <row r="2901" spans="1:7" x14ac:dyDescent="0.25">
      <c r="A2901" t="s">
        <v>8050</v>
      </c>
      <c r="B2901" t="s">
        <v>9189</v>
      </c>
      <c r="C2901" t="s">
        <v>9190</v>
      </c>
      <c r="D2901" t="s">
        <v>9191</v>
      </c>
      <c r="E2901" t="s">
        <v>9192</v>
      </c>
      <c r="F2901" t="s">
        <v>9193</v>
      </c>
      <c r="G2901" s="2" t="str">
        <f>HYPERLINK("https://probpalata.gov.ru/files/ИП390300062100001.jpeg","Скачать индивидуальный QR-код магазина")</f>
        <v>Скачать индивидуальный QR-код магазина</v>
      </c>
    </row>
    <row r="2902" spans="1:7" x14ac:dyDescent="0.25">
      <c r="A2902" t="s">
        <v>8050</v>
      </c>
      <c r="B2902" t="s">
        <v>9194</v>
      </c>
      <c r="C2902" t="s">
        <v>9195</v>
      </c>
      <c r="D2902" t="s">
        <v>9196</v>
      </c>
      <c r="E2902" t="s">
        <v>9197</v>
      </c>
      <c r="F2902" t="s">
        <v>9198</v>
      </c>
      <c r="G2902" s="2" t="str">
        <f>HYPERLINK("https://probpalata.gov.ru/files/ИП390300994700000.jpeg","Скачать индивидуальный QR-код магазина")</f>
        <v>Скачать индивидуальный QR-код магазина</v>
      </c>
    </row>
    <row r="2903" spans="1:7" x14ac:dyDescent="0.25">
      <c r="A2903" t="s">
        <v>8050</v>
      </c>
      <c r="B2903" t="s">
        <v>9199</v>
      </c>
      <c r="C2903" t="s">
        <v>9200</v>
      </c>
      <c r="D2903" t="s">
        <v>9201</v>
      </c>
      <c r="E2903" t="s">
        <v>9202</v>
      </c>
      <c r="F2903" t="s">
        <v>9203</v>
      </c>
      <c r="G2903" s="2" t="str">
        <f>HYPERLINK("https://probpalata.gov.ru/files/ИП390300292600000.jpeg","Скачать индивидуальный QR-код магазина")</f>
        <v>Скачать индивидуальный QR-код магазина</v>
      </c>
    </row>
    <row r="2904" spans="1:7" x14ac:dyDescent="0.25">
      <c r="A2904" t="s">
        <v>8050</v>
      </c>
      <c r="B2904" t="s">
        <v>9204</v>
      </c>
      <c r="C2904" t="s">
        <v>9205</v>
      </c>
      <c r="D2904" t="s">
        <v>9206</v>
      </c>
      <c r="E2904" t="s">
        <v>9207</v>
      </c>
      <c r="F2904" t="s">
        <v>9208</v>
      </c>
      <c r="G2904" s="2" t="str">
        <f>HYPERLINK("https://probpalata.gov.ru/files/ИП390303730400000.jpeg","Скачать индивидуальный QR-код магазина")</f>
        <v>Скачать индивидуальный QR-код магазина</v>
      </c>
    </row>
    <row r="2905" spans="1:7" x14ac:dyDescent="0.25">
      <c r="A2905" t="s">
        <v>8050</v>
      </c>
      <c r="B2905" t="s">
        <v>9209</v>
      </c>
      <c r="C2905" t="s">
        <v>9210</v>
      </c>
      <c r="D2905" t="s">
        <v>9211</v>
      </c>
      <c r="E2905" t="s">
        <v>9212</v>
      </c>
      <c r="F2905" t="s">
        <v>9213</v>
      </c>
      <c r="G2905" s="2" t="str">
        <f>HYPERLINK("https://probpalata.gov.ru/files/ИП390301170700000.jpeg","Скачать индивидуальный QR-код магазина")</f>
        <v>Скачать индивидуальный QR-код магазина</v>
      </c>
    </row>
    <row r="2906" spans="1:7" x14ac:dyDescent="0.25">
      <c r="A2906" t="s">
        <v>8050</v>
      </c>
      <c r="B2906" t="s">
        <v>9214</v>
      </c>
      <c r="C2906" t="s">
        <v>9210</v>
      </c>
      <c r="D2906" t="s">
        <v>9211</v>
      </c>
      <c r="E2906" t="s">
        <v>9212</v>
      </c>
      <c r="F2906" t="s">
        <v>9215</v>
      </c>
      <c r="G2906" s="2" t="str">
        <f>HYPERLINK("https://probpalata.gov.ru/files/ИП390301170700002.jpeg","Скачать индивидуальный QR-код магазина")</f>
        <v>Скачать индивидуальный QR-код магазина</v>
      </c>
    </row>
    <row r="2907" spans="1:7" x14ac:dyDescent="0.25">
      <c r="A2907" t="s">
        <v>8050</v>
      </c>
      <c r="B2907" t="s">
        <v>9216</v>
      </c>
      <c r="C2907" t="s">
        <v>9210</v>
      </c>
      <c r="D2907" t="s">
        <v>9211</v>
      </c>
      <c r="E2907" t="s">
        <v>9212</v>
      </c>
      <c r="F2907" t="s">
        <v>9217</v>
      </c>
      <c r="G2907" s="2" t="str">
        <f>HYPERLINK("https://probpalata.gov.ru/files/ИП390301170700003.jpeg","Скачать индивидуальный QR-код магазина")</f>
        <v>Скачать индивидуальный QR-код магазина</v>
      </c>
    </row>
    <row r="2908" spans="1:7" x14ac:dyDescent="0.25">
      <c r="A2908" t="s">
        <v>8050</v>
      </c>
      <c r="B2908" t="s">
        <v>9218</v>
      </c>
      <c r="C2908" t="s">
        <v>9210</v>
      </c>
      <c r="D2908" t="s">
        <v>9211</v>
      </c>
      <c r="E2908" t="s">
        <v>9212</v>
      </c>
      <c r="F2908" t="s">
        <v>9219</v>
      </c>
      <c r="G2908" s="2" t="str">
        <f>HYPERLINK("https://probpalata.gov.ru/files/ИП390301170700004.jpeg","Скачать индивидуальный QR-код магазина")</f>
        <v>Скачать индивидуальный QR-код магазина</v>
      </c>
    </row>
    <row r="2909" spans="1:7" x14ac:dyDescent="0.25">
      <c r="A2909" t="s">
        <v>8050</v>
      </c>
      <c r="B2909" t="s">
        <v>9220</v>
      </c>
      <c r="C2909" t="s">
        <v>9221</v>
      </c>
      <c r="D2909" t="s">
        <v>9222</v>
      </c>
      <c r="E2909" t="s">
        <v>9223</v>
      </c>
      <c r="F2909" t="s">
        <v>9224</v>
      </c>
      <c r="G2909" s="2" t="str">
        <f>HYPERLINK("https://probpalata.gov.ru/files/ИП390300881800000.jpeg","Скачать индивидуальный QR-код магазина")</f>
        <v>Скачать индивидуальный QR-код магазина</v>
      </c>
    </row>
    <row r="2910" spans="1:7" x14ac:dyDescent="0.25">
      <c r="A2910" t="s">
        <v>8050</v>
      </c>
      <c r="B2910" t="s">
        <v>9225</v>
      </c>
      <c r="C2910" t="s">
        <v>9226</v>
      </c>
      <c r="D2910" t="s">
        <v>9227</v>
      </c>
      <c r="E2910" t="s">
        <v>9228</v>
      </c>
      <c r="F2910" t="s">
        <v>9229</v>
      </c>
      <c r="G2910" s="2" t="str">
        <f>HYPERLINK("https://probpalata.gov.ru/files/ИП390301221900000.jpeg","Скачать индивидуальный QR-код магазина")</f>
        <v>Скачать индивидуальный QR-код магазина</v>
      </c>
    </row>
    <row r="2911" spans="1:7" x14ac:dyDescent="0.25">
      <c r="A2911" t="s">
        <v>8050</v>
      </c>
      <c r="B2911" t="s">
        <v>9230</v>
      </c>
      <c r="C2911" t="s">
        <v>9231</v>
      </c>
      <c r="D2911" t="s">
        <v>9232</v>
      </c>
      <c r="E2911" t="s">
        <v>9233</v>
      </c>
      <c r="F2911" t="s">
        <v>9234</v>
      </c>
      <c r="G2911" s="2" t="str">
        <f>HYPERLINK("https://probpalata.gov.ru/files/ИП390303959200000.jpeg","Скачать индивидуальный QR-код магазина")</f>
        <v>Скачать индивидуальный QR-код магазина</v>
      </c>
    </row>
    <row r="2912" spans="1:7" x14ac:dyDescent="0.25">
      <c r="A2912" t="s">
        <v>8050</v>
      </c>
      <c r="B2912" t="s">
        <v>9225</v>
      </c>
      <c r="C2912" t="s">
        <v>9235</v>
      </c>
      <c r="D2912" t="s">
        <v>9236</v>
      </c>
      <c r="E2912" t="s">
        <v>9237</v>
      </c>
      <c r="F2912" t="s">
        <v>9238</v>
      </c>
      <c r="G2912" s="2" t="str">
        <f>HYPERLINK("https://probpalata.gov.ru/files/ИП390303753600001.jpeg","Скачать индивидуальный QR-код магазина")</f>
        <v>Скачать индивидуальный QR-код магазина</v>
      </c>
    </row>
    <row r="2913" spans="1:7" x14ac:dyDescent="0.25">
      <c r="A2913" t="s">
        <v>8050</v>
      </c>
      <c r="B2913" t="s">
        <v>9239</v>
      </c>
      <c r="C2913" t="s">
        <v>9240</v>
      </c>
      <c r="D2913" t="s">
        <v>9241</v>
      </c>
      <c r="E2913" t="s">
        <v>9242</v>
      </c>
      <c r="F2913" t="s">
        <v>9243</v>
      </c>
      <c r="G2913" s="2" t="str">
        <f>HYPERLINK("https://probpalata.gov.ru/files/ИП390301071500000.jpeg","Скачать индивидуальный QR-код магазина")</f>
        <v>Скачать индивидуальный QR-код магазина</v>
      </c>
    </row>
    <row r="2914" spans="1:7" x14ac:dyDescent="0.25">
      <c r="A2914" t="s">
        <v>8050</v>
      </c>
      <c r="B2914" t="s">
        <v>9244</v>
      </c>
      <c r="C2914" t="s">
        <v>9240</v>
      </c>
      <c r="D2914" t="s">
        <v>9241</v>
      </c>
      <c r="E2914" t="s">
        <v>9242</v>
      </c>
      <c r="F2914" t="s">
        <v>9245</v>
      </c>
      <c r="G2914" s="2" t="str">
        <f>HYPERLINK("https://probpalata.gov.ru/files/ИП390301071500001.jpeg","Скачать индивидуальный QR-код магазина")</f>
        <v>Скачать индивидуальный QR-код магазина</v>
      </c>
    </row>
    <row r="2915" spans="1:7" x14ac:dyDescent="0.25">
      <c r="A2915" t="s">
        <v>8050</v>
      </c>
      <c r="B2915" t="s">
        <v>9246</v>
      </c>
      <c r="C2915" t="s">
        <v>9240</v>
      </c>
      <c r="D2915" t="s">
        <v>9241</v>
      </c>
      <c r="E2915" t="s">
        <v>9242</v>
      </c>
      <c r="F2915" t="s">
        <v>9247</v>
      </c>
      <c r="G2915" s="2" t="str">
        <f>HYPERLINK("https://probpalata.gov.ru/files/ИП390301071500004.jpeg","Скачать индивидуальный QR-код магазина")</f>
        <v>Скачать индивидуальный QR-код магазина</v>
      </c>
    </row>
    <row r="2916" spans="1:7" x14ac:dyDescent="0.25">
      <c r="A2916" t="s">
        <v>8050</v>
      </c>
      <c r="B2916" t="s">
        <v>9248</v>
      </c>
      <c r="C2916" t="s">
        <v>9240</v>
      </c>
      <c r="D2916" t="s">
        <v>9241</v>
      </c>
      <c r="E2916" t="s">
        <v>9242</v>
      </c>
      <c r="F2916" t="s">
        <v>9249</v>
      </c>
      <c r="G2916" s="2" t="str">
        <f>HYPERLINK("https://probpalata.gov.ru/files/ИП390301071500005.jpeg","Скачать индивидуальный QR-код магазина")</f>
        <v>Скачать индивидуальный QR-код магазина</v>
      </c>
    </row>
    <row r="2917" spans="1:7" x14ac:dyDescent="0.25">
      <c r="A2917" t="s">
        <v>8050</v>
      </c>
      <c r="B2917" t="s">
        <v>9250</v>
      </c>
      <c r="C2917" t="s">
        <v>9251</v>
      </c>
      <c r="D2917" t="s">
        <v>9252</v>
      </c>
      <c r="E2917" t="s">
        <v>9253</v>
      </c>
      <c r="F2917" t="s">
        <v>9254</v>
      </c>
      <c r="G2917" s="2" t="str">
        <f>HYPERLINK("https://probpalata.gov.ru/files/ИП390304069800000.jpeg","Скачать индивидуальный QR-код магазина")</f>
        <v>Скачать индивидуальный QR-код магазина</v>
      </c>
    </row>
    <row r="2918" spans="1:7" x14ac:dyDescent="0.25">
      <c r="A2918" t="s">
        <v>8050</v>
      </c>
      <c r="B2918" t="s">
        <v>9255</v>
      </c>
      <c r="C2918" t="s">
        <v>9256</v>
      </c>
      <c r="D2918" t="s">
        <v>9257</v>
      </c>
      <c r="E2918" t="s">
        <v>9258</v>
      </c>
      <c r="F2918" t="s">
        <v>9259</v>
      </c>
      <c r="G2918" s="2" t="str">
        <f>HYPERLINK("https://probpalata.gov.ru/files/ИП390303230900000.jpeg","Скачать индивидуальный QR-код магазина")</f>
        <v>Скачать индивидуальный QR-код магазина</v>
      </c>
    </row>
    <row r="2919" spans="1:7" x14ac:dyDescent="0.25">
      <c r="A2919" t="s">
        <v>8050</v>
      </c>
      <c r="B2919" t="s">
        <v>9260</v>
      </c>
      <c r="C2919" t="s">
        <v>9261</v>
      </c>
      <c r="D2919" t="s">
        <v>9262</v>
      </c>
      <c r="E2919" t="s">
        <v>9263</v>
      </c>
      <c r="F2919" t="s">
        <v>9264</v>
      </c>
      <c r="G2919" s="2" t="str">
        <f>HYPERLINK("https://probpalata.gov.ru/files/ИП390301033700000.jpeg","Скачать индивидуальный QR-код магазина")</f>
        <v>Скачать индивидуальный QR-код магазина</v>
      </c>
    </row>
    <row r="2920" spans="1:7" x14ac:dyDescent="0.25">
      <c r="A2920" t="s">
        <v>8050</v>
      </c>
      <c r="B2920" t="s">
        <v>9265</v>
      </c>
      <c r="C2920" t="s">
        <v>9261</v>
      </c>
      <c r="D2920" t="s">
        <v>9262</v>
      </c>
      <c r="E2920" t="s">
        <v>9263</v>
      </c>
      <c r="F2920" t="s">
        <v>9266</v>
      </c>
      <c r="G2920" s="2" t="str">
        <f>HYPERLINK("https://probpalata.gov.ru/files/ИП390301033700003.jpeg","Скачать индивидуальный QR-код магазина")</f>
        <v>Скачать индивидуальный QR-код магазина</v>
      </c>
    </row>
    <row r="2921" spans="1:7" x14ac:dyDescent="0.25">
      <c r="A2921" t="s">
        <v>8050</v>
      </c>
      <c r="B2921" t="s">
        <v>9267</v>
      </c>
      <c r="C2921" t="s">
        <v>9268</v>
      </c>
      <c r="D2921" t="s">
        <v>9269</v>
      </c>
      <c r="E2921" t="s">
        <v>9270</v>
      </c>
      <c r="F2921" t="s">
        <v>9271</v>
      </c>
      <c r="G2921" s="2" t="str">
        <f>HYPERLINK("https://probpalata.gov.ru/files/ИП390301490100000.jpeg","Скачать индивидуальный QR-код магазина")</f>
        <v>Скачать индивидуальный QR-код магазина</v>
      </c>
    </row>
    <row r="2922" spans="1:7" x14ac:dyDescent="0.25">
      <c r="A2922" t="s">
        <v>8050</v>
      </c>
      <c r="B2922" t="s">
        <v>9272</v>
      </c>
      <c r="C2922" t="s">
        <v>9273</v>
      </c>
      <c r="D2922" t="s">
        <v>9274</v>
      </c>
      <c r="E2922" t="s">
        <v>9275</v>
      </c>
      <c r="F2922" t="s">
        <v>9276</v>
      </c>
      <c r="G2922" s="2" t="str">
        <f>HYPERLINK("https://probpalata.gov.ru/files/ИП390303697000000.jpeg","Скачать индивидуальный QR-код магазина")</f>
        <v>Скачать индивидуальный QR-код магазина</v>
      </c>
    </row>
    <row r="2923" spans="1:7" x14ac:dyDescent="0.25">
      <c r="A2923" t="s">
        <v>8050</v>
      </c>
      <c r="B2923" t="s">
        <v>8992</v>
      </c>
      <c r="C2923" t="s">
        <v>9277</v>
      </c>
      <c r="D2923" t="s">
        <v>9278</v>
      </c>
      <c r="E2923" t="s">
        <v>9279</v>
      </c>
      <c r="F2923" t="s">
        <v>9280</v>
      </c>
      <c r="G2923" s="2" t="str">
        <f>HYPERLINK("https://probpalata.gov.ru/files/ИП390301072400000.jpeg","Скачать индивидуальный QR-код магазина")</f>
        <v>Скачать индивидуальный QR-код магазина</v>
      </c>
    </row>
    <row r="2924" spans="1:7" x14ac:dyDescent="0.25">
      <c r="A2924" t="s">
        <v>8050</v>
      </c>
      <c r="B2924" t="s">
        <v>9281</v>
      </c>
      <c r="C2924" t="s">
        <v>9282</v>
      </c>
      <c r="D2924" t="s">
        <v>9283</v>
      </c>
      <c r="E2924" t="s">
        <v>9284</v>
      </c>
      <c r="F2924" t="s">
        <v>9285</v>
      </c>
      <c r="G2924" s="2" t="str">
        <f>HYPERLINK("https://probpalata.gov.ru/files/ИП390300903800000.jpeg","Скачать индивидуальный QR-код магазина")</f>
        <v>Скачать индивидуальный QR-код магазина</v>
      </c>
    </row>
    <row r="2925" spans="1:7" x14ac:dyDescent="0.25">
      <c r="A2925" t="s">
        <v>8050</v>
      </c>
      <c r="B2925" t="s">
        <v>9286</v>
      </c>
      <c r="C2925" t="s">
        <v>9282</v>
      </c>
      <c r="D2925" t="s">
        <v>9283</v>
      </c>
      <c r="E2925" t="s">
        <v>9284</v>
      </c>
      <c r="F2925" t="s">
        <v>9287</v>
      </c>
      <c r="G2925" s="2" t="str">
        <f>HYPERLINK("https://probpalata.gov.ru/files/ИП390300903800001.jpeg","Скачать индивидуальный QR-код магазина")</f>
        <v>Скачать индивидуальный QR-код магазина</v>
      </c>
    </row>
    <row r="2926" spans="1:7" x14ac:dyDescent="0.25">
      <c r="A2926" t="s">
        <v>8050</v>
      </c>
      <c r="B2926" t="s">
        <v>9288</v>
      </c>
      <c r="C2926" t="s">
        <v>9282</v>
      </c>
      <c r="D2926" t="s">
        <v>9283</v>
      </c>
      <c r="E2926" t="s">
        <v>9284</v>
      </c>
      <c r="F2926" t="s">
        <v>9289</v>
      </c>
      <c r="G2926" s="2" t="str">
        <f>HYPERLINK("https://probpalata.gov.ru/files/ИП390300903800002.jpeg","Скачать индивидуальный QR-код магазина")</f>
        <v>Скачать индивидуальный QR-код магазина</v>
      </c>
    </row>
    <row r="2927" spans="1:7" x14ac:dyDescent="0.25">
      <c r="A2927" t="s">
        <v>8050</v>
      </c>
      <c r="B2927" t="s">
        <v>9290</v>
      </c>
      <c r="C2927" t="s">
        <v>9282</v>
      </c>
      <c r="D2927" t="s">
        <v>9283</v>
      </c>
      <c r="E2927" t="s">
        <v>9284</v>
      </c>
      <c r="F2927" t="s">
        <v>9291</v>
      </c>
      <c r="G2927" s="2" t="str">
        <f>HYPERLINK("https://probpalata.gov.ru/files/ИП390300903800003.jpeg","Скачать индивидуальный QR-код магазина")</f>
        <v>Скачать индивидуальный QR-код магазина</v>
      </c>
    </row>
    <row r="2928" spans="1:7" x14ac:dyDescent="0.25">
      <c r="A2928" t="s">
        <v>8050</v>
      </c>
      <c r="B2928" t="s">
        <v>9292</v>
      </c>
      <c r="C2928" t="s">
        <v>9293</v>
      </c>
      <c r="D2928" t="s">
        <v>9294</v>
      </c>
      <c r="E2928" t="s">
        <v>9295</v>
      </c>
      <c r="F2928" t="s">
        <v>9296</v>
      </c>
      <c r="G2928" s="2" t="str">
        <f>HYPERLINK("https://probpalata.gov.ru/files/ИП390303810900000.jpeg","Скачать индивидуальный QR-код магазина")</f>
        <v>Скачать индивидуальный QR-код магазина</v>
      </c>
    </row>
    <row r="2929" spans="1:7" x14ac:dyDescent="0.25">
      <c r="A2929" t="s">
        <v>8050</v>
      </c>
      <c r="B2929" t="s">
        <v>9297</v>
      </c>
      <c r="C2929" t="s">
        <v>9298</v>
      </c>
      <c r="D2929" t="s">
        <v>9299</v>
      </c>
      <c r="E2929" t="s">
        <v>9300</v>
      </c>
      <c r="F2929" t="s">
        <v>9301</v>
      </c>
      <c r="G2929" s="2" t="str">
        <f>HYPERLINK("https://probpalata.gov.ru/files/ИП390301881500000.jpeg","Скачать индивидуальный QR-код магазина")</f>
        <v>Скачать индивидуальный QR-код магазина</v>
      </c>
    </row>
    <row r="2930" spans="1:7" x14ac:dyDescent="0.25">
      <c r="A2930" t="s">
        <v>8050</v>
      </c>
      <c r="B2930" t="s">
        <v>9302</v>
      </c>
      <c r="C2930" t="s">
        <v>9303</v>
      </c>
      <c r="D2930" t="s">
        <v>9304</v>
      </c>
      <c r="E2930" t="s">
        <v>9305</v>
      </c>
      <c r="F2930" t="s">
        <v>9306</v>
      </c>
      <c r="G2930" s="2" t="str">
        <f>HYPERLINK("https://probpalata.gov.ru/files/ИП390301150500000.jpeg","Скачать индивидуальный QR-код магазина")</f>
        <v>Скачать индивидуальный QR-код магазина</v>
      </c>
    </row>
    <row r="2931" spans="1:7" x14ac:dyDescent="0.25">
      <c r="A2931" t="s">
        <v>8050</v>
      </c>
      <c r="B2931" t="s">
        <v>9307</v>
      </c>
      <c r="C2931" t="s">
        <v>9308</v>
      </c>
      <c r="D2931" t="s">
        <v>9309</v>
      </c>
      <c r="E2931" t="s">
        <v>9310</v>
      </c>
      <c r="F2931" t="s">
        <v>9311</v>
      </c>
      <c r="G2931" s="2" t="str">
        <f>HYPERLINK("https://probpalata.gov.ru/files/ИП390301398400000.jpeg","Скачать индивидуальный QR-код магазина")</f>
        <v>Скачать индивидуальный QR-код магазина</v>
      </c>
    </row>
    <row r="2932" spans="1:7" x14ac:dyDescent="0.25">
      <c r="A2932" t="s">
        <v>8050</v>
      </c>
      <c r="B2932" t="s">
        <v>9312</v>
      </c>
      <c r="C2932" t="s">
        <v>9313</v>
      </c>
      <c r="D2932" t="s">
        <v>9314</v>
      </c>
      <c r="E2932" t="s">
        <v>9315</v>
      </c>
      <c r="F2932" t="s">
        <v>9316</v>
      </c>
      <c r="G2932" s="2" t="str">
        <f>HYPERLINK("https://probpalata.gov.ru/files/ИП390300099500000.jpeg","Скачать индивидуальный QR-код магазина")</f>
        <v>Скачать индивидуальный QR-код магазина</v>
      </c>
    </row>
    <row r="2933" spans="1:7" x14ac:dyDescent="0.25">
      <c r="A2933" t="s">
        <v>8050</v>
      </c>
      <c r="B2933" t="s">
        <v>9317</v>
      </c>
      <c r="C2933" t="s">
        <v>9313</v>
      </c>
      <c r="D2933" t="s">
        <v>9314</v>
      </c>
      <c r="E2933" t="s">
        <v>9315</v>
      </c>
      <c r="F2933" t="s">
        <v>9318</v>
      </c>
      <c r="G2933" s="2" t="str">
        <f>HYPERLINK("https://probpalata.gov.ru/files/ИП390300099500001.jpeg","Скачать индивидуальный QR-код магазина")</f>
        <v>Скачать индивидуальный QR-код магазина</v>
      </c>
    </row>
    <row r="2934" spans="1:7" x14ac:dyDescent="0.25">
      <c r="A2934" t="s">
        <v>8050</v>
      </c>
      <c r="B2934" t="s">
        <v>9319</v>
      </c>
      <c r="C2934" t="s">
        <v>9313</v>
      </c>
      <c r="D2934" t="s">
        <v>9314</v>
      </c>
      <c r="E2934" t="s">
        <v>9315</v>
      </c>
      <c r="F2934" t="s">
        <v>9320</v>
      </c>
      <c r="G2934" s="2" t="str">
        <f>HYPERLINK("https://probpalata.gov.ru/files/ИП390300099500003.jpeg","Скачать индивидуальный QR-код магазина")</f>
        <v>Скачать индивидуальный QR-код магазина</v>
      </c>
    </row>
    <row r="2935" spans="1:7" x14ac:dyDescent="0.25">
      <c r="A2935" t="s">
        <v>8050</v>
      </c>
      <c r="B2935" t="s">
        <v>9321</v>
      </c>
      <c r="C2935" t="s">
        <v>9313</v>
      </c>
      <c r="D2935" t="s">
        <v>9314</v>
      </c>
      <c r="E2935" t="s">
        <v>9315</v>
      </c>
      <c r="F2935" t="s">
        <v>9322</v>
      </c>
      <c r="G2935" s="2" t="str">
        <f>HYPERLINK("https://probpalata.gov.ru/files/ИП390300099500004.jpeg","Скачать индивидуальный QR-код магазина")</f>
        <v>Скачать индивидуальный QR-код магазина</v>
      </c>
    </row>
    <row r="2936" spans="1:7" x14ac:dyDescent="0.25">
      <c r="A2936" t="s">
        <v>8050</v>
      </c>
      <c r="B2936" t="s">
        <v>9323</v>
      </c>
      <c r="C2936" t="s">
        <v>9324</v>
      </c>
      <c r="D2936" t="s">
        <v>9325</v>
      </c>
      <c r="E2936" t="s">
        <v>9326</v>
      </c>
      <c r="F2936" t="s">
        <v>9327</v>
      </c>
      <c r="G2936" s="2" t="str">
        <f>HYPERLINK("https://probpalata.gov.ru/files/ИП390303230000000.jpeg","Скачать индивидуальный QR-код магазина")</f>
        <v>Скачать индивидуальный QR-код магазина</v>
      </c>
    </row>
    <row r="2937" spans="1:7" x14ac:dyDescent="0.25">
      <c r="A2937" t="s">
        <v>8050</v>
      </c>
      <c r="B2937" t="s">
        <v>9328</v>
      </c>
      <c r="C2937" t="s">
        <v>9329</v>
      </c>
      <c r="D2937" t="s">
        <v>9330</v>
      </c>
      <c r="E2937" t="s">
        <v>9331</v>
      </c>
      <c r="F2937" t="s">
        <v>9332</v>
      </c>
      <c r="G2937" s="2" t="str">
        <f>HYPERLINK("https://probpalata.gov.ru/files/ИП390303837400000.jpeg","Скачать индивидуальный QR-код магазина")</f>
        <v>Скачать индивидуальный QR-код магазина</v>
      </c>
    </row>
    <row r="2938" spans="1:7" x14ac:dyDescent="0.25">
      <c r="A2938" t="s">
        <v>8050</v>
      </c>
      <c r="B2938" t="s">
        <v>9333</v>
      </c>
      <c r="C2938" t="s">
        <v>9329</v>
      </c>
      <c r="D2938" t="s">
        <v>9330</v>
      </c>
      <c r="E2938" t="s">
        <v>9331</v>
      </c>
      <c r="F2938" t="s">
        <v>9334</v>
      </c>
      <c r="G2938" s="2" t="str">
        <f>HYPERLINK("https://probpalata.gov.ru/files/ИП390303837400003.jpeg","Скачать индивидуальный QR-код магазина")</f>
        <v>Скачать индивидуальный QR-код магазина</v>
      </c>
    </row>
    <row r="2939" spans="1:7" x14ac:dyDescent="0.25">
      <c r="A2939" t="s">
        <v>8050</v>
      </c>
      <c r="B2939" t="s">
        <v>9335</v>
      </c>
      <c r="C2939" t="s">
        <v>9336</v>
      </c>
      <c r="D2939" t="s">
        <v>9337</v>
      </c>
      <c r="E2939" t="s">
        <v>9338</v>
      </c>
      <c r="F2939" t="s">
        <v>9339</v>
      </c>
      <c r="G2939" s="2" t="str">
        <f>HYPERLINK("https://probpalata.gov.ru/files/ИП390301051600000.jpeg","Скачать индивидуальный QR-код магазина")</f>
        <v>Скачать индивидуальный QR-код магазина</v>
      </c>
    </row>
    <row r="2940" spans="1:7" x14ac:dyDescent="0.25">
      <c r="A2940" t="s">
        <v>8050</v>
      </c>
      <c r="B2940" t="s">
        <v>9340</v>
      </c>
      <c r="C2940" t="s">
        <v>9336</v>
      </c>
      <c r="D2940" t="s">
        <v>9337</v>
      </c>
      <c r="E2940" t="s">
        <v>9338</v>
      </c>
      <c r="F2940" t="s">
        <v>9341</v>
      </c>
      <c r="G2940" s="2" t="str">
        <f>HYPERLINK("https://probpalata.gov.ru/files/ИП390301051600002.jpeg","Скачать индивидуальный QR-код магазина")</f>
        <v>Скачать индивидуальный QR-код магазина</v>
      </c>
    </row>
    <row r="2941" spans="1:7" x14ac:dyDescent="0.25">
      <c r="A2941" t="s">
        <v>8050</v>
      </c>
      <c r="B2941" t="s">
        <v>9342</v>
      </c>
      <c r="C2941" t="s">
        <v>9336</v>
      </c>
      <c r="D2941" t="s">
        <v>9337</v>
      </c>
      <c r="E2941" t="s">
        <v>9338</v>
      </c>
      <c r="F2941" t="s">
        <v>9343</v>
      </c>
      <c r="G2941" s="2" t="str">
        <f>HYPERLINK("https://probpalata.gov.ru/files/ИП390301051600003.jpeg","Скачать индивидуальный QR-код магазина")</f>
        <v>Скачать индивидуальный QR-код магазина</v>
      </c>
    </row>
    <row r="2942" spans="1:7" x14ac:dyDescent="0.25">
      <c r="A2942" t="s">
        <v>8050</v>
      </c>
      <c r="B2942" t="s">
        <v>9344</v>
      </c>
      <c r="C2942" t="s">
        <v>9345</v>
      </c>
      <c r="D2942" t="s">
        <v>9346</v>
      </c>
      <c r="E2942" t="s">
        <v>9347</v>
      </c>
      <c r="F2942" t="s">
        <v>9348</v>
      </c>
      <c r="G2942" s="2" t="str">
        <f>HYPERLINK("https://probpalata.gov.ru/files/ИП390303350500000.jpeg","Скачать индивидуальный QR-код магазина")</f>
        <v>Скачать индивидуальный QR-код магазина</v>
      </c>
    </row>
    <row r="2943" spans="1:7" x14ac:dyDescent="0.25">
      <c r="A2943" t="s">
        <v>8050</v>
      </c>
      <c r="B2943" t="s">
        <v>9349</v>
      </c>
      <c r="C2943" t="s">
        <v>9350</v>
      </c>
      <c r="D2943" t="s">
        <v>9351</v>
      </c>
      <c r="E2943" t="s">
        <v>9352</v>
      </c>
      <c r="F2943" t="s">
        <v>9353</v>
      </c>
      <c r="G2943" s="2" t="str">
        <f>HYPERLINK("https://probpalata.gov.ru/files/ИП390300118400000.jpeg","Скачать индивидуальный QR-код магазина")</f>
        <v>Скачать индивидуальный QR-код магазина</v>
      </c>
    </row>
    <row r="2944" spans="1:7" x14ac:dyDescent="0.25">
      <c r="A2944" t="s">
        <v>8050</v>
      </c>
      <c r="B2944" t="s">
        <v>9354</v>
      </c>
      <c r="C2944" t="s">
        <v>9355</v>
      </c>
      <c r="D2944" t="s">
        <v>9356</v>
      </c>
      <c r="E2944" t="s">
        <v>9357</v>
      </c>
      <c r="F2944" t="s">
        <v>9358</v>
      </c>
      <c r="G2944" s="2" t="str">
        <f>HYPERLINK("https://probpalata.gov.ru/files/ИП390300146300000.jpeg","Скачать индивидуальный QR-код магазина")</f>
        <v>Скачать индивидуальный QR-код магазина</v>
      </c>
    </row>
    <row r="2945" spans="1:7" x14ac:dyDescent="0.25">
      <c r="A2945" t="s">
        <v>8050</v>
      </c>
      <c r="B2945" t="s">
        <v>8315</v>
      </c>
      <c r="C2945" t="s">
        <v>9359</v>
      </c>
      <c r="D2945" t="s">
        <v>9360</v>
      </c>
      <c r="E2945" t="s">
        <v>9361</v>
      </c>
      <c r="F2945" t="s">
        <v>9362</v>
      </c>
      <c r="G2945" s="2" t="str">
        <f>HYPERLINK("https://probpalata.gov.ru/files/ИП390303948900000.jpeg","Скачать индивидуальный QR-код магазина")</f>
        <v>Скачать индивидуальный QR-код магазина</v>
      </c>
    </row>
    <row r="2946" spans="1:7" x14ac:dyDescent="0.25">
      <c r="A2946" t="s">
        <v>8050</v>
      </c>
      <c r="B2946" t="s">
        <v>9363</v>
      </c>
      <c r="C2946" t="s">
        <v>9364</v>
      </c>
      <c r="D2946" t="s">
        <v>9365</v>
      </c>
      <c r="E2946" t="s">
        <v>9366</v>
      </c>
      <c r="F2946" t="s">
        <v>9367</v>
      </c>
      <c r="G2946" s="2" t="str">
        <f>HYPERLINK("https://probpalata.gov.ru/files/ИП390300996300000.jpeg","Скачать индивидуальный QR-код магазина")</f>
        <v>Скачать индивидуальный QR-код магазина</v>
      </c>
    </row>
    <row r="2947" spans="1:7" x14ac:dyDescent="0.25">
      <c r="A2947" t="s">
        <v>8050</v>
      </c>
      <c r="B2947" t="s">
        <v>9368</v>
      </c>
      <c r="C2947" t="s">
        <v>9369</v>
      </c>
      <c r="D2947" t="s">
        <v>9370</v>
      </c>
      <c r="E2947" t="s">
        <v>9371</v>
      </c>
      <c r="F2947" t="s">
        <v>9372</v>
      </c>
      <c r="G2947" s="2" t="str">
        <f>HYPERLINK("https://probpalata.gov.ru/files/ИП390301052000000.jpeg","Скачать индивидуальный QR-код магазина")</f>
        <v>Скачать индивидуальный QR-код магазина</v>
      </c>
    </row>
    <row r="2948" spans="1:7" x14ac:dyDescent="0.25">
      <c r="A2948" t="s">
        <v>8050</v>
      </c>
      <c r="B2948" t="s">
        <v>9068</v>
      </c>
      <c r="C2948" t="s">
        <v>9373</v>
      </c>
      <c r="D2948" t="s">
        <v>9374</v>
      </c>
      <c r="E2948" t="s">
        <v>9375</v>
      </c>
      <c r="F2948" t="s">
        <v>9376</v>
      </c>
      <c r="G2948" s="2" t="str">
        <f>HYPERLINK("https://probpalata.gov.ru/files/ИП390303221000000.jpeg","Скачать индивидуальный QR-код магазина")</f>
        <v>Скачать индивидуальный QR-код магазина</v>
      </c>
    </row>
    <row r="2949" spans="1:7" x14ac:dyDescent="0.25">
      <c r="A2949" t="s">
        <v>8050</v>
      </c>
      <c r="B2949" t="s">
        <v>9377</v>
      </c>
      <c r="C2949" t="s">
        <v>671</v>
      </c>
      <c r="D2949" t="s">
        <v>672</v>
      </c>
      <c r="E2949" t="s">
        <v>673</v>
      </c>
      <c r="F2949" t="s">
        <v>9378</v>
      </c>
      <c r="G2949" s="2" t="str">
        <f>HYPERLINK("https://probpalata.gov.ru/files/ИП500100445500001.jpeg","Скачать индивидуальный QR-код магазина")</f>
        <v>Скачать индивидуальный QR-код магазина</v>
      </c>
    </row>
    <row r="2950" spans="1:7" x14ac:dyDescent="0.25">
      <c r="A2950" t="s">
        <v>8050</v>
      </c>
      <c r="B2950" t="s">
        <v>9379</v>
      </c>
      <c r="C2950" t="s">
        <v>671</v>
      </c>
      <c r="D2950" t="s">
        <v>672</v>
      </c>
      <c r="E2950" t="s">
        <v>673</v>
      </c>
      <c r="F2950" t="s">
        <v>9380</v>
      </c>
      <c r="G2950" s="2" t="str">
        <f>HYPERLINK("https://probpalata.gov.ru/files/ИП500100445500049.jpeg","Скачать индивидуальный QR-код магазина")</f>
        <v>Скачать индивидуальный QR-код магазина</v>
      </c>
    </row>
    <row r="2951" spans="1:7" x14ac:dyDescent="0.25">
      <c r="A2951" t="s">
        <v>8050</v>
      </c>
      <c r="B2951" t="s">
        <v>9381</v>
      </c>
      <c r="C2951" t="s">
        <v>9382</v>
      </c>
      <c r="D2951" t="s">
        <v>9383</v>
      </c>
      <c r="E2951" t="s">
        <v>9384</v>
      </c>
      <c r="F2951" t="s">
        <v>9385</v>
      </c>
      <c r="G2951" s="2" t="str">
        <f>HYPERLINK("https://probpalata.gov.ru/files/ИП390303507600000.jpeg","Скачать индивидуальный QR-код магазина")</f>
        <v>Скачать индивидуальный QR-код магазина</v>
      </c>
    </row>
    <row r="2952" spans="1:7" x14ac:dyDescent="0.25">
      <c r="A2952" t="s">
        <v>8050</v>
      </c>
      <c r="B2952" t="s">
        <v>9386</v>
      </c>
      <c r="C2952" t="s">
        <v>9387</v>
      </c>
      <c r="D2952" t="s">
        <v>9388</v>
      </c>
      <c r="E2952" t="s">
        <v>9389</v>
      </c>
      <c r="F2952" t="s">
        <v>9390</v>
      </c>
      <c r="G2952" s="2" t="str">
        <f>HYPERLINK("https://probpalata.gov.ru/files/ИП590603967500000.jpeg","Скачать индивидуальный QR-код магазина")</f>
        <v>Скачать индивидуальный QR-код магазина</v>
      </c>
    </row>
    <row r="2953" spans="1:7" x14ac:dyDescent="0.25">
      <c r="A2953" t="s">
        <v>8050</v>
      </c>
      <c r="B2953" t="s">
        <v>9391</v>
      </c>
      <c r="C2953" t="s">
        <v>9392</v>
      </c>
      <c r="D2953" t="s">
        <v>9393</v>
      </c>
      <c r="E2953" t="s">
        <v>9394</v>
      </c>
      <c r="F2953" t="s">
        <v>9395</v>
      </c>
      <c r="G2953" s="2" t="str">
        <f>HYPERLINK("https://probpalata.gov.ru/files/ИП660703818600000.jpeg","Скачать индивидуальный QR-код магазина")</f>
        <v>Скачать индивидуальный QR-код магазина</v>
      </c>
    </row>
    <row r="2954" spans="1:7" x14ac:dyDescent="0.25">
      <c r="A2954" t="s">
        <v>8050</v>
      </c>
      <c r="B2954" t="s">
        <v>9396</v>
      </c>
      <c r="C2954" t="s">
        <v>9392</v>
      </c>
      <c r="D2954" t="s">
        <v>9393</v>
      </c>
      <c r="E2954" t="s">
        <v>9394</v>
      </c>
      <c r="F2954" t="s">
        <v>9397</v>
      </c>
      <c r="G2954" s="2" t="str">
        <f>HYPERLINK("https://probpalata.gov.ru/files/ИП660703818600001.jpeg","Скачать индивидуальный QR-код магазина")</f>
        <v>Скачать индивидуальный QR-код магазина</v>
      </c>
    </row>
    <row r="2955" spans="1:7" x14ac:dyDescent="0.25">
      <c r="A2955" t="s">
        <v>8050</v>
      </c>
      <c r="B2955" t="s">
        <v>9398</v>
      </c>
      <c r="C2955" t="s">
        <v>9392</v>
      </c>
      <c r="D2955" t="s">
        <v>9393</v>
      </c>
      <c r="E2955" t="s">
        <v>9394</v>
      </c>
      <c r="F2955" t="s">
        <v>9399</v>
      </c>
      <c r="G2955" s="2" t="str">
        <f>HYPERLINK("https://probpalata.gov.ru/files/ИП660703818600002.jpeg","Скачать индивидуальный QR-код магазина")</f>
        <v>Скачать индивидуальный QR-код магазина</v>
      </c>
    </row>
    <row r="2956" spans="1:7" x14ac:dyDescent="0.25">
      <c r="A2956" t="s">
        <v>8050</v>
      </c>
      <c r="B2956" t="s">
        <v>9400</v>
      </c>
      <c r="C2956" t="s">
        <v>9401</v>
      </c>
      <c r="D2956" t="s">
        <v>9402</v>
      </c>
      <c r="E2956" t="s">
        <v>9403</v>
      </c>
      <c r="F2956" t="s">
        <v>9404</v>
      </c>
      <c r="G2956" s="2" t="str">
        <f>HYPERLINK("https://probpalata.gov.ru/files/ИП390303687100000.jpeg","Скачать индивидуальный QR-код магазина")</f>
        <v>Скачать индивидуальный QR-код магазина</v>
      </c>
    </row>
    <row r="2957" spans="1:7" x14ac:dyDescent="0.25">
      <c r="A2957" t="s">
        <v>8050</v>
      </c>
      <c r="B2957" t="s">
        <v>9405</v>
      </c>
      <c r="C2957" t="s">
        <v>9401</v>
      </c>
      <c r="D2957" t="s">
        <v>9402</v>
      </c>
      <c r="E2957" t="s">
        <v>9403</v>
      </c>
      <c r="F2957" t="s">
        <v>9406</v>
      </c>
      <c r="G2957" s="2" t="str">
        <f>HYPERLINK("https://probpalata.gov.ru/files/ИП390303687100003.jpeg","Скачать индивидуальный QR-код магазина")</f>
        <v>Скачать индивидуальный QR-код магазина</v>
      </c>
    </row>
    <row r="2958" spans="1:7" x14ac:dyDescent="0.25">
      <c r="A2958" t="s">
        <v>8050</v>
      </c>
      <c r="B2958" t="s">
        <v>9407</v>
      </c>
      <c r="C2958" t="s">
        <v>9401</v>
      </c>
      <c r="D2958" t="s">
        <v>9402</v>
      </c>
      <c r="E2958" t="s">
        <v>9403</v>
      </c>
      <c r="F2958" t="s">
        <v>9408</v>
      </c>
      <c r="G2958" s="2" t="str">
        <f>HYPERLINK("https://probpalata.gov.ru/files/ИП390303687100006.jpeg","Скачать индивидуальный QR-код магазина")</f>
        <v>Скачать индивидуальный QR-код магазина</v>
      </c>
    </row>
    <row r="2959" spans="1:7" x14ac:dyDescent="0.25">
      <c r="A2959" t="s">
        <v>8050</v>
      </c>
      <c r="B2959" t="s">
        <v>9409</v>
      </c>
      <c r="C2959" t="s">
        <v>9410</v>
      </c>
      <c r="D2959" t="s">
        <v>9411</v>
      </c>
      <c r="E2959" t="s">
        <v>9412</v>
      </c>
      <c r="F2959" t="s">
        <v>9413</v>
      </c>
      <c r="G2959" s="2" t="str">
        <f>HYPERLINK("https://probpalata.gov.ru/files/ИП780303808700000.jpeg","Скачать индивидуальный QR-код магазина")</f>
        <v>Скачать индивидуальный QR-код магазина</v>
      </c>
    </row>
    <row r="2960" spans="1:7" x14ac:dyDescent="0.25">
      <c r="A2960" t="s">
        <v>8050</v>
      </c>
      <c r="B2960" t="s">
        <v>9414</v>
      </c>
      <c r="C2960" t="s">
        <v>9415</v>
      </c>
      <c r="D2960" t="s">
        <v>9416</v>
      </c>
      <c r="E2960" t="s">
        <v>9417</v>
      </c>
      <c r="F2960" t="s">
        <v>9418</v>
      </c>
      <c r="G2960" s="2" t="str">
        <f>HYPERLINK("https://probpalata.gov.ru/files/ИП390300969400000.jpeg","Скачать индивидуальный QR-код магазина")</f>
        <v>Скачать индивидуальный QR-код магазина</v>
      </c>
    </row>
    <row r="2961" spans="1:7" x14ac:dyDescent="0.25">
      <c r="A2961" t="s">
        <v>8050</v>
      </c>
      <c r="B2961" t="s">
        <v>9419</v>
      </c>
      <c r="C2961" t="s">
        <v>9415</v>
      </c>
      <c r="D2961" t="s">
        <v>9416</v>
      </c>
      <c r="E2961" t="s">
        <v>9417</v>
      </c>
      <c r="F2961" t="s">
        <v>9420</v>
      </c>
      <c r="G2961" s="2" t="str">
        <f>HYPERLINK("https://probpalata.gov.ru/files/ИП390300969400003.jpeg","Скачать индивидуальный QR-код магазина")</f>
        <v>Скачать индивидуальный QR-код магазина</v>
      </c>
    </row>
    <row r="2962" spans="1:7" x14ac:dyDescent="0.25">
      <c r="A2962" t="s">
        <v>8050</v>
      </c>
      <c r="B2962" t="s">
        <v>9421</v>
      </c>
      <c r="C2962" t="s">
        <v>9415</v>
      </c>
      <c r="D2962" t="s">
        <v>9416</v>
      </c>
      <c r="E2962" t="s">
        <v>9417</v>
      </c>
      <c r="F2962" t="s">
        <v>9422</v>
      </c>
      <c r="G2962" s="2" t="str">
        <f>HYPERLINK("https://probpalata.gov.ru/files/ИП390300969400006.jpeg","Скачать индивидуальный QR-код магазина")</f>
        <v>Скачать индивидуальный QR-код магазина</v>
      </c>
    </row>
    <row r="2963" spans="1:7" x14ac:dyDescent="0.25">
      <c r="A2963" t="s">
        <v>8050</v>
      </c>
      <c r="B2963" t="s">
        <v>9423</v>
      </c>
      <c r="C2963" t="s">
        <v>9415</v>
      </c>
      <c r="D2963" t="s">
        <v>9416</v>
      </c>
      <c r="E2963" t="s">
        <v>9417</v>
      </c>
      <c r="F2963" t="s">
        <v>9424</v>
      </c>
      <c r="G2963" s="2" t="str">
        <f>HYPERLINK("https://probpalata.gov.ru/files/ИП390300969400008.jpeg","Скачать индивидуальный QR-код магазина")</f>
        <v>Скачать индивидуальный QR-код магазина</v>
      </c>
    </row>
    <row r="2964" spans="1:7" x14ac:dyDescent="0.25">
      <c r="A2964" t="s">
        <v>8050</v>
      </c>
      <c r="B2964" t="s">
        <v>9425</v>
      </c>
      <c r="C2964" t="s">
        <v>713</v>
      </c>
      <c r="D2964" t="s">
        <v>714</v>
      </c>
      <c r="E2964" t="s">
        <v>715</v>
      </c>
      <c r="F2964" t="s">
        <v>9426</v>
      </c>
      <c r="G2964" s="2" t="str">
        <f>HYPERLINK("https://probpalata.gov.ru/files/ЮЛ770101216600204.jpeg","Скачать индивидуальный QR-код магазина")</f>
        <v>Скачать индивидуальный QR-код магазина</v>
      </c>
    </row>
    <row r="2965" spans="1:7" x14ac:dyDescent="0.25">
      <c r="A2965" t="s">
        <v>8050</v>
      </c>
      <c r="B2965" t="s">
        <v>9427</v>
      </c>
      <c r="C2965" t="s">
        <v>713</v>
      </c>
      <c r="D2965" t="s">
        <v>714</v>
      </c>
      <c r="E2965" t="s">
        <v>715</v>
      </c>
      <c r="F2965" t="s">
        <v>9428</v>
      </c>
      <c r="G2965" s="2" t="str">
        <f>HYPERLINK("https://probpalata.gov.ru/files/ЮЛ770101216600425.jpeg","Скачать индивидуальный QR-код магазина")</f>
        <v>Скачать индивидуальный QR-код магазина</v>
      </c>
    </row>
    <row r="2966" spans="1:7" x14ac:dyDescent="0.25">
      <c r="A2966" t="s">
        <v>8050</v>
      </c>
      <c r="B2966" t="s">
        <v>9429</v>
      </c>
      <c r="C2966" t="s">
        <v>713</v>
      </c>
      <c r="D2966" t="s">
        <v>714</v>
      </c>
      <c r="E2966" t="s">
        <v>715</v>
      </c>
      <c r="F2966" t="s">
        <v>9430</v>
      </c>
      <c r="G2966" s="2" t="str">
        <f>HYPERLINK("https://probpalata.gov.ru/files/ЮЛ770101216600498.jpeg","Скачать индивидуальный QR-код магазина")</f>
        <v>Скачать индивидуальный QR-код магазина</v>
      </c>
    </row>
    <row r="2967" spans="1:7" x14ac:dyDescent="0.25">
      <c r="A2967" t="s">
        <v>8050</v>
      </c>
      <c r="B2967" t="s">
        <v>9431</v>
      </c>
      <c r="C2967" t="s">
        <v>713</v>
      </c>
      <c r="D2967" t="s">
        <v>714</v>
      </c>
      <c r="E2967" t="s">
        <v>715</v>
      </c>
      <c r="F2967" t="s">
        <v>9432</v>
      </c>
      <c r="G2967" s="2" t="str">
        <f>HYPERLINK("https://probpalata.gov.ru/files/ЮЛ770101216600753.jpeg","Скачать индивидуальный QR-код магазина")</f>
        <v>Скачать индивидуальный QR-код магазина</v>
      </c>
    </row>
    <row r="2968" spans="1:7" x14ac:dyDescent="0.25">
      <c r="A2968" t="s">
        <v>8050</v>
      </c>
      <c r="B2968" t="s">
        <v>9433</v>
      </c>
      <c r="C2968" t="s">
        <v>713</v>
      </c>
      <c r="D2968" t="s">
        <v>714</v>
      </c>
      <c r="E2968" t="s">
        <v>715</v>
      </c>
      <c r="F2968" t="s">
        <v>9434</v>
      </c>
      <c r="G2968" s="2" t="str">
        <f>HYPERLINK("https://probpalata.gov.ru/files/ЮЛ770101216600829.jpeg","Скачать индивидуальный QR-код магазина")</f>
        <v>Скачать индивидуальный QR-код магазина</v>
      </c>
    </row>
    <row r="2969" spans="1:7" x14ac:dyDescent="0.25">
      <c r="A2969" t="s">
        <v>8050</v>
      </c>
      <c r="B2969" t="s">
        <v>9435</v>
      </c>
      <c r="C2969" t="s">
        <v>713</v>
      </c>
      <c r="D2969" t="s">
        <v>714</v>
      </c>
      <c r="E2969" t="s">
        <v>715</v>
      </c>
      <c r="F2969" t="s">
        <v>9436</v>
      </c>
      <c r="G2969" s="2" t="str">
        <f>HYPERLINK("https://probpalata.gov.ru/files/ЮЛ770101216600855.jpeg","Скачать индивидуальный QR-код магазина")</f>
        <v>Скачать индивидуальный QR-код магазина</v>
      </c>
    </row>
    <row r="2970" spans="1:7" x14ac:dyDescent="0.25">
      <c r="A2970" t="s">
        <v>8050</v>
      </c>
      <c r="B2970" t="s">
        <v>9437</v>
      </c>
      <c r="C2970" t="s">
        <v>713</v>
      </c>
      <c r="D2970" t="s">
        <v>714</v>
      </c>
      <c r="E2970" t="s">
        <v>715</v>
      </c>
      <c r="F2970" t="s">
        <v>9438</v>
      </c>
      <c r="G2970" s="2" t="str">
        <f>HYPERLINK("https://probpalata.gov.ru/files/ЮЛ770101216600880.jpeg","Скачать индивидуальный QR-код магазина")</f>
        <v>Скачать индивидуальный QR-код магазина</v>
      </c>
    </row>
    <row r="2971" spans="1:7" x14ac:dyDescent="0.25">
      <c r="A2971" t="s">
        <v>8050</v>
      </c>
      <c r="B2971" t="s">
        <v>9439</v>
      </c>
      <c r="C2971" t="s">
        <v>713</v>
      </c>
      <c r="D2971" t="s">
        <v>714</v>
      </c>
      <c r="E2971" t="s">
        <v>715</v>
      </c>
      <c r="F2971" t="s">
        <v>9440</v>
      </c>
      <c r="G2971" s="2" t="str">
        <f>HYPERLINK("https://probpalata.gov.ru/files/ЮЛ770101216600923.jpeg","Скачать индивидуальный QR-код магазина")</f>
        <v>Скачать индивидуальный QR-код магазина</v>
      </c>
    </row>
    <row r="2972" spans="1:7" x14ac:dyDescent="0.25">
      <c r="A2972" t="s">
        <v>8050</v>
      </c>
      <c r="B2972" t="s">
        <v>9441</v>
      </c>
      <c r="C2972" t="s">
        <v>1416</v>
      </c>
      <c r="D2972" t="s">
        <v>1417</v>
      </c>
      <c r="E2972" t="s">
        <v>1418</v>
      </c>
      <c r="F2972" t="s">
        <v>9442</v>
      </c>
      <c r="G2972" s="2" t="str">
        <f>HYPERLINK("https://probpalata.gov.ru/files/ЮЛ770100419400129.jpeg","Скачать индивидуальный QR-код магазина")</f>
        <v>Скачать индивидуальный QR-код магазина</v>
      </c>
    </row>
    <row r="2973" spans="1:7" x14ac:dyDescent="0.25">
      <c r="A2973" t="s">
        <v>8050</v>
      </c>
      <c r="B2973" t="s">
        <v>9443</v>
      </c>
      <c r="C2973" t="s">
        <v>748</v>
      </c>
      <c r="D2973" t="s">
        <v>749</v>
      </c>
      <c r="E2973" t="s">
        <v>750</v>
      </c>
      <c r="F2973" t="s">
        <v>9444</v>
      </c>
      <c r="G2973" s="2" t="str">
        <f>HYPERLINK("https://probpalata.gov.ru/files/ЮЛ770100193500388.jpeg","Скачать индивидуальный QR-код магазина")</f>
        <v>Скачать индивидуальный QR-код магазина</v>
      </c>
    </row>
    <row r="2974" spans="1:7" x14ac:dyDescent="0.25">
      <c r="A2974" t="s">
        <v>8050</v>
      </c>
      <c r="B2974" t="s">
        <v>9445</v>
      </c>
      <c r="C2974" t="s">
        <v>748</v>
      </c>
      <c r="D2974" t="s">
        <v>749</v>
      </c>
      <c r="E2974" t="s">
        <v>750</v>
      </c>
      <c r="F2974" t="s">
        <v>9446</v>
      </c>
      <c r="G2974" s="2" t="str">
        <f>HYPERLINK("https://probpalata.gov.ru/files/ЮЛ770100193500389.jpeg","Скачать индивидуальный QR-код магазина")</f>
        <v>Скачать индивидуальный QR-код магазина</v>
      </c>
    </row>
    <row r="2975" spans="1:7" x14ac:dyDescent="0.25">
      <c r="A2975" t="s">
        <v>8050</v>
      </c>
      <c r="B2975" t="s">
        <v>9447</v>
      </c>
      <c r="C2975" t="s">
        <v>748</v>
      </c>
      <c r="D2975" t="s">
        <v>749</v>
      </c>
      <c r="E2975" t="s">
        <v>750</v>
      </c>
      <c r="F2975" t="s">
        <v>9448</v>
      </c>
      <c r="G2975" s="2" t="str">
        <f>HYPERLINK("https://probpalata.gov.ru/files/ЮЛ770100193500390.jpeg","Скачать индивидуальный QR-код магазина")</f>
        <v>Скачать индивидуальный QR-код магазина</v>
      </c>
    </row>
    <row r="2976" spans="1:7" x14ac:dyDescent="0.25">
      <c r="A2976" t="s">
        <v>8050</v>
      </c>
      <c r="B2976" t="s">
        <v>9449</v>
      </c>
      <c r="C2976" t="s">
        <v>748</v>
      </c>
      <c r="D2976" t="s">
        <v>749</v>
      </c>
      <c r="E2976" t="s">
        <v>750</v>
      </c>
      <c r="F2976" t="s">
        <v>9450</v>
      </c>
      <c r="G2976" s="2" t="str">
        <f>HYPERLINK("https://probpalata.gov.ru/files/ЮЛ770100193500669.jpeg","Скачать индивидуальный QR-код магазина")</f>
        <v>Скачать индивидуальный QR-код магазина</v>
      </c>
    </row>
    <row r="2977" spans="1:7" x14ac:dyDescent="0.25">
      <c r="A2977" t="s">
        <v>8050</v>
      </c>
      <c r="B2977" t="s">
        <v>9451</v>
      </c>
      <c r="C2977" t="s">
        <v>748</v>
      </c>
      <c r="D2977" t="s">
        <v>749</v>
      </c>
      <c r="E2977" t="s">
        <v>750</v>
      </c>
      <c r="F2977" t="s">
        <v>9452</v>
      </c>
      <c r="G2977" s="2" t="str">
        <f>HYPERLINK("https://probpalata.gov.ru/files/ЮЛ770100193501068.jpeg","Скачать индивидуальный QR-код магазина")</f>
        <v>Скачать индивидуальный QR-код магазина</v>
      </c>
    </row>
    <row r="2978" spans="1:7" x14ac:dyDescent="0.25">
      <c r="A2978" t="s">
        <v>8050</v>
      </c>
      <c r="B2978" t="s">
        <v>9453</v>
      </c>
      <c r="C2978" t="s">
        <v>748</v>
      </c>
      <c r="D2978" t="s">
        <v>749</v>
      </c>
      <c r="E2978" t="s">
        <v>750</v>
      </c>
      <c r="F2978" t="s">
        <v>9454</v>
      </c>
      <c r="G2978" s="2" t="str">
        <f>HYPERLINK("https://probpalata.gov.ru/files/ЮЛ770100193501069.jpeg","Скачать индивидуальный QR-код магазина")</f>
        <v>Скачать индивидуальный QR-код магазина</v>
      </c>
    </row>
    <row r="2979" spans="1:7" x14ac:dyDescent="0.25">
      <c r="A2979" t="s">
        <v>8050</v>
      </c>
      <c r="B2979" t="s">
        <v>9455</v>
      </c>
      <c r="C2979" t="s">
        <v>748</v>
      </c>
      <c r="D2979" t="s">
        <v>749</v>
      </c>
      <c r="E2979" t="s">
        <v>750</v>
      </c>
      <c r="F2979" t="s">
        <v>9456</v>
      </c>
      <c r="G2979" s="2" t="str">
        <f>HYPERLINK("https://probpalata.gov.ru/files/ЮЛ770100193501137.jpeg","Скачать индивидуальный QR-код магазина")</f>
        <v>Скачать индивидуальный QR-код магазина</v>
      </c>
    </row>
    <row r="2980" spans="1:7" x14ac:dyDescent="0.25">
      <c r="A2980" t="s">
        <v>8050</v>
      </c>
      <c r="B2980" t="s">
        <v>9457</v>
      </c>
      <c r="C2980" t="s">
        <v>773</v>
      </c>
      <c r="D2980" t="s">
        <v>774</v>
      </c>
      <c r="E2980" t="s">
        <v>775</v>
      </c>
      <c r="F2980" t="s">
        <v>9458</v>
      </c>
      <c r="G2980" s="2" t="str">
        <f>HYPERLINK("https://probpalata.gov.ru/files/ЮЛ780300131300109.jpeg","Скачать индивидуальный QR-код магазина")</f>
        <v>Скачать индивидуальный QR-код магазина</v>
      </c>
    </row>
    <row r="2981" spans="1:7" x14ac:dyDescent="0.25">
      <c r="A2981" t="s">
        <v>8050</v>
      </c>
      <c r="B2981" t="s">
        <v>9459</v>
      </c>
      <c r="C2981" t="s">
        <v>787</v>
      </c>
      <c r="D2981" t="s">
        <v>788</v>
      </c>
      <c r="E2981" t="s">
        <v>789</v>
      </c>
      <c r="F2981" t="s">
        <v>9460</v>
      </c>
      <c r="G2981" s="2" t="str">
        <f>HYPERLINK("https://probpalata.gov.ru/files/ЮЛ780300328000064.jpeg","Скачать индивидуальный QR-код магазина")</f>
        <v>Скачать индивидуальный QR-код магазина</v>
      </c>
    </row>
    <row r="2982" spans="1:7" x14ac:dyDescent="0.25">
      <c r="A2982" t="s">
        <v>8050</v>
      </c>
      <c r="B2982" t="s">
        <v>9461</v>
      </c>
      <c r="C2982" t="s">
        <v>1441</v>
      </c>
      <c r="D2982" t="s">
        <v>1442</v>
      </c>
      <c r="E2982" t="s">
        <v>1443</v>
      </c>
      <c r="F2982" t="s">
        <v>9462</v>
      </c>
      <c r="G2982" s="2" t="str">
        <f>HYPERLINK("https://probpalata.gov.ru/files/ЮЛ780300179700015.jpeg","Скачать индивидуальный QR-код магазина")</f>
        <v>Скачать индивидуальный QR-код магазина</v>
      </c>
    </row>
    <row r="2983" spans="1:7" x14ac:dyDescent="0.25">
      <c r="A2983" t="s">
        <v>8050</v>
      </c>
      <c r="B2983" t="s">
        <v>9463</v>
      </c>
      <c r="C2983" t="s">
        <v>1441</v>
      </c>
      <c r="D2983" t="s">
        <v>1442</v>
      </c>
      <c r="E2983" t="s">
        <v>1443</v>
      </c>
      <c r="F2983" t="s">
        <v>9464</v>
      </c>
      <c r="G2983" s="2" t="str">
        <f>HYPERLINK("https://probpalata.gov.ru/files/ЮЛ780300179700016.jpeg","Скачать индивидуальный QR-код магазина")</f>
        <v>Скачать индивидуальный QR-код магазина</v>
      </c>
    </row>
    <row r="2984" spans="1:7" x14ac:dyDescent="0.25">
      <c r="A2984" t="s">
        <v>8050</v>
      </c>
      <c r="B2984" t="s">
        <v>9465</v>
      </c>
      <c r="C2984" t="s">
        <v>791</v>
      </c>
      <c r="D2984" t="s">
        <v>792</v>
      </c>
      <c r="E2984" t="s">
        <v>793</v>
      </c>
      <c r="F2984" t="s">
        <v>9466</v>
      </c>
      <c r="G2984" s="2" t="str">
        <f>HYPERLINK("https://probpalata.gov.ru/files/ЮЛ780300323500001.jpeg","Скачать индивидуальный QR-код магазина")</f>
        <v>Скачать индивидуальный QR-код магазина</v>
      </c>
    </row>
    <row r="2985" spans="1:7" x14ac:dyDescent="0.25">
      <c r="A2985" t="s">
        <v>8050</v>
      </c>
      <c r="B2985" t="s">
        <v>9467</v>
      </c>
      <c r="C2985" t="s">
        <v>791</v>
      </c>
      <c r="D2985" t="s">
        <v>792</v>
      </c>
      <c r="E2985" t="s">
        <v>793</v>
      </c>
      <c r="F2985" t="s">
        <v>9468</v>
      </c>
      <c r="G2985" s="2" t="str">
        <f>HYPERLINK("https://probpalata.gov.ru/files/ЮЛ780300323500064.jpeg","Скачать индивидуальный QR-код магазина")</f>
        <v>Скачать индивидуальный QR-код магазина</v>
      </c>
    </row>
    <row r="2986" spans="1:7" x14ac:dyDescent="0.25">
      <c r="A2986" t="s">
        <v>8050</v>
      </c>
      <c r="B2986" t="s">
        <v>9469</v>
      </c>
      <c r="C2986" t="s">
        <v>791</v>
      </c>
      <c r="D2986" t="s">
        <v>792</v>
      </c>
      <c r="E2986" t="s">
        <v>793</v>
      </c>
      <c r="F2986" t="s">
        <v>9470</v>
      </c>
      <c r="G2986" s="2" t="str">
        <f>HYPERLINK("https://probpalata.gov.ru/files/ЮЛ780300323500092.jpeg","Скачать индивидуальный QR-код магазина")</f>
        <v>Скачать индивидуальный QR-код магазина</v>
      </c>
    </row>
    <row r="2987" spans="1:7" x14ac:dyDescent="0.25">
      <c r="A2987" t="s">
        <v>8050</v>
      </c>
      <c r="B2987" t="s">
        <v>9471</v>
      </c>
      <c r="C2987" t="s">
        <v>798</v>
      </c>
      <c r="D2987" t="s">
        <v>799</v>
      </c>
      <c r="E2987" t="s">
        <v>800</v>
      </c>
      <c r="F2987" t="s">
        <v>9472</v>
      </c>
      <c r="G2987" s="2" t="str">
        <f>HYPERLINK("https://probpalata.gov.ru/files/ЮЛ780300308200480.jpeg","Скачать индивидуальный QR-код магазина")</f>
        <v>Скачать индивидуальный QR-код магазина</v>
      </c>
    </row>
    <row r="2988" spans="1:7" x14ac:dyDescent="0.25">
      <c r="A2988" t="s">
        <v>8050</v>
      </c>
      <c r="B2988" t="s">
        <v>9473</v>
      </c>
      <c r="C2988" t="s">
        <v>798</v>
      </c>
      <c r="D2988" t="s">
        <v>799</v>
      </c>
      <c r="E2988" t="s">
        <v>800</v>
      </c>
      <c r="F2988" t="s">
        <v>9474</v>
      </c>
      <c r="G2988" s="2" t="str">
        <f>HYPERLINK("https://probpalata.gov.ru/files/ЮЛ780300308200767.jpeg","Скачать индивидуальный QR-код магазина")</f>
        <v>Скачать индивидуальный QR-код магазина</v>
      </c>
    </row>
    <row r="2989" spans="1:7" x14ac:dyDescent="0.25">
      <c r="A2989" t="s">
        <v>8050</v>
      </c>
      <c r="B2989" t="s">
        <v>9475</v>
      </c>
      <c r="C2989" t="s">
        <v>798</v>
      </c>
      <c r="D2989" t="s">
        <v>799</v>
      </c>
      <c r="E2989" t="s">
        <v>800</v>
      </c>
      <c r="F2989" t="s">
        <v>9476</v>
      </c>
      <c r="G2989" s="2" t="str">
        <f>HYPERLINK("https://probpalata.gov.ru/files/ЮЛ780300308200961.jpeg","Скачать индивидуальный QR-код магазина")</f>
        <v>Скачать индивидуальный QR-код магазина</v>
      </c>
    </row>
    <row r="2990" spans="1:7" x14ac:dyDescent="0.25">
      <c r="A2990" t="s">
        <v>8050</v>
      </c>
      <c r="B2990" t="s">
        <v>9477</v>
      </c>
      <c r="C2990" t="s">
        <v>798</v>
      </c>
      <c r="D2990" t="s">
        <v>799</v>
      </c>
      <c r="E2990" t="s">
        <v>800</v>
      </c>
      <c r="F2990" t="s">
        <v>9478</v>
      </c>
      <c r="G2990" s="2" t="str">
        <f>HYPERLINK("https://probpalata.gov.ru/files/ЮЛ780300308201018.jpeg","Скачать индивидуальный QR-код магазина")</f>
        <v>Скачать индивидуальный QR-код магазина</v>
      </c>
    </row>
    <row r="2991" spans="1:7" x14ac:dyDescent="0.25">
      <c r="A2991" t="s">
        <v>8050</v>
      </c>
      <c r="B2991" t="s">
        <v>9479</v>
      </c>
      <c r="C2991" t="s">
        <v>798</v>
      </c>
      <c r="D2991" t="s">
        <v>799</v>
      </c>
      <c r="E2991" t="s">
        <v>800</v>
      </c>
      <c r="F2991" t="s">
        <v>9480</v>
      </c>
      <c r="G2991" s="2" t="str">
        <f>HYPERLINK("https://probpalata.gov.ru/files/ЮЛ780300308201136.jpeg","Скачать индивидуальный QR-код магазина")</f>
        <v>Скачать индивидуальный QR-код магазина</v>
      </c>
    </row>
    <row r="2992" spans="1:7" x14ac:dyDescent="0.25">
      <c r="A2992" t="s">
        <v>8050</v>
      </c>
      <c r="B2992" t="s">
        <v>9481</v>
      </c>
      <c r="C2992" t="s">
        <v>798</v>
      </c>
      <c r="D2992" t="s">
        <v>799</v>
      </c>
      <c r="E2992" t="s">
        <v>800</v>
      </c>
      <c r="F2992" t="s">
        <v>9482</v>
      </c>
      <c r="G2992" s="2" t="str">
        <f>HYPERLINK("https://probpalata.gov.ru/files/ЮЛ780300308201148.jpeg","Скачать индивидуальный QR-код магазина")</f>
        <v>Скачать индивидуальный QR-код магазина</v>
      </c>
    </row>
    <row r="2993" spans="1:7" x14ac:dyDescent="0.25">
      <c r="A2993" t="s">
        <v>8050</v>
      </c>
      <c r="B2993" t="s">
        <v>8447</v>
      </c>
      <c r="C2993" t="s">
        <v>9483</v>
      </c>
      <c r="D2993" t="s">
        <v>9484</v>
      </c>
      <c r="E2993" t="s">
        <v>9485</v>
      </c>
      <c r="F2993" t="s">
        <v>9486</v>
      </c>
      <c r="G2993" s="2" t="str">
        <f>HYPERLINK("https://probpalata.gov.ru/files/ЮЛ780300379600020.jpeg","Скачать индивидуальный QR-код магазина")</f>
        <v>Скачать индивидуальный QR-код магазина</v>
      </c>
    </row>
    <row r="2994" spans="1:7" x14ac:dyDescent="0.25">
      <c r="A2994" t="s">
        <v>8050</v>
      </c>
      <c r="B2994" t="s">
        <v>9487</v>
      </c>
      <c r="C2994" t="s">
        <v>9483</v>
      </c>
      <c r="D2994" t="s">
        <v>9484</v>
      </c>
      <c r="E2994" t="s">
        <v>9485</v>
      </c>
      <c r="F2994" t="s">
        <v>9488</v>
      </c>
      <c r="G2994" s="2" t="str">
        <f>HYPERLINK("https://probpalata.gov.ru/files/ЮЛ780300379600055.jpeg","Скачать индивидуальный QR-код магазина")</f>
        <v>Скачать индивидуальный QR-код магазина</v>
      </c>
    </row>
    <row r="2995" spans="1:7" x14ac:dyDescent="0.25">
      <c r="A2995" t="s">
        <v>8050</v>
      </c>
      <c r="B2995" t="s">
        <v>9469</v>
      </c>
      <c r="C2995" t="s">
        <v>9483</v>
      </c>
      <c r="D2995" t="s">
        <v>9484</v>
      </c>
      <c r="E2995" t="s">
        <v>9485</v>
      </c>
      <c r="F2995" t="s">
        <v>9489</v>
      </c>
      <c r="G2995" s="2" t="str">
        <f>HYPERLINK("https://probpalata.gov.ru/files/ЮЛ780300379600056.jpeg","Скачать индивидуальный QR-код магазина")</f>
        <v>Скачать индивидуальный QR-код магазина</v>
      </c>
    </row>
    <row r="2996" spans="1:7" x14ac:dyDescent="0.25">
      <c r="A2996" t="s">
        <v>8050</v>
      </c>
      <c r="B2996" t="s">
        <v>9490</v>
      </c>
      <c r="C2996" t="s">
        <v>1501</v>
      </c>
      <c r="D2996" t="s">
        <v>1502</v>
      </c>
      <c r="E2996" t="s">
        <v>1503</v>
      </c>
      <c r="F2996" t="s">
        <v>9491</v>
      </c>
      <c r="G2996" s="2" t="str">
        <f>HYPERLINK("https://probpalata.gov.ru/files/ЮЛ770100439200203.jpeg","Скачать индивидуальный QR-код магазина")</f>
        <v>Скачать индивидуальный QR-код магазина</v>
      </c>
    </row>
    <row r="2997" spans="1:7" x14ac:dyDescent="0.25">
      <c r="A2997" t="s">
        <v>8050</v>
      </c>
      <c r="B2997" t="s">
        <v>9451</v>
      </c>
      <c r="C2997" t="s">
        <v>1853</v>
      </c>
      <c r="D2997" t="s">
        <v>1854</v>
      </c>
      <c r="E2997" t="s">
        <v>1855</v>
      </c>
      <c r="F2997" t="s">
        <v>9492</v>
      </c>
      <c r="G2997" s="2" t="str">
        <f>HYPERLINK("https://probpalata.gov.ru/files/ЮЛ770104000500010.jpeg","Скачать индивидуальный QR-код магазина")</f>
        <v>Скачать индивидуальный QR-код магазина</v>
      </c>
    </row>
    <row r="2998" spans="1:7" x14ac:dyDescent="0.25">
      <c r="A2998" t="s">
        <v>9493</v>
      </c>
      <c r="B2998" t="s">
        <v>9494</v>
      </c>
      <c r="C2998" t="s">
        <v>9495</v>
      </c>
      <c r="D2998" t="s">
        <v>9496</v>
      </c>
      <c r="E2998" t="s">
        <v>9497</v>
      </c>
      <c r="F2998" t="s">
        <v>9498</v>
      </c>
      <c r="G2998" s="2" t="str">
        <f>HYPERLINK("https://probpalata.gov.ru/files/ЮЛ020603117700073.jpeg","Скачать индивидуальный QR-код магазина")</f>
        <v>Скачать индивидуальный QR-код магазина</v>
      </c>
    </row>
    <row r="2999" spans="1:7" x14ac:dyDescent="0.25">
      <c r="A2999" t="s">
        <v>9493</v>
      </c>
      <c r="B2999" t="s">
        <v>9499</v>
      </c>
      <c r="C2999" t="s">
        <v>2647</v>
      </c>
      <c r="D2999" t="s">
        <v>2648</v>
      </c>
      <c r="E2999" t="s">
        <v>2649</v>
      </c>
      <c r="F2999" t="s">
        <v>9500</v>
      </c>
      <c r="G2999" s="2" t="str">
        <f>HYPERLINK("https://probpalata.gov.ru/files/ИП610400007100009.jpeg","Скачать индивидуальный QR-код магазина")</f>
        <v>Скачать индивидуальный QR-код магазина</v>
      </c>
    </row>
    <row r="3000" spans="1:7" x14ac:dyDescent="0.25">
      <c r="A3000" t="s">
        <v>9493</v>
      </c>
      <c r="B3000" t="s">
        <v>9501</v>
      </c>
      <c r="C3000" t="s">
        <v>2647</v>
      </c>
      <c r="D3000" t="s">
        <v>2648</v>
      </c>
      <c r="E3000" t="s">
        <v>2649</v>
      </c>
      <c r="F3000" t="s">
        <v>9502</v>
      </c>
      <c r="G3000" s="2" t="str">
        <f>HYPERLINK("https://probpalata.gov.ru/files/ИП610400007100024.jpeg","Скачать индивидуальный QR-код магазина")</f>
        <v>Скачать индивидуальный QR-код магазина</v>
      </c>
    </row>
    <row r="3001" spans="1:7" x14ac:dyDescent="0.25">
      <c r="A3001" t="s">
        <v>9493</v>
      </c>
      <c r="B3001" t="s">
        <v>9503</v>
      </c>
      <c r="C3001" t="s">
        <v>2647</v>
      </c>
      <c r="D3001" t="s">
        <v>2648</v>
      </c>
      <c r="E3001" t="s">
        <v>2649</v>
      </c>
      <c r="F3001" t="s">
        <v>9504</v>
      </c>
      <c r="G3001" s="2" t="str">
        <f>HYPERLINK("https://probpalata.gov.ru/files/ИП610400007100040.jpeg","Скачать индивидуальный QR-код магазина")</f>
        <v>Скачать индивидуальный QR-код магазина</v>
      </c>
    </row>
    <row r="3002" spans="1:7" x14ac:dyDescent="0.25">
      <c r="A3002" t="s">
        <v>9493</v>
      </c>
      <c r="B3002" t="s">
        <v>9505</v>
      </c>
      <c r="C3002" t="s">
        <v>2443</v>
      </c>
      <c r="D3002" t="s">
        <v>2444</v>
      </c>
      <c r="E3002" t="s">
        <v>2445</v>
      </c>
      <c r="F3002" t="s">
        <v>9506</v>
      </c>
      <c r="G3002" s="2" t="str">
        <f>HYPERLINK("https://probpalata.gov.ru/files/ИП770100193400003.jpeg","Скачать индивидуальный QR-код магазина")</f>
        <v>Скачать индивидуальный QR-код магазина</v>
      </c>
    </row>
    <row r="3003" spans="1:7" x14ac:dyDescent="0.25">
      <c r="A3003" t="s">
        <v>9493</v>
      </c>
      <c r="B3003" t="s">
        <v>9507</v>
      </c>
      <c r="C3003" t="s">
        <v>2443</v>
      </c>
      <c r="D3003" t="s">
        <v>2444</v>
      </c>
      <c r="E3003" t="s">
        <v>2445</v>
      </c>
      <c r="F3003" t="s">
        <v>9508</v>
      </c>
      <c r="G3003" s="2" t="str">
        <f>HYPERLINK("https://probpalata.gov.ru/files/ИП770100193400007.jpeg","Скачать индивидуальный QR-код магазина")</f>
        <v>Скачать индивидуальный QR-код магазина</v>
      </c>
    </row>
    <row r="3004" spans="1:7" x14ac:dyDescent="0.25">
      <c r="A3004" t="s">
        <v>9493</v>
      </c>
      <c r="B3004" t="s">
        <v>9509</v>
      </c>
      <c r="C3004" t="s">
        <v>2486</v>
      </c>
      <c r="D3004" t="s">
        <v>2487</v>
      </c>
      <c r="E3004" t="s">
        <v>2488</v>
      </c>
      <c r="F3004" t="s">
        <v>9510</v>
      </c>
      <c r="G3004" s="2" t="str">
        <f>HYPERLINK("https://probpalata.gov.ru/files/ЮЛ320100307600012.jpeg","Скачать индивидуальный QR-код магазина")</f>
        <v>Скачать индивидуальный QR-код магазина</v>
      </c>
    </row>
    <row r="3005" spans="1:7" x14ac:dyDescent="0.25">
      <c r="A3005" t="s">
        <v>9493</v>
      </c>
      <c r="B3005" t="s">
        <v>9511</v>
      </c>
      <c r="C3005" t="s">
        <v>9512</v>
      </c>
      <c r="D3005" t="s">
        <v>9513</v>
      </c>
      <c r="E3005" t="s">
        <v>9514</v>
      </c>
      <c r="F3005" t="s">
        <v>9515</v>
      </c>
      <c r="G3005" s="2" t="str">
        <f>HYPERLINK("https://probpalata.gov.ru/files/ИП400103060900000.jpeg","Скачать индивидуальный QR-код магазина")</f>
        <v>Скачать индивидуальный QR-код магазина</v>
      </c>
    </row>
    <row r="3006" spans="1:7" x14ac:dyDescent="0.25">
      <c r="A3006" t="s">
        <v>9493</v>
      </c>
      <c r="B3006" t="s">
        <v>9516</v>
      </c>
      <c r="C3006" t="s">
        <v>9517</v>
      </c>
      <c r="D3006" t="s">
        <v>9518</v>
      </c>
      <c r="E3006" t="s">
        <v>9519</v>
      </c>
      <c r="F3006" t="s">
        <v>9520</v>
      </c>
      <c r="G3006" s="2" t="str">
        <f>HYPERLINK("https://probpalata.gov.ru/files/ИП400101696600000.jpeg","Скачать индивидуальный QR-код магазина")</f>
        <v>Скачать индивидуальный QR-код магазина</v>
      </c>
    </row>
    <row r="3007" spans="1:7" x14ac:dyDescent="0.25">
      <c r="A3007" t="s">
        <v>9493</v>
      </c>
      <c r="B3007" t="s">
        <v>9521</v>
      </c>
      <c r="C3007" t="s">
        <v>9522</v>
      </c>
      <c r="D3007" t="s">
        <v>9523</v>
      </c>
      <c r="E3007" t="s">
        <v>9524</v>
      </c>
      <c r="F3007" t="s">
        <v>9525</v>
      </c>
      <c r="G3007" s="2" t="str">
        <f>HYPERLINK("https://probpalata.gov.ru/files/ИП400101813200000.jpeg","Скачать индивидуальный QR-код магазина")</f>
        <v>Скачать индивидуальный QR-код магазина</v>
      </c>
    </row>
    <row r="3008" spans="1:7" x14ac:dyDescent="0.25">
      <c r="A3008" t="s">
        <v>9493</v>
      </c>
      <c r="B3008" t="s">
        <v>9526</v>
      </c>
      <c r="C3008" t="s">
        <v>9527</v>
      </c>
      <c r="D3008" t="s">
        <v>9528</v>
      </c>
      <c r="E3008" t="s">
        <v>9529</v>
      </c>
      <c r="F3008" t="s">
        <v>9530</v>
      </c>
      <c r="G3008" s="2" t="str">
        <f>HYPERLINK("https://probpalata.gov.ru/files/ИП400101075000000.jpeg","Скачать индивидуальный QR-код магазина")</f>
        <v>Скачать индивидуальный QR-код магазина</v>
      </c>
    </row>
    <row r="3009" spans="1:7" x14ac:dyDescent="0.25">
      <c r="A3009" t="s">
        <v>9493</v>
      </c>
      <c r="B3009" t="s">
        <v>9531</v>
      </c>
      <c r="C3009" t="s">
        <v>9532</v>
      </c>
      <c r="D3009" t="s">
        <v>9533</v>
      </c>
      <c r="E3009" t="s">
        <v>9534</v>
      </c>
      <c r="F3009" t="s">
        <v>9535</v>
      </c>
      <c r="G3009" s="2" t="str">
        <f>HYPERLINK("https://probpalata.gov.ru/files/ИП400100478000000.jpeg","Скачать индивидуальный QR-код магазина")</f>
        <v>Скачать индивидуальный QR-код магазина</v>
      </c>
    </row>
    <row r="3010" spans="1:7" x14ac:dyDescent="0.25">
      <c r="A3010" t="s">
        <v>9493</v>
      </c>
      <c r="B3010" t="s">
        <v>9536</v>
      </c>
      <c r="C3010" t="s">
        <v>9532</v>
      </c>
      <c r="D3010" t="s">
        <v>9533</v>
      </c>
      <c r="E3010" t="s">
        <v>9534</v>
      </c>
      <c r="F3010" t="s">
        <v>9537</v>
      </c>
      <c r="G3010" s="2" t="str">
        <f>HYPERLINK("https://probpalata.gov.ru/files/ИП400100478000001.jpeg","Скачать индивидуальный QR-код магазина")</f>
        <v>Скачать индивидуальный QR-код магазина</v>
      </c>
    </row>
    <row r="3011" spans="1:7" x14ac:dyDescent="0.25">
      <c r="A3011" t="s">
        <v>9493</v>
      </c>
      <c r="B3011" t="s">
        <v>9538</v>
      </c>
      <c r="C3011" t="s">
        <v>9532</v>
      </c>
      <c r="D3011" t="s">
        <v>9533</v>
      </c>
      <c r="E3011" t="s">
        <v>9534</v>
      </c>
      <c r="F3011" t="s">
        <v>9539</v>
      </c>
      <c r="G3011" s="2" t="str">
        <f>HYPERLINK("https://probpalata.gov.ru/files/ИП400100478000002.jpeg","Скачать индивидуальный QR-код магазина")</f>
        <v>Скачать индивидуальный QR-код магазина</v>
      </c>
    </row>
    <row r="3012" spans="1:7" x14ac:dyDescent="0.25">
      <c r="A3012" t="s">
        <v>9493</v>
      </c>
      <c r="B3012" t="s">
        <v>9540</v>
      </c>
      <c r="C3012" t="s">
        <v>9541</v>
      </c>
      <c r="D3012" t="s">
        <v>9542</v>
      </c>
      <c r="E3012" t="s">
        <v>9543</v>
      </c>
      <c r="F3012" t="s">
        <v>9544</v>
      </c>
      <c r="G3012" s="2" t="str">
        <f>HYPERLINK("https://probpalata.gov.ru/files/ИП400100294000000.jpeg","Скачать индивидуальный QR-код магазина")</f>
        <v>Скачать индивидуальный QR-код магазина</v>
      </c>
    </row>
    <row r="3013" spans="1:7" x14ac:dyDescent="0.25">
      <c r="A3013" t="s">
        <v>9493</v>
      </c>
      <c r="B3013" t="s">
        <v>9545</v>
      </c>
      <c r="C3013" t="s">
        <v>9546</v>
      </c>
      <c r="D3013" t="s">
        <v>9547</v>
      </c>
      <c r="E3013" t="s">
        <v>9548</v>
      </c>
      <c r="F3013" t="s">
        <v>9549</v>
      </c>
      <c r="G3013" s="2" t="str">
        <f>HYPERLINK("https://probpalata.gov.ru/files/ИП400100417600000.jpeg","Скачать индивидуальный QR-код магазина")</f>
        <v>Скачать индивидуальный QR-код магазина</v>
      </c>
    </row>
    <row r="3014" spans="1:7" x14ac:dyDescent="0.25">
      <c r="A3014" t="s">
        <v>9493</v>
      </c>
      <c r="B3014" t="s">
        <v>9550</v>
      </c>
      <c r="C3014" t="s">
        <v>9546</v>
      </c>
      <c r="D3014" t="s">
        <v>9547</v>
      </c>
      <c r="E3014" t="s">
        <v>9548</v>
      </c>
      <c r="F3014" t="s">
        <v>9551</v>
      </c>
      <c r="G3014" s="2" t="str">
        <f>HYPERLINK("https://probpalata.gov.ru/files/ИП400100417600001.jpeg","Скачать индивидуальный QR-код магазина")</f>
        <v>Скачать индивидуальный QR-код магазина</v>
      </c>
    </row>
    <row r="3015" spans="1:7" x14ac:dyDescent="0.25">
      <c r="A3015" t="s">
        <v>9493</v>
      </c>
      <c r="B3015" t="s">
        <v>9552</v>
      </c>
      <c r="C3015" t="s">
        <v>9546</v>
      </c>
      <c r="D3015" t="s">
        <v>9547</v>
      </c>
      <c r="E3015" t="s">
        <v>9548</v>
      </c>
      <c r="F3015" t="s">
        <v>9553</v>
      </c>
      <c r="G3015" s="2" t="str">
        <f>HYPERLINK("https://probpalata.gov.ru/files/ИП400100417600002.jpeg","Скачать индивидуальный QR-код магазина")</f>
        <v>Скачать индивидуальный QR-код магазина</v>
      </c>
    </row>
    <row r="3016" spans="1:7" x14ac:dyDescent="0.25">
      <c r="A3016" t="s">
        <v>9493</v>
      </c>
      <c r="B3016" t="s">
        <v>9554</v>
      </c>
      <c r="C3016" t="s">
        <v>9546</v>
      </c>
      <c r="D3016" t="s">
        <v>9547</v>
      </c>
      <c r="E3016" t="s">
        <v>9548</v>
      </c>
      <c r="F3016" t="s">
        <v>9555</v>
      </c>
      <c r="G3016" s="2" t="str">
        <f>HYPERLINK("https://probpalata.gov.ru/files/ИП400100417600003.jpeg","Скачать индивидуальный QR-код магазина")</f>
        <v>Скачать индивидуальный QR-код магазина</v>
      </c>
    </row>
    <row r="3017" spans="1:7" x14ac:dyDescent="0.25">
      <c r="A3017" t="s">
        <v>9493</v>
      </c>
      <c r="B3017" t="s">
        <v>9556</v>
      </c>
      <c r="C3017" t="s">
        <v>9557</v>
      </c>
      <c r="D3017" t="s">
        <v>9558</v>
      </c>
      <c r="E3017" t="s">
        <v>9559</v>
      </c>
      <c r="F3017" t="s">
        <v>9560</v>
      </c>
      <c r="G3017" s="2" t="str">
        <f>HYPERLINK("https://probpalata.gov.ru/files/ЮЛ400100452200000.jpeg","Скачать индивидуальный QR-код магазина")</f>
        <v>Скачать индивидуальный QR-код магазина</v>
      </c>
    </row>
    <row r="3018" spans="1:7" x14ac:dyDescent="0.25">
      <c r="A3018" t="s">
        <v>9493</v>
      </c>
      <c r="B3018" t="s">
        <v>9561</v>
      </c>
      <c r="C3018" t="s">
        <v>9562</v>
      </c>
      <c r="D3018" t="s">
        <v>9563</v>
      </c>
      <c r="E3018" t="s">
        <v>9564</v>
      </c>
      <c r="F3018" t="s">
        <v>9565</v>
      </c>
      <c r="G3018" s="2" t="str">
        <f>HYPERLINK("https://probpalata.gov.ru/files/ИП400100732700000.jpeg","Скачать индивидуальный QR-код магазина")</f>
        <v>Скачать индивидуальный QR-код магазина</v>
      </c>
    </row>
    <row r="3019" spans="1:7" x14ac:dyDescent="0.25">
      <c r="A3019" t="s">
        <v>9493</v>
      </c>
      <c r="B3019" t="s">
        <v>9566</v>
      </c>
      <c r="C3019" t="s">
        <v>9562</v>
      </c>
      <c r="D3019" t="s">
        <v>9563</v>
      </c>
      <c r="E3019" t="s">
        <v>9564</v>
      </c>
      <c r="F3019" t="s">
        <v>9567</v>
      </c>
      <c r="G3019" s="2" t="str">
        <f>HYPERLINK("https://probpalata.gov.ru/files/ИП400100732700002.jpeg","Скачать индивидуальный QR-код магазина")</f>
        <v>Скачать индивидуальный QR-код магазина</v>
      </c>
    </row>
    <row r="3020" spans="1:7" x14ac:dyDescent="0.25">
      <c r="A3020" t="s">
        <v>9493</v>
      </c>
      <c r="B3020" t="s">
        <v>9568</v>
      </c>
      <c r="C3020" t="s">
        <v>9562</v>
      </c>
      <c r="D3020" t="s">
        <v>9563</v>
      </c>
      <c r="E3020" t="s">
        <v>9564</v>
      </c>
      <c r="F3020" t="s">
        <v>9569</v>
      </c>
      <c r="G3020" s="2" t="str">
        <f>HYPERLINK("https://probpalata.gov.ru/files/ИП400100732700003.jpeg","Скачать индивидуальный QR-код магазина")</f>
        <v>Скачать индивидуальный QR-код магазина</v>
      </c>
    </row>
    <row r="3021" spans="1:7" x14ac:dyDescent="0.25">
      <c r="A3021" t="s">
        <v>9493</v>
      </c>
      <c r="B3021" t="s">
        <v>9570</v>
      </c>
      <c r="C3021" t="s">
        <v>9562</v>
      </c>
      <c r="D3021" t="s">
        <v>9563</v>
      </c>
      <c r="E3021" t="s">
        <v>9564</v>
      </c>
      <c r="F3021" t="s">
        <v>9571</v>
      </c>
      <c r="G3021" s="2" t="str">
        <f>HYPERLINK("https://probpalata.gov.ru/files/ИП400100732700004.jpeg","Скачать индивидуальный QR-код магазина")</f>
        <v>Скачать индивидуальный QR-код магазина</v>
      </c>
    </row>
    <row r="3022" spans="1:7" x14ac:dyDescent="0.25">
      <c r="A3022" t="s">
        <v>9493</v>
      </c>
      <c r="B3022" t="s">
        <v>9572</v>
      </c>
      <c r="C3022" t="s">
        <v>9573</v>
      </c>
      <c r="D3022" t="s">
        <v>9574</v>
      </c>
      <c r="E3022" t="s">
        <v>9575</v>
      </c>
      <c r="F3022" t="s">
        <v>9576</v>
      </c>
      <c r="G3022" s="2" t="str">
        <f>HYPERLINK("https://probpalata.gov.ru/files/ЮЛ400100976800000.jpeg","Скачать индивидуальный QR-код магазина")</f>
        <v>Скачать индивидуальный QR-код магазина</v>
      </c>
    </row>
    <row r="3023" spans="1:7" x14ac:dyDescent="0.25">
      <c r="A3023" t="s">
        <v>9493</v>
      </c>
      <c r="B3023" t="s">
        <v>9577</v>
      </c>
      <c r="C3023" t="s">
        <v>9578</v>
      </c>
      <c r="D3023" t="s">
        <v>9579</v>
      </c>
      <c r="E3023" t="s">
        <v>9580</v>
      </c>
      <c r="F3023" t="s">
        <v>9581</v>
      </c>
      <c r="G3023" s="2" t="str">
        <f>HYPERLINK("https://probpalata.gov.ru/files/ИП400103123400000.jpeg","Скачать индивидуальный QR-код магазина")</f>
        <v>Скачать индивидуальный QR-код магазина</v>
      </c>
    </row>
    <row r="3024" spans="1:7" x14ac:dyDescent="0.25">
      <c r="A3024" t="s">
        <v>9493</v>
      </c>
      <c r="B3024" t="s">
        <v>9582</v>
      </c>
      <c r="C3024" t="s">
        <v>9583</v>
      </c>
      <c r="D3024" t="s">
        <v>9584</v>
      </c>
      <c r="E3024" t="s">
        <v>9585</v>
      </c>
      <c r="F3024" t="s">
        <v>9586</v>
      </c>
      <c r="G3024" s="2" t="str">
        <f>HYPERLINK("https://probpalata.gov.ru/files/ИП500103304300000.jpeg","Скачать индивидуальный QR-код магазина")</f>
        <v>Скачать индивидуальный QR-код магазина</v>
      </c>
    </row>
    <row r="3025" spans="1:7" x14ac:dyDescent="0.25">
      <c r="A3025" t="s">
        <v>9493</v>
      </c>
      <c r="B3025" t="s">
        <v>9587</v>
      </c>
      <c r="C3025" t="s">
        <v>9588</v>
      </c>
      <c r="D3025" t="s">
        <v>9589</v>
      </c>
      <c r="E3025" t="s">
        <v>9590</v>
      </c>
      <c r="F3025" t="s">
        <v>9591</v>
      </c>
      <c r="G3025" s="2" t="str">
        <f>HYPERLINK("https://probpalata.gov.ru/files/ИП400101744700000.jpeg","Скачать индивидуальный QR-код магазина")</f>
        <v>Скачать индивидуальный QR-код магазина</v>
      </c>
    </row>
    <row r="3026" spans="1:7" x14ac:dyDescent="0.25">
      <c r="A3026" t="s">
        <v>9493</v>
      </c>
      <c r="B3026" t="s">
        <v>9592</v>
      </c>
      <c r="C3026" t="s">
        <v>9593</v>
      </c>
      <c r="D3026" t="s">
        <v>9594</v>
      </c>
      <c r="E3026" t="s">
        <v>9595</v>
      </c>
      <c r="F3026" t="s">
        <v>9596</v>
      </c>
      <c r="G3026" s="2" t="str">
        <f>HYPERLINK("https://probpalata.gov.ru/files/ЮЛ400100022100000.jpeg","Скачать индивидуальный QR-код магазина")</f>
        <v>Скачать индивидуальный QR-код магазина</v>
      </c>
    </row>
    <row r="3027" spans="1:7" x14ac:dyDescent="0.25">
      <c r="A3027" t="s">
        <v>9493</v>
      </c>
      <c r="B3027" t="s">
        <v>9597</v>
      </c>
      <c r="C3027" t="s">
        <v>9598</v>
      </c>
      <c r="D3027" t="s">
        <v>9599</v>
      </c>
      <c r="E3027" t="s">
        <v>9600</v>
      </c>
      <c r="F3027" t="s">
        <v>9601</v>
      </c>
      <c r="G3027" s="2" t="str">
        <f>HYPERLINK("https://probpalata.gov.ru/files/ЮЛ400100584600000.jpeg","Скачать индивидуальный QR-код магазина")</f>
        <v>Скачать индивидуальный QR-код магазина</v>
      </c>
    </row>
    <row r="3028" spans="1:7" x14ac:dyDescent="0.25">
      <c r="A3028" t="s">
        <v>9493</v>
      </c>
      <c r="B3028" t="s">
        <v>9602</v>
      </c>
      <c r="C3028" t="s">
        <v>9603</v>
      </c>
      <c r="D3028" t="s">
        <v>9604</v>
      </c>
      <c r="E3028" t="s">
        <v>9605</v>
      </c>
      <c r="F3028" t="s">
        <v>9606</v>
      </c>
      <c r="G3028" s="2" t="str">
        <f>HYPERLINK("https://probpalata.gov.ru/files/ЮЛ400103730600000.jpeg","Скачать индивидуальный QR-код магазина")</f>
        <v>Скачать индивидуальный QR-код магазина</v>
      </c>
    </row>
    <row r="3029" spans="1:7" x14ac:dyDescent="0.25">
      <c r="A3029" t="s">
        <v>9493</v>
      </c>
      <c r="B3029" t="s">
        <v>9607</v>
      </c>
      <c r="C3029" t="s">
        <v>9608</v>
      </c>
      <c r="D3029" t="s">
        <v>9609</v>
      </c>
      <c r="E3029" t="s">
        <v>9610</v>
      </c>
      <c r="F3029" t="s">
        <v>9611</v>
      </c>
      <c r="G3029" s="2" t="str">
        <f>HYPERLINK("https://probpalata.gov.ru/files/ЮЛ400100389900000.jpeg","Скачать индивидуальный QR-код магазина")</f>
        <v>Скачать индивидуальный QR-код магазина</v>
      </c>
    </row>
    <row r="3030" spans="1:7" x14ac:dyDescent="0.25">
      <c r="A3030" t="s">
        <v>9493</v>
      </c>
      <c r="B3030" t="s">
        <v>9612</v>
      </c>
      <c r="C3030" t="s">
        <v>9613</v>
      </c>
      <c r="D3030" t="s">
        <v>9614</v>
      </c>
      <c r="E3030" t="s">
        <v>9615</v>
      </c>
      <c r="F3030" t="s">
        <v>9616</v>
      </c>
      <c r="G3030" s="2" t="str">
        <f>HYPERLINK("https://probpalata.gov.ru/files/ИП400104007500000.jpeg","Скачать индивидуальный QR-код магазина")</f>
        <v>Скачать индивидуальный QR-код магазина</v>
      </c>
    </row>
    <row r="3031" spans="1:7" x14ac:dyDescent="0.25">
      <c r="A3031" t="s">
        <v>9493</v>
      </c>
      <c r="B3031" t="s">
        <v>9607</v>
      </c>
      <c r="C3031" t="s">
        <v>9617</v>
      </c>
      <c r="D3031" t="s">
        <v>9618</v>
      </c>
      <c r="E3031" t="s">
        <v>9619</v>
      </c>
      <c r="F3031" t="s">
        <v>9620</v>
      </c>
      <c r="G3031" s="2" t="str">
        <f>HYPERLINK("https://probpalata.gov.ru/files/ИП400100374000000.jpeg","Скачать индивидуальный QR-код магазина")</f>
        <v>Скачать индивидуальный QR-код магазина</v>
      </c>
    </row>
    <row r="3032" spans="1:7" x14ac:dyDescent="0.25">
      <c r="A3032" t="s">
        <v>9493</v>
      </c>
      <c r="B3032" t="s">
        <v>9621</v>
      </c>
      <c r="C3032" t="s">
        <v>9622</v>
      </c>
      <c r="D3032" t="s">
        <v>9623</v>
      </c>
      <c r="E3032" t="s">
        <v>9624</v>
      </c>
      <c r="F3032" t="s">
        <v>9625</v>
      </c>
      <c r="G3032" s="2" t="str">
        <f>HYPERLINK("https://probpalata.gov.ru/files/ЮЛ400100325000000.jpeg","Скачать индивидуальный QR-код магазина")</f>
        <v>Скачать индивидуальный QR-код магазина</v>
      </c>
    </row>
    <row r="3033" spans="1:7" x14ac:dyDescent="0.25">
      <c r="A3033" t="s">
        <v>9493</v>
      </c>
      <c r="B3033" t="s">
        <v>9626</v>
      </c>
      <c r="C3033" t="s">
        <v>9622</v>
      </c>
      <c r="D3033" t="s">
        <v>9623</v>
      </c>
      <c r="E3033" t="s">
        <v>9624</v>
      </c>
      <c r="F3033" t="s">
        <v>9627</v>
      </c>
      <c r="G3033" s="2" t="str">
        <f>HYPERLINK("https://probpalata.gov.ru/files/ЮЛ400100325000002.jpeg","Скачать индивидуальный QR-код магазина")</f>
        <v>Скачать индивидуальный QR-код магазина</v>
      </c>
    </row>
    <row r="3034" spans="1:7" x14ac:dyDescent="0.25">
      <c r="A3034" t="s">
        <v>9493</v>
      </c>
      <c r="B3034" t="s">
        <v>9628</v>
      </c>
      <c r="C3034" t="s">
        <v>9629</v>
      </c>
      <c r="D3034" t="s">
        <v>9630</v>
      </c>
      <c r="E3034" t="s">
        <v>9631</v>
      </c>
      <c r="F3034" t="s">
        <v>9632</v>
      </c>
      <c r="G3034" s="2" t="str">
        <f>HYPERLINK("https://probpalata.gov.ru/files/ИП400104080400000.jpeg","Скачать индивидуальный QR-код магазина")</f>
        <v>Скачать индивидуальный QR-код магазина</v>
      </c>
    </row>
    <row r="3035" spans="1:7" x14ac:dyDescent="0.25">
      <c r="A3035" t="s">
        <v>9493</v>
      </c>
      <c r="B3035" t="s">
        <v>9633</v>
      </c>
      <c r="C3035" t="s">
        <v>9634</v>
      </c>
      <c r="D3035" t="s">
        <v>9635</v>
      </c>
      <c r="E3035" t="s">
        <v>9636</v>
      </c>
      <c r="F3035" t="s">
        <v>9637</v>
      </c>
      <c r="G3035" s="2" t="str">
        <f>HYPERLINK("https://probpalata.gov.ru/files/ИП400101478800000.jpeg","Скачать индивидуальный QR-код магазина")</f>
        <v>Скачать индивидуальный QR-код магазина</v>
      </c>
    </row>
    <row r="3036" spans="1:7" x14ac:dyDescent="0.25">
      <c r="A3036" t="s">
        <v>9493</v>
      </c>
      <c r="B3036" t="s">
        <v>9638</v>
      </c>
      <c r="C3036" t="s">
        <v>2171</v>
      </c>
      <c r="D3036" t="s">
        <v>2172</v>
      </c>
      <c r="E3036" t="s">
        <v>2173</v>
      </c>
      <c r="F3036" t="s">
        <v>9639</v>
      </c>
      <c r="G3036" s="2" t="str">
        <f>HYPERLINK("https://probpalata.gov.ru/files/ЮЛ500100602500012.jpeg","Скачать индивидуальный QR-код магазина")</f>
        <v>Скачать индивидуальный QR-код магазина</v>
      </c>
    </row>
    <row r="3037" spans="1:7" x14ac:dyDescent="0.25">
      <c r="A3037" t="s">
        <v>9493</v>
      </c>
      <c r="B3037" t="s">
        <v>9640</v>
      </c>
      <c r="C3037" t="s">
        <v>2185</v>
      </c>
      <c r="D3037" t="s">
        <v>2186</v>
      </c>
      <c r="E3037" t="s">
        <v>2187</v>
      </c>
      <c r="F3037" t="s">
        <v>9641</v>
      </c>
      <c r="G3037" s="2" t="str">
        <f>HYPERLINK("https://probpalata.gov.ru/files/ЮЛ480100215000017.jpeg","Скачать индивидуальный QR-код магазина")</f>
        <v>Скачать индивидуальный QR-код магазина</v>
      </c>
    </row>
    <row r="3038" spans="1:7" x14ac:dyDescent="0.25">
      <c r="A3038" t="s">
        <v>9493</v>
      </c>
      <c r="B3038" t="s">
        <v>9642</v>
      </c>
      <c r="C3038" t="s">
        <v>2185</v>
      </c>
      <c r="D3038" t="s">
        <v>2186</v>
      </c>
      <c r="E3038" t="s">
        <v>2187</v>
      </c>
      <c r="F3038" t="s">
        <v>9643</v>
      </c>
      <c r="G3038" s="2" t="str">
        <f>HYPERLINK("https://probpalata.gov.ru/files/ЮЛ480100215000035.jpeg","Скачать индивидуальный QR-код магазина")</f>
        <v>Скачать индивидуальный QR-код магазина</v>
      </c>
    </row>
    <row r="3039" spans="1:7" x14ac:dyDescent="0.25">
      <c r="A3039" t="s">
        <v>9493</v>
      </c>
      <c r="B3039" t="s">
        <v>9644</v>
      </c>
      <c r="C3039" t="s">
        <v>2185</v>
      </c>
      <c r="D3039" t="s">
        <v>2186</v>
      </c>
      <c r="E3039" t="s">
        <v>2187</v>
      </c>
      <c r="F3039" t="s">
        <v>9645</v>
      </c>
      <c r="G3039" s="2" t="str">
        <f>HYPERLINK("https://probpalata.gov.ru/files/ЮЛ480100215000040.jpeg","Скачать индивидуальный QR-код магазина")</f>
        <v>Скачать индивидуальный QR-код магазина</v>
      </c>
    </row>
    <row r="3040" spans="1:7" x14ac:dyDescent="0.25">
      <c r="A3040" t="s">
        <v>9493</v>
      </c>
      <c r="B3040" t="s">
        <v>9646</v>
      </c>
      <c r="C3040" t="s">
        <v>671</v>
      </c>
      <c r="D3040" t="s">
        <v>672</v>
      </c>
      <c r="E3040" t="s">
        <v>673</v>
      </c>
      <c r="F3040" t="s">
        <v>9647</v>
      </c>
      <c r="G3040" s="2" t="str">
        <f>HYPERLINK("https://probpalata.gov.ru/files/ИП500100445500051.jpeg","Скачать индивидуальный QR-код магазина")</f>
        <v>Скачать индивидуальный QR-код магазина</v>
      </c>
    </row>
    <row r="3041" spans="1:7" x14ac:dyDescent="0.25">
      <c r="A3041" t="s">
        <v>9493</v>
      </c>
      <c r="B3041" t="s">
        <v>9648</v>
      </c>
      <c r="C3041" t="s">
        <v>1735</v>
      </c>
      <c r="D3041" t="s">
        <v>1736</v>
      </c>
      <c r="E3041" t="s">
        <v>1737</v>
      </c>
      <c r="F3041" t="s">
        <v>9649</v>
      </c>
      <c r="G3041" s="2" t="str">
        <f>HYPERLINK("https://probpalata.gov.ru/files/ЮЛ520603376600054.jpeg","Скачать индивидуальный QR-код магазина")</f>
        <v>Скачать индивидуальный QR-код магазина</v>
      </c>
    </row>
    <row r="3042" spans="1:7" x14ac:dyDescent="0.25">
      <c r="A3042" t="s">
        <v>9493</v>
      </c>
      <c r="B3042" t="s">
        <v>9650</v>
      </c>
      <c r="C3042" t="s">
        <v>703</v>
      </c>
      <c r="D3042" t="s">
        <v>704</v>
      </c>
      <c r="E3042" t="s">
        <v>705</v>
      </c>
      <c r="F3042" t="s">
        <v>9651</v>
      </c>
      <c r="G3042" s="2" t="str">
        <f>HYPERLINK("https://probpalata.gov.ru/files/ИП610400426600033.jpeg","Скачать индивидуальный QR-код магазина")</f>
        <v>Скачать индивидуальный QR-код магазина</v>
      </c>
    </row>
    <row r="3043" spans="1:7" x14ac:dyDescent="0.25">
      <c r="A3043" t="s">
        <v>9493</v>
      </c>
      <c r="B3043" t="s">
        <v>9652</v>
      </c>
      <c r="C3043" t="s">
        <v>3133</v>
      </c>
      <c r="D3043" t="s">
        <v>3134</v>
      </c>
      <c r="E3043" t="s">
        <v>3135</v>
      </c>
      <c r="F3043" t="s">
        <v>9653</v>
      </c>
      <c r="G3043" s="2" t="str">
        <f>HYPERLINK("https://probpalata.gov.ru/files/ИП610401294100009.jpeg","Скачать индивидуальный QR-код магазина")</f>
        <v>Скачать индивидуальный QR-код магазина</v>
      </c>
    </row>
    <row r="3044" spans="1:7" x14ac:dyDescent="0.25">
      <c r="A3044" t="s">
        <v>9493</v>
      </c>
      <c r="B3044" t="s">
        <v>9654</v>
      </c>
      <c r="C3044" t="s">
        <v>3133</v>
      </c>
      <c r="D3044" t="s">
        <v>3134</v>
      </c>
      <c r="E3044" t="s">
        <v>3135</v>
      </c>
      <c r="F3044" t="s">
        <v>9655</v>
      </c>
      <c r="G3044" s="2" t="str">
        <f>HYPERLINK("https://probpalata.gov.ru/files/ИП610401294100041.jpeg","Скачать индивидуальный QR-код магазина")</f>
        <v>Скачать индивидуальный QR-код магазина</v>
      </c>
    </row>
    <row r="3045" spans="1:7" x14ac:dyDescent="0.25">
      <c r="A3045" t="s">
        <v>9493</v>
      </c>
      <c r="B3045" t="s">
        <v>9656</v>
      </c>
      <c r="C3045" t="s">
        <v>9657</v>
      </c>
      <c r="D3045" t="s">
        <v>9658</v>
      </c>
      <c r="E3045" t="s">
        <v>9659</v>
      </c>
      <c r="F3045" t="s">
        <v>9660</v>
      </c>
      <c r="G3045" s="2" t="str">
        <f>HYPERLINK("https://probpalata.gov.ru/files/ЮЛ670100347500001.jpeg","Скачать индивидуальный QR-код магазина")</f>
        <v>Скачать индивидуальный QR-код магазина</v>
      </c>
    </row>
    <row r="3046" spans="1:7" x14ac:dyDescent="0.25">
      <c r="A3046" t="s">
        <v>9493</v>
      </c>
      <c r="B3046" t="s">
        <v>9661</v>
      </c>
      <c r="C3046" t="s">
        <v>9662</v>
      </c>
      <c r="D3046" t="s">
        <v>9663</v>
      </c>
      <c r="E3046" t="s">
        <v>9664</v>
      </c>
      <c r="F3046" t="s">
        <v>9665</v>
      </c>
      <c r="G3046" s="2" t="str">
        <f>HYPERLINK("https://probpalata.gov.ru/files/ЮЛ400100866000000.jpeg","Скачать индивидуальный QR-код магазина")</f>
        <v>Скачать индивидуальный QR-код магазина</v>
      </c>
    </row>
    <row r="3047" spans="1:7" x14ac:dyDescent="0.25">
      <c r="A3047" t="s">
        <v>9493</v>
      </c>
      <c r="B3047" t="s">
        <v>9666</v>
      </c>
      <c r="C3047" t="s">
        <v>9667</v>
      </c>
      <c r="D3047" t="s">
        <v>9668</v>
      </c>
      <c r="E3047" t="s">
        <v>9669</v>
      </c>
      <c r="F3047" t="s">
        <v>9670</v>
      </c>
      <c r="G3047" s="2" t="str">
        <f>HYPERLINK("https://probpalata.gov.ru/files/ЮЛ400100184100000.jpeg","Скачать индивидуальный QR-код магазина")</f>
        <v>Скачать индивидуальный QR-код магазина</v>
      </c>
    </row>
    <row r="3048" spans="1:7" x14ac:dyDescent="0.25">
      <c r="A3048" t="s">
        <v>9493</v>
      </c>
      <c r="B3048" t="s">
        <v>9671</v>
      </c>
      <c r="C3048" t="s">
        <v>713</v>
      </c>
      <c r="D3048" t="s">
        <v>714</v>
      </c>
      <c r="E3048" t="s">
        <v>715</v>
      </c>
      <c r="F3048" t="s">
        <v>9672</v>
      </c>
      <c r="G3048" s="2" t="str">
        <f>HYPERLINK("https://probpalata.gov.ru/files/ЮЛ770101216600289.jpeg","Скачать индивидуальный QR-код магазина")</f>
        <v>Скачать индивидуальный QR-код магазина</v>
      </c>
    </row>
    <row r="3049" spans="1:7" x14ac:dyDescent="0.25">
      <c r="A3049" t="s">
        <v>9493</v>
      </c>
      <c r="B3049" t="s">
        <v>9673</v>
      </c>
      <c r="C3049" t="s">
        <v>713</v>
      </c>
      <c r="D3049" t="s">
        <v>714</v>
      </c>
      <c r="E3049" t="s">
        <v>715</v>
      </c>
      <c r="F3049" t="s">
        <v>9674</v>
      </c>
      <c r="G3049" s="2" t="str">
        <f>HYPERLINK("https://probpalata.gov.ru/files/ЮЛ770101216600333.jpeg","Скачать индивидуальный QR-код магазина")</f>
        <v>Скачать индивидуальный QR-код магазина</v>
      </c>
    </row>
    <row r="3050" spans="1:7" x14ac:dyDescent="0.25">
      <c r="A3050" t="s">
        <v>9493</v>
      </c>
      <c r="B3050" t="s">
        <v>9675</v>
      </c>
      <c r="C3050" t="s">
        <v>713</v>
      </c>
      <c r="D3050" t="s">
        <v>714</v>
      </c>
      <c r="E3050" t="s">
        <v>715</v>
      </c>
      <c r="F3050" t="s">
        <v>9676</v>
      </c>
      <c r="G3050" s="2" t="str">
        <f>HYPERLINK("https://probpalata.gov.ru/files/ЮЛ770101216600609.jpeg","Скачать индивидуальный QR-код магазина")</f>
        <v>Скачать индивидуальный QR-код магазина</v>
      </c>
    </row>
    <row r="3051" spans="1:7" x14ac:dyDescent="0.25">
      <c r="A3051" t="s">
        <v>9493</v>
      </c>
      <c r="B3051" t="s">
        <v>9677</v>
      </c>
      <c r="C3051" t="s">
        <v>713</v>
      </c>
      <c r="D3051" t="s">
        <v>714</v>
      </c>
      <c r="E3051" t="s">
        <v>715</v>
      </c>
      <c r="F3051" t="s">
        <v>9678</v>
      </c>
      <c r="G3051" s="2" t="str">
        <f>HYPERLINK("https://probpalata.gov.ru/files/ЮЛ770101216600954.jpeg","Скачать индивидуальный QR-код магазина")</f>
        <v>Скачать индивидуальный QR-код магазина</v>
      </c>
    </row>
    <row r="3052" spans="1:7" x14ac:dyDescent="0.25">
      <c r="A3052" t="s">
        <v>9493</v>
      </c>
      <c r="B3052" t="s">
        <v>9679</v>
      </c>
      <c r="C3052" t="s">
        <v>713</v>
      </c>
      <c r="D3052" t="s">
        <v>714</v>
      </c>
      <c r="E3052" t="s">
        <v>715</v>
      </c>
      <c r="F3052" t="s">
        <v>9680</v>
      </c>
      <c r="G3052" s="2" t="str">
        <f>HYPERLINK("https://probpalata.gov.ru/files/ЮЛ770101216601001.jpeg","Скачать индивидуальный QR-код магазина")</f>
        <v>Скачать индивидуальный QR-код магазина</v>
      </c>
    </row>
    <row r="3053" spans="1:7" x14ac:dyDescent="0.25">
      <c r="A3053" t="s">
        <v>9493</v>
      </c>
      <c r="B3053" t="s">
        <v>9681</v>
      </c>
      <c r="C3053" t="s">
        <v>713</v>
      </c>
      <c r="D3053" t="s">
        <v>714</v>
      </c>
      <c r="E3053" t="s">
        <v>715</v>
      </c>
      <c r="F3053" t="s">
        <v>9682</v>
      </c>
      <c r="G3053" s="2" t="str">
        <f>HYPERLINK("https://probpalata.gov.ru/files/ЮЛ770101216601002.jpeg","Скачать индивидуальный QR-код магазина")</f>
        <v>Скачать индивидуальный QR-код магазина</v>
      </c>
    </row>
    <row r="3054" spans="1:7" x14ac:dyDescent="0.25">
      <c r="A3054" t="s">
        <v>9493</v>
      </c>
      <c r="B3054" t="s">
        <v>9683</v>
      </c>
      <c r="C3054" t="s">
        <v>1416</v>
      </c>
      <c r="D3054" t="s">
        <v>1417</v>
      </c>
      <c r="E3054" t="s">
        <v>1418</v>
      </c>
      <c r="F3054" t="s">
        <v>9684</v>
      </c>
      <c r="G3054" s="2" t="str">
        <f>HYPERLINK("https://probpalata.gov.ru/files/ЮЛ770100419400004.jpeg","Скачать индивидуальный QR-код магазина")</f>
        <v>Скачать индивидуальный QR-код магазина</v>
      </c>
    </row>
    <row r="3055" spans="1:7" x14ac:dyDescent="0.25">
      <c r="A3055" t="s">
        <v>9493</v>
      </c>
      <c r="B3055" t="s">
        <v>9646</v>
      </c>
      <c r="C3055" t="s">
        <v>1416</v>
      </c>
      <c r="D3055" t="s">
        <v>1417</v>
      </c>
      <c r="E3055" t="s">
        <v>1418</v>
      </c>
      <c r="F3055" t="s">
        <v>9685</v>
      </c>
      <c r="G3055" s="2" t="str">
        <f>HYPERLINK("https://probpalata.gov.ru/files/ЮЛ770100419400012.jpeg","Скачать индивидуальный QR-код магазина")</f>
        <v>Скачать индивидуальный QR-код магазина</v>
      </c>
    </row>
    <row r="3056" spans="1:7" x14ac:dyDescent="0.25">
      <c r="A3056" t="s">
        <v>9493</v>
      </c>
      <c r="B3056" t="s">
        <v>9686</v>
      </c>
      <c r="C3056" t="s">
        <v>9687</v>
      </c>
      <c r="D3056" t="s">
        <v>9688</v>
      </c>
      <c r="E3056" t="s">
        <v>9689</v>
      </c>
      <c r="F3056" t="s">
        <v>9690</v>
      </c>
      <c r="G3056" s="2" t="str">
        <f>HYPERLINK("https://probpalata.gov.ru/files/ИП770103908300000.jpeg","Скачать индивидуальный QR-код магазина")</f>
        <v>Скачать индивидуальный QR-код магазина</v>
      </c>
    </row>
    <row r="3057" spans="1:7" x14ac:dyDescent="0.25">
      <c r="A3057" t="s">
        <v>9493</v>
      </c>
      <c r="B3057" t="s">
        <v>9691</v>
      </c>
      <c r="C3057" t="s">
        <v>9692</v>
      </c>
      <c r="D3057" t="s">
        <v>9693</v>
      </c>
      <c r="E3057" t="s">
        <v>9694</v>
      </c>
      <c r="F3057" t="s">
        <v>9695</v>
      </c>
      <c r="G3057" s="2" t="str">
        <f>HYPERLINK("https://probpalata.gov.ru/files/ИП770100801600000.jpeg","Скачать индивидуальный QR-код магазина")</f>
        <v>Скачать индивидуальный QR-код магазина</v>
      </c>
    </row>
    <row r="3058" spans="1:7" x14ac:dyDescent="0.25">
      <c r="A3058" t="s">
        <v>9493</v>
      </c>
      <c r="B3058" t="s">
        <v>9561</v>
      </c>
      <c r="C3058" t="s">
        <v>9692</v>
      </c>
      <c r="D3058" t="s">
        <v>9693</v>
      </c>
      <c r="E3058" t="s">
        <v>9694</v>
      </c>
      <c r="F3058" t="s">
        <v>9696</v>
      </c>
      <c r="G3058" s="2" t="str">
        <f>HYPERLINK("https://probpalata.gov.ru/files/ИП770100801600004.jpeg","Скачать индивидуальный QR-код магазина")</f>
        <v>Скачать индивидуальный QR-код магазина</v>
      </c>
    </row>
    <row r="3059" spans="1:7" x14ac:dyDescent="0.25">
      <c r="A3059" t="s">
        <v>9493</v>
      </c>
      <c r="B3059" t="s">
        <v>9494</v>
      </c>
      <c r="C3059" t="s">
        <v>748</v>
      </c>
      <c r="D3059" t="s">
        <v>749</v>
      </c>
      <c r="E3059" t="s">
        <v>750</v>
      </c>
      <c r="F3059" t="s">
        <v>9697</v>
      </c>
      <c r="G3059" s="2" t="str">
        <f>HYPERLINK("https://probpalata.gov.ru/files/ЮЛ770100193500391.jpeg","Скачать индивидуальный QR-код магазина")</f>
        <v>Скачать индивидуальный QR-код магазина</v>
      </c>
    </row>
    <row r="3060" spans="1:7" x14ac:dyDescent="0.25">
      <c r="A3060" t="s">
        <v>9493</v>
      </c>
      <c r="B3060" t="s">
        <v>9698</v>
      </c>
      <c r="C3060" t="s">
        <v>748</v>
      </c>
      <c r="D3060" t="s">
        <v>749</v>
      </c>
      <c r="E3060" t="s">
        <v>750</v>
      </c>
      <c r="F3060" t="s">
        <v>9699</v>
      </c>
      <c r="G3060" s="2" t="str">
        <f>HYPERLINK("https://probpalata.gov.ru/files/ЮЛ770100193500392.jpeg","Скачать индивидуальный QR-код магазина")</f>
        <v>Скачать индивидуальный QR-код магазина</v>
      </c>
    </row>
    <row r="3061" spans="1:7" x14ac:dyDescent="0.25">
      <c r="A3061" t="s">
        <v>9493</v>
      </c>
      <c r="B3061" t="s">
        <v>9700</v>
      </c>
      <c r="C3061" t="s">
        <v>748</v>
      </c>
      <c r="D3061" t="s">
        <v>749</v>
      </c>
      <c r="E3061" t="s">
        <v>750</v>
      </c>
      <c r="F3061" t="s">
        <v>9701</v>
      </c>
      <c r="G3061" s="2" t="str">
        <f>HYPERLINK("https://probpalata.gov.ru/files/ЮЛ770100193500714.jpeg","Скачать индивидуальный QR-код магазина")</f>
        <v>Скачать индивидуальный QR-код магазина</v>
      </c>
    </row>
    <row r="3062" spans="1:7" x14ac:dyDescent="0.25">
      <c r="A3062" t="s">
        <v>9493</v>
      </c>
      <c r="B3062" t="s">
        <v>9702</v>
      </c>
      <c r="C3062" t="s">
        <v>773</v>
      </c>
      <c r="D3062" t="s">
        <v>774</v>
      </c>
      <c r="E3062" t="s">
        <v>775</v>
      </c>
      <c r="F3062" t="s">
        <v>9703</v>
      </c>
      <c r="G3062" s="2" t="str">
        <f>HYPERLINK("https://probpalata.gov.ru/files/ЮЛ780300131300112.jpeg","Скачать индивидуальный QR-код магазина")</f>
        <v>Скачать индивидуальный QR-код магазина</v>
      </c>
    </row>
    <row r="3063" spans="1:7" x14ac:dyDescent="0.25">
      <c r="A3063" t="s">
        <v>9493</v>
      </c>
      <c r="B3063" t="s">
        <v>9704</v>
      </c>
      <c r="C3063" t="s">
        <v>773</v>
      </c>
      <c r="D3063" t="s">
        <v>774</v>
      </c>
      <c r="E3063" t="s">
        <v>775</v>
      </c>
      <c r="F3063" t="s">
        <v>9705</v>
      </c>
      <c r="G3063" s="2" t="str">
        <f>HYPERLINK("https://probpalata.gov.ru/files/ЮЛ780300131300135.jpeg","Скачать индивидуальный QR-код магазина")</f>
        <v>Скачать индивидуальный QR-код магазина</v>
      </c>
    </row>
    <row r="3064" spans="1:7" x14ac:dyDescent="0.25">
      <c r="A3064" t="s">
        <v>9493</v>
      </c>
      <c r="B3064" t="s">
        <v>9706</v>
      </c>
      <c r="C3064" t="s">
        <v>773</v>
      </c>
      <c r="D3064" t="s">
        <v>774</v>
      </c>
      <c r="E3064" t="s">
        <v>775</v>
      </c>
      <c r="F3064" t="s">
        <v>9707</v>
      </c>
      <c r="G3064" s="2" t="str">
        <f>HYPERLINK("https://probpalata.gov.ru/files/ЮЛ780300131300136.jpeg","Скачать индивидуальный QR-код магазина")</f>
        <v>Скачать индивидуальный QR-код магазина</v>
      </c>
    </row>
    <row r="3065" spans="1:7" x14ac:dyDescent="0.25">
      <c r="A3065" t="s">
        <v>9493</v>
      </c>
      <c r="B3065" t="s">
        <v>9708</v>
      </c>
      <c r="C3065" t="s">
        <v>773</v>
      </c>
      <c r="D3065" t="s">
        <v>774</v>
      </c>
      <c r="E3065" t="s">
        <v>775</v>
      </c>
      <c r="F3065" t="s">
        <v>9709</v>
      </c>
      <c r="G3065" s="2" t="str">
        <f>HYPERLINK("https://probpalata.gov.ru/files/ЮЛ780300131300151.jpeg","Скачать индивидуальный QR-код магазина")</f>
        <v>Скачать индивидуальный QR-код магазина</v>
      </c>
    </row>
    <row r="3066" spans="1:7" x14ac:dyDescent="0.25">
      <c r="A3066" t="s">
        <v>9493</v>
      </c>
      <c r="B3066" t="s">
        <v>9710</v>
      </c>
      <c r="C3066" t="s">
        <v>773</v>
      </c>
      <c r="D3066" t="s">
        <v>774</v>
      </c>
      <c r="E3066" t="s">
        <v>775</v>
      </c>
      <c r="F3066" t="s">
        <v>9711</v>
      </c>
      <c r="G3066" s="2" t="str">
        <f>HYPERLINK("https://probpalata.gov.ru/files/ЮЛ780300131300152.jpeg","Скачать индивидуальный QR-код магазина")</f>
        <v>Скачать индивидуальный QR-код магазина</v>
      </c>
    </row>
    <row r="3067" spans="1:7" x14ac:dyDescent="0.25">
      <c r="A3067" t="s">
        <v>9493</v>
      </c>
      <c r="B3067" t="s">
        <v>9712</v>
      </c>
      <c r="C3067" t="s">
        <v>791</v>
      </c>
      <c r="D3067" t="s">
        <v>792</v>
      </c>
      <c r="E3067" t="s">
        <v>793</v>
      </c>
      <c r="F3067" t="s">
        <v>9713</v>
      </c>
      <c r="G3067" s="2" t="str">
        <f>HYPERLINK("https://probpalata.gov.ru/files/ЮЛ780300323500058.jpeg","Скачать индивидуальный QR-код магазина")</f>
        <v>Скачать индивидуальный QR-код магазина</v>
      </c>
    </row>
    <row r="3068" spans="1:7" x14ac:dyDescent="0.25">
      <c r="A3068" t="s">
        <v>9493</v>
      </c>
      <c r="B3068" t="s">
        <v>9714</v>
      </c>
      <c r="C3068" t="s">
        <v>798</v>
      </c>
      <c r="D3068" t="s">
        <v>799</v>
      </c>
      <c r="E3068" t="s">
        <v>800</v>
      </c>
      <c r="F3068" t="s">
        <v>9715</v>
      </c>
      <c r="G3068" s="2" t="str">
        <f>HYPERLINK("https://probpalata.gov.ru/files/ЮЛ780300308200249.jpeg","Скачать индивидуальный QR-код магазина")</f>
        <v>Скачать индивидуальный QR-код магазина</v>
      </c>
    </row>
    <row r="3069" spans="1:7" x14ac:dyDescent="0.25">
      <c r="A3069" t="s">
        <v>9493</v>
      </c>
      <c r="B3069" t="s">
        <v>9716</v>
      </c>
      <c r="C3069" t="s">
        <v>798</v>
      </c>
      <c r="D3069" t="s">
        <v>799</v>
      </c>
      <c r="E3069" t="s">
        <v>800</v>
      </c>
      <c r="F3069" t="s">
        <v>9717</v>
      </c>
      <c r="G3069" s="2" t="str">
        <f>HYPERLINK("https://probpalata.gov.ru/files/ЮЛ780300308200441.jpeg","Скачать индивидуальный QR-код магазина")</f>
        <v>Скачать индивидуальный QR-код магазина</v>
      </c>
    </row>
    <row r="3070" spans="1:7" x14ac:dyDescent="0.25">
      <c r="A3070" t="s">
        <v>9493</v>
      </c>
      <c r="B3070" t="s">
        <v>9718</v>
      </c>
      <c r="C3070" t="s">
        <v>798</v>
      </c>
      <c r="D3070" t="s">
        <v>799</v>
      </c>
      <c r="E3070" t="s">
        <v>800</v>
      </c>
      <c r="F3070" t="s">
        <v>9719</v>
      </c>
      <c r="G3070" s="2" t="str">
        <f>HYPERLINK("https://probpalata.gov.ru/files/ЮЛ780300308200606.jpeg","Скачать индивидуальный QR-код магазина")</f>
        <v>Скачать индивидуальный QR-код магазина</v>
      </c>
    </row>
    <row r="3071" spans="1:7" x14ac:dyDescent="0.25">
      <c r="A3071" t="s">
        <v>9493</v>
      </c>
      <c r="B3071" t="s">
        <v>9720</v>
      </c>
      <c r="C3071" t="s">
        <v>798</v>
      </c>
      <c r="D3071" t="s">
        <v>799</v>
      </c>
      <c r="E3071" t="s">
        <v>800</v>
      </c>
      <c r="F3071" t="s">
        <v>9721</v>
      </c>
      <c r="G3071" s="2" t="str">
        <f>HYPERLINK("https://probpalata.gov.ru/files/ЮЛ780300308200768.jpeg","Скачать индивидуальный QR-код магазина")</f>
        <v>Скачать индивидуальный QR-код магазина</v>
      </c>
    </row>
    <row r="3072" spans="1:7" x14ac:dyDescent="0.25">
      <c r="A3072" t="s">
        <v>9493</v>
      </c>
      <c r="B3072" t="s">
        <v>9722</v>
      </c>
      <c r="C3072" t="s">
        <v>798</v>
      </c>
      <c r="D3072" t="s">
        <v>799</v>
      </c>
      <c r="E3072" t="s">
        <v>800</v>
      </c>
      <c r="F3072" t="s">
        <v>9723</v>
      </c>
      <c r="G3072" s="2" t="str">
        <f>HYPERLINK("https://probpalata.gov.ru/files/ЮЛ780300308200799.jpeg","Скачать индивидуальный QR-код магазина")</f>
        <v>Скачать индивидуальный QR-код магазина</v>
      </c>
    </row>
    <row r="3073" spans="1:7" x14ac:dyDescent="0.25">
      <c r="A3073" t="s">
        <v>9493</v>
      </c>
      <c r="B3073" t="s">
        <v>9724</v>
      </c>
      <c r="C3073" t="s">
        <v>798</v>
      </c>
      <c r="D3073" t="s">
        <v>799</v>
      </c>
      <c r="E3073" t="s">
        <v>800</v>
      </c>
      <c r="F3073" t="s">
        <v>9725</v>
      </c>
      <c r="G3073" s="2" t="str">
        <f>HYPERLINK("https://probpalata.gov.ru/files/ЮЛ780300308200805.jpeg","Скачать индивидуальный QR-код магазина")</f>
        <v>Скачать индивидуальный QR-код магазина</v>
      </c>
    </row>
    <row r="3074" spans="1:7" x14ac:dyDescent="0.25">
      <c r="A3074" t="s">
        <v>9493</v>
      </c>
      <c r="B3074" t="s">
        <v>9726</v>
      </c>
      <c r="C3074" t="s">
        <v>798</v>
      </c>
      <c r="D3074" t="s">
        <v>799</v>
      </c>
      <c r="E3074" t="s">
        <v>800</v>
      </c>
      <c r="F3074" t="s">
        <v>9727</v>
      </c>
      <c r="G3074" s="2" t="str">
        <f>HYPERLINK("https://probpalata.gov.ru/files/ЮЛ780300308201149.jpeg","Скачать индивидуальный QR-код магазина")</f>
        <v>Скачать индивидуальный QR-код магазина</v>
      </c>
    </row>
    <row r="3075" spans="1:7" x14ac:dyDescent="0.25">
      <c r="A3075" t="s">
        <v>9493</v>
      </c>
      <c r="B3075" t="s">
        <v>9712</v>
      </c>
      <c r="C3075" t="s">
        <v>823</v>
      </c>
      <c r="D3075" t="s">
        <v>824</v>
      </c>
      <c r="E3075" t="s">
        <v>825</v>
      </c>
      <c r="F3075" t="s">
        <v>9728</v>
      </c>
      <c r="G3075" s="2" t="str">
        <f>HYPERLINK("https://probpalata.gov.ru/files/ЮЛ780300363500128.jpeg","Скачать индивидуальный QR-код магазина")</f>
        <v>Скачать индивидуальный QR-код магазина</v>
      </c>
    </row>
    <row r="3076" spans="1:7" x14ac:dyDescent="0.25">
      <c r="A3076" t="s">
        <v>9493</v>
      </c>
      <c r="B3076" t="s">
        <v>9729</v>
      </c>
      <c r="C3076" t="s">
        <v>1501</v>
      </c>
      <c r="D3076" t="s">
        <v>1502</v>
      </c>
      <c r="E3076" t="s">
        <v>1503</v>
      </c>
      <c r="F3076" t="s">
        <v>9730</v>
      </c>
      <c r="G3076" s="2" t="str">
        <f>HYPERLINK("https://probpalata.gov.ru/files/ЮЛ770100439200193.jpeg","Скачать индивидуальный QR-код магазина")</f>
        <v>Скачать индивидуальный QR-код магазина</v>
      </c>
    </row>
    <row r="3077" spans="1:7" x14ac:dyDescent="0.25">
      <c r="A3077" t="s">
        <v>9493</v>
      </c>
      <c r="B3077" t="s">
        <v>9718</v>
      </c>
      <c r="C3077" t="s">
        <v>1501</v>
      </c>
      <c r="D3077" t="s">
        <v>1502</v>
      </c>
      <c r="E3077" t="s">
        <v>1503</v>
      </c>
      <c r="F3077" t="s">
        <v>9731</v>
      </c>
      <c r="G3077" s="2" t="str">
        <f>HYPERLINK("https://probpalata.gov.ru/files/ЮЛ770100439200246.jpeg","Скачать индивидуальный QR-код магазина")</f>
        <v>Скачать индивидуальный QR-код магазина</v>
      </c>
    </row>
    <row r="3078" spans="1:7" x14ac:dyDescent="0.25">
      <c r="A3078" t="s">
        <v>9732</v>
      </c>
      <c r="B3078" t="s">
        <v>9733</v>
      </c>
      <c r="C3078" t="s">
        <v>9734</v>
      </c>
      <c r="D3078" t="s">
        <v>9735</v>
      </c>
      <c r="E3078" t="s">
        <v>9736</v>
      </c>
      <c r="F3078" t="s">
        <v>9737</v>
      </c>
      <c r="G3078" s="2" t="str">
        <f>HYPERLINK("https://probpalata.gov.ru/files/ИП140901095200001.jpeg","Скачать индивидуальный QR-код магазина")</f>
        <v>Скачать индивидуальный QR-код магазина</v>
      </c>
    </row>
    <row r="3079" spans="1:7" x14ac:dyDescent="0.25">
      <c r="A3079" t="s">
        <v>9732</v>
      </c>
      <c r="B3079" t="s">
        <v>9738</v>
      </c>
      <c r="C3079" t="s">
        <v>9734</v>
      </c>
      <c r="D3079" t="s">
        <v>9735</v>
      </c>
      <c r="E3079" t="s">
        <v>9736</v>
      </c>
      <c r="F3079" t="s">
        <v>9739</v>
      </c>
      <c r="G3079" s="2" t="str">
        <f>HYPERLINK("https://probpalata.gov.ru/files/ИП140901095200002.jpeg","Скачать индивидуальный QR-код магазина")</f>
        <v>Скачать индивидуальный QR-код магазина</v>
      </c>
    </row>
    <row r="3080" spans="1:7" x14ac:dyDescent="0.25">
      <c r="A3080" t="s">
        <v>9732</v>
      </c>
      <c r="B3080" t="s">
        <v>9740</v>
      </c>
      <c r="C3080" t="s">
        <v>863</v>
      </c>
      <c r="D3080" t="s">
        <v>864</v>
      </c>
      <c r="E3080" t="s">
        <v>865</v>
      </c>
      <c r="F3080" t="s">
        <v>9741</v>
      </c>
      <c r="G3080" s="2" t="str">
        <f>HYPERLINK("https://probpalata.gov.ru/files/ЮЛ270900211200068.jpeg","Скачать индивидуальный QR-код магазина")</f>
        <v>Скачать индивидуальный QR-код магазина</v>
      </c>
    </row>
    <row r="3081" spans="1:7" x14ac:dyDescent="0.25">
      <c r="A3081" t="s">
        <v>9732</v>
      </c>
      <c r="B3081" t="s">
        <v>9742</v>
      </c>
      <c r="C3081" t="s">
        <v>863</v>
      </c>
      <c r="D3081" t="s">
        <v>864</v>
      </c>
      <c r="E3081" t="s">
        <v>865</v>
      </c>
      <c r="F3081" t="s">
        <v>9743</v>
      </c>
      <c r="G3081" s="2" t="str">
        <f>HYPERLINK("https://probpalata.gov.ru/files/ЮЛ270900211200069.jpeg","Скачать индивидуальный QR-код магазина")</f>
        <v>Скачать индивидуальный QR-код магазина</v>
      </c>
    </row>
    <row r="3082" spans="1:7" x14ac:dyDescent="0.25">
      <c r="A3082" t="s">
        <v>9732</v>
      </c>
      <c r="B3082" t="s">
        <v>9744</v>
      </c>
      <c r="C3082" t="s">
        <v>9745</v>
      </c>
      <c r="D3082" t="s">
        <v>9746</v>
      </c>
      <c r="E3082" t="s">
        <v>9747</v>
      </c>
      <c r="F3082" t="s">
        <v>9748</v>
      </c>
      <c r="G3082" s="2" t="str">
        <f>HYPERLINK("https://probpalata.gov.ru/files/ИП410901092900001.jpeg","Скачать индивидуальный QR-код магазина")</f>
        <v>Скачать индивидуальный QR-код магазина</v>
      </c>
    </row>
    <row r="3083" spans="1:7" x14ac:dyDescent="0.25">
      <c r="A3083" t="s">
        <v>9732</v>
      </c>
      <c r="B3083" t="s">
        <v>9749</v>
      </c>
      <c r="C3083" t="s">
        <v>9745</v>
      </c>
      <c r="D3083" t="s">
        <v>9746</v>
      </c>
      <c r="E3083" t="s">
        <v>9747</v>
      </c>
      <c r="F3083" t="s">
        <v>9750</v>
      </c>
      <c r="G3083" s="2" t="str">
        <f>HYPERLINK("https://probpalata.gov.ru/files/ИП410901092900008.jpeg","Скачать индивидуальный QR-код магазина")</f>
        <v>Скачать индивидуальный QR-код магазина</v>
      </c>
    </row>
    <row r="3084" spans="1:7" x14ac:dyDescent="0.25">
      <c r="A3084" t="s">
        <v>9732</v>
      </c>
      <c r="B3084" t="s">
        <v>9751</v>
      </c>
      <c r="C3084" t="s">
        <v>9745</v>
      </c>
      <c r="D3084" t="s">
        <v>9746</v>
      </c>
      <c r="E3084" t="s">
        <v>9747</v>
      </c>
      <c r="F3084" t="s">
        <v>9752</v>
      </c>
      <c r="G3084" s="2" t="str">
        <f>HYPERLINK("https://probpalata.gov.ru/files/ИП410901092900009.jpeg","Скачать индивидуальный QR-код магазина")</f>
        <v>Скачать индивидуальный QR-код магазина</v>
      </c>
    </row>
    <row r="3085" spans="1:7" x14ac:dyDescent="0.25">
      <c r="A3085" t="s">
        <v>9732</v>
      </c>
      <c r="B3085" t="s">
        <v>9753</v>
      </c>
      <c r="C3085" t="s">
        <v>9745</v>
      </c>
      <c r="D3085" t="s">
        <v>9746</v>
      </c>
      <c r="E3085" t="s">
        <v>9747</v>
      </c>
      <c r="F3085" t="s">
        <v>9754</v>
      </c>
      <c r="G3085" s="2" t="str">
        <f>HYPERLINK("https://probpalata.gov.ru/files/ИП410901092900011.jpeg","Скачать индивидуальный QR-код магазина")</f>
        <v>Скачать индивидуальный QR-код магазина</v>
      </c>
    </row>
    <row r="3086" spans="1:7" x14ac:dyDescent="0.25">
      <c r="A3086" t="s">
        <v>9732</v>
      </c>
      <c r="B3086" t="s">
        <v>9755</v>
      </c>
      <c r="C3086" t="s">
        <v>9745</v>
      </c>
      <c r="D3086" t="s">
        <v>9746</v>
      </c>
      <c r="E3086" t="s">
        <v>9747</v>
      </c>
      <c r="F3086" t="s">
        <v>9756</v>
      </c>
      <c r="G3086" s="2" t="str">
        <f>HYPERLINK("https://probpalata.gov.ru/files/ИП410901092900013.jpeg","Скачать индивидуальный QR-код магазина")</f>
        <v>Скачать индивидуальный QR-код магазина</v>
      </c>
    </row>
    <row r="3087" spans="1:7" x14ac:dyDescent="0.25">
      <c r="A3087" t="s">
        <v>9732</v>
      </c>
      <c r="B3087" t="s">
        <v>9757</v>
      </c>
      <c r="C3087" t="s">
        <v>9758</v>
      </c>
      <c r="D3087" t="s">
        <v>9759</v>
      </c>
      <c r="E3087" t="s">
        <v>9760</v>
      </c>
      <c r="F3087" t="s">
        <v>9761</v>
      </c>
      <c r="G3087" s="2" t="str">
        <f>HYPERLINK("https://probpalata.gov.ru/files/ИП410900435400006.jpeg","Скачать индивидуальный QR-код магазина")</f>
        <v>Скачать индивидуальный QR-код магазина</v>
      </c>
    </row>
    <row r="3088" spans="1:7" x14ac:dyDescent="0.25">
      <c r="A3088" t="s">
        <v>9732</v>
      </c>
      <c r="B3088" t="s">
        <v>9762</v>
      </c>
      <c r="C3088" t="s">
        <v>9763</v>
      </c>
      <c r="D3088" t="s">
        <v>9764</v>
      </c>
      <c r="E3088" t="s">
        <v>9765</v>
      </c>
      <c r="F3088" t="s">
        <v>9766</v>
      </c>
      <c r="G3088" s="2" t="str">
        <f>HYPERLINK("https://probpalata.gov.ru/files/ИП410900997200000.jpeg","Скачать индивидуальный QR-код магазина")</f>
        <v>Скачать индивидуальный QR-код магазина</v>
      </c>
    </row>
    <row r="3089" spans="1:7" x14ac:dyDescent="0.25">
      <c r="A3089" t="s">
        <v>9732</v>
      </c>
      <c r="B3089" t="s">
        <v>9767</v>
      </c>
      <c r="C3089" t="s">
        <v>9763</v>
      </c>
      <c r="D3089" t="s">
        <v>9764</v>
      </c>
      <c r="E3089" t="s">
        <v>9765</v>
      </c>
      <c r="F3089" t="s">
        <v>9768</v>
      </c>
      <c r="G3089" s="2" t="str">
        <f>HYPERLINK("https://probpalata.gov.ru/files/ИП410900997200001.jpeg","Скачать индивидуальный QR-код магазина")</f>
        <v>Скачать индивидуальный QR-код магазина</v>
      </c>
    </row>
    <row r="3090" spans="1:7" x14ac:dyDescent="0.25">
      <c r="A3090" t="s">
        <v>9732</v>
      </c>
      <c r="B3090" t="s">
        <v>9769</v>
      </c>
      <c r="C3090" t="s">
        <v>9770</v>
      </c>
      <c r="D3090" t="s">
        <v>9771</v>
      </c>
      <c r="E3090" t="s">
        <v>9772</v>
      </c>
      <c r="F3090" t="s">
        <v>9773</v>
      </c>
      <c r="G3090" s="2" t="str">
        <f>HYPERLINK("https://probpalata.gov.ru/files/ИП410901294900000.jpeg","Скачать индивидуальный QR-код магазина")</f>
        <v>Скачать индивидуальный QR-код магазина</v>
      </c>
    </row>
    <row r="3091" spans="1:7" x14ac:dyDescent="0.25">
      <c r="A3091" t="s">
        <v>9732</v>
      </c>
      <c r="B3091" t="s">
        <v>9774</v>
      </c>
      <c r="C3091" t="s">
        <v>9775</v>
      </c>
      <c r="D3091" t="s">
        <v>9776</v>
      </c>
      <c r="E3091" t="s">
        <v>9777</v>
      </c>
      <c r="F3091" t="s">
        <v>9778</v>
      </c>
      <c r="G3091" s="2" t="str">
        <f>HYPERLINK("https://probpalata.gov.ru/files/ИП410900428900000.jpeg","Скачать индивидуальный QR-код магазина")</f>
        <v>Скачать индивидуальный QR-код магазина</v>
      </c>
    </row>
    <row r="3092" spans="1:7" x14ac:dyDescent="0.25">
      <c r="A3092" t="s">
        <v>9732</v>
      </c>
      <c r="B3092" t="s">
        <v>9779</v>
      </c>
      <c r="C3092" t="s">
        <v>9780</v>
      </c>
      <c r="D3092" t="s">
        <v>9781</v>
      </c>
      <c r="E3092" t="s">
        <v>9782</v>
      </c>
      <c r="F3092" t="s">
        <v>9783</v>
      </c>
      <c r="G3092" s="2" t="str">
        <f>HYPERLINK("https://probpalata.gov.ru/files/ИП410901300000000.jpeg","Скачать индивидуальный QR-код магазина")</f>
        <v>Скачать индивидуальный QR-код магазина</v>
      </c>
    </row>
    <row r="3093" spans="1:7" x14ac:dyDescent="0.25">
      <c r="A3093" t="s">
        <v>9732</v>
      </c>
      <c r="B3093" t="s">
        <v>9784</v>
      </c>
      <c r="C3093" t="s">
        <v>9785</v>
      </c>
      <c r="D3093" t="s">
        <v>9786</v>
      </c>
      <c r="E3093" t="s">
        <v>9787</v>
      </c>
      <c r="F3093" t="s">
        <v>9788</v>
      </c>
      <c r="G3093" s="2" t="str">
        <f>HYPERLINK("https://probpalata.gov.ru/files/ИП410900014000000.jpeg","Скачать индивидуальный QR-код магазина")</f>
        <v>Скачать индивидуальный QR-код магазина</v>
      </c>
    </row>
    <row r="3094" spans="1:7" x14ac:dyDescent="0.25">
      <c r="A3094" t="s">
        <v>9732</v>
      </c>
      <c r="B3094" t="s">
        <v>9789</v>
      </c>
      <c r="C3094" t="s">
        <v>9790</v>
      </c>
      <c r="D3094" t="s">
        <v>9791</v>
      </c>
      <c r="E3094" t="s">
        <v>9792</v>
      </c>
      <c r="F3094" t="s">
        <v>9793</v>
      </c>
      <c r="G3094" s="2" t="str">
        <f>HYPERLINK("https://probpalata.gov.ru/files/ИП410900344700000.jpeg","Скачать индивидуальный QR-код магазина")</f>
        <v>Скачать индивидуальный QR-код магазина</v>
      </c>
    </row>
    <row r="3095" spans="1:7" x14ac:dyDescent="0.25">
      <c r="A3095" t="s">
        <v>9732</v>
      </c>
      <c r="B3095" t="s">
        <v>9794</v>
      </c>
      <c r="C3095" t="s">
        <v>9790</v>
      </c>
      <c r="D3095" t="s">
        <v>9791</v>
      </c>
      <c r="E3095" t="s">
        <v>9792</v>
      </c>
      <c r="F3095" t="s">
        <v>9795</v>
      </c>
      <c r="G3095" s="2" t="str">
        <f>HYPERLINK("https://probpalata.gov.ru/files/ИП410900344700002.jpeg","Скачать индивидуальный QR-код магазина")</f>
        <v>Скачать индивидуальный QR-код магазина</v>
      </c>
    </row>
    <row r="3096" spans="1:7" x14ac:dyDescent="0.25">
      <c r="A3096" t="s">
        <v>9732</v>
      </c>
      <c r="B3096" t="s">
        <v>9796</v>
      </c>
      <c r="C3096" t="s">
        <v>9797</v>
      </c>
      <c r="D3096" t="s">
        <v>9798</v>
      </c>
      <c r="E3096" t="s">
        <v>9799</v>
      </c>
      <c r="F3096" t="s">
        <v>9800</v>
      </c>
      <c r="G3096" s="2" t="str">
        <f>HYPERLINK("https://probpalata.gov.ru/files/ИП410901153500000.jpeg","Скачать индивидуальный QR-код магазина")</f>
        <v>Скачать индивидуальный QR-код магазина</v>
      </c>
    </row>
    <row r="3097" spans="1:7" x14ac:dyDescent="0.25">
      <c r="A3097" t="s">
        <v>9732</v>
      </c>
      <c r="B3097" t="s">
        <v>9801</v>
      </c>
      <c r="C3097" t="s">
        <v>9802</v>
      </c>
      <c r="D3097" t="s">
        <v>9803</v>
      </c>
      <c r="E3097" t="s">
        <v>9804</v>
      </c>
      <c r="F3097" t="s">
        <v>9805</v>
      </c>
      <c r="G3097" s="2" t="str">
        <f>HYPERLINK("https://probpalata.gov.ru/files/ИП410900508500000.jpeg","Скачать индивидуальный QR-код магазина")</f>
        <v>Скачать индивидуальный QR-код магазина</v>
      </c>
    </row>
    <row r="3098" spans="1:7" x14ac:dyDescent="0.25">
      <c r="A3098" t="s">
        <v>9732</v>
      </c>
      <c r="B3098" t="s">
        <v>9806</v>
      </c>
      <c r="C3098" t="s">
        <v>9807</v>
      </c>
      <c r="D3098" t="s">
        <v>9808</v>
      </c>
      <c r="E3098" t="s">
        <v>9809</v>
      </c>
      <c r="F3098" t="s">
        <v>9810</v>
      </c>
      <c r="G3098" s="2" t="str">
        <f>HYPERLINK("https://probpalata.gov.ru/files/ИП410901983200000.jpeg","Скачать индивидуальный QR-код магазина")</f>
        <v>Скачать индивидуальный QR-код магазина</v>
      </c>
    </row>
    <row r="3099" spans="1:7" x14ac:dyDescent="0.25">
      <c r="A3099" t="s">
        <v>9732</v>
      </c>
      <c r="B3099" t="s">
        <v>9811</v>
      </c>
      <c r="C3099" t="s">
        <v>9812</v>
      </c>
      <c r="D3099" t="s">
        <v>9813</v>
      </c>
      <c r="E3099" t="s">
        <v>9814</v>
      </c>
      <c r="F3099" t="s">
        <v>9815</v>
      </c>
      <c r="G3099" s="2" t="str">
        <f>HYPERLINK("https://probpalata.gov.ru/files/ИП410900347200000.jpeg","Скачать индивидуальный QR-код магазина")</f>
        <v>Скачать индивидуальный QR-код магазина</v>
      </c>
    </row>
    <row r="3100" spans="1:7" x14ac:dyDescent="0.25">
      <c r="A3100" t="s">
        <v>9732</v>
      </c>
      <c r="B3100" t="s">
        <v>9784</v>
      </c>
      <c r="C3100" t="s">
        <v>9816</v>
      </c>
      <c r="D3100" t="s">
        <v>9817</v>
      </c>
      <c r="E3100" t="s">
        <v>9818</v>
      </c>
      <c r="F3100" t="s">
        <v>9819</v>
      </c>
      <c r="G3100" s="2" t="str">
        <f>HYPERLINK("https://probpalata.gov.ru/files/ИП410903238400000.jpeg","Скачать индивидуальный QR-код магазина")</f>
        <v>Скачать индивидуальный QR-код магазина</v>
      </c>
    </row>
    <row r="3101" spans="1:7" x14ac:dyDescent="0.25">
      <c r="A3101" t="s">
        <v>9732</v>
      </c>
      <c r="B3101" t="s">
        <v>9820</v>
      </c>
      <c r="C3101" t="s">
        <v>9821</v>
      </c>
      <c r="D3101" t="s">
        <v>9822</v>
      </c>
      <c r="E3101" t="s">
        <v>9823</v>
      </c>
      <c r="F3101" t="s">
        <v>9824</v>
      </c>
      <c r="G3101" s="2" t="str">
        <f>HYPERLINK("https://probpalata.gov.ru/files/ИП410900160700000.jpeg","Скачать индивидуальный QR-код магазина")</f>
        <v>Скачать индивидуальный QR-код магазина</v>
      </c>
    </row>
    <row r="3102" spans="1:7" x14ac:dyDescent="0.25">
      <c r="A3102" t="s">
        <v>9732</v>
      </c>
      <c r="B3102" t="s">
        <v>9825</v>
      </c>
      <c r="C3102" t="s">
        <v>9826</v>
      </c>
      <c r="D3102" t="s">
        <v>9827</v>
      </c>
      <c r="E3102" t="s">
        <v>9828</v>
      </c>
      <c r="F3102" t="s">
        <v>9829</v>
      </c>
      <c r="G3102" s="2" t="str">
        <f>HYPERLINK("https://probpalata.gov.ru/files/ИП410900845100000.jpeg","Скачать индивидуальный QR-код магазина")</f>
        <v>Скачать индивидуальный QR-код магазина</v>
      </c>
    </row>
    <row r="3103" spans="1:7" x14ac:dyDescent="0.25">
      <c r="A3103" t="s">
        <v>9732</v>
      </c>
      <c r="B3103" t="s">
        <v>9830</v>
      </c>
      <c r="C3103" t="s">
        <v>9826</v>
      </c>
      <c r="D3103" t="s">
        <v>9827</v>
      </c>
      <c r="E3103" t="s">
        <v>9828</v>
      </c>
      <c r="F3103" t="s">
        <v>9831</v>
      </c>
      <c r="G3103" s="2" t="str">
        <f>HYPERLINK("https://probpalata.gov.ru/files/ИП410900845100001.jpeg","Скачать индивидуальный QR-код магазина")</f>
        <v>Скачать индивидуальный QR-код магазина</v>
      </c>
    </row>
    <row r="3104" spans="1:7" x14ac:dyDescent="0.25">
      <c r="A3104" t="s">
        <v>9732</v>
      </c>
      <c r="B3104" t="s">
        <v>9832</v>
      </c>
      <c r="C3104" t="s">
        <v>9826</v>
      </c>
      <c r="D3104" t="s">
        <v>9827</v>
      </c>
      <c r="E3104" t="s">
        <v>9828</v>
      </c>
      <c r="F3104" t="s">
        <v>9833</v>
      </c>
      <c r="G3104" s="2" t="str">
        <f>HYPERLINK("https://probpalata.gov.ru/files/ИП410900845100002.jpeg","Скачать индивидуальный QR-код магазина")</f>
        <v>Скачать индивидуальный QR-код магазина</v>
      </c>
    </row>
    <row r="3105" spans="1:7" x14ac:dyDescent="0.25">
      <c r="A3105" t="s">
        <v>9732</v>
      </c>
      <c r="B3105" t="s">
        <v>9834</v>
      </c>
      <c r="C3105" t="s">
        <v>9826</v>
      </c>
      <c r="D3105" t="s">
        <v>9827</v>
      </c>
      <c r="E3105" t="s">
        <v>9828</v>
      </c>
      <c r="F3105" t="s">
        <v>9835</v>
      </c>
      <c r="G3105" s="2" t="str">
        <f>HYPERLINK("https://probpalata.gov.ru/files/ИП410900845100003.jpeg","Скачать индивидуальный QR-код магазина")</f>
        <v>Скачать индивидуальный QR-код магазина</v>
      </c>
    </row>
    <row r="3106" spans="1:7" x14ac:dyDescent="0.25">
      <c r="A3106" t="s">
        <v>9732</v>
      </c>
      <c r="B3106" t="s">
        <v>9836</v>
      </c>
      <c r="C3106" t="s">
        <v>9826</v>
      </c>
      <c r="D3106" t="s">
        <v>9827</v>
      </c>
      <c r="E3106" t="s">
        <v>9828</v>
      </c>
      <c r="F3106" t="s">
        <v>9837</v>
      </c>
      <c r="G3106" s="2" t="str">
        <f>HYPERLINK("https://probpalata.gov.ru/files/ИП410900845100004.jpeg","Скачать индивидуальный QR-код магазина")</f>
        <v>Скачать индивидуальный QR-код магазина</v>
      </c>
    </row>
    <row r="3107" spans="1:7" x14ac:dyDescent="0.25">
      <c r="A3107" t="s">
        <v>9732</v>
      </c>
      <c r="B3107" t="s">
        <v>9838</v>
      </c>
      <c r="C3107" t="s">
        <v>9826</v>
      </c>
      <c r="D3107" t="s">
        <v>9827</v>
      </c>
      <c r="E3107" t="s">
        <v>9828</v>
      </c>
      <c r="F3107" t="s">
        <v>9839</v>
      </c>
      <c r="G3107" s="2" t="str">
        <f>HYPERLINK("https://probpalata.gov.ru/files/ИП410900845100005.jpeg","Скачать индивидуальный QR-код магазина")</f>
        <v>Скачать индивидуальный QR-код магазина</v>
      </c>
    </row>
    <row r="3108" spans="1:7" x14ac:dyDescent="0.25">
      <c r="A3108" t="s">
        <v>9732</v>
      </c>
      <c r="B3108" t="s">
        <v>9840</v>
      </c>
      <c r="C3108" t="s">
        <v>9826</v>
      </c>
      <c r="D3108" t="s">
        <v>9827</v>
      </c>
      <c r="E3108" t="s">
        <v>9828</v>
      </c>
      <c r="F3108" t="s">
        <v>9841</v>
      </c>
      <c r="G3108" s="2" t="str">
        <f>HYPERLINK("https://probpalata.gov.ru/files/ИП410900845100007.jpeg","Скачать индивидуальный QR-код магазина")</f>
        <v>Скачать индивидуальный QR-код магазина</v>
      </c>
    </row>
    <row r="3109" spans="1:7" x14ac:dyDescent="0.25">
      <c r="A3109" t="s">
        <v>9732</v>
      </c>
      <c r="B3109" t="s">
        <v>9842</v>
      </c>
      <c r="C3109" t="s">
        <v>9826</v>
      </c>
      <c r="D3109" t="s">
        <v>9827</v>
      </c>
      <c r="E3109" t="s">
        <v>9828</v>
      </c>
      <c r="F3109" t="s">
        <v>9843</v>
      </c>
      <c r="G3109" s="2" t="str">
        <f>HYPERLINK("https://probpalata.gov.ru/files/ИП410900845100008.jpeg","Скачать индивидуальный QR-код магазина")</f>
        <v>Скачать индивидуальный QR-код магазина</v>
      </c>
    </row>
    <row r="3110" spans="1:7" x14ac:dyDescent="0.25">
      <c r="A3110" t="s">
        <v>9732</v>
      </c>
      <c r="B3110" t="s">
        <v>9844</v>
      </c>
      <c r="C3110" t="s">
        <v>9845</v>
      </c>
      <c r="D3110" t="s">
        <v>9846</v>
      </c>
      <c r="E3110" t="s">
        <v>9847</v>
      </c>
      <c r="F3110" t="s">
        <v>9848</v>
      </c>
      <c r="G3110" s="2" t="str">
        <f>HYPERLINK("https://probpalata.gov.ru/files/ИП410900677100005.jpeg","Скачать индивидуальный QR-код магазина")</f>
        <v>Скачать индивидуальный QR-код магазина</v>
      </c>
    </row>
    <row r="3111" spans="1:7" x14ac:dyDescent="0.25">
      <c r="A3111" t="s">
        <v>9732</v>
      </c>
      <c r="B3111" t="s">
        <v>9849</v>
      </c>
      <c r="C3111" t="s">
        <v>9845</v>
      </c>
      <c r="D3111" t="s">
        <v>9846</v>
      </c>
      <c r="E3111" t="s">
        <v>9847</v>
      </c>
      <c r="F3111" t="s">
        <v>9850</v>
      </c>
      <c r="G3111" s="2" t="str">
        <f>HYPERLINK("https://probpalata.gov.ru/files/ИП410900677100006.jpeg","Скачать индивидуальный QR-код магазина")</f>
        <v>Скачать индивидуальный QR-код магазина</v>
      </c>
    </row>
    <row r="3112" spans="1:7" x14ac:dyDescent="0.25">
      <c r="A3112" t="s">
        <v>9732</v>
      </c>
      <c r="B3112" t="s">
        <v>9851</v>
      </c>
      <c r="C3112" t="s">
        <v>9845</v>
      </c>
      <c r="D3112" t="s">
        <v>9846</v>
      </c>
      <c r="E3112" t="s">
        <v>9847</v>
      </c>
      <c r="F3112" t="s">
        <v>9852</v>
      </c>
      <c r="G3112" s="2" t="str">
        <f>HYPERLINK("https://probpalata.gov.ru/files/ИП410900677100007.jpeg","Скачать индивидуальный QR-код магазина")</f>
        <v>Скачать индивидуальный QR-код магазина</v>
      </c>
    </row>
    <row r="3113" spans="1:7" x14ac:dyDescent="0.25">
      <c r="A3113" t="s">
        <v>9732</v>
      </c>
      <c r="B3113" t="s">
        <v>9853</v>
      </c>
      <c r="C3113" t="s">
        <v>9845</v>
      </c>
      <c r="D3113" t="s">
        <v>9846</v>
      </c>
      <c r="E3113" t="s">
        <v>9847</v>
      </c>
      <c r="F3113" t="s">
        <v>9854</v>
      </c>
      <c r="G3113" s="2" t="str">
        <f>HYPERLINK("https://probpalata.gov.ru/files/ИП410900677100008.jpeg","Скачать индивидуальный QR-код магазина")</f>
        <v>Скачать индивидуальный QR-код магазина</v>
      </c>
    </row>
    <row r="3114" spans="1:7" x14ac:dyDescent="0.25">
      <c r="A3114" t="s">
        <v>9732</v>
      </c>
      <c r="B3114" t="s">
        <v>9855</v>
      </c>
      <c r="C3114" t="s">
        <v>9856</v>
      </c>
      <c r="D3114" t="s">
        <v>9857</v>
      </c>
      <c r="E3114" t="s">
        <v>9858</v>
      </c>
      <c r="F3114" t="s">
        <v>9859</v>
      </c>
      <c r="G3114" s="2" t="str">
        <f>HYPERLINK("https://probpalata.gov.ru/files/ИП410901983000000.jpeg","Скачать индивидуальный QR-код магазина")</f>
        <v>Скачать индивидуальный QR-код магазина</v>
      </c>
    </row>
    <row r="3115" spans="1:7" x14ac:dyDescent="0.25">
      <c r="A3115" t="s">
        <v>9732</v>
      </c>
      <c r="B3115" t="s">
        <v>9860</v>
      </c>
      <c r="C3115" t="s">
        <v>6039</v>
      </c>
      <c r="D3115" t="s">
        <v>6040</v>
      </c>
      <c r="E3115" t="s">
        <v>6041</v>
      </c>
      <c r="F3115" t="s">
        <v>9861</v>
      </c>
      <c r="G3115" s="2" t="str">
        <f>HYPERLINK("https://probpalata.gov.ru/files/ИП770101425100007.jpeg","Скачать индивидуальный QR-код магазина")</f>
        <v>Скачать индивидуальный QR-код магазина</v>
      </c>
    </row>
    <row r="3116" spans="1:7" x14ac:dyDescent="0.25">
      <c r="A3116" t="s">
        <v>9732</v>
      </c>
      <c r="B3116" t="s">
        <v>9862</v>
      </c>
      <c r="C3116" t="s">
        <v>6039</v>
      </c>
      <c r="D3116" t="s">
        <v>6040</v>
      </c>
      <c r="E3116" t="s">
        <v>6041</v>
      </c>
      <c r="F3116" t="s">
        <v>9863</v>
      </c>
      <c r="G3116" s="2" t="str">
        <f>HYPERLINK("https://probpalata.gov.ru/files/ИП770101425100008.jpeg","Скачать индивидуальный QR-код магазина")</f>
        <v>Скачать индивидуальный QR-код магазина</v>
      </c>
    </row>
    <row r="3117" spans="1:7" x14ac:dyDescent="0.25">
      <c r="A3117" t="s">
        <v>9732</v>
      </c>
      <c r="B3117" t="s">
        <v>9864</v>
      </c>
      <c r="C3117" t="s">
        <v>748</v>
      </c>
      <c r="D3117" t="s">
        <v>749</v>
      </c>
      <c r="E3117" t="s">
        <v>750</v>
      </c>
      <c r="F3117" t="s">
        <v>9865</v>
      </c>
      <c r="G3117" s="2" t="str">
        <f>HYPERLINK("https://probpalata.gov.ru/files/ЮЛ770100193500395.jpeg","Скачать индивидуальный QR-код магазина")</f>
        <v>Скачать индивидуальный QR-код магазина</v>
      </c>
    </row>
    <row r="3118" spans="1:7" x14ac:dyDescent="0.25">
      <c r="A3118" t="s">
        <v>9732</v>
      </c>
      <c r="B3118" t="s">
        <v>9866</v>
      </c>
      <c r="C3118" t="s">
        <v>748</v>
      </c>
      <c r="D3118" t="s">
        <v>749</v>
      </c>
      <c r="E3118" t="s">
        <v>750</v>
      </c>
      <c r="F3118" t="s">
        <v>9867</v>
      </c>
      <c r="G3118" s="2" t="str">
        <f>HYPERLINK("https://probpalata.gov.ru/files/ЮЛ770100193500811.jpeg","Скачать индивидуальный QR-код магазина")</f>
        <v>Скачать индивидуальный QR-код магазина</v>
      </c>
    </row>
    <row r="3119" spans="1:7" x14ac:dyDescent="0.25">
      <c r="A3119" t="s">
        <v>9732</v>
      </c>
      <c r="B3119" t="s">
        <v>9868</v>
      </c>
      <c r="C3119" t="s">
        <v>798</v>
      </c>
      <c r="D3119" t="s">
        <v>799</v>
      </c>
      <c r="E3119" t="s">
        <v>800</v>
      </c>
      <c r="F3119" t="s">
        <v>9869</v>
      </c>
      <c r="G3119" s="2" t="str">
        <f>HYPERLINK("https://probpalata.gov.ru/files/ЮЛ780300308200303.jpeg","Скачать индивидуальный QR-код магазина")</f>
        <v>Скачать индивидуальный QR-код магазина</v>
      </c>
    </row>
    <row r="3120" spans="1:7" x14ac:dyDescent="0.25">
      <c r="A3120" t="s">
        <v>9732</v>
      </c>
      <c r="B3120" t="s">
        <v>9870</v>
      </c>
      <c r="C3120" t="s">
        <v>798</v>
      </c>
      <c r="D3120" t="s">
        <v>799</v>
      </c>
      <c r="E3120" t="s">
        <v>800</v>
      </c>
      <c r="F3120" t="s">
        <v>9871</v>
      </c>
      <c r="G3120" s="2" t="str">
        <f>HYPERLINK("https://probpalata.gov.ru/files/ЮЛ780300308200353.jpeg","Скачать индивидуальный QR-код магазина")</f>
        <v>Скачать индивидуальный QR-код магазина</v>
      </c>
    </row>
    <row r="3121" spans="1:7" x14ac:dyDescent="0.25">
      <c r="A3121" t="s">
        <v>9732</v>
      </c>
      <c r="B3121" t="s">
        <v>9872</v>
      </c>
      <c r="C3121" t="s">
        <v>798</v>
      </c>
      <c r="D3121" t="s">
        <v>799</v>
      </c>
      <c r="E3121" t="s">
        <v>800</v>
      </c>
      <c r="F3121" t="s">
        <v>9873</v>
      </c>
      <c r="G3121" s="2" t="str">
        <f>HYPERLINK("https://probpalata.gov.ru/files/ЮЛ780300308201150.jpeg","Скачать индивидуальный QR-код магазина")</f>
        <v>Скачать индивидуальный QR-код магазина</v>
      </c>
    </row>
    <row r="3122" spans="1:7" x14ac:dyDescent="0.25">
      <c r="A3122" t="s">
        <v>9732</v>
      </c>
      <c r="B3122" t="s">
        <v>9874</v>
      </c>
      <c r="C3122" t="s">
        <v>9875</v>
      </c>
      <c r="D3122" t="s">
        <v>9876</v>
      </c>
      <c r="E3122" t="s">
        <v>9877</v>
      </c>
      <c r="F3122" t="s">
        <v>9878</v>
      </c>
      <c r="G3122" s="2" t="str">
        <f>HYPERLINK("https://probpalata.gov.ru/files/ИП410901097600000.jpeg","Скачать индивидуальный QR-код магазина")</f>
        <v>Скачать индивидуальный QR-код магазина</v>
      </c>
    </row>
    <row r="3123" spans="1:7" x14ac:dyDescent="0.25">
      <c r="A3123" t="s">
        <v>9732</v>
      </c>
      <c r="B3123" t="s">
        <v>9879</v>
      </c>
      <c r="C3123" t="s">
        <v>9875</v>
      </c>
      <c r="D3123" t="s">
        <v>9876</v>
      </c>
      <c r="E3123" t="s">
        <v>9877</v>
      </c>
      <c r="F3123" t="s">
        <v>9880</v>
      </c>
      <c r="G3123" s="2" t="str">
        <f>HYPERLINK("https://probpalata.gov.ru/files/ИП410901097600002.jpeg","Скачать индивидуальный QR-код магазина")</f>
        <v>Скачать индивидуальный QR-код магазина</v>
      </c>
    </row>
    <row r="3124" spans="1:7" x14ac:dyDescent="0.25">
      <c r="A3124" t="s">
        <v>9732</v>
      </c>
      <c r="B3124" t="s">
        <v>9881</v>
      </c>
      <c r="C3124" t="s">
        <v>9875</v>
      </c>
      <c r="D3124" t="s">
        <v>9876</v>
      </c>
      <c r="E3124" t="s">
        <v>9877</v>
      </c>
      <c r="F3124" t="s">
        <v>9882</v>
      </c>
      <c r="G3124" s="2" t="str">
        <f>HYPERLINK("https://probpalata.gov.ru/files/ИП410901097600004.jpeg","Скачать индивидуальный QR-код магазина")</f>
        <v>Скачать индивидуальный QR-код магазина</v>
      </c>
    </row>
    <row r="3125" spans="1:7" x14ac:dyDescent="0.25">
      <c r="A3125" t="s">
        <v>9883</v>
      </c>
      <c r="B3125" t="s">
        <v>9884</v>
      </c>
      <c r="C3125" t="s">
        <v>9885</v>
      </c>
      <c r="D3125" t="s">
        <v>9886</v>
      </c>
      <c r="E3125" t="s">
        <v>9887</v>
      </c>
      <c r="F3125" t="s">
        <v>9888</v>
      </c>
      <c r="G3125" s="2" t="str">
        <f>HYPERLINK("https://probpalata.gov.ru/files/ИП090503419500000.jpeg","Скачать индивидуальный QR-код магазина")</f>
        <v>Скачать индивидуальный QR-код магазина</v>
      </c>
    </row>
    <row r="3126" spans="1:7" x14ac:dyDescent="0.25">
      <c r="A3126" t="s">
        <v>9883</v>
      </c>
      <c r="B3126" t="s">
        <v>9889</v>
      </c>
      <c r="C3126" t="s">
        <v>9890</v>
      </c>
      <c r="D3126" t="s">
        <v>9891</v>
      </c>
      <c r="E3126" t="s">
        <v>9892</v>
      </c>
      <c r="F3126" t="s">
        <v>9893</v>
      </c>
      <c r="G3126" s="2" t="str">
        <f>HYPERLINK("https://probpalata.gov.ru/files/ИП090500553600000.jpeg","Скачать индивидуальный QR-код магазина")</f>
        <v>Скачать индивидуальный QR-код магазина</v>
      </c>
    </row>
    <row r="3127" spans="1:7" x14ac:dyDescent="0.25">
      <c r="A3127" t="s">
        <v>9883</v>
      </c>
      <c r="B3127" t="s">
        <v>9894</v>
      </c>
      <c r="C3127" t="s">
        <v>2039</v>
      </c>
      <c r="D3127" t="s">
        <v>9895</v>
      </c>
      <c r="E3127" t="s">
        <v>9896</v>
      </c>
      <c r="F3127" t="s">
        <v>9897</v>
      </c>
      <c r="G3127" s="2" t="str">
        <f>HYPERLINK("https://probpalata.gov.ru/files/ЮЛ090500142800000.jpeg","Скачать индивидуальный QR-код магазина")</f>
        <v>Скачать индивидуальный QR-код магазина</v>
      </c>
    </row>
    <row r="3128" spans="1:7" x14ac:dyDescent="0.25">
      <c r="A3128" t="s">
        <v>9883</v>
      </c>
      <c r="B3128" t="s">
        <v>9898</v>
      </c>
      <c r="C3128" t="s">
        <v>2039</v>
      </c>
      <c r="D3128" t="s">
        <v>9895</v>
      </c>
      <c r="E3128" t="s">
        <v>9896</v>
      </c>
      <c r="F3128" t="s">
        <v>9899</v>
      </c>
      <c r="G3128" s="2" t="str">
        <f>HYPERLINK("https://probpalata.gov.ru/files/ЮЛ090500142800002.jpeg","Скачать индивидуальный QR-код магазина")</f>
        <v>Скачать индивидуальный QR-код магазина</v>
      </c>
    </row>
    <row r="3129" spans="1:7" x14ac:dyDescent="0.25">
      <c r="A3129" t="s">
        <v>9883</v>
      </c>
      <c r="B3129" t="s">
        <v>9900</v>
      </c>
      <c r="C3129" t="s">
        <v>9901</v>
      </c>
      <c r="D3129" t="s">
        <v>9902</v>
      </c>
      <c r="E3129" t="s">
        <v>9903</v>
      </c>
      <c r="F3129" t="s">
        <v>9904</v>
      </c>
      <c r="G3129" s="2" t="str">
        <f>HYPERLINK("https://probpalata.gov.ru/files/ИП090500170300000.jpeg","Скачать индивидуальный QR-код магазина")</f>
        <v>Скачать индивидуальный QR-код магазина</v>
      </c>
    </row>
    <row r="3130" spans="1:7" x14ac:dyDescent="0.25">
      <c r="A3130" t="s">
        <v>9883</v>
      </c>
      <c r="B3130" t="s">
        <v>9905</v>
      </c>
      <c r="C3130" t="s">
        <v>9906</v>
      </c>
      <c r="D3130" t="s">
        <v>9907</v>
      </c>
      <c r="E3130" t="s">
        <v>9908</v>
      </c>
      <c r="F3130" t="s">
        <v>9909</v>
      </c>
      <c r="G3130" s="2" t="str">
        <f>HYPERLINK("https://probpalata.gov.ru/files/ИП090500169900000.jpeg","Скачать индивидуальный QR-код магазина")</f>
        <v>Скачать индивидуальный QR-код магазина</v>
      </c>
    </row>
    <row r="3131" spans="1:7" x14ac:dyDescent="0.25">
      <c r="A3131" t="s">
        <v>9883</v>
      </c>
      <c r="B3131" t="s">
        <v>9910</v>
      </c>
      <c r="C3131" t="s">
        <v>9911</v>
      </c>
      <c r="D3131" t="s">
        <v>9912</v>
      </c>
      <c r="E3131" t="s">
        <v>9913</v>
      </c>
      <c r="F3131" t="s">
        <v>9914</v>
      </c>
      <c r="G3131" s="2" t="str">
        <f>HYPERLINK("https://probpalata.gov.ru/files/ИП090500525300000.jpeg","Скачать индивидуальный QR-код магазина")</f>
        <v>Скачать индивидуальный QR-код магазина</v>
      </c>
    </row>
    <row r="3132" spans="1:7" x14ac:dyDescent="0.25">
      <c r="A3132" t="s">
        <v>9883</v>
      </c>
      <c r="B3132" t="s">
        <v>9915</v>
      </c>
      <c r="C3132" t="s">
        <v>9916</v>
      </c>
      <c r="D3132" t="s">
        <v>9917</v>
      </c>
      <c r="E3132" t="s">
        <v>9918</v>
      </c>
      <c r="F3132" t="s">
        <v>9919</v>
      </c>
      <c r="G3132" s="2" t="str">
        <f>HYPERLINK("https://probpalata.gov.ru/files/ИП090500599300000.jpeg","Скачать индивидуальный QR-код магазина")</f>
        <v>Скачать индивидуальный QR-код магазина</v>
      </c>
    </row>
    <row r="3133" spans="1:7" x14ac:dyDescent="0.25">
      <c r="A3133" t="s">
        <v>9883</v>
      </c>
      <c r="B3133" t="s">
        <v>9920</v>
      </c>
      <c r="C3133" t="s">
        <v>9916</v>
      </c>
      <c r="D3133" t="s">
        <v>9917</v>
      </c>
      <c r="E3133" t="s">
        <v>9918</v>
      </c>
      <c r="F3133" t="s">
        <v>9921</v>
      </c>
      <c r="G3133" s="2" t="str">
        <f>HYPERLINK("https://probpalata.gov.ru/files/ИП090500599300001.jpeg","Скачать индивидуальный QR-код магазина")</f>
        <v>Скачать индивидуальный QR-код магазина</v>
      </c>
    </row>
    <row r="3134" spans="1:7" x14ac:dyDescent="0.25">
      <c r="A3134" t="s">
        <v>9883</v>
      </c>
      <c r="B3134" t="s">
        <v>9922</v>
      </c>
      <c r="C3134" t="s">
        <v>7965</v>
      </c>
      <c r="D3134" t="s">
        <v>7966</v>
      </c>
      <c r="E3134" t="s">
        <v>7967</v>
      </c>
      <c r="F3134" t="s">
        <v>9923</v>
      </c>
      <c r="G3134" s="2" t="str">
        <f>HYPERLINK("https://probpalata.gov.ru/files/ЮЛ660700070800034.jpeg","Скачать индивидуальный QR-код магазина")</f>
        <v>Скачать индивидуальный QR-код магазина</v>
      </c>
    </row>
    <row r="3135" spans="1:7" x14ac:dyDescent="0.25">
      <c r="A3135" t="s">
        <v>9883</v>
      </c>
      <c r="B3135" t="s">
        <v>9924</v>
      </c>
      <c r="C3135" t="s">
        <v>7965</v>
      </c>
      <c r="D3135" t="s">
        <v>7966</v>
      </c>
      <c r="E3135" t="s">
        <v>7967</v>
      </c>
      <c r="F3135" t="s">
        <v>9925</v>
      </c>
      <c r="G3135" s="2" t="str">
        <f>HYPERLINK("https://probpalata.gov.ru/files/ЮЛ660700070800070.jpeg","Скачать индивидуальный QR-код магазина")</f>
        <v>Скачать индивидуальный QR-код магазина</v>
      </c>
    </row>
    <row r="3136" spans="1:7" x14ac:dyDescent="0.25">
      <c r="A3136" t="s">
        <v>9883</v>
      </c>
      <c r="B3136" t="s">
        <v>9926</v>
      </c>
      <c r="C3136" t="s">
        <v>7965</v>
      </c>
      <c r="D3136" t="s">
        <v>7966</v>
      </c>
      <c r="E3136" t="s">
        <v>7967</v>
      </c>
      <c r="F3136" t="s">
        <v>9927</v>
      </c>
      <c r="G3136" s="2" t="str">
        <f>HYPERLINK("https://probpalata.gov.ru/files/ЮЛ660700070800172.jpeg","Скачать индивидуальный QR-код магазина")</f>
        <v>Скачать индивидуальный QR-код магазина</v>
      </c>
    </row>
    <row r="3137" spans="1:7" x14ac:dyDescent="0.25">
      <c r="A3137" t="s">
        <v>9883</v>
      </c>
      <c r="B3137" t="s">
        <v>9928</v>
      </c>
      <c r="C3137" t="s">
        <v>7965</v>
      </c>
      <c r="D3137" t="s">
        <v>7966</v>
      </c>
      <c r="E3137" t="s">
        <v>7967</v>
      </c>
      <c r="F3137" t="s">
        <v>9929</v>
      </c>
      <c r="G3137" s="2" t="str">
        <f>HYPERLINK("https://probpalata.gov.ru/files/ЮЛ660700070800173.jpeg","Скачать индивидуальный QR-код магазина")</f>
        <v>Скачать индивидуальный QR-код магазина</v>
      </c>
    </row>
    <row r="3138" spans="1:7" x14ac:dyDescent="0.25">
      <c r="A3138" t="s">
        <v>9883</v>
      </c>
      <c r="B3138" t="s">
        <v>9930</v>
      </c>
      <c r="C3138" t="s">
        <v>9931</v>
      </c>
      <c r="D3138" t="s">
        <v>9932</v>
      </c>
      <c r="E3138" t="s">
        <v>9933</v>
      </c>
      <c r="F3138" t="s">
        <v>9934</v>
      </c>
      <c r="G3138" s="2" t="str">
        <f>HYPERLINK("https://probpalata.gov.ru/files/ЮЛ660700009000002.jpeg","Скачать индивидуальный QR-код магазина")</f>
        <v>Скачать индивидуальный QR-код магазина</v>
      </c>
    </row>
    <row r="3139" spans="1:7" x14ac:dyDescent="0.25">
      <c r="A3139" t="s">
        <v>9883</v>
      </c>
      <c r="B3139" t="s">
        <v>9935</v>
      </c>
      <c r="C3139" t="s">
        <v>1416</v>
      </c>
      <c r="D3139" t="s">
        <v>1417</v>
      </c>
      <c r="E3139" t="s">
        <v>1418</v>
      </c>
      <c r="F3139" t="s">
        <v>9936</v>
      </c>
      <c r="G3139" s="2" t="str">
        <f>HYPERLINK("https://probpalata.gov.ru/files/ЮЛ770100419400080.jpeg","Скачать индивидуальный QR-код магазина")</f>
        <v>Скачать индивидуальный QR-код магазина</v>
      </c>
    </row>
    <row r="3140" spans="1:7" x14ac:dyDescent="0.25">
      <c r="A3140" t="s">
        <v>9883</v>
      </c>
      <c r="B3140" t="s">
        <v>9937</v>
      </c>
      <c r="C3140" t="s">
        <v>748</v>
      </c>
      <c r="D3140" t="s">
        <v>749</v>
      </c>
      <c r="E3140" t="s">
        <v>750</v>
      </c>
      <c r="F3140" t="s">
        <v>9938</v>
      </c>
      <c r="G3140" s="2" t="str">
        <f>HYPERLINK("https://probpalata.gov.ru/files/ЮЛ770100193500262.jpeg","Скачать индивидуальный QR-код магазина")</f>
        <v>Скачать индивидуальный QR-код магазина</v>
      </c>
    </row>
    <row r="3141" spans="1:7" x14ac:dyDescent="0.25">
      <c r="A3141" t="s">
        <v>9883</v>
      </c>
      <c r="B3141" t="s">
        <v>9939</v>
      </c>
      <c r="C3141" t="s">
        <v>748</v>
      </c>
      <c r="D3141" t="s">
        <v>749</v>
      </c>
      <c r="E3141" t="s">
        <v>750</v>
      </c>
      <c r="F3141" t="s">
        <v>9940</v>
      </c>
      <c r="G3141" s="2" t="str">
        <f>HYPERLINK("https://probpalata.gov.ru/files/ЮЛ770100193500764.jpeg","Скачать индивидуальный QR-код магазина")</f>
        <v>Скачать индивидуальный QR-код магазина</v>
      </c>
    </row>
    <row r="3142" spans="1:7" x14ac:dyDescent="0.25">
      <c r="A3142" t="s">
        <v>9883</v>
      </c>
      <c r="B3142" t="s">
        <v>9941</v>
      </c>
      <c r="C3142" t="s">
        <v>748</v>
      </c>
      <c r="D3142" t="s">
        <v>749</v>
      </c>
      <c r="E3142" t="s">
        <v>750</v>
      </c>
      <c r="F3142" t="s">
        <v>9942</v>
      </c>
      <c r="G3142" s="2" t="str">
        <f>HYPERLINK("https://probpalata.gov.ru/files/ЮЛ770100193501046.jpeg","Скачать индивидуальный QR-код магазина")</f>
        <v>Скачать индивидуальный QR-код магазина</v>
      </c>
    </row>
    <row r="3143" spans="1:7" x14ac:dyDescent="0.25">
      <c r="A3143" t="s">
        <v>9883</v>
      </c>
      <c r="B3143" t="s">
        <v>9943</v>
      </c>
      <c r="C3143" t="s">
        <v>748</v>
      </c>
      <c r="D3143" t="s">
        <v>749</v>
      </c>
      <c r="E3143" t="s">
        <v>750</v>
      </c>
      <c r="F3143" t="s">
        <v>9944</v>
      </c>
      <c r="G3143" s="2" t="str">
        <f>HYPERLINK("https://probpalata.gov.ru/files/ЮЛ770100193501053.jpeg","Скачать индивидуальный QR-код магазина")</f>
        <v>Скачать индивидуальный QR-код магазина</v>
      </c>
    </row>
    <row r="3144" spans="1:7" x14ac:dyDescent="0.25">
      <c r="A3144" t="s">
        <v>9883</v>
      </c>
      <c r="B3144" t="s">
        <v>9945</v>
      </c>
      <c r="C3144" t="s">
        <v>773</v>
      </c>
      <c r="D3144" t="s">
        <v>774</v>
      </c>
      <c r="E3144" t="s">
        <v>775</v>
      </c>
      <c r="F3144" t="s">
        <v>9946</v>
      </c>
      <c r="G3144" s="2" t="str">
        <f>HYPERLINK("https://probpalata.gov.ru/files/ЮЛ780300131300220.jpeg","Скачать индивидуальный QR-код магазина")</f>
        <v>Скачать индивидуальный QR-код магазина</v>
      </c>
    </row>
    <row r="3145" spans="1:7" x14ac:dyDescent="0.25">
      <c r="A3145" t="s">
        <v>9883</v>
      </c>
      <c r="B3145" t="s">
        <v>9947</v>
      </c>
      <c r="C3145" t="s">
        <v>773</v>
      </c>
      <c r="D3145" t="s">
        <v>774</v>
      </c>
      <c r="E3145" t="s">
        <v>775</v>
      </c>
      <c r="F3145" t="s">
        <v>9948</v>
      </c>
      <c r="G3145" s="2" t="str">
        <f>HYPERLINK("https://probpalata.gov.ru/files/ЮЛ780300131300221.jpeg","Скачать индивидуальный QR-код магазина")</f>
        <v>Скачать индивидуальный QR-код магазина</v>
      </c>
    </row>
    <row r="3146" spans="1:7" x14ac:dyDescent="0.25">
      <c r="A3146" t="s">
        <v>9883</v>
      </c>
      <c r="B3146" t="s">
        <v>9949</v>
      </c>
      <c r="C3146" t="s">
        <v>773</v>
      </c>
      <c r="D3146" t="s">
        <v>774</v>
      </c>
      <c r="E3146" t="s">
        <v>775</v>
      </c>
      <c r="F3146" t="s">
        <v>9950</v>
      </c>
      <c r="G3146" s="2" t="str">
        <f>HYPERLINK("https://probpalata.gov.ru/files/ЮЛ780300131300222.jpeg","Скачать индивидуальный QR-код магазина")</f>
        <v>Скачать индивидуальный QR-код магазина</v>
      </c>
    </row>
    <row r="3147" spans="1:7" x14ac:dyDescent="0.25">
      <c r="A3147" t="s">
        <v>9883</v>
      </c>
      <c r="B3147" t="s">
        <v>9951</v>
      </c>
      <c r="C3147" t="s">
        <v>773</v>
      </c>
      <c r="D3147" t="s">
        <v>774</v>
      </c>
      <c r="E3147" t="s">
        <v>775</v>
      </c>
      <c r="F3147" t="s">
        <v>9952</v>
      </c>
      <c r="G3147" s="2" t="str">
        <f>HYPERLINK("https://probpalata.gov.ru/files/ЮЛ780300131300572.jpeg","Скачать индивидуальный QR-код магазина")</f>
        <v>Скачать индивидуальный QR-код магазина</v>
      </c>
    </row>
    <row r="3148" spans="1:7" x14ac:dyDescent="0.25">
      <c r="A3148" t="s">
        <v>9883</v>
      </c>
      <c r="B3148" t="s">
        <v>9953</v>
      </c>
      <c r="C3148" t="s">
        <v>787</v>
      </c>
      <c r="D3148" t="s">
        <v>788</v>
      </c>
      <c r="E3148" t="s">
        <v>789</v>
      </c>
      <c r="F3148" t="s">
        <v>9954</v>
      </c>
      <c r="G3148" s="2" t="str">
        <f>HYPERLINK("https://probpalata.gov.ru/files/ЮЛ780300328000095.jpeg","Скачать индивидуальный QR-код магазина")</f>
        <v>Скачать индивидуальный QR-код магазина</v>
      </c>
    </row>
    <row r="3149" spans="1:7" x14ac:dyDescent="0.25">
      <c r="A3149" t="s">
        <v>9883</v>
      </c>
      <c r="B3149" t="s">
        <v>9955</v>
      </c>
      <c r="C3149" t="s">
        <v>4077</v>
      </c>
      <c r="D3149" t="s">
        <v>4078</v>
      </c>
      <c r="E3149" t="s">
        <v>4079</v>
      </c>
      <c r="F3149" t="s">
        <v>9956</v>
      </c>
      <c r="G3149" s="2" t="str">
        <f>HYPERLINK("https://probpalata.gov.ru/files/ЮЛ780300331800075.jpeg","Скачать индивидуальный QR-код магазина")</f>
        <v>Скачать индивидуальный QR-код магазина</v>
      </c>
    </row>
    <row r="3150" spans="1:7" x14ac:dyDescent="0.25">
      <c r="A3150" t="s">
        <v>9883</v>
      </c>
      <c r="B3150" t="s">
        <v>9935</v>
      </c>
      <c r="C3150" t="s">
        <v>791</v>
      </c>
      <c r="D3150" t="s">
        <v>792</v>
      </c>
      <c r="E3150" t="s">
        <v>793</v>
      </c>
      <c r="F3150" t="s">
        <v>9957</v>
      </c>
      <c r="G3150" s="2" t="str">
        <f>HYPERLINK("https://probpalata.gov.ru/files/ЮЛ780300323500204.jpeg","Скачать индивидуальный QR-код магазина")</f>
        <v>Скачать индивидуальный QR-код магазина</v>
      </c>
    </row>
    <row r="3151" spans="1:7" x14ac:dyDescent="0.25">
      <c r="A3151" t="s">
        <v>9883</v>
      </c>
      <c r="B3151" t="s">
        <v>9958</v>
      </c>
      <c r="C3151" t="s">
        <v>791</v>
      </c>
      <c r="D3151" t="s">
        <v>792</v>
      </c>
      <c r="E3151" t="s">
        <v>793</v>
      </c>
      <c r="F3151" t="s">
        <v>9959</v>
      </c>
      <c r="G3151" s="2" t="str">
        <f>HYPERLINK("https://probpalata.gov.ru/files/ЮЛ780300323500205.jpeg","Скачать индивидуальный QR-код магазина")</f>
        <v>Скачать индивидуальный QR-код магазина</v>
      </c>
    </row>
    <row r="3152" spans="1:7" x14ac:dyDescent="0.25">
      <c r="A3152" t="s">
        <v>9883</v>
      </c>
      <c r="B3152" t="s">
        <v>9935</v>
      </c>
      <c r="C3152" t="s">
        <v>798</v>
      </c>
      <c r="D3152" t="s">
        <v>799</v>
      </c>
      <c r="E3152" t="s">
        <v>800</v>
      </c>
      <c r="F3152" t="s">
        <v>9960</v>
      </c>
      <c r="G3152" s="2" t="str">
        <f>HYPERLINK("https://probpalata.gov.ru/files/ЮЛ780300308200096.jpeg","Скачать индивидуальный QR-код магазина")</f>
        <v>Скачать индивидуальный QR-код магазина</v>
      </c>
    </row>
    <row r="3153" spans="1:7" x14ac:dyDescent="0.25">
      <c r="A3153" t="s">
        <v>9883</v>
      </c>
      <c r="B3153" t="s">
        <v>9961</v>
      </c>
      <c r="C3153" t="s">
        <v>798</v>
      </c>
      <c r="D3153" t="s">
        <v>799</v>
      </c>
      <c r="E3153" t="s">
        <v>800</v>
      </c>
      <c r="F3153" t="s">
        <v>9962</v>
      </c>
      <c r="G3153" s="2" t="str">
        <f>HYPERLINK("https://probpalata.gov.ru/files/ЮЛ780300308200524.jpeg","Скачать индивидуальный QR-код магазина")</f>
        <v>Скачать индивидуальный QR-код магазина</v>
      </c>
    </row>
    <row r="3154" spans="1:7" x14ac:dyDescent="0.25">
      <c r="A3154" t="s">
        <v>9883</v>
      </c>
      <c r="B3154" t="s">
        <v>9963</v>
      </c>
      <c r="C3154" t="s">
        <v>798</v>
      </c>
      <c r="D3154" t="s">
        <v>799</v>
      </c>
      <c r="E3154" t="s">
        <v>800</v>
      </c>
      <c r="F3154" t="s">
        <v>9964</v>
      </c>
      <c r="G3154" s="2" t="str">
        <f>HYPERLINK("https://probpalata.gov.ru/files/ЮЛ780300308200526.jpeg","Скачать индивидуальный QR-код магазина")</f>
        <v>Скачать индивидуальный QR-код магазина</v>
      </c>
    </row>
    <row r="3155" spans="1:7" x14ac:dyDescent="0.25">
      <c r="A3155" t="s">
        <v>9883</v>
      </c>
      <c r="B3155" t="s">
        <v>9965</v>
      </c>
      <c r="C3155" t="s">
        <v>798</v>
      </c>
      <c r="D3155" t="s">
        <v>799</v>
      </c>
      <c r="E3155" t="s">
        <v>800</v>
      </c>
      <c r="F3155" t="s">
        <v>9966</v>
      </c>
      <c r="G3155" s="2" t="str">
        <f>HYPERLINK("https://probpalata.gov.ru/files/ЮЛ780300308200884.jpeg","Скачать индивидуальный QR-код магазина")</f>
        <v>Скачать индивидуальный QR-код магазина</v>
      </c>
    </row>
    <row r="3156" spans="1:7" x14ac:dyDescent="0.25">
      <c r="A3156" t="s">
        <v>9883</v>
      </c>
      <c r="B3156" t="s">
        <v>9967</v>
      </c>
      <c r="C3156" t="s">
        <v>798</v>
      </c>
      <c r="D3156" t="s">
        <v>799</v>
      </c>
      <c r="E3156" t="s">
        <v>800</v>
      </c>
      <c r="F3156" t="s">
        <v>9968</v>
      </c>
      <c r="G3156" s="2" t="str">
        <f>HYPERLINK("https://probpalata.gov.ru/files/ЮЛ780300308201000.jpeg","Скачать индивидуальный QR-код магазина")</f>
        <v>Скачать индивидуальный QR-код магазина</v>
      </c>
    </row>
    <row r="3157" spans="1:7" x14ac:dyDescent="0.25">
      <c r="A3157" t="s">
        <v>9883</v>
      </c>
      <c r="B3157" t="s">
        <v>9935</v>
      </c>
      <c r="C3157" t="s">
        <v>823</v>
      </c>
      <c r="D3157" t="s">
        <v>824</v>
      </c>
      <c r="E3157" t="s">
        <v>825</v>
      </c>
      <c r="F3157" t="s">
        <v>9969</v>
      </c>
      <c r="G3157" s="2" t="str">
        <f>HYPERLINK("https://probpalata.gov.ru/files/ЮЛ780300363500263.jpeg","Скачать индивидуальный QR-код магазина")</f>
        <v>Скачать индивидуальный QR-код магазина</v>
      </c>
    </row>
    <row r="3158" spans="1:7" x14ac:dyDescent="0.25">
      <c r="A3158" t="s">
        <v>9883</v>
      </c>
      <c r="B3158" t="s">
        <v>9958</v>
      </c>
      <c r="C3158" t="s">
        <v>823</v>
      </c>
      <c r="D3158" t="s">
        <v>824</v>
      </c>
      <c r="E3158" t="s">
        <v>825</v>
      </c>
      <c r="F3158" t="s">
        <v>9970</v>
      </c>
      <c r="G3158" s="2" t="str">
        <f>HYPERLINK("https://probpalata.gov.ru/files/ЮЛ780300363500264.jpeg","Скачать индивидуальный QR-код магазина")</f>
        <v>Скачать индивидуальный QR-код магазина</v>
      </c>
    </row>
    <row r="3159" spans="1:7" x14ac:dyDescent="0.25">
      <c r="A3159" t="s">
        <v>9971</v>
      </c>
      <c r="B3159" t="s">
        <v>9972</v>
      </c>
      <c r="C3159" t="s">
        <v>9973</v>
      </c>
      <c r="D3159" t="s">
        <v>9974</v>
      </c>
      <c r="E3159" t="s">
        <v>9975</v>
      </c>
      <c r="F3159" t="s">
        <v>9976</v>
      </c>
      <c r="G3159" s="2" t="str">
        <f>HYPERLINK("https://probpalata.gov.ru/files/ИП420801334100000.jpeg","Скачать индивидуальный QR-код магазина")</f>
        <v>Скачать индивидуальный QR-код магазина</v>
      </c>
    </row>
    <row r="3160" spans="1:7" x14ac:dyDescent="0.25">
      <c r="A3160" t="s">
        <v>9971</v>
      </c>
      <c r="B3160" t="s">
        <v>9977</v>
      </c>
      <c r="C3160" t="s">
        <v>9973</v>
      </c>
      <c r="D3160" t="s">
        <v>9974</v>
      </c>
      <c r="E3160" t="s">
        <v>9975</v>
      </c>
      <c r="F3160" t="s">
        <v>9978</v>
      </c>
      <c r="G3160" s="2" t="str">
        <f>HYPERLINK("https://probpalata.gov.ru/files/ИП420801334100002.jpeg","Скачать индивидуальный QR-код магазина")</f>
        <v>Скачать индивидуальный QR-код магазина</v>
      </c>
    </row>
    <row r="3161" spans="1:7" x14ac:dyDescent="0.25">
      <c r="A3161" t="s">
        <v>9971</v>
      </c>
      <c r="B3161" t="s">
        <v>9979</v>
      </c>
      <c r="C3161" t="s">
        <v>9980</v>
      </c>
      <c r="D3161" t="s">
        <v>9981</v>
      </c>
      <c r="E3161" t="s">
        <v>9982</v>
      </c>
      <c r="F3161" t="s">
        <v>9983</v>
      </c>
      <c r="G3161" s="2" t="str">
        <f>HYPERLINK("https://probpalata.gov.ru/files/ИП240801156100003.jpeg","Скачать индивидуальный QR-код магазина")</f>
        <v>Скачать индивидуальный QR-код магазина</v>
      </c>
    </row>
    <row r="3162" spans="1:7" x14ac:dyDescent="0.25">
      <c r="A3162" t="s">
        <v>9971</v>
      </c>
      <c r="B3162" t="s">
        <v>9984</v>
      </c>
      <c r="C3162" t="s">
        <v>9985</v>
      </c>
      <c r="D3162" t="s">
        <v>9986</v>
      </c>
      <c r="E3162" t="s">
        <v>9987</v>
      </c>
      <c r="F3162" t="s">
        <v>9988</v>
      </c>
      <c r="G3162" s="2" t="str">
        <f>HYPERLINK("https://probpalata.gov.ru/files/ИП420801379900000.jpeg","Скачать индивидуальный QR-код магазина")</f>
        <v>Скачать индивидуальный QR-код магазина</v>
      </c>
    </row>
    <row r="3163" spans="1:7" x14ac:dyDescent="0.25">
      <c r="A3163" t="s">
        <v>9971</v>
      </c>
      <c r="B3163" t="s">
        <v>9989</v>
      </c>
      <c r="C3163" t="s">
        <v>9990</v>
      </c>
      <c r="D3163" t="s">
        <v>9991</v>
      </c>
      <c r="E3163" t="s">
        <v>9992</v>
      </c>
      <c r="F3163" t="s">
        <v>9993</v>
      </c>
      <c r="G3163" s="2" t="str">
        <f>HYPERLINK("https://probpalata.gov.ru/files/ИП420801571800000.jpeg","Скачать индивидуальный QR-код магазина")</f>
        <v>Скачать индивидуальный QR-код магазина</v>
      </c>
    </row>
    <row r="3164" spans="1:7" x14ac:dyDescent="0.25">
      <c r="A3164" t="s">
        <v>9971</v>
      </c>
      <c r="B3164" t="s">
        <v>9994</v>
      </c>
      <c r="C3164" t="s">
        <v>9995</v>
      </c>
      <c r="D3164" t="s">
        <v>9996</v>
      </c>
      <c r="E3164" t="s">
        <v>9997</v>
      </c>
      <c r="F3164" t="s">
        <v>9998</v>
      </c>
      <c r="G3164" s="2" t="str">
        <f>HYPERLINK("https://probpalata.gov.ru/files/ИП420801162900000.jpeg","Скачать индивидуальный QR-код магазина")</f>
        <v>Скачать индивидуальный QR-код магазина</v>
      </c>
    </row>
    <row r="3165" spans="1:7" x14ac:dyDescent="0.25">
      <c r="A3165" t="s">
        <v>9971</v>
      </c>
      <c r="B3165" t="s">
        <v>9999</v>
      </c>
      <c r="C3165" t="s">
        <v>10000</v>
      </c>
      <c r="D3165" t="s">
        <v>10001</v>
      </c>
      <c r="E3165" t="s">
        <v>10002</v>
      </c>
      <c r="F3165" t="s">
        <v>10003</v>
      </c>
      <c r="G3165" s="2" t="str">
        <f>HYPERLINK("https://probpalata.gov.ru/files/ИП420801158700000.jpeg","Скачать индивидуальный QR-код магазина")</f>
        <v>Скачать индивидуальный QR-код магазина</v>
      </c>
    </row>
    <row r="3166" spans="1:7" x14ac:dyDescent="0.25">
      <c r="A3166" t="s">
        <v>9971</v>
      </c>
      <c r="B3166" t="s">
        <v>10004</v>
      </c>
      <c r="C3166" t="s">
        <v>10005</v>
      </c>
      <c r="D3166" t="s">
        <v>10006</v>
      </c>
      <c r="E3166" t="s">
        <v>10007</v>
      </c>
      <c r="F3166" t="s">
        <v>10008</v>
      </c>
      <c r="G3166" s="2" t="str">
        <f>HYPERLINK("https://probpalata.gov.ru/files/ИП770100235200000.jpeg","Скачать индивидуальный QR-код магазина")</f>
        <v>Скачать индивидуальный QR-код магазина</v>
      </c>
    </row>
    <row r="3167" spans="1:7" x14ac:dyDescent="0.25">
      <c r="A3167" t="s">
        <v>9971</v>
      </c>
      <c r="B3167" t="s">
        <v>10009</v>
      </c>
      <c r="C3167" t="s">
        <v>10005</v>
      </c>
      <c r="D3167" t="s">
        <v>10006</v>
      </c>
      <c r="E3167" t="s">
        <v>10007</v>
      </c>
      <c r="F3167" t="s">
        <v>10010</v>
      </c>
      <c r="G3167" s="2" t="str">
        <f>HYPERLINK("https://probpalata.gov.ru/files/ИП770100235200001.jpeg","Скачать индивидуальный QR-код магазина")</f>
        <v>Скачать индивидуальный QR-код магазина</v>
      </c>
    </row>
    <row r="3168" spans="1:7" x14ac:dyDescent="0.25">
      <c r="A3168" t="s">
        <v>9971</v>
      </c>
      <c r="B3168" t="s">
        <v>10011</v>
      </c>
      <c r="C3168" t="s">
        <v>10005</v>
      </c>
      <c r="D3168" t="s">
        <v>10006</v>
      </c>
      <c r="E3168" t="s">
        <v>10007</v>
      </c>
      <c r="F3168" t="s">
        <v>10012</v>
      </c>
      <c r="G3168" s="2" t="str">
        <f>HYPERLINK("https://probpalata.gov.ru/files/ИП770100235200002.jpeg","Скачать индивидуальный QR-код магазина")</f>
        <v>Скачать индивидуальный QR-код магазина</v>
      </c>
    </row>
    <row r="3169" spans="1:7" x14ac:dyDescent="0.25">
      <c r="A3169" t="s">
        <v>9971</v>
      </c>
      <c r="B3169" t="s">
        <v>10013</v>
      </c>
      <c r="C3169" t="s">
        <v>10005</v>
      </c>
      <c r="D3169" t="s">
        <v>10006</v>
      </c>
      <c r="E3169" t="s">
        <v>10007</v>
      </c>
      <c r="F3169" t="s">
        <v>10014</v>
      </c>
      <c r="G3169" s="2" t="str">
        <f>HYPERLINK("https://probpalata.gov.ru/files/ИП770100235200003.jpeg","Скачать индивидуальный QR-код магазина")</f>
        <v>Скачать индивидуальный QR-код магазина</v>
      </c>
    </row>
    <row r="3170" spans="1:7" x14ac:dyDescent="0.25">
      <c r="A3170" t="s">
        <v>9971</v>
      </c>
      <c r="B3170" t="s">
        <v>10015</v>
      </c>
      <c r="C3170" t="s">
        <v>10005</v>
      </c>
      <c r="D3170" t="s">
        <v>10006</v>
      </c>
      <c r="E3170" t="s">
        <v>10007</v>
      </c>
      <c r="F3170" t="s">
        <v>10016</v>
      </c>
      <c r="G3170" s="2" t="str">
        <f>HYPERLINK("https://probpalata.gov.ru/files/ИП770100235200004.jpeg","Скачать индивидуальный QR-код магазина")</f>
        <v>Скачать индивидуальный QR-код магазина</v>
      </c>
    </row>
    <row r="3171" spans="1:7" x14ac:dyDescent="0.25">
      <c r="A3171" t="s">
        <v>9971</v>
      </c>
      <c r="B3171" t="s">
        <v>10017</v>
      </c>
      <c r="C3171" t="s">
        <v>10018</v>
      </c>
      <c r="D3171" t="s">
        <v>10019</v>
      </c>
      <c r="E3171" t="s">
        <v>10020</v>
      </c>
      <c r="F3171" t="s">
        <v>10021</v>
      </c>
      <c r="G3171" s="2" t="str">
        <f>HYPERLINK("https://probpalata.gov.ru/files/ИП420801657800000.jpeg","Скачать индивидуальный QR-код магазина")</f>
        <v>Скачать индивидуальный QR-код магазина</v>
      </c>
    </row>
    <row r="3172" spans="1:7" x14ac:dyDescent="0.25">
      <c r="A3172" t="s">
        <v>9971</v>
      </c>
      <c r="B3172" t="s">
        <v>10022</v>
      </c>
      <c r="C3172" t="s">
        <v>10023</v>
      </c>
      <c r="D3172" t="s">
        <v>10024</v>
      </c>
      <c r="E3172" t="s">
        <v>10025</v>
      </c>
      <c r="F3172" t="s">
        <v>10026</v>
      </c>
      <c r="G3172" s="2" t="str">
        <f>HYPERLINK("https://probpalata.gov.ru/files/ИП420801667100000.jpeg","Скачать индивидуальный QR-код магазина")</f>
        <v>Скачать индивидуальный QR-код магазина</v>
      </c>
    </row>
    <row r="3173" spans="1:7" x14ac:dyDescent="0.25">
      <c r="A3173" t="s">
        <v>9971</v>
      </c>
      <c r="B3173" t="s">
        <v>10027</v>
      </c>
      <c r="C3173" t="s">
        <v>10023</v>
      </c>
      <c r="D3173" t="s">
        <v>10024</v>
      </c>
      <c r="E3173" t="s">
        <v>10025</v>
      </c>
      <c r="F3173" t="s">
        <v>10028</v>
      </c>
      <c r="G3173" s="2" t="str">
        <f>HYPERLINK("https://probpalata.gov.ru/files/ИП420801667100002.jpeg","Скачать индивидуальный QR-код магазина")</f>
        <v>Скачать индивидуальный QR-код магазина</v>
      </c>
    </row>
    <row r="3174" spans="1:7" x14ac:dyDescent="0.25">
      <c r="A3174" t="s">
        <v>9971</v>
      </c>
      <c r="B3174" t="s">
        <v>10029</v>
      </c>
      <c r="C3174" t="s">
        <v>10023</v>
      </c>
      <c r="D3174" t="s">
        <v>10024</v>
      </c>
      <c r="E3174" t="s">
        <v>10025</v>
      </c>
      <c r="F3174" t="s">
        <v>10030</v>
      </c>
      <c r="G3174" s="2" t="str">
        <f>HYPERLINK("https://probpalata.gov.ru/files/ИП420801667100003.jpeg","Скачать индивидуальный QR-код магазина")</f>
        <v>Скачать индивидуальный QR-код магазина</v>
      </c>
    </row>
    <row r="3175" spans="1:7" x14ac:dyDescent="0.25">
      <c r="A3175" t="s">
        <v>9971</v>
      </c>
      <c r="B3175" t="s">
        <v>10031</v>
      </c>
      <c r="C3175" t="s">
        <v>10032</v>
      </c>
      <c r="D3175" t="s">
        <v>10033</v>
      </c>
      <c r="E3175" t="s">
        <v>10034</v>
      </c>
      <c r="F3175" t="s">
        <v>10035</v>
      </c>
      <c r="G3175" s="2" t="str">
        <f>HYPERLINK("https://probpalata.gov.ru/files/ИП420801656700000.jpeg","Скачать индивидуальный QR-код магазина")</f>
        <v>Скачать индивидуальный QR-код магазина</v>
      </c>
    </row>
    <row r="3176" spans="1:7" x14ac:dyDescent="0.25">
      <c r="A3176" t="s">
        <v>9971</v>
      </c>
      <c r="B3176" t="s">
        <v>10036</v>
      </c>
      <c r="C3176" t="s">
        <v>10037</v>
      </c>
      <c r="D3176" t="s">
        <v>10038</v>
      </c>
      <c r="E3176" t="s">
        <v>10039</v>
      </c>
      <c r="F3176" t="s">
        <v>10040</v>
      </c>
      <c r="G3176" s="2" t="str">
        <f>HYPERLINK("https://probpalata.gov.ru/files/ИП420803367600000.jpeg","Скачать индивидуальный QR-код магазина")</f>
        <v>Скачать индивидуальный QR-код магазина</v>
      </c>
    </row>
    <row r="3177" spans="1:7" x14ac:dyDescent="0.25">
      <c r="A3177" t="s">
        <v>9971</v>
      </c>
      <c r="B3177" t="s">
        <v>10041</v>
      </c>
      <c r="C3177" t="s">
        <v>10042</v>
      </c>
      <c r="D3177" t="s">
        <v>10043</v>
      </c>
      <c r="E3177" t="s">
        <v>10044</v>
      </c>
      <c r="F3177" t="s">
        <v>10045</v>
      </c>
      <c r="G3177" s="2" t="str">
        <f>HYPERLINK("https://probpalata.gov.ru/files/ИП420801807500000.jpeg","Скачать индивидуальный QR-код магазина")</f>
        <v>Скачать индивидуальный QR-код магазина</v>
      </c>
    </row>
    <row r="3178" spans="1:7" x14ac:dyDescent="0.25">
      <c r="A3178" t="s">
        <v>9971</v>
      </c>
      <c r="B3178" t="s">
        <v>10046</v>
      </c>
      <c r="C3178" t="s">
        <v>10047</v>
      </c>
      <c r="D3178" t="s">
        <v>10048</v>
      </c>
      <c r="E3178" t="s">
        <v>10049</v>
      </c>
      <c r="F3178" t="s">
        <v>10050</v>
      </c>
      <c r="G3178" s="2" t="str">
        <f>HYPERLINK("https://probpalata.gov.ru/files/ИП420801569500000.jpeg","Скачать индивидуальный QR-код магазина")</f>
        <v>Скачать индивидуальный QR-код магазина</v>
      </c>
    </row>
    <row r="3179" spans="1:7" x14ac:dyDescent="0.25">
      <c r="A3179" t="s">
        <v>9971</v>
      </c>
      <c r="B3179" t="s">
        <v>10051</v>
      </c>
      <c r="C3179" t="s">
        <v>10047</v>
      </c>
      <c r="D3179" t="s">
        <v>10048</v>
      </c>
      <c r="E3179" t="s">
        <v>10049</v>
      </c>
      <c r="F3179" t="s">
        <v>10052</v>
      </c>
      <c r="G3179" s="2" t="str">
        <f>HYPERLINK("https://probpalata.gov.ru/files/ИП420801569500001.jpeg","Скачать индивидуальный QR-код магазина")</f>
        <v>Скачать индивидуальный QR-код магазина</v>
      </c>
    </row>
    <row r="3180" spans="1:7" x14ac:dyDescent="0.25">
      <c r="A3180" t="s">
        <v>9971</v>
      </c>
      <c r="B3180" t="s">
        <v>10053</v>
      </c>
      <c r="C3180" t="s">
        <v>10047</v>
      </c>
      <c r="D3180" t="s">
        <v>10048</v>
      </c>
      <c r="E3180" t="s">
        <v>10049</v>
      </c>
      <c r="F3180" t="s">
        <v>10054</v>
      </c>
      <c r="G3180" s="2" t="str">
        <f>HYPERLINK("https://probpalata.gov.ru/files/ИП420801569500003.jpeg","Скачать индивидуальный QR-код магазина")</f>
        <v>Скачать индивидуальный QR-код магазина</v>
      </c>
    </row>
    <row r="3181" spans="1:7" x14ac:dyDescent="0.25">
      <c r="A3181" t="s">
        <v>9971</v>
      </c>
      <c r="B3181" t="s">
        <v>10055</v>
      </c>
      <c r="C3181" t="s">
        <v>10047</v>
      </c>
      <c r="D3181" t="s">
        <v>10048</v>
      </c>
      <c r="E3181" t="s">
        <v>10049</v>
      </c>
      <c r="F3181" t="s">
        <v>10056</v>
      </c>
      <c r="G3181" s="2" t="str">
        <f>HYPERLINK("https://probpalata.gov.ru/files/ИП420801569500005.jpeg","Скачать индивидуальный QR-код магазина")</f>
        <v>Скачать индивидуальный QR-код магазина</v>
      </c>
    </row>
    <row r="3182" spans="1:7" x14ac:dyDescent="0.25">
      <c r="A3182" t="s">
        <v>9971</v>
      </c>
      <c r="B3182" t="s">
        <v>10057</v>
      </c>
      <c r="C3182" t="s">
        <v>10047</v>
      </c>
      <c r="D3182" t="s">
        <v>10048</v>
      </c>
      <c r="E3182" t="s">
        <v>10049</v>
      </c>
      <c r="F3182" t="s">
        <v>10058</v>
      </c>
      <c r="G3182" s="2" t="str">
        <f>HYPERLINK("https://probpalata.gov.ru/files/ИП420801569500006.jpeg","Скачать индивидуальный QR-код магазина")</f>
        <v>Скачать индивидуальный QR-код магазина</v>
      </c>
    </row>
    <row r="3183" spans="1:7" x14ac:dyDescent="0.25">
      <c r="A3183" t="s">
        <v>9971</v>
      </c>
      <c r="B3183" t="s">
        <v>10059</v>
      </c>
      <c r="C3183" t="s">
        <v>10047</v>
      </c>
      <c r="D3183" t="s">
        <v>10048</v>
      </c>
      <c r="E3183" t="s">
        <v>10049</v>
      </c>
      <c r="F3183" t="s">
        <v>10060</v>
      </c>
      <c r="G3183" s="2" t="str">
        <f>HYPERLINK("https://probpalata.gov.ru/files/ИП420801569500008.jpeg","Скачать индивидуальный QR-код магазина")</f>
        <v>Скачать индивидуальный QR-код магазина</v>
      </c>
    </row>
    <row r="3184" spans="1:7" x14ac:dyDescent="0.25">
      <c r="A3184" t="s">
        <v>9971</v>
      </c>
      <c r="B3184" t="s">
        <v>10061</v>
      </c>
      <c r="C3184" t="s">
        <v>10062</v>
      </c>
      <c r="D3184" t="s">
        <v>10063</v>
      </c>
      <c r="E3184" t="s">
        <v>10064</v>
      </c>
      <c r="F3184" t="s">
        <v>10065</v>
      </c>
      <c r="G3184" s="2" t="str">
        <f>HYPERLINK("https://probpalata.gov.ru/files/ЮЛ420800679400000.jpeg","Скачать индивидуальный QR-код магазина")</f>
        <v>Скачать индивидуальный QR-код магазина</v>
      </c>
    </row>
    <row r="3185" spans="1:7" x14ac:dyDescent="0.25">
      <c r="A3185" t="s">
        <v>9971</v>
      </c>
      <c r="B3185" t="s">
        <v>10066</v>
      </c>
      <c r="C3185" t="s">
        <v>10062</v>
      </c>
      <c r="D3185" t="s">
        <v>10063</v>
      </c>
      <c r="E3185" t="s">
        <v>10064</v>
      </c>
      <c r="F3185" t="s">
        <v>10067</v>
      </c>
      <c r="G3185" s="2" t="str">
        <f>HYPERLINK("https://probpalata.gov.ru/files/ЮЛ420800679400002.jpeg","Скачать индивидуальный QR-код магазина")</f>
        <v>Скачать индивидуальный QR-код магазина</v>
      </c>
    </row>
    <row r="3186" spans="1:7" x14ac:dyDescent="0.25">
      <c r="A3186" t="s">
        <v>9971</v>
      </c>
      <c r="B3186" t="s">
        <v>10068</v>
      </c>
      <c r="C3186" t="s">
        <v>10062</v>
      </c>
      <c r="D3186" t="s">
        <v>10063</v>
      </c>
      <c r="E3186" t="s">
        <v>10064</v>
      </c>
      <c r="F3186" t="s">
        <v>10069</v>
      </c>
      <c r="G3186" s="2" t="str">
        <f>HYPERLINK("https://probpalata.gov.ru/files/ЮЛ420800679400004.jpeg","Скачать индивидуальный QR-код магазина")</f>
        <v>Скачать индивидуальный QR-код магазина</v>
      </c>
    </row>
    <row r="3187" spans="1:7" x14ac:dyDescent="0.25">
      <c r="A3187" t="s">
        <v>9971</v>
      </c>
      <c r="B3187" t="s">
        <v>10070</v>
      </c>
      <c r="C3187" t="s">
        <v>10062</v>
      </c>
      <c r="D3187" t="s">
        <v>10063</v>
      </c>
      <c r="E3187" t="s">
        <v>10064</v>
      </c>
      <c r="F3187" t="s">
        <v>10071</v>
      </c>
      <c r="G3187" s="2" t="str">
        <f>HYPERLINK("https://probpalata.gov.ru/files/ЮЛ420800679400006.jpeg","Скачать индивидуальный QR-код магазина")</f>
        <v>Скачать индивидуальный QR-код магазина</v>
      </c>
    </row>
    <row r="3188" spans="1:7" x14ac:dyDescent="0.25">
      <c r="A3188" t="s">
        <v>9971</v>
      </c>
      <c r="B3188" t="s">
        <v>10072</v>
      </c>
      <c r="C3188" t="s">
        <v>10062</v>
      </c>
      <c r="D3188" t="s">
        <v>10063</v>
      </c>
      <c r="E3188" t="s">
        <v>10064</v>
      </c>
      <c r="F3188" t="s">
        <v>10073</v>
      </c>
      <c r="G3188" s="2" t="str">
        <f>HYPERLINK("https://probpalata.gov.ru/files/ЮЛ420800679400007.jpeg","Скачать индивидуальный QR-код магазина")</f>
        <v>Скачать индивидуальный QR-код магазина</v>
      </c>
    </row>
    <row r="3189" spans="1:7" x14ac:dyDescent="0.25">
      <c r="A3189" t="s">
        <v>9971</v>
      </c>
      <c r="B3189" t="s">
        <v>10074</v>
      </c>
      <c r="C3189" t="s">
        <v>10062</v>
      </c>
      <c r="D3189" t="s">
        <v>10063</v>
      </c>
      <c r="E3189" t="s">
        <v>10064</v>
      </c>
      <c r="F3189" t="s">
        <v>10075</v>
      </c>
      <c r="G3189" s="2" t="str">
        <f>HYPERLINK("https://probpalata.gov.ru/files/ЮЛ420800679400008.jpeg","Скачать индивидуальный QR-код магазина")</f>
        <v>Скачать индивидуальный QR-код магазина</v>
      </c>
    </row>
    <row r="3190" spans="1:7" x14ac:dyDescent="0.25">
      <c r="A3190" t="s">
        <v>9971</v>
      </c>
      <c r="B3190" t="s">
        <v>10076</v>
      </c>
      <c r="C3190" t="s">
        <v>10062</v>
      </c>
      <c r="D3190" t="s">
        <v>10063</v>
      </c>
      <c r="E3190" t="s">
        <v>10064</v>
      </c>
      <c r="F3190" t="s">
        <v>10077</v>
      </c>
      <c r="G3190" s="2" t="str">
        <f>HYPERLINK("https://probpalata.gov.ru/files/ЮЛ420800679400009.jpeg","Скачать индивидуальный QR-код магазина")</f>
        <v>Скачать индивидуальный QR-код магазина</v>
      </c>
    </row>
    <row r="3191" spans="1:7" x14ac:dyDescent="0.25">
      <c r="A3191" t="s">
        <v>9971</v>
      </c>
      <c r="B3191" t="s">
        <v>10078</v>
      </c>
      <c r="C3191" t="s">
        <v>10079</v>
      </c>
      <c r="D3191" t="s">
        <v>10080</v>
      </c>
      <c r="E3191" t="s">
        <v>10081</v>
      </c>
      <c r="F3191" t="s">
        <v>10082</v>
      </c>
      <c r="G3191" s="2" t="str">
        <f>HYPERLINK("https://probpalata.gov.ru/files/ИП420800119400000.jpeg","Скачать индивидуальный QR-код магазина")</f>
        <v>Скачать индивидуальный QR-код магазина</v>
      </c>
    </row>
    <row r="3192" spans="1:7" x14ac:dyDescent="0.25">
      <c r="A3192" t="s">
        <v>9971</v>
      </c>
      <c r="B3192" t="s">
        <v>10083</v>
      </c>
      <c r="C3192" t="s">
        <v>10084</v>
      </c>
      <c r="D3192" t="s">
        <v>10085</v>
      </c>
      <c r="E3192" t="s">
        <v>10086</v>
      </c>
      <c r="F3192" t="s">
        <v>10087</v>
      </c>
      <c r="G3192" s="2" t="str">
        <f>HYPERLINK("https://probpalata.gov.ru/files/ЮЛ420800107000000.jpeg","Скачать индивидуальный QR-код магазина")</f>
        <v>Скачать индивидуальный QR-код магазина</v>
      </c>
    </row>
    <row r="3193" spans="1:7" x14ac:dyDescent="0.25">
      <c r="A3193" t="s">
        <v>9971</v>
      </c>
      <c r="B3193" t="s">
        <v>10088</v>
      </c>
      <c r="C3193" t="s">
        <v>10084</v>
      </c>
      <c r="D3193" t="s">
        <v>10085</v>
      </c>
      <c r="E3193" t="s">
        <v>10086</v>
      </c>
      <c r="F3193" t="s">
        <v>10089</v>
      </c>
      <c r="G3193" s="2" t="str">
        <f>HYPERLINK("https://probpalata.gov.ru/files/ЮЛ420800107000001.jpeg","Скачать индивидуальный QR-код магазина")</f>
        <v>Скачать индивидуальный QR-код магазина</v>
      </c>
    </row>
    <row r="3194" spans="1:7" x14ac:dyDescent="0.25">
      <c r="A3194" t="s">
        <v>9971</v>
      </c>
      <c r="B3194" t="s">
        <v>10090</v>
      </c>
      <c r="C3194" t="s">
        <v>10091</v>
      </c>
      <c r="D3194" t="s">
        <v>10092</v>
      </c>
      <c r="E3194" t="s">
        <v>10093</v>
      </c>
      <c r="F3194" t="s">
        <v>10094</v>
      </c>
      <c r="G3194" s="2" t="str">
        <f>HYPERLINK("https://probpalata.gov.ru/files/ИП420801368200003.jpeg","Скачать индивидуальный QR-код магазина")</f>
        <v>Скачать индивидуальный QR-код магазина</v>
      </c>
    </row>
    <row r="3195" spans="1:7" x14ac:dyDescent="0.25">
      <c r="A3195" t="s">
        <v>9971</v>
      </c>
      <c r="B3195" t="s">
        <v>10095</v>
      </c>
      <c r="C3195" t="s">
        <v>10096</v>
      </c>
      <c r="D3195" t="s">
        <v>10097</v>
      </c>
      <c r="E3195" t="s">
        <v>10098</v>
      </c>
      <c r="F3195" t="s">
        <v>10099</v>
      </c>
      <c r="G3195" s="2" t="str">
        <f>HYPERLINK("https://probpalata.gov.ru/files/ЮЛ420801163200000.jpeg","Скачать индивидуальный QR-код магазина")</f>
        <v>Скачать индивидуальный QR-код магазина</v>
      </c>
    </row>
    <row r="3196" spans="1:7" x14ac:dyDescent="0.25">
      <c r="A3196" t="s">
        <v>9971</v>
      </c>
      <c r="B3196" t="s">
        <v>10100</v>
      </c>
      <c r="C3196" t="s">
        <v>10101</v>
      </c>
      <c r="D3196" t="s">
        <v>10102</v>
      </c>
      <c r="E3196" t="s">
        <v>10103</v>
      </c>
      <c r="F3196" t="s">
        <v>10104</v>
      </c>
      <c r="G3196" s="2" t="str">
        <f>HYPERLINK("https://probpalata.gov.ru/files/ИП420801005700000.jpeg","Скачать индивидуальный QR-код магазина")</f>
        <v>Скачать индивидуальный QR-код магазина</v>
      </c>
    </row>
    <row r="3197" spans="1:7" x14ac:dyDescent="0.25">
      <c r="A3197" t="s">
        <v>9971</v>
      </c>
      <c r="B3197" t="s">
        <v>10105</v>
      </c>
      <c r="C3197" t="s">
        <v>10106</v>
      </c>
      <c r="D3197" t="s">
        <v>10107</v>
      </c>
      <c r="E3197" t="s">
        <v>10108</v>
      </c>
      <c r="F3197" t="s">
        <v>10109</v>
      </c>
      <c r="G3197" s="2" t="str">
        <f>HYPERLINK("https://probpalata.gov.ru/files/ИП420801573900000.jpeg","Скачать индивидуальный QR-код магазина")</f>
        <v>Скачать индивидуальный QR-код магазина</v>
      </c>
    </row>
    <row r="3198" spans="1:7" x14ac:dyDescent="0.25">
      <c r="A3198" t="s">
        <v>9971</v>
      </c>
      <c r="B3198" t="s">
        <v>10110</v>
      </c>
      <c r="C3198" t="s">
        <v>10111</v>
      </c>
      <c r="D3198" t="s">
        <v>10112</v>
      </c>
      <c r="E3198" t="s">
        <v>10113</v>
      </c>
      <c r="F3198" t="s">
        <v>10114</v>
      </c>
      <c r="G3198" s="2" t="str">
        <f>HYPERLINK("https://probpalata.gov.ru/files/ИП420803170300000.jpeg","Скачать индивидуальный QR-код магазина")</f>
        <v>Скачать индивидуальный QR-код магазина</v>
      </c>
    </row>
    <row r="3199" spans="1:7" x14ac:dyDescent="0.25">
      <c r="A3199" t="s">
        <v>9971</v>
      </c>
      <c r="B3199" t="s">
        <v>10115</v>
      </c>
      <c r="C3199" t="s">
        <v>10116</v>
      </c>
      <c r="D3199" t="s">
        <v>10117</v>
      </c>
      <c r="E3199" t="s">
        <v>10118</v>
      </c>
      <c r="F3199" t="s">
        <v>10119</v>
      </c>
      <c r="G3199" s="2" t="str">
        <f>HYPERLINK("https://probpalata.gov.ru/files/ИП420803612700000.jpeg","Скачать индивидуальный QR-код магазина")</f>
        <v>Скачать индивидуальный QR-код магазина</v>
      </c>
    </row>
    <row r="3200" spans="1:7" x14ac:dyDescent="0.25">
      <c r="A3200" t="s">
        <v>9971</v>
      </c>
      <c r="B3200" t="s">
        <v>10120</v>
      </c>
      <c r="C3200" t="s">
        <v>10121</v>
      </c>
      <c r="D3200" t="s">
        <v>10122</v>
      </c>
      <c r="E3200" t="s">
        <v>10123</v>
      </c>
      <c r="F3200" t="s">
        <v>10124</v>
      </c>
      <c r="G3200" s="2" t="str">
        <f>HYPERLINK("https://probpalata.gov.ru/files/ИП420801568200000.jpeg","Скачать индивидуальный QR-код магазина")</f>
        <v>Скачать индивидуальный QR-код магазина</v>
      </c>
    </row>
    <row r="3201" spans="1:7" x14ac:dyDescent="0.25">
      <c r="A3201" t="s">
        <v>9971</v>
      </c>
      <c r="B3201" t="s">
        <v>10125</v>
      </c>
      <c r="C3201" t="s">
        <v>10126</v>
      </c>
      <c r="D3201" t="s">
        <v>10127</v>
      </c>
      <c r="E3201" t="s">
        <v>10128</v>
      </c>
      <c r="F3201" t="s">
        <v>10129</v>
      </c>
      <c r="G3201" s="2" t="str">
        <f>HYPERLINK("https://probpalata.gov.ru/files/ИП420800019500000.jpeg","Скачать индивидуальный QR-код магазина")</f>
        <v>Скачать индивидуальный QR-код магазина</v>
      </c>
    </row>
    <row r="3202" spans="1:7" x14ac:dyDescent="0.25">
      <c r="A3202" t="s">
        <v>9971</v>
      </c>
      <c r="B3202" t="s">
        <v>10088</v>
      </c>
      <c r="C3202" t="s">
        <v>10130</v>
      </c>
      <c r="D3202" t="s">
        <v>10131</v>
      </c>
      <c r="E3202" t="s">
        <v>10132</v>
      </c>
      <c r="F3202" t="s">
        <v>10133</v>
      </c>
      <c r="G3202" s="2" t="str">
        <f>HYPERLINK("https://probpalata.gov.ru/files/ИП420803836000000.jpeg","Скачать индивидуальный QR-код магазина")</f>
        <v>Скачать индивидуальный QR-код магазина</v>
      </c>
    </row>
    <row r="3203" spans="1:7" x14ac:dyDescent="0.25">
      <c r="A3203" t="s">
        <v>9971</v>
      </c>
      <c r="B3203" t="s">
        <v>10100</v>
      </c>
      <c r="C3203" t="s">
        <v>10134</v>
      </c>
      <c r="D3203" t="s">
        <v>10135</v>
      </c>
      <c r="E3203" t="s">
        <v>10136</v>
      </c>
      <c r="F3203" t="s">
        <v>10137</v>
      </c>
      <c r="G3203" s="2" t="str">
        <f>HYPERLINK("https://probpalata.gov.ru/files/ИП420801166400000.jpeg","Скачать индивидуальный QR-код магазина")</f>
        <v>Скачать индивидуальный QR-код магазина</v>
      </c>
    </row>
    <row r="3204" spans="1:7" x14ac:dyDescent="0.25">
      <c r="A3204" t="s">
        <v>9971</v>
      </c>
      <c r="B3204" t="s">
        <v>10138</v>
      </c>
      <c r="C3204" t="s">
        <v>10139</v>
      </c>
      <c r="D3204" t="s">
        <v>10140</v>
      </c>
      <c r="E3204" t="s">
        <v>10141</v>
      </c>
      <c r="F3204" t="s">
        <v>10142</v>
      </c>
      <c r="G3204" s="2" t="str">
        <f>HYPERLINK("https://probpalata.gov.ru/files/ЮЛ420803297900000.jpeg","Скачать индивидуальный QR-код магазина")</f>
        <v>Скачать индивидуальный QR-код магазина</v>
      </c>
    </row>
    <row r="3205" spans="1:7" x14ac:dyDescent="0.25">
      <c r="A3205" t="s">
        <v>9971</v>
      </c>
      <c r="B3205" t="s">
        <v>10143</v>
      </c>
      <c r="C3205" t="s">
        <v>10144</v>
      </c>
      <c r="D3205" t="s">
        <v>10145</v>
      </c>
      <c r="E3205" t="s">
        <v>10146</v>
      </c>
      <c r="F3205" t="s">
        <v>10147</v>
      </c>
      <c r="G3205" s="2" t="str">
        <f>HYPERLINK("https://probpalata.gov.ru/files/ЮЛ420801271200000.jpeg","Скачать индивидуальный QR-код магазина")</f>
        <v>Скачать индивидуальный QR-код магазина</v>
      </c>
    </row>
    <row r="3206" spans="1:7" x14ac:dyDescent="0.25">
      <c r="A3206" t="s">
        <v>9971</v>
      </c>
      <c r="B3206" t="s">
        <v>10148</v>
      </c>
      <c r="C3206" t="s">
        <v>10144</v>
      </c>
      <c r="D3206" t="s">
        <v>10145</v>
      </c>
      <c r="E3206" t="s">
        <v>10146</v>
      </c>
      <c r="F3206" t="s">
        <v>10149</v>
      </c>
      <c r="G3206" s="2" t="str">
        <f>HYPERLINK("https://probpalata.gov.ru/files/ЮЛ420801271200001.jpeg","Скачать индивидуальный QR-код магазина")</f>
        <v>Скачать индивидуальный QR-код магазина</v>
      </c>
    </row>
    <row r="3207" spans="1:7" x14ac:dyDescent="0.25">
      <c r="A3207" t="s">
        <v>9971</v>
      </c>
      <c r="B3207" t="s">
        <v>10051</v>
      </c>
      <c r="C3207" t="s">
        <v>10144</v>
      </c>
      <c r="D3207" t="s">
        <v>10145</v>
      </c>
      <c r="E3207" t="s">
        <v>10146</v>
      </c>
      <c r="F3207" t="s">
        <v>10150</v>
      </c>
      <c r="G3207" s="2" t="str">
        <f>HYPERLINK("https://probpalata.gov.ru/files/ЮЛ420801271200003.jpeg","Скачать индивидуальный QR-код магазина")</f>
        <v>Скачать индивидуальный QR-код магазина</v>
      </c>
    </row>
    <row r="3208" spans="1:7" x14ac:dyDescent="0.25">
      <c r="A3208" t="s">
        <v>9971</v>
      </c>
      <c r="B3208" t="s">
        <v>10151</v>
      </c>
      <c r="C3208" t="s">
        <v>10144</v>
      </c>
      <c r="D3208" t="s">
        <v>10145</v>
      </c>
      <c r="E3208" t="s">
        <v>10146</v>
      </c>
      <c r="F3208" t="s">
        <v>10152</v>
      </c>
      <c r="G3208" s="2" t="str">
        <f>HYPERLINK("https://probpalata.gov.ru/files/ЮЛ420801271200004.jpeg","Скачать индивидуальный QR-код магазина")</f>
        <v>Скачать индивидуальный QR-код магазина</v>
      </c>
    </row>
    <row r="3209" spans="1:7" x14ac:dyDescent="0.25">
      <c r="A3209" t="s">
        <v>9971</v>
      </c>
      <c r="B3209" t="s">
        <v>10153</v>
      </c>
      <c r="C3209" t="s">
        <v>10154</v>
      </c>
      <c r="D3209" t="s">
        <v>10155</v>
      </c>
      <c r="E3209" t="s">
        <v>10156</v>
      </c>
      <c r="F3209" t="s">
        <v>10157</v>
      </c>
      <c r="G3209" s="2" t="str">
        <f>HYPERLINK("https://probpalata.gov.ru/files/ЮЛ420803535100000.jpeg","Скачать индивидуальный QR-код магазина")</f>
        <v>Скачать индивидуальный QR-код магазина</v>
      </c>
    </row>
    <row r="3210" spans="1:7" x14ac:dyDescent="0.25">
      <c r="A3210" t="s">
        <v>9971</v>
      </c>
      <c r="B3210" t="s">
        <v>10158</v>
      </c>
      <c r="C3210" t="s">
        <v>10159</v>
      </c>
      <c r="D3210" t="s">
        <v>10160</v>
      </c>
      <c r="E3210" t="s">
        <v>10161</v>
      </c>
      <c r="F3210" t="s">
        <v>10162</v>
      </c>
      <c r="G3210" s="2" t="str">
        <f>HYPERLINK("https://probpalata.gov.ru/files/ЮЛ420803778300000.jpeg","Скачать индивидуальный QR-код магазина")</f>
        <v>Скачать индивидуальный QR-код магазина</v>
      </c>
    </row>
    <row r="3211" spans="1:7" x14ac:dyDescent="0.25">
      <c r="A3211" t="s">
        <v>9971</v>
      </c>
      <c r="B3211" t="s">
        <v>10163</v>
      </c>
      <c r="C3211" t="s">
        <v>10164</v>
      </c>
      <c r="D3211" t="s">
        <v>10165</v>
      </c>
      <c r="E3211" t="s">
        <v>10166</v>
      </c>
      <c r="F3211" t="s">
        <v>10167</v>
      </c>
      <c r="G3211" s="2" t="str">
        <f>HYPERLINK("https://probpalata.gov.ru/files/ИП420801552000000.jpeg","Скачать индивидуальный QR-код магазина")</f>
        <v>Скачать индивидуальный QR-код магазина</v>
      </c>
    </row>
    <row r="3212" spans="1:7" x14ac:dyDescent="0.25">
      <c r="A3212" t="s">
        <v>9971</v>
      </c>
      <c r="B3212" t="s">
        <v>10168</v>
      </c>
      <c r="C3212" t="s">
        <v>10169</v>
      </c>
      <c r="D3212" t="s">
        <v>10170</v>
      </c>
      <c r="E3212" t="s">
        <v>10171</v>
      </c>
      <c r="F3212" t="s">
        <v>10172</v>
      </c>
      <c r="G3212" s="2" t="str">
        <f>HYPERLINK("https://probpalata.gov.ru/files/ИП420801223400000.jpeg","Скачать индивидуальный QR-код магазина")</f>
        <v>Скачать индивидуальный QR-код магазина</v>
      </c>
    </row>
    <row r="3213" spans="1:7" x14ac:dyDescent="0.25">
      <c r="A3213" t="s">
        <v>9971</v>
      </c>
      <c r="B3213" t="s">
        <v>10173</v>
      </c>
      <c r="C3213" t="s">
        <v>10174</v>
      </c>
      <c r="D3213" t="s">
        <v>10175</v>
      </c>
      <c r="E3213" t="s">
        <v>10176</v>
      </c>
      <c r="F3213" t="s">
        <v>10177</v>
      </c>
      <c r="G3213" s="2" t="str">
        <f>HYPERLINK("https://probpalata.gov.ru/files/ИП420801592900000.jpeg","Скачать индивидуальный QR-код магазина")</f>
        <v>Скачать индивидуальный QR-код магазина</v>
      </c>
    </row>
    <row r="3214" spans="1:7" x14ac:dyDescent="0.25">
      <c r="A3214" t="s">
        <v>9971</v>
      </c>
      <c r="B3214" t="s">
        <v>10178</v>
      </c>
      <c r="C3214" t="s">
        <v>10179</v>
      </c>
      <c r="D3214" t="s">
        <v>10180</v>
      </c>
      <c r="E3214" t="s">
        <v>10181</v>
      </c>
      <c r="F3214" t="s">
        <v>10182</v>
      </c>
      <c r="G3214" s="2" t="str">
        <f>HYPERLINK("https://probpalata.gov.ru/files/ИП420800906400000.jpeg","Скачать индивидуальный QR-код магазина")</f>
        <v>Скачать индивидуальный QR-код магазина</v>
      </c>
    </row>
    <row r="3215" spans="1:7" x14ac:dyDescent="0.25">
      <c r="A3215" t="s">
        <v>9971</v>
      </c>
      <c r="B3215" t="s">
        <v>10183</v>
      </c>
      <c r="C3215" t="s">
        <v>10179</v>
      </c>
      <c r="D3215" t="s">
        <v>10180</v>
      </c>
      <c r="E3215" t="s">
        <v>10181</v>
      </c>
      <c r="F3215" t="s">
        <v>10184</v>
      </c>
      <c r="G3215" s="2" t="str">
        <f>HYPERLINK("https://probpalata.gov.ru/files/ИП420800906400001.jpeg","Скачать индивидуальный QR-код магазина")</f>
        <v>Скачать индивидуальный QR-код магазина</v>
      </c>
    </row>
    <row r="3216" spans="1:7" x14ac:dyDescent="0.25">
      <c r="A3216" t="s">
        <v>9971</v>
      </c>
      <c r="B3216" t="s">
        <v>10185</v>
      </c>
      <c r="C3216" t="s">
        <v>10186</v>
      </c>
      <c r="D3216" t="s">
        <v>10187</v>
      </c>
      <c r="E3216" t="s">
        <v>10188</v>
      </c>
      <c r="F3216" t="s">
        <v>10189</v>
      </c>
      <c r="G3216" s="2" t="str">
        <f>HYPERLINK("https://probpalata.gov.ru/files/ИП420801110000000.jpeg","Скачать индивидуальный QR-код магазина")</f>
        <v>Скачать индивидуальный QR-код магазина</v>
      </c>
    </row>
    <row r="3217" spans="1:7" x14ac:dyDescent="0.25">
      <c r="A3217" t="s">
        <v>9971</v>
      </c>
      <c r="B3217" t="s">
        <v>10190</v>
      </c>
      <c r="C3217" t="s">
        <v>10191</v>
      </c>
      <c r="D3217" t="s">
        <v>10192</v>
      </c>
      <c r="E3217" t="s">
        <v>10193</v>
      </c>
      <c r="F3217" t="s">
        <v>10194</v>
      </c>
      <c r="G3217" s="2" t="str">
        <f>HYPERLINK("https://probpalata.gov.ru/files/ИП420801573100000.jpeg","Скачать индивидуальный QR-код магазина")</f>
        <v>Скачать индивидуальный QR-код магазина</v>
      </c>
    </row>
    <row r="3218" spans="1:7" x14ac:dyDescent="0.25">
      <c r="A3218" t="s">
        <v>9971</v>
      </c>
      <c r="B3218" t="s">
        <v>10195</v>
      </c>
      <c r="C3218" t="s">
        <v>10191</v>
      </c>
      <c r="D3218" t="s">
        <v>10192</v>
      </c>
      <c r="E3218" t="s">
        <v>10193</v>
      </c>
      <c r="F3218" t="s">
        <v>10196</v>
      </c>
      <c r="G3218" s="2" t="str">
        <f>HYPERLINK("https://probpalata.gov.ru/files/ИП420801573100002.jpeg","Скачать индивидуальный QR-код магазина")</f>
        <v>Скачать индивидуальный QR-код магазина</v>
      </c>
    </row>
    <row r="3219" spans="1:7" x14ac:dyDescent="0.25">
      <c r="A3219" t="s">
        <v>9971</v>
      </c>
      <c r="B3219" t="s">
        <v>10197</v>
      </c>
      <c r="C3219" t="s">
        <v>10198</v>
      </c>
      <c r="D3219" t="s">
        <v>10199</v>
      </c>
      <c r="E3219" t="s">
        <v>10200</v>
      </c>
      <c r="F3219" t="s">
        <v>10201</v>
      </c>
      <c r="G3219" s="2" t="str">
        <f>HYPERLINK("https://probpalata.gov.ru/files/ИП230400957000000.jpeg","Скачать индивидуальный QR-код магазина")</f>
        <v>Скачать индивидуальный QR-код магазина</v>
      </c>
    </row>
    <row r="3220" spans="1:7" x14ac:dyDescent="0.25">
      <c r="A3220" t="s">
        <v>9971</v>
      </c>
      <c r="B3220" t="s">
        <v>10202</v>
      </c>
      <c r="C3220" t="s">
        <v>10198</v>
      </c>
      <c r="D3220" t="s">
        <v>10199</v>
      </c>
      <c r="E3220" t="s">
        <v>10200</v>
      </c>
      <c r="F3220" t="s">
        <v>10203</v>
      </c>
      <c r="G3220" s="2" t="str">
        <f>HYPERLINK("https://probpalata.gov.ru/files/ИП230400957000001.jpeg","Скачать индивидуальный QR-код магазина")</f>
        <v>Скачать индивидуальный QR-код магазина</v>
      </c>
    </row>
    <row r="3221" spans="1:7" x14ac:dyDescent="0.25">
      <c r="A3221" t="s">
        <v>9971</v>
      </c>
      <c r="B3221" t="s">
        <v>10204</v>
      </c>
      <c r="C3221" t="s">
        <v>10198</v>
      </c>
      <c r="D3221" t="s">
        <v>10199</v>
      </c>
      <c r="E3221" t="s">
        <v>10200</v>
      </c>
      <c r="F3221" t="s">
        <v>10205</v>
      </c>
      <c r="G3221" s="2" t="str">
        <f>HYPERLINK("https://probpalata.gov.ru/files/ИП230400957000006.jpeg","Скачать индивидуальный QR-код магазина")</f>
        <v>Скачать индивидуальный QR-код магазина</v>
      </c>
    </row>
    <row r="3222" spans="1:7" x14ac:dyDescent="0.25">
      <c r="A3222" t="s">
        <v>9971</v>
      </c>
      <c r="B3222" t="s">
        <v>10206</v>
      </c>
      <c r="C3222" t="s">
        <v>10207</v>
      </c>
      <c r="D3222" t="s">
        <v>10208</v>
      </c>
      <c r="E3222" t="s">
        <v>10209</v>
      </c>
      <c r="F3222" t="s">
        <v>10210</v>
      </c>
      <c r="G3222" s="2" t="str">
        <f>HYPERLINK("https://probpalata.gov.ru/files/ИП540803948600000.jpeg","Скачать индивидуальный QR-код магазина")</f>
        <v>Скачать индивидуальный QR-код магазина</v>
      </c>
    </row>
    <row r="3223" spans="1:7" x14ac:dyDescent="0.25">
      <c r="A3223" t="s">
        <v>9971</v>
      </c>
      <c r="B3223" t="s">
        <v>10211</v>
      </c>
      <c r="C3223" t="s">
        <v>10207</v>
      </c>
      <c r="D3223" t="s">
        <v>10208</v>
      </c>
      <c r="E3223" t="s">
        <v>10209</v>
      </c>
      <c r="F3223" t="s">
        <v>10212</v>
      </c>
      <c r="G3223" s="2" t="str">
        <f>HYPERLINK("https://probpalata.gov.ru/files/ИП540803948600001.jpeg","Скачать индивидуальный QR-код магазина")</f>
        <v>Скачать индивидуальный QR-код магазина</v>
      </c>
    </row>
    <row r="3224" spans="1:7" x14ac:dyDescent="0.25">
      <c r="A3224" t="s">
        <v>9971</v>
      </c>
      <c r="B3224" t="s">
        <v>10213</v>
      </c>
      <c r="C3224" t="s">
        <v>10207</v>
      </c>
      <c r="D3224" t="s">
        <v>10208</v>
      </c>
      <c r="E3224" t="s">
        <v>10209</v>
      </c>
      <c r="F3224" t="s">
        <v>10214</v>
      </c>
      <c r="G3224" s="2" t="str">
        <f>HYPERLINK("https://probpalata.gov.ru/files/ИП540803948600002.jpeg","Скачать индивидуальный QR-код магазина")</f>
        <v>Скачать индивидуальный QR-код магазина</v>
      </c>
    </row>
    <row r="3225" spans="1:7" x14ac:dyDescent="0.25">
      <c r="A3225" t="s">
        <v>9971</v>
      </c>
      <c r="B3225" t="s">
        <v>10215</v>
      </c>
      <c r="C3225" t="s">
        <v>10216</v>
      </c>
      <c r="D3225" t="s">
        <v>10217</v>
      </c>
      <c r="E3225" t="s">
        <v>10218</v>
      </c>
      <c r="F3225" t="s">
        <v>10219</v>
      </c>
      <c r="G3225" s="2" t="str">
        <f>HYPERLINK("https://probpalata.gov.ru/files/ИП420800129700000.jpeg","Скачать индивидуальный QR-код магазина")</f>
        <v>Скачать индивидуальный QR-код магазина</v>
      </c>
    </row>
    <row r="3226" spans="1:7" x14ac:dyDescent="0.25">
      <c r="A3226" t="s">
        <v>9971</v>
      </c>
      <c r="B3226" t="s">
        <v>10220</v>
      </c>
      <c r="C3226" t="s">
        <v>10216</v>
      </c>
      <c r="D3226" t="s">
        <v>10217</v>
      </c>
      <c r="E3226" t="s">
        <v>10218</v>
      </c>
      <c r="F3226" t="s">
        <v>10221</v>
      </c>
      <c r="G3226" s="2" t="str">
        <f>HYPERLINK("https://probpalata.gov.ru/files/ИП420800129700001.jpeg","Скачать индивидуальный QR-код магазина")</f>
        <v>Скачать индивидуальный QR-код магазина</v>
      </c>
    </row>
    <row r="3227" spans="1:7" x14ac:dyDescent="0.25">
      <c r="A3227" t="s">
        <v>9971</v>
      </c>
      <c r="B3227" t="s">
        <v>10222</v>
      </c>
      <c r="C3227" t="s">
        <v>10216</v>
      </c>
      <c r="D3227" t="s">
        <v>10217</v>
      </c>
      <c r="E3227" t="s">
        <v>10218</v>
      </c>
      <c r="F3227" t="s">
        <v>10223</v>
      </c>
      <c r="G3227" s="2" t="str">
        <f>HYPERLINK("https://probpalata.gov.ru/files/ИП420800129700002.jpeg","Скачать индивидуальный QR-код магазина")</f>
        <v>Скачать индивидуальный QR-код магазина</v>
      </c>
    </row>
    <row r="3228" spans="1:7" x14ac:dyDescent="0.25">
      <c r="A3228" t="s">
        <v>9971</v>
      </c>
      <c r="B3228" t="s">
        <v>10224</v>
      </c>
      <c r="C3228" t="s">
        <v>10216</v>
      </c>
      <c r="D3228" t="s">
        <v>10217</v>
      </c>
      <c r="E3228" t="s">
        <v>10218</v>
      </c>
      <c r="F3228" t="s">
        <v>10225</v>
      </c>
      <c r="G3228" s="2" t="str">
        <f>HYPERLINK("https://probpalata.gov.ru/files/ИП420800129700003.jpeg","Скачать индивидуальный QR-код магазина")</f>
        <v>Скачать индивидуальный QR-код магазина</v>
      </c>
    </row>
    <row r="3229" spans="1:7" x14ac:dyDescent="0.25">
      <c r="A3229" t="s">
        <v>9971</v>
      </c>
      <c r="B3229" t="s">
        <v>10226</v>
      </c>
      <c r="C3229" t="s">
        <v>10227</v>
      </c>
      <c r="D3229" t="s">
        <v>10228</v>
      </c>
      <c r="E3229" t="s">
        <v>10229</v>
      </c>
      <c r="F3229" t="s">
        <v>10230</v>
      </c>
      <c r="G3229" s="2" t="str">
        <f>HYPERLINK("https://probpalata.gov.ru/files/ИП420801158400000.jpeg","Скачать индивидуальный QR-код магазина")</f>
        <v>Скачать индивидуальный QR-код магазина</v>
      </c>
    </row>
    <row r="3230" spans="1:7" x14ac:dyDescent="0.25">
      <c r="A3230" t="s">
        <v>9971</v>
      </c>
      <c r="B3230" t="s">
        <v>10231</v>
      </c>
      <c r="C3230" t="s">
        <v>10232</v>
      </c>
      <c r="D3230" t="s">
        <v>10233</v>
      </c>
      <c r="E3230" t="s">
        <v>10234</v>
      </c>
      <c r="F3230" t="s">
        <v>10235</v>
      </c>
      <c r="G3230" s="2" t="str">
        <f>HYPERLINK("https://probpalata.gov.ru/files/ИП420800570500000.jpeg","Скачать индивидуальный QR-код магазина")</f>
        <v>Скачать индивидуальный QR-код магазина</v>
      </c>
    </row>
    <row r="3231" spans="1:7" x14ac:dyDescent="0.25">
      <c r="A3231" t="s">
        <v>9971</v>
      </c>
      <c r="B3231" t="s">
        <v>10236</v>
      </c>
      <c r="C3231" t="s">
        <v>10237</v>
      </c>
      <c r="D3231" t="s">
        <v>10238</v>
      </c>
      <c r="E3231" t="s">
        <v>10239</v>
      </c>
      <c r="F3231" t="s">
        <v>10240</v>
      </c>
      <c r="G3231" s="2" t="str">
        <f>HYPERLINK("https://probpalata.gov.ru/files/ИП420801442500000.jpeg","Скачать индивидуальный QR-код магазина")</f>
        <v>Скачать индивидуальный QR-код магазина</v>
      </c>
    </row>
    <row r="3232" spans="1:7" x14ac:dyDescent="0.25">
      <c r="A3232" t="s">
        <v>9971</v>
      </c>
      <c r="B3232" t="s">
        <v>10241</v>
      </c>
      <c r="C3232" t="s">
        <v>10242</v>
      </c>
      <c r="D3232" t="s">
        <v>10243</v>
      </c>
      <c r="E3232" t="s">
        <v>10244</v>
      </c>
      <c r="F3232" t="s">
        <v>10245</v>
      </c>
      <c r="G3232" s="2" t="str">
        <f>HYPERLINK("https://probpalata.gov.ru/files/ИП540804098700000.jpeg","Скачать индивидуальный QR-код магазина")</f>
        <v>Скачать индивидуальный QR-код магазина</v>
      </c>
    </row>
    <row r="3233" spans="1:7" x14ac:dyDescent="0.25">
      <c r="A3233" t="s">
        <v>9971</v>
      </c>
      <c r="B3233" t="s">
        <v>10246</v>
      </c>
      <c r="C3233" t="s">
        <v>10247</v>
      </c>
      <c r="D3233" t="s">
        <v>10248</v>
      </c>
      <c r="E3233" t="s">
        <v>10249</v>
      </c>
      <c r="F3233" t="s">
        <v>10250</v>
      </c>
      <c r="G3233" s="2" t="str">
        <f>HYPERLINK("https://probpalata.gov.ru/files/ИП420801769500000.jpeg","Скачать индивидуальный QR-код магазина")</f>
        <v>Скачать индивидуальный QR-код магазина</v>
      </c>
    </row>
    <row r="3234" spans="1:7" x14ac:dyDescent="0.25">
      <c r="A3234" t="s">
        <v>9971</v>
      </c>
      <c r="B3234" t="s">
        <v>10251</v>
      </c>
      <c r="C3234" t="s">
        <v>10252</v>
      </c>
      <c r="D3234" t="s">
        <v>10253</v>
      </c>
      <c r="E3234" t="s">
        <v>10254</v>
      </c>
      <c r="F3234" t="s">
        <v>10255</v>
      </c>
      <c r="G3234" s="2" t="str">
        <f>HYPERLINK("https://probpalata.gov.ru/files/ИП420801887100000.jpeg","Скачать индивидуальный QR-код магазина")</f>
        <v>Скачать индивидуальный QR-код магазина</v>
      </c>
    </row>
    <row r="3235" spans="1:7" x14ac:dyDescent="0.25">
      <c r="A3235" t="s">
        <v>9971</v>
      </c>
      <c r="B3235" t="s">
        <v>10256</v>
      </c>
      <c r="C3235" t="s">
        <v>10252</v>
      </c>
      <c r="D3235" t="s">
        <v>10253</v>
      </c>
      <c r="E3235" t="s">
        <v>10254</v>
      </c>
      <c r="F3235" t="s">
        <v>10257</v>
      </c>
      <c r="G3235" s="2" t="str">
        <f>HYPERLINK("https://probpalata.gov.ru/files/ИП420801887100001.jpeg","Скачать индивидуальный QR-код магазина")</f>
        <v>Скачать индивидуальный QR-код магазина</v>
      </c>
    </row>
    <row r="3236" spans="1:7" x14ac:dyDescent="0.25">
      <c r="A3236" t="s">
        <v>9971</v>
      </c>
      <c r="B3236" t="s">
        <v>10258</v>
      </c>
      <c r="C3236" t="s">
        <v>10259</v>
      </c>
      <c r="D3236" t="s">
        <v>10260</v>
      </c>
      <c r="E3236" t="s">
        <v>10261</v>
      </c>
      <c r="F3236" t="s">
        <v>10262</v>
      </c>
      <c r="G3236" s="2" t="str">
        <f>HYPERLINK("https://probpalata.gov.ru/files/ИП420803479900000.jpeg","Скачать индивидуальный QR-код магазина")</f>
        <v>Скачать индивидуальный QR-код магазина</v>
      </c>
    </row>
    <row r="3237" spans="1:7" x14ac:dyDescent="0.25">
      <c r="A3237" t="s">
        <v>9971</v>
      </c>
      <c r="B3237" t="s">
        <v>10251</v>
      </c>
      <c r="C3237" t="s">
        <v>10263</v>
      </c>
      <c r="D3237" t="s">
        <v>10264</v>
      </c>
      <c r="E3237" t="s">
        <v>10265</v>
      </c>
      <c r="F3237" t="s">
        <v>10266</v>
      </c>
      <c r="G3237" s="2" t="str">
        <f>HYPERLINK("https://probpalata.gov.ru/files/ИП420803636300000.jpeg","Скачать индивидуальный QR-код магазина")</f>
        <v>Скачать индивидуальный QR-код магазина</v>
      </c>
    </row>
    <row r="3238" spans="1:7" x14ac:dyDescent="0.25">
      <c r="A3238" t="s">
        <v>9971</v>
      </c>
      <c r="B3238" t="s">
        <v>10267</v>
      </c>
      <c r="C3238" t="s">
        <v>10268</v>
      </c>
      <c r="D3238" t="s">
        <v>10269</v>
      </c>
      <c r="E3238" t="s">
        <v>10270</v>
      </c>
      <c r="F3238" t="s">
        <v>10271</v>
      </c>
      <c r="G3238" s="2" t="str">
        <f>HYPERLINK("https://probpalata.gov.ru/files/ИП420801106400000.jpeg","Скачать индивидуальный QR-код магазина")</f>
        <v>Скачать индивидуальный QR-код магазина</v>
      </c>
    </row>
    <row r="3239" spans="1:7" x14ac:dyDescent="0.25">
      <c r="A3239" t="s">
        <v>9971</v>
      </c>
      <c r="B3239" t="s">
        <v>10272</v>
      </c>
      <c r="C3239" t="s">
        <v>10268</v>
      </c>
      <c r="D3239" t="s">
        <v>10269</v>
      </c>
      <c r="E3239" t="s">
        <v>10270</v>
      </c>
      <c r="F3239" t="s">
        <v>10273</v>
      </c>
      <c r="G3239" s="2" t="str">
        <f>HYPERLINK("https://probpalata.gov.ru/files/ИП420801106400002.jpeg","Скачать индивидуальный QR-код магазина")</f>
        <v>Скачать индивидуальный QR-код магазина</v>
      </c>
    </row>
    <row r="3240" spans="1:7" x14ac:dyDescent="0.25">
      <c r="A3240" t="s">
        <v>9971</v>
      </c>
      <c r="B3240" t="s">
        <v>10274</v>
      </c>
      <c r="C3240" t="s">
        <v>10268</v>
      </c>
      <c r="D3240" t="s">
        <v>10269</v>
      </c>
      <c r="E3240" t="s">
        <v>10270</v>
      </c>
      <c r="F3240" t="s">
        <v>10275</v>
      </c>
      <c r="G3240" s="2" t="str">
        <f>HYPERLINK("https://probpalata.gov.ru/files/ИП420801106400003.jpeg","Скачать индивидуальный QR-код магазина")</f>
        <v>Скачать индивидуальный QR-код магазина</v>
      </c>
    </row>
    <row r="3241" spans="1:7" x14ac:dyDescent="0.25">
      <c r="A3241" t="s">
        <v>9971</v>
      </c>
      <c r="B3241" t="s">
        <v>10276</v>
      </c>
      <c r="C3241" t="s">
        <v>10268</v>
      </c>
      <c r="D3241" t="s">
        <v>10269</v>
      </c>
      <c r="E3241" t="s">
        <v>10270</v>
      </c>
      <c r="F3241" t="s">
        <v>10277</v>
      </c>
      <c r="G3241" s="2" t="str">
        <f>HYPERLINK("https://probpalata.gov.ru/files/ИП420801106400004.jpeg","Скачать индивидуальный QR-код магазина")</f>
        <v>Скачать индивидуальный QR-код магазина</v>
      </c>
    </row>
    <row r="3242" spans="1:7" x14ac:dyDescent="0.25">
      <c r="A3242" t="s">
        <v>9971</v>
      </c>
      <c r="B3242" t="s">
        <v>10278</v>
      </c>
      <c r="C3242" t="s">
        <v>10268</v>
      </c>
      <c r="D3242" t="s">
        <v>10269</v>
      </c>
      <c r="E3242" t="s">
        <v>10270</v>
      </c>
      <c r="F3242" t="s">
        <v>10279</v>
      </c>
      <c r="G3242" s="2" t="str">
        <f>HYPERLINK("https://probpalata.gov.ru/files/ИП420801106400005.jpeg","Скачать индивидуальный QR-код магазина")</f>
        <v>Скачать индивидуальный QR-код магазина</v>
      </c>
    </row>
    <row r="3243" spans="1:7" x14ac:dyDescent="0.25">
      <c r="A3243" t="s">
        <v>9971</v>
      </c>
      <c r="B3243" t="s">
        <v>10280</v>
      </c>
      <c r="C3243" t="s">
        <v>10268</v>
      </c>
      <c r="D3243" t="s">
        <v>10269</v>
      </c>
      <c r="E3243" t="s">
        <v>10270</v>
      </c>
      <c r="F3243" t="s">
        <v>10281</v>
      </c>
      <c r="G3243" s="2" t="str">
        <f>HYPERLINK("https://probpalata.gov.ru/files/ИП420801106400006.jpeg","Скачать индивидуальный QR-код магазина")</f>
        <v>Скачать индивидуальный QR-код магазина</v>
      </c>
    </row>
    <row r="3244" spans="1:7" x14ac:dyDescent="0.25">
      <c r="A3244" t="s">
        <v>9971</v>
      </c>
      <c r="B3244" t="s">
        <v>10282</v>
      </c>
      <c r="C3244" t="s">
        <v>10268</v>
      </c>
      <c r="D3244" t="s">
        <v>10269</v>
      </c>
      <c r="E3244" t="s">
        <v>10270</v>
      </c>
      <c r="F3244" t="s">
        <v>10283</v>
      </c>
      <c r="G3244" s="2" t="str">
        <f>HYPERLINK("https://probpalata.gov.ru/files/ИП420801106400007.jpeg","Скачать индивидуальный QR-код магазина")</f>
        <v>Скачать индивидуальный QR-код магазина</v>
      </c>
    </row>
    <row r="3245" spans="1:7" x14ac:dyDescent="0.25">
      <c r="A3245" t="s">
        <v>9971</v>
      </c>
      <c r="B3245" t="s">
        <v>10284</v>
      </c>
      <c r="C3245" t="s">
        <v>10268</v>
      </c>
      <c r="D3245" t="s">
        <v>10269</v>
      </c>
      <c r="E3245" t="s">
        <v>10270</v>
      </c>
      <c r="F3245" t="s">
        <v>10285</v>
      </c>
      <c r="G3245" s="2" t="str">
        <f>HYPERLINK("https://probpalata.gov.ru/files/ИП420801106400008.jpeg","Скачать индивидуальный QR-код магазина")</f>
        <v>Скачать индивидуальный QR-код магазина</v>
      </c>
    </row>
    <row r="3246" spans="1:7" x14ac:dyDescent="0.25">
      <c r="A3246" t="s">
        <v>9971</v>
      </c>
      <c r="B3246" t="s">
        <v>10286</v>
      </c>
      <c r="C3246" t="s">
        <v>10268</v>
      </c>
      <c r="D3246" t="s">
        <v>10269</v>
      </c>
      <c r="E3246" t="s">
        <v>10270</v>
      </c>
      <c r="F3246" t="s">
        <v>10287</v>
      </c>
      <c r="G3246" s="2" t="str">
        <f>HYPERLINK("https://probpalata.gov.ru/files/ИП420801106400009.jpeg","Скачать индивидуальный QR-код магазина")</f>
        <v>Скачать индивидуальный QR-код магазина</v>
      </c>
    </row>
    <row r="3247" spans="1:7" x14ac:dyDescent="0.25">
      <c r="A3247" t="s">
        <v>9971</v>
      </c>
      <c r="B3247" t="s">
        <v>10288</v>
      </c>
      <c r="C3247" t="s">
        <v>10268</v>
      </c>
      <c r="D3247" t="s">
        <v>10269</v>
      </c>
      <c r="E3247" t="s">
        <v>10270</v>
      </c>
      <c r="F3247" t="s">
        <v>10289</v>
      </c>
      <c r="G3247" s="2" t="str">
        <f>HYPERLINK("https://probpalata.gov.ru/files/ИП420801106400010.jpeg","Скачать индивидуальный QR-код магазина")</f>
        <v>Скачать индивидуальный QR-код магазина</v>
      </c>
    </row>
    <row r="3248" spans="1:7" x14ac:dyDescent="0.25">
      <c r="A3248" t="s">
        <v>9971</v>
      </c>
      <c r="B3248" t="s">
        <v>10290</v>
      </c>
      <c r="C3248" t="s">
        <v>10291</v>
      </c>
      <c r="D3248" t="s">
        <v>10292</v>
      </c>
      <c r="E3248" t="s">
        <v>10293</v>
      </c>
      <c r="F3248" t="s">
        <v>10294</v>
      </c>
      <c r="G3248" s="2" t="str">
        <f>HYPERLINK("https://probpalata.gov.ru/files/ИП420801296200000.jpeg","Скачать индивидуальный QR-код магазина")</f>
        <v>Скачать индивидуальный QR-код магазина</v>
      </c>
    </row>
    <row r="3249" spans="1:7" x14ac:dyDescent="0.25">
      <c r="A3249" t="s">
        <v>9971</v>
      </c>
      <c r="B3249" t="s">
        <v>10295</v>
      </c>
      <c r="C3249" t="s">
        <v>10296</v>
      </c>
      <c r="D3249" t="s">
        <v>10297</v>
      </c>
      <c r="E3249" t="s">
        <v>10298</v>
      </c>
      <c r="F3249" t="s">
        <v>10299</v>
      </c>
      <c r="G3249" s="2" t="str">
        <f>HYPERLINK("https://probpalata.gov.ru/files/ИП420801295500000.jpeg","Скачать индивидуальный QR-код магазина")</f>
        <v>Скачать индивидуальный QR-код магазина</v>
      </c>
    </row>
    <row r="3250" spans="1:7" x14ac:dyDescent="0.25">
      <c r="A3250" t="s">
        <v>9971</v>
      </c>
      <c r="B3250" t="s">
        <v>10300</v>
      </c>
      <c r="C3250" t="s">
        <v>10301</v>
      </c>
      <c r="D3250" t="s">
        <v>10302</v>
      </c>
      <c r="E3250" t="s">
        <v>10303</v>
      </c>
      <c r="F3250" t="s">
        <v>10304</v>
      </c>
      <c r="G3250" s="2" t="str">
        <f>HYPERLINK("https://probpalata.gov.ru/files/ЮЛ420800248800000.jpeg","Скачать индивидуальный QR-код магазина")</f>
        <v>Скачать индивидуальный QR-код магазина</v>
      </c>
    </row>
    <row r="3251" spans="1:7" x14ac:dyDescent="0.25">
      <c r="A3251" t="s">
        <v>9971</v>
      </c>
      <c r="B3251" t="s">
        <v>10305</v>
      </c>
      <c r="C3251" t="s">
        <v>10301</v>
      </c>
      <c r="D3251" t="s">
        <v>10302</v>
      </c>
      <c r="E3251" t="s">
        <v>10303</v>
      </c>
      <c r="F3251" t="s">
        <v>10306</v>
      </c>
      <c r="G3251" s="2" t="str">
        <f>HYPERLINK("https://probpalata.gov.ru/files/ЮЛ420800248800001.jpeg","Скачать индивидуальный QR-код магазина")</f>
        <v>Скачать индивидуальный QR-код магазина</v>
      </c>
    </row>
    <row r="3252" spans="1:7" x14ac:dyDescent="0.25">
      <c r="A3252" t="s">
        <v>9971</v>
      </c>
      <c r="B3252" t="s">
        <v>10307</v>
      </c>
      <c r="C3252" t="s">
        <v>10308</v>
      </c>
      <c r="D3252" t="s">
        <v>10309</v>
      </c>
      <c r="E3252" t="s">
        <v>10310</v>
      </c>
      <c r="F3252" t="s">
        <v>10311</v>
      </c>
      <c r="G3252" s="2" t="str">
        <f>HYPERLINK("https://probpalata.gov.ru/files/ИП420801625900000.jpeg","Скачать индивидуальный QR-код магазина")</f>
        <v>Скачать индивидуальный QR-код магазина</v>
      </c>
    </row>
    <row r="3253" spans="1:7" x14ac:dyDescent="0.25">
      <c r="A3253" t="s">
        <v>9971</v>
      </c>
      <c r="B3253" t="s">
        <v>10312</v>
      </c>
      <c r="C3253" t="s">
        <v>10308</v>
      </c>
      <c r="D3253" t="s">
        <v>10309</v>
      </c>
      <c r="E3253" t="s">
        <v>10310</v>
      </c>
      <c r="F3253" t="s">
        <v>10313</v>
      </c>
      <c r="G3253" s="2" t="str">
        <f>HYPERLINK("https://probpalata.gov.ru/files/ИП420801625900003.jpeg","Скачать индивидуальный QR-код магазина")</f>
        <v>Скачать индивидуальный QR-код магазина</v>
      </c>
    </row>
    <row r="3254" spans="1:7" x14ac:dyDescent="0.25">
      <c r="A3254" t="s">
        <v>9971</v>
      </c>
      <c r="B3254" t="s">
        <v>10314</v>
      </c>
      <c r="C3254" t="s">
        <v>10315</v>
      </c>
      <c r="D3254" t="s">
        <v>10316</v>
      </c>
      <c r="E3254" t="s">
        <v>10317</v>
      </c>
      <c r="F3254" t="s">
        <v>10318</v>
      </c>
      <c r="G3254" s="2" t="str">
        <f>HYPERLINK("https://probpalata.gov.ru/files/ЮЛ420801554000000.jpeg","Скачать индивидуальный QR-код магазина")</f>
        <v>Скачать индивидуальный QR-код магазина</v>
      </c>
    </row>
    <row r="3255" spans="1:7" x14ac:dyDescent="0.25">
      <c r="A3255" t="s">
        <v>9971</v>
      </c>
      <c r="B3255" t="s">
        <v>10319</v>
      </c>
      <c r="C3255" t="s">
        <v>10315</v>
      </c>
      <c r="D3255" t="s">
        <v>10316</v>
      </c>
      <c r="E3255" t="s">
        <v>10317</v>
      </c>
      <c r="F3255" t="s">
        <v>10320</v>
      </c>
      <c r="G3255" s="2" t="str">
        <f>HYPERLINK("https://probpalata.gov.ru/files/ЮЛ420801554000001.jpeg","Скачать индивидуальный QR-код магазина")</f>
        <v>Скачать индивидуальный QR-код магазина</v>
      </c>
    </row>
    <row r="3256" spans="1:7" x14ac:dyDescent="0.25">
      <c r="A3256" t="s">
        <v>9971</v>
      </c>
      <c r="B3256" t="s">
        <v>10321</v>
      </c>
      <c r="C3256" t="s">
        <v>10315</v>
      </c>
      <c r="D3256" t="s">
        <v>10316</v>
      </c>
      <c r="E3256" t="s">
        <v>10317</v>
      </c>
      <c r="F3256" t="s">
        <v>10322</v>
      </c>
      <c r="G3256" s="2" t="str">
        <f>HYPERLINK("https://probpalata.gov.ru/files/ЮЛ420801554000002.jpeg","Скачать индивидуальный QR-код магазина")</f>
        <v>Скачать индивидуальный QR-код магазина</v>
      </c>
    </row>
    <row r="3257" spans="1:7" x14ac:dyDescent="0.25">
      <c r="A3257" t="s">
        <v>9971</v>
      </c>
      <c r="B3257" t="s">
        <v>10323</v>
      </c>
      <c r="C3257" t="s">
        <v>10315</v>
      </c>
      <c r="D3257" t="s">
        <v>10316</v>
      </c>
      <c r="E3257" t="s">
        <v>10317</v>
      </c>
      <c r="F3257" t="s">
        <v>10324</v>
      </c>
      <c r="G3257" s="2" t="str">
        <f>HYPERLINK("https://probpalata.gov.ru/files/ЮЛ420801554000003.jpeg","Скачать индивидуальный QR-код магазина")</f>
        <v>Скачать индивидуальный QR-код магазина</v>
      </c>
    </row>
    <row r="3258" spans="1:7" x14ac:dyDescent="0.25">
      <c r="A3258" t="s">
        <v>9971</v>
      </c>
      <c r="B3258" t="s">
        <v>10325</v>
      </c>
      <c r="C3258" t="s">
        <v>10315</v>
      </c>
      <c r="D3258" t="s">
        <v>10316</v>
      </c>
      <c r="E3258" t="s">
        <v>10317</v>
      </c>
      <c r="F3258" t="s">
        <v>10326</v>
      </c>
      <c r="G3258" s="2" t="str">
        <f>HYPERLINK("https://probpalata.gov.ru/files/ЮЛ420801554000004.jpeg","Скачать индивидуальный QR-код магазина")</f>
        <v>Скачать индивидуальный QR-код магазина</v>
      </c>
    </row>
    <row r="3259" spans="1:7" x14ac:dyDescent="0.25">
      <c r="A3259" t="s">
        <v>9971</v>
      </c>
      <c r="B3259" t="s">
        <v>10327</v>
      </c>
      <c r="C3259" t="s">
        <v>10315</v>
      </c>
      <c r="D3259" t="s">
        <v>10316</v>
      </c>
      <c r="E3259" t="s">
        <v>10317</v>
      </c>
      <c r="F3259" t="s">
        <v>10328</v>
      </c>
      <c r="G3259" s="2" t="str">
        <f>HYPERLINK("https://probpalata.gov.ru/files/ЮЛ420801554000005.jpeg","Скачать индивидуальный QR-код магазина")</f>
        <v>Скачать индивидуальный QR-код магазина</v>
      </c>
    </row>
    <row r="3260" spans="1:7" x14ac:dyDescent="0.25">
      <c r="A3260" t="s">
        <v>9971</v>
      </c>
      <c r="B3260" t="s">
        <v>10329</v>
      </c>
      <c r="C3260" t="s">
        <v>10315</v>
      </c>
      <c r="D3260" t="s">
        <v>10316</v>
      </c>
      <c r="E3260" t="s">
        <v>10317</v>
      </c>
      <c r="F3260" t="s">
        <v>10330</v>
      </c>
      <c r="G3260" s="2" t="str">
        <f>HYPERLINK("https://probpalata.gov.ru/files/ЮЛ420801554000006.jpeg","Скачать индивидуальный QR-код магазина")</f>
        <v>Скачать индивидуальный QR-код магазина</v>
      </c>
    </row>
    <row r="3261" spans="1:7" x14ac:dyDescent="0.25">
      <c r="A3261" t="s">
        <v>9971</v>
      </c>
      <c r="B3261" t="s">
        <v>10331</v>
      </c>
      <c r="C3261" t="s">
        <v>10315</v>
      </c>
      <c r="D3261" t="s">
        <v>10316</v>
      </c>
      <c r="E3261" t="s">
        <v>10317</v>
      </c>
      <c r="F3261" t="s">
        <v>10332</v>
      </c>
      <c r="G3261" s="2" t="str">
        <f>HYPERLINK("https://probpalata.gov.ru/files/ЮЛ420801554000007.jpeg","Скачать индивидуальный QR-код магазина")</f>
        <v>Скачать индивидуальный QR-код магазина</v>
      </c>
    </row>
    <row r="3262" spans="1:7" x14ac:dyDescent="0.25">
      <c r="A3262" t="s">
        <v>9971</v>
      </c>
      <c r="B3262" t="s">
        <v>10333</v>
      </c>
      <c r="C3262" t="s">
        <v>10315</v>
      </c>
      <c r="D3262" t="s">
        <v>10316</v>
      </c>
      <c r="E3262" t="s">
        <v>10317</v>
      </c>
      <c r="F3262" t="s">
        <v>10334</v>
      </c>
      <c r="G3262" s="2" t="str">
        <f>HYPERLINK("https://probpalata.gov.ru/files/ЮЛ420801554000009.jpeg","Скачать индивидуальный QR-код магазина")</f>
        <v>Скачать индивидуальный QR-код магазина</v>
      </c>
    </row>
    <row r="3263" spans="1:7" x14ac:dyDescent="0.25">
      <c r="A3263" t="s">
        <v>9971</v>
      </c>
      <c r="B3263" t="s">
        <v>10335</v>
      </c>
      <c r="C3263" t="s">
        <v>10315</v>
      </c>
      <c r="D3263" t="s">
        <v>10316</v>
      </c>
      <c r="E3263" t="s">
        <v>10317</v>
      </c>
      <c r="F3263" t="s">
        <v>10336</v>
      </c>
      <c r="G3263" s="2" t="str">
        <f>HYPERLINK("https://probpalata.gov.ru/files/ЮЛ420801554000010.jpeg","Скачать индивидуальный QR-код магазина")</f>
        <v>Скачать индивидуальный QR-код магазина</v>
      </c>
    </row>
    <row r="3264" spans="1:7" x14ac:dyDescent="0.25">
      <c r="A3264" t="s">
        <v>9971</v>
      </c>
      <c r="B3264" t="s">
        <v>10337</v>
      </c>
      <c r="C3264" t="s">
        <v>10315</v>
      </c>
      <c r="D3264" t="s">
        <v>10316</v>
      </c>
      <c r="E3264" t="s">
        <v>10317</v>
      </c>
      <c r="F3264" t="s">
        <v>10338</v>
      </c>
      <c r="G3264" s="2" t="str">
        <f>HYPERLINK("https://probpalata.gov.ru/files/ЮЛ420801554000011.jpeg","Скачать индивидуальный QR-код магазина")</f>
        <v>Скачать индивидуальный QR-код магазина</v>
      </c>
    </row>
    <row r="3265" spans="1:7" x14ac:dyDescent="0.25">
      <c r="A3265" t="s">
        <v>9971</v>
      </c>
      <c r="B3265" t="s">
        <v>10339</v>
      </c>
      <c r="C3265" t="s">
        <v>10315</v>
      </c>
      <c r="D3265" t="s">
        <v>10316</v>
      </c>
      <c r="E3265" t="s">
        <v>10317</v>
      </c>
      <c r="F3265" t="s">
        <v>10340</v>
      </c>
      <c r="G3265" s="2" t="str">
        <f>HYPERLINK("https://probpalata.gov.ru/files/ЮЛ420801554000012.jpeg","Скачать индивидуальный QR-код магазина")</f>
        <v>Скачать индивидуальный QR-код магазина</v>
      </c>
    </row>
    <row r="3266" spans="1:7" x14ac:dyDescent="0.25">
      <c r="A3266" t="s">
        <v>9971</v>
      </c>
      <c r="B3266" t="s">
        <v>10341</v>
      </c>
      <c r="C3266" t="s">
        <v>10315</v>
      </c>
      <c r="D3266" t="s">
        <v>10316</v>
      </c>
      <c r="E3266" t="s">
        <v>10317</v>
      </c>
      <c r="F3266" t="s">
        <v>10342</v>
      </c>
      <c r="G3266" s="2" t="str">
        <f>HYPERLINK("https://probpalata.gov.ru/files/ЮЛ420801554000014.jpeg","Скачать индивидуальный QR-код магазина")</f>
        <v>Скачать индивидуальный QR-код магазина</v>
      </c>
    </row>
    <row r="3267" spans="1:7" x14ac:dyDescent="0.25">
      <c r="A3267" t="s">
        <v>9971</v>
      </c>
      <c r="B3267" t="s">
        <v>10343</v>
      </c>
      <c r="C3267" t="s">
        <v>10315</v>
      </c>
      <c r="D3267" t="s">
        <v>10316</v>
      </c>
      <c r="E3267" t="s">
        <v>10317</v>
      </c>
      <c r="F3267" t="s">
        <v>10344</v>
      </c>
      <c r="G3267" s="2" t="str">
        <f>HYPERLINK("https://probpalata.gov.ru/files/ЮЛ420801554000015.jpeg","Скачать индивидуальный QR-код магазина")</f>
        <v>Скачать индивидуальный QR-код магазина</v>
      </c>
    </row>
    <row r="3268" spans="1:7" x14ac:dyDescent="0.25">
      <c r="A3268" t="s">
        <v>9971</v>
      </c>
      <c r="B3268" t="s">
        <v>10345</v>
      </c>
      <c r="C3268" t="s">
        <v>10315</v>
      </c>
      <c r="D3268" t="s">
        <v>10316</v>
      </c>
      <c r="E3268" t="s">
        <v>10317</v>
      </c>
      <c r="F3268" t="s">
        <v>10346</v>
      </c>
      <c r="G3268" s="2" t="str">
        <f>HYPERLINK("https://probpalata.gov.ru/files/ЮЛ420801554000016.jpeg","Скачать индивидуальный QR-код магазина")</f>
        <v>Скачать индивидуальный QR-код магазина</v>
      </c>
    </row>
    <row r="3269" spans="1:7" x14ac:dyDescent="0.25">
      <c r="A3269" t="s">
        <v>9971</v>
      </c>
      <c r="B3269" t="s">
        <v>10347</v>
      </c>
      <c r="C3269" t="s">
        <v>10315</v>
      </c>
      <c r="D3269" t="s">
        <v>10316</v>
      </c>
      <c r="E3269" t="s">
        <v>10317</v>
      </c>
      <c r="F3269" t="s">
        <v>10348</v>
      </c>
      <c r="G3269" s="2" t="str">
        <f>HYPERLINK("https://probpalata.gov.ru/files/ЮЛ420801554000017.jpeg","Скачать индивидуальный QR-код магазина")</f>
        <v>Скачать индивидуальный QR-код магазина</v>
      </c>
    </row>
    <row r="3270" spans="1:7" x14ac:dyDescent="0.25">
      <c r="A3270" t="s">
        <v>9971</v>
      </c>
      <c r="B3270" t="s">
        <v>10349</v>
      </c>
      <c r="C3270" t="s">
        <v>10315</v>
      </c>
      <c r="D3270" t="s">
        <v>10316</v>
      </c>
      <c r="E3270" t="s">
        <v>10317</v>
      </c>
      <c r="F3270" t="s">
        <v>10350</v>
      </c>
      <c r="G3270" s="2" t="str">
        <f>HYPERLINK("https://probpalata.gov.ru/files/ЮЛ420801554000018.jpeg","Скачать индивидуальный QR-код магазина")</f>
        <v>Скачать индивидуальный QR-код магазина</v>
      </c>
    </row>
    <row r="3271" spans="1:7" x14ac:dyDescent="0.25">
      <c r="A3271" t="s">
        <v>9971</v>
      </c>
      <c r="B3271" t="s">
        <v>10351</v>
      </c>
      <c r="C3271" t="s">
        <v>10315</v>
      </c>
      <c r="D3271" t="s">
        <v>10316</v>
      </c>
      <c r="E3271" t="s">
        <v>10317</v>
      </c>
      <c r="F3271" t="s">
        <v>10352</v>
      </c>
      <c r="G3271" s="2" t="str">
        <f>HYPERLINK("https://probpalata.gov.ru/files/ЮЛ420801554000019.jpeg","Скачать индивидуальный QR-код магазина")</f>
        <v>Скачать индивидуальный QR-код магазина</v>
      </c>
    </row>
    <row r="3272" spans="1:7" x14ac:dyDescent="0.25">
      <c r="A3272" t="s">
        <v>9971</v>
      </c>
      <c r="B3272" t="s">
        <v>10353</v>
      </c>
      <c r="C3272" t="s">
        <v>10315</v>
      </c>
      <c r="D3272" t="s">
        <v>10316</v>
      </c>
      <c r="E3272" t="s">
        <v>10317</v>
      </c>
      <c r="F3272" t="s">
        <v>10354</v>
      </c>
      <c r="G3272" s="2" t="str">
        <f>HYPERLINK("https://probpalata.gov.ru/files/ЮЛ420801554000020.jpeg","Скачать индивидуальный QR-код магазина")</f>
        <v>Скачать индивидуальный QR-код магазина</v>
      </c>
    </row>
    <row r="3273" spans="1:7" x14ac:dyDescent="0.25">
      <c r="A3273" t="s">
        <v>9971</v>
      </c>
      <c r="B3273" t="s">
        <v>10355</v>
      </c>
      <c r="C3273" t="s">
        <v>10315</v>
      </c>
      <c r="D3273" t="s">
        <v>10316</v>
      </c>
      <c r="E3273" t="s">
        <v>10317</v>
      </c>
      <c r="F3273" t="s">
        <v>10356</v>
      </c>
      <c r="G3273" s="2" t="str">
        <f>HYPERLINK("https://probpalata.gov.ru/files/ЮЛ420801554000021.jpeg","Скачать индивидуальный QR-код магазина")</f>
        <v>Скачать индивидуальный QR-код магазина</v>
      </c>
    </row>
    <row r="3274" spans="1:7" x14ac:dyDescent="0.25">
      <c r="A3274" t="s">
        <v>9971</v>
      </c>
      <c r="B3274" t="s">
        <v>10357</v>
      </c>
      <c r="C3274" t="s">
        <v>10315</v>
      </c>
      <c r="D3274" t="s">
        <v>10316</v>
      </c>
      <c r="E3274" t="s">
        <v>10317</v>
      </c>
      <c r="F3274" t="s">
        <v>10358</v>
      </c>
      <c r="G3274" s="2" t="str">
        <f>HYPERLINK("https://probpalata.gov.ru/files/ЮЛ420801554000022.jpeg","Скачать индивидуальный QR-код магазина")</f>
        <v>Скачать индивидуальный QR-код магазина</v>
      </c>
    </row>
    <row r="3275" spans="1:7" x14ac:dyDescent="0.25">
      <c r="A3275" t="s">
        <v>9971</v>
      </c>
      <c r="B3275" t="s">
        <v>10314</v>
      </c>
      <c r="C3275" t="s">
        <v>10315</v>
      </c>
      <c r="D3275" t="s">
        <v>10316</v>
      </c>
      <c r="E3275" t="s">
        <v>10317</v>
      </c>
      <c r="F3275" t="s">
        <v>10359</v>
      </c>
      <c r="G3275" s="2" t="str">
        <f>HYPERLINK("https://probpalata.gov.ru/files/ЮЛ420801554000023.jpeg","Скачать индивидуальный QR-код магазина")</f>
        <v>Скачать индивидуальный QR-код магазина</v>
      </c>
    </row>
    <row r="3276" spans="1:7" x14ac:dyDescent="0.25">
      <c r="A3276" t="s">
        <v>9971</v>
      </c>
      <c r="B3276" t="s">
        <v>10360</v>
      </c>
      <c r="C3276" t="s">
        <v>10315</v>
      </c>
      <c r="D3276" t="s">
        <v>10316</v>
      </c>
      <c r="E3276" t="s">
        <v>10317</v>
      </c>
      <c r="F3276" t="s">
        <v>10361</v>
      </c>
      <c r="G3276" s="2" t="str">
        <f>HYPERLINK("https://probpalata.gov.ru/files/ЮЛ420801554000024.jpeg","Скачать индивидуальный QR-код магазина")</f>
        <v>Скачать индивидуальный QR-код магазина</v>
      </c>
    </row>
    <row r="3277" spans="1:7" x14ac:dyDescent="0.25">
      <c r="A3277" t="s">
        <v>9971</v>
      </c>
      <c r="B3277" t="s">
        <v>10362</v>
      </c>
      <c r="C3277" t="s">
        <v>10315</v>
      </c>
      <c r="D3277" t="s">
        <v>10316</v>
      </c>
      <c r="E3277" t="s">
        <v>10317</v>
      </c>
      <c r="F3277" t="s">
        <v>10363</v>
      </c>
      <c r="G3277" s="2" t="str">
        <f>HYPERLINK("https://probpalata.gov.ru/files/ЮЛ420801554000026.jpeg","Скачать индивидуальный QR-код магазина")</f>
        <v>Скачать индивидуальный QR-код магазина</v>
      </c>
    </row>
    <row r="3278" spans="1:7" x14ac:dyDescent="0.25">
      <c r="A3278" t="s">
        <v>9971</v>
      </c>
      <c r="B3278" t="s">
        <v>10364</v>
      </c>
      <c r="C3278" t="s">
        <v>10315</v>
      </c>
      <c r="D3278" t="s">
        <v>10316</v>
      </c>
      <c r="E3278" t="s">
        <v>10317</v>
      </c>
      <c r="F3278" t="s">
        <v>10365</v>
      </c>
      <c r="G3278" s="2" t="str">
        <f>HYPERLINK("https://probpalata.gov.ru/files/ЮЛ420801554000027.jpeg","Скачать индивидуальный QR-код магазина")</f>
        <v>Скачать индивидуальный QR-код магазина</v>
      </c>
    </row>
    <row r="3279" spans="1:7" x14ac:dyDescent="0.25">
      <c r="A3279" t="s">
        <v>9971</v>
      </c>
      <c r="B3279" t="s">
        <v>10366</v>
      </c>
      <c r="C3279" t="s">
        <v>10315</v>
      </c>
      <c r="D3279" t="s">
        <v>10316</v>
      </c>
      <c r="E3279" t="s">
        <v>10317</v>
      </c>
      <c r="F3279" t="s">
        <v>10367</v>
      </c>
      <c r="G3279" s="2" t="str">
        <f>HYPERLINK("https://probpalata.gov.ru/files/ЮЛ420801554000028.jpeg","Скачать индивидуальный QR-код магазина")</f>
        <v>Скачать индивидуальный QR-код магазина</v>
      </c>
    </row>
    <row r="3280" spans="1:7" x14ac:dyDescent="0.25">
      <c r="A3280" t="s">
        <v>9971</v>
      </c>
      <c r="B3280" t="s">
        <v>10368</v>
      </c>
      <c r="C3280" t="s">
        <v>10315</v>
      </c>
      <c r="D3280" t="s">
        <v>10316</v>
      </c>
      <c r="E3280" t="s">
        <v>10317</v>
      </c>
      <c r="F3280" t="s">
        <v>10369</v>
      </c>
      <c r="G3280" s="2" t="str">
        <f>HYPERLINK("https://probpalata.gov.ru/files/ЮЛ420801554000029.jpeg","Скачать индивидуальный QR-код магазина")</f>
        <v>Скачать индивидуальный QR-код магазина</v>
      </c>
    </row>
    <row r="3281" spans="1:7" x14ac:dyDescent="0.25">
      <c r="A3281" t="s">
        <v>9971</v>
      </c>
      <c r="B3281" t="s">
        <v>10370</v>
      </c>
      <c r="C3281" t="s">
        <v>10315</v>
      </c>
      <c r="D3281" t="s">
        <v>10316</v>
      </c>
      <c r="E3281" t="s">
        <v>10317</v>
      </c>
      <c r="F3281" t="s">
        <v>10371</v>
      </c>
      <c r="G3281" s="2" t="str">
        <f>HYPERLINK("https://probpalata.gov.ru/files/ЮЛ420801554000030.jpeg","Скачать индивидуальный QR-код магазина")</f>
        <v>Скачать индивидуальный QR-код магазина</v>
      </c>
    </row>
    <row r="3282" spans="1:7" x14ac:dyDescent="0.25">
      <c r="A3282" t="s">
        <v>9971</v>
      </c>
      <c r="B3282" t="s">
        <v>10372</v>
      </c>
      <c r="C3282" t="s">
        <v>10315</v>
      </c>
      <c r="D3282" t="s">
        <v>10316</v>
      </c>
      <c r="E3282" t="s">
        <v>10317</v>
      </c>
      <c r="F3282" t="s">
        <v>10373</v>
      </c>
      <c r="G3282" s="2" t="str">
        <f>HYPERLINK("https://probpalata.gov.ru/files/ЮЛ420801554000031.jpeg","Скачать индивидуальный QR-код магазина")</f>
        <v>Скачать индивидуальный QR-код магазина</v>
      </c>
    </row>
    <row r="3283" spans="1:7" x14ac:dyDescent="0.25">
      <c r="A3283" t="s">
        <v>9971</v>
      </c>
      <c r="B3283" t="s">
        <v>10374</v>
      </c>
      <c r="C3283" t="s">
        <v>10315</v>
      </c>
      <c r="D3283" t="s">
        <v>10316</v>
      </c>
      <c r="E3283" t="s">
        <v>10317</v>
      </c>
      <c r="F3283" t="s">
        <v>10375</v>
      </c>
      <c r="G3283" s="2" t="str">
        <f>HYPERLINK("https://probpalata.gov.ru/files/ЮЛ420801554000032.jpeg","Скачать индивидуальный QR-код магазина")</f>
        <v>Скачать индивидуальный QR-код магазина</v>
      </c>
    </row>
    <row r="3284" spans="1:7" x14ac:dyDescent="0.25">
      <c r="A3284" t="s">
        <v>9971</v>
      </c>
      <c r="B3284" t="s">
        <v>10376</v>
      </c>
      <c r="C3284" t="s">
        <v>10315</v>
      </c>
      <c r="D3284" t="s">
        <v>10316</v>
      </c>
      <c r="E3284" t="s">
        <v>10317</v>
      </c>
      <c r="F3284" t="s">
        <v>10377</v>
      </c>
      <c r="G3284" s="2" t="str">
        <f>HYPERLINK("https://probpalata.gov.ru/files/ЮЛ420801554000033.jpeg","Скачать индивидуальный QR-код магазина")</f>
        <v>Скачать индивидуальный QR-код магазина</v>
      </c>
    </row>
    <row r="3285" spans="1:7" x14ac:dyDescent="0.25">
      <c r="A3285" t="s">
        <v>9971</v>
      </c>
      <c r="B3285" t="s">
        <v>10378</v>
      </c>
      <c r="C3285" t="s">
        <v>10315</v>
      </c>
      <c r="D3285" t="s">
        <v>10316</v>
      </c>
      <c r="E3285" t="s">
        <v>10317</v>
      </c>
      <c r="F3285" t="s">
        <v>10379</v>
      </c>
      <c r="G3285" s="2" t="str">
        <f>HYPERLINK("https://probpalata.gov.ru/files/ЮЛ420801554000034.jpeg","Скачать индивидуальный QR-код магазина")</f>
        <v>Скачать индивидуальный QR-код магазина</v>
      </c>
    </row>
    <row r="3286" spans="1:7" x14ac:dyDescent="0.25">
      <c r="A3286" t="s">
        <v>9971</v>
      </c>
      <c r="B3286" t="s">
        <v>10380</v>
      </c>
      <c r="C3286" t="s">
        <v>10315</v>
      </c>
      <c r="D3286" t="s">
        <v>10316</v>
      </c>
      <c r="E3286" t="s">
        <v>10317</v>
      </c>
      <c r="F3286" t="s">
        <v>10381</v>
      </c>
      <c r="G3286" s="2" t="str">
        <f>HYPERLINK("https://probpalata.gov.ru/files/ЮЛ420801554000035.jpeg","Скачать индивидуальный QR-код магазина")</f>
        <v>Скачать индивидуальный QR-код магазина</v>
      </c>
    </row>
    <row r="3287" spans="1:7" x14ac:dyDescent="0.25">
      <c r="A3287" t="s">
        <v>9971</v>
      </c>
      <c r="B3287" t="s">
        <v>10382</v>
      </c>
      <c r="C3287" t="s">
        <v>10315</v>
      </c>
      <c r="D3287" t="s">
        <v>10316</v>
      </c>
      <c r="E3287" t="s">
        <v>10317</v>
      </c>
      <c r="F3287" t="s">
        <v>10383</v>
      </c>
      <c r="G3287" s="2" t="str">
        <f>HYPERLINK("https://probpalata.gov.ru/files/ЮЛ420801554000036.jpeg","Скачать индивидуальный QR-код магазина")</f>
        <v>Скачать индивидуальный QR-код магазина</v>
      </c>
    </row>
    <row r="3288" spans="1:7" x14ac:dyDescent="0.25">
      <c r="A3288" t="s">
        <v>9971</v>
      </c>
      <c r="B3288" t="s">
        <v>10100</v>
      </c>
      <c r="C3288" t="s">
        <v>10384</v>
      </c>
      <c r="D3288" t="s">
        <v>10385</v>
      </c>
      <c r="E3288" t="s">
        <v>10386</v>
      </c>
      <c r="F3288" t="s">
        <v>10387</v>
      </c>
      <c r="G3288" s="2" t="str">
        <f>HYPERLINK("https://probpalata.gov.ru/files/ИП420800241200000.jpeg","Скачать индивидуальный QR-код магазина")</f>
        <v>Скачать индивидуальный QR-код магазина</v>
      </c>
    </row>
    <row r="3289" spans="1:7" x14ac:dyDescent="0.25">
      <c r="A3289" t="s">
        <v>9971</v>
      </c>
      <c r="B3289" t="s">
        <v>10388</v>
      </c>
      <c r="C3289" t="s">
        <v>10389</v>
      </c>
      <c r="D3289" t="s">
        <v>10390</v>
      </c>
      <c r="E3289" t="s">
        <v>10391</v>
      </c>
      <c r="F3289" t="s">
        <v>10392</v>
      </c>
      <c r="G3289" s="2" t="str">
        <f>HYPERLINK("https://probpalata.gov.ru/files/ИП420804005400000.jpeg","Скачать индивидуальный QR-код магазина")</f>
        <v>Скачать индивидуальный QR-код магазина</v>
      </c>
    </row>
    <row r="3290" spans="1:7" x14ac:dyDescent="0.25">
      <c r="A3290" t="s">
        <v>9971</v>
      </c>
      <c r="B3290" t="s">
        <v>10393</v>
      </c>
      <c r="C3290" t="s">
        <v>10394</v>
      </c>
      <c r="D3290" t="s">
        <v>10395</v>
      </c>
      <c r="E3290" t="s">
        <v>10396</v>
      </c>
      <c r="F3290" t="s">
        <v>10397</v>
      </c>
      <c r="G3290" s="2" t="str">
        <f>HYPERLINK("https://probpalata.gov.ru/files/ИП780303692700001.jpeg","Скачать индивидуальный QR-код магазина")</f>
        <v>Скачать индивидуальный QR-код магазина</v>
      </c>
    </row>
    <row r="3291" spans="1:7" x14ac:dyDescent="0.25">
      <c r="A3291" t="s">
        <v>9971</v>
      </c>
      <c r="B3291" t="s">
        <v>10398</v>
      </c>
      <c r="C3291" t="s">
        <v>10394</v>
      </c>
      <c r="D3291" t="s">
        <v>10395</v>
      </c>
      <c r="E3291" t="s">
        <v>10396</v>
      </c>
      <c r="F3291" t="s">
        <v>10399</v>
      </c>
      <c r="G3291" s="2" t="str">
        <f>HYPERLINK("https://probpalata.gov.ru/files/ИП780303692700002.jpeg","Скачать индивидуальный QR-код магазина")</f>
        <v>Скачать индивидуальный QR-код магазина</v>
      </c>
    </row>
    <row r="3292" spans="1:7" x14ac:dyDescent="0.25">
      <c r="A3292" t="s">
        <v>9971</v>
      </c>
      <c r="B3292" t="s">
        <v>10400</v>
      </c>
      <c r="C3292" t="s">
        <v>10394</v>
      </c>
      <c r="D3292" t="s">
        <v>10395</v>
      </c>
      <c r="E3292" t="s">
        <v>10396</v>
      </c>
      <c r="F3292" t="s">
        <v>10401</v>
      </c>
      <c r="G3292" s="2" t="str">
        <f>HYPERLINK("https://probpalata.gov.ru/files/ИП780303692700003.jpeg","Скачать индивидуальный QR-код магазина")</f>
        <v>Скачать индивидуальный QR-код магазина</v>
      </c>
    </row>
    <row r="3293" spans="1:7" x14ac:dyDescent="0.25">
      <c r="A3293" t="s">
        <v>9971</v>
      </c>
      <c r="B3293" t="s">
        <v>10402</v>
      </c>
      <c r="C3293" t="s">
        <v>10394</v>
      </c>
      <c r="D3293" t="s">
        <v>10395</v>
      </c>
      <c r="E3293" t="s">
        <v>10396</v>
      </c>
      <c r="F3293" t="s">
        <v>10403</v>
      </c>
      <c r="G3293" s="2" t="str">
        <f>HYPERLINK("https://probpalata.gov.ru/files/ИП780303692700004.jpeg","Скачать индивидуальный QR-код магазина")</f>
        <v>Скачать индивидуальный QR-код магазина</v>
      </c>
    </row>
    <row r="3294" spans="1:7" x14ac:dyDescent="0.25">
      <c r="A3294" t="s">
        <v>9971</v>
      </c>
      <c r="B3294" t="s">
        <v>10404</v>
      </c>
      <c r="C3294" t="s">
        <v>10394</v>
      </c>
      <c r="D3294" t="s">
        <v>10395</v>
      </c>
      <c r="E3294" t="s">
        <v>10396</v>
      </c>
      <c r="F3294" t="s">
        <v>10405</v>
      </c>
      <c r="G3294" s="2" t="str">
        <f>HYPERLINK("https://probpalata.gov.ru/files/ИП780303692700006.jpeg","Скачать индивидуальный QR-код магазина")</f>
        <v>Скачать индивидуальный QR-код магазина</v>
      </c>
    </row>
    <row r="3295" spans="1:7" x14ac:dyDescent="0.25">
      <c r="A3295" t="s">
        <v>9971</v>
      </c>
      <c r="B3295" t="s">
        <v>10406</v>
      </c>
      <c r="C3295" t="s">
        <v>10394</v>
      </c>
      <c r="D3295" t="s">
        <v>10395</v>
      </c>
      <c r="E3295" t="s">
        <v>10396</v>
      </c>
      <c r="F3295" t="s">
        <v>10407</v>
      </c>
      <c r="G3295" s="2" t="str">
        <f>HYPERLINK("https://probpalata.gov.ru/files/ИП780303692700007.jpeg","Скачать индивидуальный QR-код магазина")</f>
        <v>Скачать индивидуальный QR-код магазина</v>
      </c>
    </row>
    <row r="3296" spans="1:7" x14ac:dyDescent="0.25">
      <c r="A3296" t="s">
        <v>9971</v>
      </c>
      <c r="B3296" t="s">
        <v>10408</v>
      </c>
      <c r="C3296" t="s">
        <v>10409</v>
      </c>
      <c r="D3296" t="s">
        <v>10410</v>
      </c>
      <c r="E3296" t="s">
        <v>10411</v>
      </c>
      <c r="F3296" t="s">
        <v>10412</v>
      </c>
      <c r="G3296" s="2" t="str">
        <f>HYPERLINK("https://probpalata.gov.ru/files/ЮЛ540801356100005.jpeg","Скачать индивидуальный QR-код магазина")</f>
        <v>Скачать индивидуальный QR-код магазина</v>
      </c>
    </row>
    <row r="3297" spans="1:7" x14ac:dyDescent="0.25">
      <c r="A3297" t="s">
        <v>9971</v>
      </c>
      <c r="B3297" t="s">
        <v>10413</v>
      </c>
      <c r="C3297" t="s">
        <v>10409</v>
      </c>
      <c r="D3297" t="s">
        <v>10410</v>
      </c>
      <c r="E3297" t="s">
        <v>10411</v>
      </c>
      <c r="F3297" t="s">
        <v>10414</v>
      </c>
      <c r="G3297" s="2" t="str">
        <f>HYPERLINK("https://probpalata.gov.ru/files/ЮЛ540801356100006.jpeg","Скачать индивидуальный QR-код магазина")</f>
        <v>Скачать индивидуальный QR-код магазина</v>
      </c>
    </row>
    <row r="3298" spans="1:7" x14ac:dyDescent="0.25">
      <c r="A3298" t="s">
        <v>9971</v>
      </c>
      <c r="B3298" t="s">
        <v>10415</v>
      </c>
      <c r="C3298" t="s">
        <v>665</v>
      </c>
      <c r="D3298" t="s">
        <v>666</v>
      </c>
      <c r="E3298" t="s">
        <v>667</v>
      </c>
      <c r="F3298" t="s">
        <v>10416</v>
      </c>
      <c r="G3298" s="2" t="str">
        <f>HYPERLINK("https://probpalata.gov.ru/files/ЮЛ420801320200006.jpeg","Скачать индивидуальный QR-код магазина")</f>
        <v>Скачать индивидуальный QR-код магазина</v>
      </c>
    </row>
    <row r="3299" spans="1:7" x14ac:dyDescent="0.25">
      <c r="A3299" t="s">
        <v>9971</v>
      </c>
      <c r="B3299" t="s">
        <v>10417</v>
      </c>
      <c r="C3299" t="s">
        <v>665</v>
      </c>
      <c r="D3299" t="s">
        <v>666</v>
      </c>
      <c r="E3299" t="s">
        <v>667</v>
      </c>
      <c r="F3299" t="s">
        <v>10418</v>
      </c>
      <c r="G3299" s="2" t="str">
        <f>HYPERLINK("https://probpalata.gov.ru/files/ЮЛ420801320200013.jpeg","Скачать индивидуальный QR-код магазина")</f>
        <v>Скачать индивидуальный QR-код магазина</v>
      </c>
    </row>
    <row r="3300" spans="1:7" x14ac:dyDescent="0.25">
      <c r="A3300" t="s">
        <v>9971</v>
      </c>
      <c r="B3300" t="s">
        <v>10419</v>
      </c>
      <c r="C3300" t="s">
        <v>665</v>
      </c>
      <c r="D3300" t="s">
        <v>666</v>
      </c>
      <c r="E3300" t="s">
        <v>667</v>
      </c>
      <c r="F3300" t="s">
        <v>10420</v>
      </c>
      <c r="G3300" s="2" t="str">
        <f>HYPERLINK("https://probpalata.gov.ru/files/ЮЛ420801320200015.jpeg","Скачать индивидуальный QR-код магазина")</f>
        <v>Скачать индивидуальный QR-код магазина</v>
      </c>
    </row>
    <row r="3301" spans="1:7" x14ac:dyDescent="0.25">
      <c r="A3301" t="s">
        <v>9971</v>
      </c>
      <c r="B3301" t="s">
        <v>10421</v>
      </c>
      <c r="C3301" t="s">
        <v>665</v>
      </c>
      <c r="D3301" t="s">
        <v>666</v>
      </c>
      <c r="E3301" t="s">
        <v>667</v>
      </c>
      <c r="F3301" t="s">
        <v>10422</v>
      </c>
      <c r="G3301" s="2" t="str">
        <f>HYPERLINK("https://probpalata.gov.ru/files/ЮЛ420801320200017.jpeg","Скачать индивидуальный QR-код магазина")</f>
        <v>Скачать индивидуальный QR-код магазина</v>
      </c>
    </row>
    <row r="3302" spans="1:7" x14ac:dyDescent="0.25">
      <c r="A3302" t="s">
        <v>9971</v>
      </c>
      <c r="B3302" t="s">
        <v>10423</v>
      </c>
      <c r="C3302" t="s">
        <v>665</v>
      </c>
      <c r="D3302" t="s">
        <v>666</v>
      </c>
      <c r="E3302" t="s">
        <v>667</v>
      </c>
      <c r="F3302" t="s">
        <v>10424</v>
      </c>
      <c r="G3302" s="2" t="str">
        <f>HYPERLINK("https://probpalata.gov.ru/files/ЮЛ420801320200019.jpeg","Скачать индивидуальный QR-код магазина")</f>
        <v>Скачать индивидуальный QR-код магазина</v>
      </c>
    </row>
    <row r="3303" spans="1:7" x14ac:dyDescent="0.25">
      <c r="A3303" t="s">
        <v>9971</v>
      </c>
      <c r="B3303" t="s">
        <v>10425</v>
      </c>
      <c r="C3303" t="s">
        <v>10426</v>
      </c>
      <c r="D3303" t="s">
        <v>10427</v>
      </c>
      <c r="E3303" t="s">
        <v>10428</v>
      </c>
      <c r="F3303" t="s">
        <v>10429</v>
      </c>
      <c r="G3303" s="2" t="str">
        <f>HYPERLINK("https://probpalata.gov.ru/files/ЮЛ420803193000000.jpeg","Скачать индивидуальный QR-код магазина")</f>
        <v>Скачать индивидуальный QR-код магазина</v>
      </c>
    </row>
    <row r="3304" spans="1:7" x14ac:dyDescent="0.25">
      <c r="A3304" t="s">
        <v>9971</v>
      </c>
      <c r="B3304" t="s">
        <v>10430</v>
      </c>
      <c r="C3304" t="s">
        <v>10426</v>
      </c>
      <c r="D3304" t="s">
        <v>10427</v>
      </c>
      <c r="E3304" t="s">
        <v>10428</v>
      </c>
      <c r="F3304" t="s">
        <v>10431</v>
      </c>
      <c r="G3304" s="2" t="str">
        <f>HYPERLINK("https://probpalata.gov.ru/files/ЮЛ420803193000001.jpeg","Скачать индивидуальный QR-код магазина")</f>
        <v>Скачать индивидуальный QR-код магазина</v>
      </c>
    </row>
    <row r="3305" spans="1:7" x14ac:dyDescent="0.25">
      <c r="A3305" t="s">
        <v>9971</v>
      </c>
      <c r="B3305" t="s">
        <v>10432</v>
      </c>
      <c r="C3305" t="s">
        <v>10426</v>
      </c>
      <c r="D3305" t="s">
        <v>10427</v>
      </c>
      <c r="E3305" t="s">
        <v>10428</v>
      </c>
      <c r="F3305" t="s">
        <v>10433</v>
      </c>
      <c r="G3305" s="2" t="str">
        <f>HYPERLINK("https://probpalata.gov.ru/files/ЮЛ420803193000002.jpeg","Скачать индивидуальный QR-код магазина")</f>
        <v>Скачать индивидуальный QR-код магазина</v>
      </c>
    </row>
    <row r="3306" spans="1:7" x14ac:dyDescent="0.25">
      <c r="A3306" t="s">
        <v>9971</v>
      </c>
      <c r="B3306" t="s">
        <v>10434</v>
      </c>
      <c r="C3306" t="s">
        <v>10426</v>
      </c>
      <c r="D3306" t="s">
        <v>10427</v>
      </c>
      <c r="E3306" t="s">
        <v>10428</v>
      </c>
      <c r="F3306" t="s">
        <v>10435</v>
      </c>
      <c r="G3306" s="2" t="str">
        <f>HYPERLINK("https://probpalata.gov.ru/files/ЮЛ420803193000003.jpeg","Скачать индивидуальный QR-код магазина")</f>
        <v>Скачать индивидуальный QR-код магазина</v>
      </c>
    </row>
    <row r="3307" spans="1:7" x14ac:dyDescent="0.25">
      <c r="A3307" t="s">
        <v>9971</v>
      </c>
      <c r="B3307" t="s">
        <v>10436</v>
      </c>
      <c r="C3307" t="s">
        <v>10426</v>
      </c>
      <c r="D3307" t="s">
        <v>10427</v>
      </c>
      <c r="E3307" t="s">
        <v>10428</v>
      </c>
      <c r="F3307" t="s">
        <v>10437</v>
      </c>
      <c r="G3307" s="2" t="str">
        <f>HYPERLINK("https://probpalata.gov.ru/files/ЮЛ420803193000005.jpeg","Скачать индивидуальный QR-код магазина")</f>
        <v>Скачать индивидуальный QR-код магазина</v>
      </c>
    </row>
    <row r="3308" spans="1:7" x14ac:dyDescent="0.25">
      <c r="A3308" t="s">
        <v>9971</v>
      </c>
      <c r="B3308" t="s">
        <v>10438</v>
      </c>
      <c r="C3308" t="s">
        <v>10426</v>
      </c>
      <c r="D3308" t="s">
        <v>10427</v>
      </c>
      <c r="E3308" t="s">
        <v>10428</v>
      </c>
      <c r="F3308" t="s">
        <v>10439</v>
      </c>
      <c r="G3308" s="2" t="str">
        <f>HYPERLINK("https://probpalata.gov.ru/files/ЮЛ420803193000006.jpeg","Скачать индивидуальный QR-код магазина")</f>
        <v>Скачать индивидуальный QR-код магазина</v>
      </c>
    </row>
    <row r="3309" spans="1:7" x14ac:dyDescent="0.25">
      <c r="A3309" t="s">
        <v>9971</v>
      </c>
      <c r="B3309" t="s">
        <v>10440</v>
      </c>
      <c r="C3309" t="s">
        <v>10426</v>
      </c>
      <c r="D3309" t="s">
        <v>10427</v>
      </c>
      <c r="E3309" t="s">
        <v>10428</v>
      </c>
      <c r="F3309" t="s">
        <v>10441</v>
      </c>
      <c r="G3309" s="2" t="str">
        <f>HYPERLINK("https://probpalata.gov.ru/files/ЮЛ420803193000007.jpeg","Скачать индивидуальный QR-код магазина")</f>
        <v>Скачать индивидуальный QR-код магазина</v>
      </c>
    </row>
    <row r="3310" spans="1:7" x14ac:dyDescent="0.25">
      <c r="A3310" t="s">
        <v>9971</v>
      </c>
      <c r="B3310" t="s">
        <v>10442</v>
      </c>
      <c r="C3310" t="s">
        <v>10426</v>
      </c>
      <c r="D3310" t="s">
        <v>10427</v>
      </c>
      <c r="E3310" t="s">
        <v>10428</v>
      </c>
      <c r="F3310" t="s">
        <v>10443</v>
      </c>
      <c r="G3310" s="2" t="str">
        <f>HYPERLINK("https://probpalata.gov.ru/files/ЮЛ420803193000009.jpeg","Скачать индивидуальный QR-код магазина")</f>
        <v>Скачать индивидуальный QR-код магазина</v>
      </c>
    </row>
    <row r="3311" spans="1:7" x14ac:dyDescent="0.25">
      <c r="A3311" t="s">
        <v>9971</v>
      </c>
      <c r="B3311" t="s">
        <v>10444</v>
      </c>
      <c r="C3311" t="s">
        <v>10426</v>
      </c>
      <c r="D3311" t="s">
        <v>10427</v>
      </c>
      <c r="E3311" t="s">
        <v>10428</v>
      </c>
      <c r="F3311" t="s">
        <v>10445</v>
      </c>
      <c r="G3311" s="2" t="str">
        <f>HYPERLINK("https://probpalata.gov.ru/files/ЮЛ420803193000010.jpeg","Скачать индивидуальный QR-код магазина")</f>
        <v>Скачать индивидуальный QR-код магазина</v>
      </c>
    </row>
    <row r="3312" spans="1:7" x14ac:dyDescent="0.25">
      <c r="A3312" t="s">
        <v>9971</v>
      </c>
      <c r="B3312" t="s">
        <v>10446</v>
      </c>
      <c r="C3312" t="s">
        <v>10426</v>
      </c>
      <c r="D3312" t="s">
        <v>10427</v>
      </c>
      <c r="E3312" t="s">
        <v>10428</v>
      </c>
      <c r="F3312" t="s">
        <v>10447</v>
      </c>
      <c r="G3312" s="2" t="str">
        <f>HYPERLINK("https://probpalata.gov.ru/files/ЮЛ420803193000011.jpeg","Скачать индивидуальный QR-код магазина")</f>
        <v>Скачать индивидуальный QR-код магазина</v>
      </c>
    </row>
    <row r="3313" spans="1:7" x14ac:dyDescent="0.25">
      <c r="A3313" t="s">
        <v>9971</v>
      </c>
      <c r="B3313" t="s">
        <v>10448</v>
      </c>
      <c r="C3313" t="s">
        <v>10426</v>
      </c>
      <c r="D3313" t="s">
        <v>10427</v>
      </c>
      <c r="E3313" t="s">
        <v>10428</v>
      </c>
      <c r="F3313" t="s">
        <v>10449</v>
      </c>
      <c r="G3313" s="2" t="str">
        <f>HYPERLINK("https://probpalata.gov.ru/files/ЮЛ420803193000012.jpeg","Скачать индивидуальный QR-код магазина")</f>
        <v>Скачать индивидуальный QR-код магазина</v>
      </c>
    </row>
    <row r="3314" spans="1:7" x14ac:dyDescent="0.25">
      <c r="A3314" t="s">
        <v>9971</v>
      </c>
      <c r="B3314" t="s">
        <v>10450</v>
      </c>
      <c r="C3314" t="s">
        <v>10426</v>
      </c>
      <c r="D3314" t="s">
        <v>10427</v>
      </c>
      <c r="E3314" t="s">
        <v>10428</v>
      </c>
      <c r="F3314" t="s">
        <v>10451</v>
      </c>
      <c r="G3314" s="2" t="str">
        <f>HYPERLINK("https://probpalata.gov.ru/files/ЮЛ420803193000014.jpeg","Скачать индивидуальный QR-код магазина")</f>
        <v>Скачать индивидуальный QR-код магазина</v>
      </c>
    </row>
    <row r="3315" spans="1:7" x14ac:dyDescent="0.25">
      <c r="A3315" t="s">
        <v>9971</v>
      </c>
      <c r="B3315" t="s">
        <v>10452</v>
      </c>
      <c r="C3315" t="s">
        <v>10426</v>
      </c>
      <c r="D3315" t="s">
        <v>10427</v>
      </c>
      <c r="E3315" t="s">
        <v>10428</v>
      </c>
      <c r="F3315" t="s">
        <v>10453</v>
      </c>
      <c r="G3315" s="2" t="str">
        <f>HYPERLINK("https://probpalata.gov.ru/files/ЮЛ420803193000016.jpeg","Скачать индивидуальный QR-код магазина")</f>
        <v>Скачать индивидуальный QR-код магазина</v>
      </c>
    </row>
    <row r="3316" spans="1:7" x14ac:dyDescent="0.25">
      <c r="A3316" t="s">
        <v>9971</v>
      </c>
      <c r="B3316" t="s">
        <v>10454</v>
      </c>
      <c r="C3316" t="s">
        <v>10426</v>
      </c>
      <c r="D3316" t="s">
        <v>10427</v>
      </c>
      <c r="E3316" t="s">
        <v>10428</v>
      </c>
      <c r="F3316" t="s">
        <v>10455</v>
      </c>
      <c r="G3316" s="2" t="str">
        <f>HYPERLINK("https://probpalata.gov.ru/files/ЮЛ420803193000017.jpeg","Скачать индивидуальный QR-код магазина")</f>
        <v>Скачать индивидуальный QR-код магазина</v>
      </c>
    </row>
    <row r="3317" spans="1:7" x14ac:dyDescent="0.25">
      <c r="A3317" t="s">
        <v>9971</v>
      </c>
      <c r="B3317" t="s">
        <v>10456</v>
      </c>
      <c r="C3317" t="s">
        <v>10426</v>
      </c>
      <c r="D3317" t="s">
        <v>10427</v>
      </c>
      <c r="E3317" t="s">
        <v>10428</v>
      </c>
      <c r="F3317" t="s">
        <v>10457</v>
      </c>
      <c r="G3317" s="2" t="str">
        <f>HYPERLINK("https://probpalata.gov.ru/files/ЮЛ420803193000018.jpeg","Скачать индивидуальный QR-код магазина")</f>
        <v>Скачать индивидуальный QR-код магазина</v>
      </c>
    </row>
    <row r="3318" spans="1:7" x14ac:dyDescent="0.25">
      <c r="A3318" t="s">
        <v>9971</v>
      </c>
      <c r="B3318" t="s">
        <v>10458</v>
      </c>
      <c r="C3318" t="s">
        <v>10426</v>
      </c>
      <c r="D3318" t="s">
        <v>10427</v>
      </c>
      <c r="E3318" t="s">
        <v>10428</v>
      </c>
      <c r="F3318" t="s">
        <v>10459</v>
      </c>
      <c r="G3318" s="2" t="str">
        <f>HYPERLINK("https://probpalata.gov.ru/files/ЮЛ420803193000019.jpeg","Скачать индивидуальный QR-код магазина")</f>
        <v>Скачать индивидуальный QR-код магазина</v>
      </c>
    </row>
    <row r="3319" spans="1:7" x14ac:dyDescent="0.25">
      <c r="A3319" t="s">
        <v>9971</v>
      </c>
      <c r="B3319" t="s">
        <v>10460</v>
      </c>
      <c r="C3319" t="s">
        <v>10426</v>
      </c>
      <c r="D3319" t="s">
        <v>10427</v>
      </c>
      <c r="E3319" t="s">
        <v>10428</v>
      </c>
      <c r="F3319" t="s">
        <v>10461</v>
      </c>
      <c r="G3319" s="2" t="str">
        <f>HYPERLINK("https://probpalata.gov.ru/files/ЮЛ420803193000020.jpeg","Скачать индивидуальный QR-код магазина")</f>
        <v>Скачать индивидуальный QR-код магазина</v>
      </c>
    </row>
    <row r="3320" spans="1:7" x14ac:dyDescent="0.25">
      <c r="A3320" t="s">
        <v>9971</v>
      </c>
      <c r="B3320" t="s">
        <v>10462</v>
      </c>
      <c r="C3320" t="s">
        <v>10426</v>
      </c>
      <c r="D3320" t="s">
        <v>10427</v>
      </c>
      <c r="E3320" t="s">
        <v>10428</v>
      </c>
      <c r="F3320" t="s">
        <v>10463</v>
      </c>
      <c r="G3320" s="2" t="str">
        <f>HYPERLINK("https://probpalata.gov.ru/files/ЮЛ420803193000021.jpeg","Скачать индивидуальный QR-код магазина")</f>
        <v>Скачать индивидуальный QR-код магазина</v>
      </c>
    </row>
    <row r="3321" spans="1:7" x14ac:dyDescent="0.25">
      <c r="A3321" t="s">
        <v>9971</v>
      </c>
      <c r="B3321" t="s">
        <v>10464</v>
      </c>
      <c r="C3321" t="s">
        <v>10426</v>
      </c>
      <c r="D3321" t="s">
        <v>10427</v>
      </c>
      <c r="E3321" t="s">
        <v>10428</v>
      </c>
      <c r="F3321" t="s">
        <v>10465</v>
      </c>
      <c r="G3321" s="2" t="str">
        <f>HYPERLINK("https://probpalata.gov.ru/files/ЮЛ420803193000023.jpeg","Скачать индивидуальный QR-код магазина")</f>
        <v>Скачать индивидуальный QR-код магазина</v>
      </c>
    </row>
    <row r="3322" spans="1:7" x14ac:dyDescent="0.25">
      <c r="A3322" t="s">
        <v>9971</v>
      </c>
      <c r="B3322" t="s">
        <v>10466</v>
      </c>
      <c r="C3322" t="s">
        <v>10426</v>
      </c>
      <c r="D3322" t="s">
        <v>10427</v>
      </c>
      <c r="E3322" t="s">
        <v>10428</v>
      </c>
      <c r="F3322" t="s">
        <v>10467</v>
      </c>
      <c r="G3322" s="2" t="str">
        <f>HYPERLINK("https://probpalata.gov.ru/files/ЮЛ420803193000024.jpeg","Скачать индивидуальный QR-код магазина")</f>
        <v>Скачать индивидуальный QR-код магазина</v>
      </c>
    </row>
    <row r="3323" spans="1:7" x14ac:dyDescent="0.25">
      <c r="A3323" t="s">
        <v>9971</v>
      </c>
      <c r="B3323" t="s">
        <v>10468</v>
      </c>
      <c r="C3323" t="s">
        <v>10426</v>
      </c>
      <c r="D3323" t="s">
        <v>10427</v>
      </c>
      <c r="E3323" t="s">
        <v>10428</v>
      </c>
      <c r="F3323" t="s">
        <v>10469</v>
      </c>
      <c r="G3323" s="2" t="str">
        <f>HYPERLINK("https://probpalata.gov.ru/files/ЮЛ420803193000025.jpeg","Скачать индивидуальный QR-код магазина")</f>
        <v>Скачать индивидуальный QR-код магазина</v>
      </c>
    </row>
    <row r="3324" spans="1:7" x14ac:dyDescent="0.25">
      <c r="A3324" t="s">
        <v>9971</v>
      </c>
      <c r="B3324" t="s">
        <v>10470</v>
      </c>
      <c r="C3324" t="s">
        <v>10426</v>
      </c>
      <c r="D3324" t="s">
        <v>10427</v>
      </c>
      <c r="E3324" t="s">
        <v>10428</v>
      </c>
      <c r="F3324" t="s">
        <v>10471</v>
      </c>
      <c r="G3324" s="2" t="str">
        <f>HYPERLINK("https://probpalata.gov.ru/files/ЮЛ420803193000027.jpeg","Скачать индивидуальный QR-код магазина")</f>
        <v>Скачать индивидуальный QR-код магазина</v>
      </c>
    </row>
    <row r="3325" spans="1:7" x14ac:dyDescent="0.25">
      <c r="A3325" t="s">
        <v>9971</v>
      </c>
      <c r="B3325" t="s">
        <v>10472</v>
      </c>
      <c r="C3325" t="s">
        <v>10426</v>
      </c>
      <c r="D3325" t="s">
        <v>10427</v>
      </c>
      <c r="E3325" t="s">
        <v>10428</v>
      </c>
      <c r="F3325" t="s">
        <v>10473</v>
      </c>
      <c r="G3325" s="2" t="str">
        <f>HYPERLINK("https://probpalata.gov.ru/files/ЮЛ420803193000029.jpeg","Скачать индивидуальный QR-код магазина")</f>
        <v>Скачать индивидуальный QR-код магазина</v>
      </c>
    </row>
    <row r="3326" spans="1:7" x14ac:dyDescent="0.25">
      <c r="A3326" t="s">
        <v>9971</v>
      </c>
      <c r="B3326" t="s">
        <v>10474</v>
      </c>
      <c r="C3326" t="s">
        <v>10426</v>
      </c>
      <c r="D3326" t="s">
        <v>10427</v>
      </c>
      <c r="E3326" t="s">
        <v>10428</v>
      </c>
      <c r="F3326" t="s">
        <v>10475</v>
      </c>
      <c r="G3326" s="2" t="str">
        <f>HYPERLINK("https://probpalata.gov.ru/files/ЮЛ420803193000030.jpeg","Скачать индивидуальный QR-код магазина")</f>
        <v>Скачать индивидуальный QR-код магазина</v>
      </c>
    </row>
    <row r="3327" spans="1:7" x14ac:dyDescent="0.25">
      <c r="A3327" t="s">
        <v>9971</v>
      </c>
      <c r="B3327" t="s">
        <v>10476</v>
      </c>
      <c r="C3327" t="s">
        <v>10426</v>
      </c>
      <c r="D3327" t="s">
        <v>10427</v>
      </c>
      <c r="E3327" t="s">
        <v>10428</v>
      </c>
      <c r="F3327" t="s">
        <v>10477</v>
      </c>
      <c r="G3327" s="2" t="str">
        <f>HYPERLINK("https://probpalata.gov.ru/files/ЮЛ420803193000031.jpeg","Скачать индивидуальный QR-код магазина")</f>
        <v>Скачать индивидуальный QR-код магазина</v>
      </c>
    </row>
    <row r="3328" spans="1:7" x14ac:dyDescent="0.25">
      <c r="A3328" t="s">
        <v>9971</v>
      </c>
      <c r="B3328" t="s">
        <v>10478</v>
      </c>
      <c r="C3328" t="s">
        <v>10426</v>
      </c>
      <c r="D3328" t="s">
        <v>10427</v>
      </c>
      <c r="E3328" t="s">
        <v>10428</v>
      </c>
      <c r="F3328" t="s">
        <v>10479</v>
      </c>
      <c r="G3328" s="2" t="str">
        <f>HYPERLINK("https://probpalata.gov.ru/files/ЮЛ420803193000033.jpeg","Скачать индивидуальный QR-код магазина")</f>
        <v>Скачать индивидуальный QR-код магазина</v>
      </c>
    </row>
    <row r="3329" spans="1:7" x14ac:dyDescent="0.25">
      <c r="A3329" t="s">
        <v>9971</v>
      </c>
      <c r="B3329" t="s">
        <v>10480</v>
      </c>
      <c r="C3329" t="s">
        <v>10481</v>
      </c>
      <c r="D3329" t="s">
        <v>10482</v>
      </c>
      <c r="E3329" t="s">
        <v>10483</v>
      </c>
      <c r="F3329" t="s">
        <v>10484</v>
      </c>
      <c r="G3329" s="2" t="str">
        <f>HYPERLINK("https://probpalata.gov.ru/files/ИП420800500000000.jpeg","Скачать индивидуальный QR-код магазина")</f>
        <v>Скачать индивидуальный QR-код магазина</v>
      </c>
    </row>
    <row r="3330" spans="1:7" x14ac:dyDescent="0.25">
      <c r="A3330" t="s">
        <v>9971</v>
      </c>
      <c r="B3330" t="s">
        <v>10485</v>
      </c>
      <c r="C3330" t="s">
        <v>10486</v>
      </c>
      <c r="D3330" t="s">
        <v>10487</v>
      </c>
      <c r="E3330" t="s">
        <v>10488</v>
      </c>
      <c r="F3330" t="s">
        <v>10489</v>
      </c>
      <c r="G3330" s="2" t="str">
        <f>HYPERLINK("https://probpalata.gov.ru/files/ИП420801437300000.jpeg","Скачать индивидуальный QR-код магазина")</f>
        <v>Скачать индивидуальный QR-код магазина</v>
      </c>
    </row>
    <row r="3331" spans="1:7" x14ac:dyDescent="0.25">
      <c r="A3331" t="s">
        <v>9971</v>
      </c>
      <c r="B3331" t="s">
        <v>10490</v>
      </c>
      <c r="C3331" t="s">
        <v>10491</v>
      </c>
      <c r="D3331" t="s">
        <v>10492</v>
      </c>
      <c r="E3331" t="s">
        <v>10493</v>
      </c>
      <c r="F3331" t="s">
        <v>10494</v>
      </c>
      <c r="G3331" s="2" t="str">
        <f>HYPERLINK("https://probpalata.gov.ru/files/ИП420800496200000.jpeg","Скачать индивидуальный QR-код магазина")</f>
        <v>Скачать индивидуальный QR-код магазина</v>
      </c>
    </row>
    <row r="3332" spans="1:7" x14ac:dyDescent="0.25">
      <c r="A3332" t="s">
        <v>9971</v>
      </c>
      <c r="B3332" t="s">
        <v>10495</v>
      </c>
      <c r="C3332" t="s">
        <v>10491</v>
      </c>
      <c r="D3332" t="s">
        <v>10492</v>
      </c>
      <c r="E3332" t="s">
        <v>10493</v>
      </c>
      <c r="F3332" t="s">
        <v>10496</v>
      </c>
      <c r="G3332" s="2" t="str">
        <f>HYPERLINK("https://probpalata.gov.ru/files/ИП420800496200003.jpeg","Скачать индивидуальный QR-код магазина")</f>
        <v>Скачать индивидуальный QR-код магазина</v>
      </c>
    </row>
    <row r="3333" spans="1:7" x14ac:dyDescent="0.25">
      <c r="A3333" t="s">
        <v>9971</v>
      </c>
      <c r="B3333" t="s">
        <v>10497</v>
      </c>
      <c r="C3333" t="s">
        <v>10498</v>
      </c>
      <c r="D3333" t="s">
        <v>10499</v>
      </c>
      <c r="E3333" t="s">
        <v>10500</v>
      </c>
      <c r="F3333" t="s">
        <v>10501</v>
      </c>
      <c r="G3333" s="2" t="str">
        <f>HYPERLINK("https://probpalata.gov.ru/files/ЮЛ420800265800000.jpeg","Скачать индивидуальный QR-код магазина")</f>
        <v>Скачать индивидуальный QR-код магазина</v>
      </c>
    </row>
    <row r="3334" spans="1:7" x14ac:dyDescent="0.25">
      <c r="A3334" t="s">
        <v>9971</v>
      </c>
      <c r="B3334" t="s">
        <v>10502</v>
      </c>
      <c r="C3334" t="s">
        <v>10498</v>
      </c>
      <c r="D3334" t="s">
        <v>10499</v>
      </c>
      <c r="E3334" t="s">
        <v>10500</v>
      </c>
      <c r="F3334" t="s">
        <v>10503</v>
      </c>
      <c r="G3334" s="2" t="str">
        <f>HYPERLINK("https://probpalata.gov.ru/files/ЮЛ420800265800001.jpeg","Скачать индивидуальный QR-код магазина")</f>
        <v>Скачать индивидуальный QR-код магазина</v>
      </c>
    </row>
    <row r="3335" spans="1:7" x14ac:dyDescent="0.25">
      <c r="A3335" t="s">
        <v>9971</v>
      </c>
      <c r="B3335" t="s">
        <v>10504</v>
      </c>
      <c r="C3335" t="s">
        <v>10498</v>
      </c>
      <c r="D3335" t="s">
        <v>10499</v>
      </c>
      <c r="E3335" t="s">
        <v>10500</v>
      </c>
      <c r="F3335" t="s">
        <v>10505</v>
      </c>
      <c r="G3335" s="2" t="str">
        <f>HYPERLINK("https://probpalata.gov.ru/files/ЮЛ420800265800003.jpeg","Скачать индивидуальный QR-код магазина")</f>
        <v>Скачать индивидуальный QR-код магазина</v>
      </c>
    </row>
    <row r="3336" spans="1:7" x14ac:dyDescent="0.25">
      <c r="A3336" t="s">
        <v>9971</v>
      </c>
      <c r="B3336" t="s">
        <v>10506</v>
      </c>
      <c r="C3336" t="s">
        <v>10498</v>
      </c>
      <c r="D3336" t="s">
        <v>10499</v>
      </c>
      <c r="E3336" t="s">
        <v>10500</v>
      </c>
      <c r="F3336" t="s">
        <v>10507</v>
      </c>
      <c r="G3336" s="2" t="str">
        <f>HYPERLINK("https://probpalata.gov.ru/files/ЮЛ420800265800004.jpeg","Скачать индивидуальный QR-код магазина")</f>
        <v>Скачать индивидуальный QR-код магазина</v>
      </c>
    </row>
    <row r="3337" spans="1:7" x14ac:dyDescent="0.25">
      <c r="A3337" t="s">
        <v>9971</v>
      </c>
      <c r="B3337" t="s">
        <v>10508</v>
      </c>
      <c r="C3337" t="s">
        <v>10498</v>
      </c>
      <c r="D3337" t="s">
        <v>10499</v>
      </c>
      <c r="E3337" t="s">
        <v>10500</v>
      </c>
      <c r="F3337" t="s">
        <v>10509</v>
      </c>
      <c r="G3337" s="2" t="str">
        <f>HYPERLINK("https://probpalata.gov.ru/files/ЮЛ420800265800005.jpeg","Скачать индивидуальный QR-код магазина")</f>
        <v>Скачать индивидуальный QR-код магазина</v>
      </c>
    </row>
    <row r="3338" spans="1:7" x14ac:dyDescent="0.25">
      <c r="A3338" t="s">
        <v>9971</v>
      </c>
      <c r="B3338" t="s">
        <v>10510</v>
      </c>
      <c r="C3338" t="s">
        <v>10498</v>
      </c>
      <c r="D3338" t="s">
        <v>10499</v>
      </c>
      <c r="E3338" t="s">
        <v>10500</v>
      </c>
      <c r="F3338" t="s">
        <v>10511</v>
      </c>
      <c r="G3338" s="2" t="str">
        <f>HYPERLINK("https://probpalata.gov.ru/files/ЮЛ420800265800007.jpeg","Скачать индивидуальный QR-код магазина")</f>
        <v>Скачать индивидуальный QR-код магазина</v>
      </c>
    </row>
    <row r="3339" spans="1:7" x14ac:dyDescent="0.25">
      <c r="A3339" t="s">
        <v>9971</v>
      </c>
      <c r="B3339" t="s">
        <v>10512</v>
      </c>
      <c r="C3339" t="s">
        <v>10513</v>
      </c>
      <c r="D3339" t="s">
        <v>10514</v>
      </c>
      <c r="E3339" t="s">
        <v>10515</v>
      </c>
      <c r="F3339" t="s">
        <v>10516</v>
      </c>
      <c r="G3339" s="2" t="str">
        <f>HYPERLINK("https://probpalata.gov.ru/files/ЮЛ540801207400006.jpeg","Скачать индивидуальный QR-код магазина")</f>
        <v>Скачать индивидуальный QR-код магазина</v>
      </c>
    </row>
    <row r="3340" spans="1:7" x14ac:dyDescent="0.25">
      <c r="A3340" t="s">
        <v>9971</v>
      </c>
      <c r="B3340" t="s">
        <v>10349</v>
      </c>
      <c r="C3340" t="s">
        <v>10513</v>
      </c>
      <c r="D3340" t="s">
        <v>10514</v>
      </c>
      <c r="E3340" t="s">
        <v>10515</v>
      </c>
      <c r="F3340" t="s">
        <v>10517</v>
      </c>
      <c r="G3340" s="2" t="str">
        <f>HYPERLINK("https://probpalata.gov.ru/files/ЮЛ540801207400008.jpeg","Скачать индивидуальный QR-код магазина")</f>
        <v>Скачать индивидуальный QR-код магазина</v>
      </c>
    </row>
    <row r="3341" spans="1:7" x14ac:dyDescent="0.25">
      <c r="A3341" t="s">
        <v>9971</v>
      </c>
      <c r="B3341" t="s">
        <v>10518</v>
      </c>
      <c r="C3341" t="s">
        <v>10513</v>
      </c>
      <c r="D3341" t="s">
        <v>10514</v>
      </c>
      <c r="E3341" t="s">
        <v>10515</v>
      </c>
      <c r="F3341" t="s">
        <v>10519</v>
      </c>
      <c r="G3341" s="2" t="str">
        <f>HYPERLINK("https://probpalata.gov.ru/files/ЮЛ540801207400009.jpeg","Скачать индивидуальный QR-код магазина")</f>
        <v>Скачать индивидуальный QR-код магазина</v>
      </c>
    </row>
    <row r="3342" spans="1:7" x14ac:dyDescent="0.25">
      <c r="A3342" t="s">
        <v>9971</v>
      </c>
      <c r="B3342" t="s">
        <v>10520</v>
      </c>
      <c r="C3342" t="s">
        <v>10521</v>
      </c>
      <c r="D3342" t="s">
        <v>10522</v>
      </c>
      <c r="E3342" t="s">
        <v>10523</v>
      </c>
      <c r="F3342" t="s">
        <v>10524</v>
      </c>
      <c r="G3342" s="2" t="str">
        <f>HYPERLINK("https://probpalata.gov.ru/files/ЮЛ540801158800000.jpeg","Скачать индивидуальный QR-код магазина")</f>
        <v>Скачать индивидуальный QR-код магазина</v>
      </c>
    </row>
    <row r="3343" spans="1:7" x14ac:dyDescent="0.25">
      <c r="A3343" t="s">
        <v>9971</v>
      </c>
      <c r="B3343" t="s">
        <v>10525</v>
      </c>
      <c r="C3343" t="s">
        <v>10521</v>
      </c>
      <c r="D3343" t="s">
        <v>10522</v>
      </c>
      <c r="E3343" t="s">
        <v>10523</v>
      </c>
      <c r="F3343" t="s">
        <v>10526</v>
      </c>
      <c r="G3343" s="2" t="str">
        <f>HYPERLINK("https://probpalata.gov.ru/files/ЮЛ540801158800001.jpeg","Скачать индивидуальный QR-код магазина")</f>
        <v>Скачать индивидуальный QR-код магазина</v>
      </c>
    </row>
    <row r="3344" spans="1:7" x14ac:dyDescent="0.25">
      <c r="A3344" t="s">
        <v>9971</v>
      </c>
      <c r="B3344" t="s">
        <v>10527</v>
      </c>
      <c r="C3344" t="s">
        <v>10521</v>
      </c>
      <c r="D3344" t="s">
        <v>10522</v>
      </c>
      <c r="E3344" t="s">
        <v>10523</v>
      </c>
      <c r="F3344" t="s">
        <v>10528</v>
      </c>
      <c r="G3344" s="2" t="str">
        <f>HYPERLINK("https://probpalata.gov.ru/files/ЮЛ540801158800010.jpeg","Скачать индивидуальный QR-код магазина")</f>
        <v>Скачать индивидуальный QR-код магазина</v>
      </c>
    </row>
    <row r="3345" spans="1:7" x14ac:dyDescent="0.25">
      <c r="A3345" t="s">
        <v>9971</v>
      </c>
      <c r="B3345" t="s">
        <v>10366</v>
      </c>
      <c r="C3345" t="s">
        <v>10521</v>
      </c>
      <c r="D3345" t="s">
        <v>10522</v>
      </c>
      <c r="E3345" t="s">
        <v>10523</v>
      </c>
      <c r="F3345" t="s">
        <v>10529</v>
      </c>
      <c r="G3345" s="2" t="str">
        <f>HYPERLINK("https://probpalata.gov.ru/files/ЮЛ540801158800012.jpeg","Скачать индивидуальный QR-код магазина")</f>
        <v>Скачать индивидуальный QR-код магазина</v>
      </c>
    </row>
    <row r="3346" spans="1:7" x14ac:dyDescent="0.25">
      <c r="A3346" t="s">
        <v>9971</v>
      </c>
      <c r="B3346" t="s">
        <v>10323</v>
      </c>
      <c r="C3346" t="s">
        <v>10521</v>
      </c>
      <c r="D3346" t="s">
        <v>10522</v>
      </c>
      <c r="E3346" t="s">
        <v>10523</v>
      </c>
      <c r="F3346" t="s">
        <v>10530</v>
      </c>
      <c r="G3346" s="2" t="str">
        <f>HYPERLINK("https://probpalata.gov.ru/files/ЮЛ540801158800013.jpeg","Скачать индивидуальный QR-код магазина")</f>
        <v>Скачать индивидуальный QR-код магазина</v>
      </c>
    </row>
    <row r="3347" spans="1:7" x14ac:dyDescent="0.25">
      <c r="A3347" t="s">
        <v>9971</v>
      </c>
      <c r="B3347" t="s">
        <v>10382</v>
      </c>
      <c r="C3347" t="s">
        <v>10521</v>
      </c>
      <c r="D3347" t="s">
        <v>10522</v>
      </c>
      <c r="E3347" t="s">
        <v>10523</v>
      </c>
      <c r="F3347" t="s">
        <v>10531</v>
      </c>
      <c r="G3347" s="2" t="str">
        <f>HYPERLINK("https://probpalata.gov.ru/files/ЮЛ540801158800015.jpeg","Скачать индивидуальный QR-код магазина")</f>
        <v>Скачать индивидуальный QR-код магазина</v>
      </c>
    </row>
    <row r="3348" spans="1:7" x14ac:dyDescent="0.25">
      <c r="A3348" t="s">
        <v>9971</v>
      </c>
      <c r="B3348" t="s">
        <v>10532</v>
      </c>
      <c r="C3348" t="s">
        <v>10533</v>
      </c>
      <c r="D3348" t="s">
        <v>10534</v>
      </c>
      <c r="E3348" t="s">
        <v>10535</v>
      </c>
      <c r="F3348" t="s">
        <v>10536</v>
      </c>
      <c r="G3348" s="2" t="str">
        <f>HYPERLINK("https://probpalata.gov.ru/files/ЮЛ540800393000001.jpeg","Скачать индивидуальный QR-код магазина")</f>
        <v>Скачать индивидуальный QR-код магазина</v>
      </c>
    </row>
    <row r="3349" spans="1:7" x14ac:dyDescent="0.25">
      <c r="A3349" t="s">
        <v>9971</v>
      </c>
      <c r="B3349" t="s">
        <v>10537</v>
      </c>
      <c r="C3349" t="s">
        <v>10533</v>
      </c>
      <c r="D3349" t="s">
        <v>10534</v>
      </c>
      <c r="E3349" t="s">
        <v>10535</v>
      </c>
      <c r="F3349" t="s">
        <v>10538</v>
      </c>
      <c r="G3349" s="2" t="str">
        <f>HYPERLINK("https://probpalata.gov.ru/files/ЮЛ540800393000002.jpeg","Скачать индивидуальный QR-код магазина")</f>
        <v>Скачать индивидуальный QR-код магазина</v>
      </c>
    </row>
    <row r="3350" spans="1:7" x14ac:dyDescent="0.25">
      <c r="A3350" t="s">
        <v>9971</v>
      </c>
      <c r="B3350" t="s">
        <v>10374</v>
      </c>
      <c r="C3350" t="s">
        <v>10533</v>
      </c>
      <c r="D3350" t="s">
        <v>10534</v>
      </c>
      <c r="E3350" t="s">
        <v>10535</v>
      </c>
      <c r="F3350" t="s">
        <v>10539</v>
      </c>
      <c r="G3350" s="2" t="str">
        <f>HYPERLINK("https://probpalata.gov.ru/files/ЮЛ540800393000003.jpeg","Скачать индивидуальный QR-код магазина")</f>
        <v>Скачать индивидуальный QR-код магазина</v>
      </c>
    </row>
    <row r="3351" spans="1:7" x14ac:dyDescent="0.25">
      <c r="A3351" t="s">
        <v>9971</v>
      </c>
      <c r="B3351" t="s">
        <v>10540</v>
      </c>
      <c r="C3351" t="s">
        <v>10533</v>
      </c>
      <c r="D3351" t="s">
        <v>10534</v>
      </c>
      <c r="E3351" t="s">
        <v>10535</v>
      </c>
      <c r="F3351" t="s">
        <v>10541</v>
      </c>
      <c r="G3351" s="2" t="str">
        <f>HYPERLINK("https://probpalata.gov.ru/files/ЮЛ540800393000004.jpeg","Скачать индивидуальный QR-код магазина")</f>
        <v>Скачать индивидуальный QR-код магазина</v>
      </c>
    </row>
    <row r="3352" spans="1:7" x14ac:dyDescent="0.25">
      <c r="A3352" t="s">
        <v>9971</v>
      </c>
      <c r="B3352" t="s">
        <v>10542</v>
      </c>
      <c r="C3352" t="s">
        <v>10533</v>
      </c>
      <c r="D3352" t="s">
        <v>10534</v>
      </c>
      <c r="E3352" t="s">
        <v>10535</v>
      </c>
      <c r="F3352" t="s">
        <v>10543</v>
      </c>
      <c r="G3352" s="2" t="str">
        <f>HYPERLINK("https://probpalata.gov.ru/files/ЮЛ540800393000006.jpeg","Скачать индивидуальный QR-код магазина")</f>
        <v>Скачать индивидуальный QR-код магазина</v>
      </c>
    </row>
    <row r="3353" spans="1:7" x14ac:dyDescent="0.25">
      <c r="A3353" t="s">
        <v>9971</v>
      </c>
      <c r="B3353" t="s">
        <v>10544</v>
      </c>
      <c r="C3353" t="s">
        <v>10545</v>
      </c>
      <c r="D3353" t="s">
        <v>10546</v>
      </c>
      <c r="E3353" t="s">
        <v>10547</v>
      </c>
      <c r="F3353" t="s">
        <v>10548</v>
      </c>
      <c r="G3353" s="2" t="str">
        <f>HYPERLINK("https://probpalata.gov.ru/files/ЮЛ540800522300002.jpeg","Скачать индивидуальный QR-код магазина")</f>
        <v>Скачать индивидуальный QR-код магазина</v>
      </c>
    </row>
    <row r="3354" spans="1:7" x14ac:dyDescent="0.25">
      <c r="A3354" t="s">
        <v>9971</v>
      </c>
      <c r="B3354" t="s">
        <v>10549</v>
      </c>
      <c r="C3354" t="s">
        <v>10545</v>
      </c>
      <c r="D3354" t="s">
        <v>10546</v>
      </c>
      <c r="E3354" t="s">
        <v>10547</v>
      </c>
      <c r="F3354" t="s">
        <v>10550</v>
      </c>
      <c r="G3354" s="2" t="str">
        <f>HYPERLINK("https://probpalata.gov.ru/files/ЮЛ540800522300003.jpeg","Скачать индивидуальный QR-код магазина")</f>
        <v>Скачать индивидуальный QR-код магазина</v>
      </c>
    </row>
    <row r="3355" spans="1:7" x14ac:dyDescent="0.25">
      <c r="A3355" t="s">
        <v>9971</v>
      </c>
      <c r="B3355" t="s">
        <v>10551</v>
      </c>
      <c r="C3355" t="s">
        <v>10545</v>
      </c>
      <c r="D3355" t="s">
        <v>10546</v>
      </c>
      <c r="E3355" t="s">
        <v>10547</v>
      </c>
      <c r="F3355" t="s">
        <v>10552</v>
      </c>
      <c r="G3355" s="2" t="str">
        <f>HYPERLINK("https://probpalata.gov.ru/files/ЮЛ540800522300007.jpeg","Скачать индивидуальный QR-код магазина")</f>
        <v>Скачать индивидуальный QR-код магазина</v>
      </c>
    </row>
    <row r="3356" spans="1:7" x14ac:dyDescent="0.25">
      <c r="A3356" t="s">
        <v>9971</v>
      </c>
      <c r="B3356" t="s">
        <v>10553</v>
      </c>
      <c r="C3356" t="s">
        <v>10545</v>
      </c>
      <c r="D3356" t="s">
        <v>10546</v>
      </c>
      <c r="E3356" t="s">
        <v>10547</v>
      </c>
      <c r="F3356" t="s">
        <v>10554</v>
      </c>
      <c r="G3356" s="2" t="str">
        <f>HYPERLINK("https://probpalata.gov.ru/files/ЮЛ540800522300008.jpeg","Скачать индивидуальный QR-код магазина")</f>
        <v>Скачать индивидуальный QR-код магазина</v>
      </c>
    </row>
    <row r="3357" spans="1:7" x14ac:dyDescent="0.25">
      <c r="A3357" t="s">
        <v>9971</v>
      </c>
      <c r="B3357" t="s">
        <v>10555</v>
      </c>
      <c r="C3357" t="s">
        <v>10545</v>
      </c>
      <c r="D3357" t="s">
        <v>10546</v>
      </c>
      <c r="E3357" t="s">
        <v>10547</v>
      </c>
      <c r="F3357" t="s">
        <v>10556</v>
      </c>
      <c r="G3357" s="2" t="str">
        <f>HYPERLINK("https://probpalata.gov.ru/files/ЮЛ540800522300009.jpeg","Скачать индивидуальный QR-код магазина")</f>
        <v>Скачать индивидуальный QR-код магазина</v>
      </c>
    </row>
    <row r="3358" spans="1:7" x14ac:dyDescent="0.25">
      <c r="A3358" t="s">
        <v>9971</v>
      </c>
      <c r="B3358" t="s">
        <v>10557</v>
      </c>
      <c r="C3358" t="s">
        <v>10545</v>
      </c>
      <c r="D3358" t="s">
        <v>10546</v>
      </c>
      <c r="E3358" t="s">
        <v>10547</v>
      </c>
      <c r="F3358" t="s">
        <v>10558</v>
      </c>
      <c r="G3358" s="2" t="str">
        <f>HYPERLINK("https://probpalata.gov.ru/files/ЮЛ540800522300012.jpeg","Скачать индивидуальный QR-код магазина")</f>
        <v>Скачать индивидуальный QR-код магазина</v>
      </c>
    </row>
    <row r="3359" spans="1:7" x14ac:dyDescent="0.25">
      <c r="A3359" t="s">
        <v>9971</v>
      </c>
      <c r="B3359" t="s">
        <v>10559</v>
      </c>
      <c r="C3359" t="s">
        <v>10545</v>
      </c>
      <c r="D3359" t="s">
        <v>10546</v>
      </c>
      <c r="E3359" t="s">
        <v>10547</v>
      </c>
      <c r="F3359" t="s">
        <v>10560</v>
      </c>
      <c r="G3359" s="2" t="str">
        <f>HYPERLINK("https://probpalata.gov.ru/files/ЮЛ540800522300015.jpeg","Скачать индивидуальный QR-код магазина")</f>
        <v>Скачать индивидуальный QR-код магазина</v>
      </c>
    </row>
    <row r="3360" spans="1:7" x14ac:dyDescent="0.25">
      <c r="A3360" t="s">
        <v>9971</v>
      </c>
      <c r="B3360" t="s">
        <v>10561</v>
      </c>
      <c r="C3360" t="s">
        <v>10545</v>
      </c>
      <c r="D3360" t="s">
        <v>10546</v>
      </c>
      <c r="E3360" t="s">
        <v>10547</v>
      </c>
      <c r="F3360" t="s">
        <v>10562</v>
      </c>
      <c r="G3360" s="2" t="str">
        <f>HYPERLINK("https://probpalata.gov.ru/files/ЮЛ540800522300016.jpeg","Скачать индивидуальный QR-код магазина")</f>
        <v>Скачать индивидуальный QR-код магазина</v>
      </c>
    </row>
    <row r="3361" spans="1:7" x14ac:dyDescent="0.25">
      <c r="A3361" t="s">
        <v>9971</v>
      </c>
      <c r="B3361" t="s">
        <v>10563</v>
      </c>
      <c r="C3361" t="s">
        <v>10545</v>
      </c>
      <c r="D3361" t="s">
        <v>10546</v>
      </c>
      <c r="E3361" t="s">
        <v>10547</v>
      </c>
      <c r="F3361" t="s">
        <v>10564</v>
      </c>
      <c r="G3361" s="2" t="str">
        <f>HYPERLINK("https://probpalata.gov.ru/files/ЮЛ540800522300018.jpeg","Скачать индивидуальный QR-код магазина")</f>
        <v>Скачать индивидуальный QR-код магазина</v>
      </c>
    </row>
    <row r="3362" spans="1:7" x14ac:dyDescent="0.25">
      <c r="A3362" t="s">
        <v>9971</v>
      </c>
      <c r="B3362" t="s">
        <v>10565</v>
      </c>
      <c r="C3362" t="s">
        <v>10566</v>
      </c>
      <c r="D3362" t="s">
        <v>10567</v>
      </c>
      <c r="E3362" t="s">
        <v>10568</v>
      </c>
      <c r="F3362" t="s">
        <v>10569</v>
      </c>
      <c r="G3362" s="2" t="str">
        <f>HYPERLINK("https://probpalata.gov.ru/files/ИП470301358900000.jpeg","Скачать индивидуальный QR-код магазина")</f>
        <v>Скачать индивидуальный QR-код магазина</v>
      </c>
    </row>
    <row r="3363" spans="1:7" x14ac:dyDescent="0.25">
      <c r="A3363" t="s">
        <v>9971</v>
      </c>
      <c r="B3363" t="s">
        <v>10570</v>
      </c>
      <c r="C3363" t="s">
        <v>10571</v>
      </c>
      <c r="D3363" t="s">
        <v>10572</v>
      </c>
      <c r="E3363" t="s">
        <v>10573</v>
      </c>
      <c r="F3363" t="s">
        <v>10574</v>
      </c>
      <c r="G3363" s="2" t="str">
        <f>HYPERLINK("https://probpalata.gov.ru/files/ИП420801742500000.jpeg","Скачать индивидуальный QR-код магазина")</f>
        <v>Скачать индивидуальный QR-код магазина</v>
      </c>
    </row>
    <row r="3364" spans="1:7" x14ac:dyDescent="0.25">
      <c r="A3364" t="s">
        <v>9971</v>
      </c>
      <c r="B3364" t="s">
        <v>10575</v>
      </c>
      <c r="C3364" t="s">
        <v>10576</v>
      </c>
      <c r="D3364" t="s">
        <v>10577</v>
      </c>
      <c r="E3364" t="s">
        <v>10578</v>
      </c>
      <c r="F3364" t="s">
        <v>10579</v>
      </c>
      <c r="G3364" s="2" t="str">
        <f>HYPERLINK("https://probpalata.gov.ru/files/ИП420801107800000.jpeg","Скачать индивидуальный QR-код магазина")</f>
        <v>Скачать индивидуальный QR-код магазина</v>
      </c>
    </row>
    <row r="3365" spans="1:7" x14ac:dyDescent="0.25">
      <c r="A3365" t="s">
        <v>9971</v>
      </c>
      <c r="B3365" t="s">
        <v>10580</v>
      </c>
      <c r="C3365" t="s">
        <v>10581</v>
      </c>
      <c r="D3365" t="s">
        <v>10582</v>
      </c>
      <c r="E3365" t="s">
        <v>10583</v>
      </c>
      <c r="F3365" t="s">
        <v>10584</v>
      </c>
      <c r="G3365" s="2" t="str">
        <f>HYPERLINK("https://probpalata.gov.ru/files/ИП420803323600000.jpeg","Скачать индивидуальный QR-код магазина")</f>
        <v>Скачать индивидуальный QR-код магазина</v>
      </c>
    </row>
    <row r="3366" spans="1:7" x14ac:dyDescent="0.25">
      <c r="A3366" t="s">
        <v>9971</v>
      </c>
      <c r="B3366" t="s">
        <v>10585</v>
      </c>
      <c r="C3366" t="s">
        <v>10581</v>
      </c>
      <c r="D3366" t="s">
        <v>10582</v>
      </c>
      <c r="E3366" t="s">
        <v>10583</v>
      </c>
      <c r="F3366" t="s">
        <v>10586</v>
      </c>
      <c r="G3366" s="2" t="str">
        <f>HYPERLINK("https://probpalata.gov.ru/files/ИП420803323600002.jpeg","Скачать индивидуальный QR-код магазина")</f>
        <v>Скачать индивидуальный QR-код магазина</v>
      </c>
    </row>
    <row r="3367" spans="1:7" x14ac:dyDescent="0.25">
      <c r="A3367" t="s">
        <v>9971</v>
      </c>
      <c r="B3367" t="s">
        <v>10587</v>
      </c>
      <c r="C3367" t="s">
        <v>10581</v>
      </c>
      <c r="D3367" t="s">
        <v>10582</v>
      </c>
      <c r="E3367" t="s">
        <v>10583</v>
      </c>
      <c r="F3367" t="s">
        <v>10588</v>
      </c>
      <c r="G3367" s="2" t="str">
        <f>HYPERLINK("https://probpalata.gov.ru/files/ИП420803323600003.jpeg","Скачать индивидуальный QR-код магазина")</f>
        <v>Скачать индивидуальный QR-код магазина</v>
      </c>
    </row>
    <row r="3368" spans="1:7" x14ac:dyDescent="0.25">
      <c r="A3368" t="s">
        <v>9971</v>
      </c>
      <c r="B3368" t="s">
        <v>10589</v>
      </c>
      <c r="C3368" t="s">
        <v>10590</v>
      </c>
      <c r="D3368" t="s">
        <v>10591</v>
      </c>
      <c r="E3368" t="s">
        <v>10592</v>
      </c>
      <c r="F3368" t="s">
        <v>10593</v>
      </c>
      <c r="G3368" s="2" t="str">
        <f>HYPERLINK("https://probpalata.gov.ru/files/ИП420801481700003.jpeg","Скачать индивидуальный QR-код магазина")</f>
        <v>Скачать индивидуальный QR-код магазина</v>
      </c>
    </row>
    <row r="3369" spans="1:7" x14ac:dyDescent="0.25">
      <c r="A3369" t="s">
        <v>9971</v>
      </c>
      <c r="B3369" t="s">
        <v>10594</v>
      </c>
      <c r="C3369" t="s">
        <v>10590</v>
      </c>
      <c r="D3369" t="s">
        <v>10591</v>
      </c>
      <c r="E3369" t="s">
        <v>10592</v>
      </c>
      <c r="F3369" t="s">
        <v>10595</v>
      </c>
      <c r="G3369" s="2" t="str">
        <f>HYPERLINK("https://probpalata.gov.ru/files/ИП420801481700007.jpeg","Скачать индивидуальный QR-код магазина")</f>
        <v>Скачать индивидуальный QR-код магазина</v>
      </c>
    </row>
    <row r="3370" spans="1:7" x14ac:dyDescent="0.25">
      <c r="A3370" t="s">
        <v>9971</v>
      </c>
      <c r="B3370" t="s">
        <v>10596</v>
      </c>
      <c r="C3370" t="s">
        <v>10597</v>
      </c>
      <c r="D3370" t="s">
        <v>10598</v>
      </c>
      <c r="E3370" t="s">
        <v>10599</v>
      </c>
      <c r="F3370" t="s">
        <v>10600</v>
      </c>
      <c r="G3370" s="2" t="str">
        <f>HYPERLINK("https://probpalata.gov.ru/files/ЮЛ420801627200002.jpeg","Скачать индивидуальный QR-код магазина")</f>
        <v>Скачать индивидуальный QR-код магазина</v>
      </c>
    </row>
    <row r="3371" spans="1:7" x14ac:dyDescent="0.25">
      <c r="A3371" t="s">
        <v>9971</v>
      </c>
      <c r="B3371" t="s">
        <v>10601</v>
      </c>
      <c r="C3371" t="s">
        <v>10602</v>
      </c>
      <c r="D3371" t="s">
        <v>10603</v>
      </c>
      <c r="E3371" t="s">
        <v>10604</v>
      </c>
      <c r="F3371" t="s">
        <v>10605</v>
      </c>
      <c r="G3371" s="2" t="str">
        <f>HYPERLINK("https://probpalata.gov.ru/files/ИП420800086300000.jpeg","Скачать индивидуальный QR-код магазина")</f>
        <v>Скачать индивидуальный QR-код магазина</v>
      </c>
    </row>
    <row r="3372" spans="1:7" x14ac:dyDescent="0.25">
      <c r="A3372" t="s">
        <v>9971</v>
      </c>
      <c r="B3372" t="s">
        <v>10606</v>
      </c>
      <c r="C3372" t="s">
        <v>10607</v>
      </c>
      <c r="D3372" t="s">
        <v>10608</v>
      </c>
      <c r="E3372" t="s">
        <v>10609</v>
      </c>
      <c r="F3372" t="s">
        <v>10610</v>
      </c>
      <c r="G3372" s="2" t="str">
        <f>HYPERLINK("https://probpalata.gov.ru/files/ИП420801676000000.jpeg","Скачать индивидуальный QR-код магазина")</f>
        <v>Скачать индивидуальный QR-код магазина</v>
      </c>
    </row>
    <row r="3373" spans="1:7" x14ac:dyDescent="0.25">
      <c r="A3373" t="s">
        <v>9971</v>
      </c>
      <c r="B3373" t="s">
        <v>10611</v>
      </c>
      <c r="C3373" t="s">
        <v>10612</v>
      </c>
      <c r="D3373" t="s">
        <v>10613</v>
      </c>
      <c r="E3373" t="s">
        <v>10614</v>
      </c>
      <c r="F3373" t="s">
        <v>10615</v>
      </c>
      <c r="G3373" s="2" t="str">
        <f>HYPERLINK("https://probpalata.gov.ru/files/ИП420801597000000.jpeg","Скачать индивидуальный QR-код магазина")</f>
        <v>Скачать индивидуальный QR-код магазина</v>
      </c>
    </row>
    <row r="3374" spans="1:7" x14ac:dyDescent="0.25">
      <c r="A3374" t="s">
        <v>9971</v>
      </c>
      <c r="B3374" t="s">
        <v>10616</v>
      </c>
      <c r="C3374" t="s">
        <v>10617</v>
      </c>
      <c r="D3374" t="s">
        <v>10618</v>
      </c>
      <c r="E3374" t="s">
        <v>10619</v>
      </c>
      <c r="F3374" t="s">
        <v>10620</v>
      </c>
      <c r="G3374" s="2" t="str">
        <f>HYPERLINK("https://probpalata.gov.ru/files/ИП420801452900000.jpeg","Скачать индивидуальный QR-код магазина")</f>
        <v>Скачать индивидуальный QR-код магазина</v>
      </c>
    </row>
    <row r="3375" spans="1:7" x14ac:dyDescent="0.25">
      <c r="A3375" t="s">
        <v>9971</v>
      </c>
      <c r="B3375" t="s">
        <v>10621</v>
      </c>
      <c r="C3375" t="s">
        <v>10617</v>
      </c>
      <c r="D3375" t="s">
        <v>10618</v>
      </c>
      <c r="E3375" t="s">
        <v>10619</v>
      </c>
      <c r="F3375" t="s">
        <v>10622</v>
      </c>
      <c r="G3375" s="2" t="str">
        <f>HYPERLINK("https://probpalata.gov.ru/files/ИП420801452900004.jpeg","Скачать индивидуальный QR-код магазина")</f>
        <v>Скачать индивидуальный QR-код магазина</v>
      </c>
    </row>
    <row r="3376" spans="1:7" x14ac:dyDescent="0.25">
      <c r="A3376" t="s">
        <v>9971</v>
      </c>
      <c r="B3376" t="s">
        <v>10402</v>
      </c>
      <c r="C3376" t="s">
        <v>10623</v>
      </c>
      <c r="D3376" t="s">
        <v>10624</v>
      </c>
      <c r="E3376" t="s">
        <v>10625</v>
      </c>
      <c r="F3376" t="s">
        <v>10626</v>
      </c>
      <c r="G3376" s="2" t="str">
        <f>HYPERLINK("https://probpalata.gov.ru/files/ИП420801436100000.jpeg","Скачать индивидуальный QR-код магазина")</f>
        <v>Скачать индивидуальный QR-код магазина</v>
      </c>
    </row>
    <row r="3377" spans="1:7" x14ac:dyDescent="0.25">
      <c r="A3377" t="s">
        <v>9971</v>
      </c>
      <c r="B3377" t="s">
        <v>10627</v>
      </c>
      <c r="C3377" t="s">
        <v>10628</v>
      </c>
      <c r="D3377" t="s">
        <v>10629</v>
      </c>
      <c r="E3377" t="s">
        <v>10630</v>
      </c>
      <c r="F3377" t="s">
        <v>10631</v>
      </c>
      <c r="G3377" s="2" t="str">
        <f>HYPERLINK("https://probpalata.gov.ru/files/ИП420801495700000.jpeg","Скачать индивидуальный QR-код магазина")</f>
        <v>Скачать индивидуальный QR-код магазина</v>
      </c>
    </row>
    <row r="3378" spans="1:7" x14ac:dyDescent="0.25">
      <c r="A3378" t="s">
        <v>9971</v>
      </c>
      <c r="B3378" t="s">
        <v>10632</v>
      </c>
      <c r="C3378" t="s">
        <v>10633</v>
      </c>
      <c r="D3378" t="s">
        <v>10634</v>
      </c>
      <c r="E3378" t="s">
        <v>10635</v>
      </c>
      <c r="F3378" t="s">
        <v>10636</v>
      </c>
      <c r="G3378" s="2" t="str">
        <f>HYPERLINK("https://probpalata.gov.ru/files/ИП420804089800000.jpeg","Скачать индивидуальный QR-код магазина")</f>
        <v>Скачать индивидуальный QR-код магазина</v>
      </c>
    </row>
    <row r="3379" spans="1:7" x14ac:dyDescent="0.25">
      <c r="A3379" t="s">
        <v>9971</v>
      </c>
      <c r="B3379" t="s">
        <v>10637</v>
      </c>
      <c r="C3379" t="s">
        <v>10638</v>
      </c>
      <c r="D3379" t="s">
        <v>10639</v>
      </c>
      <c r="E3379" t="s">
        <v>10640</v>
      </c>
      <c r="F3379" t="s">
        <v>10641</v>
      </c>
      <c r="G3379" s="2" t="str">
        <f>HYPERLINK("https://probpalata.gov.ru/files/ИП420800044700000.jpeg","Скачать индивидуальный QR-код магазина")</f>
        <v>Скачать индивидуальный QR-код магазина</v>
      </c>
    </row>
    <row r="3380" spans="1:7" x14ac:dyDescent="0.25">
      <c r="A3380" t="s">
        <v>9971</v>
      </c>
      <c r="B3380" t="s">
        <v>10642</v>
      </c>
      <c r="C3380" t="s">
        <v>10643</v>
      </c>
      <c r="D3380" t="s">
        <v>10644</v>
      </c>
      <c r="E3380" t="s">
        <v>10645</v>
      </c>
      <c r="F3380" t="s">
        <v>10646</v>
      </c>
      <c r="G3380" s="2" t="str">
        <f>HYPERLINK("https://probpalata.gov.ru/files/ЮЛ420801544000000.jpeg","Скачать индивидуальный QR-код магазина")</f>
        <v>Скачать индивидуальный QR-код магазина</v>
      </c>
    </row>
    <row r="3381" spans="1:7" x14ac:dyDescent="0.25">
      <c r="A3381" t="s">
        <v>9971</v>
      </c>
      <c r="B3381" t="s">
        <v>10647</v>
      </c>
      <c r="C3381" t="s">
        <v>10648</v>
      </c>
      <c r="D3381" t="s">
        <v>10649</v>
      </c>
      <c r="E3381" t="s">
        <v>10650</v>
      </c>
      <c r="F3381" t="s">
        <v>10651</v>
      </c>
      <c r="G3381" s="2" t="str">
        <f>HYPERLINK("https://probpalata.gov.ru/files/ЮЛ420801543900000.jpeg","Скачать индивидуальный QR-код магазина")</f>
        <v>Скачать индивидуальный QR-код магазина</v>
      </c>
    </row>
    <row r="3382" spans="1:7" x14ac:dyDescent="0.25">
      <c r="A3382" t="s">
        <v>9971</v>
      </c>
      <c r="B3382" t="s">
        <v>10652</v>
      </c>
      <c r="C3382" t="s">
        <v>10653</v>
      </c>
      <c r="D3382" t="s">
        <v>10654</v>
      </c>
      <c r="E3382" t="s">
        <v>10655</v>
      </c>
      <c r="F3382" t="s">
        <v>10656</v>
      </c>
      <c r="G3382" s="2" t="str">
        <f>HYPERLINK("https://probpalata.gov.ru/files/ИП420803325100000.jpeg","Скачать индивидуальный QR-код магазина")</f>
        <v>Скачать индивидуальный QR-код магазина</v>
      </c>
    </row>
    <row r="3383" spans="1:7" x14ac:dyDescent="0.25">
      <c r="A3383" t="s">
        <v>9971</v>
      </c>
      <c r="B3383" t="s">
        <v>10657</v>
      </c>
      <c r="C3383" t="s">
        <v>10658</v>
      </c>
      <c r="D3383" t="s">
        <v>10659</v>
      </c>
      <c r="E3383" t="s">
        <v>10660</v>
      </c>
      <c r="F3383" t="s">
        <v>10661</v>
      </c>
      <c r="G3383" s="2" t="str">
        <f>HYPERLINK("https://probpalata.gov.ru/files/ИП420803813700000.jpeg","Скачать индивидуальный QR-код магазина")</f>
        <v>Скачать индивидуальный QR-код магазина</v>
      </c>
    </row>
    <row r="3384" spans="1:7" x14ac:dyDescent="0.25">
      <c r="A3384" t="s">
        <v>9971</v>
      </c>
      <c r="B3384" t="s">
        <v>10642</v>
      </c>
      <c r="C3384" t="s">
        <v>10662</v>
      </c>
      <c r="D3384" t="s">
        <v>10663</v>
      </c>
      <c r="E3384" t="s">
        <v>10664</v>
      </c>
      <c r="F3384" t="s">
        <v>10665</v>
      </c>
      <c r="G3384" s="2" t="str">
        <f>HYPERLINK("https://probpalata.gov.ru/files/ИП420801544100000.jpeg","Скачать индивидуальный QR-код магазина")</f>
        <v>Скачать индивидуальный QR-код магазина</v>
      </c>
    </row>
    <row r="3385" spans="1:7" x14ac:dyDescent="0.25">
      <c r="A3385" t="s">
        <v>9971</v>
      </c>
      <c r="B3385" t="s">
        <v>10666</v>
      </c>
      <c r="C3385" t="s">
        <v>10667</v>
      </c>
      <c r="D3385" t="s">
        <v>10668</v>
      </c>
      <c r="E3385" t="s">
        <v>10669</v>
      </c>
      <c r="F3385" t="s">
        <v>10670</v>
      </c>
      <c r="G3385" s="2" t="str">
        <f>HYPERLINK("https://probpalata.gov.ru/files/ИП420803293500000.jpeg","Скачать индивидуальный QR-код магазина")</f>
        <v>Скачать индивидуальный QR-код магазина</v>
      </c>
    </row>
    <row r="3386" spans="1:7" x14ac:dyDescent="0.25">
      <c r="A3386" t="s">
        <v>9971</v>
      </c>
      <c r="B3386" t="s">
        <v>10671</v>
      </c>
      <c r="C3386" t="s">
        <v>10672</v>
      </c>
      <c r="D3386" t="s">
        <v>10673</v>
      </c>
      <c r="E3386" t="s">
        <v>10674</v>
      </c>
      <c r="F3386" t="s">
        <v>10675</v>
      </c>
      <c r="G3386" s="2" t="str">
        <f>HYPERLINK("https://probpalata.gov.ru/files/ИП540803326300000.jpeg","Скачать индивидуальный QR-код магазина")</f>
        <v>Скачать индивидуальный QR-код магазина</v>
      </c>
    </row>
    <row r="3387" spans="1:7" x14ac:dyDescent="0.25">
      <c r="A3387" t="s">
        <v>9971</v>
      </c>
      <c r="B3387" t="s">
        <v>10676</v>
      </c>
      <c r="C3387" t="s">
        <v>10677</v>
      </c>
      <c r="D3387" t="s">
        <v>10678</v>
      </c>
      <c r="E3387" t="s">
        <v>10679</v>
      </c>
      <c r="F3387" t="s">
        <v>10680</v>
      </c>
      <c r="G3387" s="2" t="str">
        <f>HYPERLINK("https://probpalata.gov.ru/files/ЮЛ420803433000001.jpeg","Скачать индивидуальный QR-код магазина")</f>
        <v>Скачать индивидуальный QR-код магазина</v>
      </c>
    </row>
    <row r="3388" spans="1:7" x14ac:dyDescent="0.25">
      <c r="A3388" t="s">
        <v>9971</v>
      </c>
      <c r="B3388" t="s">
        <v>10681</v>
      </c>
      <c r="C3388" t="s">
        <v>10682</v>
      </c>
      <c r="D3388" t="s">
        <v>10683</v>
      </c>
      <c r="E3388" t="s">
        <v>10684</v>
      </c>
      <c r="F3388" t="s">
        <v>10685</v>
      </c>
      <c r="G3388" s="2" t="str">
        <f>HYPERLINK("https://probpalata.gov.ru/files/ЮЛ420800778900000.jpeg","Скачать индивидуальный QR-код магазина")</f>
        <v>Скачать индивидуальный QR-код магазина</v>
      </c>
    </row>
    <row r="3389" spans="1:7" x14ac:dyDescent="0.25">
      <c r="A3389" t="s">
        <v>9971</v>
      </c>
      <c r="B3389" t="s">
        <v>10686</v>
      </c>
      <c r="C3389" t="s">
        <v>10687</v>
      </c>
      <c r="D3389" t="s">
        <v>10688</v>
      </c>
      <c r="E3389" t="s">
        <v>10689</v>
      </c>
      <c r="F3389" t="s">
        <v>10690</v>
      </c>
      <c r="G3389" s="2" t="str">
        <f>HYPERLINK("https://probpalata.gov.ru/files/ИП420801575400000.jpeg","Скачать индивидуальный QR-код магазина")</f>
        <v>Скачать индивидуальный QR-код магазина</v>
      </c>
    </row>
    <row r="3390" spans="1:7" x14ac:dyDescent="0.25">
      <c r="A3390" t="s">
        <v>9971</v>
      </c>
      <c r="B3390" t="s">
        <v>10691</v>
      </c>
      <c r="C3390" t="s">
        <v>10692</v>
      </c>
      <c r="D3390" t="s">
        <v>10693</v>
      </c>
      <c r="E3390" t="s">
        <v>10694</v>
      </c>
      <c r="F3390" t="s">
        <v>10695</v>
      </c>
      <c r="G3390" s="2" t="str">
        <f>HYPERLINK("https://probpalata.gov.ru/files/ИП420801420500000.jpeg","Скачать индивидуальный QR-код магазина")</f>
        <v>Скачать индивидуальный QR-код магазина</v>
      </c>
    </row>
    <row r="3391" spans="1:7" x14ac:dyDescent="0.25">
      <c r="A3391" t="s">
        <v>9971</v>
      </c>
      <c r="B3391" t="s">
        <v>10696</v>
      </c>
      <c r="C3391" t="s">
        <v>10697</v>
      </c>
      <c r="D3391" t="s">
        <v>10698</v>
      </c>
      <c r="E3391" t="s">
        <v>10699</v>
      </c>
      <c r="F3391" t="s">
        <v>10700</v>
      </c>
      <c r="G3391" s="2" t="str">
        <f>HYPERLINK("https://probpalata.gov.ru/files/ИП420801337000000.jpeg","Скачать индивидуальный QR-код магазина")</f>
        <v>Скачать индивидуальный QR-код магазина</v>
      </c>
    </row>
    <row r="3392" spans="1:7" x14ac:dyDescent="0.25">
      <c r="A3392" t="s">
        <v>9971</v>
      </c>
      <c r="B3392" t="s">
        <v>10701</v>
      </c>
      <c r="C3392" t="s">
        <v>10697</v>
      </c>
      <c r="D3392" t="s">
        <v>10698</v>
      </c>
      <c r="E3392" t="s">
        <v>10699</v>
      </c>
      <c r="F3392" t="s">
        <v>10702</v>
      </c>
      <c r="G3392" s="2" t="str">
        <f>HYPERLINK("https://probpalata.gov.ru/files/ИП420801337000001.jpeg","Скачать индивидуальный QR-код магазина")</f>
        <v>Скачать индивидуальный QR-код магазина</v>
      </c>
    </row>
    <row r="3393" spans="1:7" x14ac:dyDescent="0.25">
      <c r="A3393" t="s">
        <v>9971</v>
      </c>
      <c r="B3393" t="s">
        <v>10703</v>
      </c>
      <c r="C3393" t="s">
        <v>10704</v>
      </c>
      <c r="D3393" t="s">
        <v>10705</v>
      </c>
      <c r="E3393" t="s">
        <v>10706</v>
      </c>
      <c r="F3393" t="s">
        <v>10707</v>
      </c>
      <c r="G3393" s="2" t="str">
        <f>HYPERLINK("https://probpalata.gov.ru/files/ИП420801297300000.jpeg","Скачать индивидуальный QR-код магазина")</f>
        <v>Скачать индивидуальный QR-код магазина</v>
      </c>
    </row>
    <row r="3394" spans="1:7" x14ac:dyDescent="0.25">
      <c r="A3394" t="s">
        <v>9971</v>
      </c>
      <c r="B3394" t="s">
        <v>10708</v>
      </c>
      <c r="C3394" t="s">
        <v>10704</v>
      </c>
      <c r="D3394" t="s">
        <v>10705</v>
      </c>
      <c r="E3394" t="s">
        <v>10706</v>
      </c>
      <c r="F3394" t="s">
        <v>10709</v>
      </c>
      <c r="G3394" s="2" t="str">
        <f>HYPERLINK("https://probpalata.gov.ru/files/ИП420801297300001.jpeg","Скачать индивидуальный QR-код магазина")</f>
        <v>Скачать индивидуальный QR-код магазина</v>
      </c>
    </row>
    <row r="3395" spans="1:7" x14ac:dyDescent="0.25">
      <c r="A3395" t="s">
        <v>9971</v>
      </c>
      <c r="B3395" t="s">
        <v>10710</v>
      </c>
      <c r="C3395" t="s">
        <v>10711</v>
      </c>
      <c r="D3395" t="s">
        <v>10712</v>
      </c>
      <c r="E3395" t="s">
        <v>10713</v>
      </c>
      <c r="F3395" t="s">
        <v>10714</v>
      </c>
      <c r="G3395" s="2" t="str">
        <f>HYPERLINK("https://probpalata.gov.ru/files/ЮЛ420801680900001.jpeg","Скачать индивидуальный QR-код магазина")</f>
        <v>Скачать индивидуальный QR-код магазина</v>
      </c>
    </row>
    <row r="3396" spans="1:7" x14ac:dyDescent="0.25">
      <c r="A3396" t="s">
        <v>9971</v>
      </c>
      <c r="B3396" t="s">
        <v>10329</v>
      </c>
      <c r="C3396" t="s">
        <v>10711</v>
      </c>
      <c r="D3396" t="s">
        <v>10712</v>
      </c>
      <c r="E3396" t="s">
        <v>10713</v>
      </c>
      <c r="F3396" t="s">
        <v>10715</v>
      </c>
      <c r="G3396" s="2" t="str">
        <f>HYPERLINK("https://probpalata.gov.ru/files/ЮЛ420801680900003.jpeg","Скачать индивидуальный QR-код магазина")</f>
        <v>Скачать индивидуальный QR-код магазина</v>
      </c>
    </row>
    <row r="3397" spans="1:7" x14ac:dyDescent="0.25">
      <c r="A3397" t="s">
        <v>9971</v>
      </c>
      <c r="B3397" t="s">
        <v>10333</v>
      </c>
      <c r="C3397" t="s">
        <v>10711</v>
      </c>
      <c r="D3397" t="s">
        <v>10712</v>
      </c>
      <c r="E3397" t="s">
        <v>10713</v>
      </c>
      <c r="F3397" t="s">
        <v>10716</v>
      </c>
      <c r="G3397" s="2" t="str">
        <f>HYPERLINK("https://probpalata.gov.ru/files/ЮЛ420801680900004.jpeg","Скачать индивидуальный QR-код магазина")</f>
        <v>Скачать индивидуальный QR-код магазина</v>
      </c>
    </row>
    <row r="3398" spans="1:7" x14ac:dyDescent="0.25">
      <c r="A3398" t="s">
        <v>9971</v>
      </c>
      <c r="B3398" t="s">
        <v>10717</v>
      </c>
      <c r="C3398" t="s">
        <v>10711</v>
      </c>
      <c r="D3398" t="s">
        <v>10712</v>
      </c>
      <c r="E3398" t="s">
        <v>10713</v>
      </c>
      <c r="F3398" t="s">
        <v>10718</v>
      </c>
      <c r="G3398" s="2" t="str">
        <f>HYPERLINK("https://probpalata.gov.ru/files/ЮЛ420801680900005.jpeg","Скачать индивидуальный QR-код магазина")</f>
        <v>Скачать индивидуальный QR-код магазина</v>
      </c>
    </row>
    <row r="3399" spans="1:7" x14ac:dyDescent="0.25">
      <c r="A3399" t="s">
        <v>9971</v>
      </c>
      <c r="B3399" t="s">
        <v>10719</v>
      </c>
      <c r="C3399" t="s">
        <v>10711</v>
      </c>
      <c r="D3399" t="s">
        <v>10712</v>
      </c>
      <c r="E3399" t="s">
        <v>10713</v>
      </c>
      <c r="F3399" t="s">
        <v>10720</v>
      </c>
      <c r="G3399" s="2" t="str">
        <f>HYPERLINK("https://probpalata.gov.ru/files/ЮЛ420801680900006.jpeg","Скачать индивидуальный QR-код магазина")</f>
        <v>Скачать индивидуальный QR-код магазина</v>
      </c>
    </row>
    <row r="3400" spans="1:7" x14ac:dyDescent="0.25">
      <c r="A3400" t="s">
        <v>9971</v>
      </c>
      <c r="B3400" t="s">
        <v>10721</v>
      </c>
      <c r="C3400" t="s">
        <v>10711</v>
      </c>
      <c r="D3400" t="s">
        <v>10712</v>
      </c>
      <c r="E3400" t="s">
        <v>10713</v>
      </c>
      <c r="F3400" t="s">
        <v>10722</v>
      </c>
      <c r="G3400" s="2" t="str">
        <f>HYPERLINK("https://probpalata.gov.ru/files/ЮЛ420801680900007.jpeg","Скачать индивидуальный QR-код магазина")</f>
        <v>Скачать индивидуальный QR-код магазина</v>
      </c>
    </row>
    <row r="3401" spans="1:7" x14ac:dyDescent="0.25">
      <c r="A3401" t="s">
        <v>9971</v>
      </c>
      <c r="B3401" t="s">
        <v>10723</v>
      </c>
      <c r="C3401" t="s">
        <v>2171</v>
      </c>
      <c r="D3401" t="s">
        <v>2172</v>
      </c>
      <c r="E3401" t="s">
        <v>2173</v>
      </c>
      <c r="F3401" t="s">
        <v>10724</v>
      </c>
      <c r="G3401" s="2" t="str">
        <f>HYPERLINK("https://probpalata.gov.ru/files/ЮЛ500100602500028.jpeg","Скачать индивидуальный QR-код магазина")</f>
        <v>Скачать индивидуальный QR-код магазина</v>
      </c>
    </row>
    <row r="3402" spans="1:7" x14ac:dyDescent="0.25">
      <c r="A3402" t="s">
        <v>9971</v>
      </c>
      <c r="B3402" t="s">
        <v>10725</v>
      </c>
      <c r="C3402" t="s">
        <v>2171</v>
      </c>
      <c r="D3402" t="s">
        <v>2172</v>
      </c>
      <c r="E3402" t="s">
        <v>2173</v>
      </c>
      <c r="F3402" t="s">
        <v>10726</v>
      </c>
      <c r="G3402" s="2" t="str">
        <f>HYPERLINK("https://probpalata.gov.ru/files/ЮЛ500100602500049.jpeg","Скачать индивидуальный QR-код магазина")</f>
        <v>Скачать индивидуальный QR-код магазина</v>
      </c>
    </row>
    <row r="3403" spans="1:7" x14ac:dyDescent="0.25">
      <c r="A3403" t="s">
        <v>9971</v>
      </c>
      <c r="B3403" t="s">
        <v>10727</v>
      </c>
      <c r="C3403" t="s">
        <v>671</v>
      </c>
      <c r="D3403" t="s">
        <v>672</v>
      </c>
      <c r="E3403" t="s">
        <v>673</v>
      </c>
      <c r="F3403" t="s">
        <v>10728</v>
      </c>
      <c r="G3403" s="2" t="str">
        <f>HYPERLINK("https://probpalata.gov.ru/files/ИП500100445500035.jpeg","Скачать индивидуальный QR-код магазина")</f>
        <v>Скачать индивидуальный QR-код магазина</v>
      </c>
    </row>
    <row r="3404" spans="1:7" x14ac:dyDescent="0.25">
      <c r="A3404" t="s">
        <v>9971</v>
      </c>
      <c r="B3404" t="s">
        <v>10729</v>
      </c>
      <c r="C3404" t="s">
        <v>671</v>
      </c>
      <c r="D3404" t="s">
        <v>672</v>
      </c>
      <c r="E3404" t="s">
        <v>673</v>
      </c>
      <c r="F3404" t="s">
        <v>10730</v>
      </c>
      <c r="G3404" s="2" t="str">
        <f>HYPERLINK("https://probpalata.gov.ru/files/ИП500100445500061.jpeg","Скачать индивидуальный QR-код магазина")</f>
        <v>Скачать индивидуальный QR-код магазина</v>
      </c>
    </row>
    <row r="3405" spans="1:7" x14ac:dyDescent="0.25">
      <c r="A3405" t="s">
        <v>9971</v>
      </c>
      <c r="B3405" t="s">
        <v>10731</v>
      </c>
      <c r="C3405" t="s">
        <v>10732</v>
      </c>
      <c r="D3405" t="s">
        <v>10733</v>
      </c>
      <c r="E3405" t="s">
        <v>10734</v>
      </c>
      <c r="F3405" t="s">
        <v>10735</v>
      </c>
      <c r="G3405" s="2" t="str">
        <f>HYPERLINK("https://probpalata.gov.ru/files/ИП440200426400021.jpeg","Скачать индивидуальный QR-код магазина")</f>
        <v>Скачать индивидуальный QR-код магазина</v>
      </c>
    </row>
    <row r="3406" spans="1:7" x14ac:dyDescent="0.25">
      <c r="A3406" t="s">
        <v>9971</v>
      </c>
      <c r="B3406" t="s">
        <v>10736</v>
      </c>
      <c r="C3406" t="s">
        <v>681</v>
      </c>
      <c r="D3406" t="s">
        <v>682</v>
      </c>
      <c r="E3406" t="s">
        <v>683</v>
      </c>
      <c r="F3406" t="s">
        <v>10737</v>
      </c>
      <c r="G3406" s="2" t="str">
        <f>HYPERLINK("https://probpalata.gov.ru/files/ИП520600807800028.jpeg","Скачать индивидуальный QR-код магазина")</f>
        <v>Скачать индивидуальный QR-код магазина</v>
      </c>
    </row>
    <row r="3407" spans="1:7" x14ac:dyDescent="0.25">
      <c r="A3407" t="s">
        <v>9971</v>
      </c>
      <c r="B3407" t="s">
        <v>10738</v>
      </c>
      <c r="C3407" t="s">
        <v>1735</v>
      </c>
      <c r="D3407" t="s">
        <v>1736</v>
      </c>
      <c r="E3407" t="s">
        <v>1737</v>
      </c>
      <c r="F3407" t="s">
        <v>10739</v>
      </c>
      <c r="G3407" s="2" t="str">
        <f>HYPERLINK("https://probpalata.gov.ru/files/ЮЛ520603376600042.jpeg","Скачать индивидуальный QR-код магазина")</f>
        <v>Скачать индивидуальный QR-код магазина</v>
      </c>
    </row>
    <row r="3408" spans="1:7" x14ac:dyDescent="0.25">
      <c r="A3408" t="s">
        <v>9971</v>
      </c>
      <c r="B3408" t="s">
        <v>10740</v>
      </c>
      <c r="C3408" t="s">
        <v>3116</v>
      </c>
      <c r="D3408" t="s">
        <v>3117</v>
      </c>
      <c r="E3408" t="s">
        <v>3118</v>
      </c>
      <c r="F3408" t="s">
        <v>10741</v>
      </c>
      <c r="G3408" s="2" t="str">
        <f>HYPERLINK("https://probpalata.gov.ru/files/ИП520601790200054.jpeg","Скачать индивидуальный QR-код магазина")</f>
        <v>Скачать индивидуальный QR-код магазина</v>
      </c>
    </row>
    <row r="3409" spans="1:7" x14ac:dyDescent="0.25">
      <c r="A3409" t="s">
        <v>9971</v>
      </c>
      <c r="B3409" t="s">
        <v>10742</v>
      </c>
      <c r="C3409" t="s">
        <v>6026</v>
      </c>
      <c r="D3409" t="s">
        <v>6027</v>
      </c>
      <c r="E3409" t="s">
        <v>6028</v>
      </c>
      <c r="F3409" t="s">
        <v>10743</v>
      </c>
      <c r="G3409" s="2" t="str">
        <f>HYPERLINK("https://probpalata.gov.ru/files/ЮЛ540800214800007.jpeg","Скачать индивидуальный QR-код магазина")</f>
        <v>Скачать индивидуальный QR-код магазина</v>
      </c>
    </row>
    <row r="3410" spans="1:7" x14ac:dyDescent="0.25">
      <c r="A3410" t="s">
        <v>9971</v>
      </c>
      <c r="B3410" t="s">
        <v>10744</v>
      </c>
      <c r="C3410" t="s">
        <v>10745</v>
      </c>
      <c r="D3410" t="s">
        <v>10746</v>
      </c>
      <c r="E3410" t="s">
        <v>10747</v>
      </c>
      <c r="F3410" t="s">
        <v>10748</v>
      </c>
      <c r="G3410" s="2" t="str">
        <f>HYPERLINK("https://probpalata.gov.ru/files/ИП540801107000021.jpeg","Скачать индивидуальный QR-код магазина")</f>
        <v>Скачать индивидуальный QR-код магазина</v>
      </c>
    </row>
    <row r="3411" spans="1:7" x14ac:dyDescent="0.25">
      <c r="A3411" t="s">
        <v>9971</v>
      </c>
      <c r="B3411" t="s">
        <v>10749</v>
      </c>
      <c r="C3411" t="s">
        <v>10745</v>
      </c>
      <c r="D3411" t="s">
        <v>10746</v>
      </c>
      <c r="E3411" t="s">
        <v>10747</v>
      </c>
      <c r="F3411" t="s">
        <v>10750</v>
      </c>
      <c r="G3411" s="2" t="str">
        <f>HYPERLINK("https://probpalata.gov.ru/files/ИП540801107000023.jpeg","Скачать индивидуальный QR-код магазина")</f>
        <v>Скачать индивидуальный QR-код магазина</v>
      </c>
    </row>
    <row r="3412" spans="1:7" x14ac:dyDescent="0.25">
      <c r="A3412" t="s">
        <v>9971</v>
      </c>
      <c r="B3412" t="s">
        <v>10751</v>
      </c>
      <c r="C3412" t="s">
        <v>10745</v>
      </c>
      <c r="D3412" t="s">
        <v>10746</v>
      </c>
      <c r="E3412" t="s">
        <v>10747</v>
      </c>
      <c r="F3412" t="s">
        <v>10752</v>
      </c>
      <c r="G3412" s="2" t="str">
        <f>HYPERLINK("https://probpalata.gov.ru/files/ИП540801107000026.jpeg","Скачать индивидуальный QR-код магазина")</f>
        <v>Скачать индивидуальный QR-код магазина</v>
      </c>
    </row>
    <row r="3413" spans="1:7" x14ac:dyDescent="0.25">
      <c r="A3413" t="s">
        <v>9971</v>
      </c>
      <c r="B3413" t="s">
        <v>10753</v>
      </c>
      <c r="C3413" t="s">
        <v>10754</v>
      </c>
      <c r="D3413" t="s">
        <v>10755</v>
      </c>
      <c r="E3413" t="s">
        <v>10756</v>
      </c>
      <c r="F3413" t="s">
        <v>10757</v>
      </c>
      <c r="G3413" s="2" t="str">
        <f>HYPERLINK("https://probpalata.gov.ru/files/ИП540800530800007.jpeg","Скачать индивидуальный QR-код магазина")</f>
        <v>Скачать индивидуальный QR-код магазина</v>
      </c>
    </row>
    <row r="3414" spans="1:7" x14ac:dyDescent="0.25">
      <c r="A3414" t="s">
        <v>9971</v>
      </c>
      <c r="B3414" t="s">
        <v>10758</v>
      </c>
      <c r="C3414" t="s">
        <v>10759</v>
      </c>
      <c r="D3414" t="s">
        <v>10760</v>
      </c>
      <c r="E3414" t="s">
        <v>10761</v>
      </c>
      <c r="F3414" t="s">
        <v>10762</v>
      </c>
      <c r="G3414" s="2" t="str">
        <f>HYPERLINK("https://probpalata.gov.ru/files/ИП540800118900003.jpeg","Скачать индивидуальный QR-код магазина")</f>
        <v>Скачать индивидуальный QR-код магазина</v>
      </c>
    </row>
    <row r="3415" spans="1:7" x14ac:dyDescent="0.25">
      <c r="A3415" t="s">
        <v>9971</v>
      </c>
      <c r="B3415" t="s">
        <v>10343</v>
      </c>
      <c r="C3415" t="s">
        <v>10759</v>
      </c>
      <c r="D3415" t="s">
        <v>10760</v>
      </c>
      <c r="E3415" t="s">
        <v>10761</v>
      </c>
      <c r="F3415" t="s">
        <v>10763</v>
      </c>
      <c r="G3415" s="2" t="str">
        <f>HYPERLINK("https://probpalata.gov.ru/files/ИП540800118900007.jpeg","Скачать индивидуальный QR-код магазина")</f>
        <v>Скачать индивидуальный QR-код магазина</v>
      </c>
    </row>
    <row r="3416" spans="1:7" x14ac:dyDescent="0.25">
      <c r="A3416" t="s">
        <v>9971</v>
      </c>
      <c r="B3416" t="s">
        <v>10764</v>
      </c>
      <c r="C3416" t="s">
        <v>10765</v>
      </c>
      <c r="D3416" t="s">
        <v>10766</v>
      </c>
      <c r="E3416" t="s">
        <v>10767</v>
      </c>
      <c r="F3416" t="s">
        <v>10768</v>
      </c>
      <c r="G3416" s="2" t="str">
        <f>HYPERLINK("https://probpalata.gov.ru/files/ИП700801802200000.jpeg","Скачать индивидуальный QR-код магазина")</f>
        <v>Скачать индивидуальный QR-код магазина</v>
      </c>
    </row>
    <row r="3417" spans="1:7" x14ac:dyDescent="0.25">
      <c r="A3417" t="s">
        <v>9971</v>
      </c>
      <c r="B3417" t="s">
        <v>10769</v>
      </c>
      <c r="C3417" t="s">
        <v>10765</v>
      </c>
      <c r="D3417" t="s">
        <v>10766</v>
      </c>
      <c r="E3417" t="s">
        <v>10767</v>
      </c>
      <c r="F3417" t="s">
        <v>10770</v>
      </c>
      <c r="G3417" s="2" t="str">
        <f>HYPERLINK("https://probpalata.gov.ru/files/ИП700801802200002.jpeg","Скачать индивидуальный QR-код магазина")</f>
        <v>Скачать индивидуальный QR-код магазина</v>
      </c>
    </row>
    <row r="3418" spans="1:7" x14ac:dyDescent="0.25">
      <c r="A3418" t="s">
        <v>9971</v>
      </c>
      <c r="B3418" t="s">
        <v>10771</v>
      </c>
      <c r="C3418" t="s">
        <v>10772</v>
      </c>
      <c r="D3418" t="s">
        <v>10773</v>
      </c>
      <c r="E3418" t="s">
        <v>10774</v>
      </c>
      <c r="F3418" t="s">
        <v>10775</v>
      </c>
      <c r="G3418" s="2" t="str">
        <f>HYPERLINK("https://probpalata.gov.ru/files/ИП420800571100000.jpeg","Скачать индивидуальный QR-код магазина")</f>
        <v>Скачать индивидуальный QR-код магазина</v>
      </c>
    </row>
    <row r="3419" spans="1:7" x14ac:dyDescent="0.25">
      <c r="A3419" t="s">
        <v>9971</v>
      </c>
      <c r="B3419" t="s">
        <v>10776</v>
      </c>
      <c r="C3419" t="s">
        <v>10772</v>
      </c>
      <c r="D3419" t="s">
        <v>10773</v>
      </c>
      <c r="E3419" t="s">
        <v>10774</v>
      </c>
      <c r="F3419" t="s">
        <v>10777</v>
      </c>
      <c r="G3419" s="2" t="str">
        <f>HYPERLINK("https://probpalata.gov.ru/files/ИП420800571100001.jpeg","Скачать индивидуальный QR-код магазина")</f>
        <v>Скачать индивидуальный QR-код магазина</v>
      </c>
    </row>
    <row r="3420" spans="1:7" x14ac:dyDescent="0.25">
      <c r="A3420" t="s">
        <v>9971</v>
      </c>
      <c r="B3420" t="s">
        <v>10778</v>
      </c>
      <c r="C3420" t="s">
        <v>10772</v>
      </c>
      <c r="D3420" t="s">
        <v>10773</v>
      </c>
      <c r="E3420" t="s">
        <v>10774</v>
      </c>
      <c r="F3420" t="s">
        <v>10779</v>
      </c>
      <c r="G3420" s="2" t="str">
        <f>HYPERLINK("https://probpalata.gov.ru/files/ИП420800571100002.jpeg","Скачать индивидуальный QR-код магазина")</f>
        <v>Скачать индивидуальный QR-код магазина</v>
      </c>
    </row>
    <row r="3421" spans="1:7" x14ac:dyDescent="0.25">
      <c r="A3421" t="s">
        <v>9971</v>
      </c>
      <c r="B3421" t="s">
        <v>10780</v>
      </c>
      <c r="C3421" t="s">
        <v>10772</v>
      </c>
      <c r="D3421" t="s">
        <v>10773</v>
      </c>
      <c r="E3421" t="s">
        <v>10774</v>
      </c>
      <c r="F3421" t="s">
        <v>10781</v>
      </c>
      <c r="G3421" s="2" t="str">
        <f>HYPERLINK("https://probpalata.gov.ru/files/ИП420800571100006.jpeg","Скачать индивидуальный QR-код магазина")</f>
        <v>Скачать индивидуальный QR-код магазина</v>
      </c>
    </row>
    <row r="3422" spans="1:7" x14ac:dyDescent="0.25">
      <c r="A3422" t="s">
        <v>9971</v>
      </c>
      <c r="B3422" t="s">
        <v>10782</v>
      </c>
      <c r="C3422" t="s">
        <v>10772</v>
      </c>
      <c r="D3422" t="s">
        <v>10773</v>
      </c>
      <c r="E3422" t="s">
        <v>10774</v>
      </c>
      <c r="F3422" t="s">
        <v>10783</v>
      </c>
      <c r="G3422" s="2" t="str">
        <f>HYPERLINK("https://probpalata.gov.ru/files/ИП420800571100007.jpeg","Скачать индивидуальный QR-код магазина")</f>
        <v>Скачать индивидуальный QR-код магазина</v>
      </c>
    </row>
    <row r="3423" spans="1:7" x14ac:dyDescent="0.25">
      <c r="A3423" t="s">
        <v>9971</v>
      </c>
      <c r="B3423" t="s">
        <v>10784</v>
      </c>
      <c r="C3423" t="s">
        <v>10772</v>
      </c>
      <c r="D3423" t="s">
        <v>10773</v>
      </c>
      <c r="E3423" t="s">
        <v>10774</v>
      </c>
      <c r="F3423" t="s">
        <v>10785</v>
      </c>
      <c r="G3423" s="2" t="str">
        <f>HYPERLINK("https://probpalata.gov.ru/files/ИП420800571100008.jpeg","Скачать индивидуальный QR-код магазина")</f>
        <v>Скачать индивидуальный QR-код магазина</v>
      </c>
    </row>
    <row r="3424" spans="1:7" x14ac:dyDescent="0.25">
      <c r="A3424" t="s">
        <v>9971</v>
      </c>
      <c r="B3424" t="s">
        <v>10786</v>
      </c>
      <c r="C3424" t="s">
        <v>1740</v>
      </c>
      <c r="D3424" t="s">
        <v>1741</v>
      </c>
      <c r="E3424" t="s">
        <v>1742</v>
      </c>
      <c r="F3424" t="s">
        <v>10787</v>
      </c>
      <c r="G3424" s="2" t="str">
        <f>HYPERLINK("https://probpalata.gov.ru/files/ЮЛ760201190700042.jpeg","Скачать индивидуальный QR-код магазина")</f>
        <v>Скачать индивидуальный QR-код магазина</v>
      </c>
    </row>
    <row r="3425" spans="1:7" x14ac:dyDescent="0.25">
      <c r="A3425" t="s">
        <v>9971</v>
      </c>
      <c r="B3425" t="s">
        <v>10788</v>
      </c>
      <c r="C3425" t="s">
        <v>1740</v>
      </c>
      <c r="D3425" t="s">
        <v>1741</v>
      </c>
      <c r="E3425" t="s">
        <v>1742</v>
      </c>
      <c r="F3425" t="s">
        <v>10789</v>
      </c>
      <c r="G3425" s="2" t="str">
        <f>HYPERLINK("https://probpalata.gov.ru/files/ЮЛ760201190700053.jpeg","Скачать индивидуальный QR-код магазина")</f>
        <v>Скачать индивидуальный QR-код магазина</v>
      </c>
    </row>
    <row r="3426" spans="1:7" x14ac:dyDescent="0.25">
      <c r="A3426" t="s">
        <v>9971</v>
      </c>
      <c r="B3426" t="s">
        <v>10790</v>
      </c>
      <c r="C3426" t="s">
        <v>1740</v>
      </c>
      <c r="D3426" t="s">
        <v>1741</v>
      </c>
      <c r="E3426" t="s">
        <v>1742</v>
      </c>
      <c r="F3426" t="s">
        <v>10791</v>
      </c>
      <c r="G3426" s="2" t="str">
        <f>HYPERLINK("https://probpalata.gov.ru/files/ЮЛ760201190700077.jpeg","Скачать индивидуальный QR-код магазина")</f>
        <v>Скачать индивидуальный QR-код магазина</v>
      </c>
    </row>
    <row r="3427" spans="1:7" x14ac:dyDescent="0.25">
      <c r="A3427" t="s">
        <v>9971</v>
      </c>
      <c r="B3427" t="s">
        <v>10792</v>
      </c>
      <c r="C3427" t="s">
        <v>713</v>
      </c>
      <c r="D3427" t="s">
        <v>714</v>
      </c>
      <c r="E3427" t="s">
        <v>715</v>
      </c>
      <c r="F3427" t="s">
        <v>10793</v>
      </c>
      <c r="G3427" s="2" t="str">
        <f>HYPERLINK("https://probpalata.gov.ru/files/ЮЛ770101216600083.jpeg","Скачать индивидуальный QR-код магазина")</f>
        <v>Скачать индивидуальный QR-код магазина</v>
      </c>
    </row>
    <row r="3428" spans="1:7" x14ac:dyDescent="0.25">
      <c r="A3428" t="s">
        <v>9971</v>
      </c>
      <c r="B3428" t="s">
        <v>10794</v>
      </c>
      <c r="C3428" t="s">
        <v>713</v>
      </c>
      <c r="D3428" t="s">
        <v>714</v>
      </c>
      <c r="E3428" t="s">
        <v>715</v>
      </c>
      <c r="F3428" t="s">
        <v>10795</v>
      </c>
      <c r="G3428" s="2" t="str">
        <f>HYPERLINK("https://probpalata.gov.ru/files/ЮЛ770101216600109.jpeg","Скачать индивидуальный QR-код магазина")</f>
        <v>Скачать индивидуальный QR-код магазина</v>
      </c>
    </row>
    <row r="3429" spans="1:7" x14ac:dyDescent="0.25">
      <c r="A3429" t="s">
        <v>9971</v>
      </c>
      <c r="B3429" t="s">
        <v>10796</v>
      </c>
      <c r="C3429" t="s">
        <v>713</v>
      </c>
      <c r="D3429" t="s">
        <v>714</v>
      </c>
      <c r="E3429" t="s">
        <v>715</v>
      </c>
      <c r="F3429" t="s">
        <v>10797</v>
      </c>
      <c r="G3429" s="2" t="str">
        <f>HYPERLINK("https://probpalata.gov.ru/files/ЮЛ770101216600225.jpeg","Скачать индивидуальный QR-код магазина")</f>
        <v>Скачать индивидуальный QR-код магазина</v>
      </c>
    </row>
    <row r="3430" spans="1:7" x14ac:dyDescent="0.25">
      <c r="A3430" t="s">
        <v>9971</v>
      </c>
      <c r="B3430" t="s">
        <v>10798</v>
      </c>
      <c r="C3430" t="s">
        <v>713</v>
      </c>
      <c r="D3430" t="s">
        <v>714</v>
      </c>
      <c r="E3430" t="s">
        <v>715</v>
      </c>
      <c r="F3430" t="s">
        <v>10799</v>
      </c>
      <c r="G3430" s="2" t="str">
        <f>HYPERLINK("https://probpalata.gov.ru/files/ЮЛ770101216600226.jpeg","Скачать индивидуальный QR-код магазина")</f>
        <v>Скачать индивидуальный QR-код магазина</v>
      </c>
    </row>
    <row r="3431" spans="1:7" x14ac:dyDescent="0.25">
      <c r="A3431" t="s">
        <v>9971</v>
      </c>
      <c r="B3431" t="s">
        <v>10800</v>
      </c>
      <c r="C3431" t="s">
        <v>713</v>
      </c>
      <c r="D3431" t="s">
        <v>714</v>
      </c>
      <c r="E3431" t="s">
        <v>715</v>
      </c>
      <c r="F3431" t="s">
        <v>10801</v>
      </c>
      <c r="G3431" s="2" t="str">
        <f>HYPERLINK("https://probpalata.gov.ru/files/ЮЛ770101216600228.jpeg","Скачать индивидуальный QR-код магазина")</f>
        <v>Скачать индивидуальный QR-код магазина</v>
      </c>
    </row>
    <row r="3432" spans="1:7" x14ac:dyDescent="0.25">
      <c r="A3432" t="s">
        <v>9971</v>
      </c>
      <c r="B3432" t="s">
        <v>10802</v>
      </c>
      <c r="C3432" t="s">
        <v>713</v>
      </c>
      <c r="D3432" t="s">
        <v>714</v>
      </c>
      <c r="E3432" t="s">
        <v>715</v>
      </c>
      <c r="F3432" t="s">
        <v>10803</v>
      </c>
      <c r="G3432" s="2" t="str">
        <f>HYPERLINK("https://probpalata.gov.ru/files/ЮЛ770101216600244.jpeg","Скачать индивидуальный QR-код магазина")</f>
        <v>Скачать индивидуальный QR-код магазина</v>
      </c>
    </row>
    <row r="3433" spans="1:7" x14ac:dyDescent="0.25">
      <c r="A3433" t="s">
        <v>9971</v>
      </c>
      <c r="B3433" t="s">
        <v>10804</v>
      </c>
      <c r="C3433" t="s">
        <v>713</v>
      </c>
      <c r="D3433" t="s">
        <v>714</v>
      </c>
      <c r="E3433" t="s">
        <v>715</v>
      </c>
      <c r="F3433" t="s">
        <v>10805</v>
      </c>
      <c r="G3433" s="2" t="str">
        <f>HYPERLINK("https://probpalata.gov.ru/files/ЮЛ770101216600372.jpeg","Скачать индивидуальный QR-код магазина")</f>
        <v>Скачать индивидуальный QR-код магазина</v>
      </c>
    </row>
    <row r="3434" spans="1:7" x14ac:dyDescent="0.25">
      <c r="A3434" t="s">
        <v>9971</v>
      </c>
      <c r="B3434" t="s">
        <v>10806</v>
      </c>
      <c r="C3434" t="s">
        <v>713</v>
      </c>
      <c r="D3434" t="s">
        <v>714</v>
      </c>
      <c r="E3434" t="s">
        <v>715</v>
      </c>
      <c r="F3434" t="s">
        <v>10807</v>
      </c>
      <c r="G3434" s="2" t="str">
        <f>HYPERLINK("https://probpalata.gov.ru/files/ЮЛ770101216600427.jpeg","Скачать индивидуальный QR-код магазина")</f>
        <v>Скачать индивидуальный QR-код магазина</v>
      </c>
    </row>
    <row r="3435" spans="1:7" x14ac:dyDescent="0.25">
      <c r="A3435" t="s">
        <v>9971</v>
      </c>
      <c r="B3435" t="s">
        <v>10808</v>
      </c>
      <c r="C3435" t="s">
        <v>713</v>
      </c>
      <c r="D3435" t="s">
        <v>714</v>
      </c>
      <c r="E3435" t="s">
        <v>715</v>
      </c>
      <c r="F3435" t="s">
        <v>10809</v>
      </c>
      <c r="G3435" s="2" t="str">
        <f>HYPERLINK("https://probpalata.gov.ru/files/ЮЛ770101216600483.jpeg","Скачать индивидуальный QR-код магазина")</f>
        <v>Скачать индивидуальный QR-код магазина</v>
      </c>
    </row>
    <row r="3436" spans="1:7" x14ac:dyDescent="0.25">
      <c r="A3436" t="s">
        <v>9971</v>
      </c>
      <c r="B3436" t="s">
        <v>10810</v>
      </c>
      <c r="C3436" t="s">
        <v>713</v>
      </c>
      <c r="D3436" t="s">
        <v>714</v>
      </c>
      <c r="E3436" t="s">
        <v>715</v>
      </c>
      <c r="F3436" t="s">
        <v>10811</v>
      </c>
      <c r="G3436" s="2" t="str">
        <f>HYPERLINK("https://probpalata.gov.ru/files/ЮЛ770101216600492.jpeg","Скачать индивидуальный QR-код магазина")</f>
        <v>Скачать индивидуальный QR-код магазина</v>
      </c>
    </row>
    <row r="3437" spans="1:7" x14ac:dyDescent="0.25">
      <c r="A3437" t="s">
        <v>9971</v>
      </c>
      <c r="B3437" t="s">
        <v>10812</v>
      </c>
      <c r="C3437" t="s">
        <v>713</v>
      </c>
      <c r="D3437" t="s">
        <v>714</v>
      </c>
      <c r="E3437" t="s">
        <v>715</v>
      </c>
      <c r="F3437" t="s">
        <v>10813</v>
      </c>
      <c r="G3437" s="2" t="str">
        <f>HYPERLINK("https://probpalata.gov.ru/files/ЮЛ770101216600514.jpeg","Скачать индивидуальный QR-код магазина")</f>
        <v>Скачать индивидуальный QR-код магазина</v>
      </c>
    </row>
    <row r="3438" spans="1:7" x14ac:dyDescent="0.25">
      <c r="A3438" t="s">
        <v>9971</v>
      </c>
      <c r="B3438" t="s">
        <v>10814</v>
      </c>
      <c r="C3438" t="s">
        <v>713</v>
      </c>
      <c r="D3438" t="s">
        <v>714</v>
      </c>
      <c r="E3438" t="s">
        <v>715</v>
      </c>
      <c r="F3438" t="s">
        <v>10815</v>
      </c>
      <c r="G3438" s="2" t="str">
        <f>HYPERLINK("https://probpalata.gov.ru/files/ЮЛ770101216600576.jpeg","Скачать индивидуальный QR-код магазина")</f>
        <v>Скачать индивидуальный QR-код магазина</v>
      </c>
    </row>
    <row r="3439" spans="1:7" x14ac:dyDescent="0.25">
      <c r="A3439" t="s">
        <v>9971</v>
      </c>
      <c r="B3439" t="s">
        <v>10816</v>
      </c>
      <c r="C3439" t="s">
        <v>713</v>
      </c>
      <c r="D3439" t="s">
        <v>714</v>
      </c>
      <c r="E3439" t="s">
        <v>715</v>
      </c>
      <c r="F3439" t="s">
        <v>10817</v>
      </c>
      <c r="G3439" s="2" t="str">
        <f>HYPERLINK("https://probpalata.gov.ru/files/ЮЛ770101216600581.jpeg","Скачать индивидуальный QR-код магазина")</f>
        <v>Скачать индивидуальный QR-код магазина</v>
      </c>
    </row>
    <row r="3440" spans="1:7" x14ac:dyDescent="0.25">
      <c r="A3440" t="s">
        <v>9971</v>
      </c>
      <c r="B3440" t="s">
        <v>10818</v>
      </c>
      <c r="C3440" t="s">
        <v>713</v>
      </c>
      <c r="D3440" t="s">
        <v>714</v>
      </c>
      <c r="E3440" t="s">
        <v>715</v>
      </c>
      <c r="F3440" t="s">
        <v>10819</v>
      </c>
      <c r="G3440" s="2" t="str">
        <f>HYPERLINK("https://probpalata.gov.ru/files/ЮЛ770101216600646.jpeg","Скачать индивидуальный QR-код магазина")</f>
        <v>Скачать индивидуальный QR-код магазина</v>
      </c>
    </row>
    <row r="3441" spans="1:7" x14ac:dyDescent="0.25">
      <c r="A3441" t="s">
        <v>9971</v>
      </c>
      <c r="B3441" t="s">
        <v>10820</v>
      </c>
      <c r="C3441" t="s">
        <v>713</v>
      </c>
      <c r="D3441" t="s">
        <v>714</v>
      </c>
      <c r="E3441" t="s">
        <v>715</v>
      </c>
      <c r="F3441" t="s">
        <v>10821</v>
      </c>
      <c r="G3441" s="2" t="str">
        <f>HYPERLINK("https://probpalata.gov.ru/files/ЮЛ770101216600655.jpeg","Скачать индивидуальный QR-код магазина")</f>
        <v>Скачать индивидуальный QR-код магазина</v>
      </c>
    </row>
    <row r="3442" spans="1:7" x14ac:dyDescent="0.25">
      <c r="A3442" t="s">
        <v>9971</v>
      </c>
      <c r="B3442" t="s">
        <v>10822</v>
      </c>
      <c r="C3442" t="s">
        <v>713</v>
      </c>
      <c r="D3442" t="s">
        <v>714</v>
      </c>
      <c r="E3442" t="s">
        <v>715</v>
      </c>
      <c r="F3442" t="s">
        <v>10823</v>
      </c>
      <c r="G3442" s="2" t="str">
        <f>HYPERLINK("https://probpalata.gov.ru/files/ЮЛ770101216600803.jpeg","Скачать индивидуальный QR-код магазина")</f>
        <v>Скачать индивидуальный QR-код магазина</v>
      </c>
    </row>
    <row r="3443" spans="1:7" x14ac:dyDescent="0.25">
      <c r="A3443" t="s">
        <v>9971</v>
      </c>
      <c r="B3443" t="s">
        <v>10824</v>
      </c>
      <c r="C3443" t="s">
        <v>713</v>
      </c>
      <c r="D3443" t="s">
        <v>714</v>
      </c>
      <c r="E3443" t="s">
        <v>715</v>
      </c>
      <c r="F3443" t="s">
        <v>10825</v>
      </c>
      <c r="G3443" s="2" t="str">
        <f>HYPERLINK("https://probpalata.gov.ru/files/ЮЛ770101216600839.jpeg","Скачать индивидуальный QR-код магазина")</f>
        <v>Скачать индивидуальный QR-код магазина</v>
      </c>
    </row>
    <row r="3444" spans="1:7" x14ac:dyDescent="0.25">
      <c r="A3444" t="s">
        <v>9971</v>
      </c>
      <c r="B3444" t="s">
        <v>10826</v>
      </c>
      <c r="C3444" t="s">
        <v>713</v>
      </c>
      <c r="D3444" t="s">
        <v>714</v>
      </c>
      <c r="E3444" t="s">
        <v>715</v>
      </c>
      <c r="F3444" t="s">
        <v>10827</v>
      </c>
      <c r="G3444" s="2" t="str">
        <f>HYPERLINK("https://probpalata.gov.ru/files/ЮЛ770101216600849.jpeg","Скачать индивидуальный QR-код магазина")</f>
        <v>Скачать индивидуальный QR-код магазина</v>
      </c>
    </row>
    <row r="3445" spans="1:7" x14ac:dyDescent="0.25">
      <c r="A3445" t="s">
        <v>9971</v>
      </c>
      <c r="B3445" t="s">
        <v>10828</v>
      </c>
      <c r="C3445" t="s">
        <v>713</v>
      </c>
      <c r="D3445" t="s">
        <v>714</v>
      </c>
      <c r="E3445" t="s">
        <v>715</v>
      </c>
      <c r="F3445" t="s">
        <v>10829</v>
      </c>
      <c r="G3445" s="2" t="str">
        <f>HYPERLINK("https://probpalata.gov.ru/files/ЮЛ770101216600856.jpeg","Скачать индивидуальный QR-код магазина")</f>
        <v>Скачать индивидуальный QR-код магазина</v>
      </c>
    </row>
    <row r="3446" spans="1:7" x14ac:dyDescent="0.25">
      <c r="A3446" t="s">
        <v>9971</v>
      </c>
      <c r="B3446" t="s">
        <v>10830</v>
      </c>
      <c r="C3446" t="s">
        <v>713</v>
      </c>
      <c r="D3446" t="s">
        <v>714</v>
      </c>
      <c r="E3446" t="s">
        <v>715</v>
      </c>
      <c r="F3446" t="s">
        <v>10831</v>
      </c>
      <c r="G3446" s="2" t="str">
        <f>HYPERLINK("https://probpalata.gov.ru/files/ЮЛ770101216600862.jpeg","Скачать индивидуальный QR-код магазина")</f>
        <v>Скачать индивидуальный QR-код магазина</v>
      </c>
    </row>
    <row r="3447" spans="1:7" x14ac:dyDescent="0.25">
      <c r="A3447" t="s">
        <v>9971</v>
      </c>
      <c r="B3447" t="s">
        <v>10832</v>
      </c>
      <c r="C3447" t="s">
        <v>713</v>
      </c>
      <c r="D3447" t="s">
        <v>714</v>
      </c>
      <c r="E3447" t="s">
        <v>715</v>
      </c>
      <c r="F3447" t="s">
        <v>10833</v>
      </c>
      <c r="G3447" s="2" t="str">
        <f>HYPERLINK("https://probpalata.gov.ru/files/ЮЛ770101216600896.jpeg","Скачать индивидуальный QR-код магазина")</f>
        <v>Скачать индивидуальный QR-код магазина</v>
      </c>
    </row>
    <row r="3448" spans="1:7" x14ac:dyDescent="0.25">
      <c r="A3448" t="s">
        <v>9971</v>
      </c>
      <c r="B3448" t="s">
        <v>10834</v>
      </c>
      <c r="C3448" t="s">
        <v>713</v>
      </c>
      <c r="D3448" t="s">
        <v>714</v>
      </c>
      <c r="E3448" t="s">
        <v>715</v>
      </c>
      <c r="F3448" t="s">
        <v>10835</v>
      </c>
      <c r="G3448" s="2" t="str">
        <f>HYPERLINK("https://probpalata.gov.ru/files/ЮЛ770101216600898.jpeg","Скачать индивидуальный QR-код магазина")</f>
        <v>Скачать индивидуальный QR-код магазина</v>
      </c>
    </row>
    <row r="3449" spans="1:7" x14ac:dyDescent="0.25">
      <c r="A3449" t="s">
        <v>9971</v>
      </c>
      <c r="B3449" t="s">
        <v>10836</v>
      </c>
      <c r="C3449" t="s">
        <v>713</v>
      </c>
      <c r="D3449" t="s">
        <v>714</v>
      </c>
      <c r="E3449" t="s">
        <v>715</v>
      </c>
      <c r="F3449" t="s">
        <v>10837</v>
      </c>
      <c r="G3449" s="2" t="str">
        <f>HYPERLINK("https://probpalata.gov.ru/files/ЮЛ770101216600998.jpeg","Скачать индивидуальный QR-код магазина")</f>
        <v>Скачать индивидуальный QR-код магазина</v>
      </c>
    </row>
    <row r="3450" spans="1:7" x14ac:dyDescent="0.25">
      <c r="A3450" t="s">
        <v>9971</v>
      </c>
      <c r="B3450" t="s">
        <v>10838</v>
      </c>
      <c r="C3450" t="s">
        <v>1416</v>
      </c>
      <c r="D3450" t="s">
        <v>1417</v>
      </c>
      <c r="E3450" t="s">
        <v>1418</v>
      </c>
      <c r="F3450" t="s">
        <v>10839</v>
      </c>
      <c r="G3450" s="2" t="str">
        <f>HYPERLINK("https://probpalata.gov.ru/files/ЮЛ770100419400110.jpeg","Скачать индивидуальный QR-код магазина")</f>
        <v>Скачать индивидуальный QR-код магазина</v>
      </c>
    </row>
    <row r="3451" spans="1:7" x14ac:dyDescent="0.25">
      <c r="A3451" t="s">
        <v>9971</v>
      </c>
      <c r="B3451" t="s">
        <v>10840</v>
      </c>
      <c r="C3451" t="s">
        <v>748</v>
      </c>
      <c r="D3451" t="s">
        <v>749</v>
      </c>
      <c r="E3451" t="s">
        <v>750</v>
      </c>
      <c r="F3451" t="s">
        <v>10841</v>
      </c>
      <c r="G3451" s="2" t="str">
        <f>HYPERLINK("https://probpalata.gov.ru/files/ЮЛ770100193500396.jpeg","Скачать индивидуальный QR-код магазина")</f>
        <v>Скачать индивидуальный QR-код магазина</v>
      </c>
    </row>
    <row r="3452" spans="1:7" x14ac:dyDescent="0.25">
      <c r="A3452" t="s">
        <v>9971</v>
      </c>
      <c r="B3452" t="s">
        <v>10842</v>
      </c>
      <c r="C3452" t="s">
        <v>748</v>
      </c>
      <c r="D3452" t="s">
        <v>749</v>
      </c>
      <c r="E3452" t="s">
        <v>750</v>
      </c>
      <c r="F3452" t="s">
        <v>10843</v>
      </c>
      <c r="G3452" s="2" t="str">
        <f>HYPERLINK("https://probpalata.gov.ru/files/ЮЛ770100193500397.jpeg","Скачать индивидуальный QR-код магазина")</f>
        <v>Скачать индивидуальный QR-код магазина</v>
      </c>
    </row>
    <row r="3453" spans="1:7" x14ac:dyDescent="0.25">
      <c r="A3453" t="s">
        <v>9971</v>
      </c>
      <c r="B3453" t="s">
        <v>10844</v>
      </c>
      <c r="C3453" t="s">
        <v>748</v>
      </c>
      <c r="D3453" t="s">
        <v>749</v>
      </c>
      <c r="E3453" t="s">
        <v>750</v>
      </c>
      <c r="F3453" t="s">
        <v>10845</v>
      </c>
      <c r="G3453" s="2" t="str">
        <f>HYPERLINK("https://probpalata.gov.ru/files/ЮЛ770100193500398.jpeg","Скачать индивидуальный QR-код магазина")</f>
        <v>Скачать индивидуальный QR-код магазина</v>
      </c>
    </row>
    <row r="3454" spans="1:7" x14ac:dyDescent="0.25">
      <c r="A3454" t="s">
        <v>9971</v>
      </c>
      <c r="B3454" t="s">
        <v>10846</v>
      </c>
      <c r="C3454" t="s">
        <v>748</v>
      </c>
      <c r="D3454" t="s">
        <v>749</v>
      </c>
      <c r="E3454" t="s">
        <v>750</v>
      </c>
      <c r="F3454" t="s">
        <v>10847</v>
      </c>
      <c r="G3454" s="2" t="str">
        <f>HYPERLINK("https://probpalata.gov.ru/files/ЮЛ770100193500400.jpeg","Скачать индивидуальный QR-код магазина")</f>
        <v>Скачать индивидуальный QR-код магазина</v>
      </c>
    </row>
    <row r="3455" spans="1:7" x14ac:dyDescent="0.25">
      <c r="A3455" t="s">
        <v>9971</v>
      </c>
      <c r="B3455" t="s">
        <v>10848</v>
      </c>
      <c r="C3455" t="s">
        <v>748</v>
      </c>
      <c r="D3455" t="s">
        <v>749</v>
      </c>
      <c r="E3455" t="s">
        <v>750</v>
      </c>
      <c r="F3455" t="s">
        <v>10849</v>
      </c>
      <c r="G3455" s="2" t="str">
        <f>HYPERLINK("https://probpalata.gov.ru/files/ЮЛ770100193500401.jpeg","Скачать индивидуальный QR-код магазина")</f>
        <v>Скачать индивидуальный QR-код магазина</v>
      </c>
    </row>
    <row r="3456" spans="1:7" x14ac:dyDescent="0.25">
      <c r="A3456" t="s">
        <v>9971</v>
      </c>
      <c r="B3456" t="s">
        <v>10850</v>
      </c>
      <c r="C3456" t="s">
        <v>748</v>
      </c>
      <c r="D3456" t="s">
        <v>749</v>
      </c>
      <c r="E3456" t="s">
        <v>750</v>
      </c>
      <c r="F3456" t="s">
        <v>10851</v>
      </c>
      <c r="G3456" s="2" t="str">
        <f>HYPERLINK("https://probpalata.gov.ru/files/ЮЛ770100193500402.jpeg","Скачать индивидуальный QR-код магазина")</f>
        <v>Скачать индивидуальный QR-код магазина</v>
      </c>
    </row>
    <row r="3457" spans="1:7" x14ac:dyDescent="0.25">
      <c r="A3457" t="s">
        <v>9971</v>
      </c>
      <c r="B3457" t="s">
        <v>10852</v>
      </c>
      <c r="C3457" t="s">
        <v>748</v>
      </c>
      <c r="D3457" t="s">
        <v>749</v>
      </c>
      <c r="E3457" t="s">
        <v>750</v>
      </c>
      <c r="F3457" t="s">
        <v>10853</v>
      </c>
      <c r="G3457" s="2" t="str">
        <f>HYPERLINK("https://probpalata.gov.ru/files/ЮЛ770100193500403.jpeg","Скачать индивидуальный QR-код магазина")</f>
        <v>Скачать индивидуальный QR-код магазина</v>
      </c>
    </row>
    <row r="3458" spans="1:7" x14ac:dyDescent="0.25">
      <c r="A3458" t="s">
        <v>9971</v>
      </c>
      <c r="B3458" t="s">
        <v>10854</v>
      </c>
      <c r="C3458" t="s">
        <v>748</v>
      </c>
      <c r="D3458" t="s">
        <v>749</v>
      </c>
      <c r="E3458" t="s">
        <v>750</v>
      </c>
      <c r="F3458" t="s">
        <v>10855</v>
      </c>
      <c r="G3458" s="2" t="str">
        <f>HYPERLINK("https://probpalata.gov.ru/files/ЮЛ770100193500404.jpeg","Скачать индивидуальный QR-код магазина")</f>
        <v>Скачать индивидуальный QR-код магазина</v>
      </c>
    </row>
    <row r="3459" spans="1:7" x14ac:dyDescent="0.25">
      <c r="A3459" t="s">
        <v>9971</v>
      </c>
      <c r="B3459" t="s">
        <v>10856</v>
      </c>
      <c r="C3459" t="s">
        <v>748</v>
      </c>
      <c r="D3459" t="s">
        <v>749</v>
      </c>
      <c r="E3459" t="s">
        <v>750</v>
      </c>
      <c r="F3459" t="s">
        <v>10857</v>
      </c>
      <c r="G3459" s="2" t="str">
        <f>HYPERLINK("https://probpalata.gov.ru/files/ЮЛ770100193500553.jpeg","Скачать индивидуальный QR-код магазина")</f>
        <v>Скачать индивидуальный QR-код магазина</v>
      </c>
    </row>
    <row r="3460" spans="1:7" x14ac:dyDescent="0.25">
      <c r="A3460" t="s">
        <v>9971</v>
      </c>
      <c r="B3460" t="s">
        <v>10858</v>
      </c>
      <c r="C3460" t="s">
        <v>748</v>
      </c>
      <c r="D3460" t="s">
        <v>749</v>
      </c>
      <c r="E3460" t="s">
        <v>750</v>
      </c>
      <c r="F3460" t="s">
        <v>10859</v>
      </c>
      <c r="G3460" s="2" t="str">
        <f>HYPERLINK("https://probpalata.gov.ru/files/ЮЛ770100193500628.jpeg","Скачать индивидуальный QR-код магазина")</f>
        <v>Скачать индивидуальный QR-код магазина</v>
      </c>
    </row>
    <row r="3461" spans="1:7" x14ac:dyDescent="0.25">
      <c r="A3461" t="s">
        <v>9971</v>
      </c>
      <c r="B3461" t="s">
        <v>10860</v>
      </c>
      <c r="C3461" t="s">
        <v>748</v>
      </c>
      <c r="D3461" t="s">
        <v>749</v>
      </c>
      <c r="E3461" t="s">
        <v>750</v>
      </c>
      <c r="F3461" t="s">
        <v>10861</v>
      </c>
      <c r="G3461" s="2" t="str">
        <f>HYPERLINK("https://probpalata.gov.ru/files/ЮЛ770100193500680.jpeg","Скачать индивидуальный QR-код магазина")</f>
        <v>Скачать индивидуальный QR-код магазина</v>
      </c>
    </row>
    <row r="3462" spans="1:7" x14ac:dyDescent="0.25">
      <c r="A3462" t="s">
        <v>9971</v>
      </c>
      <c r="B3462" t="s">
        <v>10862</v>
      </c>
      <c r="C3462" t="s">
        <v>748</v>
      </c>
      <c r="D3462" t="s">
        <v>749</v>
      </c>
      <c r="E3462" t="s">
        <v>750</v>
      </c>
      <c r="F3462" t="s">
        <v>10863</v>
      </c>
      <c r="G3462" s="2" t="str">
        <f>HYPERLINK("https://probpalata.gov.ru/files/ЮЛ770100193500784.jpeg","Скачать индивидуальный QR-код магазина")</f>
        <v>Скачать индивидуальный QR-код магазина</v>
      </c>
    </row>
    <row r="3463" spans="1:7" x14ac:dyDescent="0.25">
      <c r="A3463" t="s">
        <v>9971</v>
      </c>
      <c r="B3463" t="s">
        <v>10864</v>
      </c>
      <c r="C3463" t="s">
        <v>748</v>
      </c>
      <c r="D3463" t="s">
        <v>749</v>
      </c>
      <c r="E3463" t="s">
        <v>750</v>
      </c>
      <c r="F3463" t="s">
        <v>10865</v>
      </c>
      <c r="G3463" s="2" t="str">
        <f>HYPERLINK("https://probpalata.gov.ru/files/ЮЛ770100193500802.jpeg","Скачать индивидуальный QR-код магазина")</f>
        <v>Скачать индивидуальный QR-код магазина</v>
      </c>
    </row>
    <row r="3464" spans="1:7" x14ac:dyDescent="0.25">
      <c r="A3464" t="s">
        <v>9971</v>
      </c>
      <c r="B3464" t="s">
        <v>10866</v>
      </c>
      <c r="C3464" t="s">
        <v>748</v>
      </c>
      <c r="D3464" t="s">
        <v>749</v>
      </c>
      <c r="E3464" t="s">
        <v>750</v>
      </c>
      <c r="F3464" t="s">
        <v>10867</v>
      </c>
      <c r="G3464" s="2" t="str">
        <f>HYPERLINK("https://probpalata.gov.ru/files/ЮЛ770100193500807.jpeg","Скачать индивидуальный QR-код магазина")</f>
        <v>Скачать индивидуальный QR-код магазина</v>
      </c>
    </row>
    <row r="3465" spans="1:7" x14ac:dyDescent="0.25">
      <c r="A3465" t="s">
        <v>9971</v>
      </c>
      <c r="B3465" t="s">
        <v>10868</v>
      </c>
      <c r="C3465" t="s">
        <v>748</v>
      </c>
      <c r="D3465" t="s">
        <v>749</v>
      </c>
      <c r="E3465" t="s">
        <v>750</v>
      </c>
      <c r="F3465" t="s">
        <v>10869</v>
      </c>
      <c r="G3465" s="2" t="str">
        <f>HYPERLINK("https://probpalata.gov.ru/files/ЮЛ770100193500828.jpeg","Скачать индивидуальный QR-код магазина")</f>
        <v>Скачать индивидуальный QR-код магазина</v>
      </c>
    </row>
    <row r="3466" spans="1:7" x14ac:dyDescent="0.25">
      <c r="A3466" t="s">
        <v>9971</v>
      </c>
      <c r="B3466" t="s">
        <v>10870</v>
      </c>
      <c r="C3466" t="s">
        <v>748</v>
      </c>
      <c r="D3466" t="s">
        <v>749</v>
      </c>
      <c r="E3466" t="s">
        <v>750</v>
      </c>
      <c r="F3466" t="s">
        <v>10871</v>
      </c>
      <c r="G3466" s="2" t="str">
        <f>HYPERLINK("https://probpalata.gov.ru/files/ЮЛ770100193501097.jpeg","Скачать индивидуальный QR-код магазина")</f>
        <v>Скачать индивидуальный QR-код магазина</v>
      </c>
    </row>
    <row r="3467" spans="1:7" x14ac:dyDescent="0.25">
      <c r="A3467" t="s">
        <v>9971</v>
      </c>
      <c r="B3467" t="s">
        <v>10872</v>
      </c>
      <c r="C3467" t="s">
        <v>748</v>
      </c>
      <c r="D3467" t="s">
        <v>749</v>
      </c>
      <c r="E3467" t="s">
        <v>750</v>
      </c>
      <c r="F3467" t="s">
        <v>10873</v>
      </c>
      <c r="G3467" s="2" t="str">
        <f>HYPERLINK("https://probpalata.gov.ru/files/ЮЛ770100193501116.jpeg","Скачать индивидуальный QR-код магазина")</f>
        <v>Скачать индивидуальный QR-код магазина</v>
      </c>
    </row>
    <row r="3468" spans="1:7" x14ac:dyDescent="0.25">
      <c r="A3468" t="s">
        <v>9971</v>
      </c>
      <c r="B3468" t="s">
        <v>10874</v>
      </c>
      <c r="C3468" t="s">
        <v>773</v>
      </c>
      <c r="D3468" t="s">
        <v>774</v>
      </c>
      <c r="E3468" t="s">
        <v>775</v>
      </c>
      <c r="F3468" t="s">
        <v>10875</v>
      </c>
      <c r="G3468" s="2" t="str">
        <f>HYPERLINK("https://probpalata.gov.ru/files/ЮЛ780300131300113.jpeg","Скачать индивидуальный QR-код магазина")</f>
        <v>Скачать индивидуальный QR-код магазина</v>
      </c>
    </row>
    <row r="3469" spans="1:7" x14ac:dyDescent="0.25">
      <c r="A3469" t="s">
        <v>9971</v>
      </c>
      <c r="B3469" t="s">
        <v>10876</v>
      </c>
      <c r="C3469" t="s">
        <v>773</v>
      </c>
      <c r="D3469" t="s">
        <v>774</v>
      </c>
      <c r="E3469" t="s">
        <v>775</v>
      </c>
      <c r="F3469" t="s">
        <v>10877</v>
      </c>
      <c r="G3469" s="2" t="str">
        <f>HYPERLINK("https://probpalata.gov.ru/files/ЮЛ780300131300114.jpeg","Скачать индивидуальный QR-код магазина")</f>
        <v>Скачать индивидуальный QR-код магазина</v>
      </c>
    </row>
    <row r="3470" spans="1:7" x14ac:dyDescent="0.25">
      <c r="A3470" t="s">
        <v>9971</v>
      </c>
      <c r="B3470" t="s">
        <v>10878</v>
      </c>
      <c r="C3470" t="s">
        <v>773</v>
      </c>
      <c r="D3470" t="s">
        <v>774</v>
      </c>
      <c r="E3470" t="s">
        <v>775</v>
      </c>
      <c r="F3470" t="s">
        <v>10879</v>
      </c>
      <c r="G3470" s="2" t="str">
        <f>HYPERLINK("https://probpalata.gov.ru/files/ЮЛ780300131300115.jpeg","Скачать индивидуальный QR-код магазина")</f>
        <v>Скачать индивидуальный QR-код магазина</v>
      </c>
    </row>
    <row r="3471" spans="1:7" x14ac:dyDescent="0.25">
      <c r="A3471" t="s">
        <v>9971</v>
      </c>
      <c r="B3471" t="s">
        <v>10880</v>
      </c>
      <c r="C3471" t="s">
        <v>773</v>
      </c>
      <c r="D3471" t="s">
        <v>774</v>
      </c>
      <c r="E3471" t="s">
        <v>775</v>
      </c>
      <c r="F3471" t="s">
        <v>10881</v>
      </c>
      <c r="G3471" s="2" t="str">
        <f>HYPERLINK("https://probpalata.gov.ru/files/ЮЛ780300131300116.jpeg","Скачать индивидуальный QR-код магазина")</f>
        <v>Скачать индивидуальный QR-код магазина</v>
      </c>
    </row>
    <row r="3472" spans="1:7" x14ac:dyDescent="0.25">
      <c r="A3472" t="s">
        <v>9971</v>
      </c>
      <c r="B3472" t="s">
        <v>10882</v>
      </c>
      <c r="C3472" t="s">
        <v>773</v>
      </c>
      <c r="D3472" t="s">
        <v>774</v>
      </c>
      <c r="E3472" t="s">
        <v>775</v>
      </c>
      <c r="F3472" t="s">
        <v>10883</v>
      </c>
      <c r="G3472" s="2" t="str">
        <f>HYPERLINK("https://probpalata.gov.ru/files/ЮЛ780300131300117.jpeg","Скачать индивидуальный QR-код магазина")</f>
        <v>Скачать индивидуальный QR-код магазина</v>
      </c>
    </row>
    <row r="3473" spans="1:7" x14ac:dyDescent="0.25">
      <c r="A3473" t="s">
        <v>9971</v>
      </c>
      <c r="B3473" t="s">
        <v>10884</v>
      </c>
      <c r="C3473" t="s">
        <v>773</v>
      </c>
      <c r="D3473" t="s">
        <v>774</v>
      </c>
      <c r="E3473" t="s">
        <v>775</v>
      </c>
      <c r="F3473" t="s">
        <v>10885</v>
      </c>
      <c r="G3473" s="2" t="str">
        <f>HYPERLINK("https://probpalata.gov.ru/files/ЮЛ780300131300119.jpeg","Скачать индивидуальный QR-код магазина")</f>
        <v>Скачать индивидуальный QR-код магазина</v>
      </c>
    </row>
    <row r="3474" spans="1:7" x14ac:dyDescent="0.25">
      <c r="A3474" t="s">
        <v>9971</v>
      </c>
      <c r="B3474" t="s">
        <v>10886</v>
      </c>
      <c r="C3474" t="s">
        <v>773</v>
      </c>
      <c r="D3474" t="s">
        <v>774</v>
      </c>
      <c r="E3474" t="s">
        <v>775</v>
      </c>
      <c r="F3474" t="s">
        <v>10887</v>
      </c>
      <c r="G3474" s="2" t="str">
        <f>HYPERLINK("https://probpalata.gov.ru/files/ЮЛ780300131300133.jpeg","Скачать индивидуальный QR-код магазина")</f>
        <v>Скачать индивидуальный QR-код магазина</v>
      </c>
    </row>
    <row r="3475" spans="1:7" x14ac:dyDescent="0.25">
      <c r="A3475" t="s">
        <v>9971</v>
      </c>
      <c r="B3475" t="s">
        <v>10888</v>
      </c>
      <c r="C3475" t="s">
        <v>773</v>
      </c>
      <c r="D3475" t="s">
        <v>774</v>
      </c>
      <c r="E3475" t="s">
        <v>775</v>
      </c>
      <c r="F3475" t="s">
        <v>10889</v>
      </c>
      <c r="G3475" s="2" t="str">
        <f>HYPERLINK("https://probpalata.gov.ru/files/ЮЛ780300131300154.jpeg","Скачать индивидуальный QR-код магазина")</f>
        <v>Скачать индивидуальный QR-код магазина</v>
      </c>
    </row>
    <row r="3476" spans="1:7" x14ac:dyDescent="0.25">
      <c r="A3476" t="s">
        <v>9971</v>
      </c>
      <c r="B3476" t="s">
        <v>10890</v>
      </c>
      <c r="C3476" t="s">
        <v>773</v>
      </c>
      <c r="D3476" t="s">
        <v>774</v>
      </c>
      <c r="E3476" t="s">
        <v>775</v>
      </c>
      <c r="F3476" t="s">
        <v>10891</v>
      </c>
      <c r="G3476" s="2" t="str">
        <f>HYPERLINK("https://probpalata.gov.ru/files/ЮЛ780300131300155.jpeg","Скачать индивидуальный QR-код магазина")</f>
        <v>Скачать индивидуальный QR-код магазина</v>
      </c>
    </row>
    <row r="3477" spans="1:7" x14ac:dyDescent="0.25">
      <c r="A3477" t="s">
        <v>9971</v>
      </c>
      <c r="B3477" t="s">
        <v>10892</v>
      </c>
      <c r="C3477" t="s">
        <v>773</v>
      </c>
      <c r="D3477" t="s">
        <v>774</v>
      </c>
      <c r="E3477" t="s">
        <v>775</v>
      </c>
      <c r="F3477" t="s">
        <v>10893</v>
      </c>
      <c r="G3477" s="2" t="str">
        <f>HYPERLINK("https://probpalata.gov.ru/files/ЮЛ780300131300157.jpeg","Скачать индивидуальный QR-код магазина")</f>
        <v>Скачать индивидуальный QR-код магазина</v>
      </c>
    </row>
    <row r="3478" spans="1:7" x14ac:dyDescent="0.25">
      <c r="A3478" t="s">
        <v>9971</v>
      </c>
      <c r="B3478" t="s">
        <v>10894</v>
      </c>
      <c r="C3478" t="s">
        <v>773</v>
      </c>
      <c r="D3478" t="s">
        <v>774</v>
      </c>
      <c r="E3478" t="s">
        <v>775</v>
      </c>
      <c r="F3478" t="s">
        <v>10895</v>
      </c>
      <c r="G3478" s="2" t="str">
        <f>HYPERLINK("https://probpalata.gov.ru/files/ЮЛ780300131300159.jpeg","Скачать индивидуальный QR-код магазина")</f>
        <v>Скачать индивидуальный QR-код магазина</v>
      </c>
    </row>
    <row r="3479" spans="1:7" x14ac:dyDescent="0.25">
      <c r="A3479" t="s">
        <v>9971</v>
      </c>
      <c r="B3479" t="s">
        <v>10896</v>
      </c>
      <c r="C3479" t="s">
        <v>773</v>
      </c>
      <c r="D3479" t="s">
        <v>774</v>
      </c>
      <c r="E3479" t="s">
        <v>775</v>
      </c>
      <c r="F3479" t="s">
        <v>10897</v>
      </c>
      <c r="G3479" s="2" t="str">
        <f>HYPERLINK("https://probpalata.gov.ru/files/ЮЛ780300131300160.jpeg","Скачать индивидуальный QR-код магазина")</f>
        <v>Скачать индивидуальный QR-код магазина</v>
      </c>
    </row>
    <row r="3480" spans="1:7" x14ac:dyDescent="0.25">
      <c r="A3480" t="s">
        <v>9971</v>
      </c>
      <c r="B3480" t="s">
        <v>10898</v>
      </c>
      <c r="C3480" t="s">
        <v>773</v>
      </c>
      <c r="D3480" t="s">
        <v>774</v>
      </c>
      <c r="E3480" t="s">
        <v>775</v>
      </c>
      <c r="F3480" t="s">
        <v>10899</v>
      </c>
      <c r="G3480" s="2" t="str">
        <f>HYPERLINK("https://probpalata.gov.ru/files/ЮЛ780300131300465.jpeg","Скачать индивидуальный QR-код магазина")</f>
        <v>Скачать индивидуальный QR-код магазина</v>
      </c>
    </row>
    <row r="3481" spans="1:7" x14ac:dyDescent="0.25">
      <c r="A3481" t="s">
        <v>9971</v>
      </c>
      <c r="B3481" t="s">
        <v>10900</v>
      </c>
      <c r="C3481" t="s">
        <v>787</v>
      </c>
      <c r="D3481" t="s">
        <v>788</v>
      </c>
      <c r="E3481" t="s">
        <v>789</v>
      </c>
      <c r="F3481" t="s">
        <v>10901</v>
      </c>
      <c r="G3481" s="2" t="str">
        <f>HYPERLINK("https://probpalata.gov.ru/files/ЮЛ780300328000069.jpeg","Скачать индивидуальный QR-код магазина")</f>
        <v>Скачать индивидуальный QR-код магазина</v>
      </c>
    </row>
    <row r="3482" spans="1:7" x14ac:dyDescent="0.25">
      <c r="A3482" t="s">
        <v>9971</v>
      </c>
      <c r="B3482" t="s">
        <v>10902</v>
      </c>
      <c r="C3482" t="s">
        <v>791</v>
      </c>
      <c r="D3482" t="s">
        <v>792</v>
      </c>
      <c r="E3482" t="s">
        <v>793</v>
      </c>
      <c r="F3482" t="s">
        <v>10903</v>
      </c>
      <c r="G3482" s="2" t="str">
        <f>HYPERLINK("https://probpalata.gov.ru/files/ЮЛ780300323500012.jpeg","Скачать индивидуальный QR-код магазина")</f>
        <v>Скачать индивидуальный QR-код магазина</v>
      </c>
    </row>
    <row r="3483" spans="1:7" x14ac:dyDescent="0.25">
      <c r="A3483" t="s">
        <v>9971</v>
      </c>
      <c r="B3483" t="s">
        <v>10904</v>
      </c>
      <c r="C3483" t="s">
        <v>798</v>
      </c>
      <c r="D3483" t="s">
        <v>799</v>
      </c>
      <c r="E3483" t="s">
        <v>800</v>
      </c>
      <c r="F3483" t="s">
        <v>10905</v>
      </c>
      <c r="G3483" s="2" t="str">
        <f>HYPERLINK("https://probpalata.gov.ru/files/ЮЛ780300308200067.jpeg","Скачать индивидуальный QR-код магазина")</f>
        <v>Скачать индивидуальный QR-код магазина</v>
      </c>
    </row>
    <row r="3484" spans="1:7" x14ac:dyDescent="0.25">
      <c r="A3484" t="s">
        <v>9971</v>
      </c>
      <c r="B3484" t="s">
        <v>10906</v>
      </c>
      <c r="C3484" t="s">
        <v>798</v>
      </c>
      <c r="D3484" t="s">
        <v>799</v>
      </c>
      <c r="E3484" t="s">
        <v>800</v>
      </c>
      <c r="F3484" t="s">
        <v>10907</v>
      </c>
      <c r="G3484" s="2" t="str">
        <f>HYPERLINK("https://probpalata.gov.ru/files/ЮЛ780300308200070.jpeg","Скачать индивидуальный QR-код магазина")</f>
        <v>Скачать индивидуальный QR-код магазина</v>
      </c>
    </row>
    <row r="3485" spans="1:7" x14ac:dyDescent="0.25">
      <c r="A3485" t="s">
        <v>9971</v>
      </c>
      <c r="B3485" t="s">
        <v>10908</v>
      </c>
      <c r="C3485" t="s">
        <v>798</v>
      </c>
      <c r="D3485" t="s">
        <v>799</v>
      </c>
      <c r="E3485" t="s">
        <v>800</v>
      </c>
      <c r="F3485" t="s">
        <v>10909</v>
      </c>
      <c r="G3485" s="2" t="str">
        <f>HYPERLINK("https://probpalata.gov.ru/files/ЮЛ780300308200071.jpeg","Скачать индивидуальный QR-код магазина")</f>
        <v>Скачать индивидуальный QR-код магазина</v>
      </c>
    </row>
    <row r="3486" spans="1:7" x14ac:dyDescent="0.25">
      <c r="A3486" t="s">
        <v>9971</v>
      </c>
      <c r="B3486" t="s">
        <v>10910</v>
      </c>
      <c r="C3486" t="s">
        <v>798</v>
      </c>
      <c r="D3486" t="s">
        <v>799</v>
      </c>
      <c r="E3486" t="s">
        <v>800</v>
      </c>
      <c r="F3486" t="s">
        <v>10911</v>
      </c>
      <c r="G3486" s="2" t="str">
        <f>HYPERLINK("https://probpalata.gov.ru/files/ЮЛ780300308200230.jpeg","Скачать индивидуальный QR-код магазина")</f>
        <v>Скачать индивидуальный QR-код магазина</v>
      </c>
    </row>
    <row r="3487" spans="1:7" x14ac:dyDescent="0.25">
      <c r="A3487" t="s">
        <v>9971</v>
      </c>
      <c r="B3487" t="s">
        <v>10912</v>
      </c>
      <c r="C3487" t="s">
        <v>798</v>
      </c>
      <c r="D3487" t="s">
        <v>799</v>
      </c>
      <c r="E3487" t="s">
        <v>800</v>
      </c>
      <c r="F3487" t="s">
        <v>10913</v>
      </c>
      <c r="G3487" s="2" t="str">
        <f>HYPERLINK("https://probpalata.gov.ru/files/ЮЛ780300308200256.jpeg","Скачать индивидуальный QR-код магазина")</f>
        <v>Скачать индивидуальный QR-код магазина</v>
      </c>
    </row>
    <row r="3488" spans="1:7" x14ac:dyDescent="0.25">
      <c r="A3488" t="s">
        <v>9971</v>
      </c>
      <c r="B3488" t="s">
        <v>10914</v>
      </c>
      <c r="C3488" t="s">
        <v>798</v>
      </c>
      <c r="D3488" t="s">
        <v>799</v>
      </c>
      <c r="E3488" t="s">
        <v>800</v>
      </c>
      <c r="F3488" t="s">
        <v>10915</v>
      </c>
      <c r="G3488" s="2" t="str">
        <f>HYPERLINK("https://probpalata.gov.ru/files/ЮЛ780300308200257.jpeg","Скачать индивидуальный QR-код магазина")</f>
        <v>Скачать индивидуальный QR-код магазина</v>
      </c>
    </row>
    <row r="3489" spans="1:7" x14ac:dyDescent="0.25">
      <c r="A3489" t="s">
        <v>9971</v>
      </c>
      <c r="B3489" t="s">
        <v>10916</v>
      </c>
      <c r="C3489" t="s">
        <v>798</v>
      </c>
      <c r="D3489" t="s">
        <v>799</v>
      </c>
      <c r="E3489" t="s">
        <v>800</v>
      </c>
      <c r="F3489" t="s">
        <v>10917</v>
      </c>
      <c r="G3489" s="2" t="str">
        <f>HYPERLINK("https://probpalata.gov.ru/files/ЮЛ780300308200316.jpeg","Скачать индивидуальный QR-код магазина")</f>
        <v>Скачать индивидуальный QR-код магазина</v>
      </c>
    </row>
    <row r="3490" spans="1:7" x14ac:dyDescent="0.25">
      <c r="A3490" t="s">
        <v>9971</v>
      </c>
      <c r="B3490" t="s">
        <v>10918</v>
      </c>
      <c r="C3490" t="s">
        <v>798</v>
      </c>
      <c r="D3490" t="s">
        <v>799</v>
      </c>
      <c r="E3490" t="s">
        <v>800</v>
      </c>
      <c r="F3490" t="s">
        <v>10919</v>
      </c>
      <c r="G3490" s="2" t="str">
        <f>HYPERLINK("https://probpalata.gov.ru/files/ЮЛ780300308200463.jpeg","Скачать индивидуальный QR-код магазина")</f>
        <v>Скачать индивидуальный QR-код магазина</v>
      </c>
    </row>
    <row r="3491" spans="1:7" x14ac:dyDescent="0.25">
      <c r="A3491" t="s">
        <v>9971</v>
      </c>
      <c r="B3491" t="s">
        <v>10415</v>
      </c>
      <c r="C3491" t="s">
        <v>798</v>
      </c>
      <c r="D3491" t="s">
        <v>799</v>
      </c>
      <c r="E3491" t="s">
        <v>800</v>
      </c>
      <c r="F3491" t="s">
        <v>10920</v>
      </c>
      <c r="G3491" s="2" t="str">
        <f>HYPERLINK("https://probpalata.gov.ru/files/ЮЛ780300308200464.jpeg","Скачать индивидуальный QR-код магазина")</f>
        <v>Скачать индивидуальный QR-код магазина</v>
      </c>
    </row>
    <row r="3492" spans="1:7" x14ac:dyDescent="0.25">
      <c r="A3492" t="s">
        <v>9971</v>
      </c>
      <c r="B3492" t="s">
        <v>10921</v>
      </c>
      <c r="C3492" t="s">
        <v>798</v>
      </c>
      <c r="D3492" t="s">
        <v>799</v>
      </c>
      <c r="E3492" t="s">
        <v>800</v>
      </c>
      <c r="F3492" t="s">
        <v>10922</v>
      </c>
      <c r="G3492" s="2" t="str">
        <f>HYPERLINK("https://probpalata.gov.ru/files/ЮЛ780300308200465.jpeg","Скачать индивидуальный QR-код магазина")</f>
        <v>Скачать индивидуальный QR-код магазина</v>
      </c>
    </row>
    <row r="3493" spans="1:7" x14ac:dyDescent="0.25">
      <c r="A3493" t="s">
        <v>9971</v>
      </c>
      <c r="B3493" t="s">
        <v>10923</v>
      </c>
      <c r="C3493" t="s">
        <v>798</v>
      </c>
      <c r="D3493" t="s">
        <v>799</v>
      </c>
      <c r="E3493" t="s">
        <v>800</v>
      </c>
      <c r="F3493" t="s">
        <v>10924</v>
      </c>
      <c r="G3493" s="2" t="str">
        <f>HYPERLINK("https://probpalata.gov.ru/files/ЮЛ780300308200466.jpeg","Скачать индивидуальный QR-код магазина")</f>
        <v>Скачать индивидуальный QR-код магазина</v>
      </c>
    </row>
    <row r="3494" spans="1:7" x14ac:dyDescent="0.25">
      <c r="A3494" t="s">
        <v>9971</v>
      </c>
      <c r="B3494" t="s">
        <v>10925</v>
      </c>
      <c r="C3494" t="s">
        <v>798</v>
      </c>
      <c r="D3494" t="s">
        <v>799</v>
      </c>
      <c r="E3494" t="s">
        <v>800</v>
      </c>
      <c r="F3494" t="s">
        <v>10926</v>
      </c>
      <c r="G3494" s="2" t="str">
        <f>HYPERLINK("https://probpalata.gov.ru/files/ЮЛ780300308200467.jpeg","Скачать индивидуальный QR-код магазина")</f>
        <v>Скачать индивидуальный QR-код магазина</v>
      </c>
    </row>
    <row r="3495" spans="1:7" x14ac:dyDescent="0.25">
      <c r="A3495" t="s">
        <v>9971</v>
      </c>
      <c r="B3495" t="s">
        <v>10676</v>
      </c>
      <c r="C3495" t="s">
        <v>798</v>
      </c>
      <c r="D3495" t="s">
        <v>799</v>
      </c>
      <c r="E3495" t="s">
        <v>800</v>
      </c>
      <c r="F3495" t="s">
        <v>10927</v>
      </c>
      <c r="G3495" s="2" t="str">
        <f>HYPERLINK("https://probpalata.gov.ru/files/ЮЛ780300308200469.jpeg","Скачать индивидуальный QR-код магазина")</f>
        <v>Скачать индивидуальный QR-код магазина</v>
      </c>
    </row>
    <row r="3496" spans="1:7" x14ac:dyDescent="0.25">
      <c r="A3496" t="s">
        <v>9971</v>
      </c>
      <c r="B3496" t="s">
        <v>10928</v>
      </c>
      <c r="C3496" t="s">
        <v>798</v>
      </c>
      <c r="D3496" t="s">
        <v>799</v>
      </c>
      <c r="E3496" t="s">
        <v>800</v>
      </c>
      <c r="F3496" t="s">
        <v>10929</v>
      </c>
      <c r="G3496" s="2" t="str">
        <f>HYPERLINK("https://probpalata.gov.ru/files/ЮЛ780300308200470.jpeg","Скачать индивидуальный QR-код магазина")</f>
        <v>Скачать индивидуальный QR-код магазина</v>
      </c>
    </row>
    <row r="3497" spans="1:7" x14ac:dyDescent="0.25">
      <c r="A3497" t="s">
        <v>9971</v>
      </c>
      <c r="B3497" t="s">
        <v>10930</v>
      </c>
      <c r="C3497" t="s">
        <v>798</v>
      </c>
      <c r="D3497" t="s">
        <v>799</v>
      </c>
      <c r="E3497" t="s">
        <v>800</v>
      </c>
      <c r="F3497" t="s">
        <v>10931</v>
      </c>
      <c r="G3497" s="2" t="str">
        <f>HYPERLINK("https://probpalata.gov.ru/files/ЮЛ780300308200472.jpeg","Скачать индивидуальный QR-код магазина")</f>
        <v>Скачать индивидуальный QR-код магазина</v>
      </c>
    </row>
    <row r="3498" spans="1:7" x14ac:dyDescent="0.25">
      <c r="A3498" t="s">
        <v>9971</v>
      </c>
      <c r="B3498" t="s">
        <v>10932</v>
      </c>
      <c r="C3498" t="s">
        <v>798</v>
      </c>
      <c r="D3498" t="s">
        <v>799</v>
      </c>
      <c r="E3498" t="s">
        <v>800</v>
      </c>
      <c r="F3498" t="s">
        <v>10933</v>
      </c>
      <c r="G3498" s="2" t="str">
        <f>HYPERLINK("https://probpalata.gov.ru/files/ЮЛ780300308200595.jpeg","Скачать индивидуальный QR-код магазина")</f>
        <v>Скачать индивидуальный QR-код магазина</v>
      </c>
    </row>
    <row r="3499" spans="1:7" x14ac:dyDescent="0.25">
      <c r="A3499" t="s">
        <v>9971</v>
      </c>
      <c r="B3499" t="s">
        <v>10934</v>
      </c>
      <c r="C3499" t="s">
        <v>798</v>
      </c>
      <c r="D3499" t="s">
        <v>799</v>
      </c>
      <c r="E3499" t="s">
        <v>800</v>
      </c>
      <c r="F3499" t="s">
        <v>10935</v>
      </c>
      <c r="G3499" s="2" t="str">
        <f>HYPERLINK("https://probpalata.gov.ru/files/ЮЛ780300308200632.jpeg","Скачать индивидуальный QR-код магазина")</f>
        <v>Скачать индивидуальный QR-код магазина</v>
      </c>
    </row>
    <row r="3500" spans="1:7" x14ac:dyDescent="0.25">
      <c r="A3500" t="s">
        <v>9971</v>
      </c>
      <c r="B3500" t="s">
        <v>10936</v>
      </c>
      <c r="C3500" t="s">
        <v>798</v>
      </c>
      <c r="D3500" t="s">
        <v>799</v>
      </c>
      <c r="E3500" t="s">
        <v>800</v>
      </c>
      <c r="F3500" t="s">
        <v>10937</v>
      </c>
      <c r="G3500" s="2" t="str">
        <f>HYPERLINK("https://probpalata.gov.ru/files/ЮЛ780300308200917.jpeg","Скачать индивидуальный QR-код магазина")</f>
        <v>Скачать индивидуальный QR-код магазина</v>
      </c>
    </row>
    <row r="3501" spans="1:7" x14ac:dyDescent="0.25">
      <c r="A3501" t="s">
        <v>9971</v>
      </c>
      <c r="B3501" t="s">
        <v>10884</v>
      </c>
      <c r="C3501" t="s">
        <v>798</v>
      </c>
      <c r="D3501" t="s">
        <v>799</v>
      </c>
      <c r="E3501" t="s">
        <v>800</v>
      </c>
      <c r="F3501" t="s">
        <v>10938</v>
      </c>
      <c r="G3501" s="2" t="str">
        <f>HYPERLINK("https://probpalata.gov.ru/files/ЮЛ780300308200922.jpeg","Скачать индивидуальный QR-код магазина")</f>
        <v>Скачать индивидуальный QR-код магазина</v>
      </c>
    </row>
    <row r="3502" spans="1:7" x14ac:dyDescent="0.25">
      <c r="A3502" t="s">
        <v>9971</v>
      </c>
      <c r="B3502" t="s">
        <v>10939</v>
      </c>
      <c r="C3502" t="s">
        <v>798</v>
      </c>
      <c r="D3502" t="s">
        <v>799</v>
      </c>
      <c r="E3502" t="s">
        <v>800</v>
      </c>
      <c r="F3502" t="s">
        <v>10940</v>
      </c>
      <c r="G3502" s="2" t="str">
        <f>HYPERLINK("https://probpalata.gov.ru/files/ЮЛ780300308200940.jpeg","Скачать индивидуальный QR-код магазина")</f>
        <v>Скачать индивидуальный QR-код магазина</v>
      </c>
    </row>
    <row r="3503" spans="1:7" x14ac:dyDescent="0.25">
      <c r="A3503" t="s">
        <v>9971</v>
      </c>
      <c r="B3503" t="s">
        <v>10941</v>
      </c>
      <c r="C3503" t="s">
        <v>798</v>
      </c>
      <c r="D3503" t="s">
        <v>799</v>
      </c>
      <c r="E3503" t="s">
        <v>800</v>
      </c>
      <c r="F3503" t="s">
        <v>10942</v>
      </c>
      <c r="G3503" s="2" t="str">
        <f>HYPERLINK("https://probpalata.gov.ru/files/ЮЛ780300308200943.jpeg","Скачать индивидуальный QR-код магазина")</f>
        <v>Скачать индивидуальный QR-код магазина</v>
      </c>
    </row>
    <row r="3504" spans="1:7" x14ac:dyDescent="0.25">
      <c r="A3504" t="s">
        <v>9971</v>
      </c>
      <c r="B3504" t="s">
        <v>10943</v>
      </c>
      <c r="C3504" t="s">
        <v>798</v>
      </c>
      <c r="D3504" t="s">
        <v>799</v>
      </c>
      <c r="E3504" t="s">
        <v>800</v>
      </c>
      <c r="F3504" t="s">
        <v>10944</v>
      </c>
      <c r="G3504" s="2" t="str">
        <f>HYPERLINK("https://probpalata.gov.ru/files/ЮЛ780300308200944.jpeg","Скачать индивидуальный QR-код магазина")</f>
        <v>Скачать индивидуальный QR-код магазина</v>
      </c>
    </row>
    <row r="3505" spans="1:7" x14ac:dyDescent="0.25">
      <c r="A3505" t="s">
        <v>9971</v>
      </c>
      <c r="B3505" t="s">
        <v>10894</v>
      </c>
      <c r="C3505" t="s">
        <v>798</v>
      </c>
      <c r="D3505" t="s">
        <v>799</v>
      </c>
      <c r="E3505" t="s">
        <v>800</v>
      </c>
      <c r="F3505" t="s">
        <v>10945</v>
      </c>
      <c r="G3505" s="2" t="str">
        <f>HYPERLINK("https://probpalata.gov.ru/files/ЮЛ780300308200945.jpeg","Скачать индивидуальный QR-код магазина")</f>
        <v>Скачать индивидуальный QR-код магазина</v>
      </c>
    </row>
    <row r="3506" spans="1:7" x14ac:dyDescent="0.25">
      <c r="A3506" t="s">
        <v>9971</v>
      </c>
      <c r="B3506" t="s">
        <v>10224</v>
      </c>
      <c r="C3506" t="s">
        <v>798</v>
      </c>
      <c r="D3506" t="s">
        <v>799</v>
      </c>
      <c r="E3506" t="s">
        <v>800</v>
      </c>
      <c r="F3506" t="s">
        <v>10946</v>
      </c>
      <c r="G3506" s="2" t="str">
        <f>HYPERLINK("https://probpalata.gov.ru/files/ЮЛ780300308200949.jpeg","Скачать индивидуальный QR-код магазина")</f>
        <v>Скачать индивидуальный QR-код магазина</v>
      </c>
    </row>
    <row r="3507" spans="1:7" x14ac:dyDescent="0.25">
      <c r="A3507" t="s">
        <v>9971</v>
      </c>
      <c r="B3507" t="s">
        <v>10947</v>
      </c>
      <c r="C3507" t="s">
        <v>798</v>
      </c>
      <c r="D3507" t="s">
        <v>799</v>
      </c>
      <c r="E3507" t="s">
        <v>800</v>
      </c>
      <c r="F3507" t="s">
        <v>10948</v>
      </c>
      <c r="G3507" s="2" t="str">
        <f>HYPERLINK("https://probpalata.gov.ru/files/ЮЛ780300308200969.jpeg","Скачать индивидуальный QR-код магазина")</f>
        <v>Скачать индивидуальный QR-код магазина</v>
      </c>
    </row>
    <row r="3508" spans="1:7" x14ac:dyDescent="0.25">
      <c r="A3508" t="s">
        <v>9971</v>
      </c>
      <c r="B3508" t="s">
        <v>10949</v>
      </c>
      <c r="C3508" t="s">
        <v>798</v>
      </c>
      <c r="D3508" t="s">
        <v>799</v>
      </c>
      <c r="E3508" t="s">
        <v>800</v>
      </c>
      <c r="F3508" t="s">
        <v>10950</v>
      </c>
      <c r="G3508" s="2" t="str">
        <f>HYPERLINK("https://probpalata.gov.ru/files/ЮЛ780300308201024.jpeg","Скачать индивидуальный QR-код магазина")</f>
        <v>Скачать индивидуальный QR-код магазина</v>
      </c>
    </row>
    <row r="3509" spans="1:7" x14ac:dyDescent="0.25">
      <c r="A3509" t="s">
        <v>9971</v>
      </c>
      <c r="B3509" t="s">
        <v>10951</v>
      </c>
      <c r="C3509" t="s">
        <v>798</v>
      </c>
      <c r="D3509" t="s">
        <v>799</v>
      </c>
      <c r="E3509" t="s">
        <v>800</v>
      </c>
      <c r="F3509" t="s">
        <v>10952</v>
      </c>
      <c r="G3509" s="2" t="str">
        <f>HYPERLINK("https://probpalata.gov.ru/files/ЮЛ780300308201027.jpeg","Скачать индивидуальный QR-код магазина")</f>
        <v>Скачать индивидуальный QR-код магазина</v>
      </c>
    </row>
    <row r="3510" spans="1:7" x14ac:dyDescent="0.25">
      <c r="A3510" t="s">
        <v>9971</v>
      </c>
      <c r="B3510" t="s">
        <v>10953</v>
      </c>
      <c r="C3510" t="s">
        <v>798</v>
      </c>
      <c r="D3510" t="s">
        <v>799</v>
      </c>
      <c r="E3510" t="s">
        <v>800</v>
      </c>
      <c r="F3510" t="s">
        <v>10954</v>
      </c>
      <c r="G3510" s="2" t="str">
        <f>HYPERLINK("https://probpalata.gov.ru/files/ЮЛ780300308201036.jpeg","Скачать индивидуальный QR-код магазина")</f>
        <v>Скачать индивидуальный QR-код магазина</v>
      </c>
    </row>
    <row r="3511" spans="1:7" x14ac:dyDescent="0.25">
      <c r="A3511" t="s">
        <v>9971</v>
      </c>
      <c r="B3511" t="s">
        <v>10955</v>
      </c>
      <c r="C3511" t="s">
        <v>798</v>
      </c>
      <c r="D3511" t="s">
        <v>799</v>
      </c>
      <c r="E3511" t="s">
        <v>800</v>
      </c>
      <c r="F3511" t="s">
        <v>10956</v>
      </c>
      <c r="G3511" s="2" t="str">
        <f>HYPERLINK("https://probpalata.gov.ru/files/ЮЛ780300308201044.jpeg","Скачать индивидуальный QR-код магазина")</f>
        <v>Скачать индивидуальный QR-код магазина</v>
      </c>
    </row>
    <row r="3512" spans="1:7" x14ac:dyDescent="0.25">
      <c r="A3512" t="s">
        <v>9971</v>
      </c>
      <c r="B3512" t="s">
        <v>10957</v>
      </c>
      <c r="C3512" t="s">
        <v>798</v>
      </c>
      <c r="D3512" t="s">
        <v>799</v>
      </c>
      <c r="E3512" t="s">
        <v>800</v>
      </c>
      <c r="F3512" t="s">
        <v>10958</v>
      </c>
      <c r="G3512" s="2" t="str">
        <f>HYPERLINK("https://probpalata.gov.ru/files/ЮЛ780300308201073.jpeg","Скачать индивидуальный QR-код магазина")</f>
        <v>Скачать индивидуальный QR-код магазина</v>
      </c>
    </row>
    <row r="3513" spans="1:7" x14ac:dyDescent="0.25">
      <c r="A3513" t="s">
        <v>9971</v>
      </c>
      <c r="B3513" t="s">
        <v>10959</v>
      </c>
      <c r="C3513" t="s">
        <v>798</v>
      </c>
      <c r="D3513" t="s">
        <v>799</v>
      </c>
      <c r="E3513" t="s">
        <v>800</v>
      </c>
      <c r="F3513" t="s">
        <v>10960</v>
      </c>
      <c r="G3513" s="2" t="str">
        <f>HYPERLINK("https://probpalata.gov.ru/files/ЮЛ780300308201079.jpeg","Скачать индивидуальный QR-код магазина")</f>
        <v>Скачать индивидуальный QR-код магазина</v>
      </c>
    </row>
    <row r="3514" spans="1:7" x14ac:dyDescent="0.25">
      <c r="A3514" t="s">
        <v>9971</v>
      </c>
      <c r="B3514" t="s">
        <v>10961</v>
      </c>
      <c r="C3514" t="s">
        <v>798</v>
      </c>
      <c r="D3514" t="s">
        <v>799</v>
      </c>
      <c r="E3514" t="s">
        <v>800</v>
      </c>
      <c r="F3514" t="s">
        <v>10962</v>
      </c>
      <c r="G3514" s="2" t="str">
        <f>HYPERLINK("https://probpalata.gov.ru/files/ЮЛ780300308201096.jpeg","Скачать индивидуальный QR-код магазина")</f>
        <v>Скачать индивидуальный QR-код магазина</v>
      </c>
    </row>
    <row r="3515" spans="1:7" x14ac:dyDescent="0.25">
      <c r="A3515" t="s">
        <v>9971</v>
      </c>
      <c r="B3515" t="s">
        <v>10963</v>
      </c>
      <c r="C3515" t="s">
        <v>798</v>
      </c>
      <c r="D3515" t="s">
        <v>799</v>
      </c>
      <c r="E3515" t="s">
        <v>800</v>
      </c>
      <c r="F3515" t="s">
        <v>10964</v>
      </c>
      <c r="G3515" s="2" t="str">
        <f>HYPERLINK("https://probpalata.gov.ru/files/ЮЛ780300308201112.jpeg","Скачать индивидуальный QR-код магазина")</f>
        <v>Скачать индивидуальный QR-код магазина</v>
      </c>
    </row>
    <row r="3516" spans="1:7" x14ac:dyDescent="0.25">
      <c r="A3516" t="s">
        <v>9971</v>
      </c>
      <c r="B3516" t="s">
        <v>10965</v>
      </c>
      <c r="C3516" t="s">
        <v>798</v>
      </c>
      <c r="D3516" t="s">
        <v>799</v>
      </c>
      <c r="E3516" t="s">
        <v>800</v>
      </c>
      <c r="F3516" t="s">
        <v>10966</v>
      </c>
      <c r="G3516" s="2" t="str">
        <f>HYPERLINK("https://probpalata.gov.ru/files/ЮЛ780300308201120.jpeg","Скачать индивидуальный QR-код магазина")</f>
        <v>Скачать индивидуальный QR-код магазина</v>
      </c>
    </row>
    <row r="3517" spans="1:7" x14ac:dyDescent="0.25">
      <c r="A3517" t="s">
        <v>9971</v>
      </c>
      <c r="B3517" t="s">
        <v>10902</v>
      </c>
      <c r="C3517" t="s">
        <v>823</v>
      </c>
      <c r="D3517" t="s">
        <v>824</v>
      </c>
      <c r="E3517" t="s">
        <v>825</v>
      </c>
      <c r="F3517" t="s">
        <v>10967</v>
      </c>
      <c r="G3517" s="2" t="str">
        <f>HYPERLINK("https://probpalata.gov.ru/files/ЮЛ780300363500118.jpeg","Скачать индивидуальный QR-код магазина")</f>
        <v>Скачать индивидуальный QR-код магазина</v>
      </c>
    </row>
    <row r="3518" spans="1:7" x14ac:dyDescent="0.25">
      <c r="A3518" t="s">
        <v>9971</v>
      </c>
      <c r="B3518" t="s">
        <v>10968</v>
      </c>
      <c r="C3518" t="s">
        <v>823</v>
      </c>
      <c r="D3518" t="s">
        <v>824</v>
      </c>
      <c r="E3518" t="s">
        <v>825</v>
      </c>
      <c r="F3518" t="s">
        <v>10969</v>
      </c>
      <c r="G3518" s="2" t="str">
        <f>HYPERLINK("https://probpalata.gov.ru/files/ЮЛ780300363500156.jpeg","Скачать индивидуальный QR-код магазина")</f>
        <v>Скачать индивидуальный QR-код магазина</v>
      </c>
    </row>
    <row r="3519" spans="1:7" x14ac:dyDescent="0.25">
      <c r="A3519" t="s">
        <v>9971</v>
      </c>
      <c r="B3519" t="s">
        <v>10970</v>
      </c>
      <c r="C3519" t="s">
        <v>10971</v>
      </c>
      <c r="D3519" t="s">
        <v>10972</v>
      </c>
      <c r="E3519" t="s">
        <v>10973</v>
      </c>
      <c r="F3519" t="s">
        <v>10974</v>
      </c>
      <c r="G3519" s="2" t="str">
        <f>HYPERLINK("https://probpalata.gov.ru/files/ИП470303795700000.jpeg","Скачать индивидуальный QR-код магазина")</f>
        <v>Скачать индивидуальный QR-код магазина</v>
      </c>
    </row>
    <row r="3520" spans="1:7" x14ac:dyDescent="0.25">
      <c r="A3520" t="s">
        <v>9971</v>
      </c>
      <c r="B3520" t="s">
        <v>10975</v>
      </c>
      <c r="C3520" t="s">
        <v>1501</v>
      </c>
      <c r="D3520" t="s">
        <v>1502</v>
      </c>
      <c r="E3520" t="s">
        <v>1503</v>
      </c>
      <c r="F3520" t="s">
        <v>10976</v>
      </c>
      <c r="G3520" s="2" t="str">
        <f>HYPERLINK("https://probpalata.gov.ru/files/ЮЛ770100439200027.jpeg","Скачать индивидуальный QR-код магазина")</f>
        <v>Скачать индивидуальный QR-код магазина</v>
      </c>
    </row>
    <row r="3521" spans="1:7" x14ac:dyDescent="0.25">
      <c r="A3521" t="s">
        <v>9971</v>
      </c>
      <c r="B3521" t="s">
        <v>10977</v>
      </c>
      <c r="C3521" t="s">
        <v>1501</v>
      </c>
      <c r="D3521" t="s">
        <v>1502</v>
      </c>
      <c r="E3521" t="s">
        <v>1503</v>
      </c>
      <c r="F3521" t="s">
        <v>10978</v>
      </c>
      <c r="G3521" s="2" t="str">
        <f>HYPERLINK("https://probpalata.gov.ru/files/ЮЛ770100439200227.jpeg","Скачать индивидуальный QR-код магазина")</f>
        <v>Скачать индивидуальный QR-код магазина</v>
      </c>
    </row>
    <row r="3522" spans="1:7" x14ac:dyDescent="0.25">
      <c r="A3522" t="s">
        <v>10979</v>
      </c>
      <c r="B3522" t="s">
        <v>10980</v>
      </c>
      <c r="C3522" t="s">
        <v>10981</v>
      </c>
      <c r="D3522" t="s">
        <v>10982</v>
      </c>
      <c r="E3522" t="s">
        <v>10983</v>
      </c>
      <c r="F3522" t="s">
        <v>10984</v>
      </c>
      <c r="G3522" s="2" t="str">
        <f>HYPERLINK("https://probpalata.gov.ru/files/ИП110300790100009.jpeg","Скачать индивидуальный QR-код магазина")</f>
        <v>Скачать индивидуальный QR-код магазина</v>
      </c>
    </row>
    <row r="3523" spans="1:7" x14ac:dyDescent="0.25">
      <c r="A3523" t="s">
        <v>10979</v>
      </c>
      <c r="B3523" t="s">
        <v>10985</v>
      </c>
      <c r="C3523" t="s">
        <v>10986</v>
      </c>
      <c r="D3523" t="s">
        <v>10987</v>
      </c>
      <c r="E3523" t="s">
        <v>10988</v>
      </c>
      <c r="F3523" t="s">
        <v>10989</v>
      </c>
      <c r="G3523" s="2" t="str">
        <f>HYPERLINK("https://probpalata.gov.ru/files/ИП120600364300001.jpeg","Скачать индивидуальный QR-код магазина")</f>
        <v>Скачать индивидуальный QR-код магазина</v>
      </c>
    </row>
    <row r="3524" spans="1:7" x14ac:dyDescent="0.25">
      <c r="A3524" t="s">
        <v>10979</v>
      </c>
      <c r="B3524" t="s">
        <v>10990</v>
      </c>
      <c r="C3524" t="s">
        <v>10991</v>
      </c>
      <c r="D3524" t="s">
        <v>10992</v>
      </c>
      <c r="E3524" t="s">
        <v>10993</v>
      </c>
      <c r="F3524" t="s">
        <v>10994</v>
      </c>
      <c r="G3524" s="2" t="str">
        <f>HYPERLINK("https://probpalata.gov.ru/files/ИП120600362800001.jpeg","Скачать индивидуальный QR-код магазина")</f>
        <v>Скачать индивидуальный QR-код магазина</v>
      </c>
    </row>
    <row r="3525" spans="1:7" x14ac:dyDescent="0.25">
      <c r="A3525" t="s">
        <v>10979</v>
      </c>
      <c r="B3525" t="s">
        <v>10995</v>
      </c>
      <c r="C3525" t="s">
        <v>10991</v>
      </c>
      <c r="D3525" t="s">
        <v>10992</v>
      </c>
      <c r="E3525" t="s">
        <v>10993</v>
      </c>
      <c r="F3525" t="s">
        <v>10996</v>
      </c>
      <c r="G3525" s="2" t="str">
        <f>HYPERLINK("https://probpalata.gov.ru/files/ИП120600362800002.jpeg","Скачать индивидуальный QR-код магазина")</f>
        <v>Скачать индивидуальный QR-код магазина</v>
      </c>
    </row>
    <row r="3526" spans="1:7" x14ac:dyDescent="0.25">
      <c r="A3526" t="s">
        <v>10979</v>
      </c>
      <c r="B3526" t="s">
        <v>10997</v>
      </c>
      <c r="C3526" t="s">
        <v>10991</v>
      </c>
      <c r="D3526" t="s">
        <v>10992</v>
      </c>
      <c r="E3526" t="s">
        <v>10993</v>
      </c>
      <c r="F3526" t="s">
        <v>10998</v>
      </c>
      <c r="G3526" s="2" t="str">
        <f>HYPERLINK("https://probpalata.gov.ru/files/ИП120600362800004.jpeg","Скачать индивидуальный QR-код магазина")</f>
        <v>Скачать индивидуальный QR-код магазина</v>
      </c>
    </row>
    <row r="3527" spans="1:7" x14ac:dyDescent="0.25">
      <c r="A3527" t="s">
        <v>10979</v>
      </c>
      <c r="B3527" t="s">
        <v>10999</v>
      </c>
      <c r="C3527" t="s">
        <v>10991</v>
      </c>
      <c r="D3527" t="s">
        <v>10992</v>
      </c>
      <c r="E3527" t="s">
        <v>10993</v>
      </c>
      <c r="F3527" t="s">
        <v>11000</v>
      </c>
      <c r="G3527" s="2" t="str">
        <f>HYPERLINK("https://probpalata.gov.ru/files/ИП120600362800014.jpeg","Скачать индивидуальный QR-код магазина")</f>
        <v>Скачать индивидуальный QR-код магазина</v>
      </c>
    </row>
    <row r="3528" spans="1:7" x14ac:dyDescent="0.25">
      <c r="A3528" t="s">
        <v>10979</v>
      </c>
      <c r="B3528" t="s">
        <v>11001</v>
      </c>
      <c r="C3528" t="s">
        <v>10991</v>
      </c>
      <c r="D3528" t="s">
        <v>10992</v>
      </c>
      <c r="E3528" t="s">
        <v>10993</v>
      </c>
      <c r="F3528" t="s">
        <v>11002</v>
      </c>
      <c r="G3528" s="2" t="str">
        <f>HYPERLINK("https://probpalata.gov.ru/files/ИП120600362800015.jpeg","Скачать индивидуальный QR-код магазина")</f>
        <v>Скачать индивидуальный QR-код магазина</v>
      </c>
    </row>
    <row r="3529" spans="1:7" x14ac:dyDescent="0.25">
      <c r="A3529" t="s">
        <v>10979</v>
      </c>
      <c r="B3529" t="s">
        <v>11003</v>
      </c>
      <c r="C3529" t="s">
        <v>11004</v>
      </c>
      <c r="D3529" t="s">
        <v>11005</v>
      </c>
      <c r="E3529" t="s">
        <v>11006</v>
      </c>
      <c r="F3529" t="s">
        <v>11007</v>
      </c>
      <c r="G3529" s="2" t="str">
        <f>HYPERLINK("https://probpalata.gov.ru/files/ИП120600483700005.jpeg","Скачать индивидуальный QR-код магазина")</f>
        <v>Скачать индивидуальный QR-код магазина</v>
      </c>
    </row>
    <row r="3530" spans="1:7" x14ac:dyDescent="0.25">
      <c r="A3530" t="s">
        <v>10979</v>
      </c>
      <c r="B3530" t="s">
        <v>11008</v>
      </c>
      <c r="C3530" t="s">
        <v>11009</v>
      </c>
      <c r="D3530" t="s">
        <v>11010</v>
      </c>
      <c r="E3530" t="s">
        <v>11011</v>
      </c>
      <c r="F3530" t="s">
        <v>11012</v>
      </c>
      <c r="G3530" s="2" t="str">
        <f>HYPERLINK("https://probpalata.gov.ru/files/ИП180600631000000.jpeg","Скачать индивидуальный QR-код магазина")</f>
        <v>Скачать индивидуальный QR-код магазина</v>
      </c>
    </row>
    <row r="3531" spans="1:7" x14ac:dyDescent="0.25">
      <c r="A3531" t="s">
        <v>10979</v>
      </c>
      <c r="B3531" t="s">
        <v>11013</v>
      </c>
      <c r="C3531" t="s">
        <v>11014</v>
      </c>
      <c r="D3531" t="s">
        <v>11015</v>
      </c>
      <c r="E3531" t="s">
        <v>11016</v>
      </c>
      <c r="F3531" t="s">
        <v>11017</v>
      </c>
      <c r="G3531" s="2" t="str">
        <f>HYPERLINK("https://probpalata.gov.ru/files/ИП210600111200000.jpeg","Скачать индивидуальный QR-код магазина")</f>
        <v>Скачать индивидуальный QR-код магазина</v>
      </c>
    </row>
    <row r="3532" spans="1:7" x14ac:dyDescent="0.25">
      <c r="A3532" t="s">
        <v>10979</v>
      </c>
      <c r="B3532" t="s">
        <v>11018</v>
      </c>
      <c r="C3532" t="s">
        <v>11014</v>
      </c>
      <c r="D3532" t="s">
        <v>11015</v>
      </c>
      <c r="E3532" t="s">
        <v>11016</v>
      </c>
      <c r="F3532" t="s">
        <v>11019</v>
      </c>
      <c r="G3532" s="2" t="str">
        <f>HYPERLINK("https://probpalata.gov.ru/files/ИП210600111200001.jpeg","Скачать индивидуальный QR-код магазина")</f>
        <v>Скачать индивидуальный QR-код магазина</v>
      </c>
    </row>
    <row r="3533" spans="1:7" x14ac:dyDescent="0.25">
      <c r="A3533" t="s">
        <v>10979</v>
      </c>
      <c r="B3533" t="s">
        <v>11020</v>
      </c>
      <c r="C3533" t="s">
        <v>11014</v>
      </c>
      <c r="D3533" t="s">
        <v>11015</v>
      </c>
      <c r="E3533" t="s">
        <v>11016</v>
      </c>
      <c r="F3533" t="s">
        <v>11021</v>
      </c>
      <c r="G3533" s="2" t="str">
        <f>HYPERLINK("https://probpalata.gov.ru/files/ИП210600111200002.jpeg","Скачать индивидуальный QR-код магазина")</f>
        <v>Скачать индивидуальный QR-код магазина</v>
      </c>
    </row>
    <row r="3534" spans="1:7" x14ac:dyDescent="0.25">
      <c r="A3534" t="s">
        <v>10979</v>
      </c>
      <c r="B3534" t="s">
        <v>11022</v>
      </c>
      <c r="C3534" t="s">
        <v>11023</v>
      </c>
      <c r="D3534" t="s">
        <v>11024</v>
      </c>
      <c r="E3534" t="s">
        <v>11025</v>
      </c>
      <c r="F3534" t="s">
        <v>11026</v>
      </c>
      <c r="G3534" s="2" t="str">
        <f>HYPERLINK("https://probpalata.gov.ru/files/ИП430600169500000.jpeg","Скачать индивидуальный QR-код магазина")</f>
        <v>Скачать индивидуальный QR-код магазина</v>
      </c>
    </row>
    <row r="3535" spans="1:7" x14ac:dyDescent="0.25">
      <c r="A3535" t="s">
        <v>10979</v>
      </c>
      <c r="B3535" t="s">
        <v>11027</v>
      </c>
      <c r="C3535" t="s">
        <v>11028</v>
      </c>
      <c r="D3535" t="s">
        <v>11029</v>
      </c>
      <c r="E3535" t="s">
        <v>11030</v>
      </c>
      <c r="F3535" t="s">
        <v>11031</v>
      </c>
      <c r="G3535" s="2" t="str">
        <f>HYPERLINK("https://probpalata.gov.ru/files/ЮЛ430601454000000.jpeg","Скачать индивидуальный QR-код магазина")</f>
        <v>Скачать индивидуальный QR-код магазина</v>
      </c>
    </row>
    <row r="3536" spans="1:7" x14ac:dyDescent="0.25">
      <c r="A3536" t="s">
        <v>10979</v>
      </c>
      <c r="B3536" t="s">
        <v>11032</v>
      </c>
      <c r="C3536" t="s">
        <v>11033</v>
      </c>
      <c r="D3536" t="s">
        <v>11034</v>
      </c>
      <c r="E3536" t="s">
        <v>11035</v>
      </c>
      <c r="F3536" t="s">
        <v>11036</v>
      </c>
      <c r="G3536" s="2" t="str">
        <f>HYPERLINK("https://probpalata.gov.ru/files/ИП430603170200000.jpeg","Скачать индивидуальный QR-код магазина")</f>
        <v>Скачать индивидуальный QR-код магазина</v>
      </c>
    </row>
    <row r="3537" spans="1:7" x14ac:dyDescent="0.25">
      <c r="A3537" t="s">
        <v>10979</v>
      </c>
      <c r="B3537" t="s">
        <v>11037</v>
      </c>
      <c r="C3537" t="s">
        <v>11033</v>
      </c>
      <c r="D3537" t="s">
        <v>11034</v>
      </c>
      <c r="E3537" t="s">
        <v>11035</v>
      </c>
      <c r="F3537" t="s">
        <v>11038</v>
      </c>
      <c r="G3537" s="2" t="str">
        <f>HYPERLINK("https://probpalata.gov.ru/files/ИП430603170200001.jpeg","Скачать индивидуальный QR-код магазина")</f>
        <v>Скачать индивидуальный QR-код магазина</v>
      </c>
    </row>
    <row r="3538" spans="1:7" x14ac:dyDescent="0.25">
      <c r="A3538" t="s">
        <v>10979</v>
      </c>
      <c r="B3538" t="s">
        <v>11039</v>
      </c>
      <c r="C3538" t="s">
        <v>11040</v>
      </c>
      <c r="D3538" t="s">
        <v>11041</v>
      </c>
      <c r="E3538" t="s">
        <v>11042</v>
      </c>
      <c r="F3538" t="s">
        <v>11043</v>
      </c>
      <c r="G3538" s="2" t="str">
        <f>HYPERLINK("https://probpalata.gov.ru/files/ИП430600659500000.jpeg","Скачать индивидуальный QR-код магазина")</f>
        <v>Скачать индивидуальный QR-код магазина</v>
      </c>
    </row>
    <row r="3539" spans="1:7" x14ac:dyDescent="0.25">
      <c r="A3539" t="s">
        <v>10979</v>
      </c>
      <c r="B3539" t="s">
        <v>11044</v>
      </c>
      <c r="C3539" t="s">
        <v>11045</v>
      </c>
      <c r="D3539" t="s">
        <v>11046</v>
      </c>
      <c r="E3539" t="s">
        <v>11047</v>
      </c>
      <c r="F3539" t="s">
        <v>11048</v>
      </c>
      <c r="G3539" s="2" t="str">
        <f>HYPERLINK("https://probpalata.gov.ru/files/ИП430603200200000.jpeg","Скачать индивидуальный QR-код магазина")</f>
        <v>Скачать индивидуальный QR-код магазина</v>
      </c>
    </row>
    <row r="3540" spans="1:7" x14ac:dyDescent="0.25">
      <c r="A3540" t="s">
        <v>10979</v>
      </c>
      <c r="B3540" t="s">
        <v>11049</v>
      </c>
      <c r="C3540" t="s">
        <v>11050</v>
      </c>
      <c r="D3540" t="s">
        <v>11051</v>
      </c>
      <c r="E3540" t="s">
        <v>11052</v>
      </c>
      <c r="F3540" t="s">
        <v>11053</v>
      </c>
      <c r="G3540" s="2" t="str">
        <f>HYPERLINK("https://probpalata.gov.ru/files/ИП430603151400000.jpeg","Скачать индивидуальный QR-код магазина")</f>
        <v>Скачать индивидуальный QR-код магазина</v>
      </c>
    </row>
    <row r="3541" spans="1:7" x14ac:dyDescent="0.25">
      <c r="A3541" t="s">
        <v>10979</v>
      </c>
      <c r="B3541" t="s">
        <v>11054</v>
      </c>
      <c r="C3541" t="s">
        <v>11055</v>
      </c>
      <c r="D3541" t="s">
        <v>11056</v>
      </c>
      <c r="E3541" t="s">
        <v>11057</v>
      </c>
      <c r="F3541" t="s">
        <v>11058</v>
      </c>
      <c r="G3541" s="2" t="str">
        <f>HYPERLINK("https://probpalata.gov.ru/files/ЮЛ430601311900000.jpeg","Скачать индивидуальный QR-код магазина")</f>
        <v>Скачать индивидуальный QR-код магазина</v>
      </c>
    </row>
    <row r="3542" spans="1:7" x14ac:dyDescent="0.25">
      <c r="A3542" t="s">
        <v>10979</v>
      </c>
      <c r="B3542" t="s">
        <v>11059</v>
      </c>
      <c r="C3542" t="s">
        <v>11060</v>
      </c>
      <c r="D3542" t="s">
        <v>11061</v>
      </c>
      <c r="E3542" t="s">
        <v>11062</v>
      </c>
      <c r="F3542" t="s">
        <v>11063</v>
      </c>
      <c r="G3542" s="2" t="str">
        <f>HYPERLINK("https://probpalata.gov.ru/files/ИП180601325900000.jpeg","Скачать индивидуальный QR-код магазина")</f>
        <v>Скачать индивидуальный QR-код магазина</v>
      </c>
    </row>
    <row r="3543" spans="1:7" x14ac:dyDescent="0.25">
      <c r="A3543" t="s">
        <v>10979</v>
      </c>
      <c r="B3543" t="s">
        <v>11064</v>
      </c>
      <c r="C3543" t="s">
        <v>11060</v>
      </c>
      <c r="D3543" t="s">
        <v>11061</v>
      </c>
      <c r="E3543" t="s">
        <v>11062</v>
      </c>
      <c r="F3543" t="s">
        <v>11065</v>
      </c>
      <c r="G3543" s="2" t="str">
        <f>HYPERLINK("https://probpalata.gov.ru/files/ИП180601325900003.jpeg","Скачать индивидуальный QR-код магазина")</f>
        <v>Скачать индивидуальный QR-код магазина</v>
      </c>
    </row>
    <row r="3544" spans="1:7" x14ac:dyDescent="0.25">
      <c r="A3544" t="s">
        <v>10979</v>
      </c>
      <c r="B3544" t="s">
        <v>11066</v>
      </c>
      <c r="C3544" t="s">
        <v>11060</v>
      </c>
      <c r="D3544" t="s">
        <v>11061</v>
      </c>
      <c r="E3544" t="s">
        <v>11062</v>
      </c>
      <c r="F3544" t="s">
        <v>11067</v>
      </c>
      <c r="G3544" s="2" t="str">
        <f>HYPERLINK("https://probpalata.gov.ru/files/ИП180601325900004.jpeg","Скачать индивидуальный QR-код магазина")</f>
        <v>Скачать индивидуальный QR-код магазина</v>
      </c>
    </row>
    <row r="3545" spans="1:7" x14ac:dyDescent="0.25">
      <c r="A3545" t="s">
        <v>10979</v>
      </c>
      <c r="B3545" t="s">
        <v>11068</v>
      </c>
      <c r="C3545" t="s">
        <v>11060</v>
      </c>
      <c r="D3545" t="s">
        <v>11061</v>
      </c>
      <c r="E3545" t="s">
        <v>11062</v>
      </c>
      <c r="F3545" t="s">
        <v>11069</v>
      </c>
      <c r="G3545" s="2" t="str">
        <f>HYPERLINK("https://probpalata.gov.ru/files/ИП180601325900005.jpeg","Скачать индивидуальный QR-код магазина")</f>
        <v>Скачать индивидуальный QR-код магазина</v>
      </c>
    </row>
    <row r="3546" spans="1:7" x14ac:dyDescent="0.25">
      <c r="A3546" t="s">
        <v>10979</v>
      </c>
      <c r="B3546" t="s">
        <v>11070</v>
      </c>
      <c r="C3546" t="s">
        <v>11060</v>
      </c>
      <c r="D3546" t="s">
        <v>11061</v>
      </c>
      <c r="E3546" t="s">
        <v>11062</v>
      </c>
      <c r="F3546" t="s">
        <v>11071</v>
      </c>
      <c r="G3546" s="2" t="str">
        <f>HYPERLINK("https://probpalata.gov.ru/files/ИП180601325900006.jpeg","Скачать индивидуальный QR-код магазина")</f>
        <v>Скачать индивидуальный QR-код магазина</v>
      </c>
    </row>
    <row r="3547" spans="1:7" x14ac:dyDescent="0.25">
      <c r="A3547" t="s">
        <v>10979</v>
      </c>
      <c r="B3547" t="s">
        <v>11072</v>
      </c>
      <c r="C3547" t="s">
        <v>11060</v>
      </c>
      <c r="D3547" t="s">
        <v>11061</v>
      </c>
      <c r="E3547" t="s">
        <v>11062</v>
      </c>
      <c r="F3547" t="s">
        <v>11073</v>
      </c>
      <c r="G3547" s="2" t="str">
        <f>HYPERLINK("https://probpalata.gov.ru/files/ИП180601325900007.jpeg","Скачать индивидуальный QR-код магазина")</f>
        <v>Скачать индивидуальный QR-код магазина</v>
      </c>
    </row>
    <row r="3548" spans="1:7" x14ac:dyDescent="0.25">
      <c r="A3548" t="s">
        <v>10979</v>
      </c>
      <c r="B3548" t="s">
        <v>11074</v>
      </c>
      <c r="C3548" t="s">
        <v>11060</v>
      </c>
      <c r="D3548" t="s">
        <v>11061</v>
      </c>
      <c r="E3548" t="s">
        <v>11062</v>
      </c>
      <c r="F3548" t="s">
        <v>11075</v>
      </c>
      <c r="G3548" s="2" t="str">
        <f>HYPERLINK("https://probpalata.gov.ru/files/ИП180601325900008.jpeg","Скачать индивидуальный QR-код магазина")</f>
        <v>Скачать индивидуальный QR-код магазина</v>
      </c>
    </row>
    <row r="3549" spans="1:7" x14ac:dyDescent="0.25">
      <c r="A3549" t="s">
        <v>10979</v>
      </c>
      <c r="B3549" t="s">
        <v>11076</v>
      </c>
      <c r="C3549" t="s">
        <v>11060</v>
      </c>
      <c r="D3549" t="s">
        <v>11061</v>
      </c>
      <c r="E3549" t="s">
        <v>11062</v>
      </c>
      <c r="F3549" t="s">
        <v>11077</v>
      </c>
      <c r="G3549" s="2" t="str">
        <f>HYPERLINK("https://probpalata.gov.ru/files/ИП180601325900009.jpeg","Скачать индивидуальный QR-код магазина")</f>
        <v>Скачать индивидуальный QR-код магазина</v>
      </c>
    </row>
    <row r="3550" spans="1:7" x14ac:dyDescent="0.25">
      <c r="A3550" t="s">
        <v>10979</v>
      </c>
      <c r="B3550" t="s">
        <v>11078</v>
      </c>
      <c r="C3550" t="s">
        <v>11060</v>
      </c>
      <c r="D3550" t="s">
        <v>11061</v>
      </c>
      <c r="E3550" t="s">
        <v>11062</v>
      </c>
      <c r="F3550" t="s">
        <v>11079</v>
      </c>
      <c r="G3550" s="2" t="str">
        <f>HYPERLINK("https://probpalata.gov.ru/files/ИП180601325900010.jpeg","Скачать индивидуальный QR-код магазина")</f>
        <v>Скачать индивидуальный QR-код магазина</v>
      </c>
    </row>
    <row r="3551" spans="1:7" x14ac:dyDescent="0.25">
      <c r="A3551" t="s">
        <v>10979</v>
      </c>
      <c r="B3551" t="s">
        <v>11080</v>
      </c>
      <c r="C3551" t="s">
        <v>11081</v>
      </c>
      <c r="D3551" t="s">
        <v>11082</v>
      </c>
      <c r="E3551" t="s">
        <v>11083</v>
      </c>
      <c r="F3551" t="s">
        <v>11084</v>
      </c>
      <c r="G3551" s="2" t="str">
        <f>HYPERLINK("https://probpalata.gov.ru/files/ЮЛ430600106600000.jpeg","Скачать индивидуальный QR-код магазина")</f>
        <v>Скачать индивидуальный QR-код магазина</v>
      </c>
    </row>
    <row r="3552" spans="1:7" x14ac:dyDescent="0.25">
      <c r="A3552" t="s">
        <v>10979</v>
      </c>
      <c r="B3552" t="s">
        <v>11085</v>
      </c>
      <c r="C3552" t="s">
        <v>11086</v>
      </c>
      <c r="D3552" t="s">
        <v>11087</v>
      </c>
      <c r="E3552" t="s">
        <v>11088</v>
      </c>
      <c r="F3552" t="s">
        <v>11089</v>
      </c>
      <c r="G3552" s="2" t="str">
        <f>HYPERLINK("https://probpalata.gov.ru/files/ЮЛ430603328600000.jpeg","Скачать индивидуальный QR-код магазина")</f>
        <v>Скачать индивидуальный QR-код магазина</v>
      </c>
    </row>
    <row r="3553" spans="1:7" x14ac:dyDescent="0.25">
      <c r="A3553" t="s">
        <v>10979</v>
      </c>
      <c r="B3553" t="s">
        <v>11090</v>
      </c>
      <c r="C3553" t="s">
        <v>11091</v>
      </c>
      <c r="D3553" t="s">
        <v>11092</v>
      </c>
      <c r="E3553" t="s">
        <v>11093</v>
      </c>
      <c r="F3553" t="s">
        <v>11094</v>
      </c>
      <c r="G3553" s="2" t="str">
        <f>HYPERLINK("https://probpalata.gov.ru/files/ИП430601246500000.jpeg","Скачать индивидуальный QR-код магазина")</f>
        <v>Скачать индивидуальный QR-код магазина</v>
      </c>
    </row>
    <row r="3554" spans="1:7" x14ac:dyDescent="0.25">
      <c r="A3554" t="s">
        <v>10979</v>
      </c>
      <c r="B3554" t="s">
        <v>11095</v>
      </c>
      <c r="C3554" t="s">
        <v>11096</v>
      </c>
      <c r="D3554" t="s">
        <v>11097</v>
      </c>
      <c r="E3554" t="s">
        <v>11098</v>
      </c>
      <c r="F3554" t="s">
        <v>11099</v>
      </c>
      <c r="G3554" s="2" t="str">
        <f>HYPERLINK("https://probpalata.gov.ru/files/ЮЛ430603233500000.jpeg","Скачать индивидуальный QR-код магазина")</f>
        <v>Скачать индивидуальный QR-код магазина</v>
      </c>
    </row>
    <row r="3555" spans="1:7" x14ac:dyDescent="0.25">
      <c r="A3555" t="s">
        <v>10979</v>
      </c>
      <c r="B3555" t="s">
        <v>11100</v>
      </c>
      <c r="C3555" t="s">
        <v>11096</v>
      </c>
      <c r="D3555" t="s">
        <v>11097</v>
      </c>
      <c r="E3555" t="s">
        <v>11098</v>
      </c>
      <c r="F3555" t="s">
        <v>11101</v>
      </c>
      <c r="G3555" s="2" t="str">
        <f>HYPERLINK("https://probpalata.gov.ru/files/ЮЛ430603233500002.jpeg","Скачать индивидуальный QR-код магазина")</f>
        <v>Скачать индивидуальный QR-код магазина</v>
      </c>
    </row>
    <row r="3556" spans="1:7" x14ac:dyDescent="0.25">
      <c r="A3556" t="s">
        <v>10979</v>
      </c>
      <c r="B3556" t="s">
        <v>11102</v>
      </c>
      <c r="C3556" t="s">
        <v>11103</v>
      </c>
      <c r="D3556" t="s">
        <v>11104</v>
      </c>
      <c r="E3556" t="s">
        <v>11105</v>
      </c>
      <c r="F3556" t="s">
        <v>11106</v>
      </c>
      <c r="G3556" s="2" t="str">
        <f>HYPERLINK("https://probpalata.gov.ru/files/ИП430603267000000.jpeg","Скачать индивидуальный QR-код магазина")</f>
        <v>Скачать индивидуальный QR-код магазина</v>
      </c>
    </row>
    <row r="3557" spans="1:7" x14ac:dyDescent="0.25">
      <c r="A3557" t="s">
        <v>10979</v>
      </c>
      <c r="B3557" t="s">
        <v>11107</v>
      </c>
      <c r="C3557" t="s">
        <v>11108</v>
      </c>
      <c r="D3557" t="s">
        <v>11109</v>
      </c>
      <c r="E3557" t="s">
        <v>11110</v>
      </c>
      <c r="F3557" t="s">
        <v>11111</v>
      </c>
      <c r="G3557" s="2" t="str">
        <f>HYPERLINK("https://probpalata.gov.ru/files/ИП430601035300000.jpeg","Скачать индивидуальный QR-код магазина")</f>
        <v>Скачать индивидуальный QR-код магазина</v>
      </c>
    </row>
    <row r="3558" spans="1:7" x14ac:dyDescent="0.25">
      <c r="A3558" t="s">
        <v>10979</v>
      </c>
      <c r="B3558" t="s">
        <v>11112</v>
      </c>
      <c r="C3558" t="s">
        <v>11113</v>
      </c>
      <c r="D3558" t="s">
        <v>11114</v>
      </c>
      <c r="E3558" t="s">
        <v>11115</v>
      </c>
      <c r="F3558" t="s">
        <v>11116</v>
      </c>
      <c r="G3558" s="2" t="str">
        <f>HYPERLINK("https://probpalata.gov.ru/files/ЮЛ430603214300000.jpeg","Скачать индивидуальный QR-код магазина")</f>
        <v>Скачать индивидуальный QR-код магазина</v>
      </c>
    </row>
    <row r="3559" spans="1:7" x14ac:dyDescent="0.25">
      <c r="A3559" t="s">
        <v>10979</v>
      </c>
      <c r="B3559" t="s">
        <v>11117</v>
      </c>
      <c r="C3559" t="s">
        <v>11118</v>
      </c>
      <c r="D3559" t="s">
        <v>11119</v>
      </c>
      <c r="E3559" t="s">
        <v>11120</v>
      </c>
      <c r="F3559" t="s">
        <v>11121</v>
      </c>
      <c r="G3559" s="2" t="str">
        <f>HYPERLINK("https://probpalata.gov.ru/files/ИП430600968900000.jpeg","Скачать индивидуальный QR-код магазина")</f>
        <v>Скачать индивидуальный QR-код магазина</v>
      </c>
    </row>
    <row r="3560" spans="1:7" x14ac:dyDescent="0.25">
      <c r="A3560" t="s">
        <v>10979</v>
      </c>
      <c r="B3560" t="s">
        <v>11122</v>
      </c>
      <c r="C3560" t="s">
        <v>11123</v>
      </c>
      <c r="D3560" t="s">
        <v>11124</v>
      </c>
      <c r="E3560" t="s">
        <v>11125</v>
      </c>
      <c r="F3560" t="s">
        <v>11126</v>
      </c>
      <c r="G3560" s="2" t="str">
        <f>HYPERLINK("https://probpalata.gov.ru/files/ИП430600755300000.jpeg","Скачать индивидуальный QR-код магазина")</f>
        <v>Скачать индивидуальный QR-код магазина</v>
      </c>
    </row>
    <row r="3561" spans="1:7" x14ac:dyDescent="0.25">
      <c r="A3561" t="s">
        <v>10979</v>
      </c>
      <c r="B3561" t="s">
        <v>11127</v>
      </c>
      <c r="C3561" t="s">
        <v>11128</v>
      </c>
      <c r="D3561" t="s">
        <v>11129</v>
      </c>
      <c r="E3561" t="s">
        <v>11130</v>
      </c>
      <c r="F3561" t="s">
        <v>11131</v>
      </c>
      <c r="G3561" s="2" t="str">
        <f>HYPERLINK("https://probpalata.gov.ru/files/ИП520601352400000.jpeg","Скачать индивидуальный QR-код магазина")</f>
        <v>Скачать индивидуальный QR-код магазина</v>
      </c>
    </row>
    <row r="3562" spans="1:7" x14ac:dyDescent="0.25">
      <c r="A3562" t="s">
        <v>10979</v>
      </c>
      <c r="B3562" t="s">
        <v>11132</v>
      </c>
      <c r="C3562" t="s">
        <v>11128</v>
      </c>
      <c r="D3562" t="s">
        <v>11129</v>
      </c>
      <c r="E3562" t="s">
        <v>11130</v>
      </c>
      <c r="F3562" t="s">
        <v>11133</v>
      </c>
      <c r="G3562" s="2" t="str">
        <f>HYPERLINK("https://probpalata.gov.ru/files/ИП520601352400007.jpeg","Скачать индивидуальный QR-код магазина")</f>
        <v>Скачать индивидуальный QR-код магазина</v>
      </c>
    </row>
    <row r="3563" spans="1:7" x14ac:dyDescent="0.25">
      <c r="A3563" t="s">
        <v>10979</v>
      </c>
      <c r="B3563" t="s">
        <v>11134</v>
      </c>
      <c r="C3563" t="s">
        <v>11128</v>
      </c>
      <c r="D3563" t="s">
        <v>11129</v>
      </c>
      <c r="E3563" t="s">
        <v>11130</v>
      </c>
      <c r="F3563" t="s">
        <v>11135</v>
      </c>
      <c r="G3563" s="2" t="str">
        <f>HYPERLINK("https://probpalata.gov.ru/files/ИП520601352400008.jpeg","Скачать индивидуальный QR-код магазина")</f>
        <v>Скачать индивидуальный QR-код магазина</v>
      </c>
    </row>
    <row r="3564" spans="1:7" x14ac:dyDescent="0.25">
      <c r="A3564" t="s">
        <v>10979</v>
      </c>
      <c r="B3564" t="s">
        <v>11136</v>
      </c>
      <c r="C3564" t="s">
        <v>11128</v>
      </c>
      <c r="D3564" t="s">
        <v>11129</v>
      </c>
      <c r="E3564" t="s">
        <v>11130</v>
      </c>
      <c r="F3564" t="s">
        <v>11137</v>
      </c>
      <c r="G3564" s="2" t="str">
        <f>HYPERLINK("https://probpalata.gov.ru/files/ИП520601352400009.jpeg","Скачать индивидуальный QR-код магазина")</f>
        <v>Скачать индивидуальный QR-код магазина</v>
      </c>
    </row>
    <row r="3565" spans="1:7" x14ac:dyDescent="0.25">
      <c r="A3565" t="s">
        <v>10979</v>
      </c>
      <c r="B3565" t="s">
        <v>11138</v>
      </c>
      <c r="C3565" t="s">
        <v>11128</v>
      </c>
      <c r="D3565" t="s">
        <v>11129</v>
      </c>
      <c r="E3565" t="s">
        <v>11130</v>
      </c>
      <c r="F3565" t="s">
        <v>11139</v>
      </c>
      <c r="G3565" s="2" t="str">
        <f>HYPERLINK("https://probpalata.gov.ru/files/ИП520601352400010.jpeg","Скачать индивидуальный QR-код магазина")</f>
        <v>Скачать индивидуальный QR-код магазина</v>
      </c>
    </row>
    <row r="3566" spans="1:7" x14ac:dyDescent="0.25">
      <c r="A3566" t="s">
        <v>10979</v>
      </c>
      <c r="B3566" t="s">
        <v>11140</v>
      </c>
      <c r="C3566" t="s">
        <v>11128</v>
      </c>
      <c r="D3566" t="s">
        <v>11129</v>
      </c>
      <c r="E3566" t="s">
        <v>11130</v>
      </c>
      <c r="F3566" t="s">
        <v>11141</v>
      </c>
      <c r="G3566" s="2" t="str">
        <f>HYPERLINK("https://probpalata.gov.ru/files/ИП520601352400011.jpeg","Скачать индивидуальный QR-код магазина")</f>
        <v>Скачать индивидуальный QR-код магазина</v>
      </c>
    </row>
    <row r="3567" spans="1:7" x14ac:dyDescent="0.25">
      <c r="A3567" t="s">
        <v>10979</v>
      </c>
      <c r="B3567" t="s">
        <v>11142</v>
      </c>
      <c r="C3567" t="s">
        <v>11128</v>
      </c>
      <c r="D3567" t="s">
        <v>11129</v>
      </c>
      <c r="E3567" t="s">
        <v>11130</v>
      </c>
      <c r="F3567" t="s">
        <v>11143</v>
      </c>
      <c r="G3567" s="2" t="str">
        <f>HYPERLINK("https://probpalata.gov.ru/files/ИП520601352400013.jpeg","Скачать индивидуальный QR-код магазина")</f>
        <v>Скачать индивидуальный QR-код магазина</v>
      </c>
    </row>
    <row r="3568" spans="1:7" x14ac:dyDescent="0.25">
      <c r="A3568" t="s">
        <v>10979</v>
      </c>
      <c r="B3568" t="s">
        <v>11144</v>
      </c>
      <c r="C3568" t="s">
        <v>11128</v>
      </c>
      <c r="D3568" t="s">
        <v>11129</v>
      </c>
      <c r="E3568" t="s">
        <v>11130</v>
      </c>
      <c r="F3568" t="s">
        <v>11145</v>
      </c>
      <c r="G3568" s="2" t="str">
        <f>HYPERLINK("https://probpalata.gov.ru/files/ИП520601352400014.jpeg","Скачать индивидуальный QR-код магазина")</f>
        <v>Скачать индивидуальный QR-код магазина</v>
      </c>
    </row>
    <row r="3569" spans="1:7" x14ac:dyDescent="0.25">
      <c r="A3569" t="s">
        <v>10979</v>
      </c>
      <c r="B3569" t="s">
        <v>11146</v>
      </c>
      <c r="C3569" t="s">
        <v>11147</v>
      </c>
      <c r="D3569" t="s">
        <v>11148</v>
      </c>
      <c r="E3569" t="s">
        <v>11149</v>
      </c>
      <c r="F3569" t="s">
        <v>11150</v>
      </c>
      <c r="G3569" s="2" t="str">
        <f>HYPERLINK("https://probpalata.gov.ru/files/ЮЛ430603156000000.jpeg","Скачать индивидуальный QR-код магазина")</f>
        <v>Скачать индивидуальный QR-код магазина</v>
      </c>
    </row>
    <row r="3570" spans="1:7" x14ac:dyDescent="0.25">
      <c r="A3570" t="s">
        <v>10979</v>
      </c>
      <c r="B3570" t="s">
        <v>11151</v>
      </c>
      <c r="C3570" t="s">
        <v>11152</v>
      </c>
      <c r="D3570" t="s">
        <v>11153</v>
      </c>
      <c r="E3570" t="s">
        <v>11154</v>
      </c>
      <c r="F3570" t="s">
        <v>11155</v>
      </c>
      <c r="G3570" s="2" t="str">
        <f>HYPERLINK("https://probpalata.gov.ru/files/ИП430603174100000.jpeg","Скачать индивидуальный QR-код магазина")</f>
        <v>Скачать индивидуальный QR-код магазина</v>
      </c>
    </row>
    <row r="3571" spans="1:7" x14ac:dyDescent="0.25">
      <c r="A3571" t="s">
        <v>10979</v>
      </c>
      <c r="B3571" t="s">
        <v>11085</v>
      </c>
      <c r="C3571" t="s">
        <v>11152</v>
      </c>
      <c r="D3571" t="s">
        <v>11153</v>
      </c>
      <c r="E3571" t="s">
        <v>11154</v>
      </c>
      <c r="F3571" t="s">
        <v>11156</v>
      </c>
      <c r="G3571" s="2" t="str">
        <f>HYPERLINK("https://probpalata.gov.ru/files/ИП430603174100001.jpeg","Скачать индивидуальный QR-код магазина")</f>
        <v>Скачать индивидуальный QR-код магазина</v>
      </c>
    </row>
    <row r="3572" spans="1:7" x14ac:dyDescent="0.25">
      <c r="A3572" t="s">
        <v>10979</v>
      </c>
      <c r="B3572" t="s">
        <v>11157</v>
      </c>
      <c r="C3572" t="s">
        <v>11152</v>
      </c>
      <c r="D3572" t="s">
        <v>11153</v>
      </c>
      <c r="E3572" t="s">
        <v>11154</v>
      </c>
      <c r="F3572" t="s">
        <v>11158</v>
      </c>
      <c r="G3572" s="2" t="str">
        <f>HYPERLINK("https://probpalata.gov.ru/files/ИП430603174100002.jpeg","Скачать индивидуальный QR-код магазина")</f>
        <v>Скачать индивидуальный QR-код магазина</v>
      </c>
    </row>
    <row r="3573" spans="1:7" x14ac:dyDescent="0.25">
      <c r="A3573" t="s">
        <v>10979</v>
      </c>
      <c r="B3573" t="s">
        <v>11159</v>
      </c>
      <c r="C3573" t="s">
        <v>11160</v>
      </c>
      <c r="D3573" t="s">
        <v>11161</v>
      </c>
      <c r="E3573" t="s">
        <v>11162</v>
      </c>
      <c r="F3573" t="s">
        <v>11163</v>
      </c>
      <c r="G3573" s="2" t="str">
        <f>HYPERLINK("https://probpalata.gov.ru/files/ИП430601392900000.jpeg","Скачать индивидуальный QR-код магазина")</f>
        <v>Скачать индивидуальный QR-код магазина</v>
      </c>
    </row>
    <row r="3574" spans="1:7" x14ac:dyDescent="0.25">
      <c r="A3574" t="s">
        <v>10979</v>
      </c>
      <c r="B3574" t="s">
        <v>11164</v>
      </c>
      <c r="C3574" t="s">
        <v>11165</v>
      </c>
      <c r="D3574" t="s">
        <v>11166</v>
      </c>
      <c r="E3574" t="s">
        <v>11167</v>
      </c>
      <c r="F3574" t="s">
        <v>11168</v>
      </c>
      <c r="G3574" s="2" t="str">
        <f>HYPERLINK("https://probpalata.gov.ru/files/ИП430601868500000.jpeg","Скачать индивидуальный QR-код магазина")</f>
        <v>Скачать индивидуальный QR-код магазина</v>
      </c>
    </row>
    <row r="3575" spans="1:7" x14ac:dyDescent="0.25">
      <c r="A3575" t="s">
        <v>10979</v>
      </c>
      <c r="B3575" t="s">
        <v>11169</v>
      </c>
      <c r="C3575" t="s">
        <v>11170</v>
      </c>
      <c r="D3575" t="s">
        <v>11171</v>
      </c>
      <c r="E3575" t="s">
        <v>11172</v>
      </c>
      <c r="F3575" t="s">
        <v>11173</v>
      </c>
      <c r="G3575" s="2" t="str">
        <f>HYPERLINK("https://probpalata.gov.ru/files/ИП430600057500000.jpeg","Скачать индивидуальный QR-код магазина")</f>
        <v>Скачать индивидуальный QR-код магазина</v>
      </c>
    </row>
    <row r="3576" spans="1:7" x14ac:dyDescent="0.25">
      <c r="A3576" t="s">
        <v>10979</v>
      </c>
      <c r="B3576" t="s">
        <v>11174</v>
      </c>
      <c r="C3576" t="s">
        <v>11170</v>
      </c>
      <c r="D3576" t="s">
        <v>11171</v>
      </c>
      <c r="E3576" t="s">
        <v>11172</v>
      </c>
      <c r="F3576" t="s">
        <v>11175</v>
      </c>
      <c r="G3576" s="2" t="str">
        <f>HYPERLINK("https://probpalata.gov.ru/files/ИП430600057500002.jpeg","Скачать индивидуальный QR-код магазина")</f>
        <v>Скачать индивидуальный QR-код магазина</v>
      </c>
    </row>
    <row r="3577" spans="1:7" x14ac:dyDescent="0.25">
      <c r="A3577" t="s">
        <v>10979</v>
      </c>
      <c r="B3577" t="s">
        <v>11176</v>
      </c>
      <c r="C3577" t="s">
        <v>11177</v>
      </c>
      <c r="D3577" t="s">
        <v>11178</v>
      </c>
      <c r="E3577" t="s">
        <v>11179</v>
      </c>
      <c r="F3577" t="s">
        <v>11180</v>
      </c>
      <c r="G3577" s="2" t="str">
        <f>HYPERLINK("https://probpalata.gov.ru/files/ИП430600493200000.jpeg","Скачать индивидуальный QR-код магазина")</f>
        <v>Скачать индивидуальный QR-код магазина</v>
      </c>
    </row>
    <row r="3578" spans="1:7" x14ac:dyDescent="0.25">
      <c r="A3578" t="s">
        <v>10979</v>
      </c>
      <c r="B3578" t="s">
        <v>11181</v>
      </c>
      <c r="C3578" t="s">
        <v>11182</v>
      </c>
      <c r="D3578" t="s">
        <v>11183</v>
      </c>
      <c r="E3578" t="s">
        <v>11184</v>
      </c>
      <c r="F3578" t="s">
        <v>11185</v>
      </c>
      <c r="G3578" s="2" t="str">
        <f>HYPERLINK("https://probpalata.gov.ru/files/ЮЛ430600282100000.jpeg","Скачать индивидуальный QR-код магазина")</f>
        <v>Скачать индивидуальный QR-код магазина</v>
      </c>
    </row>
    <row r="3579" spans="1:7" x14ac:dyDescent="0.25">
      <c r="A3579" t="s">
        <v>10979</v>
      </c>
      <c r="B3579" t="s">
        <v>11186</v>
      </c>
      <c r="C3579" t="s">
        <v>11187</v>
      </c>
      <c r="D3579" t="s">
        <v>11188</v>
      </c>
      <c r="E3579" t="s">
        <v>11189</v>
      </c>
      <c r="F3579" t="s">
        <v>11190</v>
      </c>
      <c r="G3579" s="2" t="str">
        <f>HYPERLINK("https://probpalata.gov.ru/files/ЮЛ430600308600000.jpeg","Скачать индивидуальный QR-код магазина")</f>
        <v>Скачать индивидуальный QR-код магазина</v>
      </c>
    </row>
    <row r="3580" spans="1:7" x14ac:dyDescent="0.25">
      <c r="A3580" t="s">
        <v>10979</v>
      </c>
      <c r="B3580" t="s">
        <v>11191</v>
      </c>
      <c r="C3580" t="s">
        <v>11187</v>
      </c>
      <c r="D3580" t="s">
        <v>11188</v>
      </c>
      <c r="E3580" t="s">
        <v>11189</v>
      </c>
      <c r="F3580" t="s">
        <v>11192</v>
      </c>
      <c r="G3580" s="2" t="str">
        <f>HYPERLINK("https://probpalata.gov.ru/files/ЮЛ430600308600001.jpeg","Скачать индивидуальный QR-код магазина")</f>
        <v>Скачать индивидуальный QR-код магазина</v>
      </c>
    </row>
    <row r="3581" spans="1:7" x14ac:dyDescent="0.25">
      <c r="A3581" t="s">
        <v>10979</v>
      </c>
      <c r="B3581" t="s">
        <v>11193</v>
      </c>
      <c r="C3581" t="s">
        <v>11187</v>
      </c>
      <c r="D3581" t="s">
        <v>11188</v>
      </c>
      <c r="E3581" t="s">
        <v>11189</v>
      </c>
      <c r="F3581" t="s">
        <v>11194</v>
      </c>
      <c r="G3581" s="2" t="str">
        <f>HYPERLINK("https://probpalata.gov.ru/files/ЮЛ430600308600002.jpeg","Скачать индивидуальный QR-код магазина")</f>
        <v>Скачать индивидуальный QR-код магазина</v>
      </c>
    </row>
    <row r="3582" spans="1:7" x14ac:dyDescent="0.25">
      <c r="A3582" t="s">
        <v>10979</v>
      </c>
      <c r="B3582" t="s">
        <v>11195</v>
      </c>
      <c r="C3582" t="s">
        <v>11196</v>
      </c>
      <c r="D3582" t="s">
        <v>11197</v>
      </c>
      <c r="E3582" t="s">
        <v>11198</v>
      </c>
      <c r="F3582" t="s">
        <v>11199</v>
      </c>
      <c r="G3582" s="2" t="str">
        <f>HYPERLINK("https://probpalata.gov.ru/files/ИП430600257100000.jpeg","Скачать индивидуальный QR-код магазина")</f>
        <v>Скачать индивидуальный QR-код магазина</v>
      </c>
    </row>
    <row r="3583" spans="1:7" x14ac:dyDescent="0.25">
      <c r="A3583" t="s">
        <v>10979</v>
      </c>
      <c r="B3583" t="s">
        <v>11200</v>
      </c>
      <c r="C3583" t="s">
        <v>11201</v>
      </c>
      <c r="D3583" t="s">
        <v>11202</v>
      </c>
      <c r="E3583" t="s">
        <v>11203</v>
      </c>
      <c r="F3583" t="s">
        <v>11204</v>
      </c>
      <c r="G3583" s="2" t="str">
        <f>HYPERLINK("https://probpalata.gov.ru/files/ИП430600926900000.jpeg","Скачать индивидуальный QR-код магазина")</f>
        <v>Скачать индивидуальный QR-код магазина</v>
      </c>
    </row>
    <row r="3584" spans="1:7" x14ac:dyDescent="0.25">
      <c r="A3584" t="s">
        <v>10979</v>
      </c>
      <c r="B3584" t="s">
        <v>11205</v>
      </c>
      <c r="C3584" t="s">
        <v>11206</v>
      </c>
      <c r="D3584" t="s">
        <v>11207</v>
      </c>
      <c r="E3584" t="s">
        <v>11208</v>
      </c>
      <c r="F3584" t="s">
        <v>11209</v>
      </c>
      <c r="G3584" s="2" t="str">
        <f>HYPERLINK("https://probpalata.gov.ru/files/ИП430601138100000.jpeg","Скачать индивидуальный QR-код магазина")</f>
        <v>Скачать индивидуальный QR-код магазина</v>
      </c>
    </row>
    <row r="3585" spans="1:7" x14ac:dyDescent="0.25">
      <c r="A3585" t="s">
        <v>10979</v>
      </c>
      <c r="B3585" t="s">
        <v>11210</v>
      </c>
      <c r="C3585" t="s">
        <v>11211</v>
      </c>
      <c r="D3585" t="s">
        <v>11212</v>
      </c>
      <c r="E3585" t="s">
        <v>11213</v>
      </c>
      <c r="F3585" t="s">
        <v>11214</v>
      </c>
      <c r="G3585" s="2" t="str">
        <f>HYPERLINK("https://probpalata.gov.ru/files/ИП430600293800000.jpeg","Скачать индивидуальный QR-код магазина")</f>
        <v>Скачать индивидуальный QR-код магазина</v>
      </c>
    </row>
    <row r="3586" spans="1:7" x14ac:dyDescent="0.25">
      <c r="A3586" t="s">
        <v>10979</v>
      </c>
      <c r="B3586" t="s">
        <v>11215</v>
      </c>
      <c r="C3586" t="s">
        <v>11211</v>
      </c>
      <c r="D3586" t="s">
        <v>11212</v>
      </c>
      <c r="E3586" t="s">
        <v>11213</v>
      </c>
      <c r="F3586" t="s">
        <v>11216</v>
      </c>
      <c r="G3586" s="2" t="str">
        <f>HYPERLINK("https://probpalata.gov.ru/files/ИП430600293800001.jpeg","Скачать индивидуальный QR-код магазина")</f>
        <v>Скачать индивидуальный QR-код магазина</v>
      </c>
    </row>
    <row r="3587" spans="1:7" x14ac:dyDescent="0.25">
      <c r="A3587" t="s">
        <v>10979</v>
      </c>
      <c r="B3587" t="s">
        <v>11217</v>
      </c>
      <c r="C3587" t="s">
        <v>11218</v>
      </c>
      <c r="D3587" t="s">
        <v>11219</v>
      </c>
      <c r="E3587" t="s">
        <v>11220</v>
      </c>
      <c r="F3587" t="s">
        <v>11221</v>
      </c>
      <c r="G3587" s="2" t="str">
        <f>HYPERLINK("https://probpalata.gov.ru/files/ЮЛ430603154400000.jpeg","Скачать индивидуальный QR-код магазина")</f>
        <v>Скачать индивидуальный QR-код магазина</v>
      </c>
    </row>
    <row r="3588" spans="1:7" x14ac:dyDescent="0.25">
      <c r="A3588" t="s">
        <v>10979</v>
      </c>
      <c r="B3588" t="s">
        <v>11222</v>
      </c>
      <c r="C3588" t="s">
        <v>11223</v>
      </c>
      <c r="D3588" t="s">
        <v>11224</v>
      </c>
      <c r="E3588" t="s">
        <v>11225</v>
      </c>
      <c r="F3588" t="s">
        <v>11226</v>
      </c>
      <c r="G3588" s="2" t="str">
        <f>HYPERLINK("https://probpalata.gov.ru/files/ИП430600128300000.jpeg","Скачать индивидуальный QR-код магазина")</f>
        <v>Скачать индивидуальный QR-код магазина</v>
      </c>
    </row>
    <row r="3589" spans="1:7" x14ac:dyDescent="0.25">
      <c r="A3589" t="s">
        <v>10979</v>
      </c>
      <c r="B3589" t="s">
        <v>11227</v>
      </c>
      <c r="C3589" t="s">
        <v>11228</v>
      </c>
      <c r="D3589" t="s">
        <v>11229</v>
      </c>
      <c r="E3589" t="s">
        <v>11230</v>
      </c>
      <c r="F3589" t="s">
        <v>11231</v>
      </c>
      <c r="G3589" s="2" t="str">
        <f>HYPERLINK("https://probpalata.gov.ru/files/ЮЛ430600296300000.jpeg","Скачать индивидуальный QR-код магазина")</f>
        <v>Скачать индивидуальный QR-код магазина</v>
      </c>
    </row>
    <row r="3590" spans="1:7" x14ac:dyDescent="0.25">
      <c r="A3590" t="s">
        <v>10979</v>
      </c>
      <c r="B3590" t="s">
        <v>11232</v>
      </c>
      <c r="C3590" t="s">
        <v>11233</v>
      </c>
      <c r="D3590" t="s">
        <v>11234</v>
      </c>
      <c r="E3590" t="s">
        <v>11235</v>
      </c>
      <c r="F3590" t="s">
        <v>11236</v>
      </c>
      <c r="G3590" s="2" t="str">
        <f>HYPERLINK("https://probpalata.gov.ru/files/ИП430600649300000.jpeg","Скачать индивидуальный QR-код магазина")</f>
        <v>Скачать индивидуальный QR-код магазина</v>
      </c>
    </row>
    <row r="3591" spans="1:7" x14ac:dyDescent="0.25">
      <c r="A3591" t="s">
        <v>10979</v>
      </c>
      <c r="B3591" t="s">
        <v>11237</v>
      </c>
      <c r="C3591" t="s">
        <v>11233</v>
      </c>
      <c r="D3591" t="s">
        <v>11234</v>
      </c>
      <c r="E3591" t="s">
        <v>11235</v>
      </c>
      <c r="F3591" t="s">
        <v>11238</v>
      </c>
      <c r="G3591" s="2" t="str">
        <f>HYPERLINK("https://probpalata.gov.ru/files/ИП430600649300003.jpeg","Скачать индивидуальный QR-код магазина")</f>
        <v>Скачать индивидуальный QR-код магазина</v>
      </c>
    </row>
    <row r="3592" spans="1:7" x14ac:dyDescent="0.25">
      <c r="A3592" t="s">
        <v>10979</v>
      </c>
      <c r="B3592" t="s">
        <v>11239</v>
      </c>
      <c r="C3592" t="s">
        <v>11240</v>
      </c>
      <c r="D3592" t="s">
        <v>11241</v>
      </c>
      <c r="E3592" t="s">
        <v>11242</v>
      </c>
      <c r="F3592" t="s">
        <v>11243</v>
      </c>
      <c r="G3592" s="2" t="str">
        <f>HYPERLINK("https://probpalata.gov.ru/files/ИП430600316100000.jpeg","Скачать индивидуальный QR-код магазина")</f>
        <v>Скачать индивидуальный QR-код магазина</v>
      </c>
    </row>
    <row r="3593" spans="1:7" x14ac:dyDescent="0.25">
      <c r="A3593" t="s">
        <v>10979</v>
      </c>
      <c r="B3593" t="s">
        <v>11244</v>
      </c>
      <c r="C3593" t="s">
        <v>11245</v>
      </c>
      <c r="D3593" t="s">
        <v>11246</v>
      </c>
      <c r="E3593" t="s">
        <v>11247</v>
      </c>
      <c r="F3593" t="s">
        <v>11248</v>
      </c>
      <c r="G3593" s="2" t="str">
        <f>HYPERLINK("https://probpalata.gov.ru/files/ИП430603451900000.jpeg","Скачать индивидуальный QR-код магазина")</f>
        <v>Скачать индивидуальный QR-код магазина</v>
      </c>
    </row>
    <row r="3594" spans="1:7" x14ac:dyDescent="0.25">
      <c r="A3594" t="s">
        <v>10979</v>
      </c>
      <c r="B3594" t="s">
        <v>11249</v>
      </c>
      <c r="C3594" t="s">
        <v>11245</v>
      </c>
      <c r="D3594" t="s">
        <v>11246</v>
      </c>
      <c r="E3594" t="s">
        <v>11247</v>
      </c>
      <c r="F3594" t="s">
        <v>11250</v>
      </c>
      <c r="G3594" s="2" t="str">
        <f>HYPERLINK("https://probpalata.gov.ru/files/ИП430603451900001.jpeg","Скачать индивидуальный QR-код магазина")</f>
        <v>Скачать индивидуальный QR-код магазина</v>
      </c>
    </row>
    <row r="3595" spans="1:7" x14ac:dyDescent="0.25">
      <c r="A3595" t="s">
        <v>10979</v>
      </c>
      <c r="B3595" t="s">
        <v>11251</v>
      </c>
      <c r="C3595" t="s">
        <v>11245</v>
      </c>
      <c r="D3595" t="s">
        <v>11246</v>
      </c>
      <c r="E3595" t="s">
        <v>11247</v>
      </c>
      <c r="F3595" t="s">
        <v>11252</v>
      </c>
      <c r="G3595" s="2" t="str">
        <f>HYPERLINK("https://probpalata.gov.ru/files/ИП430603451900002.jpeg","Скачать индивидуальный QR-код магазина")</f>
        <v>Скачать индивидуальный QR-код магазина</v>
      </c>
    </row>
    <row r="3596" spans="1:7" x14ac:dyDescent="0.25">
      <c r="A3596" t="s">
        <v>10979</v>
      </c>
      <c r="B3596" t="s">
        <v>11253</v>
      </c>
      <c r="C3596" t="s">
        <v>11254</v>
      </c>
      <c r="D3596" t="s">
        <v>11255</v>
      </c>
      <c r="E3596" t="s">
        <v>11256</v>
      </c>
      <c r="F3596" t="s">
        <v>11257</v>
      </c>
      <c r="G3596" s="2" t="str">
        <f>HYPERLINK("https://probpalata.gov.ru/files/ИП430601031200000.jpeg","Скачать индивидуальный QR-код магазина")</f>
        <v>Скачать индивидуальный QR-код магазина</v>
      </c>
    </row>
    <row r="3597" spans="1:7" x14ac:dyDescent="0.25">
      <c r="A3597" t="s">
        <v>10979</v>
      </c>
      <c r="B3597" t="s">
        <v>11258</v>
      </c>
      <c r="C3597" t="s">
        <v>11254</v>
      </c>
      <c r="D3597" t="s">
        <v>11255</v>
      </c>
      <c r="E3597" t="s">
        <v>11256</v>
      </c>
      <c r="F3597" t="s">
        <v>11259</v>
      </c>
      <c r="G3597" s="2" t="str">
        <f>HYPERLINK("https://probpalata.gov.ru/files/ИП430601031200001.jpeg","Скачать индивидуальный QR-код магазина")</f>
        <v>Скачать индивидуальный QR-код магазина</v>
      </c>
    </row>
    <row r="3598" spans="1:7" x14ac:dyDescent="0.25">
      <c r="A3598" t="s">
        <v>10979</v>
      </c>
      <c r="B3598" t="s">
        <v>11260</v>
      </c>
      <c r="C3598" t="s">
        <v>11254</v>
      </c>
      <c r="D3598" t="s">
        <v>11255</v>
      </c>
      <c r="E3598" t="s">
        <v>11256</v>
      </c>
      <c r="F3598" t="s">
        <v>11261</v>
      </c>
      <c r="G3598" s="2" t="str">
        <f>HYPERLINK("https://probpalata.gov.ru/files/ИП430601031200004.jpeg","Скачать индивидуальный QR-код магазина")</f>
        <v>Скачать индивидуальный QR-код магазина</v>
      </c>
    </row>
    <row r="3599" spans="1:7" x14ac:dyDescent="0.25">
      <c r="A3599" t="s">
        <v>10979</v>
      </c>
      <c r="B3599" t="s">
        <v>11262</v>
      </c>
      <c r="C3599" t="s">
        <v>11254</v>
      </c>
      <c r="D3599" t="s">
        <v>11255</v>
      </c>
      <c r="E3599" t="s">
        <v>11256</v>
      </c>
      <c r="F3599" t="s">
        <v>11263</v>
      </c>
      <c r="G3599" s="2" t="str">
        <f>HYPERLINK("https://probpalata.gov.ru/files/ИП430601031200005.jpeg","Скачать индивидуальный QR-код магазина")</f>
        <v>Скачать индивидуальный QR-код магазина</v>
      </c>
    </row>
    <row r="3600" spans="1:7" x14ac:dyDescent="0.25">
      <c r="A3600" t="s">
        <v>10979</v>
      </c>
      <c r="B3600" t="s">
        <v>11264</v>
      </c>
      <c r="C3600" t="s">
        <v>11254</v>
      </c>
      <c r="D3600" t="s">
        <v>11255</v>
      </c>
      <c r="E3600" t="s">
        <v>11256</v>
      </c>
      <c r="F3600" t="s">
        <v>11265</v>
      </c>
      <c r="G3600" s="2" t="str">
        <f>HYPERLINK("https://probpalata.gov.ru/files/ИП430601031200008.jpeg","Скачать индивидуальный QR-код магазина")</f>
        <v>Скачать индивидуальный QR-код магазина</v>
      </c>
    </row>
    <row r="3601" spans="1:7" x14ac:dyDescent="0.25">
      <c r="A3601" t="s">
        <v>10979</v>
      </c>
      <c r="B3601" t="s">
        <v>11266</v>
      </c>
      <c r="C3601" t="s">
        <v>11254</v>
      </c>
      <c r="D3601" t="s">
        <v>11255</v>
      </c>
      <c r="E3601" t="s">
        <v>11256</v>
      </c>
      <c r="F3601" t="s">
        <v>11267</v>
      </c>
      <c r="G3601" s="2" t="str">
        <f>HYPERLINK("https://probpalata.gov.ru/files/ИП430601031200010.jpeg","Скачать индивидуальный QR-код магазина")</f>
        <v>Скачать индивидуальный QR-код магазина</v>
      </c>
    </row>
    <row r="3602" spans="1:7" x14ac:dyDescent="0.25">
      <c r="A3602" t="s">
        <v>10979</v>
      </c>
      <c r="B3602" t="s">
        <v>11268</v>
      </c>
      <c r="C3602" t="s">
        <v>11254</v>
      </c>
      <c r="D3602" t="s">
        <v>11255</v>
      </c>
      <c r="E3602" t="s">
        <v>11256</v>
      </c>
      <c r="F3602" t="s">
        <v>11269</v>
      </c>
      <c r="G3602" s="2" t="str">
        <f>HYPERLINK("https://probpalata.gov.ru/files/ИП430601031200011.jpeg","Скачать индивидуальный QR-код магазина")</f>
        <v>Скачать индивидуальный QR-код магазина</v>
      </c>
    </row>
    <row r="3603" spans="1:7" x14ac:dyDescent="0.25">
      <c r="A3603" t="s">
        <v>10979</v>
      </c>
      <c r="B3603" t="s">
        <v>11270</v>
      </c>
      <c r="C3603" t="s">
        <v>11254</v>
      </c>
      <c r="D3603" t="s">
        <v>11255</v>
      </c>
      <c r="E3603" t="s">
        <v>11256</v>
      </c>
      <c r="F3603" t="s">
        <v>11271</v>
      </c>
      <c r="G3603" s="2" t="str">
        <f>HYPERLINK("https://probpalata.gov.ru/files/ИП430601031200012.jpeg","Скачать индивидуальный QR-код магазина")</f>
        <v>Скачать индивидуальный QR-код магазина</v>
      </c>
    </row>
    <row r="3604" spans="1:7" x14ac:dyDescent="0.25">
      <c r="A3604" t="s">
        <v>10979</v>
      </c>
      <c r="B3604" t="s">
        <v>11272</v>
      </c>
      <c r="C3604" t="s">
        <v>11254</v>
      </c>
      <c r="D3604" t="s">
        <v>11255</v>
      </c>
      <c r="E3604" t="s">
        <v>11256</v>
      </c>
      <c r="F3604" t="s">
        <v>11273</v>
      </c>
      <c r="G3604" s="2" t="str">
        <f>HYPERLINK("https://probpalata.gov.ru/files/ИП430601031200014.jpeg","Скачать индивидуальный QR-код магазина")</f>
        <v>Скачать индивидуальный QR-код магазина</v>
      </c>
    </row>
    <row r="3605" spans="1:7" x14ac:dyDescent="0.25">
      <c r="A3605" t="s">
        <v>10979</v>
      </c>
      <c r="B3605" t="s">
        <v>11232</v>
      </c>
      <c r="C3605" t="s">
        <v>11274</v>
      </c>
      <c r="D3605" t="s">
        <v>11275</v>
      </c>
      <c r="E3605" t="s">
        <v>11276</v>
      </c>
      <c r="F3605" t="s">
        <v>11277</v>
      </c>
      <c r="G3605" s="2" t="str">
        <f>HYPERLINK("https://probpalata.gov.ru/files/ИП430600056500000.jpeg","Скачать индивидуальный QR-код магазина")</f>
        <v>Скачать индивидуальный QR-код магазина</v>
      </c>
    </row>
    <row r="3606" spans="1:7" x14ac:dyDescent="0.25">
      <c r="A3606" t="s">
        <v>10979</v>
      </c>
      <c r="B3606" t="s">
        <v>11278</v>
      </c>
      <c r="C3606" t="s">
        <v>11274</v>
      </c>
      <c r="D3606" t="s">
        <v>11275</v>
      </c>
      <c r="E3606" t="s">
        <v>11276</v>
      </c>
      <c r="F3606" t="s">
        <v>11279</v>
      </c>
      <c r="G3606" s="2" t="str">
        <f>HYPERLINK("https://probpalata.gov.ru/files/ИП430600056500001.jpeg","Скачать индивидуальный QR-код магазина")</f>
        <v>Скачать индивидуальный QR-код магазина</v>
      </c>
    </row>
    <row r="3607" spans="1:7" x14ac:dyDescent="0.25">
      <c r="A3607" t="s">
        <v>10979</v>
      </c>
      <c r="B3607" t="s">
        <v>11280</v>
      </c>
      <c r="C3607" t="s">
        <v>11274</v>
      </c>
      <c r="D3607" t="s">
        <v>11275</v>
      </c>
      <c r="E3607" t="s">
        <v>11276</v>
      </c>
      <c r="F3607" t="s">
        <v>11281</v>
      </c>
      <c r="G3607" s="2" t="str">
        <f>HYPERLINK("https://probpalata.gov.ru/files/ИП430600056500002.jpeg","Скачать индивидуальный QR-код магазина")</f>
        <v>Скачать индивидуальный QR-код магазина</v>
      </c>
    </row>
    <row r="3608" spans="1:7" x14ac:dyDescent="0.25">
      <c r="A3608" t="s">
        <v>10979</v>
      </c>
      <c r="B3608" t="s">
        <v>11282</v>
      </c>
      <c r="C3608" t="s">
        <v>11274</v>
      </c>
      <c r="D3608" t="s">
        <v>11275</v>
      </c>
      <c r="E3608" t="s">
        <v>11276</v>
      </c>
      <c r="F3608" t="s">
        <v>11283</v>
      </c>
      <c r="G3608" s="2" t="str">
        <f>HYPERLINK("https://probpalata.gov.ru/files/ИП430600056500003.jpeg","Скачать индивидуальный QR-код магазина")</f>
        <v>Скачать индивидуальный QR-код магазина</v>
      </c>
    </row>
    <row r="3609" spans="1:7" x14ac:dyDescent="0.25">
      <c r="A3609" t="s">
        <v>10979</v>
      </c>
      <c r="B3609" t="s">
        <v>11284</v>
      </c>
      <c r="C3609" t="s">
        <v>11274</v>
      </c>
      <c r="D3609" t="s">
        <v>11275</v>
      </c>
      <c r="E3609" t="s">
        <v>11276</v>
      </c>
      <c r="F3609" t="s">
        <v>11285</v>
      </c>
      <c r="G3609" s="2" t="str">
        <f>HYPERLINK("https://probpalata.gov.ru/files/ИП430600056500004.jpeg","Скачать индивидуальный QR-код магазина")</f>
        <v>Скачать индивидуальный QR-код магазина</v>
      </c>
    </row>
    <row r="3610" spans="1:7" x14ac:dyDescent="0.25">
      <c r="A3610" t="s">
        <v>10979</v>
      </c>
      <c r="B3610" t="s">
        <v>11286</v>
      </c>
      <c r="C3610" t="s">
        <v>11274</v>
      </c>
      <c r="D3610" t="s">
        <v>11275</v>
      </c>
      <c r="E3610" t="s">
        <v>11276</v>
      </c>
      <c r="F3610" t="s">
        <v>11287</v>
      </c>
      <c r="G3610" s="2" t="str">
        <f>HYPERLINK("https://probpalata.gov.ru/files/ИП430600056500006.jpeg","Скачать индивидуальный QR-код магазина")</f>
        <v>Скачать индивидуальный QR-код магазина</v>
      </c>
    </row>
    <row r="3611" spans="1:7" x14ac:dyDescent="0.25">
      <c r="A3611" t="s">
        <v>10979</v>
      </c>
      <c r="B3611" t="s">
        <v>11237</v>
      </c>
      <c r="C3611" t="s">
        <v>11274</v>
      </c>
      <c r="D3611" t="s">
        <v>11275</v>
      </c>
      <c r="E3611" t="s">
        <v>11276</v>
      </c>
      <c r="F3611" t="s">
        <v>11288</v>
      </c>
      <c r="G3611" s="2" t="str">
        <f>HYPERLINK("https://probpalata.gov.ru/files/ИП430600056500008.jpeg","Скачать индивидуальный QR-код магазина")</f>
        <v>Скачать индивидуальный QR-код магазина</v>
      </c>
    </row>
    <row r="3612" spans="1:7" x14ac:dyDescent="0.25">
      <c r="A3612" t="s">
        <v>10979</v>
      </c>
      <c r="B3612" t="s">
        <v>11289</v>
      </c>
      <c r="C3612" t="s">
        <v>671</v>
      </c>
      <c r="D3612" t="s">
        <v>672</v>
      </c>
      <c r="E3612" t="s">
        <v>673</v>
      </c>
      <c r="F3612" t="s">
        <v>11290</v>
      </c>
      <c r="G3612" s="2" t="str">
        <f>HYPERLINK("https://probpalata.gov.ru/files/ИП500100445500047.jpeg","Скачать индивидуальный QR-код магазина")</f>
        <v>Скачать индивидуальный QR-код магазина</v>
      </c>
    </row>
    <row r="3613" spans="1:7" x14ac:dyDescent="0.25">
      <c r="A3613" t="s">
        <v>10979</v>
      </c>
      <c r="B3613" t="s">
        <v>11291</v>
      </c>
      <c r="C3613" t="s">
        <v>681</v>
      </c>
      <c r="D3613" t="s">
        <v>682</v>
      </c>
      <c r="E3613" t="s">
        <v>683</v>
      </c>
      <c r="F3613" t="s">
        <v>11292</v>
      </c>
      <c r="G3613" s="2" t="str">
        <f>HYPERLINK("https://probpalata.gov.ru/files/ИП520600807800017.jpeg","Скачать индивидуальный QR-код магазина")</f>
        <v>Скачать индивидуальный QR-код магазина</v>
      </c>
    </row>
    <row r="3614" spans="1:7" x14ac:dyDescent="0.25">
      <c r="A3614" t="s">
        <v>10979</v>
      </c>
      <c r="B3614" t="s">
        <v>11293</v>
      </c>
      <c r="C3614" t="s">
        <v>748</v>
      </c>
      <c r="D3614" t="s">
        <v>749</v>
      </c>
      <c r="E3614" t="s">
        <v>750</v>
      </c>
      <c r="F3614" t="s">
        <v>11294</v>
      </c>
      <c r="G3614" s="2" t="str">
        <f>HYPERLINK("https://probpalata.gov.ru/files/ЮЛ770100193500405.jpeg","Скачать индивидуальный QR-код магазина")</f>
        <v>Скачать индивидуальный QR-код магазина</v>
      </c>
    </row>
    <row r="3615" spans="1:7" x14ac:dyDescent="0.25">
      <c r="A3615" t="s">
        <v>10979</v>
      </c>
      <c r="B3615" t="s">
        <v>11295</v>
      </c>
      <c r="C3615" t="s">
        <v>748</v>
      </c>
      <c r="D3615" t="s">
        <v>749</v>
      </c>
      <c r="E3615" t="s">
        <v>750</v>
      </c>
      <c r="F3615" t="s">
        <v>11296</v>
      </c>
      <c r="G3615" s="2" t="str">
        <f>HYPERLINK("https://probpalata.gov.ru/files/ЮЛ770100193500406.jpeg","Скачать индивидуальный QR-код магазина")</f>
        <v>Скачать индивидуальный QR-код магазина</v>
      </c>
    </row>
    <row r="3616" spans="1:7" x14ac:dyDescent="0.25">
      <c r="A3616" t="s">
        <v>10979</v>
      </c>
      <c r="B3616" t="s">
        <v>11297</v>
      </c>
      <c r="C3616" t="s">
        <v>748</v>
      </c>
      <c r="D3616" t="s">
        <v>749</v>
      </c>
      <c r="E3616" t="s">
        <v>750</v>
      </c>
      <c r="F3616" t="s">
        <v>11298</v>
      </c>
      <c r="G3616" s="2" t="str">
        <f>HYPERLINK("https://probpalata.gov.ru/files/ЮЛ770100193500857.jpeg","Скачать индивидуальный QR-код магазина")</f>
        <v>Скачать индивидуальный QR-код магазина</v>
      </c>
    </row>
    <row r="3617" spans="1:7" x14ac:dyDescent="0.25">
      <c r="A3617" t="s">
        <v>10979</v>
      </c>
      <c r="B3617" t="s">
        <v>11299</v>
      </c>
      <c r="C3617" t="s">
        <v>791</v>
      </c>
      <c r="D3617" t="s">
        <v>792</v>
      </c>
      <c r="E3617" t="s">
        <v>793</v>
      </c>
      <c r="F3617" t="s">
        <v>11300</v>
      </c>
      <c r="G3617" s="2" t="str">
        <f>HYPERLINK("https://probpalata.gov.ru/files/ЮЛ780300323500066.jpeg","Скачать индивидуальный QR-код магазина")</f>
        <v>Скачать индивидуальный QR-код магазина</v>
      </c>
    </row>
    <row r="3618" spans="1:7" x14ac:dyDescent="0.25">
      <c r="A3618" t="s">
        <v>10979</v>
      </c>
      <c r="B3618" t="s">
        <v>11301</v>
      </c>
      <c r="C3618" t="s">
        <v>798</v>
      </c>
      <c r="D3618" t="s">
        <v>799</v>
      </c>
      <c r="E3618" t="s">
        <v>800</v>
      </c>
      <c r="F3618" t="s">
        <v>11302</v>
      </c>
      <c r="G3618" s="2" t="str">
        <f>HYPERLINK("https://probpalata.gov.ru/files/ЮЛ780300308200198.jpeg","Скачать индивидуальный QR-код магазина")</f>
        <v>Скачать индивидуальный QR-код магазина</v>
      </c>
    </row>
    <row r="3619" spans="1:7" x14ac:dyDescent="0.25">
      <c r="A3619" t="s">
        <v>10979</v>
      </c>
      <c r="B3619" t="s">
        <v>11303</v>
      </c>
      <c r="C3619" t="s">
        <v>798</v>
      </c>
      <c r="D3619" t="s">
        <v>799</v>
      </c>
      <c r="E3619" t="s">
        <v>800</v>
      </c>
      <c r="F3619" t="s">
        <v>11304</v>
      </c>
      <c r="G3619" s="2" t="str">
        <f>HYPERLINK("https://probpalata.gov.ru/files/ЮЛ780300308200555.jpeg","Скачать индивидуальный QR-код магазина")</f>
        <v>Скачать индивидуальный QR-код магазина</v>
      </c>
    </row>
    <row r="3620" spans="1:7" x14ac:dyDescent="0.25">
      <c r="A3620" t="s">
        <v>10979</v>
      </c>
      <c r="B3620" t="s">
        <v>11305</v>
      </c>
      <c r="C3620" t="s">
        <v>798</v>
      </c>
      <c r="D3620" t="s">
        <v>799</v>
      </c>
      <c r="E3620" t="s">
        <v>800</v>
      </c>
      <c r="F3620" t="s">
        <v>11306</v>
      </c>
      <c r="G3620" s="2" t="str">
        <f>HYPERLINK("https://probpalata.gov.ru/files/ЮЛ780300308201088.jpeg","Скачать индивидуальный QR-код магазина")</f>
        <v>Скачать индивидуальный QR-код магазина</v>
      </c>
    </row>
    <row r="3621" spans="1:7" x14ac:dyDescent="0.25">
      <c r="A3621" t="s">
        <v>10979</v>
      </c>
      <c r="B3621" t="s">
        <v>11307</v>
      </c>
      <c r="C3621" t="s">
        <v>823</v>
      </c>
      <c r="D3621" t="s">
        <v>824</v>
      </c>
      <c r="E3621" t="s">
        <v>825</v>
      </c>
      <c r="F3621" t="s">
        <v>11308</v>
      </c>
      <c r="G3621" s="2" t="str">
        <f>HYPERLINK("https://probpalata.gov.ru/files/ЮЛ780300363500124.jpeg","Скачать индивидуальный QR-код магазина")</f>
        <v>Скачать индивидуальный QR-код магазина</v>
      </c>
    </row>
    <row r="3622" spans="1:7" x14ac:dyDescent="0.25">
      <c r="A3622" t="s">
        <v>11309</v>
      </c>
      <c r="B3622" t="s">
        <v>11310</v>
      </c>
      <c r="C3622" t="s">
        <v>11311</v>
      </c>
      <c r="D3622" t="s">
        <v>11312</v>
      </c>
      <c r="E3622" t="s">
        <v>11313</v>
      </c>
      <c r="F3622" t="s">
        <v>11314</v>
      </c>
      <c r="G3622" s="2" t="str">
        <f>HYPERLINK("https://probpalata.gov.ru/files/ИП440200858900000.jpeg","Скачать индивидуальный QR-код магазина")</f>
        <v>Скачать индивидуальный QR-код магазина</v>
      </c>
    </row>
    <row r="3623" spans="1:7" x14ac:dyDescent="0.25">
      <c r="A3623" t="s">
        <v>11309</v>
      </c>
      <c r="B3623" t="s">
        <v>11315</v>
      </c>
      <c r="C3623" t="s">
        <v>11316</v>
      </c>
      <c r="D3623" t="s">
        <v>11317</v>
      </c>
      <c r="E3623" t="s">
        <v>11318</v>
      </c>
      <c r="F3623" t="s">
        <v>11319</v>
      </c>
      <c r="G3623" s="2" t="str">
        <f>HYPERLINK("https://probpalata.gov.ru/files/ИП050504075000000.jpeg","Скачать индивидуальный QR-код магазина")</f>
        <v>Скачать индивидуальный QR-код магазина</v>
      </c>
    </row>
    <row r="3624" spans="1:7" x14ac:dyDescent="0.25">
      <c r="A3624" t="s">
        <v>11309</v>
      </c>
      <c r="B3624" t="s">
        <v>11320</v>
      </c>
      <c r="C3624" t="s">
        <v>11321</v>
      </c>
      <c r="D3624" t="s">
        <v>11322</v>
      </c>
      <c r="E3624" t="s">
        <v>11323</v>
      </c>
      <c r="F3624" t="s">
        <v>11324</v>
      </c>
      <c r="G3624" s="2" t="str">
        <f>HYPERLINK("https://probpalata.gov.ru/files/ИП500101714600000.jpeg","Скачать индивидуальный QR-код магазина")</f>
        <v>Скачать индивидуальный QR-код магазина</v>
      </c>
    </row>
    <row r="3625" spans="1:7" x14ac:dyDescent="0.25">
      <c r="A3625" t="s">
        <v>11309</v>
      </c>
      <c r="B3625" t="s">
        <v>11325</v>
      </c>
      <c r="C3625" t="s">
        <v>11326</v>
      </c>
      <c r="D3625" t="s">
        <v>11327</v>
      </c>
      <c r="E3625" t="s">
        <v>11328</v>
      </c>
      <c r="F3625" t="s">
        <v>11329</v>
      </c>
      <c r="G3625" s="2" t="str">
        <f>HYPERLINK("https://probpalata.gov.ru/files/ИП770103799800000.jpeg","Скачать индивидуальный QR-код магазина")</f>
        <v>Скачать индивидуальный QR-код магазина</v>
      </c>
    </row>
    <row r="3626" spans="1:7" x14ac:dyDescent="0.25">
      <c r="A3626" t="s">
        <v>11309</v>
      </c>
      <c r="B3626" t="s">
        <v>11330</v>
      </c>
      <c r="C3626" t="s">
        <v>11331</v>
      </c>
      <c r="D3626" t="s">
        <v>11332</v>
      </c>
      <c r="E3626" t="s">
        <v>11333</v>
      </c>
      <c r="F3626" t="s">
        <v>11334</v>
      </c>
      <c r="G3626" s="2" t="str">
        <f>HYPERLINK("https://probpalata.gov.ru/files/ИП440203853000000.jpeg","Скачать индивидуальный QR-код магазина")</f>
        <v>Скачать индивидуальный QR-код магазина</v>
      </c>
    </row>
    <row r="3627" spans="1:7" x14ac:dyDescent="0.25">
      <c r="A3627" t="s">
        <v>11309</v>
      </c>
      <c r="B3627" t="s">
        <v>11335</v>
      </c>
      <c r="C3627" t="s">
        <v>11336</v>
      </c>
      <c r="D3627" t="s">
        <v>11337</v>
      </c>
      <c r="E3627" t="s">
        <v>11338</v>
      </c>
      <c r="F3627" t="s">
        <v>11339</v>
      </c>
      <c r="G3627" s="2" t="str">
        <f>HYPERLINK("https://probpalata.gov.ru/files/ИП760200584100000.jpeg","Скачать индивидуальный QR-код магазина")</f>
        <v>Скачать индивидуальный QR-код магазина</v>
      </c>
    </row>
    <row r="3628" spans="1:7" x14ac:dyDescent="0.25">
      <c r="A3628" t="s">
        <v>11309</v>
      </c>
      <c r="B3628" t="s">
        <v>11340</v>
      </c>
      <c r="C3628" t="s">
        <v>11341</v>
      </c>
      <c r="D3628" t="s">
        <v>11342</v>
      </c>
      <c r="E3628" t="s">
        <v>11343</v>
      </c>
      <c r="F3628" t="s">
        <v>11344</v>
      </c>
      <c r="G3628" s="2" t="str">
        <f>HYPERLINK("https://probpalata.gov.ru/files/ИП370200176200000.jpeg","Скачать индивидуальный QR-код магазина")</f>
        <v>Скачать индивидуальный QR-код магазина</v>
      </c>
    </row>
    <row r="3629" spans="1:7" x14ac:dyDescent="0.25">
      <c r="A3629" t="s">
        <v>11309</v>
      </c>
      <c r="B3629" t="s">
        <v>11345</v>
      </c>
      <c r="C3629" t="s">
        <v>6727</v>
      </c>
      <c r="D3629" t="s">
        <v>6728</v>
      </c>
      <c r="E3629" t="s">
        <v>6729</v>
      </c>
      <c r="F3629" t="s">
        <v>11346</v>
      </c>
      <c r="G3629" s="2" t="str">
        <f>HYPERLINK("https://probpalata.gov.ru/files/ИП370200884200003.jpeg","Скачать индивидуальный QR-код магазина")</f>
        <v>Скачать индивидуальный QR-код магазина</v>
      </c>
    </row>
    <row r="3630" spans="1:7" x14ac:dyDescent="0.25">
      <c r="A3630" t="s">
        <v>11309</v>
      </c>
      <c r="B3630" t="s">
        <v>11347</v>
      </c>
      <c r="C3630" t="s">
        <v>3055</v>
      </c>
      <c r="D3630" t="s">
        <v>3056</v>
      </c>
      <c r="E3630" t="s">
        <v>3057</v>
      </c>
      <c r="F3630" t="s">
        <v>11348</v>
      </c>
      <c r="G3630" s="2" t="str">
        <f>HYPERLINK("https://probpalata.gov.ru/files/ИП370200420000002.jpeg","Скачать индивидуальный QR-код магазина")</f>
        <v>Скачать индивидуальный QR-код магазина</v>
      </c>
    </row>
    <row r="3631" spans="1:7" x14ac:dyDescent="0.25">
      <c r="A3631" t="s">
        <v>11309</v>
      </c>
      <c r="B3631" t="s">
        <v>11349</v>
      </c>
      <c r="C3631" t="s">
        <v>11350</v>
      </c>
      <c r="D3631" t="s">
        <v>11351</v>
      </c>
      <c r="E3631" t="s">
        <v>11352</v>
      </c>
      <c r="F3631" t="s">
        <v>11353</v>
      </c>
      <c r="G3631" s="2" t="str">
        <f>HYPERLINK("https://probpalata.gov.ru/files/ИП370200561600000.jpeg","Скачать индивидуальный QR-код магазина")</f>
        <v>Скачать индивидуальный QR-код магазина</v>
      </c>
    </row>
    <row r="3632" spans="1:7" x14ac:dyDescent="0.25">
      <c r="A3632" t="s">
        <v>11309</v>
      </c>
      <c r="B3632" t="s">
        <v>11354</v>
      </c>
      <c r="C3632" t="s">
        <v>11355</v>
      </c>
      <c r="D3632" t="s">
        <v>11356</v>
      </c>
      <c r="E3632" t="s">
        <v>11357</v>
      </c>
      <c r="F3632" t="s">
        <v>11358</v>
      </c>
      <c r="G3632" s="2" t="str">
        <f>HYPERLINK("https://probpalata.gov.ru/files/ИП440203762000000.jpeg","Скачать индивидуальный QR-код магазина")</f>
        <v>Скачать индивидуальный QR-код магазина</v>
      </c>
    </row>
    <row r="3633" spans="1:7" x14ac:dyDescent="0.25">
      <c r="A3633" t="s">
        <v>11309</v>
      </c>
      <c r="B3633" t="s">
        <v>11359</v>
      </c>
      <c r="C3633" t="s">
        <v>11355</v>
      </c>
      <c r="D3633" t="s">
        <v>11356</v>
      </c>
      <c r="E3633" t="s">
        <v>11357</v>
      </c>
      <c r="F3633" t="s">
        <v>11360</v>
      </c>
      <c r="G3633" s="2" t="str">
        <f>HYPERLINK("https://probpalata.gov.ru/files/ИП440203762000002.jpeg","Скачать индивидуальный QR-код магазина")</f>
        <v>Скачать индивидуальный QR-код магазина</v>
      </c>
    </row>
    <row r="3634" spans="1:7" x14ac:dyDescent="0.25">
      <c r="A3634" t="s">
        <v>11309</v>
      </c>
      <c r="B3634" t="s">
        <v>11361</v>
      </c>
      <c r="C3634" t="s">
        <v>11362</v>
      </c>
      <c r="D3634" t="s">
        <v>11363</v>
      </c>
      <c r="E3634" t="s">
        <v>11364</v>
      </c>
      <c r="F3634" t="s">
        <v>11365</v>
      </c>
      <c r="G3634" s="2" t="str">
        <f>HYPERLINK("https://probpalata.gov.ru/files/ИП440203175800000.jpeg","Скачать индивидуальный QR-код магазина")</f>
        <v>Скачать индивидуальный QR-код магазина</v>
      </c>
    </row>
    <row r="3635" spans="1:7" x14ac:dyDescent="0.25">
      <c r="A3635" t="s">
        <v>11309</v>
      </c>
      <c r="B3635" t="s">
        <v>11366</v>
      </c>
      <c r="C3635" t="s">
        <v>11367</v>
      </c>
      <c r="D3635" t="s">
        <v>11368</v>
      </c>
      <c r="E3635" t="s">
        <v>11369</v>
      </c>
      <c r="F3635" t="s">
        <v>11370</v>
      </c>
      <c r="G3635" s="2" t="str">
        <f>HYPERLINK("https://probpalata.gov.ru/files/ИП440200733000000.jpeg","Скачать индивидуальный QR-код магазина")</f>
        <v>Скачать индивидуальный QR-код магазина</v>
      </c>
    </row>
    <row r="3636" spans="1:7" x14ac:dyDescent="0.25">
      <c r="A3636" t="s">
        <v>11309</v>
      </c>
      <c r="B3636" t="s">
        <v>11371</v>
      </c>
      <c r="C3636" t="s">
        <v>11372</v>
      </c>
      <c r="D3636" t="s">
        <v>11373</v>
      </c>
      <c r="E3636" t="s">
        <v>11374</v>
      </c>
      <c r="F3636" t="s">
        <v>11375</v>
      </c>
      <c r="G3636" s="2" t="str">
        <f>HYPERLINK("https://probpalata.gov.ru/files/ЮЛ440200061300000.jpeg","Скачать индивидуальный QR-код магазина")</f>
        <v>Скачать индивидуальный QR-код магазина</v>
      </c>
    </row>
    <row r="3637" spans="1:7" x14ac:dyDescent="0.25">
      <c r="A3637" t="s">
        <v>11309</v>
      </c>
      <c r="B3637" t="s">
        <v>11376</v>
      </c>
      <c r="C3637" t="s">
        <v>11377</v>
      </c>
      <c r="D3637" t="s">
        <v>11378</v>
      </c>
      <c r="E3637" t="s">
        <v>11379</v>
      </c>
      <c r="F3637" t="s">
        <v>11380</v>
      </c>
      <c r="G3637" s="2" t="str">
        <f>HYPERLINK("https://probpalata.gov.ru/files/ЮЛ440200145300000.jpeg","Скачать индивидуальный QR-код магазина")</f>
        <v>Скачать индивидуальный QR-код магазина</v>
      </c>
    </row>
    <row r="3638" spans="1:7" x14ac:dyDescent="0.25">
      <c r="A3638" t="s">
        <v>11309</v>
      </c>
      <c r="B3638" t="s">
        <v>11381</v>
      </c>
      <c r="C3638" t="s">
        <v>11382</v>
      </c>
      <c r="D3638" t="s">
        <v>11383</v>
      </c>
      <c r="E3638" t="s">
        <v>11384</v>
      </c>
      <c r="F3638" t="s">
        <v>11385</v>
      </c>
      <c r="G3638" s="2" t="str">
        <f>HYPERLINK("https://probpalata.gov.ru/files/ЮЛ440200042700000.jpeg","Скачать индивидуальный QR-код магазина")</f>
        <v>Скачать индивидуальный QR-код магазина</v>
      </c>
    </row>
    <row r="3639" spans="1:7" x14ac:dyDescent="0.25">
      <c r="A3639" t="s">
        <v>11309</v>
      </c>
      <c r="B3639" t="s">
        <v>11386</v>
      </c>
      <c r="C3639" t="s">
        <v>11387</v>
      </c>
      <c r="D3639" t="s">
        <v>11388</v>
      </c>
      <c r="E3639" t="s">
        <v>11389</v>
      </c>
      <c r="F3639" t="s">
        <v>11390</v>
      </c>
      <c r="G3639" s="2" t="str">
        <f>HYPERLINK("https://probpalata.gov.ru/files/ЮЛ440200031200000.jpeg","Скачать индивидуальный QR-код магазина")</f>
        <v>Скачать индивидуальный QR-код магазина</v>
      </c>
    </row>
    <row r="3640" spans="1:7" x14ac:dyDescent="0.25">
      <c r="A3640" t="s">
        <v>11309</v>
      </c>
      <c r="B3640" t="s">
        <v>11391</v>
      </c>
      <c r="C3640" t="s">
        <v>11392</v>
      </c>
      <c r="D3640" t="s">
        <v>11393</v>
      </c>
      <c r="E3640" t="s">
        <v>11394</v>
      </c>
      <c r="F3640" t="s">
        <v>11395</v>
      </c>
      <c r="G3640" s="2" t="str">
        <f>HYPERLINK("https://probpalata.gov.ru/files/ЮЛ440200053900000.jpeg","Скачать индивидуальный QR-код магазина")</f>
        <v>Скачать индивидуальный QR-код магазина</v>
      </c>
    </row>
    <row r="3641" spans="1:7" x14ac:dyDescent="0.25">
      <c r="A3641" t="s">
        <v>11309</v>
      </c>
      <c r="B3641" t="s">
        <v>11396</v>
      </c>
      <c r="C3641" t="s">
        <v>11397</v>
      </c>
      <c r="D3641" t="s">
        <v>11398</v>
      </c>
      <c r="E3641" t="s">
        <v>11399</v>
      </c>
      <c r="F3641" t="s">
        <v>11400</v>
      </c>
      <c r="G3641" s="2" t="str">
        <f>HYPERLINK("https://probpalata.gov.ru/files/ЮЛ440203005900000.jpeg","Скачать индивидуальный QR-код магазина")</f>
        <v>Скачать индивидуальный QR-код магазина</v>
      </c>
    </row>
    <row r="3642" spans="1:7" x14ac:dyDescent="0.25">
      <c r="A3642" t="s">
        <v>11309</v>
      </c>
      <c r="B3642" t="s">
        <v>11401</v>
      </c>
      <c r="C3642" t="s">
        <v>11402</v>
      </c>
      <c r="D3642" t="s">
        <v>11403</v>
      </c>
      <c r="E3642" t="s">
        <v>11404</v>
      </c>
      <c r="F3642" t="s">
        <v>11405</v>
      </c>
      <c r="G3642" s="2" t="str">
        <f>HYPERLINK("https://probpalata.gov.ru/files/ЮЛ440203216300000.jpeg","Скачать индивидуальный QR-код магазина")</f>
        <v>Скачать индивидуальный QR-код магазина</v>
      </c>
    </row>
    <row r="3643" spans="1:7" x14ac:dyDescent="0.25">
      <c r="A3643" t="s">
        <v>11309</v>
      </c>
      <c r="B3643" t="s">
        <v>11406</v>
      </c>
      <c r="C3643" t="s">
        <v>11407</v>
      </c>
      <c r="D3643" t="s">
        <v>11408</v>
      </c>
      <c r="E3643" t="s">
        <v>11409</v>
      </c>
      <c r="F3643" t="s">
        <v>11410</v>
      </c>
      <c r="G3643" s="2" t="str">
        <f>HYPERLINK("https://probpalata.gov.ru/files/ЮЛ440203216500000.jpeg","Скачать индивидуальный QR-код магазина")</f>
        <v>Скачать индивидуальный QR-код магазина</v>
      </c>
    </row>
    <row r="3644" spans="1:7" x14ac:dyDescent="0.25">
      <c r="A3644" t="s">
        <v>11309</v>
      </c>
      <c r="B3644" t="s">
        <v>11411</v>
      </c>
      <c r="C3644" t="s">
        <v>11412</v>
      </c>
      <c r="D3644" t="s">
        <v>11413</v>
      </c>
      <c r="E3644" t="s">
        <v>11414</v>
      </c>
      <c r="F3644" t="s">
        <v>11415</v>
      </c>
      <c r="G3644" s="2" t="str">
        <f>HYPERLINK("https://probpalata.gov.ru/files/ЮЛ440203307000000.jpeg","Скачать индивидуальный QR-код магазина")</f>
        <v>Скачать индивидуальный QR-код магазина</v>
      </c>
    </row>
    <row r="3645" spans="1:7" x14ac:dyDescent="0.25">
      <c r="A3645" t="s">
        <v>11309</v>
      </c>
      <c r="B3645" t="s">
        <v>11416</v>
      </c>
      <c r="C3645" t="s">
        <v>11417</v>
      </c>
      <c r="D3645" t="s">
        <v>11418</v>
      </c>
      <c r="E3645" t="s">
        <v>11419</v>
      </c>
      <c r="F3645" t="s">
        <v>11420</v>
      </c>
      <c r="G3645" s="2" t="str">
        <f>HYPERLINK("https://probpalata.gov.ru/files/ЮЛ440203378300000.jpeg","Скачать индивидуальный QR-код магазина")</f>
        <v>Скачать индивидуальный QR-код магазина</v>
      </c>
    </row>
    <row r="3646" spans="1:7" x14ac:dyDescent="0.25">
      <c r="A3646" t="s">
        <v>11309</v>
      </c>
      <c r="B3646" t="s">
        <v>11421</v>
      </c>
      <c r="C3646" t="s">
        <v>11422</v>
      </c>
      <c r="D3646" t="s">
        <v>11423</v>
      </c>
      <c r="E3646" t="s">
        <v>11424</v>
      </c>
      <c r="F3646" t="s">
        <v>11425</v>
      </c>
      <c r="G3646" s="2" t="str">
        <f>HYPERLINK("https://probpalata.gov.ru/files/ЮЛ440203391600000.jpeg","Скачать индивидуальный QR-код магазина")</f>
        <v>Скачать индивидуальный QR-код магазина</v>
      </c>
    </row>
    <row r="3647" spans="1:7" x14ac:dyDescent="0.25">
      <c r="A3647" t="s">
        <v>11309</v>
      </c>
      <c r="B3647" t="s">
        <v>11426</v>
      </c>
      <c r="C3647" t="s">
        <v>11427</v>
      </c>
      <c r="D3647" t="s">
        <v>11428</v>
      </c>
      <c r="E3647" t="s">
        <v>11429</v>
      </c>
      <c r="F3647" t="s">
        <v>11430</v>
      </c>
      <c r="G3647" s="2" t="str">
        <f>HYPERLINK("https://probpalata.gov.ru/files/ЮЛ440203445300000.jpeg","Скачать индивидуальный QR-код магазина")</f>
        <v>Скачать индивидуальный QR-код магазина</v>
      </c>
    </row>
    <row r="3648" spans="1:7" x14ac:dyDescent="0.25">
      <c r="A3648" t="s">
        <v>11309</v>
      </c>
      <c r="B3648" t="s">
        <v>11431</v>
      </c>
      <c r="C3648" t="s">
        <v>11432</v>
      </c>
      <c r="D3648" t="s">
        <v>11433</v>
      </c>
      <c r="E3648" t="s">
        <v>11434</v>
      </c>
      <c r="F3648" t="s">
        <v>11435</v>
      </c>
      <c r="G3648" s="2" t="str">
        <f>HYPERLINK("https://probpalata.gov.ru/files/ЮЛ440203568100000.jpeg","Скачать индивидуальный QR-код магазина")</f>
        <v>Скачать индивидуальный QR-код магазина</v>
      </c>
    </row>
    <row r="3649" spans="1:7" x14ac:dyDescent="0.25">
      <c r="A3649" t="s">
        <v>11309</v>
      </c>
      <c r="B3649" t="s">
        <v>11436</v>
      </c>
      <c r="C3649" t="s">
        <v>11437</v>
      </c>
      <c r="D3649" t="s">
        <v>11438</v>
      </c>
      <c r="E3649" t="s">
        <v>11439</v>
      </c>
      <c r="F3649" t="s">
        <v>11440</v>
      </c>
      <c r="G3649" s="2" t="str">
        <f>HYPERLINK("https://probpalata.gov.ru/files/ЮЛ440203563600000.jpeg","Скачать индивидуальный QR-код магазина")</f>
        <v>Скачать индивидуальный QR-код магазина</v>
      </c>
    </row>
    <row r="3650" spans="1:7" x14ac:dyDescent="0.25">
      <c r="A3650" t="s">
        <v>11309</v>
      </c>
      <c r="B3650" t="s">
        <v>11441</v>
      </c>
      <c r="C3650" t="s">
        <v>11442</v>
      </c>
      <c r="D3650" t="s">
        <v>11443</v>
      </c>
      <c r="E3650" t="s">
        <v>11444</v>
      </c>
      <c r="F3650" t="s">
        <v>11445</v>
      </c>
      <c r="G3650" s="2" t="str">
        <f>HYPERLINK("https://probpalata.gov.ru/files/ЮЛ440203735500000.jpeg","Скачать индивидуальный QR-код магазина")</f>
        <v>Скачать индивидуальный QR-код магазина</v>
      </c>
    </row>
    <row r="3651" spans="1:7" x14ac:dyDescent="0.25">
      <c r="A3651" t="s">
        <v>11309</v>
      </c>
      <c r="B3651" t="s">
        <v>11446</v>
      </c>
      <c r="C3651" t="s">
        <v>11447</v>
      </c>
      <c r="D3651" t="s">
        <v>11448</v>
      </c>
      <c r="E3651" t="s">
        <v>11449</v>
      </c>
      <c r="F3651" t="s">
        <v>11450</v>
      </c>
      <c r="G3651" s="2" t="str">
        <f>HYPERLINK("https://probpalata.gov.ru/files/ЮЛ440203661200000.jpeg","Скачать индивидуальный QR-код магазина")</f>
        <v>Скачать индивидуальный QR-код магазина</v>
      </c>
    </row>
    <row r="3652" spans="1:7" x14ac:dyDescent="0.25">
      <c r="A3652" t="s">
        <v>11309</v>
      </c>
      <c r="B3652" t="s">
        <v>11451</v>
      </c>
      <c r="C3652" t="s">
        <v>2864</v>
      </c>
      <c r="D3652" t="s">
        <v>11452</v>
      </c>
      <c r="E3652" t="s">
        <v>11453</v>
      </c>
      <c r="F3652" t="s">
        <v>11454</v>
      </c>
      <c r="G3652" s="2" t="str">
        <f>HYPERLINK("https://probpalata.gov.ru/files/ЮЛ440203723000000.jpeg","Скачать индивидуальный QR-код магазина")</f>
        <v>Скачать индивидуальный QR-код магазина</v>
      </c>
    </row>
    <row r="3653" spans="1:7" x14ac:dyDescent="0.25">
      <c r="A3653" t="s">
        <v>11309</v>
      </c>
      <c r="B3653" t="s">
        <v>11455</v>
      </c>
      <c r="C3653" t="s">
        <v>11456</v>
      </c>
      <c r="D3653" t="s">
        <v>11457</v>
      </c>
      <c r="E3653" t="s">
        <v>11458</v>
      </c>
      <c r="F3653" t="s">
        <v>11459</v>
      </c>
      <c r="G3653" s="2" t="str">
        <f>HYPERLINK("https://probpalata.gov.ru/files/ЮЛ440203793500000.jpeg","Скачать индивидуальный QR-код магазина")</f>
        <v>Скачать индивидуальный QR-код магазина</v>
      </c>
    </row>
    <row r="3654" spans="1:7" x14ac:dyDescent="0.25">
      <c r="A3654" t="s">
        <v>11309</v>
      </c>
      <c r="B3654" t="s">
        <v>11460</v>
      </c>
      <c r="C3654" t="s">
        <v>11461</v>
      </c>
      <c r="D3654" t="s">
        <v>11462</v>
      </c>
      <c r="E3654" t="s">
        <v>11463</v>
      </c>
      <c r="F3654" t="s">
        <v>11464</v>
      </c>
      <c r="G3654" s="2" t="str">
        <f>HYPERLINK("https://probpalata.gov.ru/files/ЮЛ440203841800000.jpeg","Скачать индивидуальный QR-код магазина")</f>
        <v>Скачать индивидуальный QR-код магазина</v>
      </c>
    </row>
    <row r="3655" spans="1:7" x14ac:dyDescent="0.25">
      <c r="A3655" t="s">
        <v>11309</v>
      </c>
      <c r="B3655" t="s">
        <v>11465</v>
      </c>
      <c r="C3655" t="s">
        <v>11466</v>
      </c>
      <c r="D3655" t="s">
        <v>11467</v>
      </c>
      <c r="E3655" t="s">
        <v>11468</v>
      </c>
      <c r="F3655" t="s">
        <v>11469</v>
      </c>
      <c r="G3655" s="2" t="str">
        <f>HYPERLINK("https://probpalata.gov.ru/files/ЮЛ440203885200000.jpeg","Скачать индивидуальный QR-код магазина")</f>
        <v>Скачать индивидуальный QR-код магазина</v>
      </c>
    </row>
    <row r="3656" spans="1:7" x14ac:dyDescent="0.25">
      <c r="A3656" t="s">
        <v>11309</v>
      </c>
      <c r="B3656" t="s">
        <v>11470</v>
      </c>
      <c r="C3656" t="s">
        <v>11471</v>
      </c>
      <c r="D3656" t="s">
        <v>11472</v>
      </c>
      <c r="E3656" t="s">
        <v>11473</v>
      </c>
      <c r="F3656" t="s">
        <v>11474</v>
      </c>
      <c r="G3656" s="2" t="str">
        <f>HYPERLINK("https://probpalata.gov.ru/files/ЮЛ440203905600000.jpeg","Скачать индивидуальный QR-код магазина")</f>
        <v>Скачать индивидуальный QR-код магазина</v>
      </c>
    </row>
    <row r="3657" spans="1:7" x14ac:dyDescent="0.25">
      <c r="A3657" t="s">
        <v>11309</v>
      </c>
      <c r="B3657" t="s">
        <v>11475</v>
      </c>
      <c r="C3657" t="s">
        <v>11476</v>
      </c>
      <c r="D3657" t="s">
        <v>11477</v>
      </c>
      <c r="E3657" t="s">
        <v>11478</v>
      </c>
      <c r="F3657" t="s">
        <v>11479</v>
      </c>
      <c r="G3657" s="2" t="str">
        <f>HYPERLINK("https://probpalata.gov.ru/files/ЮЛ440203932300000.jpeg","Скачать индивидуальный QR-код магазина")</f>
        <v>Скачать индивидуальный QR-код магазина</v>
      </c>
    </row>
    <row r="3658" spans="1:7" x14ac:dyDescent="0.25">
      <c r="A3658" t="s">
        <v>11309</v>
      </c>
      <c r="B3658" t="s">
        <v>11480</v>
      </c>
      <c r="C3658" t="s">
        <v>11481</v>
      </c>
      <c r="D3658" t="s">
        <v>11482</v>
      </c>
      <c r="E3658" t="s">
        <v>11483</v>
      </c>
      <c r="F3658" t="s">
        <v>11484</v>
      </c>
      <c r="G3658" s="2" t="str">
        <f>HYPERLINK("https://probpalata.gov.ru/files/ЮЛ440203937300000.jpeg","Скачать индивидуальный QR-код магазина")</f>
        <v>Скачать индивидуальный QR-код магазина</v>
      </c>
    </row>
    <row r="3659" spans="1:7" x14ac:dyDescent="0.25">
      <c r="A3659" t="s">
        <v>11309</v>
      </c>
      <c r="B3659" t="s">
        <v>11485</v>
      </c>
      <c r="C3659" t="s">
        <v>11486</v>
      </c>
      <c r="D3659" t="s">
        <v>11487</v>
      </c>
      <c r="E3659" t="s">
        <v>11488</v>
      </c>
      <c r="F3659" t="s">
        <v>11489</v>
      </c>
      <c r="G3659" s="2" t="str">
        <f>HYPERLINK("https://probpalata.gov.ru/files/ЮЛ440204001000000.jpeg","Скачать индивидуальный QR-код магазина")</f>
        <v>Скачать индивидуальный QR-код магазина</v>
      </c>
    </row>
    <row r="3660" spans="1:7" x14ac:dyDescent="0.25">
      <c r="A3660" t="s">
        <v>11309</v>
      </c>
      <c r="B3660" t="s">
        <v>11490</v>
      </c>
      <c r="C3660" t="s">
        <v>11491</v>
      </c>
      <c r="D3660" t="s">
        <v>11492</v>
      </c>
      <c r="E3660" t="s">
        <v>11493</v>
      </c>
      <c r="F3660" t="s">
        <v>11494</v>
      </c>
      <c r="G3660" s="2" t="str">
        <f>HYPERLINK("https://probpalata.gov.ru/files/ЮЛ440204039900000.jpeg","Скачать индивидуальный QR-код магазина")</f>
        <v>Скачать индивидуальный QR-код магазина</v>
      </c>
    </row>
    <row r="3661" spans="1:7" x14ac:dyDescent="0.25">
      <c r="A3661" t="s">
        <v>11309</v>
      </c>
      <c r="B3661" t="s">
        <v>11495</v>
      </c>
      <c r="C3661" t="s">
        <v>11496</v>
      </c>
      <c r="D3661" t="s">
        <v>11497</v>
      </c>
      <c r="E3661" t="s">
        <v>11498</v>
      </c>
      <c r="F3661" t="s">
        <v>11499</v>
      </c>
      <c r="G3661" s="2" t="str">
        <f>HYPERLINK("https://probpalata.gov.ru/files/ИП440200041700000.jpeg","Скачать индивидуальный QR-код магазина")</f>
        <v>Скачать индивидуальный QR-код магазина</v>
      </c>
    </row>
    <row r="3662" spans="1:7" x14ac:dyDescent="0.25">
      <c r="A3662" t="s">
        <v>11309</v>
      </c>
      <c r="B3662" t="s">
        <v>11500</v>
      </c>
      <c r="C3662" t="s">
        <v>11501</v>
      </c>
      <c r="D3662" t="s">
        <v>11502</v>
      </c>
      <c r="E3662" t="s">
        <v>11503</v>
      </c>
      <c r="F3662" t="s">
        <v>11504</v>
      </c>
      <c r="G3662" s="2" t="str">
        <f>HYPERLINK("https://probpalata.gov.ru/files/ИП440200233100000.jpeg","Скачать индивидуальный QR-код магазина")</f>
        <v>Скачать индивидуальный QR-код магазина</v>
      </c>
    </row>
    <row r="3663" spans="1:7" x14ac:dyDescent="0.25">
      <c r="A3663" t="s">
        <v>11309</v>
      </c>
      <c r="B3663" t="s">
        <v>11505</v>
      </c>
      <c r="C3663" t="s">
        <v>11506</v>
      </c>
      <c r="D3663" t="s">
        <v>11507</v>
      </c>
      <c r="E3663" t="s">
        <v>11508</v>
      </c>
      <c r="F3663" t="s">
        <v>11509</v>
      </c>
      <c r="G3663" s="2" t="str">
        <f>HYPERLINK("https://probpalata.gov.ru/files/ИП440203736000000.jpeg","Скачать индивидуальный QR-код магазина")</f>
        <v>Скачать индивидуальный QR-код магазина</v>
      </c>
    </row>
    <row r="3664" spans="1:7" x14ac:dyDescent="0.25">
      <c r="A3664" t="s">
        <v>11309</v>
      </c>
      <c r="B3664" t="s">
        <v>11510</v>
      </c>
      <c r="C3664" t="s">
        <v>11511</v>
      </c>
      <c r="D3664" t="s">
        <v>11512</v>
      </c>
      <c r="E3664" t="s">
        <v>11513</v>
      </c>
      <c r="F3664" t="s">
        <v>11514</v>
      </c>
      <c r="G3664" s="2" t="str">
        <f>HYPERLINK("https://probpalata.gov.ru/files/ИП440200181100000.jpeg","Скачать индивидуальный QR-код магазина")</f>
        <v>Скачать индивидуальный QR-код магазина</v>
      </c>
    </row>
    <row r="3665" spans="1:7" x14ac:dyDescent="0.25">
      <c r="A3665" t="s">
        <v>11309</v>
      </c>
      <c r="B3665" t="s">
        <v>11515</v>
      </c>
      <c r="C3665" t="s">
        <v>11516</v>
      </c>
      <c r="D3665" t="s">
        <v>11517</v>
      </c>
      <c r="E3665" t="s">
        <v>11518</v>
      </c>
      <c r="F3665" t="s">
        <v>11519</v>
      </c>
      <c r="G3665" s="2" t="str">
        <f>HYPERLINK("https://probpalata.gov.ru/files/ИП440200379300000.jpeg","Скачать индивидуальный QR-код магазина")</f>
        <v>Скачать индивидуальный QR-код магазина</v>
      </c>
    </row>
    <row r="3666" spans="1:7" x14ac:dyDescent="0.25">
      <c r="A3666" t="s">
        <v>11309</v>
      </c>
      <c r="B3666" t="s">
        <v>11520</v>
      </c>
      <c r="C3666" t="s">
        <v>11521</v>
      </c>
      <c r="D3666" t="s">
        <v>11522</v>
      </c>
      <c r="E3666" t="s">
        <v>11523</v>
      </c>
      <c r="F3666" t="s">
        <v>11524</v>
      </c>
      <c r="G3666" s="2" t="str">
        <f>HYPERLINK("https://probpalata.gov.ru/files/ИП440200089300000.jpeg","Скачать индивидуальный QR-код магазина")</f>
        <v>Скачать индивидуальный QR-код магазина</v>
      </c>
    </row>
    <row r="3667" spans="1:7" x14ac:dyDescent="0.25">
      <c r="A3667" t="s">
        <v>11309</v>
      </c>
      <c r="B3667" t="s">
        <v>11525</v>
      </c>
      <c r="C3667" t="s">
        <v>11526</v>
      </c>
      <c r="D3667" t="s">
        <v>11527</v>
      </c>
      <c r="E3667" t="s">
        <v>11528</v>
      </c>
      <c r="F3667" t="s">
        <v>11529</v>
      </c>
      <c r="G3667" s="2" t="str">
        <f>HYPERLINK("https://probpalata.gov.ru/files/ИП440203753400000.jpeg","Скачать индивидуальный QR-код магазина")</f>
        <v>Скачать индивидуальный QR-код магазина</v>
      </c>
    </row>
    <row r="3668" spans="1:7" x14ac:dyDescent="0.25">
      <c r="A3668" t="s">
        <v>11309</v>
      </c>
      <c r="B3668" t="s">
        <v>11530</v>
      </c>
      <c r="C3668" t="s">
        <v>11531</v>
      </c>
      <c r="D3668" t="s">
        <v>11532</v>
      </c>
      <c r="E3668" t="s">
        <v>11533</v>
      </c>
      <c r="F3668" t="s">
        <v>11534</v>
      </c>
      <c r="G3668" s="2" t="str">
        <f>HYPERLINK("https://probpalata.gov.ru/files/ИП440200387400000.jpeg","Скачать индивидуальный QR-код магазина")</f>
        <v>Скачать индивидуальный QR-код магазина</v>
      </c>
    </row>
    <row r="3669" spans="1:7" x14ac:dyDescent="0.25">
      <c r="A3669" t="s">
        <v>11309</v>
      </c>
      <c r="B3669" t="s">
        <v>11535</v>
      </c>
      <c r="C3669" t="s">
        <v>11536</v>
      </c>
      <c r="D3669" t="s">
        <v>11537</v>
      </c>
      <c r="E3669" t="s">
        <v>11538</v>
      </c>
      <c r="F3669" t="s">
        <v>11539</v>
      </c>
      <c r="G3669" s="2" t="str">
        <f>HYPERLINK("https://probpalata.gov.ru/files/ЮЛ770100488100000.jpeg","Скачать индивидуальный QR-код магазина")</f>
        <v>Скачать индивидуальный QR-код магазина</v>
      </c>
    </row>
    <row r="3670" spans="1:7" x14ac:dyDescent="0.25">
      <c r="A3670" t="s">
        <v>11309</v>
      </c>
      <c r="B3670" t="s">
        <v>11540</v>
      </c>
      <c r="C3670" t="s">
        <v>11536</v>
      </c>
      <c r="D3670" t="s">
        <v>11537</v>
      </c>
      <c r="E3670" t="s">
        <v>11538</v>
      </c>
      <c r="F3670" t="s">
        <v>11541</v>
      </c>
      <c r="G3670" s="2" t="str">
        <f>HYPERLINK("https://probpalata.gov.ru/files/ЮЛ770100488100001.jpeg","Скачать индивидуальный QR-код магазина")</f>
        <v>Скачать индивидуальный QR-код магазина</v>
      </c>
    </row>
    <row r="3671" spans="1:7" x14ac:dyDescent="0.25">
      <c r="A3671" t="s">
        <v>11309</v>
      </c>
      <c r="B3671" t="s">
        <v>11542</v>
      </c>
      <c r="C3671" t="s">
        <v>11543</v>
      </c>
      <c r="D3671" t="s">
        <v>11544</v>
      </c>
      <c r="E3671" t="s">
        <v>11545</v>
      </c>
      <c r="F3671" t="s">
        <v>11546</v>
      </c>
      <c r="G3671" s="2" t="str">
        <f>HYPERLINK("https://probpalata.gov.ru/files/ИП440200129400000.jpeg","Скачать индивидуальный QR-код магазина")</f>
        <v>Скачать индивидуальный QR-код магазина</v>
      </c>
    </row>
    <row r="3672" spans="1:7" x14ac:dyDescent="0.25">
      <c r="A3672" t="s">
        <v>11309</v>
      </c>
      <c r="B3672" t="s">
        <v>11547</v>
      </c>
      <c r="C3672" t="s">
        <v>11548</v>
      </c>
      <c r="D3672" t="s">
        <v>11549</v>
      </c>
      <c r="E3672" t="s">
        <v>11550</v>
      </c>
      <c r="F3672" t="s">
        <v>11551</v>
      </c>
      <c r="G3672" s="2" t="str">
        <f>HYPERLINK("https://probpalata.gov.ru/files/ИП440203440100000.jpeg","Скачать индивидуальный QR-код магазина")</f>
        <v>Скачать индивидуальный QR-код магазина</v>
      </c>
    </row>
    <row r="3673" spans="1:7" x14ac:dyDescent="0.25">
      <c r="A3673" t="s">
        <v>11309</v>
      </c>
      <c r="B3673" t="s">
        <v>11552</v>
      </c>
      <c r="C3673" t="s">
        <v>11553</v>
      </c>
      <c r="D3673" t="s">
        <v>11554</v>
      </c>
      <c r="E3673" t="s">
        <v>11555</v>
      </c>
      <c r="F3673" t="s">
        <v>11556</v>
      </c>
      <c r="G3673" s="2" t="str">
        <f>HYPERLINK("https://probpalata.gov.ru/files/ИП440200553800000.jpeg","Скачать индивидуальный QR-код магазина")</f>
        <v>Скачать индивидуальный QR-код магазина</v>
      </c>
    </row>
    <row r="3674" spans="1:7" x14ac:dyDescent="0.25">
      <c r="A3674" t="s">
        <v>11309</v>
      </c>
      <c r="B3674" t="s">
        <v>11557</v>
      </c>
      <c r="C3674" t="s">
        <v>11558</v>
      </c>
      <c r="D3674" t="s">
        <v>11559</v>
      </c>
      <c r="E3674" t="s">
        <v>11560</v>
      </c>
      <c r="F3674" t="s">
        <v>11561</v>
      </c>
      <c r="G3674" s="2" t="str">
        <f>HYPERLINK("https://probpalata.gov.ru/files/ИП440203937200000.jpeg","Скачать индивидуальный QR-код магазина")</f>
        <v>Скачать индивидуальный QR-код магазина</v>
      </c>
    </row>
    <row r="3675" spans="1:7" x14ac:dyDescent="0.25">
      <c r="A3675" t="s">
        <v>11309</v>
      </c>
      <c r="B3675" t="s">
        <v>11562</v>
      </c>
      <c r="C3675" t="s">
        <v>11563</v>
      </c>
      <c r="D3675" t="s">
        <v>11564</v>
      </c>
      <c r="E3675" t="s">
        <v>11565</v>
      </c>
      <c r="F3675" t="s">
        <v>11566</v>
      </c>
      <c r="G3675" s="2" t="str">
        <f>HYPERLINK("https://probpalata.gov.ru/files/ЮЛ440200072500000.jpeg","Скачать индивидуальный QR-код магазина")</f>
        <v>Скачать индивидуальный QR-код магазина</v>
      </c>
    </row>
    <row r="3676" spans="1:7" x14ac:dyDescent="0.25">
      <c r="A3676" t="s">
        <v>11309</v>
      </c>
      <c r="B3676" t="s">
        <v>11567</v>
      </c>
      <c r="C3676" t="s">
        <v>11568</v>
      </c>
      <c r="D3676" t="s">
        <v>11569</v>
      </c>
      <c r="E3676" t="s">
        <v>11570</v>
      </c>
      <c r="F3676" t="s">
        <v>11571</v>
      </c>
      <c r="G3676" s="2" t="str">
        <f>HYPERLINK("https://probpalata.gov.ru/files/ИП440203350100000.jpeg","Скачать индивидуальный QR-код магазина")</f>
        <v>Скачать индивидуальный QR-код магазина</v>
      </c>
    </row>
    <row r="3677" spans="1:7" x14ac:dyDescent="0.25">
      <c r="A3677" t="s">
        <v>11309</v>
      </c>
      <c r="B3677" t="s">
        <v>11572</v>
      </c>
      <c r="C3677" t="s">
        <v>11573</v>
      </c>
      <c r="D3677" t="s">
        <v>11574</v>
      </c>
      <c r="E3677" t="s">
        <v>11575</v>
      </c>
      <c r="F3677" t="s">
        <v>11576</v>
      </c>
      <c r="G3677" s="2" t="str">
        <f>HYPERLINK("https://probpalata.gov.ru/files/ИП500103548200000.jpeg","Скачать индивидуальный QR-код магазина")</f>
        <v>Скачать индивидуальный QR-код магазина</v>
      </c>
    </row>
    <row r="3678" spans="1:7" x14ac:dyDescent="0.25">
      <c r="A3678" t="s">
        <v>11309</v>
      </c>
      <c r="B3678" t="s">
        <v>11577</v>
      </c>
      <c r="C3678" t="s">
        <v>11578</v>
      </c>
      <c r="D3678" t="s">
        <v>11579</v>
      </c>
      <c r="E3678" t="s">
        <v>11580</v>
      </c>
      <c r="F3678" t="s">
        <v>11581</v>
      </c>
      <c r="G3678" s="2" t="str">
        <f>HYPERLINK("https://probpalata.gov.ru/files/ИП440203134900000.jpeg","Скачать индивидуальный QR-код магазина")</f>
        <v>Скачать индивидуальный QR-код магазина</v>
      </c>
    </row>
    <row r="3679" spans="1:7" x14ac:dyDescent="0.25">
      <c r="A3679" t="s">
        <v>11309</v>
      </c>
      <c r="B3679" t="s">
        <v>11582</v>
      </c>
      <c r="C3679" t="s">
        <v>11583</v>
      </c>
      <c r="D3679" t="s">
        <v>11584</v>
      </c>
      <c r="E3679" t="s">
        <v>11585</v>
      </c>
      <c r="F3679" t="s">
        <v>11586</v>
      </c>
      <c r="G3679" s="2" t="str">
        <f>HYPERLINK("https://probpalata.gov.ru/files/ЮЛ440200017100000.jpeg","Скачать индивидуальный QR-код магазина")</f>
        <v>Скачать индивидуальный QR-код магазина</v>
      </c>
    </row>
    <row r="3680" spans="1:7" x14ac:dyDescent="0.25">
      <c r="A3680" t="s">
        <v>11309</v>
      </c>
      <c r="B3680" t="s">
        <v>11587</v>
      </c>
      <c r="C3680" t="s">
        <v>11583</v>
      </c>
      <c r="D3680" t="s">
        <v>11584</v>
      </c>
      <c r="E3680" t="s">
        <v>11585</v>
      </c>
      <c r="F3680" t="s">
        <v>11588</v>
      </c>
      <c r="G3680" s="2" t="str">
        <f>HYPERLINK("https://probpalata.gov.ru/files/ЮЛ440200017100002.jpeg","Скачать индивидуальный QR-код магазина")</f>
        <v>Скачать индивидуальный QR-код магазина</v>
      </c>
    </row>
    <row r="3681" spans="1:7" x14ac:dyDescent="0.25">
      <c r="A3681" t="s">
        <v>11309</v>
      </c>
      <c r="B3681" t="s">
        <v>11589</v>
      </c>
      <c r="C3681" t="s">
        <v>11590</v>
      </c>
      <c r="D3681" t="s">
        <v>11591</v>
      </c>
      <c r="E3681" t="s">
        <v>11592</v>
      </c>
      <c r="F3681" t="s">
        <v>11593</v>
      </c>
      <c r="G3681" s="2" t="str">
        <f>HYPERLINK("https://probpalata.gov.ru/files/ИП440200851000000.jpeg","Скачать индивидуальный QR-код магазина")</f>
        <v>Скачать индивидуальный QR-код магазина</v>
      </c>
    </row>
    <row r="3682" spans="1:7" x14ac:dyDescent="0.25">
      <c r="A3682" t="s">
        <v>11309</v>
      </c>
      <c r="B3682" t="s">
        <v>11594</v>
      </c>
      <c r="C3682" t="s">
        <v>11595</v>
      </c>
      <c r="D3682" t="s">
        <v>11596</v>
      </c>
      <c r="E3682" t="s">
        <v>11597</v>
      </c>
      <c r="F3682" t="s">
        <v>11598</v>
      </c>
      <c r="G3682" s="2" t="str">
        <f>HYPERLINK("https://probpalata.gov.ru/files/ЮЛ440200001100001.jpeg","Скачать индивидуальный QR-код магазина")</f>
        <v>Скачать индивидуальный QR-код магазина</v>
      </c>
    </row>
    <row r="3683" spans="1:7" x14ac:dyDescent="0.25">
      <c r="A3683" t="s">
        <v>11309</v>
      </c>
      <c r="B3683" t="s">
        <v>11599</v>
      </c>
      <c r="C3683" t="s">
        <v>11600</v>
      </c>
      <c r="D3683" t="s">
        <v>11601</v>
      </c>
      <c r="E3683" t="s">
        <v>11602</v>
      </c>
      <c r="F3683" t="s">
        <v>11603</v>
      </c>
      <c r="G3683" s="2" t="str">
        <f>HYPERLINK("https://probpalata.gov.ru/files/ИП440203675800000.jpeg","Скачать индивидуальный QR-код магазина")</f>
        <v>Скачать индивидуальный QR-код магазина</v>
      </c>
    </row>
    <row r="3684" spans="1:7" x14ac:dyDescent="0.25">
      <c r="A3684" t="s">
        <v>11309</v>
      </c>
      <c r="B3684" t="s">
        <v>11604</v>
      </c>
      <c r="C3684" t="s">
        <v>11605</v>
      </c>
      <c r="D3684" t="s">
        <v>11606</v>
      </c>
      <c r="E3684" t="s">
        <v>11607</v>
      </c>
      <c r="F3684" t="s">
        <v>11608</v>
      </c>
      <c r="G3684" s="2" t="str">
        <f>HYPERLINK("https://probpalata.gov.ru/files/ЮЛ760200043400000.jpeg","Скачать индивидуальный QR-код магазина")</f>
        <v>Скачать индивидуальный QR-код магазина</v>
      </c>
    </row>
    <row r="3685" spans="1:7" x14ac:dyDescent="0.25">
      <c r="A3685" t="s">
        <v>11309</v>
      </c>
      <c r="B3685" t="s">
        <v>11609</v>
      </c>
      <c r="C3685" t="s">
        <v>11610</v>
      </c>
      <c r="D3685" t="s">
        <v>11611</v>
      </c>
      <c r="E3685" t="s">
        <v>11612</v>
      </c>
      <c r="F3685" t="s">
        <v>11613</v>
      </c>
      <c r="G3685" s="2" t="str">
        <f>HYPERLINK("https://probpalata.gov.ru/files/ИП440203848300000.jpeg","Скачать индивидуальный QR-код магазина")</f>
        <v>Скачать индивидуальный QR-код магазина</v>
      </c>
    </row>
    <row r="3686" spans="1:7" x14ac:dyDescent="0.25">
      <c r="A3686" t="s">
        <v>11309</v>
      </c>
      <c r="B3686" t="s">
        <v>11614</v>
      </c>
      <c r="C3686" t="s">
        <v>11615</v>
      </c>
      <c r="D3686" t="s">
        <v>11616</v>
      </c>
      <c r="E3686" t="s">
        <v>11617</v>
      </c>
      <c r="F3686" t="s">
        <v>11618</v>
      </c>
      <c r="G3686" s="2" t="str">
        <f>HYPERLINK("https://probpalata.gov.ru/files/ИП440203563900000.jpeg","Скачать индивидуальный QR-код магазина")</f>
        <v>Скачать индивидуальный QR-код магазина</v>
      </c>
    </row>
    <row r="3687" spans="1:7" x14ac:dyDescent="0.25">
      <c r="A3687" t="s">
        <v>11309</v>
      </c>
      <c r="B3687" t="s">
        <v>11619</v>
      </c>
      <c r="C3687" t="s">
        <v>11620</v>
      </c>
      <c r="D3687" t="s">
        <v>11621</v>
      </c>
      <c r="E3687" t="s">
        <v>11622</v>
      </c>
      <c r="F3687" t="s">
        <v>11623</v>
      </c>
      <c r="G3687" s="2" t="str">
        <f>HYPERLINK("https://probpalata.gov.ru/files/ЮЛ440200001600000.jpeg","Скачать индивидуальный QR-код магазина")</f>
        <v>Скачать индивидуальный QR-код магазина</v>
      </c>
    </row>
    <row r="3688" spans="1:7" x14ac:dyDescent="0.25">
      <c r="A3688" t="s">
        <v>11309</v>
      </c>
      <c r="B3688" t="s">
        <v>11624</v>
      </c>
      <c r="C3688" t="s">
        <v>11625</v>
      </c>
      <c r="D3688" t="s">
        <v>11626</v>
      </c>
      <c r="E3688" t="s">
        <v>11627</v>
      </c>
      <c r="F3688" t="s">
        <v>11628</v>
      </c>
      <c r="G3688" s="2" t="str">
        <f>HYPERLINK("https://probpalata.gov.ru/files/ИП440203911400000.jpeg","Скачать индивидуальный QR-код магазина")</f>
        <v>Скачать индивидуальный QR-код магазина</v>
      </c>
    </row>
    <row r="3689" spans="1:7" x14ac:dyDescent="0.25">
      <c r="A3689" t="s">
        <v>11309</v>
      </c>
      <c r="B3689" t="s">
        <v>11629</v>
      </c>
      <c r="C3689" t="s">
        <v>11630</v>
      </c>
      <c r="D3689" t="s">
        <v>11631</v>
      </c>
      <c r="E3689" t="s">
        <v>11632</v>
      </c>
      <c r="F3689" t="s">
        <v>11633</v>
      </c>
      <c r="G3689" s="2" t="str">
        <f>HYPERLINK("https://probpalata.gov.ru/files/ИП500103383600000.jpeg","Скачать индивидуальный QR-код магазина")</f>
        <v>Скачать индивидуальный QR-код магазина</v>
      </c>
    </row>
    <row r="3690" spans="1:7" x14ac:dyDescent="0.25">
      <c r="A3690" t="s">
        <v>11309</v>
      </c>
      <c r="B3690" t="s">
        <v>11634</v>
      </c>
      <c r="C3690" t="s">
        <v>11635</v>
      </c>
      <c r="D3690" t="s">
        <v>11636</v>
      </c>
      <c r="E3690" t="s">
        <v>11637</v>
      </c>
      <c r="F3690" t="s">
        <v>11638</v>
      </c>
      <c r="G3690" s="2" t="str">
        <f>HYPERLINK("https://probpalata.gov.ru/files/ЮЛ440200252800000.jpeg","Скачать индивидуальный QR-код магазина")</f>
        <v>Скачать индивидуальный QR-код магазина</v>
      </c>
    </row>
    <row r="3691" spans="1:7" x14ac:dyDescent="0.25">
      <c r="A3691" t="s">
        <v>11309</v>
      </c>
      <c r="B3691" t="s">
        <v>11639</v>
      </c>
      <c r="C3691" t="s">
        <v>11640</v>
      </c>
      <c r="D3691" t="s">
        <v>11641</v>
      </c>
      <c r="E3691" t="s">
        <v>11642</v>
      </c>
      <c r="F3691" t="s">
        <v>11643</v>
      </c>
      <c r="G3691" s="2" t="str">
        <f>HYPERLINK("https://probpalata.gov.ru/files/ИП440203534500000.jpeg","Скачать индивидуальный QR-код магазина")</f>
        <v>Скачать индивидуальный QR-код магазина</v>
      </c>
    </row>
    <row r="3692" spans="1:7" x14ac:dyDescent="0.25">
      <c r="A3692" t="s">
        <v>11309</v>
      </c>
      <c r="B3692" t="s">
        <v>11644</v>
      </c>
      <c r="C3692" t="s">
        <v>11645</v>
      </c>
      <c r="D3692" t="s">
        <v>11646</v>
      </c>
      <c r="E3692" t="s">
        <v>11647</v>
      </c>
      <c r="F3692" t="s">
        <v>11648</v>
      </c>
      <c r="G3692" s="2" t="str">
        <f>HYPERLINK("https://probpalata.gov.ru/files/ИП440203241800000.jpeg","Скачать индивидуальный QR-код магазина")</f>
        <v>Скачать индивидуальный QR-код магазина</v>
      </c>
    </row>
    <row r="3693" spans="1:7" x14ac:dyDescent="0.25">
      <c r="A3693" t="s">
        <v>11309</v>
      </c>
      <c r="B3693" t="s">
        <v>11649</v>
      </c>
      <c r="C3693" t="s">
        <v>11650</v>
      </c>
      <c r="D3693" t="s">
        <v>11651</v>
      </c>
      <c r="E3693" t="s">
        <v>11652</v>
      </c>
      <c r="F3693" t="s">
        <v>11653</v>
      </c>
      <c r="G3693" s="2" t="str">
        <f>HYPERLINK("https://probpalata.gov.ru/files/ИП440200209800000.jpeg","Скачать индивидуальный QR-код магазина")</f>
        <v>Скачать индивидуальный QR-код магазина</v>
      </c>
    </row>
    <row r="3694" spans="1:7" x14ac:dyDescent="0.25">
      <c r="A3694" t="s">
        <v>11309</v>
      </c>
      <c r="B3694" t="s">
        <v>11654</v>
      </c>
      <c r="C3694" t="s">
        <v>11655</v>
      </c>
      <c r="D3694" t="s">
        <v>11656</v>
      </c>
      <c r="E3694" t="s">
        <v>11657</v>
      </c>
      <c r="F3694" t="s">
        <v>11658</v>
      </c>
      <c r="G3694" s="2" t="str">
        <f>HYPERLINK("https://probpalata.gov.ru/files/ЮЛ440200138100000.jpeg","Скачать индивидуальный QR-код магазина")</f>
        <v>Скачать индивидуальный QR-код магазина</v>
      </c>
    </row>
    <row r="3695" spans="1:7" x14ac:dyDescent="0.25">
      <c r="A3695" t="s">
        <v>11309</v>
      </c>
      <c r="B3695" t="s">
        <v>11659</v>
      </c>
      <c r="C3695" t="s">
        <v>11660</v>
      </c>
      <c r="D3695" t="s">
        <v>11661</v>
      </c>
      <c r="E3695" t="s">
        <v>11662</v>
      </c>
      <c r="F3695" t="s">
        <v>11663</v>
      </c>
      <c r="G3695" s="2" t="str">
        <f>HYPERLINK("https://probpalata.gov.ru/files/ИП440201821400000.jpeg","Скачать индивидуальный QR-код магазина")</f>
        <v>Скачать индивидуальный QR-код магазина</v>
      </c>
    </row>
    <row r="3696" spans="1:7" x14ac:dyDescent="0.25">
      <c r="A3696" t="s">
        <v>11309</v>
      </c>
      <c r="B3696" t="s">
        <v>11664</v>
      </c>
      <c r="C3696" t="s">
        <v>11665</v>
      </c>
      <c r="D3696" t="s">
        <v>11666</v>
      </c>
      <c r="E3696" t="s">
        <v>11667</v>
      </c>
      <c r="F3696" t="s">
        <v>11668</v>
      </c>
      <c r="G3696" s="2" t="str">
        <f>HYPERLINK("https://probpalata.gov.ru/files/ЮЛ440200354100000.jpeg","Скачать индивидуальный QR-код магазина")</f>
        <v>Скачать индивидуальный QR-код магазина</v>
      </c>
    </row>
    <row r="3697" spans="1:7" x14ac:dyDescent="0.25">
      <c r="A3697" t="s">
        <v>11309</v>
      </c>
      <c r="B3697" t="s">
        <v>11669</v>
      </c>
      <c r="C3697" t="s">
        <v>11670</v>
      </c>
      <c r="D3697" t="s">
        <v>11671</v>
      </c>
      <c r="E3697" t="s">
        <v>11672</v>
      </c>
      <c r="F3697" t="s">
        <v>11673</v>
      </c>
      <c r="G3697" s="2" t="str">
        <f>HYPERLINK("https://probpalata.gov.ru/files/ЮЛ440200111900000.jpeg","Скачать индивидуальный QR-код магазина")</f>
        <v>Скачать индивидуальный QR-код магазина</v>
      </c>
    </row>
    <row r="3698" spans="1:7" x14ac:dyDescent="0.25">
      <c r="A3698" t="s">
        <v>11309</v>
      </c>
      <c r="B3698" t="s">
        <v>11674</v>
      </c>
      <c r="C3698" t="s">
        <v>11670</v>
      </c>
      <c r="D3698" t="s">
        <v>11671</v>
      </c>
      <c r="E3698" t="s">
        <v>11672</v>
      </c>
      <c r="F3698" t="s">
        <v>11675</v>
      </c>
      <c r="G3698" s="2" t="str">
        <f>HYPERLINK("https://probpalata.gov.ru/files/ЮЛ440200111900001.jpeg","Скачать индивидуальный QR-код магазина")</f>
        <v>Скачать индивидуальный QR-код магазина</v>
      </c>
    </row>
    <row r="3699" spans="1:7" x14ac:dyDescent="0.25">
      <c r="A3699" t="s">
        <v>11309</v>
      </c>
      <c r="B3699" t="s">
        <v>11676</v>
      </c>
      <c r="C3699" t="s">
        <v>11677</v>
      </c>
      <c r="D3699" t="s">
        <v>11678</v>
      </c>
      <c r="E3699" t="s">
        <v>11679</v>
      </c>
      <c r="F3699" t="s">
        <v>11680</v>
      </c>
      <c r="G3699" s="2" t="str">
        <f>HYPERLINK("https://probpalata.gov.ru/files/ИП440203738300000.jpeg","Скачать индивидуальный QR-код магазина")</f>
        <v>Скачать индивидуальный QR-код магазина</v>
      </c>
    </row>
    <row r="3700" spans="1:7" x14ac:dyDescent="0.25">
      <c r="A3700" t="s">
        <v>11309</v>
      </c>
      <c r="B3700" t="s">
        <v>11681</v>
      </c>
      <c r="C3700" t="s">
        <v>11682</v>
      </c>
      <c r="D3700" t="s">
        <v>11683</v>
      </c>
      <c r="E3700" t="s">
        <v>11684</v>
      </c>
      <c r="F3700" t="s">
        <v>11685</v>
      </c>
      <c r="G3700" s="2" t="str">
        <f>HYPERLINK("https://probpalata.gov.ru/files/ЮЛ440200139500000.jpeg","Скачать индивидуальный QR-код магазина")</f>
        <v>Скачать индивидуальный QR-код магазина</v>
      </c>
    </row>
    <row r="3701" spans="1:7" x14ac:dyDescent="0.25">
      <c r="A3701" t="s">
        <v>11309</v>
      </c>
      <c r="B3701" t="s">
        <v>11686</v>
      </c>
      <c r="C3701" t="s">
        <v>11687</v>
      </c>
      <c r="D3701" t="s">
        <v>11688</v>
      </c>
      <c r="E3701" t="s">
        <v>11689</v>
      </c>
      <c r="F3701" t="s">
        <v>11690</v>
      </c>
      <c r="G3701" s="2" t="str">
        <f>HYPERLINK("https://probpalata.gov.ru/files/ИП440203442700000.jpeg","Скачать индивидуальный QR-код магазина")</f>
        <v>Скачать индивидуальный QR-код магазина</v>
      </c>
    </row>
    <row r="3702" spans="1:7" x14ac:dyDescent="0.25">
      <c r="A3702" t="s">
        <v>11309</v>
      </c>
      <c r="B3702" t="s">
        <v>11691</v>
      </c>
      <c r="C3702" t="s">
        <v>11692</v>
      </c>
      <c r="D3702" t="s">
        <v>11693</v>
      </c>
      <c r="E3702" t="s">
        <v>11694</v>
      </c>
      <c r="F3702" t="s">
        <v>11695</v>
      </c>
      <c r="G3702" s="2" t="str">
        <f>HYPERLINK("https://probpalata.gov.ru/files/ИП440201119500000.jpeg","Скачать индивидуальный QR-код магазина")</f>
        <v>Скачать индивидуальный QR-код магазина</v>
      </c>
    </row>
    <row r="3703" spans="1:7" x14ac:dyDescent="0.25">
      <c r="A3703" t="s">
        <v>11309</v>
      </c>
      <c r="B3703" t="s">
        <v>11696</v>
      </c>
      <c r="C3703" t="s">
        <v>11697</v>
      </c>
      <c r="D3703" t="s">
        <v>11698</v>
      </c>
      <c r="E3703" t="s">
        <v>11699</v>
      </c>
      <c r="F3703" t="s">
        <v>11700</v>
      </c>
      <c r="G3703" s="2" t="str">
        <f>HYPERLINK("https://probpalata.gov.ru/files/ЮЛ440200095700000.jpeg","Скачать индивидуальный QR-код магазина")</f>
        <v>Скачать индивидуальный QR-код магазина</v>
      </c>
    </row>
    <row r="3704" spans="1:7" x14ac:dyDescent="0.25">
      <c r="A3704" t="s">
        <v>11309</v>
      </c>
      <c r="B3704" t="s">
        <v>11701</v>
      </c>
      <c r="C3704" t="s">
        <v>11702</v>
      </c>
      <c r="D3704" t="s">
        <v>11703</v>
      </c>
      <c r="E3704" t="s">
        <v>11704</v>
      </c>
      <c r="F3704" t="s">
        <v>11705</v>
      </c>
      <c r="G3704" s="2" t="str">
        <f>HYPERLINK("https://probpalata.gov.ru/files/ЮЛ440200136700000.jpeg","Скачать индивидуальный QR-код магазина")</f>
        <v>Скачать индивидуальный QR-код магазина</v>
      </c>
    </row>
    <row r="3705" spans="1:7" x14ac:dyDescent="0.25">
      <c r="A3705" t="s">
        <v>11309</v>
      </c>
      <c r="B3705" t="s">
        <v>11706</v>
      </c>
      <c r="C3705" t="s">
        <v>11707</v>
      </c>
      <c r="D3705" t="s">
        <v>11708</v>
      </c>
      <c r="E3705" t="s">
        <v>11709</v>
      </c>
      <c r="F3705" t="s">
        <v>11710</v>
      </c>
      <c r="G3705" s="2" t="str">
        <f>HYPERLINK("https://probpalata.gov.ru/files/ИП770100330900000.jpeg","Скачать индивидуальный QR-код магазина")</f>
        <v>Скачать индивидуальный QR-код магазина</v>
      </c>
    </row>
    <row r="3706" spans="1:7" x14ac:dyDescent="0.25">
      <c r="A3706" t="s">
        <v>11309</v>
      </c>
      <c r="B3706" t="s">
        <v>11711</v>
      </c>
      <c r="C3706" t="s">
        <v>11712</v>
      </c>
      <c r="D3706" t="s">
        <v>11713</v>
      </c>
      <c r="E3706" t="s">
        <v>11714</v>
      </c>
      <c r="F3706" t="s">
        <v>11715</v>
      </c>
      <c r="G3706" s="2" t="str">
        <f>HYPERLINK("https://probpalata.gov.ru/files/ЮЛ440200311400000.jpeg","Скачать индивидуальный QR-код магазина")</f>
        <v>Скачать индивидуальный QR-код магазина</v>
      </c>
    </row>
    <row r="3707" spans="1:7" x14ac:dyDescent="0.25">
      <c r="A3707" t="s">
        <v>11309</v>
      </c>
      <c r="B3707" t="s">
        <v>11716</v>
      </c>
      <c r="C3707" t="s">
        <v>11717</v>
      </c>
      <c r="D3707" t="s">
        <v>11718</v>
      </c>
      <c r="E3707" t="s">
        <v>11719</v>
      </c>
      <c r="F3707" t="s">
        <v>11720</v>
      </c>
      <c r="G3707" s="2" t="str">
        <f>HYPERLINK("https://probpalata.gov.ru/files/ИП440203446900000.jpeg","Скачать индивидуальный QR-код магазина")</f>
        <v>Скачать индивидуальный QR-код магазина</v>
      </c>
    </row>
    <row r="3708" spans="1:7" x14ac:dyDescent="0.25">
      <c r="A3708" t="s">
        <v>11309</v>
      </c>
      <c r="B3708" t="s">
        <v>11721</v>
      </c>
      <c r="C3708" t="s">
        <v>328</v>
      </c>
      <c r="D3708" t="s">
        <v>11722</v>
      </c>
      <c r="E3708" t="s">
        <v>11723</v>
      </c>
      <c r="F3708" t="s">
        <v>11724</v>
      </c>
      <c r="G3708" s="2" t="str">
        <f>HYPERLINK("https://probpalata.gov.ru/files/ЮЛ440200327300000.jpeg","Скачать индивидуальный QR-код магазина")</f>
        <v>Скачать индивидуальный QR-код магазина</v>
      </c>
    </row>
    <row r="3709" spans="1:7" x14ac:dyDescent="0.25">
      <c r="A3709" t="s">
        <v>11309</v>
      </c>
      <c r="B3709" t="s">
        <v>11725</v>
      </c>
      <c r="C3709" t="s">
        <v>11726</v>
      </c>
      <c r="D3709" t="s">
        <v>11727</v>
      </c>
      <c r="E3709" t="s">
        <v>11728</v>
      </c>
      <c r="F3709" t="s">
        <v>11729</v>
      </c>
      <c r="G3709" s="2" t="str">
        <f>HYPERLINK("https://probpalata.gov.ru/files/ЮЛ440200280400000.jpeg","Скачать индивидуальный QR-код магазина")</f>
        <v>Скачать индивидуальный QR-код магазина</v>
      </c>
    </row>
    <row r="3710" spans="1:7" x14ac:dyDescent="0.25">
      <c r="A3710" t="s">
        <v>11309</v>
      </c>
      <c r="B3710" t="s">
        <v>11730</v>
      </c>
      <c r="C3710" t="s">
        <v>11731</v>
      </c>
      <c r="D3710" t="s">
        <v>11732</v>
      </c>
      <c r="E3710" t="s">
        <v>11733</v>
      </c>
      <c r="F3710" t="s">
        <v>11734</v>
      </c>
      <c r="G3710" s="2" t="str">
        <f>HYPERLINK("https://probpalata.gov.ru/files/ЮЛ440200003800001.jpeg","Скачать индивидуальный QR-код магазина")</f>
        <v>Скачать индивидуальный QR-код магазина</v>
      </c>
    </row>
    <row r="3711" spans="1:7" x14ac:dyDescent="0.25">
      <c r="A3711" t="s">
        <v>11309</v>
      </c>
      <c r="B3711" t="s">
        <v>11735</v>
      </c>
      <c r="C3711" t="s">
        <v>11736</v>
      </c>
      <c r="D3711" t="s">
        <v>11737</v>
      </c>
      <c r="E3711" t="s">
        <v>11738</v>
      </c>
      <c r="F3711" t="s">
        <v>11739</v>
      </c>
      <c r="G3711" s="2" t="str">
        <f>HYPERLINK("https://probpalata.gov.ru/files/ИП440201026500000.jpeg","Скачать индивидуальный QR-код магазина")</f>
        <v>Скачать индивидуальный QR-код магазина</v>
      </c>
    </row>
    <row r="3712" spans="1:7" x14ac:dyDescent="0.25">
      <c r="A3712" t="s">
        <v>11309</v>
      </c>
      <c r="B3712" t="s">
        <v>11740</v>
      </c>
      <c r="C3712" t="s">
        <v>11741</v>
      </c>
      <c r="D3712" t="s">
        <v>11742</v>
      </c>
      <c r="E3712" t="s">
        <v>11743</v>
      </c>
      <c r="F3712" t="s">
        <v>11744</v>
      </c>
      <c r="G3712" s="2" t="str">
        <f>HYPERLINK("https://probpalata.gov.ru/files/ЮЛ440200810200000.jpeg","Скачать индивидуальный QR-код магазина")</f>
        <v>Скачать индивидуальный QR-код магазина</v>
      </c>
    </row>
    <row r="3713" spans="1:7" x14ac:dyDescent="0.25">
      <c r="A3713" t="s">
        <v>11309</v>
      </c>
      <c r="B3713" t="s">
        <v>11745</v>
      </c>
      <c r="C3713" t="s">
        <v>11741</v>
      </c>
      <c r="D3713" t="s">
        <v>11742</v>
      </c>
      <c r="E3713" t="s">
        <v>11743</v>
      </c>
      <c r="F3713" t="s">
        <v>11746</v>
      </c>
      <c r="G3713" s="2" t="str">
        <f>HYPERLINK("https://probpalata.gov.ru/files/ЮЛ440200810200016.jpeg","Скачать индивидуальный QR-код магазина")</f>
        <v>Скачать индивидуальный QR-код магазина</v>
      </c>
    </row>
    <row r="3714" spans="1:7" x14ac:dyDescent="0.25">
      <c r="A3714" t="s">
        <v>11309</v>
      </c>
      <c r="B3714" t="s">
        <v>11747</v>
      </c>
      <c r="C3714" t="s">
        <v>11741</v>
      </c>
      <c r="D3714" t="s">
        <v>11742</v>
      </c>
      <c r="E3714" t="s">
        <v>11743</v>
      </c>
      <c r="F3714" t="s">
        <v>11748</v>
      </c>
      <c r="G3714" s="2" t="str">
        <f>HYPERLINK("https://probpalata.gov.ru/files/ЮЛ440200810200042.jpeg","Скачать индивидуальный QR-код магазина")</f>
        <v>Скачать индивидуальный QR-код магазина</v>
      </c>
    </row>
    <row r="3715" spans="1:7" x14ac:dyDescent="0.25">
      <c r="A3715" t="s">
        <v>11309</v>
      </c>
      <c r="B3715" t="s">
        <v>11749</v>
      </c>
      <c r="C3715" t="s">
        <v>11741</v>
      </c>
      <c r="D3715" t="s">
        <v>11742</v>
      </c>
      <c r="E3715" t="s">
        <v>11743</v>
      </c>
      <c r="F3715" t="s">
        <v>11750</v>
      </c>
      <c r="G3715" s="2" t="str">
        <f>HYPERLINK("https://probpalata.gov.ru/files/ЮЛ440200810200045.jpeg","Скачать индивидуальный QR-код магазина")</f>
        <v>Скачать индивидуальный QR-код магазина</v>
      </c>
    </row>
    <row r="3716" spans="1:7" x14ac:dyDescent="0.25">
      <c r="A3716" t="s">
        <v>11309</v>
      </c>
      <c r="B3716" t="s">
        <v>11751</v>
      </c>
      <c r="C3716" t="s">
        <v>11752</v>
      </c>
      <c r="D3716" t="s">
        <v>11753</v>
      </c>
      <c r="E3716" t="s">
        <v>11754</v>
      </c>
      <c r="F3716" t="s">
        <v>11755</v>
      </c>
      <c r="G3716" s="2" t="str">
        <f>HYPERLINK("https://probpalata.gov.ru/files/ЮЛ440203655500000.jpeg","Скачать индивидуальный QR-код магазина")</f>
        <v>Скачать индивидуальный QR-код магазина</v>
      </c>
    </row>
    <row r="3717" spans="1:7" x14ac:dyDescent="0.25">
      <c r="A3717" t="s">
        <v>11309</v>
      </c>
      <c r="B3717" t="s">
        <v>11756</v>
      </c>
      <c r="C3717" t="s">
        <v>11757</v>
      </c>
      <c r="D3717" t="s">
        <v>11758</v>
      </c>
      <c r="E3717" t="s">
        <v>11759</v>
      </c>
      <c r="F3717" t="s">
        <v>11760</v>
      </c>
      <c r="G3717" s="2" t="str">
        <f>HYPERLINK("https://probpalata.gov.ru/files/ИП440203066000000.jpeg","Скачать индивидуальный QR-код магазина")</f>
        <v>Скачать индивидуальный QR-код магазина</v>
      </c>
    </row>
    <row r="3718" spans="1:7" x14ac:dyDescent="0.25">
      <c r="A3718" t="s">
        <v>11309</v>
      </c>
      <c r="B3718" t="s">
        <v>11761</v>
      </c>
      <c r="C3718" t="s">
        <v>11762</v>
      </c>
      <c r="D3718" t="s">
        <v>11763</v>
      </c>
      <c r="E3718" t="s">
        <v>11764</v>
      </c>
      <c r="F3718" t="s">
        <v>11765</v>
      </c>
      <c r="G3718" s="2" t="str">
        <f>HYPERLINK("https://probpalata.gov.ru/files/ЮЛ440203564600000.jpeg","Скачать индивидуальный QR-код магазина")</f>
        <v>Скачать индивидуальный QR-код магазина</v>
      </c>
    </row>
    <row r="3719" spans="1:7" x14ac:dyDescent="0.25">
      <c r="A3719" t="s">
        <v>11309</v>
      </c>
      <c r="B3719" t="s">
        <v>11766</v>
      </c>
      <c r="C3719" t="s">
        <v>11767</v>
      </c>
      <c r="D3719" t="s">
        <v>11768</v>
      </c>
      <c r="E3719" t="s">
        <v>11769</v>
      </c>
      <c r="F3719" t="s">
        <v>11770</v>
      </c>
      <c r="G3719" s="2" t="str">
        <f>HYPERLINK("https://probpalata.gov.ru/files/ЮЛ440200426700000.jpeg","Скачать индивидуальный QR-код магазина")</f>
        <v>Скачать индивидуальный QR-код магазина</v>
      </c>
    </row>
    <row r="3720" spans="1:7" x14ac:dyDescent="0.25">
      <c r="A3720" t="s">
        <v>11309</v>
      </c>
      <c r="B3720" t="s">
        <v>11771</v>
      </c>
      <c r="C3720" t="s">
        <v>11772</v>
      </c>
      <c r="D3720" t="s">
        <v>11773</v>
      </c>
      <c r="E3720" t="s">
        <v>11774</v>
      </c>
      <c r="F3720" t="s">
        <v>11775</v>
      </c>
      <c r="G3720" s="2" t="str">
        <f>HYPERLINK("https://probpalata.gov.ru/files/ЮЛ440200538800000.jpeg","Скачать индивидуальный QR-код магазина")</f>
        <v>Скачать индивидуальный QR-код магазина</v>
      </c>
    </row>
    <row r="3721" spans="1:7" x14ac:dyDescent="0.25">
      <c r="A3721" t="s">
        <v>11309</v>
      </c>
      <c r="B3721" t="s">
        <v>11776</v>
      </c>
      <c r="C3721" t="s">
        <v>11777</v>
      </c>
      <c r="D3721" t="s">
        <v>11778</v>
      </c>
      <c r="E3721" t="s">
        <v>11779</v>
      </c>
      <c r="F3721" t="s">
        <v>11780</v>
      </c>
      <c r="G3721" s="2" t="str">
        <f>HYPERLINK("https://probpalata.gov.ru/files/ИП440203698400000.jpeg","Скачать индивидуальный QR-код магазина")</f>
        <v>Скачать индивидуальный QR-код магазина</v>
      </c>
    </row>
    <row r="3722" spans="1:7" x14ac:dyDescent="0.25">
      <c r="A3722" t="s">
        <v>11309</v>
      </c>
      <c r="B3722" t="s">
        <v>11781</v>
      </c>
      <c r="C3722" t="s">
        <v>11782</v>
      </c>
      <c r="D3722" t="s">
        <v>11783</v>
      </c>
      <c r="E3722" t="s">
        <v>11784</v>
      </c>
      <c r="F3722" t="s">
        <v>11785</v>
      </c>
      <c r="G3722" s="2" t="str">
        <f>HYPERLINK("https://probpalata.gov.ru/files/ИП440203673400000.jpeg","Скачать индивидуальный QR-код магазина")</f>
        <v>Скачать индивидуальный QR-код магазина</v>
      </c>
    </row>
    <row r="3723" spans="1:7" x14ac:dyDescent="0.25">
      <c r="A3723" t="s">
        <v>11309</v>
      </c>
      <c r="B3723" t="s">
        <v>11786</v>
      </c>
      <c r="C3723" t="s">
        <v>11782</v>
      </c>
      <c r="D3723" t="s">
        <v>11783</v>
      </c>
      <c r="E3723" t="s">
        <v>11784</v>
      </c>
      <c r="F3723" t="s">
        <v>11787</v>
      </c>
      <c r="G3723" s="2" t="str">
        <f>HYPERLINK("https://probpalata.gov.ru/files/ИП440203673400001.jpeg","Скачать индивидуальный QR-код магазина")</f>
        <v>Скачать индивидуальный QR-код магазина</v>
      </c>
    </row>
    <row r="3724" spans="1:7" x14ac:dyDescent="0.25">
      <c r="A3724" t="s">
        <v>11309</v>
      </c>
      <c r="B3724" t="s">
        <v>11788</v>
      </c>
      <c r="C3724" t="s">
        <v>11789</v>
      </c>
      <c r="D3724" t="s">
        <v>11790</v>
      </c>
      <c r="E3724" t="s">
        <v>11791</v>
      </c>
      <c r="F3724" t="s">
        <v>11792</v>
      </c>
      <c r="G3724" s="2" t="str">
        <f>HYPERLINK("https://probpalata.gov.ru/files/ИП440200210600000.jpeg","Скачать индивидуальный QR-код магазина")</f>
        <v>Скачать индивидуальный QR-код магазина</v>
      </c>
    </row>
    <row r="3725" spans="1:7" x14ac:dyDescent="0.25">
      <c r="A3725" t="s">
        <v>11309</v>
      </c>
      <c r="B3725" t="s">
        <v>11793</v>
      </c>
      <c r="C3725" t="s">
        <v>11794</v>
      </c>
      <c r="D3725" t="s">
        <v>11795</v>
      </c>
      <c r="E3725" t="s">
        <v>11796</v>
      </c>
      <c r="F3725" t="s">
        <v>11797</v>
      </c>
      <c r="G3725" s="2" t="str">
        <f>HYPERLINK("https://probpalata.gov.ru/files/ИП440200447800000.jpeg","Скачать индивидуальный QR-код магазина")</f>
        <v>Скачать индивидуальный QR-код магазина</v>
      </c>
    </row>
    <row r="3726" spans="1:7" x14ac:dyDescent="0.25">
      <c r="A3726" t="s">
        <v>11309</v>
      </c>
      <c r="B3726" t="s">
        <v>11798</v>
      </c>
      <c r="C3726" t="s">
        <v>11799</v>
      </c>
      <c r="D3726" t="s">
        <v>11800</v>
      </c>
      <c r="E3726" t="s">
        <v>11801</v>
      </c>
      <c r="F3726" t="s">
        <v>11802</v>
      </c>
      <c r="G3726" s="2" t="str">
        <f>HYPERLINK("https://probpalata.gov.ru/files/ЮЛ440200805800000.jpeg","Скачать индивидуальный QR-код магазина")</f>
        <v>Скачать индивидуальный QR-код магазина</v>
      </c>
    </row>
    <row r="3727" spans="1:7" x14ac:dyDescent="0.25">
      <c r="A3727" t="s">
        <v>11309</v>
      </c>
      <c r="B3727" t="s">
        <v>11803</v>
      </c>
      <c r="C3727" t="s">
        <v>11804</v>
      </c>
      <c r="D3727" t="s">
        <v>11805</v>
      </c>
      <c r="E3727" t="s">
        <v>11806</v>
      </c>
      <c r="F3727" t="s">
        <v>11807</v>
      </c>
      <c r="G3727" s="2" t="str">
        <f>HYPERLINK("https://probpalata.gov.ru/files/ЮЛ440200546500000.jpeg","Скачать индивидуальный QR-код магазина")</f>
        <v>Скачать индивидуальный QR-код магазина</v>
      </c>
    </row>
    <row r="3728" spans="1:7" x14ac:dyDescent="0.25">
      <c r="A3728" t="s">
        <v>11309</v>
      </c>
      <c r="B3728" t="s">
        <v>11808</v>
      </c>
      <c r="C3728" t="s">
        <v>11809</v>
      </c>
      <c r="D3728" t="s">
        <v>11810</v>
      </c>
      <c r="E3728" t="s">
        <v>11811</v>
      </c>
      <c r="F3728" t="s">
        <v>11812</v>
      </c>
      <c r="G3728" s="2" t="str">
        <f>HYPERLINK("https://probpalata.gov.ru/files/ЮЛ440200400300000.jpeg","Скачать индивидуальный QR-код магазина")</f>
        <v>Скачать индивидуальный QR-код магазина</v>
      </c>
    </row>
    <row r="3729" spans="1:7" x14ac:dyDescent="0.25">
      <c r="A3729" t="s">
        <v>11309</v>
      </c>
      <c r="B3729" t="s">
        <v>11813</v>
      </c>
      <c r="C3729" t="s">
        <v>11814</v>
      </c>
      <c r="D3729" t="s">
        <v>11815</v>
      </c>
      <c r="E3729" t="s">
        <v>11816</v>
      </c>
      <c r="F3729" t="s">
        <v>11817</v>
      </c>
      <c r="G3729" s="2" t="str">
        <f>HYPERLINK("https://probpalata.gov.ru/files/ЮЛ440200957700000.jpeg","Скачать индивидуальный QR-код магазина")</f>
        <v>Скачать индивидуальный QR-код магазина</v>
      </c>
    </row>
    <row r="3730" spans="1:7" x14ac:dyDescent="0.25">
      <c r="A3730" t="s">
        <v>11309</v>
      </c>
      <c r="B3730" t="s">
        <v>11818</v>
      </c>
      <c r="C3730" t="s">
        <v>11819</v>
      </c>
      <c r="D3730" t="s">
        <v>11820</v>
      </c>
      <c r="E3730" t="s">
        <v>11821</v>
      </c>
      <c r="F3730" t="s">
        <v>11822</v>
      </c>
      <c r="G3730" s="2" t="str">
        <f>HYPERLINK("https://probpalata.gov.ru/files/ИП440201783100000.jpeg","Скачать индивидуальный QR-код магазина")</f>
        <v>Скачать индивидуальный QR-код магазина</v>
      </c>
    </row>
    <row r="3731" spans="1:7" x14ac:dyDescent="0.25">
      <c r="A3731" t="s">
        <v>11309</v>
      </c>
      <c r="B3731" t="s">
        <v>11823</v>
      </c>
      <c r="C3731" t="s">
        <v>11824</v>
      </c>
      <c r="D3731" t="s">
        <v>11825</v>
      </c>
      <c r="E3731" t="s">
        <v>11826</v>
      </c>
      <c r="F3731" t="s">
        <v>11827</v>
      </c>
      <c r="G3731" s="2" t="str">
        <f>HYPERLINK("https://probpalata.gov.ru/files/ЮЛ440200001900001.jpeg","Скачать индивидуальный QR-код магазина")</f>
        <v>Скачать индивидуальный QR-код магазина</v>
      </c>
    </row>
    <row r="3732" spans="1:7" x14ac:dyDescent="0.25">
      <c r="A3732" t="s">
        <v>11309</v>
      </c>
      <c r="B3732" t="s">
        <v>11674</v>
      </c>
      <c r="C3732" t="s">
        <v>11824</v>
      </c>
      <c r="D3732" t="s">
        <v>11825</v>
      </c>
      <c r="E3732" t="s">
        <v>11826</v>
      </c>
      <c r="F3732" t="s">
        <v>11828</v>
      </c>
      <c r="G3732" s="2" t="str">
        <f>HYPERLINK("https://probpalata.gov.ru/files/ЮЛ440200001900002.jpeg","Скачать индивидуальный QR-код магазина")</f>
        <v>Скачать индивидуальный QR-код магазина</v>
      </c>
    </row>
    <row r="3733" spans="1:7" x14ac:dyDescent="0.25">
      <c r="A3733" t="s">
        <v>11309</v>
      </c>
      <c r="B3733" t="s">
        <v>11829</v>
      </c>
      <c r="C3733" t="s">
        <v>11824</v>
      </c>
      <c r="D3733" t="s">
        <v>11825</v>
      </c>
      <c r="E3733" t="s">
        <v>11826</v>
      </c>
      <c r="F3733" t="s">
        <v>11830</v>
      </c>
      <c r="G3733" s="2" t="str">
        <f>HYPERLINK("https://probpalata.gov.ru/files/ЮЛ440200001900003.jpeg","Скачать индивидуальный QR-код магазина")</f>
        <v>Скачать индивидуальный QR-код магазина</v>
      </c>
    </row>
    <row r="3734" spans="1:7" x14ac:dyDescent="0.25">
      <c r="A3734" t="s">
        <v>11309</v>
      </c>
      <c r="B3734" t="s">
        <v>11831</v>
      </c>
      <c r="C3734" t="s">
        <v>11832</v>
      </c>
      <c r="D3734" t="s">
        <v>11833</v>
      </c>
      <c r="E3734" t="s">
        <v>11834</v>
      </c>
      <c r="F3734" t="s">
        <v>11835</v>
      </c>
      <c r="G3734" s="2" t="str">
        <f>HYPERLINK("https://probpalata.gov.ru/files/ИП440200222800000.jpeg","Скачать индивидуальный QR-код магазина")</f>
        <v>Скачать индивидуальный QR-код магазина</v>
      </c>
    </row>
    <row r="3735" spans="1:7" x14ac:dyDescent="0.25">
      <c r="A3735" t="s">
        <v>11309</v>
      </c>
      <c r="B3735" t="s">
        <v>11836</v>
      </c>
      <c r="C3735" t="s">
        <v>11837</v>
      </c>
      <c r="D3735" t="s">
        <v>11838</v>
      </c>
      <c r="E3735" t="s">
        <v>11839</v>
      </c>
      <c r="F3735" t="s">
        <v>11840</v>
      </c>
      <c r="G3735" s="2" t="str">
        <f>HYPERLINK("https://probpalata.gov.ru/files/ИП440200554600000.jpeg","Скачать индивидуальный QR-код магазина")</f>
        <v>Скачать индивидуальный QR-код магазина</v>
      </c>
    </row>
    <row r="3736" spans="1:7" x14ac:dyDescent="0.25">
      <c r="A3736" t="s">
        <v>11309</v>
      </c>
      <c r="B3736" t="s">
        <v>11841</v>
      </c>
      <c r="C3736" t="s">
        <v>11842</v>
      </c>
      <c r="D3736" t="s">
        <v>11843</v>
      </c>
      <c r="E3736" t="s">
        <v>11844</v>
      </c>
      <c r="F3736" t="s">
        <v>11845</v>
      </c>
      <c r="G3736" s="2" t="str">
        <f>HYPERLINK("https://probpalata.gov.ru/files/ИП440200042500000.jpeg","Скачать индивидуальный QR-код магазина")</f>
        <v>Скачать индивидуальный QR-код магазина</v>
      </c>
    </row>
    <row r="3737" spans="1:7" x14ac:dyDescent="0.25">
      <c r="A3737" t="s">
        <v>11309</v>
      </c>
      <c r="B3737" t="s">
        <v>11846</v>
      </c>
      <c r="C3737" t="s">
        <v>11847</v>
      </c>
      <c r="D3737" t="s">
        <v>11848</v>
      </c>
      <c r="E3737" t="s">
        <v>11849</v>
      </c>
      <c r="F3737" t="s">
        <v>11850</v>
      </c>
      <c r="G3737" s="2" t="str">
        <f>HYPERLINK("https://probpalata.gov.ru/files/ЮЛ440204072100000.jpeg","Скачать индивидуальный QR-код магазина")</f>
        <v>Скачать индивидуальный QR-код магазина</v>
      </c>
    </row>
    <row r="3738" spans="1:7" x14ac:dyDescent="0.25">
      <c r="A3738" t="s">
        <v>11309</v>
      </c>
      <c r="B3738" t="s">
        <v>11851</v>
      </c>
      <c r="C3738" t="s">
        <v>11852</v>
      </c>
      <c r="D3738" t="s">
        <v>11853</v>
      </c>
      <c r="E3738" t="s">
        <v>11854</v>
      </c>
      <c r="F3738" t="s">
        <v>11855</v>
      </c>
      <c r="G3738" s="2" t="str">
        <f>HYPERLINK("https://probpalata.gov.ru/files/ИП440200126600000.jpeg","Скачать индивидуальный QR-код магазина")</f>
        <v>Скачать индивидуальный QR-код магазина</v>
      </c>
    </row>
    <row r="3739" spans="1:7" x14ac:dyDescent="0.25">
      <c r="A3739" t="s">
        <v>11309</v>
      </c>
      <c r="B3739" t="s">
        <v>11856</v>
      </c>
      <c r="C3739" t="s">
        <v>11857</v>
      </c>
      <c r="D3739" t="s">
        <v>11858</v>
      </c>
      <c r="E3739" t="s">
        <v>11859</v>
      </c>
      <c r="F3739" t="s">
        <v>11860</v>
      </c>
      <c r="G3739" s="2" t="str">
        <f>HYPERLINK("https://probpalata.gov.ru/files/ЮЛ440200035400000.jpeg","Скачать индивидуальный QR-код магазина")</f>
        <v>Скачать индивидуальный QR-код магазина</v>
      </c>
    </row>
    <row r="3740" spans="1:7" x14ac:dyDescent="0.25">
      <c r="A3740" t="s">
        <v>11309</v>
      </c>
      <c r="B3740" t="s">
        <v>11861</v>
      </c>
      <c r="C3740" t="s">
        <v>11862</v>
      </c>
      <c r="D3740" t="s">
        <v>11863</v>
      </c>
      <c r="E3740" t="s">
        <v>11864</v>
      </c>
      <c r="F3740" t="s">
        <v>11865</v>
      </c>
      <c r="G3740" s="2" t="str">
        <f>HYPERLINK("https://probpalata.gov.ru/files/ЮЛ440200293000000.jpeg","Скачать индивидуальный QR-код магазина")</f>
        <v>Скачать индивидуальный QR-код магазина</v>
      </c>
    </row>
    <row r="3741" spans="1:7" x14ac:dyDescent="0.25">
      <c r="A3741" t="s">
        <v>11309</v>
      </c>
      <c r="B3741" t="s">
        <v>11866</v>
      </c>
      <c r="C3741" t="s">
        <v>11867</v>
      </c>
      <c r="D3741" t="s">
        <v>11868</v>
      </c>
      <c r="E3741" t="s">
        <v>11869</v>
      </c>
      <c r="F3741" t="s">
        <v>11870</v>
      </c>
      <c r="G3741" s="2" t="str">
        <f>HYPERLINK("https://probpalata.gov.ru/files/ЮЛ440201187800000.jpeg","Скачать индивидуальный QR-код магазина")</f>
        <v>Скачать индивидуальный QR-код магазина</v>
      </c>
    </row>
    <row r="3742" spans="1:7" x14ac:dyDescent="0.25">
      <c r="A3742" t="s">
        <v>11309</v>
      </c>
      <c r="B3742" t="s">
        <v>11871</v>
      </c>
      <c r="C3742" t="s">
        <v>11872</v>
      </c>
      <c r="D3742" t="s">
        <v>11873</v>
      </c>
      <c r="E3742" t="s">
        <v>11874</v>
      </c>
      <c r="F3742" t="s">
        <v>11875</v>
      </c>
      <c r="G3742" s="2" t="str">
        <f>HYPERLINK("https://probpalata.gov.ru/files/ЮЛ520600710600000.jpeg","Скачать индивидуальный QR-код магазина")</f>
        <v>Скачать индивидуальный QR-код магазина</v>
      </c>
    </row>
    <row r="3743" spans="1:7" x14ac:dyDescent="0.25">
      <c r="A3743" t="s">
        <v>11309</v>
      </c>
      <c r="B3743" t="s">
        <v>11876</v>
      </c>
      <c r="C3743" t="s">
        <v>11877</v>
      </c>
      <c r="D3743" t="s">
        <v>11878</v>
      </c>
      <c r="E3743" t="s">
        <v>11879</v>
      </c>
      <c r="F3743" t="s">
        <v>11880</v>
      </c>
      <c r="G3743" s="2" t="str">
        <f>HYPERLINK("https://probpalata.gov.ru/files/ЮЛ440200050300000.jpeg","Скачать индивидуальный QR-код магазина")</f>
        <v>Скачать индивидуальный QR-код магазина</v>
      </c>
    </row>
    <row r="3744" spans="1:7" x14ac:dyDescent="0.25">
      <c r="A3744" t="s">
        <v>11309</v>
      </c>
      <c r="B3744" t="s">
        <v>11881</v>
      </c>
      <c r="C3744" t="s">
        <v>11882</v>
      </c>
      <c r="D3744" t="s">
        <v>11883</v>
      </c>
      <c r="E3744" t="s">
        <v>11884</v>
      </c>
      <c r="F3744" t="s">
        <v>11885</v>
      </c>
      <c r="G3744" s="2" t="str">
        <f>HYPERLINK("https://probpalata.gov.ru/files/ЮЛ440200117400000.jpeg","Скачать индивидуальный QR-код магазина")</f>
        <v>Скачать индивидуальный QR-код магазина</v>
      </c>
    </row>
    <row r="3745" spans="1:7" x14ac:dyDescent="0.25">
      <c r="A3745" t="s">
        <v>11309</v>
      </c>
      <c r="B3745" t="s">
        <v>11886</v>
      </c>
      <c r="C3745" t="s">
        <v>11887</v>
      </c>
      <c r="D3745" t="s">
        <v>11888</v>
      </c>
      <c r="E3745" t="s">
        <v>11889</v>
      </c>
      <c r="F3745" t="s">
        <v>11890</v>
      </c>
      <c r="G3745" s="2" t="str">
        <f>HYPERLINK("https://probpalata.gov.ru/files/ЮЛ440201929800003.jpeg","Скачать индивидуальный QR-код магазина")</f>
        <v>Скачать индивидуальный QR-код магазина</v>
      </c>
    </row>
    <row r="3746" spans="1:7" x14ac:dyDescent="0.25">
      <c r="A3746" t="s">
        <v>11309</v>
      </c>
      <c r="B3746" t="s">
        <v>11891</v>
      </c>
      <c r="C3746" t="s">
        <v>11892</v>
      </c>
      <c r="D3746" t="s">
        <v>11893</v>
      </c>
      <c r="E3746" t="s">
        <v>11894</v>
      </c>
      <c r="F3746" t="s">
        <v>11895</v>
      </c>
      <c r="G3746" s="2" t="str">
        <f>HYPERLINK("https://probpalata.gov.ru/files/ИП440200531300000.jpeg","Скачать индивидуальный QR-код магазина")</f>
        <v>Скачать индивидуальный QR-код магазина</v>
      </c>
    </row>
    <row r="3747" spans="1:7" x14ac:dyDescent="0.25">
      <c r="A3747" t="s">
        <v>11309</v>
      </c>
      <c r="B3747" t="s">
        <v>11896</v>
      </c>
      <c r="C3747" t="s">
        <v>11897</v>
      </c>
      <c r="D3747" t="s">
        <v>11898</v>
      </c>
      <c r="E3747" t="s">
        <v>11899</v>
      </c>
      <c r="F3747" t="s">
        <v>11900</v>
      </c>
      <c r="G3747" s="2" t="str">
        <f>HYPERLINK("https://probpalata.gov.ru/files/ЮЛ440200277500000.jpeg","Скачать индивидуальный QR-код магазина")</f>
        <v>Скачать индивидуальный QR-код магазина</v>
      </c>
    </row>
    <row r="3748" spans="1:7" x14ac:dyDescent="0.25">
      <c r="A3748" t="s">
        <v>11309</v>
      </c>
      <c r="B3748" t="s">
        <v>11901</v>
      </c>
      <c r="C3748" t="s">
        <v>11902</v>
      </c>
      <c r="D3748" t="s">
        <v>11903</v>
      </c>
      <c r="E3748" t="s">
        <v>11904</v>
      </c>
      <c r="F3748" t="s">
        <v>11905</v>
      </c>
      <c r="G3748" s="2" t="str">
        <f>HYPERLINK("https://probpalata.gov.ru/files/ЮЛ440200304000000.jpeg","Скачать индивидуальный QR-код магазина")</f>
        <v>Скачать индивидуальный QR-код магазина</v>
      </c>
    </row>
    <row r="3749" spans="1:7" x14ac:dyDescent="0.25">
      <c r="A3749" t="s">
        <v>11309</v>
      </c>
      <c r="B3749" t="s">
        <v>11906</v>
      </c>
      <c r="C3749" t="s">
        <v>11907</v>
      </c>
      <c r="D3749" t="s">
        <v>11908</v>
      </c>
      <c r="E3749" t="s">
        <v>11909</v>
      </c>
      <c r="F3749" t="s">
        <v>11910</v>
      </c>
      <c r="G3749" s="2" t="str">
        <f>HYPERLINK("https://probpalata.gov.ru/files/ИП440200747000000.jpeg","Скачать индивидуальный QR-код магазина")</f>
        <v>Скачать индивидуальный QR-код магазина</v>
      </c>
    </row>
    <row r="3750" spans="1:7" x14ac:dyDescent="0.25">
      <c r="A3750" t="s">
        <v>11309</v>
      </c>
      <c r="B3750" t="s">
        <v>11911</v>
      </c>
      <c r="C3750" t="s">
        <v>11912</v>
      </c>
      <c r="D3750" t="s">
        <v>11913</v>
      </c>
      <c r="E3750" t="s">
        <v>11914</v>
      </c>
      <c r="F3750" t="s">
        <v>11915</v>
      </c>
      <c r="G3750" s="2" t="str">
        <f>HYPERLINK("https://probpalata.gov.ru/files/ЮЛ440200139100000.jpeg","Скачать индивидуальный QR-код магазина")</f>
        <v>Скачать индивидуальный QR-код магазина</v>
      </c>
    </row>
    <row r="3751" spans="1:7" x14ac:dyDescent="0.25">
      <c r="A3751" t="s">
        <v>11309</v>
      </c>
      <c r="B3751" t="s">
        <v>11916</v>
      </c>
      <c r="C3751" t="s">
        <v>11912</v>
      </c>
      <c r="D3751" t="s">
        <v>11913</v>
      </c>
      <c r="E3751" t="s">
        <v>11914</v>
      </c>
      <c r="F3751" t="s">
        <v>11917</v>
      </c>
      <c r="G3751" s="2" t="str">
        <f>HYPERLINK("https://probpalata.gov.ru/files/ЮЛ440200139100001.jpeg","Скачать индивидуальный QR-код магазина")</f>
        <v>Скачать индивидуальный QR-код магазина</v>
      </c>
    </row>
    <row r="3752" spans="1:7" x14ac:dyDescent="0.25">
      <c r="A3752" t="s">
        <v>11309</v>
      </c>
      <c r="B3752" t="s">
        <v>11918</v>
      </c>
      <c r="C3752" t="s">
        <v>11919</v>
      </c>
      <c r="D3752" t="s">
        <v>11920</v>
      </c>
      <c r="E3752" t="s">
        <v>11921</v>
      </c>
      <c r="F3752" t="s">
        <v>11922</v>
      </c>
      <c r="G3752" s="2" t="str">
        <f>HYPERLINK("https://probpalata.gov.ru/files/ЮЛ440200989700000.jpeg","Скачать индивидуальный QR-код магазина")</f>
        <v>Скачать индивидуальный QR-код магазина</v>
      </c>
    </row>
    <row r="3753" spans="1:7" x14ac:dyDescent="0.25">
      <c r="A3753" t="s">
        <v>11309</v>
      </c>
      <c r="B3753" t="s">
        <v>11923</v>
      </c>
      <c r="C3753" t="s">
        <v>11924</v>
      </c>
      <c r="D3753" t="s">
        <v>11925</v>
      </c>
      <c r="E3753" t="s">
        <v>11926</v>
      </c>
      <c r="F3753" t="s">
        <v>11927</v>
      </c>
      <c r="G3753" s="2" t="str">
        <f>HYPERLINK("https://probpalata.gov.ru/files/ИП440200101000000.jpeg","Скачать индивидуальный QR-код магазина")</f>
        <v>Скачать индивидуальный QR-код магазина</v>
      </c>
    </row>
    <row r="3754" spans="1:7" x14ac:dyDescent="0.25">
      <c r="A3754" t="s">
        <v>11309</v>
      </c>
      <c r="B3754" t="s">
        <v>11928</v>
      </c>
      <c r="C3754" t="s">
        <v>11929</v>
      </c>
      <c r="D3754" t="s">
        <v>11930</v>
      </c>
      <c r="E3754" t="s">
        <v>11931</v>
      </c>
      <c r="F3754" t="s">
        <v>11932</v>
      </c>
      <c r="G3754" s="2" t="str">
        <f>HYPERLINK("https://probpalata.gov.ru/files/ИП440203092700000.jpeg","Скачать индивидуальный QR-код магазина")</f>
        <v>Скачать индивидуальный QR-код магазина</v>
      </c>
    </row>
    <row r="3755" spans="1:7" x14ac:dyDescent="0.25">
      <c r="A3755" t="s">
        <v>11309</v>
      </c>
      <c r="B3755" t="s">
        <v>11933</v>
      </c>
      <c r="C3755" t="s">
        <v>11929</v>
      </c>
      <c r="D3755" t="s">
        <v>11930</v>
      </c>
      <c r="E3755" t="s">
        <v>11931</v>
      </c>
      <c r="F3755" t="s">
        <v>11934</v>
      </c>
      <c r="G3755" s="2" t="str">
        <f>HYPERLINK("https://probpalata.gov.ru/files/ИП440203092700001.jpeg","Скачать индивидуальный QR-код магазина")</f>
        <v>Скачать индивидуальный QR-код магазина</v>
      </c>
    </row>
    <row r="3756" spans="1:7" x14ac:dyDescent="0.25">
      <c r="A3756" t="s">
        <v>11309</v>
      </c>
      <c r="B3756" t="s">
        <v>11935</v>
      </c>
      <c r="C3756" t="s">
        <v>11936</v>
      </c>
      <c r="D3756" t="s">
        <v>11937</v>
      </c>
      <c r="E3756" t="s">
        <v>11938</v>
      </c>
      <c r="F3756" t="s">
        <v>11939</v>
      </c>
      <c r="G3756" s="2" t="str">
        <f>HYPERLINK("https://probpalata.gov.ru/files/ЮЛ440203065800000.jpeg","Скачать индивидуальный QR-код магазина")</f>
        <v>Скачать индивидуальный QR-код магазина</v>
      </c>
    </row>
    <row r="3757" spans="1:7" x14ac:dyDescent="0.25">
      <c r="A3757" t="s">
        <v>11309</v>
      </c>
      <c r="B3757" t="s">
        <v>11940</v>
      </c>
      <c r="C3757" t="s">
        <v>11941</v>
      </c>
      <c r="D3757" t="s">
        <v>11942</v>
      </c>
      <c r="E3757" t="s">
        <v>11943</v>
      </c>
      <c r="F3757" t="s">
        <v>11944</v>
      </c>
      <c r="G3757" s="2" t="str">
        <f>HYPERLINK("https://probpalata.gov.ru/files/ЮЛ440200853300000.jpeg","Скачать индивидуальный QR-код магазина")</f>
        <v>Скачать индивидуальный QR-код магазина</v>
      </c>
    </row>
    <row r="3758" spans="1:7" x14ac:dyDescent="0.25">
      <c r="A3758" t="s">
        <v>11309</v>
      </c>
      <c r="B3758" t="s">
        <v>11945</v>
      </c>
      <c r="C3758" t="s">
        <v>11946</v>
      </c>
      <c r="D3758" t="s">
        <v>11947</v>
      </c>
      <c r="E3758" t="s">
        <v>11948</v>
      </c>
      <c r="F3758" t="s">
        <v>11949</v>
      </c>
      <c r="G3758" s="2" t="str">
        <f>HYPERLINK("https://probpalata.gov.ru/files/ИП770101182200000.jpeg","Скачать индивидуальный QR-код магазина")</f>
        <v>Скачать индивидуальный QR-код магазина</v>
      </c>
    </row>
    <row r="3759" spans="1:7" x14ac:dyDescent="0.25">
      <c r="A3759" t="s">
        <v>11309</v>
      </c>
      <c r="B3759" t="s">
        <v>11950</v>
      </c>
      <c r="C3759" t="s">
        <v>11951</v>
      </c>
      <c r="D3759" t="s">
        <v>11952</v>
      </c>
      <c r="E3759" t="s">
        <v>11953</v>
      </c>
      <c r="F3759" t="s">
        <v>11954</v>
      </c>
      <c r="G3759" s="2" t="str">
        <f>HYPERLINK("https://probpalata.gov.ru/files/ИП440200954500000.jpeg","Скачать индивидуальный QR-код магазина")</f>
        <v>Скачать индивидуальный QR-код магазина</v>
      </c>
    </row>
    <row r="3760" spans="1:7" x14ac:dyDescent="0.25">
      <c r="A3760" t="s">
        <v>11309</v>
      </c>
      <c r="B3760" t="s">
        <v>11955</v>
      </c>
      <c r="C3760" t="s">
        <v>11956</v>
      </c>
      <c r="D3760" t="s">
        <v>11957</v>
      </c>
      <c r="E3760" t="s">
        <v>11958</v>
      </c>
      <c r="F3760" t="s">
        <v>11959</v>
      </c>
      <c r="G3760" s="2" t="str">
        <f>HYPERLINK("https://probpalata.gov.ru/files/ЮЛ440201321000000.jpeg","Скачать индивидуальный QR-код магазина")</f>
        <v>Скачать индивидуальный QR-код магазина</v>
      </c>
    </row>
    <row r="3761" spans="1:7" x14ac:dyDescent="0.25">
      <c r="A3761" t="s">
        <v>11309</v>
      </c>
      <c r="B3761" t="s">
        <v>11960</v>
      </c>
      <c r="C3761" t="s">
        <v>11961</v>
      </c>
      <c r="D3761" t="s">
        <v>11962</v>
      </c>
      <c r="E3761" t="s">
        <v>11963</v>
      </c>
      <c r="F3761" t="s">
        <v>11964</v>
      </c>
      <c r="G3761" s="2" t="str">
        <f>HYPERLINK("https://probpalata.gov.ru/files/ЮЛ440200036600000.jpeg","Скачать индивидуальный QR-код магазина")</f>
        <v>Скачать индивидуальный QR-код магазина</v>
      </c>
    </row>
    <row r="3762" spans="1:7" x14ac:dyDescent="0.25">
      <c r="A3762" t="s">
        <v>11309</v>
      </c>
      <c r="B3762" t="s">
        <v>11965</v>
      </c>
      <c r="C3762" t="s">
        <v>11966</v>
      </c>
      <c r="D3762" t="s">
        <v>11967</v>
      </c>
      <c r="E3762" t="s">
        <v>11968</v>
      </c>
      <c r="F3762" t="s">
        <v>11969</v>
      </c>
      <c r="G3762" s="2" t="str">
        <f>HYPERLINK("https://probpalata.gov.ru/files/ЮЛ630603173900002.jpeg","Скачать индивидуальный QR-код магазина")</f>
        <v>Скачать индивидуальный QR-код магазина</v>
      </c>
    </row>
    <row r="3763" spans="1:7" x14ac:dyDescent="0.25">
      <c r="A3763" t="s">
        <v>11309</v>
      </c>
      <c r="B3763" t="s">
        <v>11970</v>
      </c>
      <c r="C3763" t="s">
        <v>11971</v>
      </c>
      <c r="D3763" t="s">
        <v>11972</v>
      </c>
      <c r="E3763" t="s">
        <v>11973</v>
      </c>
      <c r="F3763" t="s">
        <v>11974</v>
      </c>
      <c r="G3763" s="2" t="str">
        <f>HYPERLINK("https://probpalata.gov.ru/files/ЮЛ440200448500000.jpeg","Скачать индивидуальный QR-код магазина")</f>
        <v>Скачать индивидуальный QR-код магазина</v>
      </c>
    </row>
    <row r="3764" spans="1:7" x14ac:dyDescent="0.25">
      <c r="A3764" t="s">
        <v>11309</v>
      </c>
      <c r="B3764" t="s">
        <v>11975</v>
      </c>
      <c r="C3764" t="s">
        <v>11976</v>
      </c>
      <c r="D3764" t="s">
        <v>11977</v>
      </c>
      <c r="E3764" t="s">
        <v>11978</v>
      </c>
      <c r="F3764" t="s">
        <v>11979</v>
      </c>
      <c r="G3764" s="2" t="str">
        <f>HYPERLINK("https://probpalata.gov.ru/files/ЮЛ440200176700000.jpeg","Скачать индивидуальный QR-код магазина")</f>
        <v>Скачать индивидуальный QR-код магазина</v>
      </c>
    </row>
    <row r="3765" spans="1:7" x14ac:dyDescent="0.25">
      <c r="A3765" t="s">
        <v>11309</v>
      </c>
      <c r="B3765" t="s">
        <v>11980</v>
      </c>
      <c r="C3765" t="s">
        <v>11981</v>
      </c>
      <c r="D3765" t="s">
        <v>11982</v>
      </c>
      <c r="E3765" t="s">
        <v>11983</v>
      </c>
      <c r="F3765" t="s">
        <v>11984</v>
      </c>
      <c r="G3765" s="2" t="str">
        <f>HYPERLINK("https://probpalata.gov.ru/files/ЮЛ440200189500000.jpeg","Скачать индивидуальный QR-код магазина")</f>
        <v>Скачать индивидуальный QR-код магазина</v>
      </c>
    </row>
    <row r="3766" spans="1:7" x14ac:dyDescent="0.25">
      <c r="A3766" t="s">
        <v>11309</v>
      </c>
      <c r="B3766" t="s">
        <v>11985</v>
      </c>
      <c r="C3766" t="s">
        <v>11986</v>
      </c>
      <c r="D3766" t="s">
        <v>11987</v>
      </c>
      <c r="E3766" t="s">
        <v>11988</v>
      </c>
      <c r="F3766" t="s">
        <v>11989</v>
      </c>
      <c r="G3766" s="2" t="str">
        <f>HYPERLINK("https://probpalata.gov.ru/files/ЮЛ440200602700000.jpeg","Скачать индивидуальный QR-код магазина")</f>
        <v>Скачать индивидуальный QR-код магазина</v>
      </c>
    </row>
    <row r="3767" spans="1:7" x14ac:dyDescent="0.25">
      <c r="A3767" t="s">
        <v>11309</v>
      </c>
      <c r="B3767" t="s">
        <v>11990</v>
      </c>
      <c r="C3767" t="s">
        <v>11991</v>
      </c>
      <c r="D3767" t="s">
        <v>11992</v>
      </c>
      <c r="E3767" t="s">
        <v>11993</v>
      </c>
      <c r="F3767" t="s">
        <v>11994</v>
      </c>
      <c r="G3767" s="2" t="str">
        <f>HYPERLINK("https://probpalata.gov.ru/files/ЮЛ440200316800000.jpeg","Скачать индивидуальный QR-код магазина")</f>
        <v>Скачать индивидуальный QR-код магазина</v>
      </c>
    </row>
    <row r="3768" spans="1:7" x14ac:dyDescent="0.25">
      <c r="A3768" t="s">
        <v>11309</v>
      </c>
      <c r="B3768" t="s">
        <v>11995</v>
      </c>
      <c r="C3768" t="s">
        <v>11996</v>
      </c>
      <c r="D3768" t="s">
        <v>11997</v>
      </c>
      <c r="E3768" t="s">
        <v>11998</v>
      </c>
      <c r="F3768" t="s">
        <v>11999</v>
      </c>
      <c r="G3768" s="2" t="str">
        <f>HYPERLINK("https://probpalata.gov.ru/files/ЮЛ440201416100000.jpeg","Скачать индивидуальный QR-код магазина")</f>
        <v>Скачать индивидуальный QR-код магазина</v>
      </c>
    </row>
    <row r="3769" spans="1:7" x14ac:dyDescent="0.25">
      <c r="A3769" t="s">
        <v>11309</v>
      </c>
      <c r="B3769" t="s">
        <v>12000</v>
      </c>
      <c r="C3769" t="s">
        <v>12001</v>
      </c>
      <c r="D3769" t="s">
        <v>12002</v>
      </c>
      <c r="E3769" t="s">
        <v>12003</v>
      </c>
      <c r="F3769" t="s">
        <v>12004</v>
      </c>
      <c r="G3769" s="2" t="str">
        <f>HYPERLINK("https://probpalata.gov.ru/files/ИП440200985000006.jpeg","Скачать индивидуальный QR-код магазина")</f>
        <v>Скачать индивидуальный QR-код магазина</v>
      </c>
    </row>
    <row r="3770" spans="1:7" x14ac:dyDescent="0.25">
      <c r="A3770" t="s">
        <v>11309</v>
      </c>
      <c r="B3770" t="s">
        <v>12005</v>
      </c>
      <c r="C3770" t="s">
        <v>12006</v>
      </c>
      <c r="D3770" t="s">
        <v>12007</v>
      </c>
      <c r="E3770" t="s">
        <v>12008</v>
      </c>
      <c r="F3770" t="s">
        <v>12009</v>
      </c>
      <c r="G3770" s="2" t="str">
        <f>HYPERLINK("https://probpalata.gov.ru/files/ЮЛ440203263400000.jpeg","Скачать индивидуальный QR-код магазина")</f>
        <v>Скачать индивидуальный QR-код магазина</v>
      </c>
    </row>
    <row r="3771" spans="1:7" x14ac:dyDescent="0.25">
      <c r="A3771" t="s">
        <v>11309</v>
      </c>
      <c r="B3771" t="s">
        <v>12010</v>
      </c>
      <c r="C3771" t="s">
        <v>12011</v>
      </c>
      <c r="D3771" t="s">
        <v>12012</v>
      </c>
      <c r="E3771" t="s">
        <v>12013</v>
      </c>
      <c r="F3771" t="s">
        <v>12014</v>
      </c>
      <c r="G3771" s="2" t="str">
        <f>HYPERLINK("https://probpalata.gov.ru/files/ЮЛ440200137200000.jpeg","Скачать индивидуальный QR-код магазина")</f>
        <v>Скачать индивидуальный QR-код магазина</v>
      </c>
    </row>
    <row r="3772" spans="1:7" x14ac:dyDescent="0.25">
      <c r="A3772" t="s">
        <v>11309</v>
      </c>
      <c r="B3772" t="s">
        <v>12015</v>
      </c>
      <c r="C3772" t="s">
        <v>12016</v>
      </c>
      <c r="D3772" t="s">
        <v>12017</v>
      </c>
      <c r="E3772" t="s">
        <v>12018</v>
      </c>
      <c r="F3772" t="s">
        <v>12019</v>
      </c>
      <c r="G3772" s="2" t="str">
        <f>HYPERLINK("https://probpalata.gov.ru/files/ЮЛ440200449100000.jpeg","Скачать индивидуальный QR-код магазина")</f>
        <v>Скачать индивидуальный QR-код магазина</v>
      </c>
    </row>
    <row r="3773" spans="1:7" x14ac:dyDescent="0.25">
      <c r="A3773" t="s">
        <v>11309</v>
      </c>
      <c r="B3773" t="s">
        <v>12020</v>
      </c>
      <c r="C3773" t="s">
        <v>12021</v>
      </c>
      <c r="D3773" t="s">
        <v>12022</v>
      </c>
      <c r="E3773" t="s">
        <v>12023</v>
      </c>
      <c r="F3773" t="s">
        <v>12024</v>
      </c>
      <c r="G3773" s="2" t="str">
        <f>HYPERLINK("https://probpalata.gov.ru/files/ИП440203592800000.jpeg","Скачать индивидуальный QR-код магазина")</f>
        <v>Скачать индивидуальный QR-код магазина</v>
      </c>
    </row>
    <row r="3774" spans="1:7" x14ac:dyDescent="0.25">
      <c r="A3774" t="s">
        <v>11309</v>
      </c>
      <c r="B3774" t="s">
        <v>12025</v>
      </c>
      <c r="C3774" t="s">
        <v>12026</v>
      </c>
      <c r="D3774" t="s">
        <v>12027</v>
      </c>
      <c r="E3774" t="s">
        <v>12028</v>
      </c>
      <c r="F3774" t="s">
        <v>12029</v>
      </c>
      <c r="G3774" s="2" t="str">
        <f>HYPERLINK("https://probpalata.gov.ru/files/ЮЛ440200073900000.jpeg","Скачать индивидуальный QR-код магазина")</f>
        <v>Скачать индивидуальный QR-код магазина</v>
      </c>
    </row>
    <row r="3775" spans="1:7" x14ac:dyDescent="0.25">
      <c r="A3775" t="s">
        <v>11309</v>
      </c>
      <c r="B3775" t="s">
        <v>12030</v>
      </c>
      <c r="C3775" t="s">
        <v>12031</v>
      </c>
      <c r="D3775" t="s">
        <v>12032</v>
      </c>
      <c r="E3775" t="s">
        <v>12033</v>
      </c>
      <c r="F3775" t="s">
        <v>12034</v>
      </c>
      <c r="G3775" s="2" t="str">
        <f>HYPERLINK("https://probpalata.gov.ru/files/ЮЛ440201040900000.jpeg","Скачать индивидуальный QR-код магазина")</f>
        <v>Скачать индивидуальный QR-код магазина</v>
      </c>
    </row>
    <row r="3776" spans="1:7" x14ac:dyDescent="0.25">
      <c r="A3776" t="s">
        <v>11309</v>
      </c>
      <c r="B3776" t="s">
        <v>12035</v>
      </c>
      <c r="C3776" t="s">
        <v>12036</v>
      </c>
      <c r="D3776" t="s">
        <v>12037</v>
      </c>
      <c r="E3776" t="s">
        <v>12038</v>
      </c>
      <c r="F3776" t="s">
        <v>12039</v>
      </c>
      <c r="G3776" s="2" t="str">
        <f>HYPERLINK("https://probpalata.gov.ru/files/ИП440203892100000.jpeg","Скачать индивидуальный QR-код магазина")</f>
        <v>Скачать индивидуальный QR-код магазина</v>
      </c>
    </row>
    <row r="3777" spans="1:7" x14ac:dyDescent="0.25">
      <c r="A3777" t="s">
        <v>11309</v>
      </c>
      <c r="B3777" t="s">
        <v>12040</v>
      </c>
      <c r="C3777" t="s">
        <v>12041</v>
      </c>
      <c r="D3777" t="s">
        <v>12042</v>
      </c>
      <c r="E3777" t="s">
        <v>12043</v>
      </c>
      <c r="F3777" t="s">
        <v>12044</v>
      </c>
      <c r="G3777" s="2" t="str">
        <f>HYPERLINK("https://probpalata.gov.ru/files/ЮЛ440200170500000.jpeg","Скачать индивидуальный QR-код магазина")</f>
        <v>Скачать индивидуальный QR-код магазина</v>
      </c>
    </row>
    <row r="3778" spans="1:7" x14ac:dyDescent="0.25">
      <c r="A3778" t="s">
        <v>11309</v>
      </c>
      <c r="B3778" t="s">
        <v>12045</v>
      </c>
      <c r="C3778" t="s">
        <v>12046</v>
      </c>
      <c r="D3778" t="s">
        <v>12047</v>
      </c>
      <c r="E3778" t="s">
        <v>12048</v>
      </c>
      <c r="F3778" t="s">
        <v>12049</v>
      </c>
      <c r="G3778" s="2" t="str">
        <f>HYPERLINK("https://probpalata.gov.ru/files/ЮЛ440200281700000.jpeg","Скачать индивидуальный QR-код магазина")</f>
        <v>Скачать индивидуальный QR-код магазина</v>
      </c>
    </row>
    <row r="3779" spans="1:7" x14ac:dyDescent="0.25">
      <c r="A3779" t="s">
        <v>11309</v>
      </c>
      <c r="B3779" t="s">
        <v>12050</v>
      </c>
      <c r="C3779" t="s">
        <v>12051</v>
      </c>
      <c r="D3779" t="s">
        <v>12052</v>
      </c>
      <c r="E3779" t="s">
        <v>12053</v>
      </c>
      <c r="F3779" t="s">
        <v>12054</v>
      </c>
      <c r="G3779" s="2" t="str">
        <f>HYPERLINK("https://probpalata.gov.ru/files/ЮЛ440200420500001.jpeg","Скачать индивидуальный QR-код магазина")</f>
        <v>Скачать индивидуальный QR-код магазина</v>
      </c>
    </row>
    <row r="3780" spans="1:7" x14ac:dyDescent="0.25">
      <c r="A3780" t="s">
        <v>11309</v>
      </c>
      <c r="B3780" t="s">
        <v>12055</v>
      </c>
      <c r="C3780" t="s">
        <v>12056</v>
      </c>
      <c r="D3780" t="s">
        <v>12057</v>
      </c>
      <c r="E3780" t="s">
        <v>12058</v>
      </c>
      <c r="F3780" t="s">
        <v>12059</v>
      </c>
      <c r="G3780" s="2" t="str">
        <f>HYPERLINK("https://probpalata.gov.ru/files/ИП440203782200000.jpeg","Скачать индивидуальный QR-код магазина")</f>
        <v>Скачать индивидуальный QR-код магазина</v>
      </c>
    </row>
    <row r="3781" spans="1:7" x14ac:dyDescent="0.25">
      <c r="A3781" t="s">
        <v>11309</v>
      </c>
      <c r="B3781" t="s">
        <v>11747</v>
      </c>
      <c r="C3781" t="s">
        <v>12060</v>
      </c>
      <c r="D3781" t="s">
        <v>12061</v>
      </c>
      <c r="E3781" t="s">
        <v>12062</v>
      </c>
      <c r="F3781" t="s">
        <v>12063</v>
      </c>
      <c r="G3781" s="2" t="str">
        <f>HYPERLINK("https://probpalata.gov.ru/files/ИП770103496700000.jpeg","Скачать индивидуальный QR-код магазина")</f>
        <v>Скачать индивидуальный QR-код магазина</v>
      </c>
    </row>
    <row r="3782" spans="1:7" x14ac:dyDescent="0.25">
      <c r="A3782" t="s">
        <v>11309</v>
      </c>
      <c r="B3782" t="s">
        <v>12064</v>
      </c>
      <c r="C3782" t="s">
        <v>12060</v>
      </c>
      <c r="D3782" t="s">
        <v>12061</v>
      </c>
      <c r="E3782" t="s">
        <v>12062</v>
      </c>
      <c r="F3782" t="s">
        <v>12065</v>
      </c>
      <c r="G3782" s="2" t="str">
        <f>HYPERLINK("https://probpalata.gov.ru/files/ИП770103496700001.jpeg","Скачать индивидуальный QR-код магазина")</f>
        <v>Скачать индивидуальный QR-код магазина</v>
      </c>
    </row>
    <row r="3783" spans="1:7" x14ac:dyDescent="0.25">
      <c r="A3783" t="s">
        <v>11309</v>
      </c>
      <c r="B3783" t="s">
        <v>12066</v>
      </c>
      <c r="C3783" t="s">
        <v>12067</v>
      </c>
      <c r="D3783" t="s">
        <v>12068</v>
      </c>
      <c r="E3783" t="s">
        <v>12069</v>
      </c>
      <c r="F3783" t="s">
        <v>12070</v>
      </c>
      <c r="G3783" s="2" t="str">
        <f>HYPERLINK("https://probpalata.gov.ru/files/ИП440203655200000.jpeg","Скачать индивидуальный QR-код магазина")</f>
        <v>Скачать индивидуальный QR-код магазина</v>
      </c>
    </row>
    <row r="3784" spans="1:7" x14ac:dyDescent="0.25">
      <c r="A3784" t="s">
        <v>11309</v>
      </c>
      <c r="B3784" t="s">
        <v>12071</v>
      </c>
      <c r="C3784" t="s">
        <v>12072</v>
      </c>
      <c r="D3784" t="s">
        <v>12073</v>
      </c>
      <c r="E3784" t="s">
        <v>12074</v>
      </c>
      <c r="F3784" t="s">
        <v>12075</v>
      </c>
      <c r="G3784" s="2" t="str">
        <f>HYPERLINK("https://probpalata.gov.ru/files/ИП440200044100000.jpeg","Скачать индивидуальный QR-код магазина")</f>
        <v>Скачать индивидуальный QR-код магазина</v>
      </c>
    </row>
    <row r="3785" spans="1:7" x14ac:dyDescent="0.25">
      <c r="A3785" t="s">
        <v>11309</v>
      </c>
      <c r="B3785" t="s">
        <v>12076</v>
      </c>
      <c r="C3785" t="s">
        <v>12077</v>
      </c>
      <c r="D3785" t="s">
        <v>12078</v>
      </c>
      <c r="E3785" t="s">
        <v>12079</v>
      </c>
      <c r="F3785" t="s">
        <v>12080</v>
      </c>
      <c r="G3785" s="2" t="str">
        <f>HYPERLINK("https://probpalata.gov.ru/files/ИП440203430400000.jpeg","Скачать индивидуальный QR-код магазина")</f>
        <v>Скачать индивидуальный QR-код магазина</v>
      </c>
    </row>
    <row r="3786" spans="1:7" x14ac:dyDescent="0.25">
      <c r="A3786" t="s">
        <v>11309</v>
      </c>
      <c r="B3786" t="s">
        <v>12081</v>
      </c>
      <c r="C3786" t="s">
        <v>12082</v>
      </c>
      <c r="D3786" t="s">
        <v>12083</v>
      </c>
      <c r="E3786" t="s">
        <v>12084</v>
      </c>
      <c r="F3786" t="s">
        <v>12085</v>
      </c>
      <c r="G3786" s="2" t="str">
        <f>HYPERLINK("https://probpalata.gov.ru/files/ИП440200605300000.jpeg","Скачать индивидуальный QR-код магазина")</f>
        <v>Скачать индивидуальный QR-код магазина</v>
      </c>
    </row>
    <row r="3787" spans="1:7" x14ac:dyDescent="0.25">
      <c r="A3787" t="s">
        <v>11309</v>
      </c>
      <c r="B3787" t="s">
        <v>12086</v>
      </c>
      <c r="C3787" t="s">
        <v>12087</v>
      </c>
      <c r="D3787" t="s">
        <v>12088</v>
      </c>
      <c r="E3787" t="s">
        <v>12089</v>
      </c>
      <c r="F3787" t="s">
        <v>12090</v>
      </c>
      <c r="G3787" s="2" t="str">
        <f>HYPERLINK("https://probpalata.gov.ru/files/ИП440201140300000.jpeg","Скачать индивидуальный QR-код магазина")</f>
        <v>Скачать индивидуальный QR-код магазина</v>
      </c>
    </row>
    <row r="3788" spans="1:7" x14ac:dyDescent="0.25">
      <c r="A3788" t="s">
        <v>11309</v>
      </c>
      <c r="B3788" t="s">
        <v>12091</v>
      </c>
      <c r="C3788" t="s">
        <v>4559</v>
      </c>
      <c r="D3788" t="s">
        <v>4560</v>
      </c>
      <c r="E3788" t="s">
        <v>4561</v>
      </c>
      <c r="F3788" t="s">
        <v>12092</v>
      </c>
      <c r="G3788" s="2" t="str">
        <f>HYPERLINK("https://probpalata.gov.ru/files/ИП440200822300000.jpeg","Скачать индивидуальный QR-код магазина")</f>
        <v>Скачать индивидуальный QR-код магазина</v>
      </c>
    </row>
    <row r="3789" spans="1:7" x14ac:dyDescent="0.25">
      <c r="A3789" t="s">
        <v>11309</v>
      </c>
      <c r="B3789" t="s">
        <v>12093</v>
      </c>
      <c r="C3789" t="s">
        <v>4559</v>
      </c>
      <c r="D3789" t="s">
        <v>4560</v>
      </c>
      <c r="E3789" t="s">
        <v>4561</v>
      </c>
      <c r="F3789" t="s">
        <v>12094</v>
      </c>
      <c r="G3789" s="2" t="str">
        <f>HYPERLINK("https://probpalata.gov.ru/files/ИП440200822300006.jpeg","Скачать индивидуальный QR-код магазина")</f>
        <v>Скачать индивидуальный QR-код магазина</v>
      </c>
    </row>
    <row r="3790" spans="1:7" x14ac:dyDescent="0.25">
      <c r="A3790" t="s">
        <v>11309</v>
      </c>
      <c r="B3790" t="s">
        <v>12095</v>
      </c>
      <c r="C3790" t="s">
        <v>4559</v>
      </c>
      <c r="D3790" t="s">
        <v>4560</v>
      </c>
      <c r="E3790" t="s">
        <v>4561</v>
      </c>
      <c r="F3790" t="s">
        <v>12096</v>
      </c>
      <c r="G3790" s="2" t="str">
        <f>HYPERLINK("https://probpalata.gov.ru/files/ИП440200822300007.jpeg","Скачать индивидуальный QR-код магазина")</f>
        <v>Скачать индивидуальный QR-код магазина</v>
      </c>
    </row>
    <row r="3791" spans="1:7" x14ac:dyDescent="0.25">
      <c r="A3791" t="s">
        <v>11309</v>
      </c>
      <c r="B3791" t="s">
        <v>12097</v>
      </c>
      <c r="C3791" t="s">
        <v>4559</v>
      </c>
      <c r="D3791" t="s">
        <v>4560</v>
      </c>
      <c r="E3791" t="s">
        <v>4561</v>
      </c>
      <c r="F3791" t="s">
        <v>12098</v>
      </c>
      <c r="G3791" s="2" t="str">
        <f>HYPERLINK("https://probpalata.gov.ru/files/ИП440200822300008.jpeg","Скачать индивидуальный QR-код магазина")</f>
        <v>Скачать индивидуальный QR-код магазина</v>
      </c>
    </row>
    <row r="3792" spans="1:7" x14ac:dyDescent="0.25">
      <c r="A3792" t="s">
        <v>11309</v>
      </c>
      <c r="B3792" t="s">
        <v>12099</v>
      </c>
      <c r="C3792" t="s">
        <v>4559</v>
      </c>
      <c r="D3792" t="s">
        <v>4560</v>
      </c>
      <c r="E3792" t="s">
        <v>4561</v>
      </c>
      <c r="F3792" t="s">
        <v>12100</v>
      </c>
      <c r="G3792" s="2" t="str">
        <f>HYPERLINK("https://probpalata.gov.ru/files/ИП440200822300009.jpeg","Скачать индивидуальный QR-код магазина")</f>
        <v>Скачать индивидуальный QR-код магазина</v>
      </c>
    </row>
    <row r="3793" spans="1:7" x14ac:dyDescent="0.25">
      <c r="A3793" t="s">
        <v>11309</v>
      </c>
      <c r="B3793" t="s">
        <v>12101</v>
      </c>
      <c r="C3793" t="s">
        <v>12102</v>
      </c>
      <c r="D3793" t="s">
        <v>12103</v>
      </c>
      <c r="E3793" t="s">
        <v>12104</v>
      </c>
      <c r="F3793" t="s">
        <v>12105</v>
      </c>
      <c r="G3793" s="2" t="str">
        <f>HYPERLINK("https://probpalata.gov.ru/files/ИП440203940600000.jpeg","Скачать индивидуальный QR-код магазина")</f>
        <v>Скачать индивидуальный QR-код магазина</v>
      </c>
    </row>
    <row r="3794" spans="1:7" x14ac:dyDescent="0.25">
      <c r="A3794" t="s">
        <v>11309</v>
      </c>
      <c r="B3794" t="s">
        <v>12106</v>
      </c>
      <c r="C3794" t="s">
        <v>12107</v>
      </c>
      <c r="D3794" t="s">
        <v>12108</v>
      </c>
      <c r="E3794" t="s">
        <v>12109</v>
      </c>
      <c r="F3794" t="s">
        <v>12110</v>
      </c>
      <c r="G3794" s="2" t="str">
        <f>HYPERLINK("https://probpalata.gov.ru/files/ИП440200180900000.jpeg","Скачать индивидуальный QR-код магазина")</f>
        <v>Скачать индивидуальный QR-код магазина</v>
      </c>
    </row>
    <row r="3795" spans="1:7" x14ac:dyDescent="0.25">
      <c r="A3795" t="s">
        <v>11309</v>
      </c>
      <c r="B3795" t="s">
        <v>12111</v>
      </c>
      <c r="C3795" t="s">
        <v>12112</v>
      </c>
      <c r="D3795" t="s">
        <v>12113</v>
      </c>
      <c r="E3795" t="s">
        <v>12114</v>
      </c>
      <c r="F3795" t="s">
        <v>12115</v>
      </c>
      <c r="G3795" s="2" t="str">
        <f>HYPERLINK("https://probpalata.gov.ru/files/ИП440201018400000.jpeg","Скачать индивидуальный QR-код магазина")</f>
        <v>Скачать индивидуальный QR-код магазина</v>
      </c>
    </row>
    <row r="3796" spans="1:7" x14ac:dyDescent="0.25">
      <c r="A3796" t="s">
        <v>11309</v>
      </c>
      <c r="B3796" t="s">
        <v>12116</v>
      </c>
      <c r="C3796" t="s">
        <v>12117</v>
      </c>
      <c r="D3796" t="s">
        <v>12118</v>
      </c>
      <c r="E3796" t="s">
        <v>12119</v>
      </c>
      <c r="F3796" t="s">
        <v>12120</v>
      </c>
      <c r="G3796" s="2" t="str">
        <f>HYPERLINK("https://probpalata.gov.ru/files/ИП440203241200000.jpeg","Скачать индивидуальный QR-код магазина")</f>
        <v>Скачать индивидуальный QR-код магазина</v>
      </c>
    </row>
    <row r="3797" spans="1:7" x14ac:dyDescent="0.25">
      <c r="A3797" t="s">
        <v>11309</v>
      </c>
      <c r="B3797" t="s">
        <v>12121</v>
      </c>
      <c r="C3797" t="s">
        <v>12122</v>
      </c>
      <c r="D3797" t="s">
        <v>12123</v>
      </c>
      <c r="E3797" t="s">
        <v>12124</v>
      </c>
      <c r="F3797" t="s">
        <v>12125</v>
      </c>
      <c r="G3797" s="2" t="str">
        <f>HYPERLINK("https://probpalata.gov.ru/files/ИП440201269100000.jpeg","Скачать индивидуальный QR-код магазина")</f>
        <v>Скачать индивидуальный QR-код магазина</v>
      </c>
    </row>
    <row r="3798" spans="1:7" x14ac:dyDescent="0.25">
      <c r="A3798" t="s">
        <v>11309</v>
      </c>
      <c r="B3798" t="s">
        <v>12126</v>
      </c>
      <c r="C3798" t="s">
        <v>12127</v>
      </c>
      <c r="D3798" t="s">
        <v>12128</v>
      </c>
      <c r="E3798" t="s">
        <v>12129</v>
      </c>
      <c r="F3798" t="s">
        <v>12130</v>
      </c>
      <c r="G3798" s="2" t="str">
        <f>HYPERLINK("https://probpalata.gov.ru/files/ИП440200493700000.jpeg","Скачать индивидуальный QR-код магазина")</f>
        <v>Скачать индивидуальный QR-код магазина</v>
      </c>
    </row>
    <row r="3799" spans="1:7" x14ac:dyDescent="0.25">
      <c r="A3799" t="s">
        <v>11309</v>
      </c>
      <c r="B3799" t="s">
        <v>12131</v>
      </c>
      <c r="C3799" t="s">
        <v>12132</v>
      </c>
      <c r="D3799" t="s">
        <v>12133</v>
      </c>
      <c r="E3799" t="s">
        <v>12134</v>
      </c>
      <c r="F3799" t="s">
        <v>12135</v>
      </c>
      <c r="G3799" s="2" t="str">
        <f>HYPERLINK("https://probpalata.gov.ru/files/ИП440203114400000.jpeg","Скачать индивидуальный QR-код магазина")</f>
        <v>Скачать индивидуальный QR-код магазина</v>
      </c>
    </row>
    <row r="3800" spans="1:7" x14ac:dyDescent="0.25">
      <c r="A3800" t="s">
        <v>11309</v>
      </c>
      <c r="B3800" t="s">
        <v>12136</v>
      </c>
      <c r="C3800" t="s">
        <v>12137</v>
      </c>
      <c r="D3800" t="s">
        <v>12138</v>
      </c>
      <c r="E3800" t="s">
        <v>12139</v>
      </c>
      <c r="F3800" t="s">
        <v>12140</v>
      </c>
      <c r="G3800" s="2" t="str">
        <f>HYPERLINK("https://probpalata.gov.ru/files/ИП330100358300000.jpeg","Скачать индивидуальный QR-код магазина")</f>
        <v>Скачать индивидуальный QR-код магазина</v>
      </c>
    </row>
    <row r="3801" spans="1:7" x14ac:dyDescent="0.25">
      <c r="A3801" t="s">
        <v>11309</v>
      </c>
      <c r="B3801" t="s">
        <v>12141</v>
      </c>
      <c r="C3801" t="s">
        <v>12142</v>
      </c>
      <c r="D3801" t="s">
        <v>12143</v>
      </c>
      <c r="E3801" t="s">
        <v>12144</v>
      </c>
      <c r="F3801" t="s">
        <v>12145</v>
      </c>
      <c r="G3801" s="2" t="str">
        <f>HYPERLINK("https://probpalata.gov.ru/files/ИП440200100900000.jpeg","Скачать индивидуальный QR-код магазина")</f>
        <v>Скачать индивидуальный QR-код магазина</v>
      </c>
    </row>
    <row r="3802" spans="1:7" x14ac:dyDescent="0.25">
      <c r="A3802" t="s">
        <v>11309</v>
      </c>
      <c r="B3802" t="s">
        <v>12146</v>
      </c>
      <c r="C3802" t="s">
        <v>12147</v>
      </c>
      <c r="D3802" t="s">
        <v>12148</v>
      </c>
      <c r="E3802" t="s">
        <v>12149</v>
      </c>
      <c r="F3802" t="s">
        <v>12150</v>
      </c>
      <c r="G3802" s="2" t="str">
        <f>HYPERLINK("https://probpalata.gov.ru/files/ИП440203374400000.jpeg","Скачать индивидуальный QR-код магазина")</f>
        <v>Скачать индивидуальный QR-код магазина</v>
      </c>
    </row>
    <row r="3803" spans="1:7" x14ac:dyDescent="0.25">
      <c r="A3803" t="s">
        <v>11309</v>
      </c>
      <c r="B3803" t="s">
        <v>12151</v>
      </c>
      <c r="C3803" t="s">
        <v>12152</v>
      </c>
      <c r="D3803" t="s">
        <v>12153</v>
      </c>
      <c r="E3803" t="s">
        <v>12154</v>
      </c>
      <c r="F3803" t="s">
        <v>12155</v>
      </c>
      <c r="G3803" s="2" t="str">
        <f>HYPERLINK("https://probpalata.gov.ru/files/ИП440201538000000.jpeg","Скачать индивидуальный QR-код магазина")</f>
        <v>Скачать индивидуальный QR-код магазина</v>
      </c>
    </row>
    <row r="3804" spans="1:7" x14ac:dyDescent="0.25">
      <c r="A3804" t="s">
        <v>11309</v>
      </c>
      <c r="B3804" t="s">
        <v>12156</v>
      </c>
      <c r="C3804" t="s">
        <v>12157</v>
      </c>
      <c r="D3804" t="s">
        <v>12158</v>
      </c>
      <c r="E3804" t="s">
        <v>12159</v>
      </c>
      <c r="F3804" t="s">
        <v>12160</v>
      </c>
      <c r="G3804" s="2" t="str">
        <f>HYPERLINK("https://probpalata.gov.ru/files/ИП440202005500000.jpeg","Скачать индивидуальный QR-код магазина")</f>
        <v>Скачать индивидуальный QR-код магазина</v>
      </c>
    </row>
    <row r="3805" spans="1:7" x14ac:dyDescent="0.25">
      <c r="A3805" t="s">
        <v>11309</v>
      </c>
      <c r="B3805" t="s">
        <v>12161</v>
      </c>
      <c r="C3805" t="s">
        <v>12162</v>
      </c>
      <c r="D3805" t="s">
        <v>12163</v>
      </c>
      <c r="E3805" t="s">
        <v>12164</v>
      </c>
      <c r="F3805" t="s">
        <v>12165</v>
      </c>
      <c r="G3805" s="2" t="str">
        <f>HYPERLINK("https://probpalata.gov.ru/files/ИП440203194200000.jpeg","Скачать индивидуальный QR-код магазина")</f>
        <v>Скачать индивидуальный QR-код магазина</v>
      </c>
    </row>
    <row r="3806" spans="1:7" x14ac:dyDescent="0.25">
      <c r="A3806" t="s">
        <v>11309</v>
      </c>
      <c r="B3806" t="s">
        <v>12166</v>
      </c>
      <c r="C3806" t="s">
        <v>12167</v>
      </c>
      <c r="D3806" t="s">
        <v>12168</v>
      </c>
      <c r="E3806" t="s">
        <v>12169</v>
      </c>
      <c r="F3806" t="s">
        <v>12170</v>
      </c>
      <c r="G3806" s="2" t="str">
        <f>HYPERLINK("https://probpalata.gov.ru/files/ИП440203798400000.jpeg","Скачать индивидуальный QR-код магазина")</f>
        <v>Скачать индивидуальный QR-код магазина</v>
      </c>
    </row>
    <row r="3807" spans="1:7" x14ac:dyDescent="0.25">
      <c r="A3807" t="s">
        <v>11309</v>
      </c>
      <c r="B3807" t="s">
        <v>11803</v>
      </c>
      <c r="C3807" t="s">
        <v>12171</v>
      </c>
      <c r="D3807" t="s">
        <v>12172</v>
      </c>
      <c r="E3807" t="s">
        <v>12173</v>
      </c>
      <c r="F3807" t="s">
        <v>12174</v>
      </c>
      <c r="G3807" s="2" t="str">
        <f>HYPERLINK("https://probpalata.gov.ru/files/ИП440203928400000.jpeg","Скачать индивидуальный QR-код магазина")</f>
        <v>Скачать индивидуальный QR-код магазина</v>
      </c>
    </row>
    <row r="3808" spans="1:7" x14ac:dyDescent="0.25">
      <c r="A3808" t="s">
        <v>11309</v>
      </c>
      <c r="B3808" t="s">
        <v>12175</v>
      </c>
      <c r="C3808" t="s">
        <v>12176</v>
      </c>
      <c r="D3808" t="s">
        <v>12177</v>
      </c>
      <c r="E3808" t="s">
        <v>12178</v>
      </c>
      <c r="F3808" t="s">
        <v>12179</v>
      </c>
      <c r="G3808" s="2" t="str">
        <f>HYPERLINK("https://probpalata.gov.ru/files/ИП440203687400000.jpeg","Скачать индивидуальный QR-код магазина")</f>
        <v>Скачать индивидуальный QR-код магазина</v>
      </c>
    </row>
    <row r="3809" spans="1:7" x14ac:dyDescent="0.25">
      <c r="A3809" t="s">
        <v>11309</v>
      </c>
      <c r="B3809" t="s">
        <v>12180</v>
      </c>
      <c r="C3809" t="s">
        <v>12181</v>
      </c>
      <c r="D3809" t="s">
        <v>12182</v>
      </c>
      <c r="E3809" t="s">
        <v>12183</v>
      </c>
      <c r="F3809" t="s">
        <v>12184</v>
      </c>
      <c r="G3809" s="2" t="str">
        <f>HYPERLINK("https://probpalata.gov.ru/files/ИП440201203700000.jpeg","Скачать индивидуальный QR-код магазина")</f>
        <v>Скачать индивидуальный QR-код магазина</v>
      </c>
    </row>
    <row r="3810" spans="1:7" x14ac:dyDescent="0.25">
      <c r="A3810" t="s">
        <v>11309</v>
      </c>
      <c r="B3810" t="s">
        <v>12185</v>
      </c>
      <c r="C3810" t="s">
        <v>12186</v>
      </c>
      <c r="D3810" t="s">
        <v>12187</v>
      </c>
      <c r="E3810" t="s">
        <v>12188</v>
      </c>
      <c r="F3810" t="s">
        <v>12189</v>
      </c>
      <c r="G3810" s="2" t="str">
        <f>HYPERLINK("https://probpalata.gov.ru/files/ИП780301677200000.jpeg","Скачать индивидуальный QR-код магазина")</f>
        <v>Скачать индивидуальный QR-код магазина</v>
      </c>
    </row>
    <row r="3811" spans="1:7" x14ac:dyDescent="0.25">
      <c r="A3811" t="s">
        <v>11309</v>
      </c>
      <c r="B3811" t="s">
        <v>12190</v>
      </c>
      <c r="C3811" t="s">
        <v>12191</v>
      </c>
      <c r="D3811" t="s">
        <v>12192</v>
      </c>
      <c r="E3811" t="s">
        <v>12193</v>
      </c>
      <c r="F3811" t="s">
        <v>12194</v>
      </c>
      <c r="G3811" s="2" t="str">
        <f>HYPERLINK("https://probpalata.gov.ru/files/ИП440200019200000.jpeg","Скачать индивидуальный QR-код магазина")</f>
        <v>Скачать индивидуальный QR-код магазина</v>
      </c>
    </row>
    <row r="3812" spans="1:7" x14ac:dyDescent="0.25">
      <c r="A3812" t="s">
        <v>11309</v>
      </c>
      <c r="B3812" t="s">
        <v>12195</v>
      </c>
      <c r="C3812" t="s">
        <v>12196</v>
      </c>
      <c r="D3812" t="s">
        <v>12197</v>
      </c>
      <c r="E3812" t="s">
        <v>12198</v>
      </c>
      <c r="F3812" t="s">
        <v>12199</v>
      </c>
      <c r="G3812" s="2" t="str">
        <f>HYPERLINK("https://probpalata.gov.ru/files/ИП440200333900000.jpeg","Скачать индивидуальный QR-код магазина")</f>
        <v>Скачать индивидуальный QR-код магазина</v>
      </c>
    </row>
    <row r="3813" spans="1:7" x14ac:dyDescent="0.25">
      <c r="A3813" t="s">
        <v>11309</v>
      </c>
      <c r="B3813" t="s">
        <v>12200</v>
      </c>
      <c r="C3813" t="s">
        <v>12201</v>
      </c>
      <c r="D3813" t="s">
        <v>12202</v>
      </c>
      <c r="E3813" t="s">
        <v>12203</v>
      </c>
      <c r="F3813" t="s">
        <v>12204</v>
      </c>
      <c r="G3813" s="2" t="str">
        <f>HYPERLINK("https://probpalata.gov.ru/files/ИП440200859900000.jpeg","Скачать индивидуальный QR-код магазина")</f>
        <v>Скачать индивидуальный QR-код магазина</v>
      </c>
    </row>
    <row r="3814" spans="1:7" x14ac:dyDescent="0.25">
      <c r="A3814" t="s">
        <v>11309</v>
      </c>
      <c r="B3814" t="s">
        <v>12205</v>
      </c>
      <c r="C3814" t="s">
        <v>12206</v>
      </c>
      <c r="D3814" t="s">
        <v>12207</v>
      </c>
      <c r="E3814" t="s">
        <v>12208</v>
      </c>
      <c r="F3814" t="s">
        <v>12209</v>
      </c>
      <c r="G3814" s="2" t="str">
        <f>HYPERLINK("https://probpalata.gov.ru/files/ИП440203664100000.jpeg","Скачать индивидуальный QR-код магазина")</f>
        <v>Скачать индивидуальный QR-код магазина</v>
      </c>
    </row>
    <row r="3815" spans="1:7" x14ac:dyDescent="0.25">
      <c r="A3815" t="s">
        <v>11309</v>
      </c>
      <c r="B3815" t="s">
        <v>12210</v>
      </c>
      <c r="C3815" t="s">
        <v>12211</v>
      </c>
      <c r="D3815" t="s">
        <v>12212</v>
      </c>
      <c r="E3815" t="s">
        <v>12213</v>
      </c>
      <c r="F3815" t="s">
        <v>12214</v>
      </c>
      <c r="G3815" s="2" t="str">
        <f>HYPERLINK("https://probpalata.gov.ru/files/ИП440201071000000.jpeg","Скачать индивидуальный QR-код магазина")</f>
        <v>Скачать индивидуальный QR-код магазина</v>
      </c>
    </row>
    <row r="3816" spans="1:7" x14ac:dyDescent="0.25">
      <c r="A3816" t="s">
        <v>11309</v>
      </c>
      <c r="B3816" t="s">
        <v>12215</v>
      </c>
      <c r="C3816" t="s">
        <v>12216</v>
      </c>
      <c r="D3816" t="s">
        <v>12217</v>
      </c>
      <c r="E3816" t="s">
        <v>12218</v>
      </c>
      <c r="F3816" t="s">
        <v>12219</v>
      </c>
      <c r="G3816" s="2" t="str">
        <f>HYPERLINK("https://probpalata.gov.ru/files/ИП440201341100000.jpeg","Скачать индивидуальный QR-код магазина")</f>
        <v>Скачать индивидуальный QR-код магазина</v>
      </c>
    </row>
    <row r="3817" spans="1:7" x14ac:dyDescent="0.25">
      <c r="A3817" t="s">
        <v>11309</v>
      </c>
      <c r="B3817" t="s">
        <v>12220</v>
      </c>
      <c r="C3817" t="s">
        <v>12216</v>
      </c>
      <c r="D3817" t="s">
        <v>12217</v>
      </c>
      <c r="E3817" t="s">
        <v>12218</v>
      </c>
      <c r="F3817" t="s">
        <v>12221</v>
      </c>
      <c r="G3817" s="2" t="str">
        <f>HYPERLINK("https://probpalata.gov.ru/files/ИП440201341100001.jpeg","Скачать индивидуальный QR-код магазина")</f>
        <v>Скачать индивидуальный QR-код магазина</v>
      </c>
    </row>
    <row r="3818" spans="1:7" x14ac:dyDescent="0.25">
      <c r="A3818" t="s">
        <v>11309</v>
      </c>
      <c r="B3818" t="s">
        <v>12222</v>
      </c>
      <c r="C3818" t="s">
        <v>12216</v>
      </c>
      <c r="D3818" t="s">
        <v>12217</v>
      </c>
      <c r="E3818" t="s">
        <v>12218</v>
      </c>
      <c r="F3818" t="s">
        <v>12223</v>
      </c>
      <c r="G3818" s="2" t="str">
        <f>HYPERLINK("https://probpalata.gov.ru/files/ИП440201341100002.jpeg","Скачать индивидуальный QR-код магазина")</f>
        <v>Скачать индивидуальный QR-код магазина</v>
      </c>
    </row>
    <row r="3819" spans="1:7" x14ac:dyDescent="0.25">
      <c r="A3819" t="s">
        <v>11309</v>
      </c>
      <c r="B3819" t="s">
        <v>12224</v>
      </c>
      <c r="C3819" t="s">
        <v>12225</v>
      </c>
      <c r="D3819" t="s">
        <v>12226</v>
      </c>
      <c r="E3819" t="s">
        <v>12227</v>
      </c>
      <c r="F3819" t="s">
        <v>12228</v>
      </c>
      <c r="G3819" s="2" t="str">
        <f>HYPERLINK("https://probpalata.gov.ru/files/ИП440203601000000.jpeg","Скачать индивидуальный QR-код магазина")</f>
        <v>Скачать индивидуальный QR-код магазина</v>
      </c>
    </row>
    <row r="3820" spans="1:7" x14ac:dyDescent="0.25">
      <c r="A3820" t="s">
        <v>11309</v>
      </c>
      <c r="B3820" t="s">
        <v>12229</v>
      </c>
      <c r="C3820" t="s">
        <v>12230</v>
      </c>
      <c r="D3820" t="s">
        <v>12231</v>
      </c>
      <c r="E3820" t="s">
        <v>12232</v>
      </c>
      <c r="F3820" t="s">
        <v>12233</v>
      </c>
      <c r="G3820" s="2" t="str">
        <f>HYPERLINK("https://probpalata.gov.ru/files/ИП440201649400000.jpeg","Скачать индивидуальный QR-код магазина")</f>
        <v>Скачать индивидуальный QR-код магазина</v>
      </c>
    </row>
    <row r="3821" spans="1:7" x14ac:dyDescent="0.25">
      <c r="A3821" t="s">
        <v>11309</v>
      </c>
      <c r="B3821" t="s">
        <v>12234</v>
      </c>
      <c r="C3821" t="s">
        <v>12235</v>
      </c>
      <c r="D3821" t="s">
        <v>12236</v>
      </c>
      <c r="E3821" t="s">
        <v>12237</v>
      </c>
      <c r="F3821" t="s">
        <v>12238</v>
      </c>
      <c r="G3821" s="2" t="str">
        <f>HYPERLINK("https://probpalata.gov.ru/files/ИП440203401300000.jpeg","Скачать индивидуальный QR-код магазина")</f>
        <v>Скачать индивидуальный QR-код магазина</v>
      </c>
    </row>
    <row r="3822" spans="1:7" x14ac:dyDescent="0.25">
      <c r="A3822" t="s">
        <v>11309</v>
      </c>
      <c r="B3822" t="s">
        <v>11335</v>
      </c>
      <c r="C3822" t="s">
        <v>4575</v>
      </c>
      <c r="D3822" t="s">
        <v>4576</v>
      </c>
      <c r="E3822" t="s">
        <v>4577</v>
      </c>
      <c r="F3822" t="s">
        <v>12239</v>
      </c>
      <c r="G3822" s="2" t="str">
        <f>HYPERLINK("https://probpalata.gov.ru/files/ИП350300414400000.jpeg","Скачать индивидуальный QR-код магазина")</f>
        <v>Скачать индивидуальный QR-код магазина</v>
      </c>
    </row>
    <row r="3823" spans="1:7" x14ac:dyDescent="0.25">
      <c r="A3823" t="s">
        <v>11309</v>
      </c>
      <c r="B3823" t="s">
        <v>12240</v>
      </c>
      <c r="C3823" t="s">
        <v>4575</v>
      </c>
      <c r="D3823" t="s">
        <v>4576</v>
      </c>
      <c r="E3823" t="s">
        <v>4577</v>
      </c>
      <c r="F3823" t="s">
        <v>12241</v>
      </c>
      <c r="G3823" s="2" t="str">
        <f>HYPERLINK("https://probpalata.gov.ru/files/ИП350300414400007.jpeg","Скачать индивидуальный QR-код магазина")</f>
        <v>Скачать индивидуальный QR-код магазина</v>
      </c>
    </row>
    <row r="3824" spans="1:7" x14ac:dyDescent="0.25">
      <c r="A3824" t="s">
        <v>11309</v>
      </c>
      <c r="B3824" t="s">
        <v>12242</v>
      </c>
      <c r="C3824" t="s">
        <v>12243</v>
      </c>
      <c r="D3824" t="s">
        <v>12244</v>
      </c>
      <c r="E3824" t="s">
        <v>12245</v>
      </c>
      <c r="F3824" t="s">
        <v>12246</v>
      </c>
      <c r="G3824" s="2" t="str">
        <f>HYPERLINK("https://probpalata.gov.ru/files/ИП440200804700000.jpeg","Скачать индивидуальный QR-код магазина")</f>
        <v>Скачать индивидуальный QR-код магазина</v>
      </c>
    </row>
    <row r="3825" spans="1:7" x14ac:dyDescent="0.25">
      <c r="A3825" t="s">
        <v>11309</v>
      </c>
      <c r="B3825" t="s">
        <v>12247</v>
      </c>
      <c r="C3825" t="s">
        <v>12248</v>
      </c>
      <c r="D3825" t="s">
        <v>12249</v>
      </c>
      <c r="E3825" t="s">
        <v>12250</v>
      </c>
      <c r="F3825" t="s">
        <v>12251</v>
      </c>
      <c r="G3825" s="2" t="str">
        <f>HYPERLINK("https://probpalata.gov.ru/files/ИП440203267200000.jpeg","Скачать индивидуальный QR-код магазина")</f>
        <v>Скачать индивидуальный QR-код магазина</v>
      </c>
    </row>
    <row r="3826" spans="1:7" x14ac:dyDescent="0.25">
      <c r="A3826" t="s">
        <v>11309</v>
      </c>
      <c r="B3826" t="s">
        <v>12252</v>
      </c>
      <c r="C3826" t="s">
        <v>12253</v>
      </c>
      <c r="D3826" t="s">
        <v>12254</v>
      </c>
      <c r="E3826" t="s">
        <v>12255</v>
      </c>
      <c r="F3826" t="s">
        <v>12256</v>
      </c>
      <c r="G3826" s="2" t="str">
        <f>HYPERLINK("https://probpalata.gov.ru/files/ИП440203781100000.jpeg","Скачать индивидуальный QR-код магазина")</f>
        <v>Скачать индивидуальный QR-код магазина</v>
      </c>
    </row>
    <row r="3827" spans="1:7" x14ac:dyDescent="0.25">
      <c r="A3827" t="s">
        <v>11309</v>
      </c>
      <c r="B3827" t="s">
        <v>12257</v>
      </c>
      <c r="C3827" t="s">
        <v>12258</v>
      </c>
      <c r="D3827" t="s">
        <v>12259</v>
      </c>
      <c r="E3827" t="s">
        <v>12260</v>
      </c>
      <c r="F3827" t="s">
        <v>12261</v>
      </c>
      <c r="G3827" s="2" t="str">
        <f>HYPERLINK("https://probpalata.gov.ru/files/ИП440201042600000.jpeg","Скачать индивидуальный QR-код магазина")</f>
        <v>Скачать индивидуальный QR-код магазина</v>
      </c>
    </row>
    <row r="3828" spans="1:7" x14ac:dyDescent="0.25">
      <c r="A3828" t="s">
        <v>11309</v>
      </c>
      <c r="B3828" t="s">
        <v>12262</v>
      </c>
      <c r="C3828" t="s">
        <v>12263</v>
      </c>
      <c r="D3828" t="s">
        <v>12264</v>
      </c>
      <c r="E3828" t="s">
        <v>12265</v>
      </c>
      <c r="F3828" t="s">
        <v>12266</v>
      </c>
      <c r="G3828" s="2" t="str">
        <f>HYPERLINK("https://probpalata.gov.ru/files/ИП440200049500000.jpeg","Скачать индивидуальный QR-код магазина")</f>
        <v>Скачать индивидуальный QR-код магазина</v>
      </c>
    </row>
    <row r="3829" spans="1:7" x14ac:dyDescent="0.25">
      <c r="A3829" t="s">
        <v>11309</v>
      </c>
      <c r="B3829" t="s">
        <v>12267</v>
      </c>
      <c r="C3829" t="s">
        <v>12263</v>
      </c>
      <c r="D3829" t="s">
        <v>12264</v>
      </c>
      <c r="E3829" t="s">
        <v>12265</v>
      </c>
      <c r="F3829" t="s">
        <v>12268</v>
      </c>
      <c r="G3829" s="2" t="str">
        <f>HYPERLINK("https://probpalata.gov.ru/files/ИП440200049500002.jpeg","Скачать индивидуальный QR-код магазина")</f>
        <v>Скачать индивидуальный QR-код магазина</v>
      </c>
    </row>
    <row r="3830" spans="1:7" x14ac:dyDescent="0.25">
      <c r="A3830" t="s">
        <v>11309</v>
      </c>
      <c r="B3830" t="s">
        <v>12269</v>
      </c>
      <c r="C3830" t="s">
        <v>12270</v>
      </c>
      <c r="D3830" t="s">
        <v>12271</v>
      </c>
      <c r="E3830" t="s">
        <v>12272</v>
      </c>
      <c r="F3830" t="s">
        <v>12273</v>
      </c>
      <c r="G3830" s="2" t="str">
        <f>HYPERLINK("https://probpalata.gov.ru/files/ИП440203990200000.jpeg","Скачать индивидуальный QR-код магазина")</f>
        <v>Скачать индивидуальный QR-код магазина</v>
      </c>
    </row>
    <row r="3831" spans="1:7" x14ac:dyDescent="0.25">
      <c r="A3831" t="s">
        <v>11309</v>
      </c>
      <c r="B3831" t="s">
        <v>11431</v>
      </c>
      <c r="C3831" t="s">
        <v>12274</v>
      </c>
      <c r="D3831" t="s">
        <v>12275</v>
      </c>
      <c r="E3831" t="s">
        <v>12276</v>
      </c>
      <c r="F3831" t="s">
        <v>12277</v>
      </c>
      <c r="G3831" s="2" t="str">
        <f>HYPERLINK("https://probpalata.gov.ru/files/ИП440203894000000.jpeg","Скачать индивидуальный QR-код магазина")</f>
        <v>Скачать индивидуальный QR-код магазина</v>
      </c>
    </row>
    <row r="3832" spans="1:7" x14ac:dyDescent="0.25">
      <c r="A3832" t="s">
        <v>11309</v>
      </c>
      <c r="B3832" t="s">
        <v>12278</v>
      </c>
      <c r="C3832" t="s">
        <v>12279</v>
      </c>
      <c r="D3832" t="s">
        <v>12280</v>
      </c>
      <c r="E3832" t="s">
        <v>12281</v>
      </c>
      <c r="F3832" t="s">
        <v>12282</v>
      </c>
      <c r="G3832" s="2" t="str">
        <f>HYPERLINK("https://probpalata.gov.ru/files/ИП500103194100000.jpeg","Скачать индивидуальный QR-код магазина")</f>
        <v>Скачать индивидуальный QR-код магазина</v>
      </c>
    </row>
    <row r="3833" spans="1:7" x14ac:dyDescent="0.25">
      <c r="A3833" t="s">
        <v>11309</v>
      </c>
      <c r="B3833" t="s">
        <v>12283</v>
      </c>
      <c r="C3833" t="s">
        <v>12279</v>
      </c>
      <c r="D3833" t="s">
        <v>12280</v>
      </c>
      <c r="E3833" t="s">
        <v>12281</v>
      </c>
      <c r="F3833" t="s">
        <v>12284</v>
      </c>
      <c r="G3833" s="2" t="str">
        <f>HYPERLINK("https://probpalata.gov.ru/files/ИП500103194100001.jpeg","Скачать индивидуальный QR-код магазина")</f>
        <v>Скачать индивидуальный QR-код магазина</v>
      </c>
    </row>
    <row r="3834" spans="1:7" x14ac:dyDescent="0.25">
      <c r="A3834" t="s">
        <v>11309</v>
      </c>
      <c r="B3834" t="s">
        <v>12285</v>
      </c>
      <c r="C3834" t="s">
        <v>12279</v>
      </c>
      <c r="D3834" t="s">
        <v>12280</v>
      </c>
      <c r="E3834" t="s">
        <v>12281</v>
      </c>
      <c r="F3834" t="s">
        <v>12286</v>
      </c>
      <c r="G3834" s="2" t="str">
        <f>HYPERLINK("https://probpalata.gov.ru/files/ИП500103194100002.jpeg","Скачать индивидуальный QR-код магазина")</f>
        <v>Скачать индивидуальный QR-код магазина</v>
      </c>
    </row>
    <row r="3835" spans="1:7" x14ac:dyDescent="0.25">
      <c r="A3835" t="s">
        <v>11309</v>
      </c>
      <c r="B3835" t="s">
        <v>12287</v>
      </c>
      <c r="C3835" t="s">
        <v>12279</v>
      </c>
      <c r="D3835" t="s">
        <v>12280</v>
      </c>
      <c r="E3835" t="s">
        <v>12281</v>
      </c>
      <c r="F3835" t="s">
        <v>12288</v>
      </c>
      <c r="G3835" s="2" t="str">
        <f>HYPERLINK("https://probpalata.gov.ru/files/ИП500103194100003.jpeg","Скачать индивидуальный QR-код магазина")</f>
        <v>Скачать индивидуальный QR-код магазина</v>
      </c>
    </row>
    <row r="3836" spans="1:7" x14ac:dyDescent="0.25">
      <c r="A3836" t="s">
        <v>11309</v>
      </c>
      <c r="B3836" t="s">
        <v>12289</v>
      </c>
      <c r="C3836" t="s">
        <v>12290</v>
      </c>
      <c r="D3836" t="s">
        <v>12291</v>
      </c>
      <c r="E3836" t="s">
        <v>12292</v>
      </c>
      <c r="F3836" t="s">
        <v>12293</v>
      </c>
      <c r="G3836" s="2" t="str">
        <f>HYPERLINK("https://probpalata.gov.ru/files/ИП440203111800000.jpeg","Скачать индивидуальный QR-код магазина")</f>
        <v>Скачать индивидуальный QR-код магазина</v>
      </c>
    </row>
    <row r="3837" spans="1:7" x14ac:dyDescent="0.25">
      <c r="A3837" t="s">
        <v>11309</v>
      </c>
      <c r="B3837" t="s">
        <v>12294</v>
      </c>
      <c r="C3837" t="s">
        <v>12295</v>
      </c>
      <c r="D3837" t="s">
        <v>12296</v>
      </c>
      <c r="E3837" t="s">
        <v>12297</v>
      </c>
      <c r="F3837" t="s">
        <v>12298</v>
      </c>
      <c r="G3837" s="2" t="str">
        <f>HYPERLINK("https://probpalata.gov.ru/files/ИП440203780500000.jpeg","Скачать индивидуальный QR-код магазина")</f>
        <v>Скачать индивидуальный QR-код магазина</v>
      </c>
    </row>
    <row r="3838" spans="1:7" x14ac:dyDescent="0.25">
      <c r="A3838" t="s">
        <v>11309</v>
      </c>
      <c r="B3838" t="s">
        <v>12299</v>
      </c>
      <c r="C3838" t="s">
        <v>12300</v>
      </c>
      <c r="D3838" t="s">
        <v>12301</v>
      </c>
      <c r="E3838" t="s">
        <v>12302</v>
      </c>
      <c r="F3838" t="s">
        <v>12303</v>
      </c>
      <c r="G3838" s="2" t="str">
        <f>HYPERLINK("https://probpalata.gov.ru/files/ИП440200088800000.jpeg","Скачать индивидуальный QR-код магазина")</f>
        <v>Скачать индивидуальный QR-код магазина</v>
      </c>
    </row>
    <row r="3839" spans="1:7" x14ac:dyDescent="0.25">
      <c r="A3839" t="s">
        <v>11309</v>
      </c>
      <c r="B3839" t="s">
        <v>12304</v>
      </c>
      <c r="C3839" t="s">
        <v>12305</v>
      </c>
      <c r="D3839" t="s">
        <v>12306</v>
      </c>
      <c r="E3839" t="s">
        <v>12307</v>
      </c>
      <c r="F3839" t="s">
        <v>12308</v>
      </c>
      <c r="G3839" s="2" t="str">
        <f>HYPERLINK("https://probpalata.gov.ru/files/ИП440200180600000.jpeg","Скачать индивидуальный QR-код магазина")</f>
        <v>Скачать индивидуальный QR-код магазина</v>
      </c>
    </row>
    <row r="3840" spans="1:7" x14ac:dyDescent="0.25">
      <c r="A3840" t="s">
        <v>11309</v>
      </c>
      <c r="B3840" t="s">
        <v>12309</v>
      </c>
      <c r="C3840" t="s">
        <v>12310</v>
      </c>
      <c r="D3840" t="s">
        <v>12311</v>
      </c>
      <c r="E3840" t="s">
        <v>12312</v>
      </c>
      <c r="F3840" t="s">
        <v>12313</v>
      </c>
      <c r="G3840" s="2" t="str">
        <f>HYPERLINK("https://probpalata.gov.ru/files/ИП440203804900000.jpeg","Скачать индивидуальный QR-код магазина")</f>
        <v>Скачать индивидуальный QR-код магазина</v>
      </c>
    </row>
    <row r="3841" spans="1:7" x14ac:dyDescent="0.25">
      <c r="A3841" t="s">
        <v>11309</v>
      </c>
      <c r="B3841" t="s">
        <v>12314</v>
      </c>
      <c r="C3841" t="s">
        <v>12315</v>
      </c>
      <c r="D3841" t="s">
        <v>12316</v>
      </c>
      <c r="E3841" t="s">
        <v>12317</v>
      </c>
      <c r="F3841" t="s">
        <v>12318</v>
      </c>
      <c r="G3841" s="2" t="str">
        <f>HYPERLINK("https://probpalata.gov.ru/files/ИП440201558400000.jpeg","Скачать индивидуальный QR-код магазина")</f>
        <v>Скачать индивидуальный QR-код магазина</v>
      </c>
    </row>
    <row r="3842" spans="1:7" x14ac:dyDescent="0.25">
      <c r="A3842" t="s">
        <v>11309</v>
      </c>
      <c r="B3842" t="s">
        <v>12319</v>
      </c>
      <c r="C3842" t="s">
        <v>12320</v>
      </c>
      <c r="D3842" t="s">
        <v>12321</v>
      </c>
      <c r="E3842" t="s">
        <v>12322</v>
      </c>
      <c r="F3842" t="s">
        <v>12323</v>
      </c>
      <c r="G3842" s="2" t="str">
        <f>HYPERLINK("https://probpalata.gov.ru/files/ИП440200637300000.jpeg","Скачать индивидуальный QR-код магазина")</f>
        <v>Скачать индивидуальный QR-код магазина</v>
      </c>
    </row>
    <row r="3843" spans="1:7" x14ac:dyDescent="0.25">
      <c r="A3843" t="s">
        <v>11309</v>
      </c>
      <c r="B3843" t="s">
        <v>12324</v>
      </c>
      <c r="C3843" t="s">
        <v>12325</v>
      </c>
      <c r="D3843" t="s">
        <v>12326</v>
      </c>
      <c r="E3843" t="s">
        <v>12327</v>
      </c>
      <c r="F3843" t="s">
        <v>12328</v>
      </c>
      <c r="G3843" s="2" t="str">
        <f>HYPERLINK("https://probpalata.gov.ru/files/ИП440200635100000.jpeg","Скачать индивидуальный QR-код магазина")</f>
        <v>Скачать индивидуальный QR-код магазина</v>
      </c>
    </row>
    <row r="3844" spans="1:7" x14ac:dyDescent="0.25">
      <c r="A3844" t="s">
        <v>11309</v>
      </c>
      <c r="B3844" t="s">
        <v>12329</v>
      </c>
      <c r="C3844" t="s">
        <v>12330</v>
      </c>
      <c r="D3844" t="s">
        <v>12331</v>
      </c>
      <c r="E3844" t="s">
        <v>12332</v>
      </c>
      <c r="F3844" t="s">
        <v>12333</v>
      </c>
      <c r="G3844" s="2" t="str">
        <f>HYPERLINK("https://probpalata.gov.ru/files/ИП440203325400000.jpeg","Скачать индивидуальный QR-код магазина")</f>
        <v>Скачать индивидуальный QR-код магазина</v>
      </c>
    </row>
    <row r="3845" spans="1:7" x14ac:dyDescent="0.25">
      <c r="A3845" t="s">
        <v>11309</v>
      </c>
      <c r="B3845" t="s">
        <v>12334</v>
      </c>
      <c r="C3845" t="s">
        <v>12335</v>
      </c>
      <c r="D3845" t="s">
        <v>12336</v>
      </c>
      <c r="E3845" t="s">
        <v>12337</v>
      </c>
      <c r="F3845" t="s">
        <v>12338</v>
      </c>
      <c r="G3845" s="2" t="str">
        <f>HYPERLINK("https://probpalata.gov.ru/files/ИП440201886700000.jpeg","Скачать индивидуальный QR-код магазина")</f>
        <v>Скачать индивидуальный QR-код магазина</v>
      </c>
    </row>
    <row r="3846" spans="1:7" x14ac:dyDescent="0.25">
      <c r="A3846" t="s">
        <v>11309</v>
      </c>
      <c r="B3846" t="s">
        <v>12339</v>
      </c>
      <c r="C3846" t="s">
        <v>12340</v>
      </c>
      <c r="D3846" t="s">
        <v>12341</v>
      </c>
      <c r="E3846" t="s">
        <v>12342</v>
      </c>
      <c r="F3846" t="s">
        <v>12343</v>
      </c>
      <c r="G3846" s="2" t="str">
        <f>HYPERLINK("https://probpalata.gov.ru/files/ИП440203128500000.jpeg","Скачать индивидуальный QR-код магазина")</f>
        <v>Скачать индивидуальный QR-код магазина</v>
      </c>
    </row>
    <row r="3847" spans="1:7" x14ac:dyDescent="0.25">
      <c r="A3847" t="s">
        <v>11309</v>
      </c>
      <c r="B3847" t="s">
        <v>12344</v>
      </c>
      <c r="C3847" t="s">
        <v>12345</v>
      </c>
      <c r="D3847" t="s">
        <v>12346</v>
      </c>
      <c r="E3847" t="s">
        <v>12347</v>
      </c>
      <c r="F3847" t="s">
        <v>12348</v>
      </c>
      <c r="G3847" s="2" t="str">
        <f>HYPERLINK("https://probpalata.gov.ru/files/ИП440200378500000.jpeg","Скачать индивидуальный QR-код магазина")</f>
        <v>Скачать индивидуальный QR-код магазина</v>
      </c>
    </row>
    <row r="3848" spans="1:7" x14ac:dyDescent="0.25">
      <c r="A3848" t="s">
        <v>11309</v>
      </c>
      <c r="B3848" t="s">
        <v>12349</v>
      </c>
      <c r="C3848" t="s">
        <v>12350</v>
      </c>
      <c r="D3848" t="s">
        <v>12351</v>
      </c>
      <c r="E3848" t="s">
        <v>12352</v>
      </c>
      <c r="F3848" t="s">
        <v>12353</v>
      </c>
      <c r="G3848" s="2" t="str">
        <f>HYPERLINK("https://probpalata.gov.ru/files/ИП440200035300000.jpeg","Скачать индивидуальный QR-код магазина")</f>
        <v>Скачать индивидуальный QR-код магазина</v>
      </c>
    </row>
    <row r="3849" spans="1:7" x14ac:dyDescent="0.25">
      <c r="A3849" t="s">
        <v>11309</v>
      </c>
      <c r="B3849" t="s">
        <v>12354</v>
      </c>
      <c r="C3849" t="s">
        <v>12355</v>
      </c>
      <c r="D3849" t="s">
        <v>12356</v>
      </c>
      <c r="E3849" t="s">
        <v>12357</v>
      </c>
      <c r="F3849" t="s">
        <v>12358</v>
      </c>
      <c r="G3849" s="2" t="str">
        <f>HYPERLINK("https://probpalata.gov.ru/files/ИП440200283300000.jpeg","Скачать индивидуальный QR-код магазина")</f>
        <v>Скачать индивидуальный QR-код магазина</v>
      </c>
    </row>
    <row r="3850" spans="1:7" x14ac:dyDescent="0.25">
      <c r="A3850" t="s">
        <v>11309</v>
      </c>
      <c r="B3850" t="s">
        <v>12359</v>
      </c>
      <c r="C3850" t="s">
        <v>12360</v>
      </c>
      <c r="D3850" t="s">
        <v>12361</v>
      </c>
      <c r="E3850" t="s">
        <v>12362</v>
      </c>
      <c r="F3850" t="s">
        <v>12363</v>
      </c>
      <c r="G3850" s="2" t="str">
        <f>HYPERLINK("https://probpalata.gov.ru/files/ИП440201027300000.jpeg","Скачать индивидуальный QR-код магазина")</f>
        <v>Скачать индивидуальный QR-код магазина</v>
      </c>
    </row>
    <row r="3851" spans="1:7" x14ac:dyDescent="0.25">
      <c r="A3851" t="s">
        <v>11309</v>
      </c>
      <c r="B3851" t="s">
        <v>12364</v>
      </c>
      <c r="C3851" t="s">
        <v>12365</v>
      </c>
      <c r="D3851" t="s">
        <v>12366</v>
      </c>
      <c r="E3851" t="s">
        <v>12367</v>
      </c>
      <c r="F3851" t="s">
        <v>12368</v>
      </c>
      <c r="G3851" s="2" t="str">
        <f>HYPERLINK("https://probpalata.gov.ru/files/ИП440200454200000.jpeg","Скачать индивидуальный QR-код магазина")</f>
        <v>Скачать индивидуальный QR-код магазина</v>
      </c>
    </row>
    <row r="3852" spans="1:7" x14ac:dyDescent="0.25">
      <c r="A3852" t="s">
        <v>11309</v>
      </c>
      <c r="B3852" t="s">
        <v>12369</v>
      </c>
      <c r="C3852" t="s">
        <v>12370</v>
      </c>
      <c r="D3852" t="s">
        <v>12371</v>
      </c>
      <c r="E3852" t="s">
        <v>12372</v>
      </c>
      <c r="F3852" t="s">
        <v>12373</v>
      </c>
      <c r="G3852" s="2" t="str">
        <f>HYPERLINK("https://probpalata.gov.ru/files/ИП440201829900000.jpeg","Скачать индивидуальный QR-код магазина")</f>
        <v>Скачать индивидуальный QR-код магазина</v>
      </c>
    </row>
    <row r="3853" spans="1:7" x14ac:dyDescent="0.25">
      <c r="A3853" t="s">
        <v>11309</v>
      </c>
      <c r="B3853" t="s">
        <v>12374</v>
      </c>
      <c r="C3853" t="s">
        <v>12370</v>
      </c>
      <c r="D3853" t="s">
        <v>12371</v>
      </c>
      <c r="E3853" t="s">
        <v>12372</v>
      </c>
      <c r="F3853" t="s">
        <v>12375</v>
      </c>
      <c r="G3853" s="2" t="str">
        <f>HYPERLINK("https://probpalata.gov.ru/files/ИП440201829900002.jpeg","Скачать индивидуальный QR-код магазина")</f>
        <v>Скачать индивидуальный QR-код магазина</v>
      </c>
    </row>
    <row r="3854" spans="1:7" x14ac:dyDescent="0.25">
      <c r="A3854" t="s">
        <v>11309</v>
      </c>
      <c r="B3854" t="s">
        <v>12376</v>
      </c>
      <c r="C3854" t="s">
        <v>12377</v>
      </c>
      <c r="D3854" t="s">
        <v>12378</v>
      </c>
      <c r="E3854" t="s">
        <v>12379</v>
      </c>
      <c r="F3854" t="s">
        <v>12380</v>
      </c>
      <c r="G3854" s="2" t="str">
        <f>HYPERLINK("https://probpalata.gov.ru/files/ИП440203906800000.jpeg","Скачать индивидуальный QR-код магазина")</f>
        <v>Скачать индивидуальный QR-код магазина</v>
      </c>
    </row>
    <row r="3855" spans="1:7" x14ac:dyDescent="0.25">
      <c r="A3855" t="s">
        <v>11309</v>
      </c>
      <c r="B3855" t="s">
        <v>12381</v>
      </c>
      <c r="C3855" t="s">
        <v>12382</v>
      </c>
      <c r="D3855" t="s">
        <v>12383</v>
      </c>
      <c r="E3855" t="s">
        <v>12384</v>
      </c>
      <c r="F3855" t="s">
        <v>12385</v>
      </c>
      <c r="G3855" s="2" t="str">
        <f>HYPERLINK("https://probpalata.gov.ru/files/ИП440200884100000.jpeg","Скачать индивидуальный QR-код магазина")</f>
        <v>Скачать индивидуальный QR-код магазина</v>
      </c>
    </row>
    <row r="3856" spans="1:7" x14ac:dyDescent="0.25">
      <c r="A3856" t="s">
        <v>11309</v>
      </c>
      <c r="B3856" t="s">
        <v>12386</v>
      </c>
      <c r="C3856" t="s">
        <v>12387</v>
      </c>
      <c r="D3856" t="s">
        <v>12388</v>
      </c>
      <c r="E3856" t="s">
        <v>12389</v>
      </c>
      <c r="F3856" t="s">
        <v>12390</v>
      </c>
      <c r="G3856" s="2" t="str">
        <f>HYPERLINK("https://probpalata.gov.ru/files/ИП440200978000000.jpeg","Скачать индивидуальный QR-код магазина")</f>
        <v>Скачать индивидуальный QR-код магазина</v>
      </c>
    </row>
    <row r="3857" spans="1:7" x14ac:dyDescent="0.25">
      <c r="A3857" t="s">
        <v>11309</v>
      </c>
      <c r="B3857" t="s">
        <v>12391</v>
      </c>
      <c r="C3857" t="s">
        <v>12392</v>
      </c>
      <c r="D3857" t="s">
        <v>12393</v>
      </c>
      <c r="E3857" t="s">
        <v>12394</v>
      </c>
      <c r="F3857" t="s">
        <v>12395</v>
      </c>
      <c r="G3857" s="2" t="str">
        <f>HYPERLINK("https://probpalata.gov.ru/files/ИП440200865300000.jpeg","Скачать индивидуальный QR-код магазина")</f>
        <v>Скачать индивидуальный QR-код магазина</v>
      </c>
    </row>
    <row r="3858" spans="1:7" x14ac:dyDescent="0.25">
      <c r="A3858" t="s">
        <v>11309</v>
      </c>
      <c r="B3858" t="s">
        <v>12396</v>
      </c>
      <c r="C3858" t="s">
        <v>12397</v>
      </c>
      <c r="D3858" t="s">
        <v>12398</v>
      </c>
      <c r="E3858" t="s">
        <v>12399</v>
      </c>
      <c r="F3858" t="s">
        <v>12400</v>
      </c>
      <c r="G3858" s="2" t="str">
        <f>HYPERLINK("https://probpalata.gov.ru/files/ИП440203405500000.jpeg","Скачать индивидуальный QR-код магазина")</f>
        <v>Скачать индивидуальный QR-код магазина</v>
      </c>
    </row>
    <row r="3859" spans="1:7" x14ac:dyDescent="0.25">
      <c r="A3859" t="s">
        <v>11309</v>
      </c>
      <c r="B3859" t="s">
        <v>12401</v>
      </c>
      <c r="C3859" t="s">
        <v>12402</v>
      </c>
      <c r="D3859" t="s">
        <v>12403</v>
      </c>
      <c r="E3859" t="s">
        <v>12404</v>
      </c>
      <c r="F3859" t="s">
        <v>12405</v>
      </c>
      <c r="G3859" s="2" t="str">
        <f>HYPERLINK("https://probpalata.gov.ru/files/ИП440203008300000.jpeg","Скачать индивидуальный QR-код магазина")</f>
        <v>Скачать индивидуальный QR-код магазина</v>
      </c>
    </row>
    <row r="3860" spans="1:7" x14ac:dyDescent="0.25">
      <c r="A3860" t="s">
        <v>11309</v>
      </c>
      <c r="B3860" t="s">
        <v>12406</v>
      </c>
      <c r="C3860" t="s">
        <v>12407</v>
      </c>
      <c r="D3860" t="s">
        <v>12408</v>
      </c>
      <c r="E3860" t="s">
        <v>12409</v>
      </c>
      <c r="F3860" t="s">
        <v>12410</v>
      </c>
      <c r="G3860" s="2" t="str">
        <f>HYPERLINK("https://probpalata.gov.ru/files/ИП440200079100000.jpeg","Скачать индивидуальный QR-код магазина")</f>
        <v>Скачать индивидуальный QR-код магазина</v>
      </c>
    </row>
    <row r="3861" spans="1:7" x14ac:dyDescent="0.25">
      <c r="A3861" t="s">
        <v>11309</v>
      </c>
      <c r="B3861" t="s">
        <v>12411</v>
      </c>
      <c r="C3861" t="s">
        <v>12412</v>
      </c>
      <c r="D3861" t="s">
        <v>12413</v>
      </c>
      <c r="E3861" t="s">
        <v>12414</v>
      </c>
      <c r="F3861" t="s">
        <v>12415</v>
      </c>
      <c r="G3861" s="2" t="str">
        <f>HYPERLINK("https://probpalata.gov.ru/files/ИП440200562900000.jpeg","Скачать индивидуальный QR-код магазина")</f>
        <v>Скачать индивидуальный QR-код магазина</v>
      </c>
    </row>
    <row r="3862" spans="1:7" x14ac:dyDescent="0.25">
      <c r="A3862" t="s">
        <v>11309</v>
      </c>
      <c r="B3862" t="s">
        <v>12416</v>
      </c>
      <c r="C3862" t="s">
        <v>12417</v>
      </c>
      <c r="D3862" t="s">
        <v>12418</v>
      </c>
      <c r="E3862" t="s">
        <v>12419</v>
      </c>
      <c r="F3862" t="s">
        <v>12420</v>
      </c>
      <c r="G3862" s="2" t="str">
        <f>HYPERLINK("https://probpalata.gov.ru/files/ИП440203758700000.jpeg","Скачать индивидуальный QR-код магазина")</f>
        <v>Скачать индивидуальный QR-код магазина</v>
      </c>
    </row>
    <row r="3863" spans="1:7" x14ac:dyDescent="0.25">
      <c r="A3863" t="s">
        <v>11309</v>
      </c>
      <c r="B3863" t="s">
        <v>12421</v>
      </c>
      <c r="C3863" t="s">
        <v>12422</v>
      </c>
      <c r="D3863" t="s">
        <v>12423</v>
      </c>
      <c r="E3863" t="s">
        <v>12424</v>
      </c>
      <c r="F3863" t="s">
        <v>12425</v>
      </c>
      <c r="G3863" s="2" t="str">
        <f>HYPERLINK("https://probpalata.gov.ru/files/ИП440203749300000.jpeg","Скачать индивидуальный QR-код магазина")</f>
        <v>Скачать индивидуальный QR-код магазина</v>
      </c>
    </row>
    <row r="3864" spans="1:7" x14ac:dyDescent="0.25">
      <c r="A3864" t="s">
        <v>11309</v>
      </c>
      <c r="B3864" t="s">
        <v>12426</v>
      </c>
      <c r="C3864" t="s">
        <v>12427</v>
      </c>
      <c r="D3864" t="s">
        <v>12428</v>
      </c>
      <c r="E3864" t="s">
        <v>12429</v>
      </c>
      <c r="F3864" t="s">
        <v>12430</v>
      </c>
      <c r="G3864" s="2" t="str">
        <f>HYPERLINK("https://probpalata.gov.ru/files/ИП440201040500002.jpeg","Скачать индивидуальный QR-код магазина")</f>
        <v>Скачать индивидуальный QR-код магазина</v>
      </c>
    </row>
    <row r="3865" spans="1:7" x14ac:dyDescent="0.25">
      <c r="A3865" t="s">
        <v>11309</v>
      </c>
      <c r="B3865" t="s">
        <v>12431</v>
      </c>
      <c r="C3865" t="s">
        <v>12427</v>
      </c>
      <c r="D3865" t="s">
        <v>12428</v>
      </c>
      <c r="E3865" t="s">
        <v>12429</v>
      </c>
      <c r="F3865" t="s">
        <v>12432</v>
      </c>
      <c r="G3865" s="2" t="str">
        <f>HYPERLINK("https://probpalata.gov.ru/files/ИП440201040500003.jpeg","Скачать индивидуальный QR-код магазина")</f>
        <v>Скачать индивидуальный QR-код магазина</v>
      </c>
    </row>
    <row r="3866" spans="1:7" x14ac:dyDescent="0.25">
      <c r="A3866" t="s">
        <v>11309</v>
      </c>
      <c r="B3866" t="s">
        <v>12433</v>
      </c>
      <c r="C3866" t="s">
        <v>12427</v>
      </c>
      <c r="D3866" t="s">
        <v>12428</v>
      </c>
      <c r="E3866" t="s">
        <v>12429</v>
      </c>
      <c r="F3866" t="s">
        <v>12434</v>
      </c>
      <c r="G3866" s="2" t="str">
        <f>HYPERLINK("https://probpalata.gov.ru/files/ИП440201040500004.jpeg","Скачать индивидуальный QR-код магазина")</f>
        <v>Скачать индивидуальный QR-код магазина</v>
      </c>
    </row>
    <row r="3867" spans="1:7" x14ac:dyDescent="0.25">
      <c r="A3867" t="s">
        <v>11309</v>
      </c>
      <c r="B3867" t="s">
        <v>12435</v>
      </c>
      <c r="C3867" t="s">
        <v>12436</v>
      </c>
      <c r="D3867" t="s">
        <v>12437</v>
      </c>
      <c r="E3867" t="s">
        <v>12438</v>
      </c>
      <c r="F3867" t="s">
        <v>12439</v>
      </c>
      <c r="G3867" s="2" t="str">
        <f>HYPERLINK("https://probpalata.gov.ru/files/ЮЛ440200110600000.jpeg","Скачать индивидуальный QR-код магазина")</f>
        <v>Скачать индивидуальный QR-код магазина</v>
      </c>
    </row>
    <row r="3868" spans="1:7" x14ac:dyDescent="0.25">
      <c r="A3868" t="s">
        <v>11309</v>
      </c>
      <c r="B3868" t="s">
        <v>12440</v>
      </c>
      <c r="C3868" t="s">
        <v>12441</v>
      </c>
      <c r="D3868" t="s">
        <v>12442</v>
      </c>
      <c r="E3868" t="s">
        <v>12443</v>
      </c>
      <c r="F3868" t="s">
        <v>12444</v>
      </c>
      <c r="G3868" s="2" t="str">
        <f>HYPERLINK("https://probpalata.gov.ru/files/ЮЛ440200095500000.jpeg","Скачать индивидуальный QR-код магазина")</f>
        <v>Скачать индивидуальный QR-код магазина</v>
      </c>
    </row>
    <row r="3869" spans="1:7" x14ac:dyDescent="0.25">
      <c r="A3869" t="s">
        <v>11309</v>
      </c>
      <c r="B3869" t="s">
        <v>12445</v>
      </c>
      <c r="C3869" t="s">
        <v>12446</v>
      </c>
      <c r="D3869" t="s">
        <v>12447</v>
      </c>
      <c r="E3869" t="s">
        <v>12448</v>
      </c>
      <c r="F3869" t="s">
        <v>12449</v>
      </c>
      <c r="G3869" s="2" t="str">
        <f>HYPERLINK("https://probpalata.gov.ru/files/ЮЛ440200146700000.jpeg","Скачать индивидуальный QR-код магазина")</f>
        <v>Скачать индивидуальный QR-код магазина</v>
      </c>
    </row>
    <row r="3870" spans="1:7" x14ac:dyDescent="0.25">
      <c r="A3870" t="s">
        <v>11309</v>
      </c>
      <c r="B3870" t="s">
        <v>12450</v>
      </c>
      <c r="C3870" t="s">
        <v>12451</v>
      </c>
      <c r="D3870" t="s">
        <v>12452</v>
      </c>
      <c r="E3870" t="s">
        <v>12453</v>
      </c>
      <c r="F3870" t="s">
        <v>12454</v>
      </c>
      <c r="G3870" s="2" t="str">
        <f>HYPERLINK("https://probpalata.gov.ru/files/ИП440201636600000.jpeg","Скачать индивидуальный QR-код магазина")</f>
        <v>Скачать индивидуальный QR-код магазина</v>
      </c>
    </row>
    <row r="3871" spans="1:7" x14ac:dyDescent="0.25">
      <c r="A3871" t="s">
        <v>11309</v>
      </c>
      <c r="B3871" t="s">
        <v>12455</v>
      </c>
      <c r="C3871" t="s">
        <v>12456</v>
      </c>
      <c r="D3871" t="s">
        <v>12457</v>
      </c>
      <c r="E3871" t="s">
        <v>12458</v>
      </c>
      <c r="F3871" t="s">
        <v>12459</v>
      </c>
      <c r="G3871" s="2" t="str">
        <f>HYPERLINK("https://probpalata.gov.ru/files/ИП440200263100000.jpeg","Скачать индивидуальный QR-код магазина")</f>
        <v>Скачать индивидуальный QR-код магазина</v>
      </c>
    </row>
    <row r="3872" spans="1:7" x14ac:dyDescent="0.25">
      <c r="A3872" t="s">
        <v>11309</v>
      </c>
      <c r="B3872" t="s">
        <v>12460</v>
      </c>
      <c r="C3872" t="s">
        <v>12461</v>
      </c>
      <c r="D3872" t="s">
        <v>12462</v>
      </c>
      <c r="E3872" t="s">
        <v>12463</v>
      </c>
      <c r="F3872" t="s">
        <v>12464</v>
      </c>
      <c r="G3872" s="2" t="str">
        <f>HYPERLINK("https://probpalata.gov.ru/files/ИП440200051400000.jpeg","Скачать индивидуальный QR-код магазина")</f>
        <v>Скачать индивидуальный QR-код магазина</v>
      </c>
    </row>
    <row r="3873" spans="1:7" x14ac:dyDescent="0.25">
      <c r="A3873" t="s">
        <v>11309</v>
      </c>
      <c r="B3873" t="s">
        <v>12071</v>
      </c>
      <c r="C3873" t="s">
        <v>12465</v>
      </c>
      <c r="D3873" t="s">
        <v>12466</v>
      </c>
      <c r="E3873" t="s">
        <v>12467</v>
      </c>
      <c r="F3873" t="s">
        <v>12468</v>
      </c>
      <c r="G3873" s="2" t="str">
        <f>HYPERLINK("https://probpalata.gov.ru/files/ИП440200115800000.jpeg","Скачать индивидуальный QR-код магазина")</f>
        <v>Скачать индивидуальный QR-код магазина</v>
      </c>
    </row>
    <row r="3874" spans="1:7" x14ac:dyDescent="0.25">
      <c r="A3874" t="s">
        <v>11309</v>
      </c>
      <c r="B3874" t="s">
        <v>12469</v>
      </c>
      <c r="C3874" t="s">
        <v>12470</v>
      </c>
      <c r="D3874" t="s">
        <v>12471</v>
      </c>
      <c r="E3874" t="s">
        <v>12472</v>
      </c>
      <c r="F3874" t="s">
        <v>12473</v>
      </c>
      <c r="G3874" s="2" t="str">
        <f>HYPERLINK("https://probpalata.gov.ru/files/ИП440201187400000.jpeg","Скачать индивидуальный QR-код магазина")</f>
        <v>Скачать индивидуальный QR-код магазина</v>
      </c>
    </row>
    <row r="3875" spans="1:7" x14ac:dyDescent="0.25">
      <c r="A3875" t="s">
        <v>11309</v>
      </c>
      <c r="B3875" t="s">
        <v>12474</v>
      </c>
      <c r="C3875" t="s">
        <v>12475</v>
      </c>
      <c r="D3875" t="s">
        <v>12476</v>
      </c>
      <c r="E3875" t="s">
        <v>12477</v>
      </c>
      <c r="F3875" t="s">
        <v>12478</v>
      </c>
      <c r="G3875" s="2" t="str">
        <f>HYPERLINK("https://probpalata.gov.ru/files/ИП440200494200000.jpeg","Скачать индивидуальный QR-код магазина")</f>
        <v>Скачать индивидуальный QR-код магазина</v>
      </c>
    </row>
    <row r="3876" spans="1:7" x14ac:dyDescent="0.25">
      <c r="A3876" t="s">
        <v>11309</v>
      </c>
      <c r="B3876" t="s">
        <v>12479</v>
      </c>
      <c r="C3876" t="s">
        <v>12480</v>
      </c>
      <c r="D3876" t="s">
        <v>12481</v>
      </c>
      <c r="E3876" t="s">
        <v>12482</v>
      </c>
      <c r="F3876" t="s">
        <v>12483</v>
      </c>
      <c r="G3876" s="2" t="str">
        <f>HYPERLINK("https://probpalata.gov.ru/files/ИП440200365900000.jpeg","Скачать индивидуальный QR-код магазина")</f>
        <v>Скачать индивидуальный QR-код магазина</v>
      </c>
    </row>
    <row r="3877" spans="1:7" x14ac:dyDescent="0.25">
      <c r="A3877" t="s">
        <v>11309</v>
      </c>
      <c r="B3877" t="s">
        <v>12484</v>
      </c>
      <c r="C3877" t="s">
        <v>12485</v>
      </c>
      <c r="D3877" t="s">
        <v>12486</v>
      </c>
      <c r="E3877" t="s">
        <v>12487</v>
      </c>
      <c r="F3877" t="s">
        <v>12488</v>
      </c>
      <c r="G3877" s="2" t="str">
        <f>HYPERLINK("https://probpalata.gov.ru/files/ИП760203130700000.jpeg","Скачать индивидуальный QR-код магазина")</f>
        <v>Скачать индивидуальный QR-код магазина</v>
      </c>
    </row>
    <row r="3878" spans="1:7" x14ac:dyDescent="0.25">
      <c r="A3878" t="s">
        <v>11309</v>
      </c>
      <c r="B3878" t="s">
        <v>12489</v>
      </c>
      <c r="C3878" t="s">
        <v>12485</v>
      </c>
      <c r="D3878" t="s">
        <v>12486</v>
      </c>
      <c r="E3878" t="s">
        <v>12487</v>
      </c>
      <c r="F3878" t="s">
        <v>12490</v>
      </c>
      <c r="G3878" s="2" t="str">
        <f>HYPERLINK("https://probpalata.gov.ru/files/ИП760203130700001.jpeg","Скачать индивидуальный QR-код магазина")</f>
        <v>Скачать индивидуальный QR-код магазина</v>
      </c>
    </row>
    <row r="3879" spans="1:7" x14ac:dyDescent="0.25">
      <c r="A3879" t="s">
        <v>11309</v>
      </c>
      <c r="B3879" t="s">
        <v>12491</v>
      </c>
      <c r="C3879" t="s">
        <v>12492</v>
      </c>
      <c r="D3879" t="s">
        <v>12493</v>
      </c>
      <c r="E3879" t="s">
        <v>12494</v>
      </c>
      <c r="F3879" t="s">
        <v>12495</v>
      </c>
      <c r="G3879" s="2" t="str">
        <f>HYPERLINK("https://probpalata.gov.ru/files/ИП500100407200000.jpeg","Скачать индивидуальный QR-код магазина")</f>
        <v>Скачать индивидуальный QR-код магазина</v>
      </c>
    </row>
    <row r="3880" spans="1:7" x14ac:dyDescent="0.25">
      <c r="A3880" t="s">
        <v>11309</v>
      </c>
      <c r="B3880" t="s">
        <v>12496</v>
      </c>
      <c r="C3880" t="s">
        <v>12497</v>
      </c>
      <c r="D3880" t="s">
        <v>12498</v>
      </c>
      <c r="E3880" t="s">
        <v>12499</v>
      </c>
      <c r="F3880" t="s">
        <v>12500</v>
      </c>
      <c r="G3880" s="2" t="str">
        <f>HYPERLINK("https://probpalata.gov.ru/files/ИП440200138200000.jpeg","Скачать индивидуальный QR-код магазина")</f>
        <v>Скачать индивидуальный QR-код магазина</v>
      </c>
    </row>
    <row r="3881" spans="1:7" x14ac:dyDescent="0.25">
      <c r="A3881" t="s">
        <v>11309</v>
      </c>
      <c r="B3881" t="s">
        <v>12501</v>
      </c>
      <c r="C3881" t="s">
        <v>12497</v>
      </c>
      <c r="D3881" t="s">
        <v>12498</v>
      </c>
      <c r="E3881" t="s">
        <v>12499</v>
      </c>
      <c r="F3881" t="s">
        <v>12502</v>
      </c>
      <c r="G3881" s="2" t="str">
        <f>HYPERLINK("https://probpalata.gov.ru/files/ИП440200138200001.jpeg","Скачать индивидуальный QR-код магазина")</f>
        <v>Скачать индивидуальный QR-код магазина</v>
      </c>
    </row>
    <row r="3882" spans="1:7" x14ac:dyDescent="0.25">
      <c r="A3882" t="s">
        <v>11309</v>
      </c>
      <c r="B3882" t="s">
        <v>12503</v>
      </c>
      <c r="C3882" t="s">
        <v>12504</v>
      </c>
      <c r="D3882" t="s">
        <v>12505</v>
      </c>
      <c r="E3882" t="s">
        <v>12506</v>
      </c>
      <c r="F3882" t="s">
        <v>12507</v>
      </c>
      <c r="G3882" s="2" t="str">
        <f>HYPERLINK("https://probpalata.gov.ru/files/ИП440200136900000.jpeg","Скачать индивидуальный QR-код магазина")</f>
        <v>Скачать индивидуальный QR-код магазина</v>
      </c>
    </row>
    <row r="3883" spans="1:7" x14ac:dyDescent="0.25">
      <c r="A3883" t="s">
        <v>11309</v>
      </c>
      <c r="B3883" t="s">
        <v>12508</v>
      </c>
      <c r="C3883" t="s">
        <v>12509</v>
      </c>
      <c r="D3883" t="s">
        <v>12510</v>
      </c>
      <c r="E3883" t="s">
        <v>12511</v>
      </c>
      <c r="F3883" t="s">
        <v>12512</v>
      </c>
      <c r="G3883" s="2" t="str">
        <f>HYPERLINK("https://probpalata.gov.ru/files/ИП440200382300000.jpeg","Скачать индивидуальный QR-код магазина")</f>
        <v>Скачать индивидуальный QR-код магазина</v>
      </c>
    </row>
    <row r="3884" spans="1:7" x14ac:dyDescent="0.25">
      <c r="A3884" t="s">
        <v>11309</v>
      </c>
      <c r="B3884" t="s">
        <v>12513</v>
      </c>
      <c r="C3884" t="s">
        <v>12514</v>
      </c>
      <c r="D3884" t="s">
        <v>12515</v>
      </c>
      <c r="E3884" t="s">
        <v>12516</v>
      </c>
      <c r="F3884" t="s">
        <v>12517</v>
      </c>
      <c r="G3884" s="2" t="str">
        <f>HYPERLINK("https://probpalata.gov.ru/files/ИП440200144900000.jpeg","Скачать индивидуальный QR-код магазина")</f>
        <v>Скачать индивидуальный QR-код магазина</v>
      </c>
    </row>
    <row r="3885" spans="1:7" x14ac:dyDescent="0.25">
      <c r="A3885" t="s">
        <v>11309</v>
      </c>
      <c r="B3885" t="s">
        <v>12518</v>
      </c>
      <c r="C3885" t="s">
        <v>12519</v>
      </c>
      <c r="D3885" t="s">
        <v>12520</v>
      </c>
      <c r="E3885" t="s">
        <v>12521</v>
      </c>
      <c r="F3885" t="s">
        <v>12522</v>
      </c>
      <c r="G3885" s="2" t="str">
        <f>HYPERLINK("https://probpalata.gov.ru/files/ИП440203301400000.jpeg","Скачать индивидуальный QR-код магазина")</f>
        <v>Скачать индивидуальный QR-код магазина</v>
      </c>
    </row>
    <row r="3886" spans="1:7" x14ac:dyDescent="0.25">
      <c r="A3886" t="s">
        <v>11309</v>
      </c>
      <c r="B3886" t="s">
        <v>12523</v>
      </c>
      <c r="C3886" t="s">
        <v>12524</v>
      </c>
      <c r="D3886" t="s">
        <v>12525</v>
      </c>
      <c r="E3886" t="s">
        <v>12526</v>
      </c>
      <c r="F3886" t="s">
        <v>12527</v>
      </c>
      <c r="G3886" s="2" t="str">
        <f>HYPERLINK("https://probpalata.gov.ru/files/ИП440200563100000.jpeg","Скачать индивидуальный QR-код магазина")</f>
        <v>Скачать индивидуальный QR-код магазина</v>
      </c>
    </row>
    <row r="3887" spans="1:7" x14ac:dyDescent="0.25">
      <c r="A3887" t="s">
        <v>11309</v>
      </c>
      <c r="B3887" t="s">
        <v>11325</v>
      </c>
      <c r="C3887" t="s">
        <v>12528</v>
      </c>
      <c r="D3887" t="s">
        <v>12529</v>
      </c>
      <c r="E3887" t="s">
        <v>12530</v>
      </c>
      <c r="F3887" t="s">
        <v>12531</v>
      </c>
      <c r="G3887" s="2" t="str">
        <f>HYPERLINK("https://probpalata.gov.ru/files/ИП440200088700000.jpeg","Скачать индивидуальный QR-код магазина")</f>
        <v>Скачать индивидуальный QR-код магазина</v>
      </c>
    </row>
    <row r="3888" spans="1:7" x14ac:dyDescent="0.25">
      <c r="A3888" t="s">
        <v>11309</v>
      </c>
      <c r="B3888" t="s">
        <v>12532</v>
      </c>
      <c r="C3888" t="s">
        <v>12533</v>
      </c>
      <c r="D3888" t="s">
        <v>12534</v>
      </c>
      <c r="E3888" t="s">
        <v>12535</v>
      </c>
      <c r="F3888" t="s">
        <v>12536</v>
      </c>
      <c r="G3888" s="2" t="str">
        <f>HYPERLINK("https://probpalata.gov.ru/files/ИП440200090800000.jpeg","Скачать индивидуальный QR-код магазина")</f>
        <v>Скачать индивидуальный QR-код магазина</v>
      </c>
    </row>
    <row r="3889" spans="1:7" x14ac:dyDescent="0.25">
      <c r="A3889" t="s">
        <v>11309</v>
      </c>
      <c r="B3889" t="s">
        <v>12537</v>
      </c>
      <c r="C3889" t="s">
        <v>12538</v>
      </c>
      <c r="D3889" t="s">
        <v>12539</v>
      </c>
      <c r="E3889" t="s">
        <v>12540</v>
      </c>
      <c r="F3889" t="s">
        <v>12541</v>
      </c>
      <c r="G3889" s="2" t="str">
        <f>HYPERLINK("https://probpalata.gov.ru/files/ИП440203985200000.jpeg","Скачать индивидуальный QR-код магазина")</f>
        <v>Скачать индивидуальный QR-код магазина</v>
      </c>
    </row>
    <row r="3890" spans="1:7" x14ac:dyDescent="0.25">
      <c r="A3890" t="s">
        <v>11309</v>
      </c>
      <c r="B3890" t="s">
        <v>12542</v>
      </c>
      <c r="C3890" t="s">
        <v>12543</v>
      </c>
      <c r="D3890" t="s">
        <v>12544</v>
      </c>
      <c r="E3890" t="s">
        <v>12545</v>
      </c>
      <c r="F3890" t="s">
        <v>12546</v>
      </c>
      <c r="G3890" s="2" t="str">
        <f>HYPERLINK("https://probpalata.gov.ru/files/ИП440200207800000.jpeg","Скачать индивидуальный QR-код магазина")</f>
        <v>Скачать индивидуальный QR-код магазина</v>
      </c>
    </row>
    <row r="3891" spans="1:7" x14ac:dyDescent="0.25">
      <c r="A3891" t="s">
        <v>11309</v>
      </c>
      <c r="B3891" t="s">
        <v>12547</v>
      </c>
      <c r="C3891" t="s">
        <v>12548</v>
      </c>
      <c r="D3891" t="s">
        <v>12549</v>
      </c>
      <c r="E3891" t="s">
        <v>12550</v>
      </c>
      <c r="F3891" t="s">
        <v>12551</v>
      </c>
      <c r="G3891" s="2" t="str">
        <f>HYPERLINK("https://probpalata.gov.ru/files/ИП440203905000000.jpeg","Скачать индивидуальный QR-код магазина")</f>
        <v>Скачать индивидуальный QR-код магазина</v>
      </c>
    </row>
    <row r="3892" spans="1:7" x14ac:dyDescent="0.25">
      <c r="A3892" t="s">
        <v>11309</v>
      </c>
      <c r="B3892" t="s">
        <v>12552</v>
      </c>
      <c r="C3892" t="s">
        <v>12553</v>
      </c>
      <c r="D3892" t="s">
        <v>12554</v>
      </c>
      <c r="E3892" t="s">
        <v>12555</v>
      </c>
      <c r="F3892" t="s">
        <v>12556</v>
      </c>
      <c r="G3892" s="2" t="str">
        <f>HYPERLINK("https://probpalata.gov.ru/files/ЮЛ440200476700000.jpeg","Скачать индивидуальный QR-код магазина")</f>
        <v>Скачать индивидуальный QR-код магазина</v>
      </c>
    </row>
    <row r="3893" spans="1:7" x14ac:dyDescent="0.25">
      <c r="A3893" t="s">
        <v>11309</v>
      </c>
      <c r="B3893" t="s">
        <v>12557</v>
      </c>
      <c r="C3893" t="s">
        <v>12558</v>
      </c>
      <c r="D3893" t="s">
        <v>12559</v>
      </c>
      <c r="E3893" t="s">
        <v>12560</v>
      </c>
      <c r="F3893" t="s">
        <v>12561</v>
      </c>
      <c r="G3893" s="2" t="str">
        <f>HYPERLINK("https://probpalata.gov.ru/files/ЮЛ440200000800000.jpeg","Скачать индивидуальный QR-код магазина")</f>
        <v>Скачать индивидуальный QR-код магазина</v>
      </c>
    </row>
    <row r="3894" spans="1:7" x14ac:dyDescent="0.25">
      <c r="A3894" t="s">
        <v>11309</v>
      </c>
      <c r="B3894" t="s">
        <v>12562</v>
      </c>
      <c r="C3894" t="s">
        <v>2685</v>
      </c>
      <c r="D3894" t="s">
        <v>12563</v>
      </c>
      <c r="E3894" t="s">
        <v>12564</v>
      </c>
      <c r="F3894" t="s">
        <v>12565</v>
      </c>
      <c r="G3894" s="2" t="str">
        <f>HYPERLINK("https://probpalata.gov.ru/files/ЮЛ440200243300000.jpeg","Скачать индивидуальный QR-код магазина")</f>
        <v>Скачать индивидуальный QR-код магазина</v>
      </c>
    </row>
    <row r="3895" spans="1:7" x14ac:dyDescent="0.25">
      <c r="A3895" t="s">
        <v>11309</v>
      </c>
      <c r="B3895" t="s">
        <v>12566</v>
      </c>
      <c r="C3895" t="s">
        <v>12567</v>
      </c>
      <c r="D3895" t="s">
        <v>12568</v>
      </c>
      <c r="E3895" t="s">
        <v>12569</v>
      </c>
      <c r="F3895" t="s">
        <v>12570</v>
      </c>
      <c r="G3895" s="2" t="str">
        <f>HYPERLINK("https://probpalata.gov.ru/files/ИП440200900900000.jpeg","Скачать индивидуальный QR-код магазина")</f>
        <v>Скачать индивидуальный QR-код магазина</v>
      </c>
    </row>
    <row r="3896" spans="1:7" x14ac:dyDescent="0.25">
      <c r="A3896" t="s">
        <v>11309</v>
      </c>
      <c r="B3896" t="s">
        <v>12571</v>
      </c>
      <c r="C3896" t="s">
        <v>12572</v>
      </c>
      <c r="D3896" t="s">
        <v>12573</v>
      </c>
      <c r="E3896" t="s">
        <v>12574</v>
      </c>
      <c r="F3896" t="s">
        <v>12575</v>
      </c>
      <c r="G3896" s="2" t="str">
        <f>HYPERLINK("https://probpalata.gov.ru/files/ИП440200153700000.jpeg","Скачать индивидуальный QR-код магазина")</f>
        <v>Скачать индивидуальный QR-код магазина</v>
      </c>
    </row>
    <row r="3897" spans="1:7" x14ac:dyDescent="0.25">
      <c r="A3897" t="s">
        <v>11309</v>
      </c>
      <c r="B3897" t="s">
        <v>12576</v>
      </c>
      <c r="C3897" t="s">
        <v>12577</v>
      </c>
      <c r="D3897" t="s">
        <v>12578</v>
      </c>
      <c r="E3897" t="s">
        <v>12579</v>
      </c>
      <c r="F3897" t="s">
        <v>12580</v>
      </c>
      <c r="G3897" s="2" t="str">
        <f>HYPERLINK("https://probpalata.gov.ru/files/ИП440200695700000.jpeg","Скачать индивидуальный QR-код магазина")</f>
        <v>Скачать индивидуальный QR-код магазина</v>
      </c>
    </row>
    <row r="3898" spans="1:7" x14ac:dyDescent="0.25">
      <c r="A3898" t="s">
        <v>11309</v>
      </c>
      <c r="B3898" t="s">
        <v>12581</v>
      </c>
      <c r="C3898" t="s">
        <v>12582</v>
      </c>
      <c r="D3898" t="s">
        <v>12583</v>
      </c>
      <c r="E3898" t="s">
        <v>12584</v>
      </c>
      <c r="F3898" t="s">
        <v>12585</v>
      </c>
      <c r="G3898" s="2" t="str">
        <f>HYPERLINK("https://probpalata.gov.ru/files/ИП770103495300000.jpeg","Скачать индивидуальный QR-код магазина")</f>
        <v>Скачать индивидуальный QR-код магазина</v>
      </c>
    </row>
    <row r="3899" spans="1:7" x14ac:dyDescent="0.25">
      <c r="A3899" t="s">
        <v>11309</v>
      </c>
      <c r="B3899" t="s">
        <v>12586</v>
      </c>
      <c r="C3899" t="s">
        <v>12587</v>
      </c>
      <c r="D3899" t="s">
        <v>12588</v>
      </c>
      <c r="E3899" t="s">
        <v>12589</v>
      </c>
      <c r="F3899" t="s">
        <v>12590</v>
      </c>
      <c r="G3899" s="2" t="str">
        <f>HYPERLINK("https://probpalata.gov.ru/files/ЮЛ440200424500000.jpeg","Скачать индивидуальный QR-код магазина")</f>
        <v>Скачать индивидуальный QR-код магазина</v>
      </c>
    </row>
    <row r="3900" spans="1:7" x14ac:dyDescent="0.25">
      <c r="A3900" t="s">
        <v>11309</v>
      </c>
      <c r="B3900" t="s">
        <v>12591</v>
      </c>
      <c r="C3900" t="s">
        <v>12592</v>
      </c>
      <c r="D3900" t="s">
        <v>12593</v>
      </c>
      <c r="E3900" t="s">
        <v>12594</v>
      </c>
      <c r="F3900" t="s">
        <v>12595</v>
      </c>
      <c r="G3900" s="2" t="str">
        <f>HYPERLINK("https://probpalata.gov.ru/files/ИП440200209400000.jpeg","Скачать индивидуальный QR-код магазина")</f>
        <v>Скачать индивидуальный QR-код магазина</v>
      </c>
    </row>
    <row r="3901" spans="1:7" x14ac:dyDescent="0.25">
      <c r="A3901" t="s">
        <v>11309</v>
      </c>
      <c r="B3901" t="s">
        <v>12596</v>
      </c>
      <c r="C3901" t="s">
        <v>12597</v>
      </c>
      <c r="D3901" t="s">
        <v>12598</v>
      </c>
      <c r="E3901" t="s">
        <v>12599</v>
      </c>
      <c r="F3901" t="s">
        <v>12600</v>
      </c>
      <c r="G3901" s="2" t="str">
        <f>HYPERLINK("https://probpalata.gov.ru/files/ИП440203103500000.jpeg","Скачать индивидуальный QR-код магазина")</f>
        <v>Скачать индивидуальный QR-код магазина</v>
      </c>
    </row>
    <row r="3902" spans="1:7" x14ac:dyDescent="0.25">
      <c r="A3902" t="s">
        <v>11309</v>
      </c>
      <c r="B3902" t="s">
        <v>12601</v>
      </c>
      <c r="C3902" t="s">
        <v>12602</v>
      </c>
      <c r="D3902" t="s">
        <v>12603</v>
      </c>
      <c r="E3902" t="s">
        <v>12604</v>
      </c>
      <c r="F3902" t="s">
        <v>12605</v>
      </c>
      <c r="G3902" s="2" t="str">
        <f>HYPERLINK("https://probpalata.gov.ru/files/ИП440201204400000.jpeg","Скачать индивидуальный QR-код магазина")</f>
        <v>Скачать индивидуальный QR-код магазина</v>
      </c>
    </row>
    <row r="3903" spans="1:7" x14ac:dyDescent="0.25">
      <c r="A3903" t="s">
        <v>11309</v>
      </c>
      <c r="B3903" t="s">
        <v>12606</v>
      </c>
      <c r="C3903" t="s">
        <v>12607</v>
      </c>
      <c r="D3903" t="s">
        <v>12608</v>
      </c>
      <c r="E3903" t="s">
        <v>12609</v>
      </c>
      <c r="F3903" t="s">
        <v>12610</v>
      </c>
      <c r="G3903" s="2" t="str">
        <f>HYPERLINK("https://probpalata.gov.ru/files/ИП440200117700000.jpeg","Скачать индивидуальный QR-код магазина")</f>
        <v>Скачать индивидуальный QR-код магазина</v>
      </c>
    </row>
    <row r="3904" spans="1:7" x14ac:dyDescent="0.25">
      <c r="A3904" t="s">
        <v>11309</v>
      </c>
      <c r="B3904" t="s">
        <v>12611</v>
      </c>
      <c r="C3904" t="s">
        <v>12612</v>
      </c>
      <c r="D3904" t="s">
        <v>12613</v>
      </c>
      <c r="E3904" t="s">
        <v>12614</v>
      </c>
      <c r="F3904" t="s">
        <v>12615</v>
      </c>
      <c r="G3904" s="2" t="str">
        <f>HYPERLINK("https://probpalata.gov.ru/files/ЮЛ440200742500000.jpeg","Скачать индивидуальный QR-код магазина")</f>
        <v>Скачать индивидуальный QR-код магазина</v>
      </c>
    </row>
    <row r="3905" spans="1:7" x14ac:dyDescent="0.25">
      <c r="A3905" t="s">
        <v>11309</v>
      </c>
      <c r="B3905" t="s">
        <v>12616</v>
      </c>
      <c r="C3905" t="s">
        <v>12617</v>
      </c>
      <c r="D3905" t="s">
        <v>12618</v>
      </c>
      <c r="E3905" t="s">
        <v>12619</v>
      </c>
      <c r="F3905" t="s">
        <v>12620</v>
      </c>
      <c r="G3905" s="2" t="str">
        <f>HYPERLINK("https://probpalata.gov.ru/files/ИП440200023800000.jpeg","Скачать индивидуальный QR-код магазина")</f>
        <v>Скачать индивидуальный QR-код магазина</v>
      </c>
    </row>
    <row r="3906" spans="1:7" x14ac:dyDescent="0.25">
      <c r="A3906" t="s">
        <v>11309</v>
      </c>
      <c r="B3906" t="s">
        <v>12621</v>
      </c>
      <c r="C3906" t="s">
        <v>12617</v>
      </c>
      <c r="D3906" t="s">
        <v>12618</v>
      </c>
      <c r="E3906" t="s">
        <v>12619</v>
      </c>
      <c r="F3906" t="s">
        <v>12622</v>
      </c>
      <c r="G3906" s="2" t="str">
        <f>HYPERLINK("https://probpalata.gov.ru/files/ИП440200023800001.jpeg","Скачать индивидуальный QR-код магазина")</f>
        <v>Скачать индивидуальный QR-код магазина</v>
      </c>
    </row>
    <row r="3907" spans="1:7" x14ac:dyDescent="0.25">
      <c r="A3907" t="s">
        <v>11309</v>
      </c>
      <c r="B3907" t="s">
        <v>12623</v>
      </c>
      <c r="C3907" t="s">
        <v>12617</v>
      </c>
      <c r="D3907" t="s">
        <v>12618</v>
      </c>
      <c r="E3907" t="s">
        <v>12619</v>
      </c>
      <c r="F3907" t="s">
        <v>12624</v>
      </c>
      <c r="G3907" s="2" t="str">
        <f>HYPERLINK("https://probpalata.gov.ru/files/ИП440200023800003.jpeg","Скачать индивидуальный QR-код магазина")</f>
        <v>Скачать индивидуальный QR-код магазина</v>
      </c>
    </row>
    <row r="3908" spans="1:7" x14ac:dyDescent="0.25">
      <c r="A3908" t="s">
        <v>11309</v>
      </c>
      <c r="B3908" t="s">
        <v>12625</v>
      </c>
      <c r="C3908" t="s">
        <v>12626</v>
      </c>
      <c r="D3908" t="s">
        <v>12627</v>
      </c>
      <c r="E3908" t="s">
        <v>12628</v>
      </c>
      <c r="F3908" t="s">
        <v>12629</v>
      </c>
      <c r="G3908" s="2" t="str">
        <f>HYPERLINK("https://probpalata.gov.ru/files/ИП440200139000000.jpeg","Скачать индивидуальный QR-код магазина")</f>
        <v>Скачать индивидуальный QR-код магазина</v>
      </c>
    </row>
    <row r="3909" spans="1:7" x14ac:dyDescent="0.25">
      <c r="A3909" t="s">
        <v>11309</v>
      </c>
      <c r="B3909" t="s">
        <v>12630</v>
      </c>
      <c r="C3909" t="s">
        <v>12631</v>
      </c>
      <c r="D3909" t="s">
        <v>12632</v>
      </c>
      <c r="E3909" t="s">
        <v>12633</v>
      </c>
      <c r="F3909" t="s">
        <v>12634</v>
      </c>
      <c r="G3909" s="2" t="str">
        <f>HYPERLINK("https://probpalata.gov.ru/files/ИП440200103000000.jpeg","Скачать индивидуальный QR-код магазина")</f>
        <v>Скачать индивидуальный QR-код магазина</v>
      </c>
    </row>
    <row r="3910" spans="1:7" x14ac:dyDescent="0.25">
      <c r="A3910" t="s">
        <v>11309</v>
      </c>
      <c r="B3910" t="s">
        <v>12635</v>
      </c>
      <c r="C3910" t="s">
        <v>12636</v>
      </c>
      <c r="D3910" t="s">
        <v>12637</v>
      </c>
      <c r="E3910" t="s">
        <v>12638</v>
      </c>
      <c r="F3910" t="s">
        <v>12639</v>
      </c>
      <c r="G3910" s="2" t="str">
        <f>HYPERLINK("https://probpalata.gov.ru/files/ИП440203439200000.jpeg","Скачать индивидуальный QR-код магазина")</f>
        <v>Скачать индивидуальный QR-код магазина</v>
      </c>
    </row>
    <row r="3911" spans="1:7" x14ac:dyDescent="0.25">
      <c r="A3911" t="s">
        <v>11309</v>
      </c>
      <c r="B3911" t="s">
        <v>12640</v>
      </c>
      <c r="C3911" t="s">
        <v>12641</v>
      </c>
      <c r="D3911" t="s">
        <v>12642</v>
      </c>
      <c r="E3911" t="s">
        <v>12643</v>
      </c>
      <c r="F3911" t="s">
        <v>12644</v>
      </c>
      <c r="G3911" s="2" t="str">
        <f>HYPERLINK("https://probpalata.gov.ru/files/ИП440203093600000.jpeg","Скачать индивидуальный QR-код магазина")</f>
        <v>Скачать индивидуальный QR-код магазина</v>
      </c>
    </row>
    <row r="3912" spans="1:7" x14ac:dyDescent="0.25">
      <c r="A3912" t="s">
        <v>11309</v>
      </c>
      <c r="B3912" t="s">
        <v>12645</v>
      </c>
      <c r="C3912" t="s">
        <v>4587</v>
      </c>
      <c r="D3912" t="s">
        <v>4588</v>
      </c>
      <c r="E3912" t="s">
        <v>4589</v>
      </c>
      <c r="F3912" t="s">
        <v>12646</v>
      </c>
      <c r="G3912" s="2" t="str">
        <f>HYPERLINK("https://probpalata.gov.ru/files/ИП440200936500000.jpeg","Скачать индивидуальный QR-код магазина")</f>
        <v>Скачать индивидуальный QR-код магазина</v>
      </c>
    </row>
    <row r="3913" spans="1:7" x14ac:dyDescent="0.25">
      <c r="A3913" t="s">
        <v>11309</v>
      </c>
      <c r="B3913" t="s">
        <v>12647</v>
      </c>
      <c r="C3913" t="s">
        <v>4587</v>
      </c>
      <c r="D3913" t="s">
        <v>4588</v>
      </c>
      <c r="E3913" t="s">
        <v>4589</v>
      </c>
      <c r="F3913" t="s">
        <v>12648</v>
      </c>
      <c r="G3913" s="2" t="str">
        <f>HYPERLINK("https://probpalata.gov.ru/files/ИП440200936500001.jpeg","Скачать индивидуальный QR-код магазина")</f>
        <v>Скачать индивидуальный QR-код магазина</v>
      </c>
    </row>
    <row r="3914" spans="1:7" x14ac:dyDescent="0.25">
      <c r="A3914" t="s">
        <v>11309</v>
      </c>
      <c r="B3914" t="s">
        <v>12649</v>
      </c>
      <c r="C3914" t="s">
        <v>12650</v>
      </c>
      <c r="D3914" t="s">
        <v>12651</v>
      </c>
      <c r="E3914" t="s">
        <v>12652</v>
      </c>
      <c r="F3914" t="s">
        <v>12653</v>
      </c>
      <c r="G3914" s="2" t="str">
        <f>HYPERLINK("https://probpalata.gov.ru/files/ИП770100538900000.jpeg","Скачать индивидуальный QR-код магазина")</f>
        <v>Скачать индивидуальный QR-код магазина</v>
      </c>
    </row>
    <row r="3915" spans="1:7" x14ac:dyDescent="0.25">
      <c r="A3915" t="s">
        <v>11309</v>
      </c>
      <c r="B3915" t="s">
        <v>12654</v>
      </c>
      <c r="C3915" t="s">
        <v>12655</v>
      </c>
      <c r="D3915" t="s">
        <v>12656</v>
      </c>
      <c r="E3915" t="s">
        <v>12657</v>
      </c>
      <c r="F3915" t="s">
        <v>12658</v>
      </c>
      <c r="G3915" s="2" t="str">
        <f>HYPERLINK("https://probpalata.gov.ru/files/ИП440200654600000.jpeg","Скачать индивидуальный QR-код магазина")</f>
        <v>Скачать индивидуальный QR-код магазина</v>
      </c>
    </row>
    <row r="3916" spans="1:7" x14ac:dyDescent="0.25">
      <c r="A3916" t="s">
        <v>11309</v>
      </c>
      <c r="B3916" t="s">
        <v>12659</v>
      </c>
      <c r="C3916" t="s">
        <v>12660</v>
      </c>
      <c r="D3916" t="s">
        <v>12661</v>
      </c>
      <c r="E3916" t="s">
        <v>12662</v>
      </c>
      <c r="F3916" t="s">
        <v>12663</v>
      </c>
      <c r="G3916" s="2" t="str">
        <f>HYPERLINK("https://probpalata.gov.ru/files/ИП440200018900000.jpeg","Скачать индивидуальный QR-код магазина")</f>
        <v>Скачать индивидуальный QR-код магазина</v>
      </c>
    </row>
    <row r="3917" spans="1:7" x14ac:dyDescent="0.25">
      <c r="A3917" t="s">
        <v>11309</v>
      </c>
      <c r="B3917" t="s">
        <v>12664</v>
      </c>
      <c r="C3917" t="s">
        <v>12665</v>
      </c>
      <c r="D3917" t="s">
        <v>12666</v>
      </c>
      <c r="E3917" t="s">
        <v>12667</v>
      </c>
      <c r="F3917" t="s">
        <v>12668</v>
      </c>
      <c r="G3917" s="2" t="str">
        <f>HYPERLINK("https://probpalata.gov.ru/files/ИП440200196900000.jpeg","Скачать индивидуальный QR-код магазина")</f>
        <v>Скачать индивидуальный QR-код магазина</v>
      </c>
    </row>
    <row r="3918" spans="1:7" x14ac:dyDescent="0.25">
      <c r="A3918" t="s">
        <v>11309</v>
      </c>
      <c r="B3918" t="s">
        <v>12669</v>
      </c>
      <c r="C3918" t="s">
        <v>12670</v>
      </c>
      <c r="D3918" t="s">
        <v>12671</v>
      </c>
      <c r="E3918" t="s">
        <v>12672</v>
      </c>
      <c r="F3918" t="s">
        <v>12673</v>
      </c>
      <c r="G3918" s="2" t="str">
        <f>HYPERLINK("https://probpalata.gov.ru/files/ИП440203452100000.jpeg","Скачать индивидуальный QR-код магазина")</f>
        <v>Скачать индивидуальный QR-код магазина</v>
      </c>
    </row>
    <row r="3919" spans="1:7" x14ac:dyDescent="0.25">
      <c r="A3919" t="s">
        <v>11309</v>
      </c>
      <c r="B3919" t="s">
        <v>12674</v>
      </c>
      <c r="C3919" t="s">
        <v>12675</v>
      </c>
      <c r="D3919" t="s">
        <v>12676</v>
      </c>
      <c r="E3919" t="s">
        <v>12677</v>
      </c>
      <c r="F3919" t="s">
        <v>12678</v>
      </c>
      <c r="G3919" s="2" t="str">
        <f>HYPERLINK("https://probpalata.gov.ru/files/ИП440201350800000.jpeg","Скачать индивидуальный QR-код магазина")</f>
        <v>Скачать индивидуальный QR-код магазина</v>
      </c>
    </row>
    <row r="3920" spans="1:7" x14ac:dyDescent="0.25">
      <c r="A3920" t="s">
        <v>11309</v>
      </c>
      <c r="B3920" t="s">
        <v>12679</v>
      </c>
      <c r="C3920" t="s">
        <v>12680</v>
      </c>
      <c r="D3920" t="s">
        <v>12681</v>
      </c>
      <c r="E3920" t="s">
        <v>12682</v>
      </c>
      <c r="F3920" t="s">
        <v>12683</v>
      </c>
      <c r="G3920" s="2" t="str">
        <f>HYPERLINK("https://probpalata.gov.ru/files/ИП440200074300000.jpeg","Скачать индивидуальный QR-код магазина")</f>
        <v>Скачать индивидуальный QR-код магазина</v>
      </c>
    </row>
    <row r="3921" spans="1:7" x14ac:dyDescent="0.25">
      <c r="A3921" t="s">
        <v>11309</v>
      </c>
      <c r="B3921" t="s">
        <v>12684</v>
      </c>
      <c r="C3921" t="s">
        <v>12685</v>
      </c>
      <c r="D3921" t="s">
        <v>12686</v>
      </c>
      <c r="E3921" t="s">
        <v>12687</v>
      </c>
      <c r="F3921" t="s">
        <v>12688</v>
      </c>
      <c r="G3921" s="2" t="str">
        <f>HYPERLINK("https://probpalata.gov.ru/files/ИП440203914600000.jpeg","Скачать индивидуальный QR-код магазина")</f>
        <v>Скачать индивидуальный QR-код магазина</v>
      </c>
    </row>
    <row r="3922" spans="1:7" x14ac:dyDescent="0.25">
      <c r="A3922" t="s">
        <v>11309</v>
      </c>
      <c r="B3922" t="s">
        <v>12689</v>
      </c>
      <c r="C3922" t="s">
        <v>12690</v>
      </c>
      <c r="D3922" t="s">
        <v>12691</v>
      </c>
      <c r="E3922" t="s">
        <v>12692</v>
      </c>
      <c r="F3922" t="s">
        <v>12693</v>
      </c>
      <c r="G3922" s="2" t="str">
        <f>HYPERLINK("https://probpalata.gov.ru/files/ИП440200061800000.jpeg","Скачать индивидуальный QR-код магазина")</f>
        <v>Скачать индивидуальный QR-код магазина</v>
      </c>
    </row>
    <row r="3923" spans="1:7" x14ac:dyDescent="0.25">
      <c r="A3923" t="s">
        <v>11309</v>
      </c>
      <c r="B3923" t="s">
        <v>12694</v>
      </c>
      <c r="C3923" t="s">
        <v>12695</v>
      </c>
      <c r="D3923" t="s">
        <v>12696</v>
      </c>
      <c r="E3923" t="s">
        <v>12697</v>
      </c>
      <c r="F3923" t="s">
        <v>12698</v>
      </c>
      <c r="G3923" s="2" t="str">
        <f>HYPERLINK("https://probpalata.gov.ru/files/ИП440203508400000.jpeg","Скачать индивидуальный QR-код магазина")</f>
        <v>Скачать индивидуальный QR-код магазина</v>
      </c>
    </row>
    <row r="3924" spans="1:7" x14ac:dyDescent="0.25">
      <c r="A3924" t="s">
        <v>11309</v>
      </c>
      <c r="B3924" t="s">
        <v>12699</v>
      </c>
      <c r="C3924" t="s">
        <v>12700</v>
      </c>
      <c r="D3924" t="s">
        <v>12701</v>
      </c>
      <c r="E3924" t="s">
        <v>12702</v>
      </c>
      <c r="F3924" t="s">
        <v>12703</v>
      </c>
      <c r="G3924" s="2" t="str">
        <f>HYPERLINK("https://probpalata.gov.ru/files/ИП440203814500000.jpeg","Скачать индивидуальный QR-код магазина")</f>
        <v>Скачать индивидуальный QR-код магазина</v>
      </c>
    </row>
    <row r="3925" spans="1:7" x14ac:dyDescent="0.25">
      <c r="A3925" t="s">
        <v>11309</v>
      </c>
      <c r="B3925" t="s">
        <v>12704</v>
      </c>
      <c r="C3925" t="s">
        <v>12705</v>
      </c>
      <c r="D3925" t="s">
        <v>12706</v>
      </c>
      <c r="E3925" t="s">
        <v>12707</v>
      </c>
      <c r="F3925" t="s">
        <v>12708</v>
      </c>
      <c r="G3925" s="2" t="str">
        <f>HYPERLINK("https://probpalata.gov.ru/files/ИП440200093200000.jpeg","Скачать индивидуальный QR-код магазина")</f>
        <v>Скачать индивидуальный QR-код магазина</v>
      </c>
    </row>
    <row r="3926" spans="1:7" x14ac:dyDescent="0.25">
      <c r="A3926" t="s">
        <v>11309</v>
      </c>
      <c r="B3926" t="s">
        <v>12709</v>
      </c>
      <c r="C3926" t="s">
        <v>12710</v>
      </c>
      <c r="D3926" t="s">
        <v>12711</v>
      </c>
      <c r="E3926" t="s">
        <v>12712</v>
      </c>
      <c r="F3926" t="s">
        <v>12713</v>
      </c>
      <c r="G3926" s="2" t="str">
        <f>HYPERLINK("https://probpalata.gov.ru/files/ИП440203786100000.jpeg","Скачать индивидуальный QR-код магазина")</f>
        <v>Скачать индивидуальный QR-код магазина</v>
      </c>
    </row>
    <row r="3927" spans="1:7" x14ac:dyDescent="0.25">
      <c r="A3927" t="s">
        <v>11309</v>
      </c>
      <c r="B3927" t="s">
        <v>12714</v>
      </c>
      <c r="C3927" t="s">
        <v>12715</v>
      </c>
      <c r="D3927" t="s">
        <v>12716</v>
      </c>
      <c r="E3927" t="s">
        <v>12717</v>
      </c>
      <c r="F3927" t="s">
        <v>12718</v>
      </c>
      <c r="G3927" s="2" t="str">
        <f>HYPERLINK("https://probpalata.gov.ru/files/ИП440203665000000.jpeg","Скачать индивидуальный QR-код магазина")</f>
        <v>Скачать индивидуальный QR-код магазина</v>
      </c>
    </row>
    <row r="3928" spans="1:7" x14ac:dyDescent="0.25">
      <c r="A3928" t="s">
        <v>11309</v>
      </c>
      <c r="B3928" t="s">
        <v>12719</v>
      </c>
      <c r="C3928" t="s">
        <v>12720</v>
      </c>
      <c r="D3928" t="s">
        <v>12721</v>
      </c>
      <c r="E3928" t="s">
        <v>12722</v>
      </c>
      <c r="F3928" t="s">
        <v>12723</v>
      </c>
      <c r="G3928" s="2" t="str">
        <f>HYPERLINK("https://probpalata.gov.ru/files/ИП440203484800000.jpeg","Скачать индивидуальный QR-код магазина")</f>
        <v>Скачать индивидуальный QR-код магазина</v>
      </c>
    </row>
    <row r="3929" spans="1:7" x14ac:dyDescent="0.25">
      <c r="A3929" t="s">
        <v>11309</v>
      </c>
      <c r="B3929" t="s">
        <v>12724</v>
      </c>
      <c r="C3929" t="s">
        <v>12725</v>
      </c>
      <c r="D3929" t="s">
        <v>12726</v>
      </c>
      <c r="E3929" t="s">
        <v>12727</v>
      </c>
      <c r="F3929" t="s">
        <v>12728</v>
      </c>
      <c r="G3929" s="2" t="str">
        <f>HYPERLINK("https://probpalata.gov.ru/files/ИП440280002200000.jpeg","Скачать индивидуальный QR-код магазина")</f>
        <v>Скачать индивидуальный QR-код магазина</v>
      </c>
    </row>
    <row r="3930" spans="1:7" x14ac:dyDescent="0.25">
      <c r="A3930" t="s">
        <v>11309</v>
      </c>
      <c r="B3930" t="s">
        <v>12729</v>
      </c>
      <c r="C3930" t="s">
        <v>12730</v>
      </c>
      <c r="D3930" t="s">
        <v>12731</v>
      </c>
      <c r="E3930" t="s">
        <v>12732</v>
      </c>
      <c r="F3930" t="s">
        <v>12733</v>
      </c>
      <c r="G3930" s="2" t="str">
        <f>HYPERLINK("https://probpalata.gov.ru/files/ИП440203740400000.jpeg","Скачать индивидуальный QR-код магазина")</f>
        <v>Скачать индивидуальный QR-код магазина</v>
      </c>
    </row>
    <row r="3931" spans="1:7" x14ac:dyDescent="0.25">
      <c r="A3931" t="s">
        <v>11309</v>
      </c>
      <c r="B3931" t="s">
        <v>12734</v>
      </c>
      <c r="C3931" t="s">
        <v>12735</v>
      </c>
      <c r="D3931" t="s">
        <v>12736</v>
      </c>
      <c r="E3931" t="s">
        <v>12737</v>
      </c>
      <c r="F3931" t="s">
        <v>12738</v>
      </c>
      <c r="G3931" s="2" t="str">
        <f>HYPERLINK("https://probpalata.gov.ru/files/ИП440203813000000.jpeg","Скачать индивидуальный QR-код магазина")</f>
        <v>Скачать индивидуальный QR-код магазина</v>
      </c>
    </row>
    <row r="3932" spans="1:7" x14ac:dyDescent="0.25">
      <c r="A3932" t="s">
        <v>11309</v>
      </c>
      <c r="B3932" t="s">
        <v>12739</v>
      </c>
      <c r="C3932" t="s">
        <v>12740</v>
      </c>
      <c r="D3932" t="s">
        <v>12741</v>
      </c>
      <c r="E3932" t="s">
        <v>12742</v>
      </c>
      <c r="F3932" t="s">
        <v>12743</v>
      </c>
      <c r="G3932" s="2" t="str">
        <f>HYPERLINK("https://probpalata.gov.ru/files/ИП440200244100000.jpeg","Скачать индивидуальный QR-код магазина")</f>
        <v>Скачать индивидуальный QR-код магазина</v>
      </c>
    </row>
    <row r="3933" spans="1:7" x14ac:dyDescent="0.25">
      <c r="A3933" t="s">
        <v>11309</v>
      </c>
      <c r="B3933" t="s">
        <v>12744</v>
      </c>
      <c r="C3933" t="s">
        <v>12740</v>
      </c>
      <c r="D3933" t="s">
        <v>12741</v>
      </c>
      <c r="E3933" t="s">
        <v>12742</v>
      </c>
      <c r="F3933" t="s">
        <v>12745</v>
      </c>
      <c r="G3933" s="2" t="str">
        <f>HYPERLINK("https://probpalata.gov.ru/files/ИП440200244100007.jpeg","Скачать индивидуальный QR-код магазина")</f>
        <v>Скачать индивидуальный QR-код магазина</v>
      </c>
    </row>
    <row r="3934" spans="1:7" x14ac:dyDescent="0.25">
      <c r="A3934" t="s">
        <v>11309</v>
      </c>
      <c r="B3934" t="s">
        <v>12746</v>
      </c>
      <c r="C3934" t="s">
        <v>12747</v>
      </c>
      <c r="D3934" t="s">
        <v>12748</v>
      </c>
      <c r="E3934" t="s">
        <v>12749</v>
      </c>
      <c r="F3934" t="s">
        <v>12750</v>
      </c>
      <c r="G3934" s="2" t="str">
        <f>HYPERLINK("https://probpalata.gov.ru/files/ИП440200072100001.jpeg","Скачать индивидуальный QR-код магазина")</f>
        <v>Скачать индивидуальный QR-код магазина</v>
      </c>
    </row>
    <row r="3935" spans="1:7" x14ac:dyDescent="0.25">
      <c r="A3935" t="s">
        <v>11309</v>
      </c>
      <c r="B3935" t="s">
        <v>12751</v>
      </c>
      <c r="C3935" t="s">
        <v>12752</v>
      </c>
      <c r="D3935" t="s">
        <v>12753</v>
      </c>
      <c r="E3935" t="s">
        <v>12754</v>
      </c>
      <c r="F3935" t="s">
        <v>12755</v>
      </c>
      <c r="G3935" s="2" t="str">
        <f>HYPERLINK("https://probpalata.gov.ru/files/ИП440201260200000.jpeg","Скачать индивидуальный QR-код магазина")</f>
        <v>Скачать индивидуальный QR-код магазина</v>
      </c>
    </row>
    <row r="3936" spans="1:7" x14ac:dyDescent="0.25">
      <c r="A3936" t="s">
        <v>11309</v>
      </c>
      <c r="B3936" t="s">
        <v>12756</v>
      </c>
      <c r="C3936" t="s">
        <v>12757</v>
      </c>
      <c r="D3936" t="s">
        <v>12758</v>
      </c>
      <c r="E3936" t="s">
        <v>12759</v>
      </c>
      <c r="F3936" t="s">
        <v>12760</v>
      </c>
      <c r="G3936" s="2" t="str">
        <f>HYPERLINK("https://probpalata.gov.ru/files/ИП440203178000000.jpeg","Скачать индивидуальный QR-код магазина")</f>
        <v>Скачать индивидуальный QR-код магазина</v>
      </c>
    </row>
    <row r="3937" spans="1:7" x14ac:dyDescent="0.25">
      <c r="A3937" t="s">
        <v>11309</v>
      </c>
      <c r="B3937" t="s">
        <v>12761</v>
      </c>
      <c r="C3937" t="s">
        <v>12762</v>
      </c>
      <c r="D3937" t="s">
        <v>12763</v>
      </c>
      <c r="E3937" t="s">
        <v>12764</v>
      </c>
      <c r="F3937" t="s">
        <v>12765</v>
      </c>
      <c r="G3937" s="2" t="str">
        <f>HYPERLINK("https://probpalata.gov.ru/files/ИП440200357800000.jpeg","Скачать индивидуальный QR-код магазина")</f>
        <v>Скачать индивидуальный QR-код магазина</v>
      </c>
    </row>
    <row r="3938" spans="1:7" x14ac:dyDescent="0.25">
      <c r="A3938" t="s">
        <v>11309</v>
      </c>
      <c r="B3938" t="s">
        <v>12766</v>
      </c>
      <c r="C3938" t="s">
        <v>12767</v>
      </c>
      <c r="D3938" t="s">
        <v>12768</v>
      </c>
      <c r="E3938" t="s">
        <v>12769</v>
      </c>
      <c r="F3938" t="s">
        <v>12770</v>
      </c>
      <c r="G3938" s="2" t="str">
        <f>HYPERLINK("https://probpalata.gov.ru/files/ИП440203490400000.jpeg","Скачать индивидуальный QR-код магазина")</f>
        <v>Скачать индивидуальный QR-код магазина</v>
      </c>
    </row>
    <row r="3939" spans="1:7" x14ac:dyDescent="0.25">
      <c r="A3939" t="s">
        <v>11309</v>
      </c>
      <c r="B3939" t="s">
        <v>12771</v>
      </c>
      <c r="C3939" t="s">
        <v>12772</v>
      </c>
      <c r="D3939" t="s">
        <v>12773</v>
      </c>
      <c r="E3939" t="s">
        <v>12774</v>
      </c>
      <c r="F3939" t="s">
        <v>12775</v>
      </c>
      <c r="G3939" s="2" t="str">
        <f>HYPERLINK("https://probpalata.gov.ru/files/ИП440203307100000.jpeg","Скачать индивидуальный QR-код магазина")</f>
        <v>Скачать индивидуальный QR-код магазина</v>
      </c>
    </row>
    <row r="3940" spans="1:7" x14ac:dyDescent="0.25">
      <c r="A3940" t="s">
        <v>11309</v>
      </c>
      <c r="B3940" t="s">
        <v>12776</v>
      </c>
      <c r="C3940" t="s">
        <v>12777</v>
      </c>
      <c r="D3940" t="s">
        <v>12778</v>
      </c>
      <c r="E3940" t="s">
        <v>12779</v>
      </c>
      <c r="F3940" t="s">
        <v>12780</v>
      </c>
      <c r="G3940" s="2" t="str">
        <f>HYPERLINK("https://probpalata.gov.ru/files/ИП440200206300000.jpeg","Скачать индивидуальный QR-код магазина")</f>
        <v>Скачать индивидуальный QR-код магазина</v>
      </c>
    </row>
    <row r="3941" spans="1:7" x14ac:dyDescent="0.25">
      <c r="A3941" t="s">
        <v>11309</v>
      </c>
      <c r="B3941" t="s">
        <v>12781</v>
      </c>
      <c r="C3941" t="s">
        <v>12782</v>
      </c>
      <c r="D3941" t="s">
        <v>12783</v>
      </c>
      <c r="E3941" t="s">
        <v>12784</v>
      </c>
      <c r="F3941" t="s">
        <v>12785</v>
      </c>
      <c r="G3941" s="2" t="str">
        <f>HYPERLINK("https://probpalata.gov.ru/files/ИП440200235400000.jpeg","Скачать индивидуальный QR-код магазина")</f>
        <v>Скачать индивидуальный QR-код магазина</v>
      </c>
    </row>
    <row r="3942" spans="1:7" x14ac:dyDescent="0.25">
      <c r="A3942" t="s">
        <v>11309</v>
      </c>
      <c r="B3942" t="s">
        <v>12786</v>
      </c>
      <c r="C3942" t="s">
        <v>12787</v>
      </c>
      <c r="D3942" t="s">
        <v>12788</v>
      </c>
      <c r="E3942" t="s">
        <v>12789</v>
      </c>
      <c r="F3942" t="s">
        <v>12790</v>
      </c>
      <c r="G3942" s="2" t="str">
        <f>HYPERLINK("https://probpalata.gov.ru/files/ИП230403199600000.jpeg","Скачать индивидуальный QR-код магазина")</f>
        <v>Скачать индивидуальный QR-код магазина</v>
      </c>
    </row>
    <row r="3943" spans="1:7" x14ac:dyDescent="0.25">
      <c r="A3943" t="s">
        <v>11309</v>
      </c>
      <c r="B3943" t="s">
        <v>11465</v>
      </c>
      <c r="C3943" t="s">
        <v>12791</v>
      </c>
      <c r="D3943" t="s">
        <v>12792</v>
      </c>
      <c r="E3943" t="s">
        <v>12793</v>
      </c>
      <c r="F3943" t="s">
        <v>12794</v>
      </c>
      <c r="G3943" s="2" t="str">
        <f>HYPERLINK("https://probpalata.gov.ru/files/ИП440200003000000.jpeg","Скачать индивидуальный QR-код магазина")</f>
        <v>Скачать индивидуальный QR-код магазина</v>
      </c>
    </row>
    <row r="3944" spans="1:7" x14ac:dyDescent="0.25">
      <c r="A3944" t="s">
        <v>11309</v>
      </c>
      <c r="B3944" t="s">
        <v>12795</v>
      </c>
      <c r="C3944" t="s">
        <v>12796</v>
      </c>
      <c r="D3944" t="s">
        <v>12797</v>
      </c>
      <c r="E3944" t="s">
        <v>12798</v>
      </c>
      <c r="F3944" t="s">
        <v>12799</v>
      </c>
      <c r="G3944" s="2" t="str">
        <f>HYPERLINK("https://probpalata.gov.ru/files/ИП440200491800000.jpeg","Скачать индивидуальный QR-код магазина")</f>
        <v>Скачать индивидуальный QR-код магазина</v>
      </c>
    </row>
    <row r="3945" spans="1:7" x14ac:dyDescent="0.25">
      <c r="A3945" t="s">
        <v>11309</v>
      </c>
      <c r="B3945" t="s">
        <v>12800</v>
      </c>
      <c r="C3945" t="s">
        <v>12801</v>
      </c>
      <c r="D3945" t="s">
        <v>12802</v>
      </c>
      <c r="E3945" t="s">
        <v>12803</v>
      </c>
      <c r="F3945" t="s">
        <v>12804</v>
      </c>
      <c r="G3945" s="2" t="str">
        <f>HYPERLINK("https://probpalata.gov.ru/files/ИП440203895900000.jpeg","Скачать индивидуальный QR-код магазина")</f>
        <v>Скачать индивидуальный QR-код магазина</v>
      </c>
    </row>
    <row r="3946" spans="1:7" x14ac:dyDescent="0.25">
      <c r="A3946" t="s">
        <v>11309</v>
      </c>
      <c r="B3946" t="s">
        <v>12805</v>
      </c>
      <c r="C3946" t="s">
        <v>12806</v>
      </c>
      <c r="D3946" t="s">
        <v>12807</v>
      </c>
      <c r="E3946" t="s">
        <v>12808</v>
      </c>
      <c r="F3946" t="s">
        <v>12809</v>
      </c>
      <c r="G3946" s="2" t="str">
        <f>HYPERLINK("https://probpalata.gov.ru/files/ИП440200761800000.jpeg","Скачать индивидуальный QR-код магазина")</f>
        <v>Скачать индивидуальный QR-код магазина</v>
      </c>
    </row>
    <row r="3947" spans="1:7" x14ac:dyDescent="0.25">
      <c r="A3947" t="s">
        <v>11309</v>
      </c>
      <c r="B3947" t="s">
        <v>12810</v>
      </c>
      <c r="C3947" t="s">
        <v>12811</v>
      </c>
      <c r="D3947" t="s">
        <v>12812</v>
      </c>
      <c r="E3947" t="s">
        <v>12813</v>
      </c>
      <c r="F3947" t="s">
        <v>12814</v>
      </c>
      <c r="G3947" s="2" t="str">
        <f>HYPERLINK("https://probpalata.gov.ru/files/ИП440203150200000.jpeg","Скачать индивидуальный QR-код магазина")</f>
        <v>Скачать индивидуальный QR-код магазина</v>
      </c>
    </row>
    <row r="3948" spans="1:7" x14ac:dyDescent="0.25">
      <c r="A3948" t="s">
        <v>11309</v>
      </c>
      <c r="B3948" t="s">
        <v>12815</v>
      </c>
      <c r="C3948" t="s">
        <v>12816</v>
      </c>
      <c r="D3948" t="s">
        <v>12817</v>
      </c>
      <c r="E3948" t="s">
        <v>12818</v>
      </c>
      <c r="F3948" t="s">
        <v>12819</v>
      </c>
      <c r="G3948" s="2" t="str">
        <f>HYPERLINK("https://probpalata.gov.ru/files/ИП440200210300000.jpeg","Скачать индивидуальный QR-код магазина")</f>
        <v>Скачать индивидуальный QR-код магазина</v>
      </c>
    </row>
    <row r="3949" spans="1:7" x14ac:dyDescent="0.25">
      <c r="A3949" t="s">
        <v>11309</v>
      </c>
      <c r="B3949" t="s">
        <v>12820</v>
      </c>
      <c r="C3949" t="s">
        <v>12821</v>
      </c>
      <c r="D3949" t="s">
        <v>12822</v>
      </c>
      <c r="E3949" t="s">
        <v>12823</v>
      </c>
      <c r="F3949" t="s">
        <v>12824</v>
      </c>
      <c r="G3949" s="2" t="str">
        <f>HYPERLINK("https://probpalata.gov.ru/files/ИП440203073400000.jpeg","Скачать индивидуальный QR-код магазина")</f>
        <v>Скачать индивидуальный QR-код магазина</v>
      </c>
    </row>
    <row r="3950" spans="1:7" x14ac:dyDescent="0.25">
      <c r="A3950" t="s">
        <v>11309</v>
      </c>
      <c r="B3950" t="s">
        <v>12825</v>
      </c>
      <c r="C3950" t="s">
        <v>12826</v>
      </c>
      <c r="D3950" t="s">
        <v>12827</v>
      </c>
      <c r="E3950" t="s">
        <v>12828</v>
      </c>
      <c r="F3950" t="s">
        <v>12829</v>
      </c>
      <c r="G3950" s="2" t="str">
        <f>HYPERLINK("https://probpalata.gov.ru/files/ИП440203260400000.jpeg","Скачать индивидуальный QR-код магазина")</f>
        <v>Скачать индивидуальный QR-код магазина</v>
      </c>
    </row>
    <row r="3951" spans="1:7" x14ac:dyDescent="0.25">
      <c r="A3951" t="s">
        <v>11309</v>
      </c>
      <c r="B3951" t="s">
        <v>12830</v>
      </c>
      <c r="C3951" t="s">
        <v>12831</v>
      </c>
      <c r="D3951" t="s">
        <v>12832</v>
      </c>
      <c r="E3951" t="s">
        <v>12833</v>
      </c>
      <c r="F3951" t="s">
        <v>12834</v>
      </c>
      <c r="G3951" s="2" t="str">
        <f>HYPERLINK("https://probpalata.gov.ru/files/ИП440203112800000.jpeg","Скачать индивидуальный QR-код магазина")</f>
        <v>Скачать индивидуальный QR-код магазина</v>
      </c>
    </row>
    <row r="3952" spans="1:7" x14ac:dyDescent="0.25">
      <c r="A3952" t="s">
        <v>11309</v>
      </c>
      <c r="B3952" t="s">
        <v>12835</v>
      </c>
      <c r="C3952" t="s">
        <v>12836</v>
      </c>
      <c r="D3952" t="s">
        <v>12837</v>
      </c>
      <c r="E3952" t="s">
        <v>12838</v>
      </c>
      <c r="F3952" t="s">
        <v>12839</v>
      </c>
      <c r="G3952" s="2" t="str">
        <f>HYPERLINK("https://probpalata.gov.ru/files/ИП440203760500000.jpeg","Скачать индивидуальный QR-код магазина")</f>
        <v>Скачать индивидуальный QR-код магазина</v>
      </c>
    </row>
    <row r="3953" spans="1:7" x14ac:dyDescent="0.25">
      <c r="A3953" t="s">
        <v>11309</v>
      </c>
      <c r="B3953" t="s">
        <v>12840</v>
      </c>
      <c r="C3953" t="s">
        <v>12841</v>
      </c>
      <c r="D3953" t="s">
        <v>12842</v>
      </c>
      <c r="E3953" t="s">
        <v>12843</v>
      </c>
      <c r="F3953" t="s">
        <v>12844</v>
      </c>
      <c r="G3953" s="2" t="str">
        <f>HYPERLINK("https://probpalata.gov.ru/files/ИП440203169000000.jpeg","Скачать индивидуальный QR-код магазина")</f>
        <v>Скачать индивидуальный QR-код магазина</v>
      </c>
    </row>
    <row r="3954" spans="1:7" x14ac:dyDescent="0.25">
      <c r="A3954" t="s">
        <v>11309</v>
      </c>
      <c r="B3954" t="s">
        <v>12845</v>
      </c>
      <c r="C3954" t="s">
        <v>12846</v>
      </c>
      <c r="D3954" t="s">
        <v>12847</v>
      </c>
      <c r="E3954" t="s">
        <v>12848</v>
      </c>
      <c r="F3954" t="s">
        <v>12849</v>
      </c>
      <c r="G3954" s="2" t="str">
        <f>HYPERLINK("https://probpalata.gov.ru/files/ИП440200388200000.jpeg","Скачать индивидуальный QR-код магазина")</f>
        <v>Скачать индивидуальный QR-код магазина</v>
      </c>
    </row>
    <row r="3955" spans="1:7" x14ac:dyDescent="0.25">
      <c r="A3955" t="s">
        <v>11309</v>
      </c>
      <c r="B3955" t="s">
        <v>11876</v>
      </c>
      <c r="C3955" t="s">
        <v>12850</v>
      </c>
      <c r="D3955" t="s">
        <v>12851</v>
      </c>
      <c r="E3955" t="s">
        <v>12852</v>
      </c>
      <c r="F3955" t="s">
        <v>12853</v>
      </c>
      <c r="G3955" s="2" t="str">
        <f>HYPERLINK("https://probpalata.gov.ru/files/ИП440203713300000.jpeg","Скачать индивидуальный QR-код магазина")</f>
        <v>Скачать индивидуальный QR-код магазина</v>
      </c>
    </row>
    <row r="3956" spans="1:7" x14ac:dyDescent="0.25">
      <c r="A3956" t="s">
        <v>11309</v>
      </c>
      <c r="B3956" t="s">
        <v>12854</v>
      </c>
      <c r="C3956" t="s">
        <v>12855</v>
      </c>
      <c r="D3956" t="s">
        <v>12856</v>
      </c>
      <c r="E3956" t="s">
        <v>12857</v>
      </c>
      <c r="F3956" t="s">
        <v>12858</v>
      </c>
      <c r="G3956" s="2" t="str">
        <f>HYPERLINK("https://probpalata.gov.ru/files/ИП440200765800000.jpeg","Скачать индивидуальный QR-код магазина")</f>
        <v>Скачать индивидуальный QR-код магазина</v>
      </c>
    </row>
    <row r="3957" spans="1:7" x14ac:dyDescent="0.25">
      <c r="A3957" t="s">
        <v>11309</v>
      </c>
      <c r="B3957" t="s">
        <v>12859</v>
      </c>
      <c r="C3957" t="s">
        <v>12855</v>
      </c>
      <c r="D3957" t="s">
        <v>12856</v>
      </c>
      <c r="E3957" t="s">
        <v>12857</v>
      </c>
      <c r="F3957" t="s">
        <v>12860</v>
      </c>
      <c r="G3957" s="2" t="str">
        <f>HYPERLINK("https://probpalata.gov.ru/files/ИП440200765800001.jpeg","Скачать индивидуальный QR-код магазина")</f>
        <v>Скачать индивидуальный QR-код магазина</v>
      </c>
    </row>
    <row r="3958" spans="1:7" x14ac:dyDescent="0.25">
      <c r="A3958" t="s">
        <v>11309</v>
      </c>
      <c r="B3958" t="s">
        <v>12861</v>
      </c>
      <c r="C3958" t="s">
        <v>12855</v>
      </c>
      <c r="D3958" t="s">
        <v>12856</v>
      </c>
      <c r="E3958" t="s">
        <v>12857</v>
      </c>
      <c r="F3958" t="s">
        <v>12862</v>
      </c>
      <c r="G3958" s="2" t="str">
        <f>HYPERLINK("https://probpalata.gov.ru/files/ИП440200765800002.jpeg","Скачать индивидуальный QR-код магазина")</f>
        <v>Скачать индивидуальный QR-код магазина</v>
      </c>
    </row>
    <row r="3959" spans="1:7" x14ac:dyDescent="0.25">
      <c r="A3959" t="s">
        <v>11309</v>
      </c>
      <c r="B3959" t="s">
        <v>12863</v>
      </c>
      <c r="C3959" t="s">
        <v>12864</v>
      </c>
      <c r="D3959" t="s">
        <v>12865</v>
      </c>
      <c r="E3959" t="s">
        <v>12866</v>
      </c>
      <c r="F3959" t="s">
        <v>12867</v>
      </c>
      <c r="G3959" s="2" t="str">
        <f>HYPERLINK("https://probpalata.gov.ru/files/ИП440200982600000.jpeg","Скачать индивидуальный QR-код магазина")</f>
        <v>Скачать индивидуальный QR-код магазина</v>
      </c>
    </row>
    <row r="3960" spans="1:7" x14ac:dyDescent="0.25">
      <c r="A3960" t="s">
        <v>11309</v>
      </c>
      <c r="B3960" t="s">
        <v>12868</v>
      </c>
      <c r="C3960" t="s">
        <v>12869</v>
      </c>
      <c r="D3960" t="s">
        <v>12870</v>
      </c>
      <c r="E3960" t="s">
        <v>12871</v>
      </c>
      <c r="F3960" t="s">
        <v>12872</v>
      </c>
      <c r="G3960" s="2" t="str">
        <f>HYPERLINK("https://probpalata.gov.ru/files/ИП440203899800000.jpeg","Скачать индивидуальный QR-код магазина")</f>
        <v>Скачать индивидуальный QR-код магазина</v>
      </c>
    </row>
    <row r="3961" spans="1:7" x14ac:dyDescent="0.25">
      <c r="A3961" t="s">
        <v>11309</v>
      </c>
      <c r="B3961" t="s">
        <v>12873</v>
      </c>
      <c r="C3961" t="s">
        <v>12874</v>
      </c>
      <c r="D3961" t="s">
        <v>12875</v>
      </c>
      <c r="E3961" t="s">
        <v>12876</v>
      </c>
      <c r="F3961" t="s">
        <v>12877</v>
      </c>
      <c r="G3961" s="2" t="str">
        <f>HYPERLINK("https://probpalata.gov.ru/files/ЮЛ440200521200000.jpeg","Скачать индивидуальный QR-код магазина")</f>
        <v>Скачать индивидуальный QR-код магазина</v>
      </c>
    </row>
    <row r="3962" spans="1:7" x14ac:dyDescent="0.25">
      <c r="A3962" t="s">
        <v>11309</v>
      </c>
      <c r="B3962" t="s">
        <v>12878</v>
      </c>
      <c r="C3962" t="s">
        <v>12879</v>
      </c>
      <c r="D3962" t="s">
        <v>12880</v>
      </c>
      <c r="E3962" t="s">
        <v>12881</v>
      </c>
      <c r="F3962" t="s">
        <v>12882</v>
      </c>
      <c r="G3962" s="2" t="str">
        <f>HYPERLINK("https://probpalata.gov.ru/files/ИП440203075100000.jpeg","Скачать индивидуальный QR-код магазина")</f>
        <v>Скачать индивидуальный QR-код магазина</v>
      </c>
    </row>
    <row r="3963" spans="1:7" x14ac:dyDescent="0.25">
      <c r="A3963" t="s">
        <v>11309</v>
      </c>
      <c r="B3963" t="s">
        <v>12883</v>
      </c>
      <c r="C3963" t="s">
        <v>12884</v>
      </c>
      <c r="D3963" t="s">
        <v>12885</v>
      </c>
      <c r="E3963" t="s">
        <v>12886</v>
      </c>
      <c r="F3963" t="s">
        <v>12887</v>
      </c>
      <c r="G3963" s="2" t="str">
        <f>HYPERLINK("https://probpalata.gov.ru/files/ИП440200776000000.jpeg","Скачать индивидуальный QR-код магазина")</f>
        <v>Скачать индивидуальный QR-код магазина</v>
      </c>
    </row>
    <row r="3964" spans="1:7" x14ac:dyDescent="0.25">
      <c r="A3964" t="s">
        <v>11309</v>
      </c>
      <c r="B3964" t="s">
        <v>12888</v>
      </c>
      <c r="C3964" t="s">
        <v>12889</v>
      </c>
      <c r="D3964" t="s">
        <v>12890</v>
      </c>
      <c r="E3964" t="s">
        <v>12891</v>
      </c>
      <c r="F3964" t="s">
        <v>12892</v>
      </c>
      <c r="G3964" s="2" t="str">
        <f>HYPERLINK("https://probpalata.gov.ru/files/ИП440201487700000.jpeg","Скачать индивидуальный QR-код магазина")</f>
        <v>Скачать индивидуальный QR-код магазина</v>
      </c>
    </row>
    <row r="3965" spans="1:7" x14ac:dyDescent="0.25">
      <c r="A3965" t="s">
        <v>11309</v>
      </c>
      <c r="B3965" t="s">
        <v>12893</v>
      </c>
      <c r="C3965" t="s">
        <v>12894</v>
      </c>
      <c r="D3965" t="s">
        <v>12895</v>
      </c>
      <c r="E3965" t="s">
        <v>12896</v>
      </c>
      <c r="F3965" t="s">
        <v>12897</v>
      </c>
      <c r="G3965" s="2" t="str">
        <f>HYPERLINK("https://probpalata.gov.ru/files/ИП440203803100000.jpeg","Скачать индивидуальный QR-код магазина")</f>
        <v>Скачать индивидуальный QR-код магазина</v>
      </c>
    </row>
    <row r="3966" spans="1:7" x14ac:dyDescent="0.25">
      <c r="A3966" t="s">
        <v>11309</v>
      </c>
      <c r="B3966" t="s">
        <v>12898</v>
      </c>
      <c r="C3966" t="s">
        <v>12899</v>
      </c>
      <c r="D3966" t="s">
        <v>12900</v>
      </c>
      <c r="E3966" t="s">
        <v>12901</v>
      </c>
      <c r="F3966" t="s">
        <v>12902</v>
      </c>
      <c r="G3966" s="2" t="str">
        <f>HYPERLINK("https://probpalata.gov.ru/files/ИП440200321800000.jpeg","Скачать индивидуальный QR-код магазина")</f>
        <v>Скачать индивидуальный QR-код магазина</v>
      </c>
    </row>
    <row r="3967" spans="1:7" x14ac:dyDescent="0.25">
      <c r="A3967" t="s">
        <v>11309</v>
      </c>
      <c r="B3967" t="s">
        <v>12903</v>
      </c>
      <c r="C3967" t="s">
        <v>12904</v>
      </c>
      <c r="D3967" t="s">
        <v>12905</v>
      </c>
      <c r="E3967" t="s">
        <v>12906</v>
      </c>
      <c r="F3967" t="s">
        <v>12907</v>
      </c>
      <c r="G3967" s="2" t="str">
        <f>HYPERLINK("https://probpalata.gov.ru/files/ИП440203292300000.jpeg","Скачать индивидуальный QR-код магазина")</f>
        <v>Скачать индивидуальный QR-код магазина</v>
      </c>
    </row>
    <row r="3968" spans="1:7" x14ac:dyDescent="0.25">
      <c r="A3968" t="s">
        <v>11309</v>
      </c>
      <c r="B3968" t="s">
        <v>12908</v>
      </c>
      <c r="C3968" t="s">
        <v>12904</v>
      </c>
      <c r="D3968" t="s">
        <v>12905</v>
      </c>
      <c r="E3968" t="s">
        <v>12906</v>
      </c>
      <c r="F3968" t="s">
        <v>12909</v>
      </c>
      <c r="G3968" s="2" t="str">
        <f>HYPERLINK("https://probpalata.gov.ru/files/ИП440203292300001.jpeg","Скачать индивидуальный QR-код магазина")</f>
        <v>Скачать индивидуальный QR-код магазина</v>
      </c>
    </row>
    <row r="3969" spans="1:7" x14ac:dyDescent="0.25">
      <c r="A3969" t="s">
        <v>11309</v>
      </c>
      <c r="B3969" t="s">
        <v>12910</v>
      </c>
      <c r="C3969" t="s">
        <v>12911</v>
      </c>
      <c r="D3969" t="s">
        <v>12912</v>
      </c>
      <c r="E3969" t="s">
        <v>12913</v>
      </c>
      <c r="F3969" t="s">
        <v>12914</v>
      </c>
      <c r="G3969" s="2" t="str">
        <f>HYPERLINK("https://probpalata.gov.ru/files/ИП440200155000000.jpeg","Скачать индивидуальный QR-код магазина")</f>
        <v>Скачать индивидуальный QR-код магазина</v>
      </c>
    </row>
    <row r="3970" spans="1:7" x14ac:dyDescent="0.25">
      <c r="A3970" t="s">
        <v>11309</v>
      </c>
      <c r="B3970" t="s">
        <v>12915</v>
      </c>
      <c r="C3970" t="s">
        <v>12916</v>
      </c>
      <c r="D3970" t="s">
        <v>12917</v>
      </c>
      <c r="E3970" t="s">
        <v>12918</v>
      </c>
      <c r="F3970" t="s">
        <v>12919</v>
      </c>
      <c r="G3970" s="2" t="str">
        <f>HYPERLINK("https://probpalata.gov.ru/files/ИП440200102000000.jpeg","Скачать индивидуальный QR-код магазина")</f>
        <v>Скачать индивидуальный QR-код магазина</v>
      </c>
    </row>
    <row r="3971" spans="1:7" x14ac:dyDescent="0.25">
      <c r="A3971" t="s">
        <v>11309</v>
      </c>
      <c r="B3971" t="s">
        <v>12920</v>
      </c>
      <c r="C3971" t="s">
        <v>12921</v>
      </c>
      <c r="D3971" t="s">
        <v>12922</v>
      </c>
      <c r="E3971" t="s">
        <v>12923</v>
      </c>
      <c r="F3971" t="s">
        <v>12924</v>
      </c>
      <c r="G3971" s="2" t="str">
        <f>HYPERLINK("https://probpalata.gov.ru/files/ИП160600927400000.jpeg","Скачать индивидуальный QR-код магазина")</f>
        <v>Скачать индивидуальный QR-код магазина</v>
      </c>
    </row>
    <row r="3972" spans="1:7" x14ac:dyDescent="0.25">
      <c r="A3972" t="s">
        <v>11309</v>
      </c>
      <c r="B3972" t="s">
        <v>12925</v>
      </c>
      <c r="C3972" t="s">
        <v>12926</v>
      </c>
      <c r="D3972" t="s">
        <v>12927</v>
      </c>
      <c r="E3972" t="s">
        <v>12928</v>
      </c>
      <c r="F3972" t="s">
        <v>12929</v>
      </c>
      <c r="G3972" s="2" t="str">
        <f>HYPERLINK("https://probpalata.gov.ru/files/ИП440200057300000.jpeg","Скачать индивидуальный QR-код магазина")</f>
        <v>Скачать индивидуальный QR-код магазина</v>
      </c>
    </row>
    <row r="3973" spans="1:7" x14ac:dyDescent="0.25">
      <c r="A3973" t="s">
        <v>11309</v>
      </c>
      <c r="B3973" t="s">
        <v>12930</v>
      </c>
      <c r="C3973" t="s">
        <v>12931</v>
      </c>
      <c r="D3973" t="s">
        <v>12932</v>
      </c>
      <c r="E3973" t="s">
        <v>12933</v>
      </c>
      <c r="F3973" t="s">
        <v>12934</v>
      </c>
      <c r="G3973" s="2" t="str">
        <f>HYPERLINK("https://probpalata.gov.ru/files/ИП440200145700000.jpeg","Скачать индивидуальный QR-код магазина")</f>
        <v>Скачать индивидуальный QR-код магазина</v>
      </c>
    </row>
    <row r="3974" spans="1:7" x14ac:dyDescent="0.25">
      <c r="A3974" t="s">
        <v>11309</v>
      </c>
      <c r="B3974" t="s">
        <v>12935</v>
      </c>
      <c r="C3974" t="s">
        <v>12936</v>
      </c>
      <c r="D3974" t="s">
        <v>12937</v>
      </c>
      <c r="E3974" t="s">
        <v>12938</v>
      </c>
      <c r="F3974" t="s">
        <v>12939</v>
      </c>
      <c r="G3974" s="2" t="str">
        <f>HYPERLINK("https://probpalata.gov.ru/files/ИП440200136100000.jpeg","Скачать индивидуальный QR-код магазина")</f>
        <v>Скачать индивидуальный QR-код магазина</v>
      </c>
    </row>
    <row r="3975" spans="1:7" x14ac:dyDescent="0.25">
      <c r="A3975" t="s">
        <v>11309</v>
      </c>
      <c r="B3975" t="s">
        <v>12940</v>
      </c>
      <c r="C3975" t="s">
        <v>12941</v>
      </c>
      <c r="D3975" t="s">
        <v>12942</v>
      </c>
      <c r="E3975" t="s">
        <v>12943</v>
      </c>
      <c r="F3975" t="s">
        <v>12944</v>
      </c>
      <c r="G3975" s="2" t="str">
        <f>HYPERLINK("https://probpalata.gov.ru/files/ЮЛ440200036500000.jpeg","Скачать индивидуальный QR-код магазина")</f>
        <v>Скачать индивидуальный QR-код магазина</v>
      </c>
    </row>
    <row r="3976" spans="1:7" x14ac:dyDescent="0.25">
      <c r="A3976" t="s">
        <v>11309</v>
      </c>
      <c r="B3976" t="s">
        <v>12945</v>
      </c>
      <c r="C3976" t="s">
        <v>12946</v>
      </c>
      <c r="D3976" t="s">
        <v>12947</v>
      </c>
      <c r="E3976" t="s">
        <v>12948</v>
      </c>
      <c r="F3976" t="s">
        <v>12949</v>
      </c>
      <c r="G3976" s="2" t="str">
        <f>HYPERLINK("https://probpalata.gov.ru/files/ИП500104085100000.jpeg","Скачать индивидуальный QR-код магазина")</f>
        <v>Скачать индивидуальный QR-код магазина</v>
      </c>
    </row>
    <row r="3977" spans="1:7" x14ac:dyDescent="0.25">
      <c r="A3977" t="s">
        <v>11309</v>
      </c>
      <c r="B3977" t="s">
        <v>12950</v>
      </c>
      <c r="C3977" t="s">
        <v>671</v>
      </c>
      <c r="D3977" t="s">
        <v>672</v>
      </c>
      <c r="E3977" t="s">
        <v>673</v>
      </c>
      <c r="F3977" t="s">
        <v>12951</v>
      </c>
      <c r="G3977" s="2" t="str">
        <f>HYPERLINK("https://probpalata.gov.ru/files/ИП500100445500045.jpeg","Скачать индивидуальный QR-код магазина")</f>
        <v>Скачать индивидуальный QR-код магазина</v>
      </c>
    </row>
    <row r="3978" spans="1:7" x14ac:dyDescent="0.25">
      <c r="A3978" t="s">
        <v>11309</v>
      </c>
      <c r="B3978" t="s">
        <v>12952</v>
      </c>
      <c r="C3978" t="s">
        <v>12953</v>
      </c>
      <c r="D3978" t="s">
        <v>12954</v>
      </c>
      <c r="E3978" t="s">
        <v>12955</v>
      </c>
      <c r="F3978" t="s">
        <v>12956</v>
      </c>
      <c r="G3978" s="2" t="str">
        <f>HYPERLINK("https://probpalata.gov.ru/files/ИП500104010900000.jpeg","Скачать индивидуальный QR-код магазина")</f>
        <v>Скачать индивидуальный QR-код магазина</v>
      </c>
    </row>
    <row r="3979" spans="1:7" x14ac:dyDescent="0.25">
      <c r="A3979" t="s">
        <v>11309</v>
      </c>
      <c r="B3979" t="s">
        <v>12957</v>
      </c>
      <c r="C3979" t="s">
        <v>12958</v>
      </c>
      <c r="D3979" t="s">
        <v>12959</v>
      </c>
      <c r="E3979" t="s">
        <v>12960</v>
      </c>
      <c r="F3979" t="s">
        <v>12961</v>
      </c>
      <c r="G3979" s="2" t="str">
        <f>HYPERLINK("https://probpalata.gov.ru/files/ИП500100802200000.jpeg","Скачать индивидуальный QR-код магазина")</f>
        <v>Скачать индивидуальный QR-код магазина</v>
      </c>
    </row>
    <row r="3980" spans="1:7" x14ac:dyDescent="0.25">
      <c r="A3980" t="s">
        <v>11309</v>
      </c>
      <c r="B3980" t="s">
        <v>11965</v>
      </c>
      <c r="C3980" t="s">
        <v>12962</v>
      </c>
      <c r="D3980" t="s">
        <v>12963</v>
      </c>
      <c r="E3980" t="s">
        <v>12964</v>
      </c>
      <c r="F3980" t="s">
        <v>12965</v>
      </c>
      <c r="G3980" s="2" t="str">
        <f>HYPERLINK("https://probpalata.gov.ru/files/ЮЛ540803996400001.jpeg","Скачать индивидуальный QR-код магазина")</f>
        <v>Скачать индивидуальный QR-код магазина</v>
      </c>
    </row>
    <row r="3981" spans="1:7" x14ac:dyDescent="0.25">
      <c r="A3981" t="s">
        <v>11309</v>
      </c>
      <c r="B3981" t="s">
        <v>12966</v>
      </c>
      <c r="C3981" t="s">
        <v>12967</v>
      </c>
      <c r="D3981" t="s">
        <v>12968</v>
      </c>
      <c r="E3981" t="s">
        <v>12969</v>
      </c>
      <c r="F3981" t="s">
        <v>12970</v>
      </c>
      <c r="G3981" s="2" t="str">
        <f>HYPERLINK("https://probpalata.gov.ru/files/ЮЛ550801121800003.jpeg","Скачать индивидуальный QR-код магазина")</f>
        <v>Скачать индивидуальный QR-код магазина</v>
      </c>
    </row>
    <row r="3982" spans="1:7" x14ac:dyDescent="0.25">
      <c r="A3982" t="s">
        <v>11309</v>
      </c>
      <c r="B3982" t="s">
        <v>12971</v>
      </c>
      <c r="C3982" t="s">
        <v>12972</v>
      </c>
      <c r="D3982" t="s">
        <v>12973</v>
      </c>
      <c r="E3982" t="s">
        <v>12974</v>
      </c>
      <c r="F3982" t="s">
        <v>12975</v>
      </c>
      <c r="G3982" s="2" t="str">
        <f>HYPERLINK("https://probpalata.gov.ru/files/ИП440201474800000.jpeg","Скачать индивидуальный QR-код магазина")</f>
        <v>Скачать индивидуальный QR-код магазина</v>
      </c>
    </row>
    <row r="3983" spans="1:7" x14ac:dyDescent="0.25">
      <c r="A3983" t="s">
        <v>11309</v>
      </c>
      <c r="B3983" t="s">
        <v>12976</v>
      </c>
      <c r="C3983" t="s">
        <v>12977</v>
      </c>
      <c r="D3983" t="s">
        <v>12978</v>
      </c>
      <c r="E3983" t="s">
        <v>12979</v>
      </c>
      <c r="F3983" t="s">
        <v>12980</v>
      </c>
      <c r="G3983" s="2" t="str">
        <f>HYPERLINK("https://probpalata.gov.ru/files/ЮЛ630603728200000.jpeg","Скачать индивидуальный QR-код магазина")</f>
        <v>Скачать индивидуальный QR-код магазина</v>
      </c>
    </row>
    <row r="3984" spans="1:7" x14ac:dyDescent="0.25">
      <c r="A3984" t="s">
        <v>11309</v>
      </c>
      <c r="B3984" t="s">
        <v>12981</v>
      </c>
      <c r="C3984" t="s">
        <v>12977</v>
      </c>
      <c r="D3984" t="s">
        <v>12978</v>
      </c>
      <c r="E3984" t="s">
        <v>12979</v>
      </c>
      <c r="F3984" t="s">
        <v>12982</v>
      </c>
      <c r="G3984" s="2" t="str">
        <f>HYPERLINK("https://probpalata.gov.ru/files/ЮЛ630603728200001.jpeg","Скачать индивидуальный QR-код магазина")</f>
        <v>Скачать индивидуальный QR-код магазина</v>
      </c>
    </row>
    <row r="3985" spans="1:7" x14ac:dyDescent="0.25">
      <c r="A3985" t="s">
        <v>11309</v>
      </c>
      <c r="B3985" t="s">
        <v>12983</v>
      </c>
      <c r="C3985" t="s">
        <v>12977</v>
      </c>
      <c r="D3985" t="s">
        <v>12978</v>
      </c>
      <c r="E3985" t="s">
        <v>12979</v>
      </c>
      <c r="F3985" t="s">
        <v>12984</v>
      </c>
      <c r="G3985" s="2" t="str">
        <f>HYPERLINK("https://probpalata.gov.ru/files/ЮЛ630603728200002.jpeg","Скачать индивидуальный QR-код магазина")</f>
        <v>Скачать индивидуальный QR-код магазина</v>
      </c>
    </row>
    <row r="3986" spans="1:7" x14ac:dyDescent="0.25">
      <c r="A3986" t="s">
        <v>11309</v>
      </c>
      <c r="B3986" t="s">
        <v>12985</v>
      </c>
      <c r="C3986" t="s">
        <v>12986</v>
      </c>
      <c r="D3986" t="s">
        <v>12987</v>
      </c>
      <c r="E3986" t="s">
        <v>12988</v>
      </c>
      <c r="F3986" t="s">
        <v>12989</v>
      </c>
      <c r="G3986" s="2" t="str">
        <f>HYPERLINK("https://probpalata.gov.ru/files/ИП440203926900000.jpeg","Скачать индивидуальный QR-код магазина")</f>
        <v>Скачать индивидуальный QR-код магазина</v>
      </c>
    </row>
    <row r="3987" spans="1:7" x14ac:dyDescent="0.25">
      <c r="A3987" t="s">
        <v>11309</v>
      </c>
      <c r="B3987" t="s">
        <v>12990</v>
      </c>
      <c r="C3987" t="s">
        <v>12991</v>
      </c>
      <c r="D3987" t="s">
        <v>12992</v>
      </c>
      <c r="E3987" t="s">
        <v>12993</v>
      </c>
      <c r="F3987" t="s">
        <v>12994</v>
      </c>
      <c r="G3987" s="2" t="str">
        <f>HYPERLINK("https://probpalata.gov.ru/files/ЮЛ660700186100000.jpeg","Скачать индивидуальный QR-код магазина")</f>
        <v>Скачать индивидуальный QR-код магазина</v>
      </c>
    </row>
    <row r="3988" spans="1:7" x14ac:dyDescent="0.25">
      <c r="A3988" t="s">
        <v>11309</v>
      </c>
      <c r="B3988" t="s">
        <v>12995</v>
      </c>
      <c r="C3988" t="s">
        <v>12996</v>
      </c>
      <c r="D3988" t="s">
        <v>12997</v>
      </c>
      <c r="E3988" t="s">
        <v>12998</v>
      </c>
      <c r="F3988" t="s">
        <v>12999</v>
      </c>
      <c r="G3988" s="2" t="str">
        <f>HYPERLINK("https://probpalata.gov.ru/files/ИП500101787900000.jpeg","Скачать индивидуальный QR-код магазина")</f>
        <v>Скачать индивидуальный QR-код магазина</v>
      </c>
    </row>
    <row r="3989" spans="1:7" x14ac:dyDescent="0.25">
      <c r="A3989" t="s">
        <v>11309</v>
      </c>
      <c r="B3989" t="s">
        <v>13000</v>
      </c>
      <c r="C3989" t="s">
        <v>13001</v>
      </c>
      <c r="D3989" t="s">
        <v>13002</v>
      </c>
      <c r="E3989" t="s">
        <v>13003</v>
      </c>
      <c r="F3989" t="s">
        <v>13004</v>
      </c>
      <c r="G3989" s="2" t="str">
        <f>HYPERLINK("https://probpalata.gov.ru/files/ЮЛ760200131600000.jpeg","Скачать индивидуальный QR-код магазина")</f>
        <v>Скачать индивидуальный QR-код магазина</v>
      </c>
    </row>
    <row r="3990" spans="1:7" x14ac:dyDescent="0.25">
      <c r="A3990" t="s">
        <v>11309</v>
      </c>
      <c r="B3990" t="s">
        <v>13005</v>
      </c>
      <c r="C3990" t="s">
        <v>13006</v>
      </c>
      <c r="D3990" t="s">
        <v>13007</v>
      </c>
      <c r="E3990" t="s">
        <v>13008</v>
      </c>
      <c r="F3990" t="s">
        <v>13009</v>
      </c>
      <c r="G3990" s="2" t="str">
        <f>HYPERLINK("https://probpalata.gov.ru/files/ИП440203098400000.jpeg","Скачать индивидуальный QR-код магазина")</f>
        <v>Скачать индивидуальный QR-код магазина</v>
      </c>
    </row>
    <row r="3991" spans="1:7" x14ac:dyDescent="0.25">
      <c r="A3991" t="s">
        <v>11309</v>
      </c>
      <c r="B3991" t="s">
        <v>13010</v>
      </c>
      <c r="C3991" t="s">
        <v>13011</v>
      </c>
      <c r="D3991" t="s">
        <v>13012</v>
      </c>
      <c r="E3991" t="s">
        <v>13013</v>
      </c>
      <c r="F3991" t="s">
        <v>13014</v>
      </c>
      <c r="G3991" s="2" t="str">
        <f>HYPERLINK("https://probpalata.gov.ru/files/ИП440203424700000.jpeg","Скачать индивидуальный QR-код магазина")</f>
        <v>Скачать индивидуальный QR-код магазина</v>
      </c>
    </row>
    <row r="3992" spans="1:7" x14ac:dyDescent="0.25">
      <c r="A3992" t="s">
        <v>11309</v>
      </c>
      <c r="B3992" t="s">
        <v>13015</v>
      </c>
      <c r="C3992" t="s">
        <v>3157</v>
      </c>
      <c r="D3992" t="s">
        <v>3158</v>
      </c>
      <c r="E3992" t="s">
        <v>3159</v>
      </c>
      <c r="F3992" t="s">
        <v>13016</v>
      </c>
      <c r="G3992" s="2" t="str">
        <f>HYPERLINK("https://probpalata.gov.ru/files/ИП770100417900013.jpeg","Скачать индивидуальный QR-код магазина")</f>
        <v>Скачать индивидуальный QR-код магазина</v>
      </c>
    </row>
    <row r="3993" spans="1:7" x14ac:dyDescent="0.25">
      <c r="A3993" t="s">
        <v>11309</v>
      </c>
      <c r="B3993" t="s">
        <v>13017</v>
      </c>
      <c r="C3993" t="s">
        <v>3157</v>
      </c>
      <c r="D3993" t="s">
        <v>3158</v>
      </c>
      <c r="E3993" t="s">
        <v>3159</v>
      </c>
      <c r="F3993" t="s">
        <v>13018</v>
      </c>
      <c r="G3993" s="2" t="str">
        <f>HYPERLINK("https://probpalata.gov.ru/files/ИП770100417900017.jpeg","Скачать индивидуальный QR-код магазина")</f>
        <v>Скачать индивидуальный QR-код магазина</v>
      </c>
    </row>
    <row r="3994" spans="1:7" x14ac:dyDescent="0.25">
      <c r="A3994" t="s">
        <v>11309</v>
      </c>
      <c r="B3994" t="s">
        <v>13019</v>
      </c>
      <c r="C3994" t="s">
        <v>3157</v>
      </c>
      <c r="D3994" t="s">
        <v>3158</v>
      </c>
      <c r="E3994" t="s">
        <v>3159</v>
      </c>
      <c r="F3994" t="s">
        <v>13020</v>
      </c>
      <c r="G3994" s="2" t="str">
        <f>HYPERLINK("https://probpalata.gov.ru/files/ИП770100417900028.jpeg","Скачать индивидуальный QR-код магазина")</f>
        <v>Скачать индивидуальный QR-код магазина</v>
      </c>
    </row>
    <row r="3995" spans="1:7" x14ac:dyDescent="0.25">
      <c r="A3995" t="s">
        <v>11309</v>
      </c>
      <c r="B3995" t="s">
        <v>13021</v>
      </c>
      <c r="C3995" t="s">
        <v>3157</v>
      </c>
      <c r="D3995" t="s">
        <v>3158</v>
      </c>
      <c r="E3995" t="s">
        <v>3159</v>
      </c>
      <c r="F3995" t="s">
        <v>13022</v>
      </c>
      <c r="G3995" s="2" t="str">
        <f>HYPERLINK("https://probpalata.gov.ru/files/ИП770100417900043.jpeg","Скачать индивидуальный QR-код магазина")</f>
        <v>Скачать индивидуальный QR-код магазина</v>
      </c>
    </row>
    <row r="3996" spans="1:7" x14ac:dyDescent="0.25">
      <c r="A3996" t="s">
        <v>11309</v>
      </c>
      <c r="B3996" t="s">
        <v>13023</v>
      </c>
      <c r="C3996" t="s">
        <v>713</v>
      </c>
      <c r="D3996" t="s">
        <v>714</v>
      </c>
      <c r="E3996" t="s">
        <v>715</v>
      </c>
      <c r="F3996" t="s">
        <v>13024</v>
      </c>
      <c r="G3996" s="2" t="str">
        <f>HYPERLINK("https://probpalata.gov.ru/files/ЮЛ770101216600110.jpeg","Скачать индивидуальный QR-код магазина")</f>
        <v>Скачать индивидуальный QR-код магазина</v>
      </c>
    </row>
    <row r="3997" spans="1:7" x14ac:dyDescent="0.25">
      <c r="A3997" t="s">
        <v>11309</v>
      </c>
      <c r="B3997" t="s">
        <v>13025</v>
      </c>
      <c r="C3997" t="s">
        <v>713</v>
      </c>
      <c r="D3997" t="s">
        <v>714</v>
      </c>
      <c r="E3997" t="s">
        <v>715</v>
      </c>
      <c r="F3997" t="s">
        <v>13026</v>
      </c>
      <c r="G3997" s="2" t="str">
        <f>HYPERLINK("https://probpalata.gov.ru/files/ЮЛ770101216600327.jpeg","Скачать индивидуальный QR-код магазина")</f>
        <v>Скачать индивидуальный QR-код магазина</v>
      </c>
    </row>
    <row r="3998" spans="1:7" x14ac:dyDescent="0.25">
      <c r="A3998" t="s">
        <v>11309</v>
      </c>
      <c r="B3998" t="s">
        <v>13027</v>
      </c>
      <c r="C3998" t="s">
        <v>713</v>
      </c>
      <c r="D3998" t="s">
        <v>714</v>
      </c>
      <c r="E3998" t="s">
        <v>715</v>
      </c>
      <c r="F3998" t="s">
        <v>13028</v>
      </c>
      <c r="G3998" s="2" t="str">
        <f>HYPERLINK("https://probpalata.gov.ru/files/ЮЛ770101216600380.jpeg","Скачать индивидуальный QR-код магазина")</f>
        <v>Скачать индивидуальный QR-код магазина</v>
      </c>
    </row>
    <row r="3999" spans="1:7" x14ac:dyDescent="0.25">
      <c r="A3999" t="s">
        <v>11309</v>
      </c>
      <c r="B3999" t="s">
        <v>13029</v>
      </c>
      <c r="C3999" t="s">
        <v>713</v>
      </c>
      <c r="D3999" t="s">
        <v>714</v>
      </c>
      <c r="E3999" t="s">
        <v>715</v>
      </c>
      <c r="F3999" t="s">
        <v>13030</v>
      </c>
      <c r="G3999" s="2" t="str">
        <f>HYPERLINK("https://probpalata.gov.ru/files/ЮЛ770101216600759.jpeg","Скачать индивидуальный QR-код магазина")</f>
        <v>Скачать индивидуальный QR-код магазина</v>
      </c>
    </row>
    <row r="4000" spans="1:7" x14ac:dyDescent="0.25">
      <c r="A4000" t="s">
        <v>11309</v>
      </c>
      <c r="B4000" t="s">
        <v>13031</v>
      </c>
      <c r="C4000" t="s">
        <v>713</v>
      </c>
      <c r="D4000" t="s">
        <v>714</v>
      </c>
      <c r="E4000" t="s">
        <v>715</v>
      </c>
      <c r="F4000" t="s">
        <v>13032</v>
      </c>
      <c r="G4000" s="2" t="str">
        <f>HYPERLINK("https://probpalata.gov.ru/files/ЮЛ770101216600865.jpeg","Скачать индивидуальный QR-код магазина")</f>
        <v>Скачать индивидуальный QR-код магазина</v>
      </c>
    </row>
    <row r="4001" spans="1:7" x14ac:dyDescent="0.25">
      <c r="A4001" t="s">
        <v>11309</v>
      </c>
      <c r="B4001" t="s">
        <v>13033</v>
      </c>
      <c r="C4001" t="s">
        <v>713</v>
      </c>
      <c r="D4001" t="s">
        <v>714</v>
      </c>
      <c r="E4001" t="s">
        <v>715</v>
      </c>
      <c r="F4001" t="s">
        <v>13034</v>
      </c>
      <c r="G4001" s="2" t="str">
        <f>HYPERLINK("https://probpalata.gov.ru/files/ЮЛ770101216600892.jpeg","Скачать индивидуальный QR-код магазина")</f>
        <v>Скачать индивидуальный QR-код магазина</v>
      </c>
    </row>
    <row r="4002" spans="1:7" x14ac:dyDescent="0.25">
      <c r="A4002" t="s">
        <v>11309</v>
      </c>
      <c r="B4002" t="s">
        <v>13035</v>
      </c>
      <c r="C4002" t="s">
        <v>713</v>
      </c>
      <c r="D4002" t="s">
        <v>714</v>
      </c>
      <c r="E4002" t="s">
        <v>715</v>
      </c>
      <c r="F4002" t="s">
        <v>13036</v>
      </c>
      <c r="G4002" s="2" t="str">
        <f>HYPERLINK("https://probpalata.gov.ru/files/ЮЛ770101216600893.jpeg","Скачать индивидуальный QR-код магазина")</f>
        <v>Скачать индивидуальный QR-код магазина</v>
      </c>
    </row>
    <row r="4003" spans="1:7" x14ac:dyDescent="0.25">
      <c r="A4003" t="s">
        <v>11309</v>
      </c>
      <c r="B4003" t="s">
        <v>13037</v>
      </c>
      <c r="C4003" t="s">
        <v>7727</v>
      </c>
      <c r="D4003" t="s">
        <v>7728</v>
      </c>
      <c r="E4003" t="s">
        <v>7729</v>
      </c>
      <c r="F4003" t="s">
        <v>13038</v>
      </c>
      <c r="G4003" s="2" t="str">
        <f>HYPERLINK("https://probpalata.gov.ru/files/ЮЛ770100167700001.jpeg","Скачать индивидуальный QR-код магазина")</f>
        <v>Скачать индивидуальный QR-код магазина</v>
      </c>
    </row>
    <row r="4004" spans="1:7" x14ac:dyDescent="0.25">
      <c r="A4004" t="s">
        <v>11309</v>
      </c>
      <c r="B4004" t="s">
        <v>13039</v>
      </c>
      <c r="C4004" t="s">
        <v>7727</v>
      </c>
      <c r="D4004" t="s">
        <v>7728</v>
      </c>
      <c r="E4004" t="s">
        <v>7729</v>
      </c>
      <c r="F4004" t="s">
        <v>13040</v>
      </c>
      <c r="G4004" s="2" t="str">
        <f>HYPERLINK("https://probpalata.gov.ru/files/ЮЛ770100167700002.jpeg","Скачать индивидуальный QR-код магазина")</f>
        <v>Скачать индивидуальный QR-код магазина</v>
      </c>
    </row>
    <row r="4005" spans="1:7" x14ac:dyDescent="0.25">
      <c r="A4005" t="s">
        <v>11309</v>
      </c>
      <c r="B4005" t="s">
        <v>13041</v>
      </c>
      <c r="C4005" t="s">
        <v>7727</v>
      </c>
      <c r="D4005" t="s">
        <v>7728</v>
      </c>
      <c r="E4005" t="s">
        <v>7729</v>
      </c>
      <c r="F4005" t="s">
        <v>13042</v>
      </c>
      <c r="G4005" s="2" t="str">
        <f>HYPERLINK("https://probpalata.gov.ru/files/ЮЛ770100167700005.jpeg","Скачать индивидуальный QR-код магазина")</f>
        <v>Скачать индивидуальный QR-код магазина</v>
      </c>
    </row>
    <row r="4006" spans="1:7" x14ac:dyDescent="0.25">
      <c r="A4006" t="s">
        <v>11309</v>
      </c>
      <c r="B4006" t="s">
        <v>13043</v>
      </c>
      <c r="C4006" t="s">
        <v>13044</v>
      </c>
      <c r="D4006" t="s">
        <v>13045</v>
      </c>
      <c r="E4006" t="s">
        <v>13046</v>
      </c>
      <c r="F4006" t="s">
        <v>13047</v>
      </c>
      <c r="G4006" s="2" t="str">
        <f>HYPERLINK("https://probpalata.gov.ru/files/ИП770103664700000.jpeg","Скачать индивидуальный QR-код магазина")</f>
        <v>Скачать индивидуальный QR-код магазина</v>
      </c>
    </row>
    <row r="4007" spans="1:7" x14ac:dyDescent="0.25">
      <c r="A4007" t="s">
        <v>11309</v>
      </c>
      <c r="B4007" t="s">
        <v>13048</v>
      </c>
      <c r="C4007" t="s">
        <v>13049</v>
      </c>
      <c r="D4007" t="s">
        <v>13050</v>
      </c>
      <c r="E4007" t="s">
        <v>13051</v>
      </c>
      <c r="F4007" t="s">
        <v>13052</v>
      </c>
      <c r="G4007" s="2" t="str">
        <f>HYPERLINK("https://probpalata.gov.ru/files/ИП770103178200000.jpeg","Скачать индивидуальный QR-код магазина")</f>
        <v>Скачать индивидуальный QR-код магазина</v>
      </c>
    </row>
    <row r="4008" spans="1:7" x14ac:dyDescent="0.25">
      <c r="A4008" t="s">
        <v>11309</v>
      </c>
      <c r="B4008" t="s">
        <v>13053</v>
      </c>
      <c r="C4008" t="s">
        <v>13049</v>
      </c>
      <c r="D4008" t="s">
        <v>13050</v>
      </c>
      <c r="E4008" t="s">
        <v>13051</v>
      </c>
      <c r="F4008" t="s">
        <v>13054</v>
      </c>
      <c r="G4008" s="2" t="str">
        <f>HYPERLINK("https://probpalata.gov.ru/files/ИП770103178200004.jpeg","Скачать индивидуальный QR-код магазина")</f>
        <v>Скачать индивидуальный QR-код магазина</v>
      </c>
    </row>
    <row r="4009" spans="1:7" x14ac:dyDescent="0.25">
      <c r="A4009" t="s">
        <v>11309</v>
      </c>
      <c r="B4009" t="s">
        <v>12093</v>
      </c>
      <c r="C4009" t="s">
        <v>13049</v>
      </c>
      <c r="D4009" t="s">
        <v>13050</v>
      </c>
      <c r="E4009" t="s">
        <v>13051</v>
      </c>
      <c r="F4009" t="s">
        <v>13055</v>
      </c>
      <c r="G4009" s="2" t="str">
        <f>HYPERLINK("https://probpalata.gov.ru/files/ИП770103178200007.jpeg","Скачать индивидуальный QR-код магазина")</f>
        <v>Скачать индивидуальный QR-код магазина</v>
      </c>
    </row>
    <row r="4010" spans="1:7" x14ac:dyDescent="0.25">
      <c r="A4010" t="s">
        <v>11309</v>
      </c>
      <c r="B4010" t="s">
        <v>13056</v>
      </c>
      <c r="C4010" t="s">
        <v>13049</v>
      </c>
      <c r="D4010" t="s">
        <v>13050</v>
      </c>
      <c r="E4010" t="s">
        <v>13051</v>
      </c>
      <c r="F4010" t="s">
        <v>13057</v>
      </c>
      <c r="G4010" s="2" t="str">
        <f>HYPERLINK("https://probpalata.gov.ru/files/ИП770103178200009.jpeg","Скачать индивидуальный QR-код магазина")</f>
        <v>Скачать индивидуальный QR-код магазина</v>
      </c>
    </row>
    <row r="4011" spans="1:7" x14ac:dyDescent="0.25">
      <c r="A4011" t="s">
        <v>11309</v>
      </c>
      <c r="B4011" t="s">
        <v>13058</v>
      </c>
      <c r="C4011" t="s">
        <v>13049</v>
      </c>
      <c r="D4011" t="s">
        <v>13050</v>
      </c>
      <c r="E4011" t="s">
        <v>13051</v>
      </c>
      <c r="F4011" t="s">
        <v>13059</v>
      </c>
      <c r="G4011" s="2" t="str">
        <f>HYPERLINK("https://probpalata.gov.ru/files/ИП770103178200011.jpeg","Скачать индивидуальный QR-код магазина")</f>
        <v>Скачать индивидуальный QR-код магазина</v>
      </c>
    </row>
    <row r="4012" spans="1:7" x14ac:dyDescent="0.25">
      <c r="A4012" t="s">
        <v>11309</v>
      </c>
      <c r="B4012" t="s">
        <v>13060</v>
      </c>
      <c r="C4012" t="s">
        <v>13061</v>
      </c>
      <c r="D4012" t="s">
        <v>13062</v>
      </c>
      <c r="E4012" t="s">
        <v>13063</v>
      </c>
      <c r="F4012" t="s">
        <v>13064</v>
      </c>
      <c r="G4012" s="2" t="str">
        <f>HYPERLINK("https://probpalata.gov.ru/files/ЮЛ770100273400053.jpeg","Скачать индивидуальный QR-код магазина")</f>
        <v>Скачать индивидуальный QR-код магазина</v>
      </c>
    </row>
    <row r="4013" spans="1:7" x14ac:dyDescent="0.25">
      <c r="A4013" t="s">
        <v>11309</v>
      </c>
      <c r="B4013" t="s">
        <v>13065</v>
      </c>
      <c r="C4013" t="s">
        <v>13066</v>
      </c>
      <c r="D4013" t="s">
        <v>13067</v>
      </c>
      <c r="E4013" t="s">
        <v>13068</v>
      </c>
      <c r="F4013" t="s">
        <v>13069</v>
      </c>
      <c r="G4013" s="2" t="str">
        <f>HYPERLINK("https://probpalata.gov.ru/files/ИП440200080500000.jpeg","Скачать индивидуальный QR-код магазина")</f>
        <v>Скачать индивидуальный QR-код магазина</v>
      </c>
    </row>
    <row r="4014" spans="1:7" x14ac:dyDescent="0.25">
      <c r="A4014" t="s">
        <v>11309</v>
      </c>
      <c r="B4014" t="s">
        <v>13070</v>
      </c>
      <c r="C4014" t="s">
        <v>13071</v>
      </c>
      <c r="D4014" t="s">
        <v>13072</v>
      </c>
      <c r="E4014" t="s">
        <v>13073</v>
      </c>
      <c r="F4014" t="s">
        <v>13074</v>
      </c>
      <c r="G4014" s="2" t="str">
        <f>HYPERLINK("https://probpalata.gov.ru/files/ЮЛ780301232700001.jpeg","Скачать индивидуальный QR-код магазина")</f>
        <v>Скачать индивидуальный QR-код магазина</v>
      </c>
    </row>
    <row r="4015" spans="1:7" x14ac:dyDescent="0.25">
      <c r="A4015" t="s">
        <v>11309</v>
      </c>
      <c r="B4015" t="s">
        <v>13075</v>
      </c>
      <c r="C4015" t="s">
        <v>798</v>
      </c>
      <c r="D4015" t="s">
        <v>799</v>
      </c>
      <c r="E4015" t="s">
        <v>800</v>
      </c>
      <c r="F4015" t="s">
        <v>13076</v>
      </c>
      <c r="G4015" s="2" t="str">
        <f>HYPERLINK("https://probpalata.gov.ru/files/ЮЛ780300308200283.jpeg","Скачать индивидуальный QR-код магазина")</f>
        <v>Скачать индивидуальный QR-код магазина</v>
      </c>
    </row>
    <row r="4016" spans="1:7" x14ac:dyDescent="0.25">
      <c r="A4016" t="s">
        <v>11309</v>
      </c>
      <c r="B4016" t="s">
        <v>13077</v>
      </c>
      <c r="C4016" t="s">
        <v>798</v>
      </c>
      <c r="D4016" t="s">
        <v>799</v>
      </c>
      <c r="E4016" t="s">
        <v>800</v>
      </c>
      <c r="F4016" t="s">
        <v>13078</v>
      </c>
      <c r="G4016" s="2" t="str">
        <f>HYPERLINK("https://probpalata.gov.ru/files/ЮЛ780300308201115.jpeg","Скачать индивидуальный QR-код магазина")</f>
        <v>Скачать индивидуальный QR-код магазина</v>
      </c>
    </row>
    <row r="4017" spans="1:7" x14ac:dyDescent="0.25">
      <c r="A4017" t="s">
        <v>11309</v>
      </c>
      <c r="B4017" t="s">
        <v>13079</v>
      </c>
      <c r="C4017" t="s">
        <v>798</v>
      </c>
      <c r="D4017" t="s">
        <v>799</v>
      </c>
      <c r="E4017" t="s">
        <v>800</v>
      </c>
      <c r="F4017" t="s">
        <v>13080</v>
      </c>
      <c r="G4017" s="2" t="str">
        <f>HYPERLINK("https://probpalata.gov.ru/files/ЮЛ780300308201145.jpeg","Скачать индивидуальный QR-код магазина")</f>
        <v>Скачать индивидуальный QR-код магазина</v>
      </c>
    </row>
    <row r="4018" spans="1:7" x14ac:dyDescent="0.25">
      <c r="A4018" t="s">
        <v>11309</v>
      </c>
      <c r="B4018" t="s">
        <v>13081</v>
      </c>
      <c r="C4018" t="s">
        <v>1490</v>
      </c>
      <c r="D4018" t="s">
        <v>1491</v>
      </c>
      <c r="E4018" t="s">
        <v>1492</v>
      </c>
      <c r="F4018" t="s">
        <v>13082</v>
      </c>
      <c r="G4018" s="2" t="str">
        <f>HYPERLINK("https://probpalata.gov.ru/files/ЮЛ780301261200043.jpeg","Скачать индивидуальный QR-код магазина")</f>
        <v>Скачать индивидуальный QR-код магазина</v>
      </c>
    </row>
    <row r="4019" spans="1:7" x14ac:dyDescent="0.25">
      <c r="A4019" t="s">
        <v>11309</v>
      </c>
      <c r="B4019" t="s">
        <v>13083</v>
      </c>
      <c r="C4019" t="s">
        <v>1490</v>
      </c>
      <c r="D4019" t="s">
        <v>1491</v>
      </c>
      <c r="E4019" t="s">
        <v>1492</v>
      </c>
      <c r="F4019" t="s">
        <v>13084</v>
      </c>
      <c r="G4019" s="2" t="str">
        <f>HYPERLINK("https://probpalata.gov.ru/files/ЮЛ780301261200069.jpeg","Скачать индивидуальный QR-код магазина")</f>
        <v>Скачать индивидуальный QR-код магазина</v>
      </c>
    </row>
    <row r="4020" spans="1:7" x14ac:dyDescent="0.25">
      <c r="A4020" t="s">
        <v>11309</v>
      </c>
      <c r="B4020" t="s">
        <v>13085</v>
      </c>
      <c r="C4020" t="s">
        <v>7852</v>
      </c>
      <c r="D4020" t="s">
        <v>7853</v>
      </c>
      <c r="E4020" t="s">
        <v>7854</v>
      </c>
      <c r="F4020" t="s">
        <v>13086</v>
      </c>
      <c r="G4020" s="2" t="str">
        <f>HYPERLINK("https://probpalata.gov.ru/files/ЮЛ770100029500001.jpeg","Скачать индивидуальный QR-код магазина")</f>
        <v>Скачать индивидуальный QR-код магазина</v>
      </c>
    </row>
    <row r="4021" spans="1:7" x14ac:dyDescent="0.25">
      <c r="A4021" t="s">
        <v>13087</v>
      </c>
      <c r="B4021" t="s">
        <v>13088</v>
      </c>
      <c r="C4021" t="s">
        <v>13089</v>
      </c>
      <c r="D4021" t="s">
        <v>13090</v>
      </c>
      <c r="E4021" t="s">
        <v>13091</v>
      </c>
      <c r="F4021" t="s">
        <v>13092</v>
      </c>
      <c r="G4021" s="2" t="str">
        <f>HYPERLINK("https://probpalata.gov.ru/files/ЮЛ010403538100008.jpeg","Скачать индивидуальный QR-код магазина")</f>
        <v>Скачать индивидуальный QR-код магазина</v>
      </c>
    </row>
    <row r="4022" spans="1:7" x14ac:dyDescent="0.25">
      <c r="A4022" t="s">
        <v>13087</v>
      </c>
      <c r="B4022" t="s">
        <v>13093</v>
      </c>
      <c r="C4022" t="s">
        <v>13089</v>
      </c>
      <c r="D4022" t="s">
        <v>13090</v>
      </c>
      <c r="E4022" t="s">
        <v>13091</v>
      </c>
      <c r="F4022" t="s">
        <v>13094</v>
      </c>
      <c r="G4022" s="2" t="str">
        <f>HYPERLINK("https://probpalata.gov.ru/files/ЮЛ010403538100009.jpeg","Скачать индивидуальный QR-код магазина")</f>
        <v>Скачать индивидуальный QR-код магазина</v>
      </c>
    </row>
    <row r="4023" spans="1:7" x14ac:dyDescent="0.25">
      <c r="A4023" t="s">
        <v>13087</v>
      </c>
      <c r="B4023" t="s">
        <v>13095</v>
      </c>
      <c r="C4023" t="s">
        <v>13089</v>
      </c>
      <c r="D4023" t="s">
        <v>13090</v>
      </c>
      <c r="E4023" t="s">
        <v>13091</v>
      </c>
      <c r="F4023" t="s">
        <v>13096</v>
      </c>
      <c r="G4023" s="2" t="str">
        <f>HYPERLINK("https://probpalata.gov.ru/files/ЮЛ010403538100010.jpeg","Скачать индивидуальный QR-код магазина")</f>
        <v>Скачать индивидуальный QR-код магазина</v>
      </c>
    </row>
    <row r="4024" spans="1:7" x14ac:dyDescent="0.25">
      <c r="A4024" t="s">
        <v>13087</v>
      </c>
      <c r="B4024" t="s">
        <v>13097</v>
      </c>
      <c r="C4024" t="s">
        <v>13089</v>
      </c>
      <c r="D4024" t="s">
        <v>13090</v>
      </c>
      <c r="E4024" t="s">
        <v>13091</v>
      </c>
      <c r="F4024" t="s">
        <v>13098</v>
      </c>
      <c r="G4024" s="2" t="str">
        <f>HYPERLINK("https://probpalata.gov.ru/files/ЮЛ010403538100011.jpeg","Скачать индивидуальный QR-код магазина")</f>
        <v>Скачать индивидуальный QR-код магазина</v>
      </c>
    </row>
    <row r="4025" spans="1:7" x14ac:dyDescent="0.25">
      <c r="A4025" t="s">
        <v>13087</v>
      </c>
      <c r="B4025" t="s">
        <v>13099</v>
      </c>
      <c r="C4025" t="s">
        <v>13089</v>
      </c>
      <c r="D4025" t="s">
        <v>13090</v>
      </c>
      <c r="E4025" t="s">
        <v>13091</v>
      </c>
      <c r="F4025" t="s">
        <v>13100</v>
      </c>
      <c r="G4025" s="2" t="str">
        <f>HYPERLINK("https://probpalata.gov.ru/files/ЮЛ010403538100012.jpeg","Скачать индивидуальный QR-код магазина")</f>
        <v>Скачать индивидуальный QR-код магазина</v>
      </c>
    </row>
    <row r="4026" spans="1:7" x14ac:dyDescent="0.25">
      <c r="A4026" t="s">
        <v>13087</v>
      </c>
      <c r="B4026" t="s">
        <v>13101</v>
      </c>
      <c r="C4026" t="s">
        <v>13089</v>
      </c>
      <c r="D4026" t="s">
        <v>13090</v>
      </c>
      <c r="E4026" t="s">
        <v>13091</v>
      </c>
      <c r="F4026" t="s">
        <v>13102</v>
      </c>
      <c r="G4026" s="2" t="str">
        <f>HYPERLINK("https://probpalata.gov.ru/files/ЮЛ010403538100013.jpeg","Скачать индивидуальный QR-код магазина")</f>
        <v>Скачать индивидуальный QR-код магазина</v>
      </c>
    </row>
    <row r="4027" spans="1:7" x14ac:dyDescent="0.25">
      <c r="A4027" t="s">
        <v>13087</v>
      </c>
      <c r="B4027" t="s">
        <v>13103</v>
      </c>
      <c r="C4027" t="s">
        <v>13089</v>
      </c>
      <c r="D4027" t="s">
        <v>13090</v>
      </c>
      <c r="E4027" t="s">
        <v>13091</v>
      </c>
      <c r="F4027" t="s">
        <v>13104</v>
      </c>
      <c r="G4027" s="2" t="str">
        <f>HYPERLINK("https://probpalata.gov.ru/files/ЮЛ010403538100015.jpeg","Скачать индивидуальный QR-код магазина")</f>
        <v>Скачать индивидуальный QR-код магазина</v>
      </c>
    </row>
    <row r="4028" spans="1:7" x14ac:dyDescent="0.25">
      <c r="A4028" t="s">
        <v>13087</v>
      </c>
      <c r="B4028" t="s">
        <v>13105</v>
      </c>
      <c r="C4028" t="s">
        <v>13089</v>
      </c>
      <c r="D4028" t="s">
        <v>13090</v>
      </c>
      <c r="E4028" t="s">
        <v>13091</v>
      </c>
      <c r="F4028" t="s">
        <v>13106</v>
      </c>
      <c r="G4028" s="2" t="str">
        <f>HYPERLINK("https://probpalata.gov.ru/files/ЮЛ010403538100016.jpeg","Скачать индивидуальный QR-код магазина")</f>
        <v>Скачать индивидуальный QR-код магазина</v>
      </c>
    </row>
    <row r="4029" spans="1:7" x14ac:dyDescent="0.25">
      <c r="A4029" t="s">
        <v>13087</v>
      </c>
      <c r="B4029" t="s">
        <v>13107</v>
      </c>
      <c r="C4029" t="s">
        <v>13089</v>
      </c>
      <c r="D4029" t="s">
        <v>13090</v>
      </c>
      <c r="E4029" t="s">
        <v>13091</v>
      </c>
      <c r="F4029" t="s">
        <v>13108</v>
      </c>
      <c r="G4029" s="2" t="str">
        <f>HYPERLINK("https://probpalata.gov.ru/files/ЮЛ010403538100017.jpeg","Скачать индивидуальный QR-код магазина")</f>
        <v>Скачать индивидуальный QR-код магазина</v>
      </c>
    </row>
    <row r="4030" spans="1:7" x14ac:dyDescent="0.25">
      <c r="A4030" t="s">
        <v>13087</v>
      </c>
      <c r="B4030" t="s">
        <v>13109</v>
      </c>
      <c r="C4030" t="s">
        <v>13089</v>
      </c>
      <c r="D4030" t="s">
        <v>13090</v>
      </c>
      <c r="E4030" t="s">
        <v>13091</v>
      </c>
      <c r="F4030" t="s">
        <v>13110</v>
      </c>
      <c r="G4030" s="2" t="str">
        <f>HYPERLINK("https://probpalata.gov.ru/files/ЮЛ010403538100018.jpeg","Скачать индивидуальный QR-код магазина")</f>
        <v>Скачать индивидуальный QR-код магазина</v>
      </c>
    </row>
    <row r="4031" spans="1:7" x14ac:dyDescent="0.25">
      <c r="A4031" t="s">
        <v>13087</v>
      </c>
      <c r="B4031" t="s">
        <v>13111</v>
      </c>
      <c r="C4031" t="s">
        <v>13089</v>
      </c>
      <c r="D4031" t="s">
        <v>13090</v>
      </c>
      <c r="E4031" t="s">
        <v>13091</v>
      </c>
      <c r="F4031" t="s">
        <v>13112</v>
      </c>
      <c r="G4031" s="2" t="str">
        <f>HYPERLINK("https://probpalata.gov.ru/files/ЮЛ010403538100020.jpeg","Скачать индивидуальный QR-код магазина")</f>
        <v>Скачать индивидуальный QR-код магазина</v>
      </c>
    </row>
    <row r="4032" spans="1:7" x14ac:dyDescent="0.25">
      <c r="A4032" t="s">
        <v>13087</v>
      </c>
      <c r="B4032" t="s">
        <v>13113</v>
      </c>
      <c r="C4032" t="s">
        <v>13089</v>
      </c>
      <c r="D4032" t="s">
        <v>13090</v>
      </c>
      <c r="E4032" t="s">
        <v>13091</v>
      </c>
      <c r="F4032" t="s">
        <v>13114</v>
      </c>
      <c r="G4032" s="2" t="str">
        <f>HYPERLINK("https://probpalata.gov.ru/files/ЮЛ010403538100021.jpeg","Скачать индивидуальный QR-код магазина")</f>
        <v>Скачать индивидуальный QR-код магазина</v>
      </c>
    </row>
    <row r="4033" spans="1:7" x14ac:dyDescent="0.25">
      <c r="A4033" t="s">
        <v>13087</v>
      </c>
      <c r="B4033" t="s">
        <v>13115</v>
      </c>
      <c r="C4033" t="s">
        <v>13089</v>
      </c>
      <c r="D4033" t="s">
        <v>13090</v>
      </c>
      <c r="E4033" t="s">
        <v>13091</v>
      </c>
      <c r="F4033" t="s">
        <v>13116</v>
      </c>
      <c r="G4033" s="2" t="str">
        <f>HYPERLINK("https://probpalata.gov.ru/files/ЮЛ010403538100022.jpeg","Скачать индивидуальный QR-код магазина")</f>
        <v>Скачать индивидуальный QR-код магазина</v>
      </c>
    </row>
    <row r="4034" spans="1:7" x14ac:dyDescent="0.25">
      <c r="A4034" t="s">
        <v>13087</v>
      </c>
      <c r="B4034" t="s">
        <v>13117</v>
      </c>
      <c r="C4034" t="s">
        <v>13089</v>
      </c>
      <c r="D4034" t="s">
        <v>13090</v>
      </c>
      <c r="E4034" t="s">
        <v>13091</v>
      </c>
      <c r="F4034" t="s">
        <v>13118</v>
      </c>
      <c r="G4034" s="2" t="str">
        <f>HYPERLINK("https://probpalata.gov.ru/files/ЮЛ010403538100023.jpeg","Скачать индивидуальный QR-код магазина")</f>
        <v>Скачать индивидуальный QR-код магазина</v>
      </c>
    </row>
    <row r="4035" spans="1:7" x14ac:dyDescent="0.25">
      <c r="A4035" t="s">
        <v>13087</v>
      </c>
      <c r="B4035" t="s">
        <v>13119</v>
      </c>
      <c r="C4035" t="s">
        <v>13089</v>
      </c>
      <c r="D4035" t="s">
        <v>13090</v>
      </c>
      <c r="E4035" t="s">
        <v>13091</v>
      </c>
      <c r="F4035" t="s">
        <v>13120</v>
      </c>
      <c r="G4035" s="2" t="str">
        <f>HYPERLINK("https://probpalata.gov.ru/files/ЮЛ010403538100024.jpeg","Скачать индивидуальный QR-код магазина")</f>
        <v>Скачать индивидуальный QR-код магазина</v>
      </c>
    </row>
    <row r="4036" spans="1:7" x14ac:dyDescent="0.25">
      <c r="A4036" t="s">
        <v>13087</v>
      </c>
      <c r="B4036" t="s">
        <v>13121</v>
      </c>
      <c r="C4036" t="s">
        <v>13089</v>
      </c>
      <c r="D4036" t="s">
        <v>13090</v>
      </c>
      <c r="E4036" t="s">
        <v>13091</v>
      </c>
      <c r="F4036" t="s">
        <v>13122</v>
      </c>
      <c r="G4036" s="2" t="str">
        <f>HYPERLINK("https://probpalata.gov.ru/files/ЮЛ010403538100025.jpeg","Скачать индивидуальный QR-код магазина")</f>
        <v>Скачать индивидуальный QR-код магазина</v>
      </c>
    </row>
    <row r="4037" spans="1:7" x14ac:dyDescent="0.25">
      <c r="A4037" t="s">
        <v>13087</v>
      </c>
      <c r="B4037" t="s">
        <v>13123</v>
      </c>
      <c r="C4037" t="s">
        <v>13089</v>
      </c>
      <c r="D4037" t="s">
        <v>13090</v>
      </c>
      <c r="E4037" t="s">
        <v>13091</v>
      </c>
      <c r="F4037" t="s">
        <v>13124</v>
      </c>
      <c r="G4037" s="2" t="str">
        <f>HYPERLINK("https://probpalata.gov.ru/files/ЮЛ010403538100026.jpeg","Скачать индивидуальный QR-код магазина")</f>
        <v>Скачать индивидуальный QR-код магазина</v>
      </c>
    </row>
    <row r="4038" spans="1:7" x14ac:dyDescent="0.25">
      <c r="A4038" t="s">
        <v>13087</v>
      </c>
      <c r="B4038" t="s">
        <v>13125</v>
      </c>
      <c r="C4038" t="s">
        <v>13089</v>
      </c>
      <c r="D4038" t="s">
        <v>13090</v>
      </c>
      <c r="E4038" t="s">
        <v>13091</v>
      </c>
      <c r="F4038" t="s">
        <v>13126</v>
      </c>
      <c r="G4038" s="2" t="str">
        <f>HYPERLINK("https://probpalata.gov.ru/files/ЮЛ010403538100027.jpeg","Скачать индивидуальный QR-код магазина")</f>
        <v>Скачать индивидуальный QR-код магазина</v>
      </c>
    </row>
    <row r="4039" spans="1:7" x14ac:dyDescent="0.25">
      <c r="A4039" t="s">
        <v>13087</v>
      </c>
      <c r="B4039" t="s">
        <v>13127</v>
      </c>
      <c r="C4039" t="s">
        <v>13089</v>
      </c>
      <c r="D4039" t="s">
        <v>13090</v>
      </c>
      <c r="E4039" t="s">
        <v>13091</v>
      </c>
      <c r="F4039" t="s">
        <v>13128</v>
      </c>
      <c r="G4039" s="2" t="str">
        <f>HYPERLINK("https://probpalata.gov.ru/files/ЮЛ010403538100029.jpeg","Скачать индивидуальный QR-код магазина")</f>
        <v>Скачать индивидуальный QR-код магазина</v>
      </c>
    </row>
    <row r="4040" spans="1:7" x14ac:dyDescent="0.25">
      <c r="A4040" t="s">
        <v>13087</v>
      </c>
      <c r="B4040" t="s">
        <v>13129</v>
      </c>
      <c r="C4040" t="s">
        <v>13089</v>
      </c>
      <c r="D4040" t="s">
        <v>13090</v>
      </c>
      <c r="E4040" t="s">
        <v>13091</v>
      </c>
      <c r="F4040" t="s">
        <v>13130</v>
      </c>
      <c r="G4040" s="2" t="str">
        <f>HYPERLINK("https://probpalata.gov.ru/files/ЮЛ010403538100030.jpeg","Скачать индивидуальный QR-код магазина")</f>
        <v>Скачать индивидуальный QR-код магазина</v>
      </c>
    </row>
    <row r="4041" spans="1:7" x14ac:dyDescent="0.25">
      <c r="A4041" t="s">
        <v>13087</v>
      </c>
      <c r="B4041" t="s">
        <v>13131</v>
      </c>
      <c r="C4041" t="s">
        <v>13089</v>
      </c>
      <c r="D4041" t="s">
        <v>13090</v>
      </c>
      <c r="E4041" t="s">
        <v>13091</v>
      </c>
      <c r="F4041" t="s">
        <v>13132</v>
      </c>
      <c r="G4041" s="2" t="str">
        <f>HYPERLINK("https://probpalata.gov.ru/files/ЮЛ010403538100032.jpeg","Скачать индивидуальный QR-код магазина")</f>
        <v>Скачать индивидуальный QR-код магазина</v>
      </c>
    </row>
    <row r="4042" spans="1:7" x14ac:dyDescent="0.25">
      <c r="A4042" t="s">
        <v>13087</v>
      </c>
      <c r="B4042" t="s">
        <v>13133</v>
      </c>
      <c r="C4042" t="s">
        <v>13089</v>
      </c>
      <c r="D4042" t="s">
        <v>13090</v>
      </c>
      <c r="E4042" t="s">
        <v>13091</v>
      </c>
      <c r="F4042" t="s">
        <v>13134</v>
      </c>
      <c r="G4042" s="2" t="str">
        <f>HYPERLINK("https://probpalata.gov.ru/files/ЮЛ010403538100033.jpeg","Скачать индивидуальный QR-код магазина")</f>
        <v>Скачать индивидуальный QR-код магазина</v>
      </c>
    </row>
    <row r="4043" spans="1:7" x14ac:dyDescent="0.25">
      <c r="A4043" t="s">
        <v>13087</v>
      </c>
      <c r="B4043" t="s">
        <v>13135</v>
      </c>
      <c r="C4043" t="s">
        <v>13089</v>
      </c>
      <c r="D4043" t="s">
        <v>13090</v>
      </c>
      <c r="E4043" t="s">
        <v>13091</v>
      </c>
      <c r="F4043" t="s">
        <v>13136</v>
      </c>
      <c r="G4043" s="2" t="str">
        <f>HYPERLINK("https://probpalata.gov.ru/files/ЮЛ010403538100034.jpeg","Скачать индивидуальный QR-код магазина")</f>
        <v>Скачать индивидуальный QR-код магазина</v>
      </c>
    </row>
    <row r="4044" spans="1:7" x14ac:dyDescent="0.25">
      <c r="A4044" t="s">
        <v>13087</v>
      </c>
      <c r="B4044" t="s">
        <v>13137</v>
      </c>
      <c r="C4044" t="s">
        <v>13089</v>
      </c>
      <c r="D4044" t="s">
        <v>13090</v>
      </c>
      <c r="E4044" t="s">
        <v>13091</v>
      </c>
      <c r="F4044" t="s">
        <v>13138</v>
      </c>
      <c r="G4044" s="2" t="str">
        <f>HYPERLINK("https://probpalata.gov.ru/files/ЮЛ010403538100035.jpeg","Скачать индивидуальный QR-код магазина")</f>
        <v>Скачать индивидуальный QR-код магазина</v>
      </c>
    </row>
    <row r="4045" spans="1:7" x14ac:dyDescent="0.25">
      <c r="A4045" t="s">
        <v>13087</v>
      </c>
      <c r="B4045" t="s">
        <v>13139</v>
      </c>
      <c r="C4045" t="s">
        <v>13089</v>
      </c>
      <c r="D4045" t="s">
        <v>13090</v>
      </c>
      <c r="E4045" t="s">
        <v>13091</v>
      </c>
      <c r="F4045" t="s">
        <v>13140</v>
      </c>
      <c r="G4045" s="2" t="str">
        <f>HYPERLINK("https://probpalata.gov.ru/files/ЮЛ010403538100036.jpeg","Скачать индивидуальный QR-код магазина")</f>
        <v>Скачать индивидуальный QR-код магазина</v>
      </c>
    </row>
    <row r="4046" spans="1:7" x14ac:dyDescent="0.25">
      <c r="A4046" t="s">
        <v>13087</v>
      </c>
      <c r="B4046" t="s">
        <v>13141</v>
      </c>
      <c r="C4046" t="s">
        <v>13142</v>
      </c>
      <c r="D4046" t="s">
        <v>13143</v>
      </c>
      <c r="E4046" t="s">
        <v>13144</v>
      </c>
      <c r="F4046" t="s">
        <v>13145</v>
      </c>
      <c r="G4046" s="2" t="str">
        <f>HYPERLINK("https://probpalata.gov.ru/files/ИП010400626100001.jpeg","Скачать индивидуальный QR-код магазина")</f>
        <v>Скачать индивидуальный QR-код магазина</v>
      </c>
    </row>
    <row r="4047" spans="1:7" x14ac:dyDescent="0.25">
      <c r="A4047" t="s">
        <v>13087</v>
      </c>
      <c r="B4047" t="s">
        <v>13146</v>
      </c>
      <c r="C4047" t="s">
        <v>13142</v>
      </c>
      <c r="D4047" t="s">
        <v>13143</v>
      </c>
      <c r="E4047" t="s">
        <v>13144</v>
      </c>
      <c r="F4047" t="s">
        <v>13147</v>
      </c>
      <c r="G4047" s="2" t="str">
        <f>HYPERLINK("https://probpalata.gov.ru/files/ИП010400626100003.jpeg","Скачать индивидуальный QR-код магазина")</f>
        <v>Скачать индивидуальный QR-код магазина</v>
      </c>
    </row>
    <row r="4048" spans="1:7" x14ac:dyDescent="0.25">
      <c r="A4048" t="s">
        <v>13087</v>
      </c>
      <c r="B4048" t="s">
        <v>13148</v>
      </c>
      <c r="C4048" t="s">
        <v>13142</v>
      </c>
      <c r="D4048" t="s">
        <v>13143</v>
      </c>
      <c r="E4048" t="s">
        <v>13144</v>
      </c>
      <c r="F4048" t="s">
        <v>13149</v>
      </c>
      <c r="G4048" s="2" t="str">
        <f>HYPERLINK("https://probpalata.gov.ru/files/ИП010400626100004.jpeg","Скачать индивидуальный QR-код магазина")</f>
        <v>Скачать индивидуальный QR-код магазина</v>
      </c>
    </row>
    <row r="4049" spans="1:7" x14ac:dyDescent="0.25">
      <c r="A4049" t="s">
        <v>13087</v>
      </c>
      <c r="B4049" t="s">
        <v>13150</v>
      </c>
      <c r="C4049" t="s">
        <v>13142</v>
      </c>
      <c r="D4049" t="s">
        <v>13143</v>
      </c>
      <c r="E4049" t="s">
        <v>13144</v>
      </c>
      <c r="F4049" t="s">
        <v>13151</v>
      </c>
      <c r="G4049" s="2" t="str">
        <f>HYPERLINK("https://probpalata.gov.ru/files/ИП010400626100005.jpeg","Скачать индивидуальный QR-код магазина")</f>
        <v>Скачать индивидуальный QR-код магазина</v>
      </c>
    </row>
    <row r="4050" spans="1:7" x14ac:dyDescent="0.25">
      <c r="A4050" t="s">
        <v>13087</v>
      </c>
      <c r="B4050" t="s">
        <v>13152</v>
      </c>
      <c r="C4050" t="s">
        <v>13142</v>
      </c>
      <c r="D4050" t="s">
        <v>13143</v>
      </c>
      <c r="E4050" t="s">
        <v>13144</v>
      </c>
      <c r="F4050" t="s">
        <v>13153</v>
      </c>
      <c r="G4050" s="2" t="str">
        <f>HYPERLINK("https://probpalata.gov.ru/files/ИП010400626100006.jpeg","Скачать индивидуальный QR-код магазина")</f>
        <v>Скачать индивидуальный QR-код магазина</v>
      </c>
    </row>
    <row r="4051" spans="1:7" x14ac:dyDescent="0.25">
      <c r="A4051" t="s">
        <v>13087</v>
      </c>
      <c r="B4051" t="s">
        <v>13154</v>
      </c>
      <c r="C4051" t="s">
        <v>13155</v>
      </c>
      <c r="D4051" t="s">
        <v>13156</v>
      </c>
      <c r="E4051" t="s">
        <v>13157</v>
      </c>
      <c r="F4051" t="s">
        <v>13158</v>
      </c>
      <c r="G4051" s="2" t="str">
        <f>HYPERLINK("https://probpalata.gov.ru/files/ИП010400003500001.jpeg","Скачать индивидуальный QR-код магазина")</f>
        <v>Скачать индивидуальный QR-код магазина</v>
      </c>
    </row>
    <row r="4052" spans="1:7" x14ac:dyDescent="0.25">
      <c r="A4052" t="s">
        <v>13087</v>
      </c>
      <c r="B4052" t="s">
        <v>13159</v>
      </c>
      <c r="C4052" t="s">
        <v>13160</v>
      </c>
      <c r="D4052" t="s">
        <v>13161</v>
      </c>
      <c r="E4052" t="s">
        <v>13162</v>
      </c>
      <c r="F4052" t="s">
        <v>13163</v>
      </c>
      <c r="G4052" s="2" t="str">
        <f>HYPERLINK("https://probpalata.gov.ru/files/ИП780301291200001.jpeg","Скачать индивидуальный QR-код магазина")</f>
        <v>Скачать индивидуальный QR-код магазина</v>
      </c>
    </row>
    <row r="4053" spans="1:7" x14ac:dyDescent="0.25">
      <c r="A4053" t="s">
        <v>13087</v>
      </c>
      <c r="B4053" t="s">
        <v>13164</v>
      </c>
      <c r="C4053" t="s">
        <v>13165</v>
      </c>
      <c r="D4053" t="s">
        <v>13166</v>
      </c>
      <c r="E4053" t="s">
        <v>13167</v>
      </c>
      <c r="F4053" t="s">
        <v>13168</v>
      </c>
      <c r="G4053" s="2" t="str">
        <f>HYPERLINK("https://probpalata.gov.ru/files/ИП020600906600005.jpeg","Скачать индивидуальный QR-код магазина")</f>
        <v>Скачать индивидуальный QR-код магазина</v>
      </c>
    </row>
    <row r="4054" spans="1:7" x14ac:dyDescent="0.25">
      <c r="A4054" t="s">
        <v>13087</v>
      </c>
      <c r="B4054" t="s">
        <v>13169</v>
      </c>
      <c r="C4054" t="s">
        <v>13165</v>
      </c>
      <c r="D4054" t="s">
        <v>13166</v>
      </c>
      <c r="E4054" t="s">
        <v>13167</v>
      </c>
      <c r="F4054" t="s">
        <v>13170</v>
      </c>
      <c r="G4054" s="2" t="str">
        <f>HYPERLINK("https://probpalata.gov.ru/files/ИП020600906600006.jpeg","Скачать индивидуальный QR-код магазина")</f>
        <v>Скачать индивидуальный QR-код магазина</v>
      </c>
    </row>
    <row r="4055" spans="1:7" x14ac:dyDescent="0.25">
      <c r="A4055" t="s">
        <v>13087</v>
      </c>
      <c r="B4055" t="s">
        <v>13171</v>
      </c>
      <c r="C4055" t="s">
        <v>13172</v>
      </c>
      <c r="D4055" t="s">
        <v>13173</v>
      </c>
      <c r="E4055" t="s">
        <v>13174</v>
      </c>
      <c r="F4055" t="s">
        <v>13175</v>
      </c>
      <c r="G4055" s="2" t="str">
        <f>HYPERLINK("https://probpalata.gov.ru/files/ИП230403345000000.jpeg","Скачать индивидуальный QR-код магазина")</f>
        <v>Скачать индивидуальный QR-код магазина</v>
      </c>
    </row>
    <row r="4056" spans="1:7" x14ac:dyDescent="0.25">
      <c r="A4056" t="s">
        <v>13087</v>
      </c>
      <c r="B4056" t="s">
        <v>13176</v>
      </c>
      <c r="C4056" t="s">
        <v>13177</v>
      </c>
      <c r="D4056" t="s">
        <v>13178</v>
      </c>
      <c r="E4056" t="s">
        <v>13179</v>
      </c>
      <c r="F4056" t="s">
        <v>13180</v>
      </c>
      <c r="G4056" s="2" t="str">
        <f>HYPERLINK("https://probpalata.gov.ru/files/ЮЛ020600027100005.jpeg","Скачать индивидуальный QR-код магазина")</f>
        <v>Скачать индивидуальный QR-код магазина</v>
      </c>
    </row>
    <row r="4057" spans="1:7" x14ac:dyDescent="0.25">
      <c r="A4057" t="s">
        <v>13087</v>
      </c>
      <c r="B4057" t="s">
        <v>13181</v>
      </c>
      <c r="C4057" t="s">
        <v>13177</v>
      </c>
      <c r="D4057" t="s">
        <v>13178</v>
      </c>
      <c r="E4057" t="s">
        <v>13179</v>
      </c>
      <c r="F4057" t="s">
        <v>13182</v>
      </c>
      <c r="G4057" s="2" t="str">
        <f>HYPERLINK("https://probpalata.gov.ru/files/ЮЛ020600027100006.jpeg","Скачать индивидуальный QR-код магазина")</f>
        <v>Скачать индивидуальный QR-код магазина</v>
      </c>
    </row>
    <row r="4058" spans="1:7" x14ac:dyDescent="0.25">
      <c r="A4058" t="s">
        <v>13087</v>
      </c>
      <c r="B4058" t="s">
        <v>13183</v>
      </c>
      <c r="C4058" t="s">
        <v>13184</v>
      </c>
      <c r="D4058" t="s">
        <v>13185</v>
      </c>
      <c r="E4058" t="s">
        <v>13186</v>
      </c>
      <c r="F4058" t="s">
        <v>13187</v>
      </c>
      <c r="G4058" s="2" t="str">
        <f>HYPERLINK("https://probpalata.gov.ru/files/ИП230400116900000.jpeg","Скачать индивидуальный QR-код магазина")</f>
        <v>Скачать индивидуальный QR-код магазина</v>
      </c>
    </row>
    <row r="4059" spans="1:7" x14ac:dyDescent="0.25">
      <c r="A4059" t="s">
        <v>13087</v>
      </c>
      <c r="B4059" t="s">
        <v>13188</v>
      </c>
      <c r="C4059" t="s">
        <v>13189</v>
      </c>
      <c r="D4059" t="s">
        <v>13190</v>
      </c>
      <c r="E4059" t="s">
        <v>13191</v>
      </c>
      <c r="F4059" t="s">
        <v>13192</v>
      </c>
      <c r="G4059" s="2" t="str">
        <f>HYPERLINK("https://probpalata.gov.ru/files/ИП050501169200000.jpeg","Скачать индивидуальный QR-код магазина")</f>
        <v>Скачать индивидуальный QR-код магазина</v>
      </c>
    </row>
    <row r="4060" spans="1:7" x14ac:dyDescent="0.25">
      <c r="A4060" t="s">
        <v>13087</v>
      </c>
      <c r="B4060" t="s">
        <v>13193</v>
      </c>
      <c r="C4060" t="s">
        <v>13194</v>
      </c>
      <c r="D4060" t="s">
        <v>13195</v>
      </c>
      <c r="E4060" t="s">
        <v>13196</v>
      </c>
      <c r="F4060" t="s">
        <v>13197</v>
      </c>
      <c r="G4060" s="2" t="str">
        <f>HYPERLINK("https://probpalata.gov.ru/files/ИП230400984300000.jpeg","Скачать индивидуальный QR-код магазина")</f>
        <v>Скачать индивидуальный QR-код магазина</v>
      </c>
    </row>
    <row r="4061" spans="1:7" x14ac:dyDescent="0.25">
      <c r="A4061" t="s">
        <v>13087</v>
      </c>
      <c r="B4061" t="s">
        <v>13198</v>
      </c>
      <c r="C4061" t="s">
        <v>13199</v>
      </c>
      <c r="D4061" t="s">
        <v>13200</v>
      </c>
      <c r="E4061" t="s">
        <v>13201</v>
      </c>
      <c r="F4061" t="s">
        <v>13202</v>
      </c>
      <c r="G4061" s="2" t="str">
        <f>HYPERLINK("https://probpalata.gov.ru/files/ИП230403796700000.jpeg","Скачать индивидуальный QR-код магазина")</f>
        <v>Скачать индивидуальный QR-код магазина</v>
      </c>
    </row>
    <row r="4062" spans="1:7" x14ac:dyDescent="0.25">
      <c r="A4062" t="s">
        <v>13087</v>
      </c>
      <c r="B4062" t="s">
        <v>13203</v>
      </c>
      <c r="C4062" t="s">
        <v>13204</v>
      </c>
      <c r="D4062" t="s">
        <v>13205</v>
      </c>
      <c r="E4062" t="s">
        <v>13206</v>
      </c>
      <c r="F4062" t="s">
        <v>13207</v>
      </c>
      <c r="G4062" s="2" t="str">
        <f>HYPERLINK("https://probpalata.gov.ru/files/ИП150500853900000.jpeg","Скачать индивидуальный QR-код магазина")</f>
        <v>Скачать индивидуальный QR-код магазина</v>
      </c>
    </row>
    <row r="4063" spans="1:7" x14ac:dyDescent="0.25">
      <c r="A4063" t="s">
        <v>13087</v>
      </c>
      <c r="B4063" t="s">
        <v>13208</v>
      </c>
      <c r="C4063" t="s">
        <v>13204</v>
      </c>
      <c r="D4063" t="s">
        <v>13205</v>
      </c>
      <c r="E4063" t="s">
        <v>13206</v>
      </c>
      <c r="F4063" t="s">
        <v>13209</v>
      </c>
      <c r="G4063" s="2" t="str">
        <f>HYPERLINK("https://probpalata.gov.ru/files/ИП150500853900001.jpeg","Скачать индивидуальный QR-код магазина")</f>
        <v>Скачать индивидуальный QR-код магазина</v>
      </c>
    </row>
    <row r="4064" spans="1:7" x14ac:dyDescent="0.25">
      <c r="A4064" t="s">
        <v>13087</v>
      </c>
      <c r="B4064" t="s">
        <v>13210</v>
      </c>
      <c r="C4064" t="s">
        <v>13204</v>
      </c>
      <c r="D4064" t="s">
        <v>13205</v>
      </c>
      <c r="E4064" t="s">
        <v>13206</v>
      </c>
      <c r="F4064" t="s">
        <v>13211</v>
      </c>
      <c r="G4064" s="2" t="str">
        <f>HYPERLINK("https://probpalata.gov.ru/files/ИП150500853900002.jpeg","Скачать индивидуальный QR-код магазина")</f>
        <v>Скачать индивидуальный QR-код магазина</v>
      </c>
    </row>
    <row r="4065" spans="1:7" x14ac:dyDescent="0.25">
      <c r="A4065" t="s">
        <v>13087</v>
      </c>
      <c r="B4065" t="s">
        <v>13212</v>
      </c>
      <c r="C4065" t="s">
        <v>13204</v>
      </c>
      <c r="D4065" t="s">
        <v>13205</v>
      </c>
      <c r="E4065" t="s">
        <v>13206</v>
      </c>
      <c r="F4065" t="s">
        <v>13213</v>
      </c>
      <c r="G4065" s="2" t="str">
        <f>HYPERLINK("https://probpalata.gov.ru/files/ИП150500853900003.jpeg","Скачать индивидуальный QR-код магазина")</f>
        <v>Скачать индивидуальный QR-код магазина</v>
      </c>
    </row>
    <row r="4066" spans="1:7" x14ac:dyDescent="0.25">
      <c r="A4066" t="s">
        <v>13087</v>
      </c>
      <c r="B4066" t="s">
        <v>13159</v>
      </c>
      <c r="C4066" t="s">
        <v>13204</v>
      </c>
      <c r="D4066" t="s">
        <v>13205</v>
      </c>
      <c r="E4066" t="s">
        <v>13206</v>
      </c>
      <c r="F4066" t="s">
        <v>13214</v>
      </c>
      <c r="G4066" s="2" t="str">
        <f>HYPERLINK("https://probpalata.gov.ru/files/ИП150500853900004.jpeg","Скачать индивидуальный QR-код магазина")</f>
        <v>Скачать индивидуальный QR-код магазина</v>
      </c>
    </row>
    <row r="4067" spans="1:7" x14ac:dyDescent="0.25">
      <c r="A4067" t="s">
        <v>13087</v>
      </c>
      <c r="B4067" t="s">
        <v>13215</v>
      </c>
      <c r="C4067" t="s">
        <v>13204</v>
      </c>
      <c r="D4067" t="s">
        <v>13205</v>
      </c>
      <c r="E4067" t="s">
        <v>13206</v>
      </c>
      <c r="F4067" t="s">
        <v>13216</v>
      </c>
      <c r="G4067" s="2" t="str">
        <f>HYPERLINK("https://probpalata.gov.ru/files/ИП150500853900006.jpeg","Скачать индивидуальный QR-код магазина")</f>
        <v>Скачать индивидуальный QR-код магазина</v>
      </c>
    </row>
    <row r="4068" spans="1:7" x14ac:dyDescent="0.25">
      <c r="A4068" t="s">
        <v>13087</v>
      </c>
      <c r="B4068" t="s">
        <v>13217</v>
      </c>
      <c r="C4068" t="s">
        <v>13204</v>
      </c>
      <c r="D4068" t="s">
        <v>13205</v>
      </c>
      <c r="E4068" t="s">
        <v>13206</v>
      </c>
      <c r="F4068" t="s">
        <v>13218</v>
      </c>
      <c r="G4068" s="2" t="str">
        <f>HYPERLINK("https://probpalata.gov.ru/files/ИП150500853900007.jpeg","Скачать индивидуальный QR-код магазина")</f>
        <v>Скачать индивидуальный QR-код магазина</v>
      </c>
    </row>
    <row r="4069" spans="1:7" x14ac:dyDescent="0.25">
      <c r="A4069" t="s">
        <v>13087</v>
      </c>
      <c r="B4069" t="s">
        <v>13219</v>
      </c>
      <c r="C4069" t="s">
        <v>13204</v>
      </c>
      <c r="D4069" t="s">
        <v>13205</v>
      </c>
      <c r="E4069" t="s">
        <v>13206</v>
      </c>
      <c r="F4069" t="s">
        <v>13220</v>
      </c>
      <c r="G4069" s="2" t="str">
        <f>HYPERLINK("https://probpalata.gov.ru/files/ИП150500853900008.jpeg","Скачать индивидуальный QR-код магазина")</f>
        <v>Скачать индивидуальный QR-код магазина</v>
      </c>
    </row>
    <row r="4070" spans="1:7" x14ac:dyDescent="0.25">
      <c r="A4070" t="s">
        <v>13087</v>
      </c>
      <c r="B4070" t="s">
        <v>13221</v>
      </c>
      <c r="C4070" t="s">
        <v>13204</v>
      </c>
      <c r="D4070" t="s">
        <v>13205</v>
      </c>
      <c r="E4070" t="s">
        <v>13206</v>
      </c>
      <c r="F4070" t="s">
        <v>13222</v>
      </c>
      <c r="G4070" s="2" t="str">
        <f>HYPERLINK("https://probpalata.gov.ru/files/ИП150500853900010.jpeg","Скачать индивидуальный QR-код магазина")</f>
        <v>Скачать индивидуальный QR-код магазина</v>
      </c>
    </row>
    <row r="4071" spans="1:7" x14ac:dyDescent="0.25">
      <c r="A4071" t="s">
        <v>13087</v>
      </c>
      <c r="B4071" t="s">
        <v>13223</v>
      </c>
      <c r="C4071" t="s">
        <v>13224</v>
      </c>
      <c r="D4071" t="s">
        <v>13225</v>
      </c>
      <c r="E4071" t="s">
        <v>13226</v>
      </c>
      <c r="F4071" t="s">
        <v>13227</v>
      </c>
      <c r="G4071" s="2" t="str">
        <f>HYPERLINK("https://probpalata.gov.ru/files/ИП160603156900012.jpeg","Скачать индивидуальный QR-код магазина")</f>
        <v>Скачать индивидуальный QR-код магазина</v>
      </c>
    </row>
    <row r="4072" spans="1:7" x14ac:dyDescent="0.25">
      <c r="A4072" t="s">
        <v>13087</v>
      </c>
      <c r="B4072" t="s">
        <v>13228</v>
      </c>
      <c r="C4072" t="s">
        <v>13229</v>
      </c>
      <c r="D4072" t="s">
        <v>13230</v>
      </c>
      <c r="E4072" t="s">
        <v>13231</v>
      </c>
      <c r="F4072" t="s">
        <v>13232</v>
      </c>
      <c r="G4072" s="2" t="str">
        <f>HYPERLINK("https://probpalata.gov.ru/files/ИП540803278300000.jpeg","Скачать индивидуальный QR-код магазина")</f>
        <v>Скачать индивидуальный QR-код магазина</v>
      </c>
    </row>
    <row r="4073" spans="1:7" x14ac:dyDescent="0.25">
      <c r="A4073" t="s">
        <v>13087</v>
      </c>
      <c r="B4073" t="s">
        <v>13233</v>
      </c>
      <c r="C4073" t="s">
        <v>13234</v>
      </c>
      <c r="D4073" t="s">
        <v>13235</v>
      </c>
      <c r="E4073" t="s">
        <v>13236</v>
      </c>
      <c r="F4073" t="s">
        <v>13237</v>
      </c>
      <c r="G4073" s="2" t="str">
        <f>HYPERLINK("https://probpalata.gov.ru/files/ИП230400904500000.jpeg","Скачать индивидуальный QR-код магазина")</f>
        <v>Скачать индивидуальный QR-код магазина</v>
      </c>
    </row>
    <row r="4074" spans="1:7" x14ac:dyDescent="0.25">
      <c r="A4074" t="s">
        <v>13087</v>
      </c>
      <c r="B4074" t="s">
        <v>13238</v>
      </c>
      <c r="C4074" t="s">
        <v>13234</v>
      </c>
      <c r="D4074" t="s">
        <v>13235</v>
      </c>
      <c r="E4074" t="s">
        <v>13236</v>
      </c>
      <c r="F4074" t="s">
        <v>13239</v>
      </c>
      <c r="G4074" s="2" t="str">
        <f>HYPERLINK("https://probpalata.gov.ru/files/ИП230400904500002.jpeg","Скачать индивидуальный QR-код магазина")</f>
        <v>Скачать индивидуальный QR-код магазина</v>
      </c>
    </row>
    <row r="4075" spans="1:7" x14ac:dyDescent="0.25">
      <c r="A4075" t="s">
        <v>13087</v>
      </c>
      <c r="B4075" t="s">
        <v>13240</v>
      </c>
      <c r="C4075" t="s">
        <v>13241</v>
      </c>
      <c r="D4075" t="s">
        <v>13242</v>
      </c>
      <c r="E4075" t="s">
        <v>13243</v>
      </c>
      <c r="F4075" t="s">
        <v>13244</v>
      </c>
      <c r="G4075" s="2" t="str">
        <f>HYPERLINK("https://probpalata.gov.ru/files/ИП230401805100000.jpeg","Скачать индивидуальный QR-код магазина")</f>
        <v>Скачать индивидуальный QR-код магазина</v>
      </c>
    </row>
    <row r="4076" spans="1:7" x14ac:dyDescent="0.25">
      <c r="A4076" t="s">
        <v>13087</v>
      </c>
      <c r="B4076" t="s">
        <v>13245</v>
      </c>
      <c r="C4076" t="s">
        <v>13246</v>
      </c>
      <c r="D4076" t="s">
        <v>13247</v>
      </c>
      <c r="E4076" t="s">
        <v>13248</v>
      </c>
      <c r="F4076" t="s">
        <v>13249</v>
      </c>
      <c r="G4076" s="2" t="str">
        <f>HYPERLINK("https://probpalata.gov.ru/files/ИП230400319500000.jpeg","Скачать индивидуальный QR-код магазина")</f>
        <v>Скачать индивидуальный QR-код магазина</v>
      </c>
    </row>
    <row r="4077" spans="1:7" x14ac:dyDescent="0.25">
      <c r="A4077" t="s">
        <v>13087</v>
      </c>
      <c r="B4077" t="s">
        <v>13250</v>
      </c>
      <c r="C4077" t="s">
        <v>13251</v>
      </c>
      <c r="D4077" t="s">
        <v>13252</v>
      </c>
      <c r="E4077" t="s">
        <v>13253</v>
      </c>
      <c r="F4077" t="s">
        <v>13254</v>
      </c>
      <c r="G4077" s="2" t="str">
        <f>HYPERLINK("https://probpalata.gov.ru/files/ИП230403865000000.jpeg","Скачать индивидуальный QR-код магазина")</f>
        <v>Скачать индивидуальный QR-код магазина</v>
      </c>
    </row>
    <row r="4078" spans="1:7" x14ac:dyDescent="0.25">
      <c r="A4078" t="s">
        <v>13087</v>
      </c>
      <c r="B4078" t="s">
        <v>13255</v>
      </c>
      <c r="C4078" t="s">
        <v>13256</v>
      </c>
      <c r="D4078" t="s">
        <v>13257</v>
      </c>
      <c r="E4078" t="s">
        <v>13258</v>
      </c>
      <c r="F4078" t="s">
        <v>13259</v>
      </c>
      <c r="G4078" s="2" t="str">
        <f>HYPERLINK("https://probpalata.gov.ru/files/ИП230400969500000.jpeg","Скачать индивидуальный QR-код магазина")</f>
        <v>Скачать индивидуальный QR-код магазина</v>
      </c>
    </row>
    <row r="4079" spans="1:7" x14ac:dyDescent="0.25">
      <c r="A4079" t="s">
        <v>13087</v>
      </c>
      <c r="B4079" t="s">
        <v>13260</v>
      </c>
      <c r="C4079" t="s">
        <v>13261</v>
      </c>
      <c r="D4079" t="s">
        <v>13262</v>
      </c>
      <c r="E4079" t="s">
        <v>13263</v>
      </c>
      <c r="F4079" t="s">
        <v>13264</v>
      </c>
      <c r="G4079" s="2" t="str">
        <f>HYPERLINK("https://probpalata.gov.ru/files/ЮЛ230400667500000.jpeg","Скачать индивидуальный QR-код магазина")</f>
        <v>Скачать индивидуальный QR-код магазина</v>
      </c>
    </row>
    <row r="4080" spans="1:7" x14ac:dyDescent="0.25">
      <c r="A4080" t="s">
        <v>13087</v>
      </c>
      <c r="B4080" t="s">
        <v>13265</v>
      </c>
      <c r="C4080" t="s">
        <v>13261</v>
      </c>
      <c r="D4080" t="s">
        <v>13262</v>
      </c>
      <c r="E4080" t="s">
        <v>13263</v>
      </c>
      <c r="F4080" t="s">
        <v>13266</v>
      </c>
      <c r="G4080" s="2" t="str">
        <f>HYPERLINK("https://probpalata.gov.ru/files/ЮЛ230400667500002.jpeg","Скачать индивидуальный QR-код магазина")</f>
        <v>Скачать индивидуальный QR-код магазина</v>
      </c>
    </row>
    <row r="4081" spans="1:7" x14ac:dyDescent="0.25">
      <c r="A4081" t="s">
        <v>13087</v>
      </c>
      <c r="B4081" t="s">
        <v>13267</v>
      </c>
      <c r="C4081" t="s">
        <v>13261</v>
      </c>
      <c r="D4081" t="s">
        <v>13262</v>
      </c>
      <c r="E4081" t="s">
        <v>13263</v>
      </c>
      <c r="F4081" t="s">
        <v>13268</v>
      </c>
      <c r="G4081" s="2" t="str">
        <f>HYPERLINK("https://probpalata.gov.ru/files/ЮЛ230400667500003.jpeg","Скачать индивидуальный QR-код магазина")</f>
        <v>Скачать индивидуальный QR-код магазина</v>
      </c>
    </row>
    <row r="4082" spans="1:7" x14ac:dyDescent="0.25">
      <c r="A4082" t="s">
        <v>13087</v>
      </c>
      <c r="B4082" t="s">
        <v>13269</v>
      </c>
      <c r="C4082" t="s">
        <v>13261</v>
      </c>
      <c r="D4082" t="s">
        <v>13262</v>
      </c>
      <c r="E4082" t="s">
        <v>13263</v>
      </c>
      <c r="F4082" t="s">
        <v>13270</v>
      </c>
      <c r="G4082" s="2" t="str">
        <f>HYPERLINK("https://probpalata.gov.ru/files/ЮЛ230400667500005.jpeg","Скачать индивидуальный QR-код магазина")</f>
        <v>Скачать индивидуальный QR-код магазина</v>
      </c>
    </row>
    <row r="4083" spans="1:7" x14ac:dyDescent="0.25">
      <c r="A4083" t="s">
        <v>13087</v>
      </c>
      <c r="B4083" t="s">
        <v>13271</v>
      </c>
      <c r="C4083" t="s">
        <v>13261</v>
      </c>
      <c r="D4083" t="s">
        <v>13262</v>
      </c>
      <c r="E4083" t="s">
        <v>13263</v>
      </c>
      <c r="F4083" t="s">
        <v>13272</v>
      </c>
      <c r="G4083" s="2" t="str">
        <f>HYPERLINK("https://probpalata.gov.ru/files/ЮЛ230400667500006.jpeg","Скачать индивидуальный QR-код магазина")</f>
        <v>Скачать индивидуальный QR-код магазина</v>
      </c>
    </row>
    <row r="4084" spans="1:7" x14ac:dyDescent="0.25">
      <c r="A4084" t="s">
        <v>13087</v>
      </c>
      <c r="B4084" t="s">
        <v>13273</v>
      </c>
      <c r="C4084" t="s">
        <v>13274</v>
      </c>
      <c r="D4084" t="s">
        <v>13275</v>
      </c>
      <c r="E4084" t="s">
        <v>13276</v>
      </c>
      <c r="F4084" t="s">
        <v>13277</v>
      </c>
      <c r="G4084" s="2" t="str">
        <f>HYPERLINK("https://probpalata.gov.ru/files/ИП230400276700000.jpeg","Скачать индивидуальный QR-код магазина")</f>
        <v>Скачать индивидуальный QR-код магазина</v>
      </c>
    </row>
    <row r="4085" spans="1:7" x14ac:dyDescent="0.25">
      <c r="A4085" t="s">
        <v>13087</v>
      </c>
      <c r="B4085" t="s">
        <v>13278</v>
      </c>
      <c r="C4085" t="s">
        <v>13279</v>
      </c>
      <c r="D4085" t="s">
        <v>13280</v>
      </c>
      <c r="E4085" t="s">
        <v>13281</v>
      </c>
      <c r="F4085" t="s">
        <v>13282</v>
      </c>
      <c r="G4085" s="2" t="str">
        <f>HYPERLINK("https://probpalata.gov.ru/files/ЮЛ230401261300000.jpeg","Скачать индивидуальный QR-код магазина")</f>
        <v>Скачать индивидуальный QR-код магазина</v>
      </c>
    </row>
    <row r="4086" spans="1:7" x14ac:dyDescent="0.25">
      <c r="A4086" t="s">
        <v>13087</v>
      </c>
      <c r="B4086" t="s">
        <v>13283</v>
      </c>
      <c r="C4086" t="s">
        <v>13284</v>
      </c>
      <c r="D4086" t="s">
        <v>13285</v>
      </c>
      <c r="E4086" t="s">
        <v>13286</v>
      </c>
      <c r="F4086" t="s">
        <v>13287</v>
      </c>
      <c r="G4086" s="2" t="str">
        <f>HYPERLINK("https://probpalata.gov.ru/files/ИП230403159100000.jpeg","Скачать индивидуальный QR-код магазина")</f>
        <v>Скачать индивидуальный QR-код магазина</v>
      </c>
    </row>
    <row r="4087" spans="1:7" x14ac:dyDescent="0.25">
      <c r="A4087" t="s">
        <v>13087</v>
      </c>
      <c r="B4087" t="s">
        <v>13288</v>
      </c>
      <c r="C4087" t="s">
        <v>13289</v>
      </c>
      <c r="D4087" t="s">
        <v>13290</v>
      </c>
      <c r="E4087" t="s">
        <v>13291</v>
      </c>
      <c r="F4087" t="s">
        <v>13292</v>
      </c>
      <c r="G4087" s="2" t="str">
        <f>HYPERLINK("https://probpalata.gov.ru/files/ИП230400177600000.jpeg","Скачать индивидуальный QR-код магазина")</f>
        <v>Скачать индивидуальный QR-код магазина</v>
      </c>
    </row>
    <row r="4088" spans="1:7" x14ac:dyDescent="0.25">
      <c r="A4088" t="s">
        <v>13087</v>
      </c>
      <c r="B4088" t="s">
        <v>13293</v>
      </c>
      <c r="C4088" t="s">
        <v>13294</v>
      </c>
      <c r="D4088" t="s">
        <v>13295</v>
      </c>
      <c r="E4088" t="s">
        <v>13296</v>
      </c>
      <c r="F4088" t="s">
        <v>13297</v>
      </c>
      <c r="G4088" s="2" t="str">
        <f>HYPERLINK("https://probpalata.gov.ru/files/ЮЛ230401400500000.jpeg","Скачать индивидуальный QR-код магазина")</f>
        <v>Скачать индивидуальный QR-код магазина</v>
      </c>
    </row>
    <row r="4089" spans="1:7" x14ac:dyDescent="0.25">
      <c r="A4089" t="s">
        <v>13087</v>
      </c>
      <c r="B4089" t="s">
        <v>13298</v>
      </c>
      <c r="C4089" t="s">
        <v>13299</v>
      </c>
      <c r="D4089" t="s">
        <v>13300</v>
      </c>
      <c r="E4089" t="s">
        <v>13301</v>
      </c>
      <c r="F4089" t="s">
        <v>13302</v>
      </c>
      <c r="G4089" s="2" t="str">
        <f>HYPERLINK("https://probpalata.gov.ru/files/ИП230401609500000.jpeg","Скачать индивидуальный QR-код магазина")</f>
        <v>Скачать индивидуальный QR-код магазина</v>
      </c>
    </row>
    <row r="4090" spans="1:7" x14ac:dyDescent="0.25">
      <c r="A4090" t="s">
        <v>13087</v>
      </c>
      <c r="B4090" t="s">
        <v>13303</v>
      </c>
      <c r="C4090" t="s">
        <v>13299</v>
      </c>
      <c r="D4090" t="s">
        <v>13300</v>
      </c>
      <c r="E4090" t="s">
        <v>13301</v>
      </c>
      <c r="F4090" t="s">
        <v>13304</v>
      </c>
      <c r="G4090" s="2" t="str">
        <f>HYPERLINK("https://probpalata.gov.ru/files/ИП230401609500002.jpeg","Скачать индивидуальный QR-код магазина")</f>
        <v>Скачать индивидуальный QR-код магазина</v>
      </c>
    </row>
    <row r="4091" spans="1:7" x14ac:dyDescent="0.25">
      <c r="A4091" t="s">
        <v>13087</v>
      </c>
      <c r="B4091" t="s">
        <v>13305</v>
      </c>
      <c r="C4091" t="s">
        <v>13306</v>
      </c>
      <c r="D4091" t="s">
        <v>13307</v>
      </c>
      <c r="E4091" t="s">
        <v>13308</v>
      </c>
      <c r="F4091" t="s">
        <v>13309</v>
      </c>
      <c r="G4091" s="2" t="str">
        <f>HYPERLINK("https://probpalata.gov.ru/files/ИП230400897200000.jpeg","Скачать индивидуальный QR-код магазина")</f>
        <v>Скачать индивидуальный QR-код магазина</v>
      </c>
    </row>
    <row r="4092" spans="1:7" x14ac:dyDescent="0.25">
      <c r="A4092" t="s">
        <v>13087</v>
      </c>
      <c r="B4092" t="s">
        <v>13310</v>
      </c>
      <c r="C4092" t="s">
        <v>5278</v>
      </c>
      <c r="D4092" t="s">
        <v>5279</v>
      </c>
      <c r="E4092" t="s">
        <v>5280</v>
      </c>
      <c r="F4092" t="s">
        <v>13311</v>
      </c>
      <c r="G4092" s="2" t="str">
        <f>HYPERLINK("https://probpalata.gov.ru/files/ИП230403317100001.jpeg","Скачать индивидуальный QR-код магазина")</f>
        <v>Скачать индивидуальный QR-код магазина</v>
      </c>
    </row>
    <row r="4093" spans="1:7" x14ac:dyDescent="0.25">
      <c r="A4093" t="s">
        <v>13087</v>
      </c>
      <c r="B4093" t="s">
        <v>13312</v>
      </c>
      <c r="C4093" t="s">
        <v>13313</v>
      </c>
      <c r="D4093" t="s">
        <v>13314</v>
      </c>
      <c r="E4093" t="s">
        <v>13315</v>
      </c>
      <c r="F4093" t="s">
        <v>13316</v>
      </c>
      <c r="G4093" s="2" t="str">
        <f>HYPERLINK("https://probpalata.gov.ru/files/ИП230401831300000.jpeg","Скачать индивидуальный QR-код магазина")</f>
        <v>Скачать индивидуальный QR-код магазина</v>
      </c>
    </row>
    <row r="4094" spans="1:7" x14ac:dyDescent="0.25">
      <c r="A4094" t="s">
        <v>13087</v>
      </c>
      <c r="B4094" t="s">
        <v>13317</v>
      </c>
      <c r="C4094" t="s">
        <v>13318</v>
      </c>
      <c r="D4094" t="s">
        <v>13319</v>
      </c>
      <c r="E4094" t="s">
        <v>13320</v>
      </c>
      <c r="F4094" t="s">
        <v>13321</v>
      </c>
      <c r="G4094" s="2" t="str">
        <f>HYPERLINK("https://probpalata.gov.ru/files/ИП230400281100000.jpeg","Скачать индивидуальный QR-код магазина")</f>
        <v>Скачать индивидуальный QR-код магазина</v>
      </c>
    </row>
    <row r="4095" spans="1:7" x14ac:dyDescent="0.25">
      <c r="A4095" t="s">
        <v>13087</v>
      </c>
      <c r="B4095" t="s">
        <v>13322</v>
      </c>
      <c r="C4095" t="s">
        <v>13318</v>
      </c>
      <c r="D4095" t="s">
        <v>13319</v>
      </c>
      <c r="E4095" t="s">
        <v>13320</v>
      </c>
      <c r="F4095" t="s">
        <v>13323</v>
      </c>
      <c r="G4095" s="2" t="str">
        <f>HYPERLINK("https://probpalata.gov.ru/files/ИП230400281100001.jpeg","Скачать индивидуальный QR-код магазина")</f>
        <v>Скачать индивидуальный QR-код магазина</v>
      </c>
    </row>
    <row r="4096" spans="1:7" x14ac:dyDescent="0.25">
      <c r="A4096" t="s">
        <v>13087</v>
      </c>
      <c r="B4096" t="s">
        <v>13324</v>
      </c>
      <c r="C4096" t="s">
        <v>13325</v>
      </c>
      <c r="D4096" t="s">
        <v>13326</v>
      </c>
      <c r="E4096" t="s">
        <v>13327</v>
      </c>
      <c r="F4096" t="s">
        <v>13328</v>
      </c>
      <c r="G4096" s="2" t="str">
        <f>HYPERLINK("https://probpalata.gov.ru/files/ИП230400772300000.jpeg","Скачать индивидуальный QR-код магазина")</f>
        <v>Скачать индивидуальный QR-код магазина</v>
      </c>
    </row>
    <row r="4097" spans="1:7" x14ac:dyDescent="0.25">
      <c r="A4097" t="s">
        <v>13087</v>
      </c>
      <c r="B4097" t="s">
        <v>13329</v>
      </c>
      <c r="C4097" t="s">
        <v>13330</v>
      </c>
      <c r="D4097" t="s">
        <v>13331</v>
      </c>
      <c r="E4097" t="s">
        <v>13332</v>
      </c>
      <c r="F4097" t="s">
        <v>13333</v>
      </c>
      <c r="G4097" s="2" t="str">
        <f>HYPERLINK("https://probpalata.gov.ru/files/ИП230401228600000.jpeg","Скачать индивидуальный QR-код магазина")</f>
        <v>Скачать индивидуальный QR-код магазина</v>
      </c>
    </row>
    <row r="4098" spans="1:7" x14ac:dyDescent="0.25">
      <c r="A4098" t="s">
        <v>13087</v>
      </c>
      <c r="B4098" t="s">
        <v>13334</v>
      </c>
      <c r="C4098" t="s">
        <v>2647</v>
      </c>
      <c r="D4098" t="s">
        <v>2648</v>
      </c>
      <c r="E4098" t="s">
        <v>2649</v>
      </c>
      <c r="F4098" t="s">
        <v>13335</v>
      </c>
      <c r="G4098" s="2" t="str">
        <f>HYPERLINK("https://probpalata.gov.ru/files/ИП610400007100000.jpeg","Скачать индивидуальный QR-код магазина")</f>
        <v>Скачать индивидуальный QR-код магазина</v>
      </c>
    </row>
    <row r="4099" spans="1:7" x14ac:dyDescent="0.25">
      <c r="A4099" t="s">
        <v>13087</v>
      </c>
      <c r="B4099" t="s">
        <v>13336</v>
      </c>
      <c r="C4099" t="s">
        <v>2647</v>
      </c>
      <c r="D4099" t="s">
        <v>2648</v>
      </c>
      <c r="E4099" t="s">
        <v>2649</v>
      </c>
      <c r="F4099" t="s">
        <v>13337</v>
      </c>
      <c r="G4099" s="2" t="str">
        <f>HYPERLINK("https://probpalata.gov.ru/files/ИП610400007100008.jpeg","Скачать индивидуальный QR-код магазина")</f>
        <v>Скачать индивидуальный QR-код магазина</v>
      </c>
    </row>
    <row r="4100" spans="1:7" x14ac:dyDescent="0.25">
      <c r="A4100" t="s">
        <v>13087</v>
      </c>
      <c r="B4100" t="s">
        <v>13338</v>
      </c>
      <c r="C4100" t="s">
        <v>2647</v>
      </c>
      <c r="D4100" t="s">
        <v>2648</v>
      </c>
      <c r="E4100" t="s">
        <v>2649</v>
      </c>
      <c r="F4100" t="s">
        <v>13339</v>
      </c>
      <c r="G4100" s="2" t="str">
        <f>HYPERLINK("https://probpalata.gov.ru/files/ИП610400007100010.jpeg","Скачать индивидуальный QR-код магазина")</f>
        <v>Скачать индивидуальный QR-код магазина</v>
      </c>
    </row>
    <row r="4101" spans="1:7" x14ac:dyDescent="0.25">
      <c r="A4101" t="s">
        <v>13087</v>
      </c>
      <c r="B4101" t="s">
        <v>13340</v>
      </c>
      <c r="C4101" t="s">
        <v>2647</v>
      </c>
      <c r="D4101" t="s">
        <v>2648</v>
      </c>
      <c r="E4101" t="s">
        <v>2649</v>
      </c>
      <c r="F4101" t="s">
        <v>13341</v>
      </c>
      <c r="G4101" s="2" t="str">
        <f>HYPERLINK("https://probpalata.gov.ru/files/ИП610400007100012.jpeg","Скачать индивидуальный QR-код магазина")</f>
        <v>Скачать индивидуальный QR-код магазина</v>
      </c>
    </row>
    <row r="4102" spans="1:7" x14ac:dyDescent="0.25">
      <c r="A4102" t="s">
        <v>13087</v>
      </c>
      <c r="B4102" t="s">
        <v>13342</v>
      </c>
      <c r="C4102" t="s">
        <v>2647</v>
      </c>
      <c r="D4102" t="s">
        <v>2648</v>
      </c>
      <c r="E4102" t="s">
        <v>2649</v>
      </c>
      <c r="F4102" t="s">
        <v>13343</v>
      </c>
      <c r="G4102" s="2" t="str">
        <f>HYPERLINK("https://probpalata.gov.ru/files/ИП610400007100013.jpeg","Скачать индивидуальный QR-код магазина")</f>
        <v>Скачать индивидуальный QR-код магазина</v>
      </c>
    </row>
    <row r="4103" spans="1:7" x14ac:dyDescent="0.25">
      <c r="A4103" t="s">
        <v>13087</v>
      </c>
      <c r="B4103" t="s">
        <v>13344</v>
      </c>
      <c r="C4103" t="s">
        <v>2647</v>
      </c>
      <c r="D4103" t="s">
        <v>2648</v>
      </c>
      <c r="E4103" t="s">
        <v>2649</v>
      </c>
      <c r="F4103" t="s">
        <v>13345</v>
      </c>
      <c r="G4103" s="2" t="str">
        <f>HYPERLINK("https://probpalata.gov.ru/files/ИП610400007100027.jpeg","Скачать индивидуальный QR-код магазина")</f>
        <v>Скачать индивидуальный QR-код магазина</v>
      </c>
    </row>
    <row r="4104" spans="1:7" x14ac:dyDescent="0.25">
      <c r="A4104" t="s">
        <v>13087</v>
      </c>
      <c r="B4104" t="s">
        <v>13346</v>
      </c>
      <c r="C4104" t="s">
        <v>2647</v>
      </c>
      <c r="D4104" t="s">
        <v>2648</v>
      </c>
      <c r="E4104" t="s">
        <v>2649</v>
      </c>
      <c r="F4104" t="s">
        <v>13347</v>
      </c>
      <c r="G4104" s="2" t="str">
        <f>HYPERLINK("https://probpalata.gov.ru/files/ИП610400007100028.jpeg","Скачать индивидуальный QR-код магазина")</f>
        <v>Скачать индивидуальный QR-код магазина</v>
      </c>
    </row>
    <row r="4105" spans="1:7" x14ac:dyDescent="0.25">
      <c r="A4105" t="s">
        <v>13087</v>
      </c>
      <c r="B4105" t="s">
        <v>13348</v>
      </c>
      <c r="C4105" t="s">
        <v>2647</v>
      </c>
      <c r="D4105" t="s">
        <v>2648</v>
      </c>
      <c r="E4105" t="s">
        <v>2649</v>
      </c>
      <c r="F4105" t="s">
        <v>13349</v>
      </c>
      <c r="G4105" s="2" t="str">
        <f>HYPERLINK("https://probpalata.gov.ru/files/ИП610400007100035.jpeg","Скачать индивидуальный QR-код магазина")</f>
        <v>Скачать индивидуальный QR-код магазина</v>
      </c>
    </row>
    <row r="4106" spans="1:7" x14ac:dyDescent="0.25">
      <c r="A4106" t="s">
        <v>13087</v>
      </c>
      <c r="B4106" t="s">
        <v>13350</v>
      </c>
      <c r="C4106" t="s">
        <v>2647</v>
      </c>
      <c r="D4106" t="s">
        <v>2648</v>
      </c>
      <c r="E4106" t="s">
        <v>2649</v>
      </c>
      <c r="F4106" t="s">
        <v>13351</v>
      </c>
      <c r="G4106" s="2" t="str">
        <f>HYPERLINK("https://probpalata.gov.ru/files/ИП610400007100042.jpeg","Скачать индивидуальный QR-код магазина")</f>
        <v>Скачать индивидуальный QR-код магазина</v>
      </c>
    </row>
    <row r="4107" spans="1:7" x14ac:dyDescent="0.25">
      <c r="A4107" t="s">
        <v>13087</v>
      </c>
      <c r="B4107" t="s">
        <v>13352</v>
      </c>
      <c r="C4107" t="s">
        <v>2647</v>
      </c>
      <c r="D4107" t="s">
        <v>2648</v>
      </c>
      <c r="E4107" t="s">
        <v>2649</v>
      </c>
      <c r="F4107" t="s">
        <v>13353</v>
      </c>
      <c r="G4107" s="2" t="str">
        <f>HYPERLINK("https://probpalata.gov.ru/files/ИП610400007100045.jpeg","Скачать индивидуальный QR-код магазина")</f>
        <v>Скачать индивидуальный QR-код магазина</v>
      </c>
    </row>
    <row r="4108" spans="1:7" x14ac:dyDescent="0.25">
      <c r="A4108" t="s">
        <v>13087</v>
      </c>
      <c r="B4108" t="s">
        <v>13354</v>
      </c>
      <c r="C4108" t="s">
        <v>2647</v>
      </c>
      <c r="D4108" t="s">
        <v>2648</v>
      </c>
      <c r="E4108" t="s">
        <v>2649</v>
      </c>
      <c r="F4108" t="s">
        <v>13355</v>
      </c>
      <c r="G4108" s="2" t="str">
        <f>HYPERLINK("https://probpalata.gov.ru/files/ИП610400007100046.jpeg","Скачать индивидуальный QR-код магазина")</f>
        <v>Скачать индивидуальный QR-код магазина</v>
      </c>
    </row>
    <row r="4109" spans="1:7" x14ac:dyDescent="0.25">
      <c r="A4109" t="s">
        <v>13087</v>
      </c>
      <c r="B4109" t="s">
        <v>13356</v>
      </c>
      <c r="C4109" t="s">
        <v>2647</v>
      </c>
      <c r="D4109" t="s">
        <v>2648</v>
      </c>
      <c r="E4109" t="s">
        <v>2649</v>
      </c>
      <c r="F4109" t="s">
        <v>13357</v>
      </c>
      <c r="G4109" s="2" t="str">
        <f>HYPERLINK("https://probpalata.gov.ru/files/ИП610400007100049.jpeg","Скачать индивидуальный QR-код магазина")</f>
        <v>Скачать индивидуальный QR-код магазина</v>
      </c>
    </row>
    <row r="4110" spans="1:7" x14ac:dyDescent="0.25">
      <c r="A4110" t="s">
        <v>13087</v>
      </c>
      <c r="B4110" t="s">
        <v>13358</v>
      </c>
      <c r="C4110" t="s">
        <v>13359</v>
      </c>
      <c r="D4110" t="s">
        <v>13360</v>
      </c>
      <c r="E4110" t="s">
        <v>13361</v>
      </c>
      <c r="F4110" t="s">
        <v>13362</v>
      </c>
      <c r="G4110" s="2" t="str">
        <f>HYPERLINK("https://probpalata.gov.ru/files/ИП230400705800000.jpeg","Скачать индивидуальный QR-код магазина")</f>
        <v>Скачать индивидуальный QR-код магазина</v>
      </c>
    </row>
    <row r="4111" spans="1:7" x14ac:dyDescent="0.25">
      <c r="A4111" t="s">
        <v>13087</v>
      </c>
      <c r="B4111" t="s">
        <v>13363</v>
      </c>
      <c r="C4111" t="s">
        <v>13364</v>
      </c>
      <c r="D4111" t="s">
        <v>13365</v>
      </c>
      <c r="E4111" t="s">
        <v>13366</v>
      </c>
      <c r="F4111" t="s">
        <v>13367</v>
      </c>
      <c r="G4111" s="2" t="str">
        <f>HYPERLINK("https://probpalata.gov.ru/files/ИП230400309100000.jpeg","Скачать индивидуальный QR-код магазина")</f>
        <v>Скачать индивидуальный QR-код магазина</v>
      </c>
    </row>
    <row r="4112" spans="1:7" x14ac:dyDescent="0.25">
      <c r="A4112" t="s">
        <v>13087</v>
      </c>
      <c r="B4112" t="s">
        <v>13368</v>
      </c>
      <c r="C4112" t="s">
        <v>13364</v>
      </c>
      <c r="D4112" t="s">
        <v>13365</v>
      </c>
      <c r="E4112" t="s">
        <v>13366</v>
      </c>
      <c r="F4112" t="s">
        <v>13369</v>
      </c>
      <c r="G4112" s="2" t="str">
        <f>HYPERLINK("https://probpalata.gov.ru/files/ИП230400309100001.jpeg","Скачать индивидуальный QR-код магазина")</f>
        <v>Скачать индивидуальный QR-код магазина</v>
      </c>
    </row>
    <row r="4113" spans="1:7" x14ac:dyDescent="0.25">
      <c r="A4113" t="s">
        <v>13087</v>
      </c>
      <c r="B4113" t="s">
        <v>13370</v>
      </c>
      <c r="C4113" t="s">
        <v>13371</v>
      </c>
      <c r="D4113" t="s">
        <v>13372</v>
      </c>
      <c r="E4113" t="s">
        <v>13373</v>
      </c>
      <c r="F4113" t="s">
        <v>13374</v>
      </c>
      <c r="G4113" s="2" t="str">
        <f>HYPERLINK("https://probpalata.gov.ru/files/ИП230400540700000.jpeg","Скачать индивидуальный QR-код магазина")</f>
        <v>Скачать индивидуальный QR-код магазина</v>
      </c>
    </row>
    <row r="4114" spans="1:7" x14ac:dyDescent="0.25">
      <c r="A4114" t="s">
        <v>13087</v>
      </c>
      <c r="B4114" t="s">
        <v>13375</v>
      </c>
      <c r="C4114" t="s">
        <v>13376</v>
      </c>
      <c r="D4114" t="s">
        <v>13377</v>
      </c>
      <c r="E4114" t="s">
        <v>13378</v>
      </c>
      <c r="F4114" t="s">
        <v>13379</v>
      </c>
      <c r="G4114" s="2" t="str">
        <f>HYPERLINK("https://probpalata.gov.ru/files/ИП230400426100000.jpeg","Скачать индивидуальный QR-код магазина")</f>
        <v>Скачать индивидуальный QR-код магазина</v>
      </c>
    </row>
    <row r="4115" spans="1:7" x14ac:dyDescent="0.25">
      <c r="A4115" t="s">
        <v>13087</v>
      </c>
      <c r="B4115" t="s">
        <v>13380</v>
      </c>
      <c r="C4115" t="s">
        <v>13376</v>
      </c>
      <c r="D4115" t="s">
        <v>13377</v>
      </c>
      <c r="E4115" t="s">
        <v>13378</v>
      </c>
      <c r="F4115" t="s">
        <v>13381</v>
      </c>
      <c r="G4115" s="2" t="str">
        <f>HYPERLINK("https://probpalata.gov.ru/files/ИП230400426100001.jpeg","Скачать индивидуальный QR-код магазина")</f>
        <v>Скачать индивидуальный QR-код магазина</v>
      </c>
    </row>
    <row r="4116" spans="1:7" x14ac:dyDescent="0.25">
      <c r="A4116" t="s">
        <v>13087</v>
      </c>
      <c r="B4116" t="s">
        <v>13382</v>
      </c>
      <c r="C4116" t="s">
        <v>13383</v>
      </c>
      <c r="D4116" t="s">
        <v>13384</v>
      </c>
      <c r="E4116" t="s">
        <v>13385</v>
      </c>
      <c r="F4116" t="s">
        <v>13386</v>
      </c>
      <c r="G4116" s="2" t="str">
        <f>HYPERLINK("https://probpalata.gov.ru/files/ИП230400962900000.jpeg","Скачать индивидуальный QR-код магазина")</f>
        <v>Скачать индивидуальный QR-код магазина</v>
      </c>
    </row>
    <row r="4117" spans="1:7" x14ac:dyDescent="0.25">
      <c r="A4117" t="s">
        <v>13087</v>
      </c>
      <c r="B4117" t="s">
        <v>13387</v>
      </c>
      <c r="C4117" t="s">
        <v>13388</v>
      </c>
      <c r="D4117" t="s">
        <v>13389</v>
      </c>
      <c r="E4117" t="s">
        <v>13390</v>
      </c>
      <c r="F4117" t="s">
        <v>13391</v>
      </c>
      <c r="G4117" s="2" t="str">
        <f>HYPERLINK("https://probpalata.gov.ru/files/ИП230400147300000.jpeg","Скачать индивидуальный QR-код магазина")</f>
        <v>Скачать индивидуальный QR-код магазина</v>
      </c>
    </row>
    <row r="4118" spans="1:7" x14ac:dyDescent="0.25">
      <c r="A4118" t="s">
        <v>13087</v>
      </c>
      <c r="B4118" t="s">
        <v>13392</v>
      </c>
      <c r="C4118" t="s">
        <v>13388</v>
      </c>
      <c r="D4118" t="s">
        <v>13389</v>
      </c>
      <c r="E4118" t="s">
        <v>13390</v>
      </c>
      <c r="F4118" t="s">
        <v>13393</v>
      </c>
      <c r="G4118" s="2" t="str">
        <f>HYPERLINK("https://probpalata.gov.ru/files/ИП230400147300002.jpeg","Скачать индивидуальный QR-код магазина")</f>
        <v>Скачать индивидуальный QR-код магазина</v>
      </c>
    </row>
    <row r="4119" spans="1:7" x14ac:dyDescent="0.25">
      <c r="A4119" t="s">
        <v>13087</v>
      </c>
      <c r="B4119" t="s">
        <v>13394</v>
      </c>
      <c r="C4119" t="s">
        <v>13388</v>
      </c>
      <c r="D4119" t="s">
        <v>13389</v>
      </c>
      <c r="E4119" t="s">
        <v>13390</v>
      </c>
      <c r="F4119" t="s">
        <v>13395</v>
      </c>
      <c r="G4119" s="2" t="str">
        <f>HYPERLINK("https://probpalata.gov.ru/files/ИП230400147300003.jpeg","Скачать индивидуальный QR-код магазина")</f>
        <v>Скачать индивидуальный QR-код магазина</v>
      </c>
    </row>
    <row r="4120" spans="1:7" x14ac:dyDescent="0.25">
      <c r="A4120" t="s">
        <v>13087</v>
      </c>
      <c r="B4120" t="s">
        <v>13396</v>
      </c>
      <c r="C4120" t="s">
        <v>13388</v>
      </c>
      <c r="D4120" t="s">
        <v>13389</v>
      </c>
      <c r="E4120" t="s">
        <v>13390</v>
      </c>
      <c r="F4120" t="s">
        <v>13397</v>
      </c>
      <c r="G4120" s="2" t="str">
        <f>HYPERLINK("https://probpalata.gov.ru/files/ИП230400147300004.jpeg","Скачать индивидуальный QR-код магазина")</f>
        <v>Скачать индивидуальный QR-код магазина</v>
      </c>
    </row>
    <row r="4121" spans="1:7" x14ac:dyDescent="0.25">
      <c r="A4121" t="s">
        <v>13087</v>
      </c>
      <c r="B4121" t="s">
        <v>13398</v>
      </c>
      <c r="C4121" t="s">
        <v>13399</v>
      </c>
      <c r="D4121" t="s">
        <v>13400</v>
      </c>
      <c r="E4121" t="s">
        <v>13401</v>
      </c>
      <c r="F4121" t="s">
        <v>13402</v>
      </c>
      <c r="G4121" s="2" t="str">
        <f>HYPERLINK("https://probpalata.gov.ru/files/ИП230400330800000.jpeg","Скачать индивидуальный QR-код магазина")</f>
        <v>Скачать индивидуальный QR-код магазина</v>
      </c>
    </row>
    <row r="4122" spans="1:7" x14ac:dyDescent="0.25">
      <c r="A4122" t="s">
        <v>13087</v>
      </c>
      <c r="B4122" t="s">
        <v>13403</v>
      </c>
      <c r="C4122" t="s">
        <v>13404</v>
      </c>
      <c r="D4122" t="s">
        <v>13405</v>
      </c>
      <c r="E4122" t="s">
        <v>13406</v>
      </c>
      <c r="F4122" t="s">
        <v>13407</v>
      </c>
      <c r="G4122" s="2" t="str">
        <f>HYPERLINK("https://probpalata.gov.ru/files/ИП230400078400000.jpeg","Скачать индивидуальный QR-код магазина")</f>
        <v>Скачать индивидуальный QR-код магазина</v>
      </c>
    </row>
    <row r="4123" spans="1:7" x14ac:dyDescent="0.25">
      <c r="A4123" t="s">
        <v>13087</v>
      </c>
      <c r="B4123" t="s">
        <v>13408</v>
      </c>
      <c r="C4123" t="s">
        <v>13409</v>
      </c>
      <c r="D4123" t="s">
        <v>13410</v>
      </c>
      <c r="E4123" t="s">
        <v>13411</v>
      </c>
      <c r="F4123" t="s">
        <v>13412</v>
      </c>
      <c r="G4123" s="2" t="str">
        <f>HYPERLINK("https://probpalata.gov.ru/files/ИП230400672700000.jpeg","Скачать индивидуальный QR-код магазина")</f>
        <v>Скачать индивидуальный QR-код магазина</v>
      </c>
    </row>
    <row r="4124" spans="1:7" x14ac:dyDescent="0.25">
      <c r="A4124" t="s">
        <v>13087</v>
      </c>
      <c r="B4124" t="s">
        <v>13413</v>
      </c>
      <c r="C4124" t="s">
        <v>13409</v>
      </c>
      <c r="D4124" t="s">
        <v>13410</v>
      </c>
      <c r="E4124" t="s">
        <v>13411</v>
      </c>
      <c r="F4124" t="s">
        <v>13414</v>
      </c>
      <c r="G4124" s="2" t="str">
        <f>HYPERLINK("https://probpalata.gov.ru/files/ИП230400672700003.jpeg","Скачать индивидуальный QR-код магазина")</f>
        <v>Скачать индивидуальный QR-код магазина</v>
      </c>
    </row>
    <row r="4125" spans="1:7" x14ac:dyDescent="0.25">
      <c r="A4125" t="s">
        <v>13087</v>
      </c>
      <c r="B4125" t="s">
        <v>13415</v>
      </c>
      <c r="C4125" t="s">
        <v>13416</v>
      </c>
      <c r="D4125" t="s">
        <v>13417</v>
      </c>
      <c r="E4125" t="s">
        <v>13418</v>
      </c>
      <c r="F4125" t="s">
        <v>13419</v>
      </c>
      <c r="G4125" s="2" t="str">
        <f>HYPERLINK("https://probpalata.gov.ru/files/ИП230403750500000.jpeg","Скачать индивидуальный QR-код магазина")</f>
        <v>Скачать индивидуальный QR-код магазина</v>
      </c>
    </row>
    <row r="4126" spans="1:7" x14ac:dyDescent="0.25">
      <c r="A4126" t="s">
        <v>13087</v>
      </c>
      <c r="B4126" t="s">
        <v>13420</v>
      </c>
      <c r="C4126" t="s">
        <v>13421</v>
      </c>
      <c r="D4126" t="s">
        <v>13422</v>
      </c>
      <c r="E4126" t="s">
        <v>13423</v>
      </c>
      <c r="F4126" t="s">
        <v>13424</v>
      </c>
      <c r="G4126" s="2" t="str">
        <f>HYPERLINK("https://probpalata.gov.ru/files/ЮЛ230400002700001.jpeg","Скачать индивидуальный QR-код магазина")</f>
        <v>Скачать индивидуальный QR-код магазина</v>
      </c>
    </row>
    <row r="4127" spans="1:7" x14ac:dyDescent="0.25">
      <c r="A4127" t="s">
        <v>13087</v>
      </c>
      <c r="B4127" t="s">
        <v>13425</v>
      </c>
      <c r="C4127" t="s">
        <v>13421</v>
      </c>
      <c r="D4127" t="s">
        <v>13422</v>
      </c>
      <c r="E4127" t="s">
        <v>13423</v>
      </c>
      <c r="F4127" t="s">
        <v>13426</v>
      </c>
      <c r="G4127" s="2" t="str">
        <f>HYPERLINK("https://probpalata.gov.ru/files/ЮЛ230400002700002.jpeg","Скачать индивидуальный QR-код магазина")</f>
        <v>Скачать индивидуальный QR-код магазина</v>
      </c>
    </row>
    <row r="4128" spans="1:7" x14ac:dyDescent="0.25">
      <c r="A4128" t="s">
        <v>13087</v>
      </c>
      <c r="B4128" t="s">
        <v>13427</v>
      </c>
      <c r="C4128" t="s">
        <v>13421</v>
      </c>
      <c r="D4128" t="s">
        <v>13422</v>
      </c>
      <c r="E4128" t="s">
        <v>13423</v>
      </c>
      <c r="F4128" t="s">
        <v>13428</v>
      </c>
      <c r="G4128" s="2" t="str">
        <f>HYPERLINK("https://probpalata.gov.ru/files/ЮЛ230400002700004.jpeg","Скачать индивидуальный QR-код магазина")</f>
        <v>Скачать индивидуальный QR-код магазина</v>
      </c>
    </row>
    <row r="4129" spans="1:7" x14ac:dyDescent="0.25">
      <c r="A4129" t="s">
        <v>13087</v>
      </c>
      <c r="B4129" t="s">
        <v>13429</v>
      </c>
      <c r="C4129" t="s">
        <v>13421</v>
      </c>
      <c r="D4129" t="s">
        <v>13422</v>
      </c>
      <c r="E4129" t="s">
        <v>13423</v>
      </c>
      <c r="F4129" t="s">
        <v>13430</v>
      </c>
      <c r="G4129" s="2" t="str">
        <f>HYPERLINK("https://probpalata.gov.ru/files/ЮЛ230400002700005.jpeg","Скачать индивидуальный QR-код магазина")</f>
        <v>Скачать индивидуальный QR-код магазина</v>
      </c>
    </row>
    <row r="4130" spans="1:7" x14ac:dyDescent="0.25">
      <c r="A4130" t="s">
        <v>13087</v>
      </c>
      <c r="B4130" t="s">
        <v>13431</v>
      </c>
      <c r="C4130" t="s">
        <v>13421</v>
      </c>
      <c r="D4130" t="s">
        <v>13422</v>
      </c>
      <c r="E4130" t="s">
        <v>13423</v>
      </c>
      <c r="F4130" t="s">
        <v>13432</v>
      </c>
      <c r="G4130" s="2" t="str">
        <f>HYPERLINK("https://probpalata.gov.ru/files/ЮЛ230400002700006.jpeg","Скачать индивидуальный QR-код магазина")</f>
        <v>Скачать индивидуальный QR-код магазина</v>
      </c>
    </row>
    <row r="4131" spans="1:7" x14ac:dyDescent="0.25">
      <c r="A4131" t="s">
        <v>13087</v>
      </c>
      <c r="B4131" t="s">
        <v>13433</v>
      </c>
      <c r="C4131" t="s">
        <v>13421</v>
      </c>
      <c r="D4131" t="s">
        <v>13422</v>
      </c>
      <c r="E4131" t="s">
        <v>13423</v>
      </c>
      <c r="F4131" t="s">
        <v>13434</v>
      </c>
      <c r="G4131" s="2" t="str">
        <f>HYPERLINK("https://probpalata.gov.ru/files/ЮЛ230400002700008.jpeg","Скачать индивидуальный QR-код магазина")</f>
        <v>Скачать индивидуальный QR-код магазина</v>
      </c>
    </row>
    <row r="4132" spans="1:7" x14ac:dyDescent="0.25">
      <c r="A4132" t="s">
        <v>13087</v>
      </c>
      <c r="B4132" t="s">
        <v>13435</v>
      </c>
      <c r="C4132" t="s">
        <v>13421</v>
      </c>
      <c r="D4132" t="s">
        <v>13422</v>
      </c>
      <c r="E4132" t="s">
        <v>13423</v>
      </c>
      <c r="F4132" t="s">
        <v>13436</v>
      </c>
      <c r="G4132" s="2" t="str">
        <f>HYPERLINK("https://probpalata.gov.ru/files/ЮЛ230400002700009.jpeg","Скачать индивидуальный QR-код магазина")</f>
        <v>Скачать индивидуальный QR-код магазина</v>
      </c>
    </row>
    <row r="4133" spans="1:7" x14ac:dyDescent="0.25">
      <c r="A4133" t="s">
        <v>13087</v>
      </c>
      <c r="B4133" t="s">
        <v>13437</v>
      </c>
      <c r="C4133" t="s">
        <v>13421</v>
      </c>
      <c r="D4133" t="s">
        <v>13422</v>
      </c>
      <c r="E4133" t="s">
        <v>13423</v>
      </c>
      <c r="F4133" t="s">
        <v>13438</v>
      </c>
      <c r="G4133" s="2" t="str">
        <f>HYPERLINK("https://probpalata.gov.ru/files/ЮЛ230400002700010.jpeg","Скачать индивидуальный QR-код магазина")</f>
        <v>Скачать индивидуальный QR-код магазина</v>
      </c>
    </row>
    <row r="4134" spans="1:7" x14ac:dyDescent="0.25">
      <c r="A4134" t="s">
        <v>13087</v>
      </c>
      <c r="B4134" t="s">
        <v>13439</v>
      </c>
      <c r="C4134" t="s">
        <v>13421</v>
      </c>
      <c r="D4134" t="s">
        <v>13422</v>
      </c>
      <c r="E4134" t="s">
        <v>13423</v>
      </c>
      <c r="F4134" t="s">
        <v>13440</v>
      </c>
      <c r="G4134" s="2" t="str">
        <f>HYPERLINK("https://probpalata.gov.ru/files/ЮЛ230400002700011.jpeg","Скачать индивидуальный QR-код магазина")</f>
        <v>Скачать индивидуальный QR-код магазина</v>
      </c>
    </row>
    <row r="4135" spans="1:7" x14ac:dyDescent="0.25">
      <c r="A4135" t="s">
        <v>13087</v>
      </c>
      <c r="B4135" t="s">
        <v>13441</v>
      </c>
      <c r="C4135" t="s">
        <v>13421</v>
      </c>
      <c r="D4135" t="s">
        <v>13422</v>
      </c>
      <c r="E4135" t="s">
        <v>13423</v>
      </c>
      <c r="F4135" t="s">
        <v>13442</v>
      </c>
      <c r="G4135" s="2" t="str">
        <f>HYPERLINK("https://probpalata.gov.ru/files/ЮЛ230400002700012.jpeg","Скачать индивидуальный QR-код магазина")</f>
        <v>Скачать индивидуальный QR-код магазина</v>
      </c>
    </row>
    <row r="4136" spans="1:7" x14ac:dyDescent="0.25">
      <c r="A4136" t="s">
        <v>13087</v>
      </c>
      <c r="B4136" t="s">
        <v>13443</v>
      </c>
      <c r="C4136" t="s">
        <v>13421</v>
      </c>
      <c r="D4136" t="s">
        <v>13422</v>
      </c>
      <c r="E4136" t="s">
        <v>13423</v>
      </c>
      <c r="F4136" t="s">
        <v>13444</v>
      </c>
      <c r="G4136" s="2" t="str">
        <f>HYPERLINK("https://probpalata.gov.ru/files/ЮЛ230400002700013.jpeg","Скачать индивидуальный QR-код магазина")</f>
        <v>Скачать индивидуальный QR-код магазина</v>
      </c>
    </row>
    <row r="4137" spans="1:7" x14ac:dyDescent="0.25">
      <c r="A4137" t="s">
        <v>13087</v>
      </c>
      <c r="B4137" t="s">
        <v>13445</v>
      </c>
      <c r="C4137" t="s">
        <v>13421</v>
      </c>
      <c r="D4137" t="s">
        <v>13422</v>
      </c>
      <c r="E4137" t="s">
        <v>13423</v>
      </c>
      <c r="F4137" t="s">
        <v>13446</v>
      </c>
      <c r="G4137" s="2" t="str">
        <f>HYPERLINK("https://probpalata.gov.ru/files/ЮЛ230400002700014.jpeg","Скачать индивидуальный QR-код магазина")</f>
        <v>Скачать индивидуальный QR-код магазина</v>
      </c>
    </row>
    <row r="4138" spans="1:7" x14ac:dyDescent="0.25">
      <c r="A4138" t="s">
        <v>13087</v>
      </c>
      <c r="B4138" t="s">
        <v>13447</v>
      </c>
      <c r="C4138" t="s">
        <v>13421</v>
      </c>
      <c r="D4138" t="s">
        <v>13422</v>
      </c>
      <c r="E4138" t="s">
        <v>13423</v>
      </c>
      <c r="F4138" t="s">
        <v>13448</v>
      </c>
      <c r="G4138" s="2" t="str">
        <f>HYPERLINK("https://probpalata.gov.ru/files/ЮЛ230400002700015.jpeg","Скачать индивидуальный QR-код магазина")</f>
        <v>Скачать индивидуальный QR-код магазина</v>
      </c>
    </row>
    <row r="4139" spans="1:7" x14ac:dyDescent="0.25">
      <c r="A4139" t="s">
        <v>13087</v>
      </c>
      <c r="B4139" t="s">
        <v>13449</v>
      </c>
      <c r="C4139" t="s">
        <v>13421</v>
      </c>
      <c r="D4139" t="s">
        <v>13422</v>
      </c>
      <c r="E4139" t="s">
        <v>13423</v>
      </c>
      <c r="F4139" t="s">
        <v>13450</v>
      </c>
      <c r="G4139" s="2" t="str">
        <f>HYPERLINK("https://probpalata.gov.ru/files/ЮЛ230400002700016.jpeg","Скачать индивидуальный QR-код магазина")</f>
        <v>Скачать индивидуальный QR-код магазина</v>
      </c>
    </row>
    <row r="4140" spans="1:7" x14ac:dyDescent="0.25">
      <c r="A4140" t="s">
        <v>13087</v>
      </c>
      <c r="B4140" t="s">
        <v>13451</v>
      </c>
      <c r="C4140" t="s">
        <v>13421</v>
      </c>
      <c r="D4140" t="s">
        <v>13422</v>
      </c>
      <c r="E4140" t="s">
        <v>13423</v>
      </c>
      <c r="F4140" t="s">
        <v>13452</v>
      </c>
      <c r="G4140" s="2" t="str">
        <f>HYPERLINK("https://probpalata.gov.ru/files/ЮЛ230400002700017.jpeg","Скачать индивидуальный QR-код магазина")</f>
        <v>Скачать индивидуальный QR-код магазина</v>
      </c>
    </row>
    <row r="4141" spans="1:7" x14ac:dyDescent="0.25">
      <c r="A4141" t="s">
        <v>13087</v>
      </c>
      <c r="B4141" t="s">
        <v>13453</v>
      </c>
      <c r="C4141" t="s">
        <v>13421</v>
      </c>
      <c r="D4141" t="s">
        <v>13422</v>
      </c>
      <c r="E4141" t="s">
        <v>13423</v>
      </c>
      <c r="F4141" t="s">
        <v>13454</v>
      </c>
      <c r="G4141" s="2" t="str">
        <f>HYPERLINK("https://probpalata.gov.ru/files/ЮЛ230400002700018.jpeg","Скачать индивидуальный QR-код магазина")</f>
        <v>Скачать индивидуальный QR-код магазина</v>
      </c>
    </row>
    <row r="4142" spans="1:7" x14ac:dyDescent="0.25">
      <c r="A4142" t="s">
        <v>13087</v>
      </c>
      <c r="B4142" t="s">
        <v>13455</v>
      </c>
      <c r="C4142" t="s">
        <v>13421</v>
      </c>
      <c r="D4142" t="s">
        <v>13422</v>
      </c>
      <c r="E4142" t="s">
        <v>13423</v>
      </c>
      <c r="F4142" t="s">
        <v>13456</v>
      </c>
      <c r="G4142" s="2" t="str">
        <f>HYPERLINK("https://probpalata.gov.ru/files/ЮЛ230400002700023.jpeg","Скачать индивидуальный QR-код магазина")</f>
        <v>Скачать индивидуальный QR-код магазина</v>
      </c>
    </row>
    <row r="4143" spans="1:7" x14ac:dyDescent="0.25">
      <c r="A4143" t="s">
        <v>13087</v>
      </c>
      <c r="B4143" t="s">
        <v>13457</v>
      </c>
      <c r="C4143" t="s">
        <v>13421</v>
      </c>
      <c r="D4143" t="s">
        <v>13422</v>
      </c>
      <c r="E4143" t="s">
        <v>13423</v>
      </c>
      <c r="F4143" t="s">
        <v>13458</v>
      </c>
      <c r="G4143" s="2" t="str">
        <f>HYPERLINK("https://probpalata.gov.ru/files/ЮЛ230400002700024.jpeg","Скачать индивидуальный QR-код магазина")</f>
        <v>Скачать индивидуальный QR-код магазина</v>
      </c>
    </row>
    <row r="4144" spans="1:7" x14ac:dyDescent="0.25">
      <c r="A4144" t="s">
        <v>13087</v>
      </c>
      <c r="B4144" t="s">
        <v>13459</v>
      </c>
      <c r="C4144" t="s">
        <v>13421</v>
      </c>
      <c r="D4144" t="s">
        <v>13422</v>
      </c>
      <c r="E4144" t="s">
        <v>13423</v>
      </c>
      <c r="F4144" t="s">
        <v>13460</v>
      </c>
      <c r="G4144" s="2" t="str">
        <f>HYPERLINK("https://probpalata.gov.ru/files/ЮЛ230400002700025.jpeg","Скачать индивидуальный QR-код магазина")</f>
        <v>Скачать индивидуальный QR-код магазина</v>
      </c>
    </row>
    <row r="4145" spans="1:7" x14ac:dyDescent="0.25">
      <c r="A4145" t="s">
        <v>13087</v>
      </c>
      <c r="B4145" t="s">
        <v>13461</v>
      </c>
      <c r="C4145" t="s">
        <v>13421</v>
      </c>
      <c r="D4145" t="s">
        <v>13422</v>
      </c>
      <c r="E4145" t="s">
        <v>13423</v>
      </c>
      <c r="F4145" t="s">
        <v>13462</v>
      </c>
      <c r="G4145" s="2" t="str">
        <f>HYPERLINK("https://probpalata.gov.ru/files/ЮЛ230400002700026.jpeg","Скачать индивидуальный QR-код магазина")</f>
        <v>Скачать индивидуальный QR-код магазина</v>
      </c>
    </row>
    <row r="4146" spans="1:7" x14ac:dyDescent="0.25">
      <c r="A4146" t="s">
        <v>13087</v>
      </c>
      <c r="B4146" t="s">
        <v>13463</v>
      </c>
      <c r="C4146" t="s">
        <v>13464</v>
      </c>
      <c r="D4146" t="s">
        <v>13465</v>
      </c>
      <c r="E4146" t="s">
        <v>13466</v>
      </c>
      <c r="F4146" t="s">
        <v>13467</v>
      </c>
      <c r="G4146" s="2" t="str">
        <f>HYPERLINK("https://probpalata.gov.ru/files/ЮЛ230404007600000.jpeg","Скачать индивидуальный QR-код магазина")</f>
        <v>Скачать индивидуальный QR-код магазина</v>
      </c>
    </row>
    <row r="4147" spans="1:7" x14ac:dyDescent="0.25">
      <c r="A4147" t="s">
        <v>13087</v>
      </c>
      <c r="B4147" t="s">
        <v>13468</v>
      </c>
      <c r="C4147" t="s">
        <v>3489</v>
      </c>
      <c r="D4147" t="s">
        <v>13469</v>
      </c>
      <c r="E4147" t="s">
        <v>13470</v>
      </c>
      <c r="F4147" t="s">
        <v>13471</v>
      </c>
      <c r="G4147" s="2" t="str">
        <f>HYPERLINK("https://probpalata.gov.ru/files/ЮЛ230400118200000.jpeg","Скачать индивидуальный QR-код магазина")</f>
        <v>Скачать индивидуальный QR-код магазина</v>
      </c>
    </row>
    <row r="4148" spans="1:7" x14ac:dyDescent="0.25">
      <c r="A4148" t="s">
        <v>13087</v>
      </c>
      <c r="B4148" t="s">
        <v>13472</v>
      </c>
      <c r="C4148" t="s">
        <v>3489</v>
      </c>
      <c r="D4148" t="s">
        <v>13469</v>
      </c>
      <c r="E4148" t="s">
        <v>13470</v>
      </c>
      <c r="F4148" t="s">
        <v>13473</v>
      </c>
      <c r="G4148" s="2" t="str">
        <f>HYPERLINK("https://probpalata.gov.ru/files/ЮЛ230400118200001.jpeg","Скачать индивидуальный QR-код магазина")</f>
        <v>Скачать индивидуальный QR-код магазина</v>
      </c>
    </row>
    <row r="4149" spans="1:7" x14ac:dyDescent="0.25">
      <c r="A4149" t="s">
        <v>13087</v>
      </c>
      <c r="B4149" t="s">
        <v>13474</v>
      </c>
      <c r="C4149" t="s">
        <v>3489</v>
      </c>
      <c r="D4149" t="s">
        <v>13469</v>
      </c>
      <c r="E4149" t="s">
        <v>13470</v>
      </c>
      <c r="F4149" t="s">
        <v>13475</v>
      </c>
      <c r="G4149" s="2" t="str">
        <f>HYPERLINK("https://probpalata.gov.ru/files/ЮЛ230400118200003.jpeg","Скачать индивидуальный QR-код магазина")</f>
        <v>Скачать индивидуальный QR-код магазина</v>
      </c>
    </row>
    <row r="4150" spans="1:7" x14ac:dyDescent="0.25">
      <c r="A4150" t="s">
        <v>13087</v>
      </c>
      <c r="B4150" t="s">
        <v>13476</v>
      </c>
      <c r="C4150" t="s">
        <v>3489</v>
      </c>
      <c r="D4150" t="s">
        <v>13469</v>
      </c>
      <c r="E4150" t="s">
        <v>13470</v>
      </c>
      <c r="F4150" t="s">
        <v>13477</v>
      </c>
      <c r="G4150" s="2" t="str">
        <f>HYPERLINK("https://probpalata.gov.ru/files/ЮЛ230400118200004.jpeg","Скачать индивидуальный QR-код магазина")</f>
        <v>Скачать индивидуальный QR-код магазина</v>
      </c>
    </row>
    <row r="4151" spans="1:7" x14ac:dyDescent="0.25">
      <c r="A4151" t="s">
        <v>13087</v>
      </c>
      <c r="B4151" t="s">
        <v>13478</v>
      </c>
      <c r="C4151" t="s">
        <v>3489</v>
      </c>
      <c r="D4151" t="s">
        <v>13469</v>
      </c>
      <c r="E4151" t="s">
        <v>13470</v>
      </c>
      <c r="F4151" t="s">
        <v>13479</v>
      </c>
      <c r="G4151" s="2" t="str">
        <f>HYPERLINK("https://probpalata.gov.ru/files/ЮЛ230400118200005.jpeg","Скачать индивидуальный QR-код магазина")</f>
        <v>Скачать индивидуальный QR-код магазина</v>
      </c>
    </row>
    <row r="4152" spans="1:7" x14ac:dyDescent="0.25">
      <c r="A4152" t="s">
        <v>13087</v>
      </c>
      <c r="B4152" t="s">
        <v>13480</v>
      </c>
      <c r="C4152" t="s">
        <v>13481</v>
      </c>
      <c r="D4152" t="s">
        <v>13482</v>
      </c>
      <c r="E4152" t="s">
        <v>13483</v>
      </c>
      <c r="F4152" t="s">
        <v>13484</v>
      </c>
      <c r="G4152" s="2" t="str">
        <f>HYPERLINK("https://probpalata.gov.ru/files/ИП230400084500000.jpeg","Скачать индивидуальный QR-код магазина")</f>
        <v>Скачать индивидуальный QR-код магазина</v>
      </c>
    </row>
    <row r="4153" spans="1:7" x14ac:dyDescent="0.25">
      <c r="A4153" t="s">
        <v>13087</v>
      </c>
      <c r="B4153" t="s">
        <v>13485</v>
      </c>
      <c r="C4153" t="s">
        <v>13486</v>
      </c>
      <c r="D4153" t="s">
        <v>13487</v>
      </c>
      <c r="E4153" t="s">
        <v>13488</v>
      </c>
      <c r="F4153" t="s">
        <v>13489</v>
      </c>
      <c r="G4153" s="2" t="str">
        <f>HYPERLINK("https://probpalata.gov.ru/files/ИП230400331300000.jpeg","Скачать индивидуальный QR-код магазина")</f>
        <v>Скачать индивидуальный QR-код магазина</v>
      </c>
    </row>
    <row r="4154" spans="1:7" x14ac:dyDescent="0.25">
      <c r="A4154" t="s">
        <v>13087</v>
      </c>
      <c r="B4154" t="s">
        <v>13490</v>
      </c>
      <c r="C4154" t="s">
        <v>13491</v>
      </c>
      <c r="D4154" t="s">
        <v>13492</v>
      </c>
      <c r="E4154" t="s">
        <v>13493</v>
      </c>
      <c r="F4154" t="s">
        <v>13494</v>
      </c>
      <c r="G4154" s="2" t="str">
        <f>HYPERLINK("https://probpalata.gov.ru/files/ЮЛ230400238200001.jpeg","Скачать индивидуальный QR-код магазина")</f>
        <v>Скачать индивидуальный QR-код магазина</v>
      </c>
    </row>
    <row r="4155" spans="1:7" x14ac:dyDescent="0.25">
      <c r="A4155" t="s">
        <v>13087</v>
      </c>
      <c r="B4155" t="s">
        <v>13495</v>
      </c>
      <c r="C4155" t="s">
        <v>13496</v>
      </c>
      <c r="D4155" t="s">
        <v>13497</v>
      </c>
      <c r="E4155" t="s">
        <v>13498</v>
      </c>
      <c r="F4155" t="s">
        <v>13499</v>
      </c>
      <c r="G4155" s="2" t="str">
        <f>HYPERLINK("https://probpalata.gov.ru/files/ИП230400414000000.jpeg","Скачать индивидуальный QR-код магазина")</f>
        <v>Скачать индивидуальный QR-код магазина</v>
      </c>
    </row>
    <row r="4156" spans="1:7" x14ac:dyDescent="0.25">
      <c r="A4156" t="s">
        <v>13087</v>
      </c>
      <c r="B4156" t="s">
        <v>13500</v>
      </c>
      <c r="C4156" t="s">
        <v>13501</v>
      </c>
      <c r="D4156" t="s">
        <v>13502</v>
      </c>
      <c r="E4156" t="s">
        <v>13503</v>
      </c>
      <c r="F4156" t="s">
        <v>13504</v>
      </c>
      <c r="G4156" s="2" t="str">
        <f>HYPERLINK("https://probpalata.gov.ru/files/ИП230403387400000.jpeg","Скачать индивидуальный QR-код магазина")</f>
        <v>Скачать индивидуальный QR-код магазина</v>
      </c>
    </row>
    <row r="4157" spans="1:7" x14ac:dyDescent="0.25">
      <c r="A4157" t="s">
        <v>13087</v>
      </c>
      <c r="B4157" t="s">
        <v>13505</v>
      </c>
      <c r="C4157" t="s">
        <v>13506</v>
      </c>
      <c r="D4157" t="s">
        <v>13507</v>
      </c>
      <c r="E4157" t="s">
        <v>13508</v>
      </c>
      <c r="F4157" t="s">
        <v>13509</v>
      </c>
      <c r="G4157" s="2" t="str">
        <f>HYPERLINK("https://probpalata.gov.ru/files/ЮЛ230400165400000.jpeg","Скачать индивидуальный QR-код магазина")</f>
        <v>Скачать индивидуальный QR-код магазина</v>
      </c>
    </row>
    <row r="4158" spans="1:7" x14ac:dyDescent="0.25">
      <c r="A4158" t="s">
        <v>13087</v>
      </c>
      <c r="B4158" t="s">
        <v>13510</v>
      </c>
      <c r="C4158" t="s">
        <v>13511</v>
      </c>
      <c r="D4158" t="s">
        <v>13512</v>
      </c>
      <c r="E4158" t="s">
        <v>13513</v>
      </c>
      <c r="F4158" t="s">
        <v>13514</v>
      </c>
      <c r="G4158" s="2" t="str">
        <f>HYPERLINK("https://probpalata.gov.ru/files/ЮЛ230400167900000.jpeg","Скачать индивидуальный QR-код магазина")</f>
        <v>Скачать индивидуальный QR-код магазина</v>
      </c>
    </row>
    <row r="4159" spans="1:7" x14ac:dyDescent="0.25">
      <c r="A4159" t="s">
        <v>13087</v>
      </c>
      <c r="B4159" t="s">
        <v>13515</v>
      </c>
      <c r="C4159" t="s">
        <v>13516</v>
      </c>
      <c r="D4159" t="s">
        <v>13517</v>
      </c>
      <c r="E4159" t="s">
        <v>13518</v>
      </c>
      <c r="F4159" t="s">
        <v>13519</v>
      </c>
      <c r="G4159" s="2" t="str">
        <f>HYPERLINK("https://probpalata.gov.ru/files/ИП230403737500000.jpeg","Скачать индивидуальный QR-код магазина")</f>
        <v>Скачать индивидуальный QR-код магазина</v>
      </c>
    </row>
    <row r="4160" spans="1:7" x14ac:dyDescent="0.25">
      <c r="A4160" t="s">
        <v>13087</v>
      </c>
      <c r="B4160" t="s">
        <v>13520</v>
      </c>
      <c r="C4160" t="s">
        <v>13521</v>
      </c>
      <c r="D4160" t="s">
        <v>13522</v>
      </c>
      <c r="E4160" t="s">
        <v>13523</v>
      </c>
      <c r="F4160" t="s">
        <v>13524</v>
      </c>
      <c r="G4160" s="2" t="str">
        <f>HYPERLINK("https://probpalata.gov.ru/files/ЮЛ230400276400000.jpeg","Скачать индивидуальный QR-код магазина")</f>
        <v>Скачать индивидуальный QR-код магазина</v>
      </c>
    </row>
    <row r="4161" spans="1:7" x14ac:dyDescent="0.25">
      <c r="A4161" t="s">
        <v>13087</v>
      </c>
      <c r="B4161" t="s">
        <v>13525</v>
      </c>
      <c r="C4161" t="s">
        <v>13526</v>
      </c>
      <c r="D4161" t="s">
        <v>13527</v>
      </c>
      <c r="E4161" t="s">
        <v>13528</v>
      </c>
      <c r="F4161" t="s">
        <v>13529</v>
      </c>
      <c r="G4161" s="2" t="str">
        <f>HYPERLINK("https://probpalata.gov.ru/files/ЮЛ230400028200000.jpeg","Скачать индивидуальный QR-код магазина")</f>
        <v>Скачать индивидуальный QR-код магазина</v>
      </c>
    </row>
    <row r="4162" spans="1:7" x14ac:dyDescent="0.25">
      <c r="A4162" t="s">
        <v>13087</v>
      </c>
      <c r="B4162" t="s">
        <v>13530</v>
      </c>
      <c r="C4162" t="s">
        <v>3246</v>
      </c>
      <c r="D4162" t="s">
        <v>3247</v>
      </c>
      <c r="E4162" t="s">
        <v>3248</v>
      </c>
      <c r="F4162" t="s">
        <v>13531</v>
      </c>
      <c r="G4162" s="2" t="str">
        <f>HYPERLINK("https://probpalata.gov.ru/files/ИП230400618900000.jpeg","Скачать индивидуальный QR-код магазина")</f>
        <v>Скачать индивидуальный QR-код магазина</v>
      </c>
    </row>
    <row r="4163" spans="1:7" x14ac:dyDescent="0.25">
      <c r="A4163" t="s">
        <v>13087</v>
      </c>
      <c r="B4163" t="s">
        <v>13532</v>
      </c>
      <c r="C4163" t="s">
        <v>3246</v>
      </c>
      <c r="D4163" t="s">
        <v>3247</v>
      </c>
      <c r="E4163" t="s">
        <v>3248</v>
      </c>
      <c r="F4163" t="s">
        <v>13533</v>
      </c>
      <c r="G4163" s="2" t="str">
        <f>HYPERLINK("https://probpalata.gov.ru/files/ИП230400618900002.jpeg","Скачать индивидуальный QR-код магазина")</f>
        <v>Скачать индивидуальный QR-код магазина</v>
      </c>
    </row>
    <row r="4164" spans="1:7" x14ac:dyDescent="0.25">
      <c r="A4164" t="s">
        <v>13087</v>
      </c>
      <c r="B4164" t="s">
        <v>13534</v>
      </c>
      <c r="C4164" t="s">
        <v>3246</v>
      </c>
      <c r="D4164" t="s">
        <v>3247</v>
      </c>
      <c r="E4164" t="s">
        <v>3248</v>
      </c>
      <c r="F4164" t="s">
        <v>13535</v>
      </c>
      <c r="G4164" s="2" t="str">
        <f>HYPERLINK("https://probpalata.gov.ru/files/ИП230400618900007.jpeg","Скачать индивидуальный QR-код магазина")</f>
        <v>Скачать индивидуальный QR-код магазина</v>
      </c>
    </row>
    <row r="4165" spans="1:7" x14ac:dyDescent="0.25">
      <c r="A4165" t="s">
        <v>13087</v>
      </c>
      <c r="B4165" t="s">
        <v>13536</v>
      </c>
      <c r="C4165" t="s">
        <v>3246</v>
      </c>
      <c r="D4165" t="s">
        <v>3247</v>
      </c>
      <c r="E4165" t="s">
        <v>3248</v>
      </c>
      <c r="F4165" t="s">
        <v>13537</v>
      </c>
      <c r="G4165" s="2" t="str">
        <f>HYPERLINK("https://probpalata.gov.ru/files/ИП230400618900008.jpeg","Скачать индивидуальный QR-код магазина")</f>
        <v>Скачать индивидуальный QR-код магазина</v>
      </c>
    </row>
    <row r="4166" spans="1:7" x14ac:dyDescent="0.25">
      <c r="A4166" t="s">
        <v>13087</v>
      </c>
      <c r="B4166" t="s">
        <v>13538</v>
      </c>
      <c r="C4166" t="s">
        <v>3246</v>
      </c>
      <c r="D4166" t="s">
        <v>3247</v>
      </c>
      <c r="E4166" t="s">
        <v>3248</v>
      </c>
      <c r="F4166" t="s">
        <v>13539</v>
      </c>
      <c r="G4166" s="2" t="str">
        <f>HYPERLINK("https://probpalata.gov.ru/files/ИП230400618900009.jpeg","Скачать индивидуальный QR-код магазина")</f>
        <v>Скачать индивидуальный QR-код магазина</v>
      </c>
    </row>
    <row r="4167" spans="1:7" x14ac:dyDescent="0.25">
      <c r="A4167" t="s">
        <v>13087</v>
      </c>
      <c r="B4167" t="s">
        <v>13540</v>
      </c>
      <c r="C4167" t="s">
        <v>3246</v>
      </c>
      <c r="D4167" t="s">
        <v>3247</v>
      </c>
      <c r="E4167" t="s">
        <v>3248</v>
      </c>
      <c r="F4167" t="s">
        <v>13541</v>
      </c>
      <c r="G4167" s="2" t="str">
        <f>HYPERLINK("https://probpalata.gov.ru/files/ИП230400618900010.jpeg","Скачать индивидуальный QR-код магазина")</f>
        <v>Скачать индивидуальный QR-код магазина</v>
      </c>
    </row>
    <row r="4168" spans="1:7" x14ac:dyDescent="0.25">
      <c r="A4168" t="s">
        <v>13087</v>
      </c>
      <c r="B4168" t="s">
        <v>13542</v>
      </c>
      <c r="C4168" t="s">
        <v>3246</v>
      </c>
      <c r="D4168" t="s">
        <v>3247</v>
      </c>
      <c r="E4168" t="s">
        <v>3248</v>
      </c>
      <c r="F4168" t="s">
        <v>13543</v>
      </c>
      <c r="G4168" s="2" t="str">
        <f>HYPERLINK("https://probpalata.gov.ru/files/ИП230400618900011.jpeg","Скачать индивидуальный QR-код магазина")</f>
        <v>Скачать индивидуальный QR-код магазина</v>
      </c>
    </row>
    <row r="4169" spans="1:7" x14ac:dyDescent="0.25">
      <c r="A4169" t="s">
        <v>13087</v>
      </c>
      <c r="B4169" t="s">
        <v>13544</v>
      </c>
      <c r="C4169" t="s">
        <v>3246</v>
      </c>
      <c r="D4169" t="s">
        <v>3247</v>
      </c>
      <c r="E4169" t="s">
        <v>3248</v>
      </c>
      <c r="F4169" t="s">
        <v>13545</v>
      </c>
      <c r="G4169" s="2" t="str">
        <f>HYPERLINK("https://probpalata.gov.ru/files/ИП230400618900012.jpeg","Скачать индивидуальный QR-код магазина")</f>
        <v>Скачать индивидуальный QR-код магазина</v>
      </c>
    </row>
    <row r="4170" spans="1:7" x14ac:dyDescent="0.25">
      <c r="A4170" t="s">
        <v>13087</v>
      </c>
      <c r="B4170" t="s">
        <v>13546</v>
      </c>
      <c r="C4170" t="s">
        <v>3246</v>
      </c>
      <c r="D4170" t="s">
        <v>3247</v>
      </c>
      <c r="E4170" t="s">
        <v>3248</v>
      </c>
      <c r="F4170" t="s">
        <v>13547</v>
      </c>
      <c r="G4170" s="2" t="str">
        <f>HYPERLINK("https://probpalata.gov.ru/files/ИП230400618900013.jpeg","Скачать индивидуальный QR-код магазина")</f>
        <v>Скачать индивидуальный QR-код магазина</v>
      </c>
    </row>
    <row r="4171" spans="1:7" x14ac:dyDescent="0.25">
      <c r="A4171" t="s">
        <v>13087</v>
      </c>
      <c r="B4171" t="s">
        <v>13548</v>
      </c>
      <c r="C4171" t="s">
        <v>3246</v>
      </c>
      <c r="D4171" t="s">
        <v>3247</v>
      </c>
      <c r="E4171" t="s">
        <v>3248</v>
      </c>
      <c r="F4171" t="s">
        <v>13549</v>
      </c>
      <c r="G4171" s="2" t="str">
        <f>HYPERLINK("https://probpalata.gov.ru/files/ИП230400618900014.jpeg","Скачать индивидуальный QR-код магазина")</f>
        <v>Скачать индивидуальный QR-код магазина</v>
      </c>
    </row>
    <row r="4172" spans="1:7" x14ac:dyDescent="0.25">
      <c r="A4172" t="s">
        <v>13087</v>
      </c>
      <c r="B4172" t="s">
        <v>13550</v>
      </c>
      <c r="C4172" t="s">
        <v>3246</v>
      </c>
      <c r="D4172" t="s">
        <v>3247</v>
      </c>
      <c r="E4172" t="s">
        <v>3248</v>
      </c>
      <c r="F4172" t="s">
        <v>13551</v>
      </c>
      <c r="G4172" s="2" t="str">
        <f>HYPERLINK("https://probpalata.gov.ru/files/ИП230400618900017.jpeg","Скачать индивидуальный QR-код магазина")</f>
        <v>Скачать индивидуальный QR-код магазина</v>
      </c>
    </row>
    <row r="4173" spans="1:7" x14ac:dyDescent="0.25">
      <c r="A4173" t="s">
        <v>13087</v>
      </c>
      <c r="B4173" t="s">
        <v>13552</v>
      </c>
      <c r="C4173" t="s">
        <v>3246</v>
      </c>
      <c r="D4173" t="s">
        <v>3247</v>
      </c>
      <c r="E4173" t="s">
        <v>3248</v>
      </c>
      <c r="F4173" t="s">
        <v>13553</v>
      </c>
      <c r="G4173" s="2" t="str">
        <f>HYPERLINK("https://probpalata.gov.ru/files/ИП230400618900020.jpeg","Скачать индивидуальный QR-код магазина")</f>
        <v>Скачать индивидуальный QR-код магазина</v>
      </c>
    </row>
    <row r="4174" spans="1:7" x14ac:dyDescent="0.25">
      <c r="A4174" t="s">
        <v>13087</v>
      </c>
      <c r="B4174" t="s">
        <v>13554</v>
      </c>
      <c r="C4174" t="s">
        <v>3246</v>
      </c>
      <c r="D4174" t="s">
        <v>3247</v>
      </c>
      <c r="E4174" t="s">
        <v>3248</v>
      </c>
      <c r="F4174" t="s">
        <v>13555</v>
      </c>
      <c r="G4174" s="2" t="str">
        <f>HYPERLINK("https://probpalata.gov.ru/files/ИП230400618900021.jpeg","Скачать индивидуальный QR-код магазина")</f>
        <v>Скачать индивидуальный QR-код магазина</v>
      </c>
    </row>
    <row r="4175" spans="1:7" x14ac:dyDescent="0.25">
      <c r="A4175" t="s">
        <v>13087</v>
      </c>
      <c r="B4175" t="s">
        <v>13556</v>
      </c>
      <c r="C4175" t="s">
        <v>3246</v>
      </c>
      <c r="D4175" t="s">
        <v>3247</v>
      </c>
      <c r="E4175" t="s">
        <v>3248</v>
      </c>
      <c r="F4175" t="s">
        <v>13557</v>
      </c>
      <c r="G4175" s="2" t="str">
        <f>HYPERLINK("https://probpalata.gov.ru/files/ИП230400618900022.jpeg","Скачать индивидуальный QR-код магазина")</f>
        <v>Скачать индивидуальный QR-код магазина</v>
      </c>
    </row>
    <row r="4176" spans="1:7" x14ac:dyDescent="0.25">
      <c r="A4176" t="s">
        <v>13087</v>
      </c>
      <c r="B4176" t="s">
        <v>13558</v>
      </c>
      <c r="C4176" t="s">
        <v>3246</v>
      </c>
      <c r="D4176" t="s">
        <v>3247</v>
      </c>
      <c r="E4176" t="s">
        <v>3248</v>
      </c>
      <c r="F4176" t="s">
        <v>13559</v>
      </c>
      <c r="G4176" s="2" t="str">
        <f>HYPERLINK("https://probpalata.gov.ru/files/ИП230400618900023.jpeg","Скачать индивидуальный QR-код магазина")</f>
        <v>Скачать индивидуальный QR-код магазина</v>
      </c>
    </row>
    <row r="4177" spans="1:7" x14ac:dyDescent="0.25">
      <c r="A4177" t="s">
        <v>13087</v>
      </c>
      <c r="B4177" t="s">
        <v>13560</v>
      </c>
      <c r="C4177" t="s">
        <v>3246</v>
      </c>
      <c r="D4177" t="s">
        <v>3247</v>
      </c>
      <c r="E4177" t="s">
        <v>3248</v>
      </c>
      <c r="F4177" t="s">
        <v>13561</v>
      </c>
      <c r="G4177" s="2" t="str">
        <f>HYPERLINK("https://probpalata.gov.ru/files/ИП230400618900026.jpeg","Скачать индивидуальный QR-код магазина")</f>
        <v>Скачать индивидуальный QR-код магазина</v>
      </c>
    </row>
    <row r="4178" spans="1:7" x14ac:dyDescent="0.25">
      <c r="A4178" t="s">
        <v>13087</v>
      </c>
      <c r="B4178" t="s">
        <v>13562</v>
      </c>
      <c r="C4178" t="s">
        <v>3246</v>
      </c>
      <c r="D4178" t="s">
        <v>3247</v>
      </c>
      <c r="E4178" t="s">
        <v>3248</v>
      </c>
      <c r="F4178" t="s">
        <v>13563</v>
      </c>
      <c r="G4178" s="2" t="str">
        <f>HYPERLINK("https://probpalata.gov.ru/files/ИП230400618900027.jpeg","Скачать индивидуальный QR-код магазина")</f>
        <v>Скачать индивидуальный QR-код магазина</v>
      </c>
    </row>
    <row r="4179" spans="1:7" x14ac:dyDescent="0.25">
      <c r="A4179" t="s">
        <v>13087</v>
      </c>
      <c r="B4179" t="s">
        <v>13564</v>
      </c>
      <c r="C4179" t="s">
        <v>3246</v>
      </c>
      <c r="D4179" t="s">
        <v>3247</v>
      </c>
      <c r="E4179" t="s">
        <v>3248</v>
      </c>
      <c r="F4179" t="s">
        <v>13565</v>
      </c>
      <c r="G4179" s="2" t="str">
        <f>HYPERLINK("https://probpalata.gov.ru/files/ИП230400618900028.jpeg","Скачать индивидуальный QR-код магазина")</f>
        <v>Скачать индивидуальный QR-код магазина</v>
      </c>
    </row>
    <row r="4180" spans="1:7" x14ac:dyDescent="0.25">
      <c r="A4180" t="s">
        <v>13087</v>
      </c>
      <c r="B4180" t="s">
        <v>13566</v>
      </c>
      <c r="C4180" t="s">
        <v>3246</v>
      </c>
      <c r="D4180" t="s">
        <v>3247</v>
      </c>
      <c r="E4180" t="s">
        <v>3248</v>
      </c>
      <c r="F4180" t="s">
        <v>13567</v>
      </c>
      <c r="G4180" s="2" t="str">
        <f>HYPERLINK("https://probpalata.gov.ru/files/ИП230400618900030.jpeg","Скачать индивидуальный QR-код магазина")</f>
        <v>Скачать индивидуальный QR-код магазина</v>
      </c>
    </row>
    <row r="4181" spans="1:7" x14ac:dyDescent="0.25">
      <c r="A4181" t="s">
        <v>13087</v>
      </c>
      <c r="B4181" t="s">
        <v>13568</v>
      </c>
      <c r="C4181" t="s">
        <v>3246</v>
      </c>
      <c r="D4181" t="s">
        <v>3247</v>
      </c>
      <c r="E4181" t="s">
        <v>3248</v>
      </c>
      <c r="F4181" t="s">
        <v>13569</v>
      </c>
      <c r="G4181" s="2" t="str">
        <f>HYPERLINK("https://probpalata.gov.ru/files/ИП230400618900038.jpeg","Скачать индивидуальный QR-код магазина")</f>
        <v>Скачать индивидуальный QR-код магазина</v>
      </c>
    </row>
    <row r="4182" spans="1:7" x14ac:dyDescent="0.25">
      <c r="A4182" t="s">
        <v>13087</v>
      </c>
      <c r="B4182" t="s">
        <v>13570</v>
      </c>
      <c r="C4182" t="s">
        <v>3246</v>
      </c>
      <c r="D4182" t="s">
        <v>3247</v>
      </c>
      <c r="E4182" t="s">
        <v>3248</v>
      </c>
      <c r="F4182" t="s">
        <v>13571</v>
      </c>
      <c r="G4182" s="2" t="str">
        <f>HYPERLINK("https://probpalata.gov.ru/files/ИП230400618900040.jpeg","Скачать индивидуальный QR-код магазина")</f>
        <v>Скачать индивидуальный QR-код магазина</v>
      </c>
    </row>
    <row r="4183" spans="1:7" x14ac:dyDescent="0.25">
      <c r="A4183" t="s">
        <v>13087</v>
      </c>
      <c r="B4183" t="s">
        <v>13572</v>
      </c>
      <c r="C4183" t="s">
        <v>3246</v>
      </c>
      <c r="D4183" t="s">
        <v>3247</v>
      </c>
      <c r="E4183" t="s">
        <v>3248</v>
      </c>
      <c r="F4183" t="s">
        <v>13573</v>
      </c>
      <c r="G4183" s="2" t="str">
        <f>HYPERLINK("https://probpalata.gov.ru/files/ИП230400618900046.jpeg","Скачать индивидуальный QR-код магазина")</f>
        <v>Скачать индивидуальный QR-код магазина</v>
      </c>
    </row>
    <row r="4184" spans="1:7" x14ac:dyDescent="0.25">
      <c r="A4184" t="s">
        <v>13087</v>
      </c>
      <c r="B4184" t="s">
        <v>13574</v>
      </c>
      <c r="C4184" t="s">
        <v>3246</v>
      </c>
      <c r="D4184" t="s">
        <v>3247</v>
      </c>
      <c r="E4184" t="s">
        <v>3248</v>
      </c>
      <c r="F4184" t="s">
        <v>13575</v>
      </c>
      <c r="G4184" s="2" t="str">
        <f>HYPERLINK("https://probpalata.gov.ru/files/ИП230400618900047.jpeg","Скачать индивидуальный QR-код магазина")</f>
        <v>Скачать индивидуальный QR-код магазина</v>
      </c>
    </row>
    <row r="4185" spans="1:7" x14ac:dyDescent="0.25">
      <c r="A4185" t="s">
        <v>13087</v>
      </c>
      <c r="B4185" t="s">
        <v>13576</v>
      </c>
      <c r="C4185" t="s">
        <v>3246</v>
      </c>
      <c r="D4185" t="s">
        <v>3247</v>
      </c>
      <c r="E4185" t="s">
        <v>3248</v>
      </c>
      <c r="F4185" t="s">
        <v>13577</v>
      </c>
      <c r="G4185" s="2" t="str">
        <f>HYPERLINK("https://probpalata.gov.ru/files/ИП230400618900049.jpeg","Скачать индивидуальный QR-код магазина")</f>
        <v>Скачать индивидуальный QR-код магазина</v>
      </c>
    </row>
    <row r="4186" spans="1:7" x14ac:dyDescent="0.25">
      <c r="A4186" t="s">
        <v>13087</v>
      </c>
      <c r="B4186" t="s">
        <v>13578</v>
      </c>
      <c r="C4186" t="s">
        <v>3246</v>
      </c>
      <c r="D4186" t="s">
        <v>3247</v>
      </c>
      <c r="E4186" t="s">
        <v>3248</v>
      </c>
      <c r="F4186" t="s">
        <v>13579</v>
      </c>
      <c r="G4186" s="2" t="str">
        <f>HYPERLINK("https://probpalata.gov.ru/files/ИП230400618900050.jpeg","Скачать индивидуальный QR-код магазина")</f>
        <v>Скачать индивидуальный QR-код магазина</v>
      </c>
    </row>
    <row r="4187" spans="1:7" x14ac:dyDescent="0.25">
      <c r="A4187" t="s">
        <v>13087</v>
      </c>
      <c r="B4187" t="s">
        <v>13580</v>
      </c>
      <c r="C4187" t="s">
        <v>3246</v>
      </c>
      <c r="D4187" t="s">
        <v>3247</v>
      </c>
      <c r="E4187" t="s">
        <v>3248</v>
      </c>
      <c r="F4187" t="s">
        <v>13581</v>
      </c>
      <c r="G4187" s="2" t="str">
        <f>HYPERLINK("https://probpalata.gov.ru/files/ИП230400618900052.jpeg","Скачать индивидуальный QR-код магазина")</f>
        <v>Скачать индивидуальный QR-код магазина</v>
      </c>
    </row>
    <row r="4188" spans="1:7" x14ac:dyDescent="0.25">
      <c r="A4188" t="s">
        <v>13087</v>
      </c>
      <c r="B4188" t="s">
        <v>13582</v>
      </c>
      <c r="C4188" t="s">
        <v>3246</v>
      </c>
      <c r="D4188" t="s">
        <v>3247</v>
      </c>
      <c r="E4188" t="s">
        <v>3248</v>
      </c>
      <c r="F4188" t="s">
        <v>13583</v>
      </c>
      <c r="G4188" s="2" t="str">
        <f>HYPERLINK("https://probpalata.gov.ru/files/ИП230400618900053.jpeg","Скачать индивидуальный QR-код магазина")</f>
        <v>Скачать индивидуальный QR-код магазина</v>
      </c>
    </row>
    <row r="4189" spans="1:7" x14ac:dyDescent="0.25">
      <c r="A4189" t="s">
        <v>13087</v>
      </c>
      <c r="B4189" t="s">
        <v>13584</v>
      </c>
      <c r="C4189" t="s">
        <v>3246</v>
      </c>
      <c r="D4189" t="s">
        <v>3247</v>
      </c>
      <c r="E4189" t="s">
        <v>3248</v>
      </c>
      <c r="F4189" t="s">
        <v>13585</v>
      </c>
      <c r="G4189" s="2" t="str">
        <f>HYPERLINK("https://probpalata.gov.ru/files/ИП230400618900060.jpeg","Скачать индивидуальный QR-код магазина")</f>
        <v>Скачать индивидуальный QR-код магазина</v>
      </c>
    </row>
    <row r="4190" spans="1:7" x14ac:dyDescent="0.25">
      <c r="A4190" t="s">
        <v>13087</v>
      </c>
      <c r="B4190" t="s">
        <v>13586</v>
      </c>
      <c r="C4190" t="s">
        <v>13587</v>
      </c>
      <c r="D4190" t="s">
        <v>13588</v>
      </c>
      <c r="E4190" t="s">
        <v>13589</v>
      </c>
      <c r="F4190" t="s">
        <v>13590</v>
      </c>
      <c r="G4190" s="2" t="str">
        <f>HYPERLINK("https://probpalata.gov.ru/files/ИП230400835900000.jpeg","Скачать индивидуальный QR-код магазина")</f>
        <v>Скачать индивидуальный QR-код магазина</v>
      </c>
    </row>
    <row r="4191" spans="1:7" x14ac:dyDescent="0.25">
      <c r="A4191" t="s">
        <v>13087</v>
      </c>
      <c r="B4191" t="s">
        <v>13591</v>
      </c>
      <c r="C4191" t="s">
        <v>13592</v>
      </c>
      <c r="D4191" t="s">
        <v>13593</v>
      </c>
      <c r="E4191" t="s">
        <v>13594</v>
      </c>
      <c r="F4191" t="s">
        <v>13595</v>
      </c>
      <c r="G4191" s="2" t="str">
        <f>HYPERLINK("https://probpalata.gov.ru/files/ИП230400873400000.jpeg","Скачать индивидуальный QR-код магазина")</f>
        <v>Скачать индивидуальный QR-код магазина</v>
      </c>
    </row>
    <row r="4192" spans="1:7" x14ac:dyDescent="0.25">
      <c r="A4192" t="s">
        <v>13087</v>
      </c>
      <c r="B4192" t="s">
        <v>13596</v>
      </c>
      <c r="C4192" t="s">
        <v>13597</v>
      </c>
      <c r="D4192" t="s">
        <v>13598</v>
      </c>
      <c r="E4192" t="s">
        <v>13599</v>
      </c>
      <c r="F4192" t="s">
        <v>13600</v>
      </c>
      <c r="G4192" s="2" t="str">
        <f>HYPERLINK("https://probpalata.gov.ru/files/ИП230400477500000.jpeg","Скачать индивидуальный QR-код магазина")</f>
        <v>Скачать индивидуальный QR-код магазина</v>
      </c>
    </row>
    <row r="4193" spans="1:7" x14ac:dyDescent="0.25">
      <c r="A4193" t="s">
        <v>13087</v>
      </c>
      <c r="B4193" t="s">
        <v>13601</v>
      </c>
      <c r="C4193" t="s">
        <v>13602</v>
      </c>
      <c r="D4193" t="s">
        <v>13603</v>
      </c>
      <c r="E4193" t="s">
        <v>13604</v>
      </c>
      <c r="F4193" t="s">
        <v>13605</v>
      </c>
      <c r="G4193" s="2" t="str">
        <f>HYPERLINK("https://probpalata.gov.ru/files/ИП230401138800000.jpeg","Скачать индивидуальный QR-код магазина")</f>
        <v>Скачать индивидуальный QR-код магазина</v>
      </c>
    </row>
    <row r="4194" spans="1:7" x14ac:dyDescent="0.25">
      <c r="A4194" t="s">
        <v>13087</v>
      </c>
      <c r="B4194" t="s">
        <v>13606</v>
      </c>
      <c r="C4194" t="s">
        <v>13607</v>
      </c>
      <c r="D4194" t="s">
        <v>13608</v>
      </c>
      <c r="E4194" t="s">
        <v>13609</v>
      </c>
      <c r="F4194" t="s">
        <v>13610</v>
      </c>
      <c r="G4194" s="2" t="str">
        <f>HYPERLINK("https://probpalata.gov.ru/files/ЮЛ230403107400002.jpeg","Скачать индивидуальный QR-код магазина")</f>
        <v>Скачать индивидуальный QR-код магазина</v>
      </c>
    </row>
    <row r="4195" spans="1:7" x14ac:dyDescent="0.25">
      <c r="A4195" t="s">
        <v>13087</v>
      </c>
      <c r="B4195" t="s">
        <v>13611</v>
      </c>
      <c r="C4195" t="s">
        <v>13607</v>
      </c>
      <c r="D4195" t="s">
        <v>13608</v>
      </c>
      <c r="E4195" t="s">
        <v>13609</v>
      </c>
      <c r="F4195" t="s">
        <v>13612</v>
      </c>
      <c r="G4195" s="2" t="str">
        <f>HYPERLINK("https://probpalata.gov.ru/files/ЮЛ230403107400014.jpeg","Скачать индивидуальный QR-код магазина")</f>
        <v>Скачать индивидуальный QR-код магазина</v>
      </c>
    </row>
    <row r="4196" spans="1:7" x14ac:dyDescent="0.25">
      <c r="A4196" t="s">
        <v>13087</v>
      </c>
      <c r="B4196" t="s">
        <v>13613</v>
      </c>
      <c r="C4196" t="s">
        <v>13607</v>
      </c>
      <c r="D4196" t="s">
        <v>13608</v>
      </c>
      <c r="E4196" t="s">
        <v>13609</v>
      </c>
      <c r="F4196" t="s">
        <v>13614</v>
      </c>
      <c r="G4196" s="2" t="str">
        <f>HYPERLINK("https://probpalata.gov.ru/files/ЮЛ230403107400031.jpeg","Скачать индивидуальный QR-код магазина")</f>
        <v>Скачать индивидуальный QR-код магазина</v>
      </c>
    </row>
    <row r="4197" spans="1:7" x14ac:dyDescent="0.25">
      <c r="A4197" t="s">
        <v>13087</v>
      </c>
      <c r="B4197" t="s">
        <v>13615</v>
      </c>
      <c r="C4197" t="s">
        <v>13616</v>
      </c>
      <c r="D4197" t="s">
        <v>13617</v>
      </c>
      <c r="E4197" t="s">
        <v>13618</v>
      </c>
      <c r="F4197" t="s">
        <v>13619</v>
      </c>
      <c r="G4197" s="2" t="str">
        <f>HYPERLINK("https://probpalata.gov.ru/files/ЮЛ230403675300000.jpeg","Скачать индивидуальный QR-код магазина")</f>
        <v>Скачать индивидуальный QR-код магазина</v>
      </c>
    </row>
    <row r="4198" spans="1:7" x14ac:dyDescent="0.25">
      <c r="A4198" t="s">
        <v>13087</v>
      </c>
      <c r="B4198" t="s">
        <v>13620</v>
      </c>
      <c r="C4198" t="s">
        <v>13621</v>
      </c>
      <c r="D4198" t="s">
        <v>13622</v>
      </c>
      <c r="E4198" t="s">
        <v>13623</v>
      </c>
      <c r="F4198" t="s">
        <v>13624</v>
      </c>
      <c r="G4198" s="2" t="str">
        <f>HYPERLINK("https://probpalata.gov.ru/files/ИП230403696300000.jpeg","Скачать индивидуальный QR-код магазина")</f>
        <v>Скачать индивидуальный QR-код магазина</v>
      </c>
    </row>
    <row r="4199" spans="1:7" x14ac:dyDescent="0.25">
      <c r="A4199" t="s">
        <v>13087</v>
      </c>
      <c r="B4199" t="s">
        <v>13625</v>
      </c>
      <c r="C4199" t="s">
        <v>13626</v>
      </c>
      <c r="D4199" t="s">
        <v>13627</v>
      </c>
      <c r="E4199" t="s">
        <v>13628</v>
      </c>
      <c r="F4199" t="s">
        <v>13629</v>
      </c>
      <c r="G4199" s="2" t="str">
        <f>HYPERLINK("https://probpalata.gov.ru/files/ИП230401836000000.jpeg","Скачать индивидуальный QR-код магазина")</f>
        <v>Скачать индивидуальный QR-код магазина</v>
      </c>
    </row>
    <row r="4200" spans="1:7" x14ac:dyDescent="0.25">
      <c r="A4200" t="s">
        <v>13087</v>
      </c>
      <c r="B4200" t="s">
        <v>13630</v>
      </c>
      <c r="C4200" t="s">
        <v>13631</v>
      </c>
      <c r="D4200" t="s">
        <v>13632</v>
      </c>
      <c r="E4200" t="s">
        <v>13633</v>
      </c>
      <c r="F4200" t="s">
        <v>13634</v>
      </c>
      <c r="G4200" s="2" t="str">
        <f>HYPERLINK("https://probpalata.gov.ru/files/ИП010400993600000.jpeg","Скачать индивидуальный QR-код магазина")</f>
        <v>Скачать индивидуальный QR-код магазина</v>
      </c>
    </row>
    <row r="4201" spans="1:7" x14ac:dyDescent="0.25">
      <c r="A4201" t="s">
        <v>13087</v>
      </c>
      <c r="B4201" t="s">
        <v>13635</v>
      </c>
      <c r="C4201" t="s">
        <v>13631</v>
      </c>
      <c r="D4201" t="s">
        <v>13632</v>
      </c>
      <c r="E4201" t="s">
        <v>13633</v>
      </c>
      <c r="F4201" t="s">
        <v>13636</v>
      </c>
      <c r="G4201" s="2" t="str">
        <f>HYPERLINK("https://probpalata.gov.ru/files/ИП010400993600001.jpeg","Скачать индивидуальный QR-код магазина")</f>
        <v>Скачать индивидуальный QR-код магазина</v>
      </c>
    </row>
    <row r="4202" spans="1:7" x14ac:dyDescent="0.25">
      <c r="A4202" t="s">
        <v>13087</v>
      </c>
      <c r="B4202" t="s">
        <v>13637</v>
      </c>
      <c r="C4202" t="s">
        <v>13631</v>
      </c>
      <c r="D4202" t="s">
        <v>13632</v>
      </c>
      <c r="E4202" t="s">
        <v>13633</v>
      </c>
      <c r="F4202" t="s">
        <v>13638</v>
      </c>
      <c r="G4202" s="2" t="str">
        <f>HYPERLINK("https://probpalata.gov.ru/files/ИП010400993600002.jpeg","Скачать индивидуальный QR-код магазина")</f>
        <v>Скачать индивидуальный QR-код магазина</v>
      </c>
    </row>
    <row r="4203" spans="1:7" x14ac:dyDescent="0.25">
      <c r="A4203" t="s">
        <v>13087</v>
      </c>
      <c r="B4203" t="s">
        <v>13639</v>
      </c>
      <c r="C4203" t="s">
        <v>13631</v>
      </c>
      <c r="D4203" t="s">
        <v>13632</v>
      </c>
      <c r="E4203" t="s">
        <v>13633</v>
      </c>
      <c r="F4203" t="s">
        <v>13640</v>
      </c>
      <c r="G4203" s="2" t="str">
        <f>HYPERLINK("https://probpalata.gov.ru/files/ИП010400993600005.jpeg","Скачать индивидуальный QR-код магазина")</f>
        <v>Скачать индивидуальный QR-код магазина</v>
      </c>
    </row>
    <row r="4204" spans="1:7" x14ac:dyDescent="0.25">
      <c r="A4204" t="s">
        <v>13087</v>
      </c>
      <c r="B4204" t="s">
        <v>13641</v>
      </c>
      <c r="C4204" t="s">
        <v>13631</v>
      </c>
      <c r="D4204" t="s">
        <v>13632</v>
      </c>
      <c r="E4204" t="s">
        <v>13633</v>
      </c>
      <c r="F4204" t="s">
        <v>13642</v>
      </c>
      <c r="G4204" s="2" t="str">
        <f>HYPERLINK("https://probpalata.gov.ru/files/ИП010400993600007.jpeg","Скачать индивидуальный QR-код магазина")</f>
        <v>Скачать индивидуальный QR-код магазина</v>
      </c>
    </row>
    <row r="4205" spans="1:7" x14ac:dyDescent="0.25">
      <c r="A4205" t="s">
        <v>13087</v>
      </c>
      <c r="B4205" t="s">
        <v>13643</v>
      </c>
      <c r="C4205" t="s">
        <v>13631</v>
      </c>
      <c r="D4205" t="s">
        <v>13632</v>
      </c>
      <c r="E4205" t="s">
        <v>13633</v>
      </c>
      <c r="F4205" t="s">
        <v>13644</v>
      </c>
      <c r="G4205" s="2" t="str">
        <f>HYPERLINK("https://probpalata.gov.ru/files/ИП010400993600013.jpeg","Скачать индивидуальный QR-код магазина")</f>
        <v>Скачать индивидуальный QR-код магазина</v>
      </c>
    </row>
    <row r="4206" spans="1:7" x14ac:dyDescent="0.25">
      <c r="A4206" t="s">
        <v>13087</v>
      </c>
      <c r="B4206" t="s">
        <v>13215</v>
      </c>
      <c r="C4206" t="s">
        <v>13631</v>
      </c>
      <c r="D4206" t="s">
        <v>13632</v>
      </c>
      <c r="E4206" t="s">
        <v>13633</v>
      </c>
      <c r="F4206" t="s">
        <v>13645</v>
      </c>
      <c r="G4206" s="2" t="str">
        <f>HYPERLINK("https://probpalata.gov.ru/files/ИП010400993600014.jpeg","Скачать индивидуальный QR-код магазина")</f>
        <v>Скачать индивидуальный QR-код магазина</v>
      </c>
    </row>
    <row r="4207" spans="1:7" x14ac:dyDescent="0.25">
      <c r="A4207" t="s">
        <v>13087</v>
      </c>
      <c r="B4207" t="s">
        <v>13646</v>
      </c>
      <c r="C4207" t="s">
        <v>13631</v>
      </c>
      <c r="D4207" t="s">
        <v>13632</v>
      </c>
      <c r="E4207" t="s">
        <v>13633</v>
      </c>
      <c r="F4207" t="s">
        <v>13647</v>
      </c>
      <c r="G4207" s="2" t="str">
        <f>HYPERLINK("https://probpalata.gov.ru/files/ИП010400993600015.jpeg","Скачать индивидуальный QR-код магазина")</f>
        <v>Скачать индивидуальный QR-код магазина</v>
      </c>
    </row>
    <row r="4208" spans="1:7" x14ac:dyDescent="0.25">
      <c r="A4208" t="s">
        <v>13087</v>
      </c>
      <c r="B4208" t="s">
        <v>13648</v>
      </c>
      <c r="C4208" t="s">
        <v>13631</v>
      </c>
      <c r="D4208" t="s">
        <v>13632</v>
      </c>
      <c r="E4208" t="s">
        <v>13633</v>
      </c>
      <c r="F4208" t="s">
        <v>13649</v>
      </c>
      <c r="G4208" s="2" t="str">
        <f>HYPERLINK("https://probpalata.gov.ru/files/ИП010400993600017.jpeg","Скачать индивидуальный QR-код магазина")</f>
        <v>Скачать индивидуальный QR-код магазина</v>
      </c>
    </row>
    <row r="4209" spans="1:7" x14ac:dyDescent="0.25">
      <c r="A4209" t="s">
        <v>13087</v>
      </c>
      <c r="B4209" t="s">
        <v>13650</v>
      </c>
      <c r="C4209" t="s">
        <v>13651</v>
      </c>
      <c r="D4209" t="s">
        <v>13652</v>
      </c>
      <c r="E4209" t="s">
        <v>13653</v>
      </c>
      <c r="F4209" t="s">
        <v>13654</v>
      </c>
      <c r="G4209" s="2" t="str">
        <f>HYPERLINK("https://probpalata.gov.ru/files/ИП230401249900000.jpeg","Скачать индивидуальный QR-код магазина")</f>
        <v>Скачать индивидуальный QR-код магазина</v>
      </c>
    </row>
    <row r="4210" spans="1:7" x14ac:dyDescent="0.25">
      <c r="A4210" t="s">
        <v>13087</v>
      </c>
      <c r="B4210" t="s">
        <v>13655</v>
      </c>
      <c r="C4210" t="s">
        <v>13656</v>
      </c>
      <c r="D4210" t="s">
        <v>13657</v>
      </c>
      <c r="E4210" t="s">
        <v>13658</v>
      </c>
      <c r="F4210" t="s">
        <v>13659</v>
      </c>
      <c r="G4210" s="2" t="str">
        <f>HYPERLINK("https://probpalata.gov.ru/files/ИП230400423900000.jpeg","Скачать индивидуальный QR-код магазина")</f>
        <v>Скачать индивидуальный QR-код магазина</v>
      </c>
    </row>
    <row r="4211" spans="1:7" x14ac:dyDescent="0.25">
      <c r="A4211" t="s">
        <v>13087</v>
      </c>
      <c r="B4211" t="s">
        <v>13660</v>
      </c>
      <c r="C4211" t="s">
        <v>13661</v>
      </c>
      <c r="D4211" t="s">
        <v>13662</v>
      </c>
      <c r="E4211" t="s">
        <v>13663</v>
      </c>
      <c r="F4211" t="s">
        <v>13664</v>
      </c>
      <c r="G4211" s="2" t="str">
        <f>HYPERLINK("https://probpalata.gov.ru/files/ИП230403251000000.jpeg","Скачать индивидуальный QR-код магазина")</f>
        <v>Скачать индивидуальный QR-код магазина</v>
      </c>
    </row>
    <row r="4212" spans="1:7" x14ac:dyDescent="0.25">
      <c r="A4212" t="s">
        <v>13087</v>
      </c>
      <c r="B4212" t="s">
        <v>13665</v>
      </c>
      <c r="C4212" t="s">
        <v>13666</v>
      </c>
      <c r="D4212" t="s">
        <v>13667</v>
      </c>
      <c r="E4212" t="s">
        <v>13668</v>
      </c>
      <c r="F4212" t="s">
        <v>13669</v>
      </c>
      <c r="G4212" s="2" t="str">
        <f>HYPERLINK("https://probpalata.gov.ru/files/ИП230400482200000.jpeg","Скачать индивидуальный QR-код магазина")</f>
        <v>Скачать индивидуальный QR-код магазина</v>
      </c>
    </row>
    <row r="4213" spans="1:7" x14ac:dyDescent="0.25">
      <c r="A4213" t="s">
        <v>13087</v>
      </c>
      <c r="B4213" t="s">
        <v>13670</v>
      </c>
      <c r="C4213" t="s">
        <v>13666</v>
      </c>
      <c r="D4213" t="s">
        <v>13667</v>
      </c>
      <c r="E4213" t="s">
        <v>13668</v>
      </c>
      <c r="F4213" t="s">
        <v>13671</v>
      </c>
      <c r="G4213" s="2" t="str">
        <f>HYPERLINK("https://probpalata.gov.ru/files/ИП230400482200001.jpeg","Скачать индивидуальный QR-код магазина")</f>
        <v>Скачать индивидуальный QR-код магазина</v>
      </c>
    </row>
    <row r="4214" spans="1:7" x14ac:dyDescent="0.25">
      <c r="A4214" t="s">
        <v>13087</v>
      </c>
      <c r="B4214" t="s">
        <v>13672</v>
      </c>
      <c r="C4214" t="s">
        <v>13673</v>
      </c>
      <c r="D4214" t="s">
        <v>13674</v>
      </c>
      <c r="E4214" t="s">
        <v>13675</v>
      </c>
      <c r="F4214" t="s">
        <v>13676</v>
      </c>
      <c r="G4214" s="2" t="str">
        <f>HYPERLINK("https://probpalata.gov.ru/files/ИП230403777000000.jpeg","Скачать индивидуальный QR-код магазина")</f>
        <v>Скачать индивидуальный QR-код магазина</v>
      </c>
    </row>
    <row r="4215" spans="1:7" x14ac:dyDescent="0.25">
      <c r="A4215" t="s">
        <v>13087</v>
      </c>
      <c r="B4215" t="s">
        <v>13677</v>
      </c>
      <c r="C4215" t="s">
        <v>13678</v>
      </c>
      <c r="D4215" t="s">
        <v>13679</v>
      </c>
      <c r="E4215" t="s">
        <v>13680</v>
      </c>
      <c r="F4215" t="s">
        <v>13681</v>
      </c>
      <c r="G4215" s="2" t="str">
        <f>HYPERLINK("https://probpalata.gov.ru/files/ЮЛ230400146600000.jpeg","Скачать индивидуальный QR-код магазина")</f>
        <v>Скачать индивидуальный QR-код магазина</v>
      </c>
    </row>
    <row r="4216" spans="1:7" x14ac:dyDescent="0.25">
      <c r="A4216" t="s">
        <v>13087</v>
      </c>
      <c r="B4216" t="s">
        <v>13682</v>
      </c>
      <c r="C4216" t="s">
        <v>13683</v>
      </c>
      <c r="D4216" t="s">
        <v>13684</v>
      </c>
      <c r="E4216" t="s">
        <v>13685</v>
      </c>
      <c r="F4216" t="s">
        <v>13686</v>
      </c>
      <c r="G4216" s="2" t="str">
        <f>HYPERLINK("https://probpalata.gov.ru/files/ИП230403774000000.jpeg","Скачать индивидуальный QR-код магазина")</f>
        <v>Скачать индивидуальный QR-код магазина</v>
      </c>
    </row>
    <row r="4217" spans="1:7" x14ac:dyDescent="0.25">
      <c r="A4217" t="s">
        <v>13087</v>
      </c>
      <c r="B4217" t="s">
        <v>13687</v>
      </c>
      <c r="C4217" t="s">
        <v>13688</v>
      </c>
      <c r="D4217" t="s">
        <v>13689</v>
      </c>
      <c r="E4217" t="s">
        <v>13690</v>
      </c>
      <c r="F4217" t="s">
        <v>13691</v>
      </c>
      <c r="G4217" s="2" t="str">
        <f>HYPERLINK("https://probpalata.gov.ru/files/ЮЛ230403377800000.jpeg","Скачать индивидуальный QR-код магазина")</f>
        <v>Скачать индивидуальный QR-код магазина</v>
      </c>
    </row>
    <row r="4218" spans="1:7" x14ac:dyDescent="0.25">
      <c r="A4218" t="s">
        <v>13087</v>
      </c>
      <c r="B4218" t="s">
        <v>13692</v>
      </c>
      <c r="C4218" t="s">
        <v>13693</v>
      </c>
      <c r="D4218" t="s">
        <v>13694</v>
      </c>
      <c r="E4218" t="s">
        <v>13695</v>
      </c>
      <c r="F4218" t="s">
        <v>13696</v>
      </c>
      <c r="G4218" s="2" t="str">
        <f>HYPERLINK("https://probpalata.gov.ru/files/ИП230403464600000.jpeg","Скачать индивидуальный QR-код магазина")</f>
        <v>Скачать индивидуальный QR-код магазина</v>
      </c>
    </row>
    <row r="4219" spans="1:7" x14ac:dyDescent="0.25">
      <c r="A4219" t="s">
        <v>13087</v>
      </c>
      <c r="B4219" t="s">
        <v>13697</v>
      </c>
      <c r="C4219" t="s">
        <v>13698</v>
      </c>
      <c r="D4219" t="s">
        <v>13699</v>
      </c>
      <c r="E4219" t="s">
        <v>13700</v>
      </c>
      <c r="F4219" t="s">
        <v>13701</v>
      </c>
      <c r="G4219" s="2" t="str">
        <f>HYPERLINK("https://probpalata.gov.ru/files/ИП230403640500000.jpeg","Скачать индивидуальный QR-код магазина")</f>
        <v>Скачать индивидуальный QR-код магазина</v>
      </c>
    </row>
    <row r="4220" spans="1:7" x14ac:dyDescent="0.25">
      <c r="A4220" t="s">
        <v>13087</v>
      </c>
      <c r="B4220" t="s">
        <v>13702</v>
      </c>
      <c r="C4220" t="s">
        <v>13703</v>
      </c>
      <c r="D4220" t="s">
        <v>13704</v>
      </c>
      <c r="E4220" t="s">
        <v>13705</v>
      </c>
      <c r="F4220" t="s">
        <v>13706</v>
      </c>
      <c r="G4220" s="2" t="str">
        <f>HYPERLINK("https://probpalata.gov.ru/files/ИП230401037400000.jpeg","Скачать индивидуальный QR-код магазина")</f>
        <v>Скачать индивидуальный QR-код магазина</v>
      </c>
    </row>
    <row r="4221" spans="1:7" x14ac:dyDescent="0.25">
      <c r="A4221" t="s">
        <v>13087</v>
      </c>
      <c r="B4221" t="s">
        <v>13707</v>
      </c>
      <c r="C4221" t="s">
        <v>13703</v>
      </c>
      <c r="D4221" t="s">
        <v>13704</v>
      </c>
      <c r="E4221" t="s">
        <v>13705</v>
      </c>
      <c r="F4221" t="s">
        <v>13708</v>
      </c>
      <c r="G4221" s="2" t="str">
        <f>HYPERLINK("https://probpalata.gov.ru/files/ИП230401037400002.jpeg","Скачать индивидуальный QR-код магазина")</f>
        <v>Скачать индивидуальный QR-код магазина</v>
      </c>
    </row>
    <row r="4222" spans="1:7" x14ac:dyDescent="0.25">
      <c r="A4222" t="s">
        <v>13087</v>
      </c>
      <c r="B4222" t="s">
        <v>13709</v>
      </c>
      <c r="C4222" t="s">
        <v>13703</v>
      </c>
      <c r="D4222" t="s">
        <v>13704</v>
      </c>
      <c r="E4222" t="s">
        <v>13705</v>
      </c>
      <c r="F4222" t="s">
        <v>13710</v>
      </c>
      <c r="G4222" s="2" t="str">
        <f>HYPERLINK("https://probpalata.gov.ru/files/ИП230401037400004.jpeg","Скачать индивидуальный QR-код магазина")</f>
        <v>Скачать индивидуальный QR-код магазина</v>
      </c>
    </row>
    <row r="4223" spans="1:7" x14ac:dyDescent="0.25">
      <c r="A4223" t="s">
        <v>13087</v>
      </c>
      <c r="B4223" t="s">
        <v>13711</v>
      </c>
      <c r="C4223" t="s">
        <v>13703</v>
      </c>
      <c r="D4223" t="s">
        <v>13704</v>
      </c>
      <c r="E4223" t="s">
        <v>13705</v>
      </c>
      <c r="F4223" t="s">
        <v>13712</v>
      </c>
      <c r="G4223" s="2" t="str">
        <f>HYPERLINK("https://probpalata.gov.ru/files/ИП230401037400005.jpeg","Скачать индивидуальный QR-код магазина")</f>
        <v>Скачать индивидуальный QR-код магазина</v>
      </c>
    </row>
    <row r="4224" spans="1:7" x14ac:dyDescent="0.25">
      <c r="A4224" t="s">
        <v>13087</v>
      </c>
      <c r="B4224" t="s">
        <v>13713</v>
      </c>
      <c r="C4224" t="s">
        <v>13703</v>
      </c>
      <c r="D4224" t="s">
        <v>13704</v>
      </c>
      <c r="E4224" t="s">
        <v>13705</v>
      </c>
      <c r="F4224" t="s">
        <v>13714</v>
      </c>
      <c r="G4224" s="2" t="str">
        <f>HYPERLINK("https://probpalata.gov.ru/files/ИП230401037400008.jpeg","Скачать индивидуальный QR-код магазина")</f>
        <v>Скачать индивидуальный QR-код магазина</v>
      </c>
    </row>
    <row r="4225" spans="1:7" x14ac:dyDescent="0.25">
      <c r="A4225" t="s">
        <v>13087</v>
      </c>
      <c r="B4225" t="s">
        <v>13715</v>
      </c>
      <c r="C4225" t="s">
        <v>13716</v>
      </c>
      <c r="D4225" t="s">
        <v>13717</v>
      </c>
      <c r="E4225" t="s">
        <v>13718</v>
      </c>
      <c r="F4225" t="s">
        <v>13719</v>
      </c>
      <c r="G4225" s="2" t="str">
        <f>HYPERLINK("https://probpalata.gov.ru/files/ИП230400071300000.jpeg","Скачать индивидуальный QR-код магазина")</f>
        <v>Скачать индивидуальный QR-код магазина</v>
      </c>
    </row>
    <row r="4226" spans="1:7" x14ac:dyDescent="0.25">
      <c r="A4226" t="s">
        <v>13087</v>
      </c>
      <c r="B4226" t="s">
        <v>13720</v>
      </c>
      <c r="C4226" t="s">
        <v>13721</v>
      </c>
      <c r="D4226" t="s">
        <v>13722</v>
      </c>
      <c r="E4226" t="s">
        <v>13723</v>
      </c>
      <c r="F4226" t="s">
        <v>13724</v>
      </c>
      <c r="G4226" s="2" t="str">
        <f>HYPERLINK("https://probpalata.gov.ru/files/ИП230400662500000.jpeg","Скачать индивидуальный QR-код магазина")</f>
        <v>Скачать индивидуальный QR-код магазина</v>
      </c>
    </row>
    <row r="4227" spans="1:7" x14ac:dyDescent="0.25">
      <c r="A4227" t="s">
        <v>13087</v>
      </c>
      <c r="B4227" t="s">
        <v>13725</v>
      </c>
      <c r="C4227" t="s">
        <v>13721</v>
      </c>
      <c r="D4227" t="s">
        <v>13722</v>
      </c>
      <c r="E4227" t="s">
        <v>13723</v>
      </c>
      <c r="F4227" t="s">
        <v>13726</v>
      </c>
      <c r="G4227" s="2" t="str">
        <f>HYPERLINK("https://probpalata.gov.ru/files/ИП230400662500001.jpeg","Скачать индивидуальный QR-код магазина")</f>
        <v>Скачать индивидуальный QR-код магазина</v>
      </c>
    </row>
    <row r="4228" spans="1:7" x14ac:dyDescent="0.25">
      <c r="A4228" t="s">
        <v>13087</v>
      </c>
      <c r="B4228" t="s">
        <v>13727</v>
      </c>
      <c r="C4228" t="s">
        <v>13728</v>
      </c>
      <c r="D4228" t="s">
        <v>13729</v>
      </c>
      <c r="E4228" t="s">
        <v>13730</v>
      </c>
      <c r="F4228" t="s">
        <v>13731</v>
      </c>
      <c r="G4228" s="2" t="str">
        <f>HYPERLINK("https://probpalata.gov.ru/files/ЮЛ230400410900004.jpeg","Скачать индивидуальный QR-код магазина")</f>
        <v>Скачать индивидуальный QR-код магазина</v>
      </c>
    </row>
    <row r="4229" spans="1:7" x14ac:dyDescent="0.25">
      <c r="A4229" t="s">
        <v>13087</v>
      </c>
      <c r="B4229" t="s">
        <v>13732</v>
      </c>
      <c r="C4229" t="s">
        <v>13733</v>
      </c>
      <c r="D4229" t="s">
        <v>13734</v>
      </c>
      <c r="E4229" t="s">
        <v>13735</v>
      </c>
      <c r="F4229" t="s">
        <v>13736</v>
      </c>
      <c r="G4229" s="2" t="str">
        <f>HYPERLINK("https://probpalata.gov.ru/files/ИП010401029000000.jpeg","Скачать индивидуальный QR-код магазина")</f>
        <v>Скачать индивидуальный QR-код магазина</v>
      </c>
    </row>
    <row r="4230" spans="1:7" x14ac:dyDescent="0.25">
      <c r="A4230" t="s">
        <v>13087</v>
      </c>
      <c r="B4230" t="s">
        <v>13737</v>
      </c>
      <c r="C4230" t="s">
        <v>13733</v>
      </c>
      <c r="D4230" t="s">
        <v>13734</v>
      </c>
      <c r="E4230" t="s">
        <v>13735</v>
      </c>
      <c r="F4230" t="s">
        <v>13738</v>
      </c>
      <c r="G4230" s="2" t="str">
        <f>HYPERLINK("https://probpalata.gov.ru/files/ИП010401029000002.jpeg","Скачать индивидуальный QR-код магазина")</f>
        <v>Скачать индивидуальный QR-код магазина</v>
      </c>
    </row>
    <row r="4231" spans="1:7" x14ac:dyDescent="0.25">
      <c r="A4231" t="s">
        <v>13087</v>
      </c>
      <c r="B4231" t="s">
        <v>13739</v>
      </c>
      <c r="C4231" t="s">
        <v>13733</v>
      </c>
      <c r="D4231" t="s">
        <v>13734</v>
      </c>
      <c r="E4231" t="s">
        <v>13735</v>
      </c>
      <c r="F4231" t="s">
        <v>13740</v>
      </c>
      <c r="G4231" s="2" t="str">
        <f>HYPERLINK("https://probpalata.gov.ru/files/ИП010401029000005.jpeg","Скачать индивидуальный QR-код магазина")</f>
        <v>Скачать индивидуальный QR-код магазина</v>
      </c>
    </row>
    <row r="4232" spans="1:7" x14ac:dyDescent="0.25">
      <c r="A4232" t="s">
        <v>13087</v>
      </c>
      <c r="B4232" t="s">
        <v>13542</v>
      </c>
      <c r="C4232" t="s">
        <v>13733</v>
      </c>
      <c r="D4232" t="s">
        <v>13734</v>
      </c>
      <c r="E4232" t="s">
        <v>13735</v>
      </c>
      <c r="F4232" t="s">
        <v>13741</v>
      </c>
      <c r="G4232" s="2" t="str">
        <f>HYPERLINK("https://probpalata.gov.ru/files/ИП010401029000010.jpeg","Скачать индивидуальный QR-код магазина")</f>
        <v>Скачать индивидуальный QR-код магазина</v>
      </c>
    </row>
    <row r="4233" spans="1:7" x14ac:dyDescent="0.25">
      <c r="A4233" t="s">
        <v>13087</v>
      </c>
      <c r="B4233" t="s">
        <v>13742</v>
      </c>
      <c r="C4233" t="s">
        <v>13733</v>
      </c>
      <c r="D4233" t="s">
        <v>13734</v>
      </c>
      <c r="E4233" t="s">
        <v>13735</v>
      </c>
      <c r="F4233" t="s">
        <v>13743</v>
      </c>
      <c r="G4233" s="2" t="str">
        <f>HYPERLINK("https://probpalata.gov.ru/files/ИП010401029000011.jpeg","Скачать индивидуальный QR-код магазина")</f>
        <v>Скачать индивидуальный QR-код магазина</v>
      </c>
    </row>
    <row r="4234" spans="1:7" x14ac:dyDescent="0.25">
      <c r="A4234" t="s">
        <v>13087</v>
      </c>
      <c r="B4234" t="s">
        <v>13744</v>
      </c>
      <c r="C4234" t="s">
        <v>13733</v>
      </c>
      <c r="D4234" t="s">
        <v>13734</v>
      </c>
      <c r="E4234" t="s">
        <v>13735</v>
      </c>
      <c r="F4234" t="s">
        <v>13745</v>
      </c>
      <c r="G4234" s="2" t="str">
        <f>HYPERLINK("https://probpalata.gov.ru/files/ИП010401029000012.jpeg","Скачать индивидуальный QR-код магазина")</f>
        <v>Скачать индивидуальный QR-код магазина</v>
      </c>
    </row>
    <row r="4235" spans="1:7" x14ac:dyDescent="0.25">
      <c r="A4235" t="s">
        <v>13087</v>
      </c>
      <c r="B4235" t="s">
        <v>13746</v>
      </c>
      <c r="C4235" t="s">
        <v>13733</v>
      </c>
      <c r="D4235" t="s">
        <v>13734</v>
      </c>
      <c r="E4235" t="s">
        <v>13735</v>
      </c>
      <c r="F4235" t="s">
        <v>13747</v>
      </c>
      <c r="G4235" s="2" t="str">
        <f>HYPERLINK("https://probpalata.gov.ru/files/ИП010401029000015.jpeg","Скачать индивидуальный QR-код магазина")</f>
        <v>Скачать индивидуальный QR-код магазина</v>
      </c>
    </row>
    <row r="4236" spans="1:7" x14ac:dyDescent="0.25">
      <c r="A4236" t="s">
        <v>13087</v>
      </c>
      <c r="B4236" t="s">
        <v>13748</v>
      </c>
      <c r="C4236" t="s">
        <v>13749</v>
      </c>
      <c r="D4236" t="s">
        <v>13750</v>
      </c>
      <c r="E4236" t="s">
        <v>13751</v>
      </c>
      <c r="F4236" t="s">
        <v>13752</v>
      </c>
      <c r="G4236" s="2" t="str">
        <f>HYPERLINK("https://probpalata.gov.ru/files/ЮЛ230400023100000.jpeg","Скачать индивидуальный QR-код магазина")</f>
        <v>Скачать индивидуальный QR-код магазина</v>
      </c>
    </row>
    <row r="4237" spans="1:7" x14ac:dyDescent="0.25">
      <c r="A4237" t="s">
        <v>13087</v>
      </c>
      <c r="B4237" t="s">
        <v>13753</v>
      </c>
      <c r="C4237" t="s">
        <v>13754</v>
      </c>
      <c r="D4237" t="s">
        <v>13755</v>
      </c>
      <c r="E4237" t="s">
        <v>13756</v>
      </c>
      <c r="F4237" t="s">
        <v>13757</v>
      </c>
      <c r="G4237" s="2" t="str">
        <f>HYPERLINK("https://probpalata.gov.ru/files/ЮЛ230400023000000.jpeg","Скачать индивидуальный QR-код магазина")</f>
        <v>Скачать индивидуальный QR-код магазина</v>
      </c>
    </row>
    <row r="4238" spans="1:7" x14ac:dyDescent="0.25">
      <c r="A4238" t="s">
        <v>13087</v>
      </c>
      <c r="B4238" t="s">
        <v>13758</v>
      </c>
      <c r="C4238" t="s">
        <v>13759</v>
      </c>
      <c r="D4238" t="s">
        <v>13760</v>
      </c>
      <c r="E4238" t="s">
        <v>13761</v>
      </c>
      <c r="F4238" t="s">
        <v>13762</v>
      </c>
      <c r="G4238" s="2" t="str">
        <f>HYPERLINK("https://probpalata.gov.ru/files/ЮЛ230403936100000.jpeg","Скачать индивидуальный QR-код магазина")</f>
        <v>Скачать индивидуальный QR-код магазина</v>
      </c>
    </row>
    <row r="4239" spans="1:7" x14ac:dyDescent="0.25">
      <c r="A4239" t="s">
        <v>13087</v>
      </c>
      <c r="B4239" t="s">
        <v>13763</v>
      </c>
      <c r="C4239" t="s">
        <v>13764</v>
      </c>
      <c r="D4239" t="s">
        <v>13765</v>
      </c>
      <c r="E4239" t="s">
        <v>13766</v>
      </c>
      <c r="F4239" t="s">
        <v>13767</v>
      </c>
      <c r="G4239" s="2" t="str">
        <f>HYPERLINK("https://probpalata.gov.ru/files/ИП230400425100000.jpeg","Скачать индивидуальный QR-код магазина")</f>
        <v>Скачать индивидуальный QR-код магазина</v>
      </c>
    </row>
    <row r="4240" spans="1:7" x14ac:dyDescent="0.25">
      <c r="A4240" t="s">
        <v>13087</v>
      </c>
      <c r="B4240" t="s">
        <v>13768</v>
      </c>
      <c r="C4240" t="s">
        <v>13769</v>
      </c>
      <c r="D4240" t="s">
        <v>13770</v>
      </c>
      <c r="E4240" t="s">
        <v>13771</v>
      </c>
      <c r="F4240" t="s">
        <v>13772</v>
      </c>
      <c r="G4240" s="2" t="str">
        <f>HYPERLINK("https://probpalata.gov.ru/files/ИП230403535600000.jpeg","Скачать индивидуальный QR-код магазина")</f>
        <v>Скачать индивидуальный QR-код магазина</v>
      </c>
    </row>
    <row r="4241" spans="1:7" x14ac:dyDescent="0.25">
      <c r="A4241" t="s">
        <v>13087</v>
      </c>
      <c r="B4241" t="s">
        <v>13773</v>
      </c>
      <c r="C4241" t="s">
        <v>13774</v>
      </c>
      <c r="D4241" t="s">
        <v>13775</v>
      </c>
      <c r="E4241" t="s">
        <v>13776</v>
      </c>
      <c r="F4241" t="s">
        <v>13777</v>
      </c>
      <c r="G4241" s="2" t="str">
        <f>HYPERLINK("https://probpalata.gov.ru/files/ИП230400170600000.jpeg","Скачать индивидуальный QR-код магазина")</f>
        <v>Скачать индивидуальный QR-код магазина</v>
      </c>
    </row>
    <row r="4242" spans="1:7" x14ac:dyDescent="0.25">
      <c r="A4242" t="s">
        <v>13087</v>
      </c>
      <c r="B4242" t="s">
        <v>13778</v>
      </c>
      <c r="C4242" t="s">
        <v>13779</v>
      </c>
      <c r="D4242" t="s">
        <v>13780</v>
      </c>
      <c r="E4242" t="s">
        <v>13781</v>
      </c>
      <c r="F4242" t="s">
        <v>13782</v>
      </c>
      <c r="G4242" s="2" t="str">
        <f>HYPERLINK("https://probpalata.gov.ru/files/ИП230400987800000.jpeg","Скачать индивидуальный QR-код магазина")</f>
        <v>Скачать индивидуальный QR-код магазина</v>
      </c>
    </row>
    <row r="4243" spans="1:7" x14ac:dyDescent="0.25">
      <c r="A4243" t="s">
        <v>13087</v>
      </c>
      <c r="B4243" t="s">
        <v>13783</v>
      </c>
      <c r="C4243" t="s">
        <v>13784</v>
      </c>
      <c r="D4243" t="s">
        <v>13785</v>
      </c>
      <c r="E4243" t="s">
        <v>13786</v>
      </c>
      <c r="F4243" t="s">
        <v>13787</v>
      </c>
      <c r="G4243" s="2" t="str">
        <f>HYPERLINK("https://probpalata.gov.ru/files/ИП230400023900000.jpeg","Скачать индивидуальный QR-код магазина")</f>
        <v>Скачать индивидуальный QR-код магазина</v>
      </c>
    </row>
    <row r="4244" spans="1:7" x14ac:dyDescent="0.25">
      <c r="A4244" t="s">
        <v>13087</v>
      </c>
      <c r="B4244" t="s">
        <v>13788</v>
      </c>
      <c r="C4244" t="s">
        <v>13784</v>
      </c>
      <c r="D4244" t="s">
        <v>13785</v>
      </c>
      <c r="E4244" t="s">
        <v>13786</v>
      </c>
      <c r="F4244" t="s">
        <v>13789</v>
      </c>
      <c r="G4244" s="2" t="str">
        <f>HYPERLINK("https://probpalata.gov.ru/files/ИП230400023900001.jpeg","Скачать индивидуальный QR-код магазина")</f>
        <v>Скачать индивидуальный QR-код магазина</v>
      </c>
    </row>
    <row r="4245" spans="1:7" x14ac:dyDescent="0.25">
      <c r="A4245" t="s">
        <v>13087</v>
      </c>
      <c r="B4245" t="s">
        <v>13790</v>
      </c>
      <c r="C4245" t="s">
        <v>13784</v>
      </c>
      <c r="D4245" t="s">
        <v>13785</v>
      </c>
      <c r="E4245" t="s">
        <v>13786</v>
      </c>
      <c r="F4245" t="s">
        <v>13791</v>
      </c>
      <c r="G4245" s="2" t="str">
        <f>HYPERLINK("https://probpalata.gov.ru/files/ИП230400023900002.jpeg","Скачать индивидуальный QR-код магазина")</f>
        <v>Скачать индивидуальный QR-код магазина</v>
      </c>
    </row>
    <row r="4246" spans="1:7" x14ac:dyDescent="0.25">
      <c r="A4246" t="s">
        <v>13087</v>
      </c>
      <c r="B4246" t="s">
        <v>13792</v>
      </c>
      <c r="C4246" t="s">
        <v>13784</v>
      </c>
      <c r="D4246" t="s">
        <v>13785</v>
      </c>
      <c r="E4246" t="s">
        <v>13786</v>
      </c>
      <c r="F4246" t="s">
        <v>13793</v>
      </c>
      <c r="G4246" s="2" t="str">
        <f>HYPERLINK("https://probpalata.gov.ru/files/ИП230400023900003.jpeg","Скачать индивидуальный QR-код магазина")</f>
        <v>Скачать индивидуальный QR-код магазина</v>
      </c>
    </row>
    <row r="4247" spans="1:7" x14ac:dyDescent="0.25">
      <c r="A4247" t="s">
        <v>13087</v>
      </c>
      <c r="B4247" t="s">
        <v>13794</v>
      </c>
      <c r="C4247" t="s">
        <v>13784</v>
      </c>
      <c r="D4247" t="s">
        <v>13785</v>
      </c>
      <c r="E4247" t="s">
        <v>13786</v>
      </c>
      <c r="F4247" t="s">
        <v>13795</v>
      </c>
      <c r="G4247" s="2" t="str">
        <f>HYPERLINK("https://probpalata.gov.ru/files/ИП230400023900004.jpeg","Скачать индивидуальный QR-код магазина")</f>
        <v>Скачать индивидуальный QR-код магазина</v>
      </c>
    </row>
    <row r="4248" spans="1:7" x14ac:dyDescent="0.25">
      <c r="A4248" t="s">
        <v>13087</v>
      </c>
      <c r="B4248" t="s">
        <v>13796</v>
      </c>
      <c r="C4248" t="s">
        <v>13784</v>
      </c>
      <c r="D4248" t="s">
        <v>13785</v>
      </c>
      <c r="E4248" t="s">
        <v>13786</v>
      </c>
      <c r="F4248" t="s">
        <v>13797</v>
      </c>
      <c r="G4248" s="2" t="str">
        <f>HYPERLINK("https://probpalata.gov.ru/files/ИП230400023900005.jpeg","Скачать индивидуальный QR-код магазина")</f>
        <v>Скачать индивидуальный QR-код магазина</v>
      </c>
    </row>
    <row r="4249" spans="1:7" x14ac:dyDescent="0.25">
      <c r="A4249" t="s">
        <v>13087</v>
      </c>
      <c r="B4249" t="s">
        <v>13798</v>
      </c>
      <c r="C4249" t="s">
        <v>13784</v>
      </c>
      <c r="D4249" t="s">
        <v>13785</v>
      </c>
      <c r="E4249" t="s">
        <v>13786</v>
      </c>
      <c r="F4249" t="s">
        <v>13799</v>
      </c>
      <c r="G4249" s="2" t="str">
        <f>HYPERLINK("https://probpalata.gov.ru/files/ИП230400023900006.jpeg","Скачать индивидуальный QR-код магазина")</f>
        <v>Скачать индивидуальный QR-код магазина</v>
      </c>
    </row>
    <row r="4250" spans="1:7" x14ac:dyDescent="0.25">
      <c r="A4250" t="s">
        <v>13087</v>
      </c>
      <c r="B4250" t="s">
        <v>13800</v>
      </c>
      <c r="C4250" t="s">
        <v>13784</v>
      </c>
      <c r="D4250" t="s">
        <v>13785</v>
      </c>
      <c r="E4250" t="s">
        <v>13786</v>
      </c>
      <c r="F4250" t="s">
        <v>13801</v>
      </c>
      <c r="G4250" s="2" t="str">
        <f>HYPERLINK("https://probpalata.gov.ru/files/ИП230400023900007.jpeg","Скачать индивидуальный QR-код магазина")</f>
        <v>Скачать индивидуальный QR-код магазина</v>
      </c>
    </row>
    <row r="4251" spans="1:7" x14ac:dyDescent="0.25">
      <c r="A4251" t="s">
        <v>13087</v>
      </c>
      <c r="B4251" t="s">
        <v>13802</v>
      </c>
      <c r="C4251" t="s">
        <v>13784</v>
      </c>
      <c r="D4251" t="s">
        <v>13785</v>
      </c>
      <c r="E4251" t="s">
        <v>13786</v>
      </c>
      <c r="F4251" t="s">
        <v>13803</v>
      </c>
      <c r="G4251" s="2" t="str">
        <f>HYPERLINK("https://probpalata.gov.ru/files/ИП230400023900008.jpeg","Скачать индивидуальный QR-код магазина")</f>
        <v>Скачать индивидуальный QR-код магазина</v>
      </c>
    </row>
    <row r="4252" spans="1:7" x14ac:dyDescent="0.25">
      <c r="A4252" t="s">
        <v>13087</v>
      </c>
      <c r="B4252" t="s">
        <v>13804</v>
      </c>
      <c r="C4252" t="s">
        <v>13784</v>
      </c>
      <c r="D4252" t="s">
        <v>13785</v>
      </c>
      <c r="E4252" t="s">
        <v>13786</v>
      </c>
      <c r="F4252" t="s">
        <v>13805</v>
      </c>
      <c r="G4252" s="2" t="str">
        <f>HYPERLINK("https://probpalata.gov.ru/files/ИП230400023900009.jpeg","Скачать индивидуальный QR-код магазина")</f>
        <v>Скачать индивидуальный QR-код магазина</v>
      </c>
    </row>
    <row r="4253" spans="1:7" x14ac:dyDescent="0.25">
      <c r="A4253" t="s">
        <v>13087</v>
      </c>
      <c r="B4253" t="s">
        <v>13806</v>
      </c>
      <c r="C4253" t="s">
        <v>13784</v>
      </c>
      <c r="D4253" t="s">
        <v>13785</v>
      </c>
      <c r="E4253" t="s">
        <v>13786</v>
      </c>
      <c r="F4253" t="s">
        <v>13807</v>
      </c>
      <c r="G4253" s="2" t="str">
        <f>HYPERLINK("https://probpalata.gov.ru/files/ИП230400023900010.jpeg","Скачать индивидуальный QR-код магазина")</f>
        <v>Скачать индивидуальный QR-код магазина</v>
      </c>
    </row>
    <row r="4254" spans="1:7" x14ac:dyDescent="0.25">
      <c r="A4254" t="s">
        <v>13087</v>
      </c>
      <c r="B4254" t="s">
        <v>13808</v>
      </c>
      <c r="C4254" t="s">
        <v>13784</v>
      </c>
      <c r="D4254" t="s">
        <v>13785</v>
      </c>
      <c r="E4254" t="s">
        <v>13786</v>
      </c>
      <c r="F4254" t="s">
        <v>13809</v>
      </c>
      <c r="G4254" s="2" t="str">
        <f>HYPERLINK("https://probpalata.gov.ru/files/ИП230400023900011.jpeg","Скачать индивидуальный QR-код магазина")</f>
        <v>Скачать индивидуальный QR-код магазина</v>
      </c>
    </row>
    <row r="4255" spans="1:7" x14ac:dyDescent="0.25">
      <c r="A4255" t="s">
        <v>13087</v>
      </c>
      <c r="B4255" t="s">
        <v>13810</v>
      </c>
      <c r="C4255" t="s">
        <v>13784</v>
      </c>
      <c r="D4255" t="s">
        <v>13785</v>
      </c>
      <c r="E4255" t="s">
        <v>13786</v>
      </c>
      <c r="F4255" t="s">
        <v>13811</v>
      </c>
      <c r="G4255" s="2" t="str">
        <f>HYPERLINK("https://probpalata.gov.ru/files/ИП230400023900012.jpeg","Скачать индивидуальный QR-код магазина")</f>
        <v>Скачать индивидуальный QR-код магазина</v>
      </c>
    </row>
    <row r="4256" spans="1:7" x14ac:dyDescent="0.25">
      <c r="A4256" t="s">
        <v>13087</v>
      </c>
      <c r="B4256" t="s">
        <v>13812</v>
      </c>
      <c r="C4256" t="s">
        <v>13784</v>
      </c>
      <c r="D4256" t="s">
        <v>13785</v>
      </c>
      <c r="E4256" t="s">
        <v>13786</v>
      </c>
      <c r="F4256" t="s">
        <v>13813</v>
      </c>
      <c r="G4256" s="2" t="str">
        <f>HYPERLINK("https://probpalata.gov.ru/files/ИП230400023900013.jpeg","Скачать индивидуальный QR-код магазина")</f>
        <v>Скачать индивидуальный QR-код магазина</v>
      </c>
    </row>
    <row r="4257" spans="1:7" x14ac:dyDescent="0.25">
      <c r="A4257" t="s">
        <v>13087</v>
      </c>
      <c r="B4257" t="s">
        <v>13814</v>
      </c>
      <c r="C4257" t="s">
        <v>13784</v>
      </c>
      <c r="D4257" t="s">
        <v>13785</v>
      </c>
      <c r="E4257" t="s">
        <v>13786</v>
      </c>
      <c r="F4257" t="s">
        <v>13815</v>
      </c>
      <c r="G4257" s="2" t="str">
        <f>HYPERLINK("https://probpalata.gov.ru/files/ИП230400023900014.jpeg","Скачать индивидуальный QR-код магазина")</f>
        <v>Скачать индивидуальный QR-код магазина</v>
      </c>
    </row>
    <row r="4258" spans="1:7" x14ac:dyDescent="0.25">
      <c r="A4258" t="s">
        <v>13087</v>
      </c>
      <c r="B4258" t="s">
        <v>13816</v>
      </c>
      <c r="C4258" t="s">
        <v>13784</v>
      </c>
      <c r="D4258" t="s">
        <v>13785</v>
      </c>
      <c r="E4258" t="s">
        <v>13786</v>
      </c>
      <c r="F4258" t="s">
        <v>13817</v>
      </c>
      <c r="G4258" s="2" t="str">
        <f>HYPERLINK("https://probpalata.gov.ru/files/ИП230400023900015.jpeg","Скачать индивидуальный QR-код магазина")</f>
        <v>Скачать индивидуальный QR-код магазина</v>
      </c>
    </row>
    <row r="4259" spans="1:7" x14ac:dyDescent="0.25">
      <c r="A4259" t="s">
        <v>13087</v>
      </c>
      <c r="B4259" t="s">
        <v>13818</v>
      </c>
      <c r="C4259" t="s">
        <v>13784</v>
      </c>
      <c r="D4259" t="s">
        <v>13785</v>
      </c>
      <c r="E4259" t="s">
        <v>13786</v>
      </c>
      <c r="F4259" t="s">
        <v>13819</v>
      </c>
      <c r="G4259" s="2" t="str">
        <f>HYPERLINK("https://probpalata.gov.ru/files/ИП230400023900016.jpeg","Скачать индивидуальный QR-код магазина")</f>
        <v>Скачать индивидуальный QR-код магазина</v>
      </c>
    </row>
    <row r="4260" spans="1:7" x14ac:dyDescent="0.25">
      <c r="A4260" t="s">
        <v>13087</v>
      </c>
      <c r="B4260" t="s">
        <v>13820</v>
      </c>
      <c r="C4260" t="s">
        <v>13784</v>
      </c>
      <c r="D4260" t="s">
        <v>13785</v>
      </c>
      <c r="E4260" t="s">
        <v>13786</v>
      </c>
      <c r="F4260" t="s">
        <v>13821</v>
      </c>
      <c r="G4260" s="2" t="str">
        <f>HYPERLINK("https://probpalata.gov.ru/files/ИП230400023900018.jpeg","Скачать индивидуальный QR-код магазина")</f>
        <v>Скачать индивидуальный QR-код магазина</v>
      </c>
    </row>
    <row r="4261" spans="1:7" x14ac:dyDescent="0.25">
      <c r="A4261" t="s">
        <v>13087</v>
      </c>
      <c r="B4261" t="s">
        <v>13822</v>
      </c>
      <c r="C4261" t="s">
        <v>13784</v>
      </c>
      <c r="D4261" t="s">
        <v>13785</v>
      </c>
      <c r="E4261" t="s">
        <v>13786</v>
      </c>
      <c r="F4261" t="s">
        <v>13823</v>
      </c>
      <c r="G4261" s="2" t="str">
        <f>HYPERLINK("https://probpalata.gov.ru/files/ИП230400023900019.jpeg","Скачать индивидуальный QR-код магазина")</f>
        <v>Скачать индивидуальный QR-код магазина</v>
      </c>
    </row>
    <row r="4262" spans="1:7" x14ac:dyDescent="0.25">
      <c r="A4262" t="s">
        <v>13087</v>
      </c>
      <c r="B4262" t="s">
        <v>13824</v>
      </c>
      <c r="C4262" t="s">
        <v>13784</v>
      </c>
      <c r="D4262" t="s">
        <v>13785</v>
      </c>
      <c r="E4262" t="s">
        <v>13786</v>
      </c>
      <c r="F4262" t="s">
        <v>13825</v>
      </c>
      <c r="G4262" s="2" t="str">
        <f>HYPERLINK("https://probpalata.gov.ru/files/ИП230400023900020.jpeg","Скачать индивидуальный QR-код магазина")</f>
        <v>Скачать индивидуальный QR-код магазина</v>
      </c>
    </row>
    <row r="4263" spans="1:7" x14ac:dyDescent="0.25">
      <c r="A4263" t="s">
        <v>13087</v>
      </c>
      <c r="B4263" t="s">
        <v>13826</v>
      </c>
      <c r="C4263" t="s">
        <v>13827</v>
      </c>
      <c r="D4263" t="s">
        <v>13828</v>
      </c>
      <c r="E4263" t="s">
        <v>13829</v>
      </c>
      <c r="F4263" t="s">
        <v>13830</v>
      </c>
      <c r="G4263" s="2" t="str">
        <f>HYPERLINK("https://probpalata.gov.ru/files/ИП230403997900000.jpeg","Скачать индивидуальный QR-код магазина")</f>
        <v>Скачать индивидуальный QR-код магазина</v>
      </c>
    </row>
    <row r="4264" spans="1:7" x14ac:dyDescent="0.25">
      <c r="A4264" t="s">
        <v>13087</v>
      </c>
      <c r="B4264" t="s">
        <v>13831</v>
      </c>
      <c r="C4264" t="s">
        <v>13832</v>
      </c>
      <c r="D4264" t="s">
        <v>13833</v>
      </c>
      <c r="E4264" t="s">
        <v>13834</v>
      </c>
      <c r="F4264" t="s">
        <v>13835</v>
      </c>
      <c r="G4264" s="2" t="str">
        <f>HYPERLINK("https://probpalata.gov.ru/files/ИП230400934300000.jpeg","Скачать индивидуальный QR-код магазина")</f>
        <v>Скачать индивидуальный QR-код магазина</v>
      </c>
    </row>
    <row r="4265" spans="1:7" x14ac:dyDescent="0.25">
      <c r="A4265" t="s">
        <v>13087</v>
      </c>
      <c r="B4265" t="s">
        <v>13836</v>
      </c>
      <c r="C4265" t="s">
        <v>13837</v>
      </c>
      <c r="D4265" t="s">
        <v>13838</v>
      </c>
      <c r="E4265" t="s">
        <v>13839</v>
      </c>
      <c r="F4265" t="s">
        <v>13840</v>
      </c>
      <c r="G4265" s="2" t="str">
        <f>HYPERLINK("https://probpalata.gov.ru/files/ИП230400831800002.jpeg","Скачать индивидуальный QR-код магазина")</f>
        <v>Скачать индивидуальный QR-код магазина</v>
      </c>
    </row>
    <row r="4266" spans="1:7" x14ac:dyDescent="0.25">
      <c r="A4266" t="s">
        <v>13087</v>
      </c>
      <c r="B4266" t="s">
        <v>13841</v>
      </c>
      <c r="C4266" t="s">
        <v>13837</v>
      </c>
      <c r="D4266" t="s">
        <v>13838</v>
      </c>
      <c r="E4266" t="s">
        <v>13839</v>
      </c>
      <c r="F4266" t="s">
        <v>13842</v>
      </c>
      <c r="G4266" s="2" t="str">
        <f>HYPERLINK("https://probpalata.gov.ru/files/ИП230400831800004.jpeg","Скачать индивидуальный QR-код магазина")</f>
        <v>Скачать индивидуальный QR-код магазина</v>
      </c>
    </row>
    <row r="4267" spans="1:7" x14ac:dyDescent="0.25">
      <c r="A4267" t="s">
        <v>13087</v>
      </c>
      <c r="B4267" t="s">
        <v>13843</v>
      </c>
      <c r="C4267" t="s">
        <v>13837</v>
      </c>
      <c r="D4267" t="s">
        <v>13838</v>
      </c>
      <c r="E4267" t="s">
        <v>13839</v>
      </c>
      <c r="F4267" t="s">
        <v>13844</v>
      </c>
      <c r="G4267" s="2" t="str">
        <f>HYPERLINK("https://probpalata.gov.ru/files/ИП230400831800005.jpeg","Скачать индивидуальный QR-код магазина")</f>
        <v>Скачать индивидуальный QR-код магазина</v>
      </c>
    </row>
    <row r="4268" spans="1:7" x14ac:dyDescent="0.25">
      <c r="A4268" t="s">
        <v>13087</v>
      </c>
      <c r="B4268" t="s">
        <v>13845</v>
      </c>
      <c r="C4268" t="s">
        <v>13846</v>
      </c>
      <c r="D4268" t="s">
        <v>13847</v>
      </c>
      <c r="E4268" t="s">
        <v>13848</v>
      </c>
      <c r="F4268" t="s">
        <v>13849</v>
      </c>
      <c r="G4268" s="2" t="str">
        <f>HYPERLINK("https://probpalata.gov.ru/files/ЮЛ230400277200000.jpeg","Скачать индивидуальный QR-код магазина")</f>
        <v>Скачать индивидуальный QR-код магазина</v>
      </c>
    </row>
    <row r="4269" spans="1:7" x14ac:dyDescent="0.25">
      <c r="A4269" t="s">
        <v>13087</v>
      </c>
      <c r="B4269" t="s">
        <v>13850</v>
      </c>
      <c r="C4269" t="s">
        <v>13851</v>
      </c>
      <c r="D4269" t="s">
        <v>13852</v>
      </c>
      <c r="E4269" t="s">
        <v>13853</v>
      </c>
      <c r="F4269" t="s">
        <v>13854</v>
      </c>
      <c r="G4269" s="2" t="str">
        <f>HYPERLINK("https://probpalata.gov.ru/files/ИП230400960800000.jpeg","Скачать индивидуальный QR-код магазина")</f>
        <v>Скачать индивидуальный QR-код магазина</v>
      </c>
    </row>
    <row r="4270" spans="1:7" x14ac:dyDescent="0.25">
      <c r="A4270" t="s">
        <v>13087</v>
      </c>
      <c r="B4270" t="s">
        <v>13855</v>
      </c>
      <c r="C4270" t="s">
        <v>13856</v>
      </c>
      <c r="D4270" t="s">
        <v>13857</v>
      </c>
      <c r="E4270" t="s">
        <v>13858</v>
      </c>
      <c r="F4270" t="s">
        <v>13859</v>
      </c>
      <c r="G4270" s="2" t="str">
        <f>HYPERLINK("https://probpalata.gov.ru/files/ИП230400388300000.jpeg","Скачать индивидуальный QR-код магазина")</f>
        <v>Скачать индивидуальный QR-код магазина</v>
      </c>
    </row>
    <row r="4271" spans="1:7" x14ac:dyDescent="0.25">
      <c r="A4271" t="s">
        <v>13087</v>
      </c>
      <c r="B4271" t="s">
        <v>13860</v>
      </c>
      <c r="C4271" t="s">
        <v>13861</v>
      </c>
      <c r="D4271" t="s">
        <v>13862</v>
      </c>
      <c r="E4271" t="s">
        <v>13863</v>
      </c>
      <c r="F4271" t="s">
        <v>13864</v>
      </c>
      <c r="G4271" s="2" t="str">
        <f>HYPERLINK("https://probpalata.gov.ru/files/ИП230400155600001.jpeg","Скачать индивидуальный QR-код магазина")</f>
        <v>Скачать индивидуальный QR-код магазина</v>
      </c>
    </row>
    <row r="4272" spans="1:7" x14ac:dyDescent="0.25">
      <c r="A4272" t="s">
        <v>13087</v>
      </c>
      <c r="B4272" t="s">
        <v>13865</v>
      </c>
      <c r="C4272" t="s">
        <v>13861</v>
      </c>
      <c r="D4272" t="s">
        <v>13862</v>
      </c>
      <c r="E4272" t="s">
        <v>13863</v>
      </c>
      <c r="F4272" t="s">
        <v>13866</v>
      </c>
      <c r="G4272" s="2" t="str">
        <f>HYPERLINK("https://probpalata.gov.ru/files/ИП230400155600002.jpeg","Скачать индивидуальный QR-код магазина")</f>
        <v>Скачать индивидуальный QR-код магазина</v>
      </c>
    </row>
    <row r="4273" spans="1:7" x14ac:dyDescent="0.25">
      <c r="A4273" t="s">
        <v>13087</v>
      </c>
      <c r="B4273" t="s">
        <v>13867</v>
      </c>
      <c r="C4273" t="s">
        <v>13861</v>
      </c>
      <c r="D4273" t="s">
        <v>13862</v>
      </c>
      <c r="E4273" t="s">
        <v>13863</v>
      </c>
      <c r="F4273" t="s">
        <v>13868</v>
      </c>
      <c r="G4273" s="2" t="str">
        <f>HYPERLINK("https://probpalata.gov.ru/files/ИП230400155600003.jpeg","Скачать индивидуальный QR-код магазина")</f>
        <v>Скачать индивидуальный QR-код магазина</v>
      </c>
    </row>
    <row r="4274" spans="1:7" x14ac:dyDescent="0.25">
      <c r="A4274" t="s">
        <v>13087</v>
      </c>
      <c r="B4274" t="s">
        <v>13869</v>
      </c>
      <c r="C4274" t="s">
        <v>13870</v>
      </c>
      <c r="D4274" t="s">
        <v>13871</v>
      </c>
      <c r="E4274" t="s">
        <v>13872</v>
      </c>
      <c r="F4274" t="s">
        <v>13873</v>
      </c>
      <c r="G4274" s="2" t="str">
        <f>HYPERLINK("https://probpalata.gov.ru/files/ИП230400993100000.jpeg","Скачать индивидуальный QR-код магазина")</f>
        <v>Скачать индивидуальный QR-код магазина</v>
      </c>
    </row>
    <row r="4275" spans="1:7" x14ac:dyDescent="0.25">
      <c r="A4275" t="s">
        <v>13087</v>
      </c>
      <c r="B4275" t="s">
        <v>13874</v>
      </c>
      <c r="C4275" t="s">
        <v>13875</v>
      </c>
      <c r="D4275" t="s">
        <v>13876</v>
      </c>
      <c r="E4275" t="s">
        <v>13877</v>
      </c>
      <c r="F4275" t="s">
        <v>13878</v>
      </c>
      <c r="G4275" s="2" t="str">
        <f>HYPERLINK("https://probpalata.gov.ru/files/ИП230400208300000.jpeg","Скачать индивидуальный QR-код магазина")</f>
        <v>Скачать индивидуальный QR-код магазина</v>
      </c>
    </row>
    <row r="4276" spans="1:7" x14ac:dyDescent="0.25">
      <c r="A4276" t="s">
        <v>13087</v>
      </c>
      <c r="B4276" t="s">
        <v>13879</v>
      </c>
      <c r="C4276" t="s">
        <v>13875</v>
      </c>
      <c r="D4276" t="s">
        <v>13876</v>
      </c>
      <c r="E4276" t="s">
        <v>13877</v>
      </c>
      <c r="F4276" t="s">
        <v>13880</v>
      </c>
      <c r="G4276" s="2" t="str">
        <f>HYPERLINK("https://probpalata.gov.ru/files/ИП230400208300002.jpeg","Скачать индивидуальный QR-код магазина")</f>
        <v>Скачать индивидуальный QR-код магазина</v>
      </c>
    </row>
    <row r="4277" spans="1:7" x14ac:dyDescent="0.25">
      <c r="A4277" t="s">
        <v>13087</v>
      </c>
      <c r="B4277" t="s">
        <v>13881</v>
      </c>
      <c r="C4277" t="s">
        <v>13882</v>
      </c>
      <c r="D4277" t="s">
        <v>13883</v>
      </c>
      <c r="E4277" t="s">
        <v>13884</v>
      </c>
      <c r="F4277" t="s">
        <v>13885</v>
      </c>
      <c r="G4277" s="2" t="str">
        <f>HYPERLINK("https://probpalata.gov.ru/files/ЮЛ230403228200000.jpeg","Скачать индивидуальный QR-код магазина")</f>
        <v>Скачать индивидуальный QR-код магазина</v>
      </c>
    </row>
    <row r="4278" spans="1:7" x14ac:dyDescent="0.25">
      <c r="A4278" t="s">
        <v>13087</v>
      </c>
      <c r="B4278" t="s">
        <v>13886</v>
      </c>
      <c r="C4278" t="s">
        <v>13882</v>
      </c>
      <c r="D4278" t="s">
        <v>13883</v>
      </c>
      <c r="E4278" t="s">
        <v>13884</v>
      </c>
      <c r="F4278" t="s">
        <v>13887</v>
      </c>
      <c r="G4278" s="2" t="str">
        <f>HYPERLINK("https://probpalata.gov.ru/files/ЮЛ230403228200001.jpeg","Скачать индивидуальный QR-код магазина")</f>
        <v>Скачать индивидуальный QR-код магазина</v>
      </c>
    </row>
    <row r="4279" spans="1:7" x14ac:dyDescent="0.25">
      <c r="A4279" t="s">
        <v>13087</v>
      </c>
      <c r="B4279" t="s">
        <v>13888</v>
      </c>
      <c r="C4279" t="s">
        <v>13882</v>
      </c>
      <c r="D4279" t="s">
        <v>13883</v>
      </c>
      <c r="E4279" t="s">
        <v>13884</v>
      </c>
      <c r="F4279" t="s">
        <v>13889</v>
      </c>
      <c r="G4279" s="2" t="str">
        <f>HYPERLINK("https://probpalata.gov.ru/files/ЮЛ230403228200002.jpeg","Скачать индивидуальный QR-код магазина")</f>
        <v>Скачать индивидуальный QR-код магазина</v>
      </c>
    </row>
    <row r="4280" spans="1:7" x14ac:dyDescent="0.25">
      <c r="A4280" t="s">
        <v>13087</v>
      </c>
      <c r="B4280" t="s">
        <v>13890</v>
      </c>
      <c r="C4280" t="s">
        <v>13891</v>
      </c>
      <c r="D4280" t="s">
        <v>13892</v>
      </c>
      <c r="E4280" t="s">
        <v>13893</v>
      </c>
      <c r="F4280" t="s">
        <v>13894</v>
      </c>
      <c r="G4280" s="2" t="str">
        <f>HYPERLINK("https://probpalata.gov.ru/files/ИП230400003200000.jpeg","Скачать индивидуальный QR-код магазина")</f>
        <v>Скачать индивидуальный QR-код магазина</v>
      </c>
    </row>
    <row r="4281" spans="1:7" x14ac:dyDescent="0.25">
      <c r="A4281" t="s">
        <v>13087</v>
      </c>
      <c r="B4281" t="s">
        <v>13895</v>
      </c>
      <c r="C4281" t="s">
        <v>13896</v>
      </c>
      <c r="D4281" t="s">
        <v>13897</v>
      </c>
      <c r="E4281" t="s">
        <v>13898</v>
      </c>
      <c r="F4281" t="s">
        <v>13899</v>
      </c>
      <c r="G4281" s="2" t="str">
        <f>HYPERLINK("https://probpalata.gov.ru/files/ИП230400934400000.jpeg","Скачать индивидуальный QR-код магазина")</f>
        <v>Скачать индивидуальный QR-код магазина</v>
      </c>
    </row>
    <row r="4282" spans="1:7" x14ac:dyDescent="0.25">
      <c r="A4282" t="s">
        <v>13087</v>
      </c>
      <c r="B4282" t="s">
        <v>13900</v>
      </c>
      <c r="C4282" t="s">
        <v>13901</v>
      </c>
      <c r="D4282" t="s">
        <v>13902</v>
      </c>
      <c r="E4282" t="s">
        <v>13903</v>
      </c>
      <c r="F4282" t="s">
        <v>13904</v>
      </c>
      <c r="G4282" s="2" t="str">
        <f>HYPERLINK("https://probpalata.gov.ru/files/ИП230400993300000.jpeg","Скачать индивидуальный QR-код магазина")</f>
        <v>Скачать индивидуальный QR-код магазина</v>
      </c>
    </row>
    <row r="4283" spans="1:7" x14ac:dyDescent="0.25">
      <c r="A4283" t="s">
        <v>13087</v>
      </c>
      <c r="B4283" t="s">
        <v>13900</v>
      </c>
      <c r="C4283" t="s">
        <v>13905</v>
      </c>
      <c r="D4283" t="s">
        <v>13906</v>
      </c>
      <c r="E4283" t="s">
        <v>13907</v>
      </c>
      <c r="F4283" t="s">
        <v>13908</v>
      </c>
      <c r="G4283" s="2" t="str">
        <f>HYPERLINK("https://probpalata.gov.ru/files/ИП230400094300000.jpeg","Скачать индивидуальный QR-код магазина")</f>
        <v>Скачать индивидуальный QR-код магазина</v>
      </c>
    </row>
    <row r="4284" spans="1:7" x14ac:dyDescent="0.25">
      <c r="A4284" t="s">
        <v>13087</v>
      </c>
      <c r="B4284" t="s">
        <v>13909</v>
      </c>
      <c r="C4284" t="s">
        <v>13910</v>
      </c>
      <c r="D4284" t="s">
        <v>13911</v>
      </c>
      <c r="E4284" t="s">
        <v>13912</v>
      </c>
      <c r="F4284" t="s">
        <v>13913</v>
      </c>
      <c r="G4284" s="2" t="str">
        <f>HYPERLINK("https://probpalata.gov.ru/files/ЮЛ230400666300000.jpeg","Скачать индивидуальный QR-код магазина")</f>
        <v>Скачать индивидуальный QR-код магазина</v>
      </c>
    </row>
    <row r="4285" spans="1:7" x14ac:dyDescent="0.25">
      <c r="A4285" t="s">
        <v>13087</v>
      </c>
      <c r="B4285" t="s">
        <v>13914</v>
      </c>
      <c r="C4285" t="s">
        <v>13915</v>
      </c>
      <c r="D4285" t="s">
        <v>13916</v>
      </c>
      <c r="E4285" t="s">
        <v>13917</v>
      </c>
      <c r="F4285" t="s">
        <v>13918</v>
      </c>
      <c r="G4285" s="2" t="str">
        <f>HYPERLINK("https://probpalata.gov.ru/files/ЮЛ230403096500000.jpeg","Скачать индивидуальный QR-код магазина")</f>
        <v>Скачать индивидуальный QR-код магазина</v>
      </c>
    </row>
    <row r="4286" spans="1:7" x14ac:dyDescent="0.25">
      <c r="A4286" t="s">
        <v>13087</v>
      </c>
      <c r="B4286" t="s">
        <v>13919</v>
      </c>
      <c r="C4286" t="s">
        <v>13915</v>
      </c>
      <c r="D4286" t="s">
        <v>13916</v>
      </c>
      <c r="E4286" t="s">
        <v>13917</v>
      </c>
      <c r="F4286" t="s">
        <v>13920</v>
      </c>
      <c r="G4286" s="2" t="str">
        <f>HYPERLINK("https://probpalata.gov.ru/files/ЮЛ230403096500002.jpeg","Скачать индивидуальный QR-код магазина")</f>
        <v>Скачать индивидуальный QR-код магазина</v>
      </c>
    </row>
    <row r="4287" spans="1:7" x14ac:dyDescent="0.25">
      <c r="A4287" t="s">
        <v>13087</v>
      </c>
      <c r="B4287" t="s">
        <v>13921</v>
      </c>
      <c r="C4287" t="s">
        <v>13922</v>
      </c>
      <c r="D4287" t="s">
        <v>13923</v>
      </c>
      <c r="E4287" t="s">
        <v>13924</v>
      </c>
      <c r="F4287" t="s">
        <v>13925</v>
      </c>
      <c r="G4287" s="2" t="str">
        <f>HYPERLINK("https://probpalata.gov.ru/files/ИП230400895100000.jpeg","Скачать индивидуальный QR-код магазина")</f>
        <v>Скачать индивидуальный QR-код магазина</v>
      </c>
    </row>
    <row r="4288" spans="1:7" x14ac:dyDescent="0.25">
      <c r="A4288" t="s">
        <v>13087</v>
      </c>
      <c r="B4288" t="s">
        <v>13926</v>
      </c>
      <c r="C4288" t="s">
        <v>6274</v>
      </c>
      <c r="D4288" t="s">
        <v>13927</v>
      </c>
      <c r="E4288" t="s">
        <v>13928</v>
      </c>
      <c r="F4288" t="s">
        <v>13929</v>
      </c>
      <c r="G4288" s="2" t="str">
        <f>HYPERLINK("https://probpalata.gov.ru/files/ЮЛ230400745700000.jpeg","Скачать индивидуальный QR-код магазина")</f>
        <v>Скачать индивидуальный QR-код магазина</v>
      </c>
    </row>
    <row r="4289" spans="1:7" x14ac:dyDescent="0.25">
      <c r="A4289" t="s">
        <v>13087</v>
      </c>
      <c r="B4289" t="s">
        <v>13930</v>
      </c>
      <c r="C4289" t="s">
        <v>13931</v>
      </c>
      <c r="D4289" t="s">
        <v>13932</v>
      </c>
      <c r="E4289" t="s">
        <v>13933</v>
      </c>
      <c r="F4289" t="s">
        <v>13934</v>
      </c>
      <c r="G4289" s="2" t="str">
        <f>HYPERLINK("https://probpalata.gov.ru/files/ИП230400672300000.jpeg","Скачать индивидуальный QR-код магазина")</f>
        <v>Скачать индивидуальный QR-код магазина</v>
      </c>
    </row>
    <row r="4290" spans="1:7" x14ac:dyDescent="0.25">
      <c r="A4290" t="s">
        <v>13087</v>
      </c>
      <c r="B4290" t="s">
        <v>13935</v>
      </c>
      <c r="C4290" t="s">
        <v>13931</v>
      </c>
      <c r="D4290" t="s">
        <v>13932</v>
      </c>
      <c r="E4290" t="s">
        <v>13933</v>
      </c>
      <c r="F4290" t="s">
        <v>13936</v>
      </c>
      <c r="G4290" s="2" t="str">
        <f>HYPERLINK("https://probpalata.gov.ru/files/ИП230400672300002.jpeg","Скачать индивидуальный QR-код магазина")</f>
        <v>Скачать индивидуальный QR-код магазина</v>
      </c>
    </row>
    <row r="4291" spans="1:7" x14ac:dyDescent="0.25">
      <c r="A4291" t="s">
        <v>13087</v>
      </c>
      <c r="B4291" t="s">
        <v>13937</v>
      </c>
      <c r="C4291" t="s">
        <v>13938</v>
      </c>
      <c r="D4291" t="s">
        <v>13939</v>
      </c>
      <c r="E4291" t="s">
        <v>13940</v>
      </c>
      <c r="F4291" t="s">
        <v>13941</v>
      </c>
      <c r="G4291" s="2" t="str">
        <f>HYPERLINK("https://probpalata.gov.ru/files/ЮЛ230403016700000.jpeg","Скачать индивидуальный QR-код магазина")</f>
        <v>Скачать индивидуальный QR-код магазина</v>
      </c>
    </row>
    <row r="4292" spans="1:7" x14ac:dyDescent="0.25">
      <c r="A4292" t="s">
        <v>13087</v>
      </c>
      <c r="B4292" t="s">
        <v>13169</v>
      </c>
      <c r="C4292" t="s">
        <v>13942</v>
      </c>
      <c r="D4292" t="s">
        <v>13943</v>
      </c>
      <c r="E4292" t="s">
        <v>13944</v>
      </c>
      <c r="F4292" t="s">
        <v>13945</v>
      </c>
      <c r="G4292" s="2" t="str">
        <f>HYPERLINK("https://probpalata.gov.ru/files/ИП230403970600000.jpeg","Скачать индивидуальный QR-код магазина")</f>
        <v>Скачать индивидуальный QR-код магазина</v>
      </c>
    </row>
    <row r="4293" spans="1:7" x14ac:dyDescent="0.25">
      <c r="A4293" t="s">
        <v>13087</v>
      </c>
      <c r="B4293" t="s">
        <v>13946</v>
      </c>
      <c r="C4293" t="s">
        <v>13947</v>
      </c>
      <c r="D4293" t="s">
        <v>13948</v>
      </c>
      <c r="E4293" t="s">
        <v>13949</v>
      </c>
      <c r="F4293" t="s">
        <v>13950</v>
      </c>
      <c r="G4293" s="2" t="str">
        <f>HYPERLINK("https://probpalata.gov.ru/files/ЮЛ230400108200004.jpeg","Скачать индивидуальный QR-код магазина")</f>
        <v>Скачать индивидуальный QR-код магазина</v>
      </c>
    </row>
    <row r="4294" spans="1:7" x14ac:dyDescent="0.25">
      <c r="A4294" t="s">
        <v>13087</v>
      </c>
      <c r="B4294" t="s">
        <v>13951</v>
      </c>
      <c r="C4294" t="s">
        <v>13952</v>
      </c>
      <c r="D4294" t="s">
        <v>13953</v>
      </c>
      <c r="E4294" t="s">
        <v>13954</v>
      </c>
      <c r="F4294" t="s">
        <v>13955</v>
      </c>
      <c r="G4294" s="2" t="str">
        <f>HYPERLINK("https://probpalata.gov.ru/files/ИП230400054000000.jpeg","Скачать индивидуальный QR-код магазина")</f>
        <v>Скачать индивидуальный QR-код магазина</v>
      </c>
    </row>
    <row r="4295" spans="1:7" x14ac:dyDescent="0.25">
      <c r="A4295" t="s">
        <v>13087</v>
      </c>
      <c r="B4295" t="s">
        <v>13956</v>
      </c>
      <c r="C4295" t="s">
        <v>13957</v>
      </c>
      <c r="D4295" t="s">
        <v>13958</v>
      </c>
      <c r="E4295" t="s">
        <v>13959</v>
      </c>
      <c r="F4295" t="s">
        <v>13960</v>
      </c>
      <c r="G4295" s="2" t="str">
        <f>HYPERLINK("https://probpalata.gov.ru/files/ИП230400894700000.jpeg","Скачать индивидуальный QR-код магазина")</f>
        <v>Скачать индивидуальный QR-код магазина</v>
      </c>
    </row>
    <row r="4296" spans="1:7" x14ac:dyDescent="0.25">
      <c r="A4296" t="s">
        <v>13087</v>
      </c>
      <c r="B4296" t="s">
        <v>13961</v>
      </c>
      <c r="C4296" t="s">
        <v>13962</v>
      </c>
      <c r="D4296" t="s">
        <v>13963</v>
      </c>
      <c r="E4296" t="s">
        <v>13964</v>
      </c>
      <c r="F4296" t="s">
        <v>13965</v>
      </c>
      <c r="G4296" s="2" t="str">
        <f>HYPERLINK("https://probpalata.gov.ru/files/ИП230400895300000.jpeg","Скачать индивидуальный QR-код магазина")</f>
        <v>Скачать индивидуальный QR-код магазина</v>
      </c>
    </row>
    <row r="4297" spans="1:7" x14ac:dyDescent="0.25">
      <c r="A4297" t="s">
        <v>13087</v>
      </c>
      <c r="B4297" t="s">
        <v>13966</v>
      </c>
      <c r="C4297" t="s">
        <v>13967</v>
      </c>
      <c r="D4297" t="s">
        <v>13968</v>
      </c>
      <c r="E4297" t="s">
        <v>13969</v>
      </c>
      <c r="F4297" t="s">
        <v>13970</v>
      </c>
      <c r="G4297" s="2" t="str">
        <f>HYPERLINK("https://probpalata.gov.ru/files/ИП230400626400000.jpeg","Скачать индивидуальный QR-код магазина")</f>
        <v>Скачать индивидуальный QR-код магазина</v>
      </c>
    </row>
    <row r="4298" spans="1:7" x14ac:dyDescent="0.25">
      <c r="A4298" t="s">
        <v>13087</v>
      </c>
      <c r="B4298" t="s">
        <v>13971</v>
      </c>
      <c r="C4298" t="s">
        <v>13972</v>
      </c>
      <c r="D4298" t="s">
        <v>13973</v>
      </c>
      <c r="E4298" t="s">
        <v>13974</v>
      </c>
      <c r="F4298" t="s">
        <v>13975</v>
      </c>
      <c r="G4298" s="2" t="str">
        <f>HYPERLINK("https://probpalata.gov.ru/files/ИП230401031100000.jpeg","Скачать индивидуальный QR-код магазина")</f>
        <v>Скачать индивидуальный QR-код магазина</v>
      </c>
    </row>
    <row r="4299" spans="1:7" x14ac:dyDescent="0.25">
      <c r="A4299" t="s">
        <v>13087</v>
      </c>
      <c r="B4299" t="s">
        <v>13976</v>
      </c>
      <c r="C4299" t="s">
        <v>13977</v>
      </c>
      <c r="D4299" t="s">
        <v>13978</v>
      </c>
      <c r="E4299" t="s">
        <v>13979</v>
      </c>
      <c r="F4299" t="s">
        <v>13980</v>
      </c>
      <c r="G4299" s="2" t="str">
        <f>HYPERLINK("https://probpalata.gov.ru/files/ИП230400012700000.jpeg","Скачать индивидуальный QR-код магазина")</f>
        <v>Скачать индивидуальный QR-код магазина</v>
      </c>
    </row>
    <row r="4300" spans="1:7" x14ac:dyDescent="0.25">
      <c r="A4300" t="s">
        <v>13087</v>
      </c>
      <c r="B4300" t="s">
        <v>13981</v>
      </c>
      <c r="C4300" t="s">
        <v>13977</v>
      </c>
      <c r="D4300" t="s">
        <v>13978</v>
      </c>
      <c r="E4300" t="s">
        <v>13979</v>
      </c>
      <c r="F4300" t="s">
        <v>13982</v>
      </c>
      <c r="G4300" s="2" t="str">
        <f>HYPERLINK("https://probpalata.gov.ru/files/ИП230400012700001.jpeg","Скачать индивидуальный QR-код магазина")</f>
        <v>Скачать индивидуальный QR-код магазина</v>
      </c>
    </row>
    <row r="4301" spans="1:7" x14ac:dyDescent="0.25">
      <c r="A4301" t="s">
        <v>13087</v>
      </c>
      <c r="B4301" t="s">
        <v>13983</v>
      </c>
      <c r="C4301" t="s">
        <v>13977</v>
      </c>
      <c r="D4301" t="s">
        <v>13978</v>
      </c>
      <c r="E4301" t="s">
        <v>13979</v>
      </c>
      <c r="F4301" t="s">
        <v>13984</v>
      </c>
      <c r="G4301" s="2" t="str">
        <f>HYPERLINK("https://probpalata.gov.ru/files/ИП230400012700002.jpeg","Скачать индивидуальный QR-код магазина")</f>
        <v>Скачать индивидуальный QR-код магазина</v>
      </c>
    </row>
    <row r="4302" spans="1:7" x14ac:dyDescent="0.25">
      <c r="A4302" t="s">
        <v>13087</v>
      </c>
      <c r="B4302" t="s">
        <v>13985</v>
      </c>
      <c r="C4302" t="s">
        <v>13977</v>
      </c>
      <c r="D4302" t="s">
        <v>13978</v>
      </c>
      <c r="E4302" t="s">
        <v>13979</v>
      </c>
      <c r="F4302" t="s">
        <v>13986</v>
      </c>
      <c r="G4302" s="2" t="str">
        <f>HYPERLINK("https://probpalata.gov.ru/files/ИП230400012700003.jpeg","Скачать индивидуальный QR-код магазина")</f>
        <v>Скачать индивидуальный QR-код магазина</v>
      </c>
    </row>
    <row r="4303" spans="1:7" x14ac:dyDescent="0.25">
      <c r="A4303" t="s">
        <v>13087</v>
      </c>
      <c r="B4303" t="s">
        <v>13987</v>
      </c>
      <c r="C4303" t="s">
        <v>13977</v>
      </c>
      <c r="D4303" t="s">
        <v>13978</v>
      </c>
      <c r="E4303" t="s">
        <v>13979</v>
      </c>
      <c r="F4303" t="s">
        <v>13988</v>
      </c>
      <c r="G4303" s="2" t="str">
        <f>HYPERLINK("https://probpalata.gov.ru/files/ИП230400012700005.jpeg","Скачать индивидуальный QR-код магазина")</f>
        <v>Скачать индивидуальный QR-код магазина</v>
      </c>
    </row>
    <row r="4304" spans="1:7" x14ac:dyDescent="0.25">
      <c r="A4304" t="s">
        <v>13087</v>
      </c>
      <c r="B4304" t="s">
        <v>13989</v>
      </c>
      <c r="C4304" t="s">
        <v>13977</v>
      </c>
      <c r="D4304" t="s">
        <v>13978</v>
      </c>
      <c r="E4304" t="s">
        <v>13979</v>
      </c>
      <c r="F4304" t="s">
        <v>13990</v>
      </c>
      <c r="G4304" s="2" t="str">
        <f>HYPERLINK("https://probpalata.gov.ru/files/ИП230400012700006.jpeg","Скачать индивидуальный QR-код магазина")</f>
        <v>Скачать индивидуальный QR-код магазина</v>
      </c>
    </row>
    <row r="4305" spans="1:7" x14ac:dyDescent="0.25">
      <c r="A4305" t="s">
        <v>13087</v>
      </c>
      <c r="B4305" t="s">
        <v>13991</v>
      </c>
      <c r="C4305" t="s">
        <v>13977</v>
      </c>
      <c r="D4305" t="s">
        <v>13978</v>
      </c>
      <c r="E4305" t="s">
        <v>13979</v>
      </c>
      <c r="F4305" t="s">
        <v>13992</v>
      </c>
      <c r="G4305" s="2" t="str">
        <f>HYPERLINK("https://probpalata.gov.ru/files/ИП230400012700007.jpeg","Скачать индивидуальный QR-код магазина")</f>
        <v>Скачать индивидуальный QR-код магазина</v>
      </c>
    </row>
    <row r="4306" spans="1:7" x14ac:dyDescent="0.25">
      <c r="A4306" t="s">
        <v>13087</v>
      </c>
      <c r="B4306" t="s">
        <v>13993</v>
      </c>
      <c r="C4306" t="s">
        <v>13977</v>
      </c>
      <c r="D4306" t="s">
        <v>13978</v>
      </c>
      <c r="E4306" t="s">
        <v>13979</v>
      </c>
      <c r="F4306" t="s">
        <v>13994</v>
      </c>
      <c r="G4306" s="2" t="str">
        <f>HYPERLINK("https://probpalata.gov.ru/files/ИП230400012700008.jpeg","Скачать индивидуальный QR-код магазина")</f>
        <v>Скачать индивидуальный QR-код магазина</v>
      </c>
    </row>
    <row r="4307" spans="1:7" x14ac:dyDescent="0.25">
      <c r="A4307" t="s">
        <v>13087</v>
      </c>
      <c r="B4307" t="s">
        <v>13995</v>
      </c>
      <c r="C4307" t="s">
        <v>13977</v>
      </c>
      <c r="D4307" t="s">
        <v>13978</v>
      </c>
      <c r="E4307" t="s">
        <v>13979</v>
      </c>
      <c r="F4307" t="s">
        <v>13996</v>
      </c>
      <c r="G4307" s="2" t="str">
        <f>HYPERLINK("https://probpalata.gov.ru/files/ИП230400012700009.jpeg","Скачать индивидуальный QR-код магазина")</f>
        <v>Скачать индивидуальный QR-код магазина</v>
      </c>
    </row>
    <row r="4308" spans="1:7" x14ac:dyDescent="0.25">
      <c r="A4308" t="s">
        <v>13087</v>
      </c>
      <c r="B4308" t="s">
        <v>13997</v>
      </c>
      <c r="C4308" t="s">
        <v>13977</v>
      </c>
      <c r="D4308" t="s">
        <v>13978</v>
      </c>
      <c r="E4308" t="s">
        <v>13979</v>
      </c>
      <c r="F4308" t="s">
        <v>13998</v>
      </c>
      <c r="G4308" s="2" t="str">
        <f>HYPERLINK("https://probpalata.gov.ru/files/ИП230400012700010.jpeg","Скачать индивидуальный QR-код магазина")</f>
        <v>Скачать индивидуальный QR-код магазина</v>
      </c>
    </row>
    <row r="4309" spans="1:7" x14ac:dyDescent="0.25">
      <c r="A4309" t="s">
        <v>13087</v>
      </c>
      <c r="B4309" t="s">
        <v>13999</v>
      </c>
      <c r="C4309" t="s">
        <v>13977</v>
      </c>
      <c r="D4309" t="s">
        <v>13978</v>
      </c>
      <c r="E4309" t="s">
        <v>13979</v>
      </c>
      <c r="F4309" t="s">
        <v>14000</v>
      </c>
      <c r="G4309" s="2" t="str">
        <f>HYPERLINK("https://probpalata.gov.ru/files/ИП230400012700011.jpeg","Скачать индивидуальный QR-код магазина")</f>
        <v>Скачать индивидуальный QR-код магазина</v>
      </c>
    </row>
    <row r="4310" spans="1:7" x14ac:dyDescent="0.25">
      <c r="A4310" t="s">
        <v>13087</v>
      </c>
      <c r="B4310" t="s">
        <v>14001</v>
      </c>
      <c r="C4310" t="s">
        <v>13977</v>
      </c>
      <c r="D4310" t="s">
        <v>13978</v>
      </c>
      <c r="E4310" t="s">
        <v>13979</v>
      </c>
      <c r="F4310" t="s">
        <v>14002</v>
      </c>
      <c r="G4310" s="2" t="str">
        <f>HYPERLINK("https://probpalata.gov.ru/files/ИП230400012700013.jpeg","Скачать индивидуальный QR-код магазина")</f>
        <v>Скачать индивидуальный QR-код магазина</v>
      </c>
    </row>
    <row r="4311" spans="1:7" x14ac:dyDescent="0.25">
      <c r="A4311" t="s">
        <v>13087</v>
      </c>
      <c r="B4311" t="s">
        <v>14003</v>
      </c>
      <c r="C4311" t="s">
        <v>13977</v>
      </c>
      <c r="D4311" t="s">
        <v>13978</v>
      </c>
      <c r="E4311" t="s">
        <v>13979</v>
      </c>
      <c r="F4311" t="s">
        <v>14004</v>
      </c>
      <c r="G4311" s="2" t="str">
        <f>HYPERLINK("https://probpalata.gov.ru/files/ИП230400012700014.jpeg","Скачать индивидуальный QR-код магазина")</f>
        <v>Скачать индивидуальный QR-код магазина</v>
      </c>
    </row>
    <row r="4312" spans="1:7" x14ac:dyDescent="0.25">
      <c r="A4312" t="s">
        <v>13087</v>
      </c>
      <c r="B4312" t="s">
        <v>13403</v>
      </c>
      <c r="C4312" t="s">
        <v>14005</v>
      </c>
      <c r="D4312" t="s">
        <v>14006</v>
      </c>
      <c r="E4312" t="s">
        <v>14007</v>
      </c>
      <c r="F4312" t="s">
        <v>14008</v>
      </c>
      <c r="G4312" s="2" t="str">
        <f>HYPERLINK("https://probpalata.gov.ru/files/ИП230400950700000.jpeg","Скачать индивидуальный QR-код магазина")</f>
        <v>Скачать индивидуальный QR-код магазина</v>
      </c>
    </row>
    <row r="4313" spans="1:7" x14ac:dyDescent="0.25">
      <c r="A4313" t="s">
        <v>13087</v>
      </c>
      <c r="B4313" t="s">
        <v>14009</v>
      </c>
      <c r="C4313" t="s">
        <v>14010</v>
      </c>
      <c r="D4313" t="s">
        <v>14011</v>
      </c>
      <c r="E4313" t="s">
        <v>14012</v>
      </c>
      <c r="F4313" t="s">
        <v>14013</v>
      </c>
      <c r="G4313" s="2" t="str">
        <f>HYPERLINK("https://probpalata.gov.ru/files/ИП230400832100000.jpeg","Скачать индивидуальный QR-код магазина")</f>
        <v>Скачать индивидуальный QR-код магазина</v>
      </c>
    </row>
    <row r="4314" spans="1:7" x14ac:dyDescent="0.25">
      <c r="A4314" t="s">
        <v>13087</v>
      </c>
      <c r="B4314" t="s">
        <v>14014</v>
      </c>
      <c r="C4314" t="s">
        <v>14015</v>
      </c>
      <c r="D4314" t="s">
        <v>14016</v>
      </c>
      <c r="E4314" t="s">
        <v>14017</v>
      </c>
      <c r="F4314" t="s">
        <v>14018</v>
      </c>
      <c r="G4314" s="2" t="str">
        <f>HYPERLINK("https://probpalata.gov.ru/files/ЮЛ230400155200000.jpeg","Скачать индивидуальный QR-код магазина")</f>
        <v>Скачать индивидуальный QR-код магазина</v>
      </c>
    </row>
    <row r="4315" spans="1:7" x14ac:dyDescent="0.25">
      <c r="A4315" t="s">
        <v>13087</v>
      </c>
      <c r="B4315" t="s">
        <v>14019</v>
      </c>
      <c r="C4315" t="s">
        <v>14020</v>
      </c>
      <c r="D4315" t="s">
        <v>14021</v>
      </c>
      <c r="E4315" t="s">
        <v>14022</v>
      </c>
      <c r="F4315" t="s">
        <v>14023</v>
      </c>
      <c r="G4315" s="2" t="str">
        <f>HYPERLINK("https://probpalata.gov.ru/files/ИП230400876300000.jpeg","Скачать индивидуальный QR-код магазина")</f>
        <v>Скачать индивидуальный QR-код магазина</v>
      </c>
    </row>
    <row r="4316" spans="1:7" x14ac:dyDescent="0.25">
      <c r="A4316" t="s">
        <v>13087</v>
      </c>
      <c r="B4316" t="s">
        <v>14024</v>
      </c>
      <c r="C4316" t="s">
        <v>14025</v>
      </c>
      <c r="D4316" t="s">
        <v>14026</v>
      </c>
      <c r="E4316" t="s">
        <v>14027</v>
      </c>
      <c r="F4316" t="s">
        <v>14028</v>
      </c>
      <c r="G4316" s="2" t="str">
        <f>HYPERLINK("https://probpalata.gov.ru/files/ИП230400002500000.jpeg","Скачать индивидуальный QR-код магазина")</f>
        <v>Скачать индивидуальный QR-код магазина</v>
      </c>
    </row>
    <row r="4317" spans="1:7" x14ac:dyDescent="0.25">
      <c r="A4317" t="s">
        <v>13087</v>
      </c>
      <c r="B4317" t="s">
        <v>14029</v>
      </c>
      <c r="C4317" t="s">
        <v>14030</v>
      </c>
      <c r="D4317" t="s">
        <v>14031</v>
      </c>
      <c r="E4317" t="s">
        <v>14032</v>
      </c>
      <c r="F4317" t="s">
        <v>14033</v>
      </c>
      <c r="G4317" s="2" t="str">
        <f>HYPERLINK("https://probpalata.gov.ru/files/ИП230400041000000.jpeg","Скачать индивидуальный QR-код магазина")</f>
        <v>Скачать индивидуальный QR-код магазина</v>
      </c>
    </row>
    <row r="4318" spans="1:7" x14ac:dyDescent="0.25">
      <c r="A4318" t="s">
        <v>13087</v>
      </c>
      <c r="B4318" t="s">
        <v>14034</v>
      </c>
      <c r="C4318" t="s">
        <v>14035</v>
      </c>
      <c r="D4318" t="s">
        <v>14036</v>
      </c>
      <c r="E4318" t="s">
        <v>14037</v>
      </c>
      <c r="F4318" t="s">
        <v>14038</v>
      </c>
      <c r="G4318" s="2" t="str">
        <f>HYPERLINK("https://probpalata.gov.ru/files/ЮЛ230400008500000.jpeg","Скачать индивидуальный QR-код магазина")</f>
        <v>Скачать индивидуальный QR-код магазина</v>
      </c>
    </row>
    <row r="4319" spans="1:7" x14ac:dyDescent="0.25">
      <c r="A4319" t="s">
        <v>13087</v>
      </c>
      <c r="B4319" t="s">
        <v>14039</v>
      </c>
      <c r="C4319" t="s">
        <v>14040</v>
      </c>
      <c r="D4319" t="s">
        <v>14041</v>
      </c>
      <c r="E4319" t="s">
        <v>14042</v>
      </c>
      <c r="F4319" t="s">
        <v>14043</v>
      </c>
      <c r="G4319" s="2" t="str">
        <f>HYPERLINK("https://probpalata.gov.ru/files/ЮЛ230400832400000.jpeg","Скачать индивидуальный QR-код магазина")</f>
        <v>Скачать индивидуальный QR-код магазина</v>
      </c>
    </row>
    <row r="4320" spans="1:7" x14ac:dyDescent="0.25">
      <c r="A4320" t="s">
        <v>13087</v>
      </c>
      <c r="B4320" t="s">
        <v>14044</v>
      </c>
      <c r="C4320" t="s">
        <v>14045</v>
      </c>
      <c r="D4320" t="s">
        <v>14046</v>
      </c>
      <c r="E4320" t="s">
        <v>14047</v>
      </c>
      <c r="F4320" t="s">
        <v>14048</v>
      </c>
      <c r="G4320" s="2" t="str">
        <f>HYPERLINK("https://probpalata.gov.ru/files/ЮЛ230400828400000.jpeg","Скачать индивидуальный QR-код магазина")</f>
        <v>Скачать индивидуальный QR-код магазина</v>
      </c>
    </row>
    <row r="4321" spans="1:7" x14ac:dyDescent="0.25">
      <c r="A4321" t="s">
        <v>13087</v>
      </c>
      <c r="B4321" t="s">
        <v>14049</v>
      </c>
      <c r="C4321" t="s">
        <v>14050</v>
      </c>
      <c r="D4321" t="s">
        <v>14051</v>
      </c>
      <c r="E4321" t="s">
        <v>14052</v>
      </c>
      <c r="F4321" t="s">
        <v>14053</v>
      </c>
      <c r="G4321" s="2" t="str">
        <f>HYPERLINK("https://probpalata.gov.ru/files/ЮЛ230400564400000.jpeg","Скачать индивидуальный QR-код магазина")</f>
        <v>Скачать индивидуальный QR-код магазина</v>
      </c>
    </row>
    <row r="4322" spans="1:7" x14ac:dyDescent="0.25">
      <c r="A4322" t="s">
        <v>13087</v>
      </c>
      <c r="B4322" t="s">
        <v>14054</v>
      </c>
      <c r="C4322" t="s">
        <v>14055</v>
      </c>
      <c r="D4322" t="s">
        <v>14056</v>
      </c>
      <c r="E4322" t="s">
        <v>14057</v>
      </c>
      <c r="F4322" t="s">
        <v>14058</v>
      </c>
      <c r="G4322" s="2" t="str">
        <f>HYPERLINK("https://probpalata.gov.ru/files/ИП230400488900000.jpeg","Скачать индивидуальный QR-код магазина")</f>
        <v>Скачать индивидуальный QR-код магазина</v>
      </c>
    </row>
    <row r="4323" spans="1:7" x14ac:dyDescent="0.25">
      <c r="A4323" t="s">
        <v>13087</v>
      </c>
      <c r="B4323" t="s">
        <v>14059</v>
      </c>
      <c r="C4323" t="s">
        <v>14060</v>
      </c>
      <c r="D4323" t="s">
        <v>14061</v>
      </c>
      <c r="E4323" t="s">
        <v>14062</v>
      </c>
      <c r="F4323" t="s">
        <v>14063</v>
      </c>
      <c r="G4323" s="2" t="str">
        <f>HYPERLINK("https://probpalata.gov.ru/files/ИП230400076900001.jpeg","Скачать индивидуальный QR-код магазина")</f>
        <v>Скачать индивидуальный QR-код магазина</v>
      </c>
    </row>
    <row r="4324" spans="1:7" x14ac:dyDescent="0.25">
      <c r="A4324" t="s">
        <v>13087</v>
      </c>
      <c r="B4324" t="s">
        <v>14064</v>
      </c>
      <c r="C4324" t="s">
        <v>14065</v>
      </c>
      <c r="D4324" t="s">
        <v>14066</v>
      </c>
      <c r="E4324" t="s">
        <v>14067</v>
      </c>
      <c r="F4324" t="s">
        <v>14068</v>
      </c>
      <c r="G4324" s="2" t="str">
        <f>HYPERLINK("https://probpalata.gov.ru/files/ИП230400208600000.jpeg","Скачать индивидуальный QR-код магазина")</f>
        <v>Скачать индивидуальный QR-код магазина</v>
      </c>
    </row>
    <row r="4325" spans="1:7" x14ac:dyDescent="0.25">
      <c r="A4325" t="s">
        <v>13087</v>
      </c>
      <c r="B4325" t="s">
        <v>14069</v>
      </c>
      <c r="C4325" t="s">
        <v>14065</v>
      </c>
      <c r="D4325" t="s">
        <v>14066</v>
      </c>
      <c r="E4325" t="s">
        <v>14067</v>
      </c>
      <c r="F4325" t="s">
        <v>14070</v>
      </c>
      <c r="G4325" s="2" t="str">
        <f>HYPERLINK("https://probpalata.gov.ru/files/ИП230400208600002.jpeg","Скачать индивидуальный QR-код магазина")</f>
        <v>Скачать индивидуальный QR-код магазина</v>
      </c>
    </row>
    <row r="4326" spans="1:7" x14ac:dyDescent="0.25">
      <c r="A4326" t="s">
        <v>13087</v>
      </c>
      <c r="B4326" t="s">
        <v>14071</v>
      </c>
      <c r="C4326" t="s">
        <v>14072</v>
      </c>
      <c r="D4326" t="s">
        <v>14073</v>
      </c>
      <c r="E4326" t="s">
        <v>14074</v>
      </c>
      <c r="F4326" t="s">
        <v>14075</v>
      </c>
      <c r="G4326" s="2" t="str">
        <f>HYPERLINK("https://probpalata.gov.ru/files/ИП230403365100000.jpeg","Скачать индивидуальный QR-код магазина")</f>
        <v>Скачать индивидуальный QR-код магазина</v>
      </c>
    </row>
    <row r="4327" spans="1:7" x14ac:dyDescent="0.25">
      <c r="A4327" t="s">
        <v>13087</v>
      </c>
      <c r="B4327" t="s">
        <v>14076</v>
      </c>
      <c r="C4327" t="s">
        <v>14077</v>
      </c>
      <c r="D4327" t="s">
        <v>14078</v>
      </c>
      <c r="E4327" t="s">
        <v>14079</v>
      </c>
      <c r="F4327" t="s">
        <v>14080</v>
      </c>
      <c r="G4327" s="2" t="str">
        <f>HYPERLINK("https://probpalata.gov.ru/files/ИП230401279900000.jpeg","Скачать индивидуальный QR-код магазина")</f>
        <v>Скачать индивидуальный QR-код магазина</v>
      </c>
    </row>
    <row r="4328" spans="1:7" x14ac:dyDescent="0.25">
      <c r="A4328" t="s">
        <v>13087</v>
      </c>
      <c r="B4328" t="s">
        <v>14081</v>
      </c>
      <c r="C4328" t="s">
        <v>14082</v>
      </c>
      <c r="D4328" t="s">
        <v>14083</v>
      </c>
      <c r="E4328" t="s">
        <v>14084</v>
      </c>
      <c r="F4328" t="s">
        <v>14085</v>
      </c>
      <c r="G4328" s="2" t="str">
        <f>HYPERLINK("https://probpalata.gov.ru/files/ИП230404006800000.jpeg","Скачать индивидуальный QR-код магазина")</f>
        <v>Скачать индивидуальный QR-код магазина</v>
      </c>
    </row>
    <row r="4329" spans="1:7" x14ac:dyDescent="0.25">
      <c r="A4329" t="s">
        <v>13087</v>
      </c>
      <c r="B4329" t="s">
        <v>14086</v>
      </c>
      <c r="C4329" t="s">
        <v>14087</v>
      </c>
      <c r="D4329" t="s">
        <v>14088</v>
      </c>
      <c r="E4329" t="s">
        <v>14089</v>
      </c>
      <c r="F4329" t="s">
        <v>14090</v>
      </c>
      <c r="G4329" s="2" t="str">
        <f>HYPERLINK("https://probpalata.gov.ru/files/ИП230401121400000.jpeg","Скачать индивидуальный QR-код магазина")</f>
        <v>Скачать индивидуальный QR-код магазина</v>
      </c>
    </row>
    <row r="4330" spans="1:7" x14ac:dyDescent="0.25">
      <c r="A4330" t="s">
        <v>13087</v>
      </c>
      <c r="B4330" t="s">
        <v>14091</v>
      </c>
      <c r="C4330" t="s">
        <v>14092</v>
      </c>
      <c r="D4330" t="s">
        <v>14093</v>
      </c>
      <c r="E4330" t="s">
        <v>14094</v>
      </c>
      <c r="F4330" t="s">
        <v>14095</v>
      </c>
      <c r="G4330" s="2" t="str">
        <f>HYPERLINK("https://probpalata.gov.ru/files/ИП230401320400000.jpeg","Скачать индивидуальный QR-код магазина")</f>
        <v>Скачать индивидуальный QR-код магазина</v>
      </c>
    </row>
    <row r="4331" spans="1:7" x14ac:dyDescent="0.25">
      <c r="A4331" t="s">
        <v>13087</v>
      </c>
      <c r="B4331" t="s">
        <v>14096</v>
      </c>
      <c r="C4331" t="s">
        <v>14092</v>
      </c>
      <c r="D4331" t="s">
        <v>14093</v>
      </c>
      <c r="E4331" t="s">
        <v>14094</v>
      </c>
      <c r="F4331" t="s">
        <v>14097</v>
      </c>
      <c r="G4331" s="2" t="str">
        <f>HYPERLINK("https://probpalata.gov.ru/files/ИП230401320400001.jpeg","Скачать индивидуальный QR-код магазина")</f>
        <v>Скачать индивидуальный QR-код магазина</v>
      </c>
    </row>
    <row r="4332" spans="1:7" x14ac:dyDescent="0.25">
      <c r="A4332" t="s">
        <v>13087</v>
      </c>
      <c r="B4332" t="s">
        <v>14098</v>
      </c>
      <c r="C4332" t="s">
        <v>14099</v>
      </c>
      <c r="D4332" t="s">
        <v>14100</v>
      </c>
      <c r="E4332" t="s">
        <v>14101</v>
      </c>
      <c r="F4332" t="s">
        <v>14102</v>
      </c>
      <c r="G4332" s="2" t="str">
        <f>HYPERLINK("https://probpalata.gov.ru/files/ИП230400055100000.jpeg","Скачать индивидуальный QR-код магазина")</f>
        <v>Скачать индивидуальный QR-код магазина</v>
      </c>
    </row>
    <row r="4333" spans="1:7" x14ac:dyDescent="0.25">
      <c r="A4333" t="s">
        <v>13087</v>
      </c>
      <c r="B4333" t="s">
        <v>14103</v>
      </c>
      <c r="C4333" t="s">
        <v>14104</v>
      </c>
      <c r="D4333" t="s">
        <v>14105</v>
      </c>
      <c r="E4333" t="s">
        <v>14106</v>
      </c>
      <c r="F4333" t="s">
        <v>14107</v>
      </c>
      <c r="G4333" s="2" t="str">
        <f>HYPERLINK("https://probpalata.gov.ru/files/ИП230403188200000.jpeg","Скачать индивидуальный QR-код магазина")</f>
        <v>Скачать индивидуальный QR-код магазина</v>
      </c>
    </row>
    <row r="4334" spans="1:7" x14ac:dyDescent="0.25">
      <c r="A4334" t="s">
        <v>13087</v>
      </c>
      <c r="B4334" t="s">
        <v>14108</v>
      </c>
      <c r="C4334" t="s">
        <v>14109</v>
      </c>
      <c r="D4334" t="s">
        <v>14110</v>
      </c>
      <c r="E4334" t="s">
        <v>14111</v>
      </c>
      <c r="F4334" t="s">
        <v>14112</v>
      </c>
      <c r="G4334" s="2" t="str">
        <f>HYPERLINK("https://probpalata.gov.ru/files/ИП230400737600000.jpeg","Скачать индивидуальный QR-код магазина")</f>
        <v>Скачать индивидуальный QR-код магазина</v>
      </c>
    </row>
    <row r="4335" spans="1:7" x14ac:dyDescent="0.25">
      <c r="A4335" t="s">
        <v>13087</v>
      </c>
      <c r="B4335" t="s">
        <v>14113</v>
      </c>
      <c r="C4335" t="s">
        <v>14114</v>
      </c>
      <c r="D4335" t="s">
        <v>14115</v>
      </c>
      <c r="E4335" t="s">
        <v>14116</v>
      </c>
      <c r="F4335" t="s">
        <v>14117</v>
      </c>
      <c r="G4335" s="2" t="str">
        <f>HYPERLINK("https://probpalata.gov.ru/files/ИП230400746700000.jpeg","Скачать индивидуальный QR-код магазина")</f>
        <v>Скачать индивидуальный QR-код магазина</v>
      </c>
    </row>
    <row r="4336" spans="1:7" x14ac:dyDescent="0.25">
      <c r="A4336" t="s">
        <v>13087</v>
      </c>
      <c r="B4336" t="s">
        <v>14118</v>
      </c>
      <c r="C4336" t="s">
        <v>14119</v>
      </c>
      <c r="D4336" t="s">
        <v>14120</v>
      </c>
      <c r="E4336" t="s">
        <v>14121</v>
      </c>
      <c r="F4336" t="s">
        <v>14122</v>
      </c>
      <c r="G4336" s="2" t="str">
        <f>HYPERLINK("https://probpalata.gov.ru/files/ИП230400423800000.jpeg","Скачать индивидуальный QR-код магазина")</f>
        <v>Скачать индивидуальный QR-код магазина</v>
      </c>
    </row>
    <row r="4337" spans="1:7" x14ac:dyDescent="0.25">
      <c r="A4337" t="s">
        <v>13087</v>
      </c>
      <c r="B4337" t="s">
        <v>14123</v>
      </c>
      <c r="C4337" t="s">
        <v>14124</v>
      </c>
      <c r="D4337" t="s">
        <v>14125</v>
      </c>
      <c r="E4337" t="s">
        <v>14126</v>
      </c>
      <c r="F4337" t="s">
        <v>14127</v>
      </c>
      <c r="G4337" s="2" t="str">
        <f>HYPERLINK("https://probpalata.gov.ru/files/ИП230400309400000.jpeg","Скачать индивидуальный QR-код магазина")</f>
        <v>Скачать индивидуальный QR-код магазина</v>
      </c>
    </row>
    <row r="4338" spans="1:7" x14ac:dyDescent="0.25">
      <c r="A4338" t="s">
        <v>13087</v>
      </c>
      <c r="B4338" t="s">
        <v>14128</v>
      </c>
      <c r="C4338" t="s">
        <v>11936</v>
      </c>
      <c r="D4338" t="s">
        <v>14129</v>
      </c>
      <c r="E4338" t="s">
        <v>14130</v>
      </c>
      <c r="F4338" t="s">
        <v>14131</v>
      </c>
      <c r="G4338" s="2" t="str">
        <f>HYPERLINK("https://probpalata.gov.ru/files/ЮЛ230400661100000.jpeg","Скачать индивидуальный QR-код магазина")</f>
        <v>Скачать индивидуальный QR-код магазина</v>
      </c>
    </row>
    <row r="4339" spans="1:7" x14ac:dyDescent="0.25">
      <c r="A4339" t="s">
        <v>13087</v>
      </c>
      <c r="B4339" t="s">
        <v>14132</v>
      </c>
      <c r="C4339" t="s">
        <v>11936</v>
      </c>
      <c r="D4339" t="s">
        <v>14129</v>
      </c>
      <c r="E4339" t="s">
        <v>14130</v>
      </c>
      <c r="F4339" t="s">
        <v>14133</v>
      </c>
      <c r="G4339" s="2" t="str">
        <f>HYPERLINK("https://probpalata.gov.ru/files/ЮЛ230400661100001.jpeg","Скачать индивидуальный QR-код магазина")</f>
        <v>Скачать индивидуальный QR-код магазина</v>
      </c>
    </row>
    <row r="4340" spans="1:7" x14ac:dyDescent="0.25">
      <c r="A4340" t="s">
        <v>13087</v>
      </c>
      <c r="B4340" t="s">
        <v>14134</v>
      </c>
      <c r="C4340" t="s">
        <v>11936</v>
      </c>
      <c r="D4340" t="s">
        <v>14129</v>
      </c>
      <c r="E4340" t="s">
        <v>14130</v>
      </c>
      <c r="F4340" t="s">
        <v>14135</v>
      </c>
      <c r="G4340" s="2" t="str">
        <f>HYPERLINK("https://probpalata.gov.ru/files/ЮЛ230400661100002.jpeg","Скачать индивидуальный QR-код магазина")</f>
        <v>Скачать индивидуальный QR-код магазина</v>
      </c>
    </row>
    <row r="4341" spans="1:7" x14ac:dyDescent="0.25">
      <c r="A4341" t="s">
        <v>13087</v>
      </c>
      <c r="B4341" t="s">
        <v>14136</v>
      </c>
      <c r="C4341" t="s">
        <v>14137</v>
      </c>
      <c r="D4341" t="s">
        <v>14138</v>
      </c>
      <c r="E4341" t="s">
        <v>14139</v>
      </c>
      <c r="F4341" t="s">
        <v>14140</v>
      </c>
      <c r="G4341" s="2" t="str">
        <f>HYPERLINK("https://probpalata.gov.ru/files/ИП230400110000000.jpeg","Скачать индивидуальный QR-код магазина")</f>
        <v>Скачать индивидуальный QR-код магазина</v>
      </c>
    </row>
    <row r="4342" spans="1:7" x14ac:dyDescent="0.25">
      <c r="A4342" t="s">
        <v>13087</v>
      </c>
      <c r="B4342" t="s">
        <v>14141</v>
      </c>
      <c r="C4342" t="s">
        <v>14137</v>
      </c>
      <c r="D4342" t="s">
        <v>14138</v>
      </c>
      <c r="E4342" t="s">
        <v>14139</v>
      </c>
      <c r="F4342" t="s">
        <v>14142</v>
      </c>
      <c r="G4342" s="2" t="str">
        <f>HYPERLINK("https://probpalata.gov.ru/files/ИП230400110000004.jpeg","Скачать индивидуальный QR-код магазина")</f>
        <v>Скачать индивидуальный QR-код магазина</v>
      </c>
    </row>
    <row r="4343" spans="1:7" x14ac:dyDescent="0.25">
      <c r="A4343" t="s">
        <v>13087</v>
      </c>
      <c r="B4343" t="s">
        <v>14143</v>
      </c>
      <c r="C4343" t="s">
        <v>14137</v>
      </c>
      <c r="D4343" t="s">
        <v>14138</v>
      </c>
      <c r="E4343" t="s">
        <v>14139</v>
      </c>
      <c r="F4343" t="s">
        <v>14144</v>
      </c>
      <c r="G4343" s="2" t="str">
        <f>HYPERLINK("https://probpalata.gov.ru/files/ИП230400110000005.jpeg","Скачать индивидуальный QR-код магазина")</f>
        <v>Скачать индивидуальный QR-код магазина</v>
      </c>
    </row>
    <row r="4344" spans="1:7" x14ac:dyDescent="0.25">
      <c r="A4344" t="s">
        <v>13087</v>
      </c>
      <c r="B4344" t="s">
        <v>14128</v>
      </c>
      <c r="C4344" t="s">
        <v>14145</v>
      </c>
      <c r="D4344" t="s">
        <v>14146</v>
      </c>
      <c r="E4344" t="s">
        <v>14147</v>
      </c>
      <c r="F4344" t="s">
        <v>14148</v>
      </c>
      <c r="G4344" s="2" t="str">
        <f>HYPERLINK("https://probpalata.gov.ru/files/ИП230400663200000.jpeg","Скачать индивидуальный QR-код магазина")</f>
        <v>Скачать индивидуальный QR-код магазина</v>
      </c>
    </row>
    <row r="4345" spans="1:7" x14ac:dyDescent="0.25">
      <c r="A4345" t="s">
        <v>13087</v>
      </c>
      <c r="B4345" t="s">
        <v>14149</v>
      </c>
      <c r="C4345" t="s">
        <v>14150</v>
      </c>
      <c r="D4345" t="s">
        <v>14151</v>
      </c>
      <c r="E4345" t="s">
        <v>14152</v>
      </c>
      <c r="F4345" t="s">
        <v>14153</v>
      </c>
      <c r="G4345" s="2" t="str">
        <f>HYPERLINK("https://probpalata.gov.ru/files/ИП780301932500000.jpeg","Скачать индивидуальный QR-код магазина")</f>
        <v>Скачать индивидуальный QR-код магазина</v>
      </c>
    </row>
    <row r="4346" spans="1:7" x14ac:dyDescent="0.25">
      <c r="A4346" t="s">
        <v>13087</v>
      </c>
      <c r="B4346" t="s">
        <v>14154</v>
      </c>
      <c r="C4346" t="s">
        <v>14155</v>
      </c>
      <c r="D4346" t="s">
        <v>14156</v>
      </c>
      <c r="E4346" t="s">
        <v>14157</v>
      </c>
      <c r="F4346" t="s">
        <v>14158</v>
      </c>
      <c r="G4346" s="2" t="str">
        <f>HYPERLINK("https://probpalata.gov.ru/files/ИП230400972200000.jpeg","Скачать индивидуальный QR-код магазина")</f>
        <v>Скачать индивидуальный QR-код магазина</v>
      </c>
    </row>
    <row r="4347" spans="1:7" x14ac:dyDescent="0.25">
      <c r="A4347" t="s">
        <v>13087</v>
      </c>
      <c r="B4347" t="s">
        <v>14159</v>
      </c>
      <c r="C4347" t="s">
        <v>14160</v>
      </c>
      <c r="D4347" t="s">
        <v>14161</v>
      </c>
      <c r="E4347" t="s">
        <v>14162</v>
      </c>
      <c r="F4347" t="s">
        <v>14163</v>
      </c>
      <c r="G4347" s="2" t="str">
        <f>HYPERLINK("https://probpalata.gov.ru/files/ИП230403714000000.jpeg","Скачать индивидуальный QR-код магазина")</f>
        <v>Скачать индивидуальный QR-код магазина</v>
      </c>
    </row>
    <row r="4348" spans="1:7" x14ac:dyDescent="0.25">
      <c r="A4348" t="s">
        <v>13087</v>
      </c>
      <c r="B4348" t="s">
        <v>14164</v>
      </c>
      <c r="C4348" t="s">
        <v>14165</v>
      </c>
      <c r="D4348" t="s">
        <v>14166</v>
      </c>
      <c r="E4348" t="s">
        <v>14167</v>
      </c>
      <c r="F4348" t="s">
        <v>14168</v>
      </c>
      <c r="G4348" s="2" t="str">
        <f>HYPERLINK("https://probpalata.gov.ru/files/ИП230400565800000.jpeg","Скачать индивидуальный QR-код магазина")</f>
        <v>Скачать индивидуальный QR-код магазина</v>
      </c>
    </row>
    <row r="4349" spans="1:7" x14ac:dyDescent="0.25">
      <c r="A4349" t="s">
        <v>13087</v>
      </c>
      <c r="B4349" t="s">
        <v>14169</v>
      </c>
      <c r="C4349" t="s">
        <v>14165</v>
      </c>
      <c r="D4349" t="s">
        <v>14166</v>
      </c>
      <c r="E4349" t="s">
        <v>14167</v>
      </c>
      <c r="F4349" t="s">
        <v>14170</v>
      </c>
      <c r="G4349" s="2" t="str">
        <f>HYPERLINK("https://probpalata.gov.ru/files/ИП230400565800001.jpeg","Скачать индивидуальный QR-код магазина")</f>
        <v>Скачать индивидуальный QR-код магазина</v>
      </c>
    </row>
    <row r="4350" spans="1:7" x14ac:dyDescent="0.25">
      <c r="A4350" t="s">
        <v>13087</v>
      </c>
      <c r="B4350" t="s">
        <v>14171</v>
      </c>
      <c r="C4350" t="s">
        <v>14165</v>
      </c>
      <c r="D4350" t="s">
        <v>14166</v>
      </c>
      <c r="E4350" t="s">
        <v>14167</v>
      </c>
      <c r="F4350" t="s">
        <v>14172</v>
      </c>
      <c r="G4350" s="2" t="str">
        <f>HYPERLINK("https://probpalata.gov.ru/files/ИП230400565800002.jpeg","Скачать индивидуальный QR-код магазина")</f>
        <v>Скачать индивидуальный QR-код магазина</v>
      </c>
    </row>
    <row r="4351" spans="1:7" x14ac:dyDescent="0.25">
      <c r="A4351" t="s">
        <v>13087</v>
      </c>
      <c r="B4351" t="s">
        <v>14173</v>
      </c>
      <c r="C4351" t="s">
        <v>14165</v>
      </c>
      <c r="D4351" t="s">
        <v>14166</v>
      </c>
      <c r="E4351" t="s">
        <v>14167</v>
      </c>
      <c r="F4351" t="s">
        <v>14174</v>
      </c>
      <c r="G4351" s="2" t="str">
        <f>HYPERLINK("https://probpalata.gov.ru/files/ИП230400565800003.jpeg","Скачать индивидуальный QR-код магазина")</f>
        <v>Скачать индивидуальный QR-код магазина</v>
      </c>
    </row>
    <row r="4352" spans="1:7" x14ac:dyDescent="0.25">
      <c r="A4352" t="s">
        <v>13087</v>
      </c>
      <c r="B4352" t="s">
        <v>14175</v>
      </c>
      <c r="C4352" t="s">
        <v>14176</v>
      </c>
      <c r="D4352" t="s">
        <v>14177</v>
      </c>
      <c r="E4352" t="s">
        <v>14178</v>
      </c>
      <c r="F4352" t="s">
        <v>14179</v>
      </c>
      <c r="G4352" s="2" t="str">
        <f>HYPERLINK("https://probpalata.gov.ru/files/ИП230400871900000.jpeg","Скачать индивидуальный QR-код магазина")</f>
        <v>Скачать индивидуальный QR-код магазина</v>
      </c>
    </row>
    <row r="4353" spans="1:7" x14ac:dyDescent="0.25">
      <c r="A4353" t="s">
        <v>13087</v>
      </c>
      <c r="B4353" t="s">
        <v>14180</v>
      </c>
      <c r="C4353" t="s">
        <v>14176</v>
      </c>
      <c r="D4353" t="s">
        <v>14177</v>
      </c>
      <c r="E4353" t="s">
        <v>14178</v>
      </c>
      <c r="F4353" t="s">
        <v>14181</v>
      </c>
      <c r="G4353" s="2" t="str">
        <f>HYPERLINK("https://probpalata.gov.ru/files/ИП230400871900001.jpeg","Скачать индивидуальный QR-код магазина")</f>
        <v>Скачать индивидуальный QR-код магазина</v>
      </c>
    </row>
    <row r="4354" spans="1:7" x14ac:dyDescent="0.25">
      <c r="A4354" t="s">
        <v>13087</v>
      </c>
      <c r="B4354" t="s">
        <v>14182</v>
      </c>
      <c r="C4354" t="s">
        <v>14183</v>
      </c>
      <c r="D4354" t="s">
        <v>14184</v>
      </c>
      <c r="E4354" t="s">
        <v>14185</v>
      </c>
      <c r="F4354" t="s">
        <v>14186</v>
      </c>
      <c r="G4354" s="2" t="str">
        <f>HYPERLINK("https://probpalata.gov.ru/files/ИП230403316500000.jpeg","Скачать индивидуальный QR-код магазина")</f>
        <v>Скачать индивидуальный QR-код магазина</v>
      </c>
    </row>
    <row r="4355" spans="1:7" x14ac:dyDescent="0.25">
      <c r="A4355" t="s">
        <v>13087</v>
      </c>
      <c r="B4355" t="s">
        <v>14187</v>
      </c>
      <c r="C4355" t="s">
        <v>14188</v>
      </c>
      <c r="D4355" t="s">
        <v>14189</v>
      </c>
      <c r="E4355" t="s">
        <v>14190</v>
      </c>
      <c r="F4355" t="s">
        <v>14191</v>
      </c>
      <c r="G4355" s="2" t="str">
        <f>HYPERLINK("https://probpalata.gov.ru/files/ИП230401775300000.jpeg","Скачать индивидуальный QR-код магазина")</f>
        <v>Скачать индивидуальный QR-код магазина</v>
      </c>
    </row>
    <row r="4356" spans="1:7" x14ac:dyDescent="0.25">
      <c r="A4356" t="s">
        <v>13087</v>
      </c>
      <c r="B4356" t="s">
        <v>14192</v>
      </c>
      <c r="C4356" t="s">
        <v>14193</v>
      </c>
      <c r="D4356" t="s">
        <v>14194</v>
      </c>
      <c r="E4356" t="s">
        <v>14195</v>
      </c>
      <c r="F4356" t="s">
        <v>14196</v>
      </c>
      <c r="G4356" s="2" t="str">
        <f>HYPERLINK("https://probpalata.gov.ru/files/ИП230400425000000.jpeg","Скачать индивидуальный QR-код магазина")</f>
        <v>Скачать индивидуальный QR-код магазина</v>
      </c>
    </row>
    <row r="4357" spans="1:7" x14ac:dyDescent="0.25">
      <c r="A4357" t="s">
        <v>13087</v>
      </c>
      <c r="B4357" t="s">
        <v>14197</v>
      </c>
      <c r="C4357" t="s">
        <v>14198</v>
      </c>
      <c r="D4357" t="s">
        <v>14199</v>
      </c>
      <c r="E4357" t="s">
        <v>14200</v>
      </c>
      <c r="F4357" t="s">
        <v>14201</v>
      </c>
      <c r="G4357" s="2" t="str">
        <f>HYPERLINK("https://probpalata.gov.ru/files/ИП230403389000000.jpeg","Скачать индивидуальный QR-код магазина")</f>
        <v>Скачать индивидуальный QR-код магазина</v>
      </c>
    </row>
    <row r="4358" spans="1:7" x14ac:dyDescent="0.25">
      <c r="A4358" t="s">
        <v>13087</v>
      </c>
      <c r="B4358" t="s">
        <v>14202</v>
      </c>
      <c r="C4358" t="s">
        <v>14203</v>
      </c>
      <c r="D4358" t="s">
        <v>14204</v>
      </c>
      <c r="E4358" t="s">
        <v>14205</v>
      </c>
      <c r="F4358" t="s">
        <v>14206</v>
      </c>
      <c r="G4358" s="2" t="str">
        <f>HYPERLINK("https://probpalata.gov.ru/files/ИП230403674900000.jpeg","Скачать индивидуальный QR-код магазина")</f>
        <v>Скачать индивидуальный QR-код магазина</v>
      </c>
    </row>
    <row r="4359" spans="1:7" x14ac:dyDescent="0.25">
      <c r="A4359" t="s">
        <v>13087</v>
      </c>
      <c r="B4359" t="s">
        <v>14207</v>
      </c>
      <c r="C4359" t="s">
        <v>14208</v>
      </c>
      <c r="D4359" t="s">
        <v>14209</v>
      </c>
      <c r="E4359" t="s">
        <v>14210</v>
      </c>
      <c r="F4359" t="s">
        <v>14211</v>
      </c>
      <c r="G4359" s="2" t="str">
        <f>HYPERLINK("https://probpalata.gov.ru/files/ИП230400010600000.jpeg","Скачать индивидуальный QR-код магазина")</f>
        <v>Скачать индивидуальный QR-код магазина</v>
      </c>
    </row>
    <row r="4360" spans="1:7" x14ac:dyDescent="0.25">
      <c r="A4360" t="s">
        <v>13087</v>
      </c>
      <c r="B4360" t="s">
        <v>14212</v>
      </c>
      <c r="C4360" t="s">
        <v>14213</v>
      </c>
      <c r="D4360" t="s">
        <v>14214</v>
      </c>
      <c r="E4360" t="s">
        <v>14215</v>
      </c>
      <c r="F4360" t="s">
        <v>14216</v>
      </c>
      <c r="G4360" s="2" t="str">
        <f>HYPERLINK("https://probpalata.gov.ru/files/ИП230400131000000.jpeg","Скачать индивидуальный QR-код магазина")</f>
        <v>Скачать индивидуальный QR-код магазина</v>
      </c>
    </row>
    <row r="4361" spans="1:7" x14ac:dyDescent="0.25">
      <c r="A4361" t="s">
        <v>13087</v>
      </c>
      <c r="B4361" t="s">
        <v>14217</v>
      </c>
      <c r="C4361" t="s">
        <v>14218</v>
      </c>
      <c r="D4361" t="s">
        <v>14219</v>
      </c>
      <c r="E4361" t="s">
        <v>14220</v>
      </c>
      <c r="F4361" t="s">
        <v>14221</v>
      </c>
      <c r="G4361" s="2" t="str">
        <f>HYPERLINK("https://probpalata.gov.ru/files/ИП230403563300000.jpeg","Скачать индивидуальный QR-код магазина")</f>
        <v>Скачать индивидуальный QR-код магазина</v>
      </c>
    </row>
    <row r="4362" spans="1:7" x14ac:dyDescent="0.25">
      <c r="A4362" t="s">
        <v>13087</v>
      </c>
      <c r="B4362" t="s">
        <v>14222</v>
      </c>
      <c r="C4362" t="s">
        <v>14223</v>
      </c>
      <c r="D4362" t="s">
        <v>14224</v>
      </c>
      <c r="E4362" t="s">
        <v>14225</v>
      </c>
      <c r="F4362" t="s">
        <v>14226</v>
      </c>
      <c r="G4362" s="2" t="str">
        <f>HYPERLINK("https://probpalata.gov.ru/files/ИП230400870600000.jpeg","Скачать индивидуальный QR-код магазина")</f>
        <v>Скачать индивидуальный QR-код магазина</v>
      </c>
    </row>
    <row r="4363" spans="1:7" x14ac:dyDescent="0.25">
      <c r="A4363" t="s">
        <v>13087</v>
      </c>
      <c r="B4363" t="s">
        <v>14227</v>
      </c>
      <c r="C4363" t="s">
        <v>14228</v>
      </c>
      <c r="D4363" t="s">
        <v>14229</v>
      </c>
      <c r="E4363" t="s">
        <v>14230</v>
      </c>
      <c r="F4363" t="s">
        <v>14231</v>
      </c>
      <c r="G4363" s="2" t="str">
        <f>HYPERLINK("https://probpalata.gov.ru/files/ИП230400988800000.jpeg","Скачать индивидуальный QR-код магазина")</f>
        <v>Скачать индивидуальный QR-код магазина</v>
      </c>
    </row>
    <row r="4364" spans="1:7" x14ac:dyDescent="0.25">
      <c r="A4364" t="s">
        <v>13087</v>
      </c>
      <c r="B4364" t="s">
        <v>14232</v>
      </c>
      <c r="C4364" t="s">
        <v>14233</v>
      </c>
      <c r="D4364" t="s">
        <v>14234</v>
      </c>
      <c r="E4364" t="s">
        <v>14235</v>
      </c>
      <c r="F4364" t="s">
        <v>14236</v>
      </c>
      <c r="G4364" s="2" t="str">
        <f>HYPERLINK("https://probpalata.gov.ru/files/ИП230400743600000.jpeg","Скачать индивидуальный QR-код магазина")</f>
        <v>Скачать индивидуальный QR-код магазина</v>
      </c>
    </row>
    <row r="4365" spans="1:7" x14ac:dyDescent="0.25">
      <c r="A4365" t="s">
        <v>13087</v>
      </c>
      <c r="B4365" t="s">
        <v>14237</v>
      </c>
      <c r="C4365" t="s">
        <v>14233</v>
      </c>
      <c r="D4365" t="s">
        <v>14234</v>
      </c>
      <c r="E4365" t="s">
        <v>14235</v>
      </c>
      <c r="F4365" t="s">
        <v>14238</v>
      </c>
      <c r="G4365" s="2" t="str">
        <f>HYPERLINK("https://probpalata.gov.ru/files/ИП230400743600001.jpeg","Скачать индивидуальный QR-код магазина")</f>
        <v>Скачать индивидуальный QR-код магазина</v>
      </c>
    </row>
    <row r="4366" spans="1:7" x14ac:dyDescent="0.25">
      <c r="A4366" t="s">
        <v>13087</v>
      </c>
      <c r="B4366" t="s">
        <v>14239</v>
      </c>
      <c r="C4366" t="s">
        <v>14240</v>
      </c>
      <c r="D4366" t="s">
        <v>14241</v>
      </c>
      <c r="E4366" t="s">
        <v>14242</v>
      </c>
      <c r="F4366" t="s">
        <v>14243</v>
      </c>
      <c r="G4366" s="2" t="str">
        <f>HYPERLINK("https://probpalata.gov.ru/files/ИП230401346700000.jpeg","Скачать индивидуальный QR-код магазина")</f>
        <v>Скачать индивидуальный QR-код магазина</v>
      </c>
    </row>
    <row r="4367" spans="1:7" x14ac:dyDescent="0.25">
      <c r="A4367" t="s">
        <v>13087</v>
      </c>
      <c r="B4367" t="s">
        <v>14244</v>
      </c>
      <c r="C4367" t="s">
        <v>14245</v>
      </c>
      <c r="D4367" t="s">
        <v>14246</v>
      </c>
      <c r="E4367" t="s">
        <v>14247</v>
      </c>
      <c r="F4367" t="s">
        <v>14248</v>
      </c>
      <c r="G4367" s="2" t="str">
        <f>HYPERLINK("https://probpalata.gov.ru/files/ЮЛ230400726800000.jpeg","Скачать индивидуальный QR-код магазина")</f>
        <v>Скачать индивидуальный QR-код магазина</v>
      </c>
    </row>
    <row r="4368" spans="1:7" x14ac:dyDescent="0.25">
      <c r="A4368" t="s">
        <v>13087</v>
      </c>
      <c r="B4368" t="s">
        <v>14249</v>
      </c>
      <c r="C4368" t="s">
        <v>14250</v>
      </c>
      <c r="D4368" t="s">
        <v>14251</v>
      </c>
      <c r="E4368" t="s">
        <v>14252</v>
      </c>
      <c r="F4368" t="s">
        <v>14253</v>
      </c>
      <c r="G4368" s="2" t="str">
        <f>HYPERLINK("https://probpalata.gov.ru/files/ИП230400707400000.jpeg","Скачать индивидуальный QR-код магазина")</f>
        <v>Скачать индивидуальный QR-код магазина</v>
      </c>
    </row>
    <row r="4369" spans="1:7" x14ac:dyDescent="0.25">
      <c r="A4369" t="s">
        <v>13087</v>
      </c>
      <c r="B4369" t="s">
        <v>14254</v>
      </c>
      <c r="C4369" t="s">
        <v>14255</v>
      </c>
      <c r="D4369" t="s">
        <v>14256</v>
      </c>
      <c r="E4369" t="s">
        <v>14257</v>
      </c>
      <c r="F4369" t="s">
        <v>14258</v>
      </c>
      <c r="G4369" s="2" t="str">
        <f>HYPERLINK("https://probpalata.gov.ru/files/ИП230403443500000.jpeg","Скачать индивидуальный QR-код магазина")</f>
        <v>Скачать индивидуальный QR-код магазина</v>
      </c>
    </row>
    <row r="4370" spans="1:7" x14ac:dyDescent="0.25">
      <c r="A4370" t="s">
        <v>13087</v>
      </c>
      <c r="B4370" t="s">
        <v>14259</v>
      </c>
      <c r="C4370" t="s">
        <v>14255</v>
      </c>
      <c r="D4370" t="s">
        <v>14256</v>
      </c>
      <c r="E4370" t="s">
        <v>14257</v>
      </c>
      <c r="F4370" t="s">
        <v>14260</v>
      </c>
      <c r="G4370" s="2" t="str">
        <f>HYPERLINK("https://probpalata.gov.ru/files/ИП230403443500002.jpeg","Скачать индивидуальный QR-код магазина")</f>
        <v>Скачать индивидуальный QR-код магазина</v>
      </c>
    </row>
    <row r="4371" spans="1:7" x14ac:dyDescent="0.25">
      <c r="A4371" t="s">
        <v>13087</v>
      </c>
      <c r="B4371" t="s">
        <v>14261</v>
      </c>
      <c r="C4371" t="s">
        <v>14262</v>
      </c>
      <c r="D4371" t="s">
        <v>14263</v>
      </c>
      <c r="E4371" t="s">
        <v>14264</v>
      </c>
      <c r="F4371" t="s">
        <v>14265</v>
      </c>
      <c r="G4371" s="2" t="str">
        <f>HYPERLINK("https://probpalata.gov.ru/files/ИП230400331100000.jpeg","Скачать индивидуальный QR-код магазина")</f>
        <v>Скачать индивидуальный QR-код магазина</v>
      </c>
    </row>
    <row r="4372" spans="1:7" x14ac:dyDescent="0.25">
      <c r="A4372" t="s">
        <v>13087</v>
      </c>
      <c r="B4372" t="s">
        <v>14266</v>
      </c>
      <c r="C4372" t="s">
        <v>14262</v>
      </c>
      <c r="D4372" t="s">
        <v>14263</v>
      </c>
      <c r="E4372" t="s">
        <v>14264</v>
      </c>
      <c r="F4372" t="s">
        <v>14267</v>
      </c>
      <c r="G4372" s="2" t="str">
        <f>HYPERLINK("https://probpalata.gov.ru/files/ИП230400331100001.jpeg","Скачать индивидуальный QR-код магазина")</f>
        <v>Скачать индивидуальный QR-код магазина</v>
      </c>
    </row>
    <row r="4373" spans="1:7" x14ac:dyDescent="0.25">
      <c r="A4373" t="s">
        <v>13087</v>
      </c>
      <c r="B4373" t="s">
        <v>14268</v>
      </c>
      <c r="C4373" t="s">
        <v>14262</v>
      </c>
      <c r="D4373" t="s">
        <v>14263</v>
      </c>
      <c r="E4373" t="s">
        <v>14264</v>
      </c>
      <c r="F4373" t="s">
        <v>14269</v>
      </c>
      <c r="G4373" s="2" t="str">
        <f>HYPERLINK("https://probpalata.gov.ru/files/ИП230400331100002.jpeg","Скачать индивидуальный QR-код магазина")</f>
        <v>Скачать индивидуальный QR-код магазина</v>
      </c>
    </row>
    <row r="4374" spans="1:7" x14ac:dyDescent="0.25">
      <c r="A4374" t="s">
        <v>13087</v>
      </c>
      <c r="B4374" t="s">
        <v>14270</v>
      </c>
      <c r="C4374" t="s">
        <v>14271</v>
      </c>
      <c r="D4374" t="s">
        <v>14272</v>
      </c>
      <c r="E4374" t="s">
        <v>14273</v>
      </c>
      <c r="F4374" t="s">
        <v>14274</v>
      </c>
      <c r="G4374" s="2" t="str">
        <f>HYPERLINK("https://probpalata.gov.ru/files/ИП230400901600000.jpeg","Скачать индивидуальный QR-код магазина")</f>
        <v>Скачать индивидуальный QR-код магазина</v>
      </c>
    </row>
    <row r="4375" spans="1:7" x14ac:dyDescent="0.25">
      <c r="A4375" t="s">
        <v>13087</v>
      </c>
      <c r="B4375" t="s">
        <v>14275</v>
      </c>
      <c r="C4375" t="s">
        <v>14276</v>
      </c>
      <c r="D4375" t="s">
        <v>14277</v>
      </c>
      <c r="E4375" t="s">
        <v>14278</v>
      </c>
      <c r="F4375" t="s">
        <v>14279</v>
      </c>
      <c r="G4375" s="2" t="str">
        <f>HYPERLINK("https://probpalata.gov.ru/files/ИП230401959200000.jpeg","Скачать индивидуальный QR-код магазина")</f>
        <v>Скачать индивидуальный QR-код магазина</v>
      </c>
    </row>
    <row r="4376" spans="1:7" x14ac:dyDescent="0.25">
      <c r="A4376" t="s">
        <v>13087</v>
      </c>
      <c r="B4376" t="s">
        <v>14280</v>
      </c>
      <c r="C4376" t="s">
        <v>14281</v>
      </c>
      <c r="D4376" t="s">
        <v>14282</v>
      </c>
      <c r="E4376" t="s">
        <v>14283</v>
      </c>
      <c r="F4376" t="s">
        <v>14284</v>
      </c>
      <c r="G4376" s="2" t="str">
        <f>HYPERLINK("https://probpalata.gov.ru/files/ИП230403592700000.jpeg","Скачать индивидуальный QR-код магазина")</f>
        <v>Скачать индивидуальный QR-код магазина</v>
      </c>
    </row>
    <row r="4377" spans="1:7" x14ac:dyDescent="0.25">
      <c r="A4377" t="s">
        <v>13087</v>
      </c>
      <c r="B4377" t="s">
        <v>14285</v>
      </c>
      <c r="C4377" t="s">
        <v>14286</v>
      </c>
      <c r="D4377" t="s">
        <v>14287</v>
      </c>
      <c r="E4377" t="s">
        <v>14288</v>
      </c>
      <c r="F4377" t="s">
        <v>14289</v>
      </c>
      <c r="G4377" s="2" t="str">
        <f>HYPERLINK("https://probpalata.gov.ru/files/ИП230400543400000.jpeg","Скачать индивидуальный QR-код магазина")</f>
        <v>Скачать индивидуальный QR-код магазина</v>
      </c>
    </row>
    <row r="4378" spans="1:7" x14ac:dyDescent="0.25">
      <c r="A4378" t="s">
        <v>13087</v>
      </c>
      <c r="B4378" t="s">
        <v>14290</v>
      </c>
      <c r="C4378" t="s">
        <v>14291</v>
      </c>
      <c r="D4378" t="s">
        <v>14292</v>
      </c>
      <c r="E4378" t="s">
        <v>14293</v>
      </c>
      <c r="F4378" t="s">
        <v>14294</v>
      </c>
      <c r="G4378" s="2" t="str">
        <f>HYPERLINK("https://probpalata.gov.ru/files/ИП230401652300000.jpeg","Скачать индивидуальный QR-код магазина")</f>
        <v>Скачать индивидуальный QR-код магазина</v>
      </c>
    </row>
    <row r="4379" spans="1:7" x14ac:dyDescent="0.25">
      <c r="A4379" t="s">
        <v>13087</v>
      </c>
      <c r="B4379" t="s">
        <v>14295</v>
      </c>
      <c r="C4379" t="s">
        <v>14296</v>
      </c>
      <c r="D4379" t="s">
        <v>14297</v>
      </c>
      <c r="E4379" t="s">
        <v>14298</v>
      </c>
      <c r="F4379" t="s">
        <v>14299</v>
      </c>
      <c r="G4379" s="2" t="str">
        <f>HYPERLINK("https://probpalata.gov.ru/files/ИП230400899200000.jpeg","Скачать индивидуальный QR-код магазина")</f>
        <v>Скачать индивидуальный QR-код магазина</v>
      </c>
    </row>
    <row r="4380" spans="1:7" x14ac:dyDescent="0.25">
      <c r="A4380" t="s">
        <v>13087</v>
      </c>
      <c r="B4380" t="s">
        <v>14300</v>
      </c>
      <c r="C4380" t="s">
        <v>14301</v>
      </c>
      <c r="D4380" t="s">
        <v>14302</v>
      </c>
      <c r="E4380" t="s">
        <v>14303</v>
      </c>
      <c r="F4380" t="s">
        <v>14304</v>
      </c>
      <c r="G4380" s="2" t="str">
        <f>HYPERLINK("https://probpalata.gov.ru/files/ИП230400729100000.jpeg","Скачать индивидуальный QR-код магазина")</f>
        <v>Скачать индивидуальный QR-код магазина</v>
      </c>
    </row>
    <row r="4381" spans="1:7" x14ac:dyDescent="0.25">
      <c r="A4381" t="s">
        <v>13087</v>
      </c>
      <c r="B4381" t="s">
        <v>14305</v>
      </c>
      <c r="C4381" t="s">
        <v>14301</v>
      </c>
      <c r="D4381" t="s">
        <v>14302</v>
      </c>
      <c r="E4381" t="s">
        <v>14303</v>
      </c>
      <c r="F4381" t="s">
        <v>14306</v>
      </c>
      <c r="G4381" s="2" t="str">
        <f>HYPERLINK("https://probpalata.gov.ru/files/ИП230400729100003.jpeg","Скачать индивидуальный QR-код магазина")</f>
        <v>Скачать индивидуальный QR-код магазина</v>
      </c>
    </row>
    <row r="4382" spans="1:7" x14ac:dyDescent="0.25">
      <c r="A4382" t="s">
        <v>13087</v>
      </c>
      <c r="B4382" t="s">
        <v>14307</v>
      </c>
      <c r="C4382" t="s">
        <v>14301</v>
      </c>
      <c r="D4382" t="s">
        <v>14302</v>
      </c>
      <c r="E4382" t="s">
        <v>14303</v>
      </c>
      <c r="F4382" t="s">
        <v>14308</v>
      </c>
      <c r="G4382" s="2" t="str">
        <f>HYPERLINK("https://probpalata.gov.ru/files/ИП230400729100005.jpeg","Скачать индивидуальный QR-код магазина")</f>
        <v>Скачать индивидуальный QR-код магазина</v>
      </c>
    </row>
    <row r="4383" spans="1:7" x14ac:dyDescent="0.25">
      <c r="A4383" t="s">
        <v>13087</v>
      </c>
      <c r="B4383" t="s">
        <v>14309</v>
      </c>
      <c r="C4383" t="s">
        <v>14301</v>
      </c>
      <c r="D4383" t="s">
        <v>14302</v>
      </c>
      <c r="E4383" t="s">
        <v>14303</v>
      </c>
      <c r="F4383" t="s">
        <v>14310</v>
      </c>
      <c r="G4383" s="2" t="str">
        <f>HYPERLINK("https://probpalata.gov.ru/files/ИП230400729100006.jpeg","Скачать индивидуальный QR-код магазина")</f>
        <v>Скачать индивидуальный QR-код магазина</v>
      </c>
    </row>
    <row r="4384" spans="1:7" x14ac:dyDescent="0.25">
      <c r="A4384" t="s">
        <v>13087</v>
      </c>
      <c r="B4384" t="s">
        <v>14311</v>
      </c>
      <c r="C4384" t="s">
        <v>14312</v>
      </c>
      <c r="D4384" t="s">
        <v>14313</v>
      </c>
      <c r="E4384" t="s">
        <v>14314</v>
      </c>
      <c r="F4384" t="s">
        <v>14315</v>
      </c>
      <c r="G4384" s="2" t="str">
        <f>HYPERLINK("https://probpalata.gov.ru/files/ИП230400094800000.jpeg","Скачать индивидуальный QR-код магазина")</f>
        <v>Скачать индивидуальный QR-код магазина</v>
      </c>
    </row>
    <row r="4385" spans="1:7" x14ac:dyDescent="0.25">
      <c r="A4385" t="s">
        <v>13087</v>
      </c>
      <c r="B4385" t="s">
        <v>14316</v>
      </c>
      <c r="C4385" t="s">
        <v>14317</v>
      </c>
      <c r="D4385" t="s">
        <v>14318</v>
      </c>
      <c r="E4385" t="s">
        <v>14319</v>
      </c>
      <c r="F4385" t="s">
        <v>14320</v>
      </c>
      <c r="G4385" s="2" t="str">
        <f>HYPERLINK("https://probpalata.gov.ru/files/ИП230403378100000.jpeg","Скачать индивидуальный QR-код магазина")</f>
        <v>Скачать индивидуальный QR-код магазина</v>
      </c>
    </row>
    <row r="4386" spans="1:7" x14ac:dyDescent="0.25">
      <c r="A4386" t="s">
        <v>13087</v>
      </c>
      <c r="B4386" t="s">
        <v>14321</v>
      </c>
      <c r="C4386" t="s">
        <v>14322</v>
      </c>
      <c r="D4386" t="s">
        <v>14323</v>
      </c>
      <c r="E4386" t="s">
        <v>14324</v>
      </c>
      <c r="F4386" t="s">
        <v>14325</v>
      </c>
      <c r="G4386" s="2" t="str">
        <f>HYPERLINK("https://probpalata.gov.ru/files/ИП230400745000000.jpeg","Скачать индивидуальный QR-код магазина")</f>
        <v>Скачать индивидуальный QR-код магазина</v>
      </c>
    </row>
    <row r="4387" spans="1:7" x14ac:dyDescent="0.25">
      <c r="A4387" t="s">
        <v>13087</v>
      </c>
      <c r="B4387" t="s">
        <v>14326</v>
      </c>
      <c r="C4387" t="s">
        <v>14327</v>
      </c>
      <c r="D4387" t="s">
        <v>14328</v>
      </c>
      <c r="E4387" t="s">
        <v>14329</v>
      </c>
      <c r="F4387" t="s">
        <v>14330</v>
      </c>
      <c r="G4387" s="2" t="str">
        <f>HYPERLINK("https://probpalata.gov.ru/files/ИП770100044900000.jpeg","Скачать индивидуальный QR-код магазина")</f>
        <v>Скачать индивидуальный QR-код магазина</v>
      </c>
    </row>
    <row r="4388" spans="1:7" x14ac:dyDescent="0.25">
      <c r="A4388" t="s">
        <v>13087</v>
      </c>
      <c r="B4388" t="s">
        <v>14331</v>
      </c>
      <c r="C4388" t="s">
        <v>14332</v>
      </c>
      <c r="D4388" t="s">
        <v>14333</v>
      </c>
      <c r="E4388" t="s">
        <v>14334</v>
      </c>
      <c r="F4388" t="s">
        <v>14335</v>
      </c>
      <c r="G4388" s="2" t="str">
        <f>HYPERLINK("https://probpalata.gov.ru/files/ИП230400778300000.jpeg","Скачать индивидуальный QR-код магазина")</f>
        <v>Скачать индивидуальный QR-код магазина</v>
      </c>
    </row>
    <row r="4389" spans="1:7" x14ac:dyDescent="0.25">
      <c r="A4389" t="s">
        <v>13087</v>
      </c>
      <c r="B4389" t="s">
        <v>14336</v>
      </c>
      <c r="C4389" t="s">
        <v>14337</v>
      </c>
      <c r="D4389" t="s">
        <v>14338</v>
      </c>
      <c r="E4389" t="s">
        <v>14339</v>
      </c>
      <c r="F4389" t="s">
        <v>14340</v>
      </c>
      <c r="G4389" s="2" t="str">
        <f>HYPERLINK("https://probpalata.gov.ru/files/ИП230400154900000.jpeg","Скачать индивидуальный QR-код магазина")</f>
        <v>Скачать индивидуальный QR-код магазина</v>
      </c>
    </row>
    <row r="4390" spans="1:7" x14ac:dyDescent="0.25">
      <c r="A4390" t="s">
        <v>13087</v>
      </c>
      <c r="B4390" t="s">
        <v>14341</v>
      </c>
      <c r="C4390" t="s">
        <v>14337</v>
      </c>
      <c r="D4390" t="s">
        <v>14338</v>
      </c>
      <c r="E4390" t="s">
        <v>14339</v>
      </c>
      <c r="F4390" t="s">
        <v>14342</v>
      </c>
      <c r="G4390" s="2" t="str">
        <f>HYPERLINK("https://probpalata.gov.ru/files/ИП230400154900001.jpeg","Скачать индивидуальный QR-код магазина")</f>
        <v>Скачать индивидуальный QR-код магазина</v>
      </c>
    </row>
    <row r="4391" spans="1:7" x14ac:dyDescent="0.25">
      <c r="A4391" t="s">
        <v>13087</v>
      </c>
      <c r="B4391" t="s">
        <v>14343</v>
      </c>
      <c r="C4391" t="s">
        <v>14337</v>
      </c>
      <c r="D4391" t="s">
        <v>14338</v>
      </c>
      <c r="E4391" t="s">
        <v>14339</v>
      </c>
      <c r="F4391" t="s">
        <v>14344</v>
      </c>
      <c r="G4391" s="2" t="str">
        <f>HYPERLINK("https://probpalata.gov.ru/files/ИП230400154900002.jpeg","Скачать индивидуальный QR-код магазина")</f>
        <v>Скачать индивидуальный QR-код магазина</v>
      </c>
    </row>
    <row r="4392" spans="1:7" x14ac:dyDescent="0.25">
      <c r="A4392" t="s">
        <v>13087</v>
      </c>
      <c r="B4392" t="s">
        <v>14345</v>
      </c>
      <c r="C4392" t="s">
        <v>14346</v>
      </c>
      <c r="D4392" t="s">
        <v>14347</v>
      </c>
      <c r="E4392" t="s">
        <v>14348</v>
      </c>
      <c r="F4392" t="s">
        <v>14349</v>
      </c>
      <c r="G4392" s="2" t="str">
        <f>HYPERLINK("https://probpalata.gov.ru/files/ИП230403498600000.jpeg","Скачать индивидуальный QR-код магазина")</f>
        <v>Скачать индивидуальный QR-код магазина</v>
      </c>
    </row>
    <row r="4393" spans="1:7" x14ac:dyDescent="0.25">
      <c r="A4393" t="s">
        <v>13087</v>
      </c>
      <c r="B4393" t="s">
        <v>14350</v>
      </c>
      <c r="C4393" t="s">
        <v>14351</v>
      </c>
      <c r="D4393" t="s">
        <v>14352</v>
      </c>
      <c r="E4393" t="s">
        <v>14353</v>
      </c>
      <c r="F4393" t="s">
        <v>14354</v>
      </c>
      <c r="G4393" s="2" t="str">
        <f>HYPERLINK("https://probpalata.gov.ru/files/ИП230401428800000.jpeg","Скачать индивидуальный QR-код магазина")</f>
        <v>Скачать индивидуальный QR-код магазина</v>
      </c>
    </row>
    <row r="4394" spans="1:7" x14ac:dyDescent="0.25">
      <c r="A4394" t="s">
        <v>13087</v>
      </c>
      <c r="B4394" t="s">
        <v>14355</v>
      </c>
      <c r="C4394" t="s">
        <v>14356</v>
      </c>
      <c r="D4394" t="s">
        <v>14357</v>
      </c>
      <c r="E4394" t="s">
        <v>14358</v>
      </c>
      <c r="F4394" t="s">
        <v>14359</v>
      </c>
      <c r="G4394" s="2" t="str">
        <f>HYPERLINK("https://probpalata.gov.ru/files/ИП230400309600000.jpeg","Скачать индивидуальный QR-код магазина")</f>
        <v>Скачать индивидуальный QR-код магазина</v>
      </c>
    </row>
    <row r="4395" spans="1:7" x14ac:dyDescent="0.25">
      <c r="A4395" t="s">
        <v>13087</v>
      </c>
      <c r="B4395" t="s">
        <v>14360</v>
      </c>
      <c r="C4395" t="s">
        <v>14361</v>
      </c>
      <c r="D4395" t="s">
        <v>14362</v>
      </c>
      <c r="E4395" t="s">
        <v>14363</v>
      </c>
      <c r="F4395" t="s">
        <v>14364</v>
      </c>
      <c r="G4395" s="2" t="str">
        <f>HYPERLINK("https://probpalata.gov.ru/files/ИП230400148300000.jpeg","Скачать индивидуальный QR-код магазина")</f>
        <v>Скачать индивидуальный QR-код магазина</v>
      </c>
    </row>
    <row r="4396" spans="1:7" x14ac:dyDescent="0.25">
      <c r="A4396" t="s">
        <v>13087</v>
      </c>
      <c r="B4396" t="s">
        <v>14365</v>
      </c>
      <c r="C4396" t="s">
        <v>14361</v>
      </c>
      <c r="D4396" t="s">
        <v>14362</v>
      </c>
      <c r="E4396" t="s">
        <v>14363</v>
      </c>
      <c r="F4396" t="s">
        <v>14366</v>
      </c>
      <c r="G4396" s="2" t="str">
        <f>HYPERLINK("https://probpalata.gov.ru/files/ИП230400148300001.jpeg","Скачать индивидуальный QR-код магазина")</f>
        <v>Скачать индивидуальный QR-код магазина</v>
      </c>
    </row>
    <row r="4397" spans="1:7" x14ac:dyDescent="0.25">
      <c r="A4397" t="s">
        <v>13087</v>
      </c>
      <c r="B4397" t="s">
        <v>14367</v>
      </c>
      <c r="C4397" t="s">
        <v>14368</v>
      </c>
      <c r="D4397" t="s">
        <v>14369</v>
      </c>
      <c r="E4397" t="s">
        <v>14370</v>
      </c>
      <c r="F4397" t="s">
        <v>14371</v>
      </c>
      <c r="G4397" s="2" t="str">
        <f>HYPERLINK("https://probpalata.gov.ru/files/ИП230400156200000.jpeg","Скачать индивидуальный QR-код магазина")</f>
        <v>Скачать индивидуальный QR-код магазина</v>
      </c>
    </row>
    <row r="4398" spans="1:7" x14ac:dyDescent="0.25">
      <c r="A4398" t="s">
        <v>13087</v>
      </c>
      <c r="B4398" t="s">
        <v>14372</v>
      </c>
      <c r="C4398" t="s">
        <v>14368</v>
      </c>
      <c r="D4398" t="s">
        <v>14369</v>
      </c>
      <c r="E4398" t="s">
        <v>14370</v>
      </c>
      <c r="F4398" t="s">
        <v>14373</v>
      </c>
      <c r="G4398" s="2" t="str">
        <f>HYPERLINK("https://probpalata.gov.ru/files/ИП230400156200001.jpeg","Скачать индивидуальный QR-код магазина")</f>
        <v>Скачать индивидуальный QR-код магазина</v>
      </c>
    </row>
    <row r="4399" spans="1:7" x14ac:dyDescent="0.25">
      <c r="A4399" t="s">
        <v>13087</v>
      </c>
      <c r="B4399" t="s">
        <v>14374</v>
      </c>
      <c r="C4399" t="s">
        <v>14375</v>
      </c>
      <c r="D4399" t="s">
        <v>14376</v>
      </c>
      <c r="E4399" t="s">
        <v>14377</v>
      </c>
      <c r="F4399" t="s">
        <v>14378</v>
      </c>
      <c r="G4399" s="2" t="str">
        <f>HYPERLINK("https://probpalata.gov.ru/files/ИП230400020700000.jpeg","Скачать индивидуальный QR-код магазина")</f>
        <v>Скачать индивидуальный QR-код магазина</v>
      </c>
    </row>
    <row r="4400" spans="1:7" x14ac:dyDescent="0.25">
      <c r="A4400" t="s">
        <v>13087</v>
      </c>
      <c r="B4400" t="s">
        <v>14379</v>
      </c>
      <c r="C4400" t="s">
        <v>14380</v>
      </c>
      <c r="D4400" t="s">
        <v>14381</v>
      </c>
      <c r="E4400" t="s">
        <v>14382</v>
      </c>
      <c r="F4400" t="s">
        <v>14383</v>
      </c>
      <c r="G4400" s="2" t="str">
        <f>HYPERLINK("https://probpalata.gov.ru/files/ЮЛ230400523500000.jpeg","Скачать индивидуальный QR-код магазина")</f>
        <v>Скачать индивидуальный QR-код магазина</v>
      </c>
    </row>
    <row r="4401" spans="1:7" x14ac:dyDescent="0.25">
      <c r="A4401" t="s">
        <v>13087</v>
      </c>
      <c r="B4401" t="s">
        <v>14384</v>
      </c>
      <c r="C4401" t="s">
        <v>14380</v>
      </c>
      <c r="D4401" t="s">
        <v>14381</v>
      </c>
      <c r="E4401" t="s">
        <v>14382</v>
      </c>
      <c r="F4401" t="s">
        <v>14385</v>
      </c>
      <c r="G4401" s="2" t="str">
        <f>HYPERLINK("https://probpalata.gov.ru/files/ЮЛ230400523500001.jpeg","Скачать индивидуальный QR-код магазина")</f>
        <v>Скачать индивидуальный QR-код магазина</v>
      </c>
    </row>
    <row r="4402" spans="1:7" x14ac:dyDescent="0.25">
      <c r="A4402" t="s">
        <v>13087</v>
      </c>
      <c r="B4402" t="s">
        <v>14386</v>
      </c>
      <c r="C4402" t="s">
        <v>14380</v>
      </c>
      <c r="D4402" t="s">
        <v>14381</v>
      </c>
      <c r="E4402" t="s">
        <v>14382</v>
      </c>
      <c r="F4402" t="s">
        <v>14387</v>
      </c>
      <c r="G4402" s="2" t="str">
        <f>HYPERLINK("https://probpalata.gov.ru/files/ЮЛ230400523500002.jpeg","Скачать индивидуальный QR-код магазина")</f>
        <v>Скачать индивидуальный QR-код магазина</v>
      </c>
    </row>
    <row r="4403" spans="1:7" x14ac:dyDescent="0.25">
      <c r="A4403" t="s">
        <v>13087</v>
      </c>
      <c r="B4403" t="s">
        <v>14388</v>
      </c>
      <c r="C4403" t="s">
        <v>14389</v>
      </c>
      <c r="D4403" t="s">
        <v>14390</v>
      </c>
      <c r="E4403" t="s">
        <v>14391</v>
      </c>
      <c r="F4403" t="s">
        <v>14392</v>
      </c>
      <c r="G4403" s="2" t="str">
        <f>HYPERLINK("https://probpalata.gov.ru/files/ИП230401286900000.jpeg","Скачать индивидуальный QR-код магазина")</f>
        <v>Скачать индивидуальный QR-код магазина</v>
      </c>
    </row>
    <row r="4404" spans="1:7" x14ac:dyDescent="0.25">
      <c r="A4404" t="s">
        <v>13087</v>
      </c>
      <c r="B4404" t="s">
        <v>14393</v>
      </c>
      <c r="C4404" t="s">
        <v>14394</v>
      </c>
      <c r="D4404" t="s">
        <v>14395</v>
      </c>
      <c r="E4404" t="s">
        <v>14396</v>
      </c>
      <c r="F4404" t="s">
        <v>14397</v>
      </c>
      <c r="G4404" s="2" t="str">
        <f>HYPERLINK("https://probpalata.gov.ru/files/ИП230400414800000.jpeg","Скачать индивидуальный QR-код магазина")</f>
        <v>Скачать индивидуальный QR-код магазина</v>
      </c>
    </row>
    <row r="4405" spans="1:7" x14ac:dyDescent="0.25">
      <c r="A4405" t="s">
        <v>13087</v>
      </c>
      <c r="B4405" t="s">
        <v>14398</v>
      </c>
      <c r="C4405" t="s">
        <v>14399</v>
      </c>
      <c r="D4405" t="s">
        <v>14400</v>
      </c>
      <c r="E4405" t="s">
        <v>14401</v>
      </c>
      <c r="F4405" t="s">
        <v>14402</v>
      </c>
      <c r="G4405" s="2" t="str">
        <f>HYPERLINK("https://probpalata.gov.ru/files/ИП230400072800000.jpeg","Скачать индивидуальный QR-код магазина")</f>
        <v>Скачать индивидуальный QR-код магазина</v>
      </c>
    </row>
    <row r="4406" spans="1:7" x14ac:dyDescent="0.25">
      <c r="A4406" t="s">
        <v>13087</v>
      </c>
      <c r="B4406" t="s">
        <v>14403</v>
      </c>
      <c r="C4406" t="s">
        <v>14404</v>
      </c>
      <c r="D4406" t="s">
        <v>14405</v>
      </c>
      <c r="E4406" t="s">
        <v>14406</v>
      </c>
      <c r="F4406" t="s">
        <v>14407</v>
      </c>
      <c r="G4406" s="2" t="str">
        <f>HYPERLINK("https://probpalata.gov.ru/files/ИП230400020600000.jpeg","Скачать индивидуальный QR-код магазина")</f>
        <v>Скачать индивидуальный QR-код магазина</v>
      </c>
    </row>
    <row r="4407" spans="1:7" x14ac:dyDescent="0.25">
      <c r="A4407" t="s">
        <v>13087</v>
      </c>
      <c r="B4407" t="s">
        <v>14408</v>
      </c>
      <c r="C4407" t="s">
        <v>14409</v>
      </c>
      <c r="D4407" t="s">
        <v>14410</v>
      </c>
      <c r="E4407" t="s">
        <v>14411</v>
      </c>
      <c r="F4407" t="s">
        <v>14412</v>
      </c>
      <c r="G4407" s="2" t="str">
        <f>HYPERLINK("https://probpalata.gov.ru/files/ЮЛ230403032600000.jpeg","Скачать индивидуальный QR-код магазина")</f>
        <v>Скачать индивидуальный QR-код магазина</v>
      </c>
    </row>
    <row r="4408" spans="1:7" x14ac:dyDescent="0.25">
      <c r="A4408" t="s">
        <v>13087</v>
      </c>
      <c r="B4408" t="s">
        <v>14413</v>
      </c>
      <c r="C4408" t="s">
        <v>14414</v>
      </c>
      <c r="D4408" t="s">
        <v>14415</v>
      </c>
      <c r="E4408" t="s">
        <v>14416</v>
      </c>
      <c r="F4408" t="s">
        <v>14417</v>
      </c>
      <c r="G4408" s="2" t="str">
        <f>HYPERLINK("https://probpalata.gov.ru/files/ЮЛ230400547900000.jpeg","Скачать индивидуальный QR-код магазина")</f>
        <v>Скачать индивидуальный QR-код магазина</v>
      </c>
    </row>
    <row r="4409" spans="1:7" x14ac:dyDescent="0.25">
      <c r="A4409" t="s">
        <v>13087</v>
      </c>
      <c r="B4409" t="s">
        <v>14418</v>
      </c>
      <c r="C4409" t="s">
        <v>14414</v>
      </c>
      <c r="D4409" t="s">
        <v>14415</v>
      </c>
      <c r="E4409" t="s">
        <v>14416</v>
      </c>
      <c r="F4409" t="s">
        <v>14419</v>
      </c>
      <c r="G4409" s="2" t="str">
        <f>HYPERLINK("https://probpalata.gov.ru/files/ЮЛ230400547900002.jpeg","Скачать индивидуальный QR-код магазина")</f>
        <v>Скачать индивидуальный QR-код магазина</v>
      </c>
    </row>
    <row r="4410" spans="1:7" x14ac:dyDescent="0.25">
      <c r="A4410" t="s">
        <v>13087</v>
      </c>
      <c r="B4410" t="s">
        <v>14420</v>
      </c>
      <c r="C4410" t="s">
        <v>14421</v>
      </c>
      <c r="D4410" t="s">
        <v>14422</v>
      </c>
      <c r="E4410" t="s">
        <v>14423</v>
      </c>
      <c r="F4410" t="s">
        <v>14424</v>
      </c>
      <c r="G4410" s="2" t="str">
        <f>HYPERLINK("https://probpalata.gov.ru/files/ИП230400833500000.jpeg","Скачать индивидуальный QR-код магазина")</f>
        <v>Скачать индивидуальный QR-код магазина</v>
      </c>
    </row>
    <row r="4411" spans="1:7" x14ac:dyDescent="0.25">
      <c r="A4411" t="s">
        <v>13087</v>
      </c>
      <c r="B4411" t="s">
        <v>14425</v>
      </c>
      <c r="C4411" t="s">
        <v>14426</v>
      </c>
      <c r="D4411" t="s">
        <v>14427</v>
      </c>
      <c r="E4411" t="s">
        <v>14428</v>
      </c>
      <c r="F4411" t="s">
        <v>14429</v>
      </c>
      <c r="G4411" s="2" t="str">
        <f>HYPERLINK("https://probpalata.gov.ru/files/ИП230400671400001.jpeg","Скачать индивидуальный QR-код магазина")</f>
        <v>Скачать индивидуальный QR-код магазина</v>
      </c>
    </row>
    <row r="4412" spans="1:7" x14ac:dyDescent="0.25">
      <c r="A4412" t="s">
        <v>13087</v>
      </c>
      <c r="B4412" t="s">
        <v>14430</v>
      </c>
      <c r="C4412" t="s">
        <v>14431</v>
      </c>
      <c r="D4412" t="s">
        <v>14432</v>
      </c>
      <c r="E4412" t="s">
        <v>14433</v>
      </c>
      <c r="F4412" t="s">
        <v>14434</v>
      </c>
      <c r="G4412" s="2" t="str">
        <f>HYPERLINK("https://probpalata.gov.ru/files/ИП230401085200000.jpeg","Скачать индивидуальный QR-код магазина")</f>
        <v>Скачать индивидуальный QR-код магазина</v>
      </c>
    </row>
    <row r="4413" spans="1:7" x14ac:dyDescent="0.25">
      <c r="A4413" t="s">
        <v>13087</v>
      </c>
      <c r="B4413" t="s">
        <v>14435</v>
      </c>
      <c r="C4413" t="s">
        <v>14436</v>
      </c>
      <c r="D4413" t="s">
        <v>14437</v>
      </c>
      <c r="E4413" t="s">
        <v>14438</v>
      </c>
      <c r="F4413" t="s">
        <v>14439</v>
      </c>
      <c r="G4413" s="2" t="str">
        <f>HYPERLINK("https://probpalata.gov.ru/files/ИП230400768000000.jpeg","Скачать индивидуальный QR-код магазина")</f>
        <v>Скачать индивидуальный QR-код магазина</v>
      </c>
    </row>
    <row r="4414" spans="1:7" x14ac:dyDescent="0.25">
      <c r="A4414" t="s">
        <v>13087</v>
      </c>
      <c r="B4414" t="s">
        <v>14440</v>
      </c>
      <c r="C4414" t="s">
        <v>14436</v>
      </c>
      <c r="D4414" t="s">
        <v>14437</v>
      </c>
      <c r="E4414" t="s">
        <v>14438</v>
      </c>
      <c r="F4414" t="s">
        <v>14441</v>
      </c>
      <c r="G4414" s="2" t="str">
        <f>HYPERLINK("https://probpalata.gov.ru/files/ИП230400768000001.jpeg","Скачать индивидуальный QR-код магазина")</f>
        <v>Скачать индивидуальный QR-код магазина</v>
      </c>
    </row>
    <row r="4415" spans="1:7" x14ac:dyDescent="0.25">
      <c r="A4415" t="s">
        <v>13087</v>
      </c>
      <c r="B4415" t="s">
        <v>14442</v>
      </c>
      <c r="C4415" t="s">
        <v>14443</v>
      </c>
      <c r="D4415" t="s">
        <v>14444</v>
      </c>
      <c r="E4415" t="s">
        <v>14445</v>
      </c>
      <c r="F4415" t="s">
        <v>14446</v>
      </c>
      <c r="G4415" s="2" t="str">
        <f>HYPERLINK("https://probpalata.gov.ru/files/ИП230403589100000.jpeg","Скачать индивидуальный QR-код магазина")</f>
        <v>Скачать индивидуальный QR-код магазина</v>
      </c>
    </row>
    <row r="4416" spans="1:7" x14ac:dyDescent="0.25">
      <c r="A4416" t="s">
        <v>13087</v>
      </c>
      <c r="B4416" t="s">
        <v>14447</v>
      </c>
      <c r="C4416" t="s">
        <v>14448</v>
      </c>
      <c r="D4416" t="s">
        <v>14449</v>
      </c>
      <c r="E4416" t="s">
        <v>14450</v>
      </c>
      <c r="F4416" t="s">
        <v>14451</v>
      </c>
      <c r="G4416" s="2" t="str">
        <f>HYPERLINK("https://probpalata.gov.ru/files/ИП230400319000000.jpeg","Скачать индивидуальный QR-код магазина")</f>
        <v>Скачать индивидуальный QR-код магазина</v>
      </c>
    </row>
    <row r="4417" spans="1:7" x14ac:dyDescent="0.25">
      <c r="A4417" t="s">
        <v>13087</v>
      </c>
      <c r="B4417" t="s">
        <v>14452</v>
      </c>
      <c r="C4417" t="s">
        <v>14453</v>
      </c>
      <c r="D4417" t="s">
        <v>14454</v>
      </c>
      <c r="E4417" t="s">
        <v>14455</v>
      </c>
      <c r="F4417" t="s">
        <v>14456</v>
      </c>
      <c r="G4417" s="2" t="str">
        <f>HYPERLINK("https://probpalata.gov.ru/files/ЮЛ230400109200000.jpeg","Скачать индивидуальный QR-код магазина")</f>
        <v>Скачать индивидуальный QR-код магазина</v>
      </c>
    </row>
    <row r="4418" spans="1:7" x14ac:dyDescent="0.25">
      <c r="A4418" t="s">
        <v>13087</v>
      </c>
      <c r="B4418" t="s">
        <v>14457</v>
      </c>
      <c r="C4418" t="s">
        <v>14458</v>
      </c>
      <c r="D4418" t="s">
        <v>14459</v>
      </c>
      <c r="E4418" t="s">
        <v>14460</v>
      </c>
      <c r="F4418" t="s">
        <v>14461</v>
      </c>
      <c r="G4418" s="2" t="str">
        <f>HYPERLINK("https://probpalata.gov.ru/files/ИП230403548600000.jpeg","Скачать индивидуальный QR-код магазина")</f>
        <v>Скачать индивидуальный QR-код магазина</v>
      </c>
    </row>
    <row r="4419" spans="1:7" x14ac:dyDescent="0.25">
      <c r="A4419" t="s">
        <v>13087</v>
      </c>
      <c r="B4419" t="s">
        <v>14462</v>
      </c>
      <c r="C4419" t="s">
        <v>14463</v>
      </c>
      <c r="D4419" t="s">
        <v>14464</v>
      </c>
      <c r="E4419" t="s">
        <v>14465</v>
      </c>
      <c r="F4419" t="s">
        <v>14466</v>
      </c>
      <c r="G4419" s="2" t="str">
        <f>HYPERLINK("https://probpalata.gov.ru/files/ИП230400743500000.jpeg","Скачать индивидуальный QR-код магазина")</f>
        <v>Скачать индивидуальный QR-код магазина</v>
      </c>
    </row>
    <row r="4420" spans="1:7" x14ac:dyDescent="0.25">
      <c r="A4420" t="s">
        <v>13087</v>
      </c>
      <c r="B4420" t="s">
        <v>14467</v>
      </c>
      <c r="C4420" t="s">
        <v>14468</v>
      </c>
      <c r="D4420" t="s">
        <v>14469</v>
      </c>
      <c r="E4420" t="s">
        <v>14470</v>
      </c>
      <c r="F4420" t="s">
        <v>14471</v>
      </c>
      <c r="G4420" s="2" t="str">
        <f>HYPERLINK("https://probpalata.gov.ru/files/ИП230401985300000.jpeg","Скачать индивидуальный QR-код магазина")</f>
        <v>Скачать индивидуальный QR-код магазина</v>
      </c>
    </row>
    <row r="4421" spans="1:7" x14ac:dyDescent="0.25">
      <c r="A4421" t="s">
        <v>13087</v>
      </c>
      <c r="B4421" t="s">
        <v>14472</v>
      </c>
      <c r="C4421" t="s">
        <v>11936</v>
      </c>
      <c r="D4421" t="s">
        <v>14473</v>
      </c>
      <c r="E4421" t="s">
        <v>14474</v>
      </c>
      <c r="F4421" t="s">
        <v>14475</v>
      </c>
      <c r="G4421" s="2" t="str">
        <f>HYPERLINK("https://probpalata.gov.ru/files/ЮЛ230400832000001.jpeg","Скачать индивидуальный QR-код магазина")</f>
        <v>Скачать индивидуальный QR-код магазина</v>
      </c>
    </row>
    <row r="4422" spans="1:7" x14ac:dyDescent="0.25">
      <c r="A4422" t="s">
        <v>13087</v>
      </c>
      <c r="B4422" t="s">
        <v>14476</v>
      </c>
      <c r="C4422" t="s">
        <v>14477</v>
      </c>
      <c r="D4422" t="s">
        <v>14478</v>
      </c>
      <c r="E4422" t="s">
        <v>14479</v>
      </c>
      <c r="F4422" t="s">
        <v>14480</v>
      </c>
      <c r="G4422" s="2" t="str">
        <f>HYPERLINK("https://probpalata.gov.ru/files/ЮЛ230400146800001.jpeg","Скачать индивидуальный QR-код магазина")</f>
        <v>Скачать индивидуальный QR-код магазина</v>
      </c>
    </row>
    <row r="4423" spans="1:7" x14ac:dyDescent="0.25">
      <c r="A4423" t="s">
        <v>13087</v>
      </c>
      <c r="B4423" t="s">
        <v>14481</v>
      </c>
      <c r="C4423" t="s">
        <v>14477</v>
      </c>
      <c r="D4423" t="s">
        <v>14478</v>
      </c>
      <c r="E4423" t="s">
        <v>14479</v>
      </c>
      <c r="F4423" t="s">
        <v>14482</v>
      </c>
      <c r="G4423" s="2" t="str">
        <f>HYPERLINK("https://probpalata.gov.ru/files/ЮЛ230400146800002.jpeg","Скачать индивидуальный QR-код магазина")</f>
        <v>Скачать индивидуальный QR-код магазина</v>
      </c>
    </row>
    <row r="4424" spans="1:7" x14ac:dyDescent="0.25">
      <c r="A4424" t="s">
        <v>13087</v>
      </c>
      <c r="B4424" t="s">
        <v>14483</v>
      </c>
      <c r="C4424" t="s">
        <v>14484</v>
      </c>
      <c r="D4424" t="s">
        <v>14485</v>
      </c>
      <c r="E4424" t="s">
        <v>14486</v>
      </c>
      <c r="F4424" t="s">
        <v>14487</v>
      </c>
      <c r="G4424" s="2" t="str">
        <f>HYPERLINK("https://probpalata.gov.ru/files/ИП230403318700000.jpeg","Скачать индивидуальный QR-код магазина")</f>
        <v>Скачать индивидуальный QR-код магазина</v>
      </c>
    </row>
    <row r="4425" spans="1:7" x14ac:dyDescent="0.25">
      <c r="A4425" t="s">
        <v>13087</v>
      </c>
      <c r="B4425" t="s">
        <v>14488</v>
      </c>
      <c r="C4425" t="s">
        <v>14489</v>
      </c>
      <c r="D4425" t="s">
        <v>14490</v>
      </c>
      <c r="E4425" t="s">
        <v>14491</v>
      </c>
      <c r="F4425" t="s">
        <v>14492</v>
      </c>
      <c r="G4425" s="2" t="str">
        <f>HYPERLINK("https://probpalata.gov.ru/files/ЮЛ230403209800000.jpeg","Скачать индивидуальный QR-код магазина")</f>
        <v>Скачать индивидуальный QR-код магазина</v>
      </c>
    </row>
    <row r="4426" spans="1:7" x14ac:dyDescent="0.25">
      <c r="A4426" t="s">
        <v>13087</v>
      </c>
      <c r="B4426" t="s">
        <v>14493</v>
      </c>
      <c r="C4426" t="s">
        <v>14494</v>
      </c>
      <c r="D4426" t="s">
        <v>14495</v>
      </c>
      <c r="E4426" t="s">
        <v>14496</v>
      </c>
      <c r="F4426" t="s">
        <v>14497</v>
      </c>
      <c r="G4426" s="2" t="str">
        <f>HYPERLINK("https://probpalata.gov.ru/files/ИП230400901300000.jpeg","Скачать индивидуальный QR-код магазина")</f>
        <v>Скачать индивидуальный QR-код магазина</v>
      </c>
    </row>
    <row r="4427" spans="1:7" x14ac:dyDescent="0.25">
      <c r="A4427" t="s">
        <v>13087</v>
      </c>
      <c r="B4427" t="s">
        <v>14498</v>
      </c>
      <c r="C4427" t="s">
        <v>14494</v>
      </c>
      <c r="D4427" t="s">
        <v>14495</v>
      </c>
      <c r="E4427" t="s">
        <v>14496</v>
      </c>
      <c r="F4427" t="s">
        <v>14499</v>
      </c>
      <c r="G4427" s="2" t="str">
        <f>HYPERLINK("https://probpalata.gov.ru/files/ИП230400901300001.jpeg","Скачать индивидуальный QR-код магазина")</f>
        <v>Скачать индивидуальный QR-код магазина</v>
      </c>
    </row>
    <row r="4428" spans="1:7" x14ac:dyDescent="0.25">
      <c r="A4428" t="s">
        <v>13087</v>
      </c>
      <c r="B4428" t="s">
        <v>14500</v>
      </c>
      <c r="C4428" t="s">
        <v>14494</v>
      </c>
      <c r="D4428" t="s">
        <v>14495</v>
      </c>
      <c r="E4428" t="s">
        <v>14496</v>
      </c>
      <c r="F4428" t="s">
        <v>14501</v>
      </c>
      <c r="G4428" s="2" t="str">
        <f>HYPERLINK("https://probpalata.gov.ru/files/ИП230400901300002.jpeg","Скачать индивидуальный QR-код магазина")</f>
        <v>Скачать индивидуальный QR-код магазина</v>
      </c>
    </row>
    <row r="4429" spans="1:7" x14ac:dyDescent="0.25">
      <c r="A4429" t="s">
        <v>13087</v>
      </c>
      <c r="B4429" t="s">
        <v>14502</v>
      </c>
      <c r="C4429" t="s">
        <v>14494</v>
      </c>
      <c r="D4429" t="s">
        <v>14495</v>
      </c>
      <c r="E4429" t="s">
        <v>14496</v>
      </c>
      <c r="F4429" t="s">
        <v>14503</v>
      </c>
      <c r="G4429" s="2" t="str">
        <f>HYPERLINK("https://probpalata.gov.ru/files/ИП230400901300003.jpeg","Скачать индивидуальный QR-код магазина")</f>
        <v>Скачать индивидуальный QR-код магазина</v>
      </c>
    </row>
    <row r="4430" spans="1:7" x14ac:dyDescent="0.25">
      <c r="A4430" t="s">
        <v>13087</v>
      </c>
      <c r="B4430" t="s">
        <v>14504</v>
      </c>
      <c r="C4430" t="s">
        <v>14494</v>
      </c>
      <c r="D4430" t="s">
        <v>14495</v>
      </c>
      <c r="E4430" t="s">
        <v>14496</v>
      </c>
      <c r="F4430" t="s">
        <v>14505</v>
      </c>
      <c r="G4430" s="2" t="str">
        <f>HYPERLINK("https://probpalata.gov.ru/files/ИП230400901300005.jpeg","Скачать индивидуальный QR-код магазина")</f>
        <v>Скачать индивидуальный QR-код магазина</v>
      </c>
    </row>
    <row r="4431" spans="1:7" x14ac:dyDescent="0.25">
      <c r="A4431" t="s">
        <v>13087</v>
      </c>
      <c r="B4431" t="s">
        <v>14506</v>
      </c>
      <c r="C4431" t="s">
        <v>14507</v>
      </c>
      <c r="D4431" t="s">
        <v>14508</v>
      </c>
      <c r="E4431" t="s">
        <v>14509</v>
      </c>
      <c r="F4431" t="s">
        <v>14510</v>
      </c>
      <c r="G4431" s="2" t="str">
        <f>HYPERLINK("https://probpalata.gov.ru/files/ИП230400227800000.jpeg","Скачать индивидуальный QR-код магазина")</f>
        <v>Скачать индивидуальный QR-код магазина</v>
      </c>
    </row>
    <row r="4432" spans="1:7" x14ac:dyDescent="0.25">
      <c r="A4432" t="s">
        <v>13087</v>
      </c>
      <c r="B4432" t="s">
        <v>14511</v>
      </c>
      <c r="C4432" t="s">
        <v>14512</v>
      </c>
      <c r="D4432" t="s">
        <v>14513</v>
      </c>
      <c r="E4432" t="s">
        <v>14514</v>
      </c>
      <c r="F4432" t="s">
        <v>14515</v>
      </c>
      <c r="G4432" s="2" t="str">
        <f>HYPERLINK("https://probpalata.gov.ru/files/ЮЛ230400117600000.jpeg","Скачать индивидуальный QR-код магазина")</f>
        <v>Скачать индивидуальный QR-код магазина</v>
      </c>
    </row>
    <row r="4433" spans="1:7" x14ac:dyDescent="0.25">
      <c r="A4433" t="s">
        <v>13087</v>
      </c>
      <c r="B4433" t="s">
        <v>14516</v>
      </c>
      <c r="C4433" t="s">
        <v>14517</v>
      </c>
      <c r="D4433" t="s">
        <v>14518</v>
      </c>
      <c r="E4433" t="s">
        <v>14519</v>
      </c>
      <c r="F4433" t="s">
        <v>14520</v>
      </c>
      <c r="G4433" s="2" t="str">
        <f>HYPERLINK("https://probpalata.gov.ru/files/ЮЛ230400266800000.jpeg","Скачать индивидуальный QR-код магазина")</f>
        <v>Скачать индивидуальный QR-код магазина</v>
      </c>
    </row>
    <row r="4434" spans="1:7" x14ac:dyDescent="0.25">
      <c r="A4434" t="s">
        <v>13087</v>
      </c>
      <c r="B4434" t="s">
        <v>14521</v>
      </c>
      <c r="C4434" t="s">
        <v>14517</v>
      </c>
      <c r="D4434" t="s">
        <v>14518</v>
      </c>
      <c r="E4434" t="s">
        <v>14519</v>
      </c>
      <c r="F4434" t="s">
        <v>14522</v>
      </c>
      <c r="G4434" s="2" t="str">
        <f>HYPERLINK("https://probpalata.gov.ru/files/ЮЛ230400266800001.jpeg","Скачать индивидуальный QR-код магазина")</f>
        <v>Скачать индивидуальный QR-код магазина</v>
      </c>
    </row>
    <row r="4435" spans="1:7" x14ac:dyDescent="0.25">
      <c r="A4435" t="s">
        <v>13087</v>
      </c>
      <c r="B4435" t="s">
        <v>14523</v>
      </c>
      <c r="C4435" t="s">
        <v>14517</v>
      </c>
      <c r="D4435" t="s">
        <v>14518</v>
      </c>
      <c r="E4435" t="s">
        <v>14519</v>
      </c>
      <c r="F4435" t="s">
        <v>14524</v>
      </c>
      <c r="G4435" s="2" t="str">
        <f>HYPERLINK("https://probpalata.gov.ru/files/ЮЛ230400266800002.jpeg","Скачать индивидуальный QR-код магазина")</f>
        <v>Скачать индивидуальный QR-код магазина</v>
      </c>
    </row>
    <row r="4436" spans="1:7" x14ac:dyDescent="0.25">
      <c r="A4436" t="s">
        <v>13087</v>
      </c>
      <c r="B4436" t="s">
        <v>14525</v>
      </c>
      <c r="C4436" t="s">
        <v>14517</v>
      </c>
      <c r="D4436" t="s">
        <v>14518</v>
      </c>
      <c r="E4436" t="s">
        <v>14519</v>
      </c>
      <c r="F4436" t="s">
        <v>14526</v>
      </c>
      <c r="G4436" s="2" t="str">
        <f>HYPERLINK("https://probpalata.gov.ru/files/ЮЛ230400266800003.jpeg","Скачать индивидуальный QR-код магазина")</f>
        <v>Скачать индивидуальный QR-код магазина</v>
      </c>
    </row>
    <row r="4437" spans="1:7" x14ac:dyDescent="0.25">
      <c r="A4437" t="s">
        <v>13087</v>
      </c>
      <c r="B4437" t="s">
        <v>14527</v>
      </c>
      <c r="C4437" t="s">
        <v>14528</v>
      </c>
      <c r="D4437" t="s">
        <v>14529</v>
      </c>
      <c r="E4437" t="s">
        <v>14530</v>
      </c>
      <c r="F4437" t="s">
        <v>14531</v>
      </c>
      <c r="G4437" s="2" t="str">
        <f>HYPERLINK("https://probpalata.gov.ru/files/ИП230403375500000.jpeg","Скачать индивидуальный QR-код магазина")</f>
        <v>Скачать индивидуальный QR-код магазина</v>
      </c>
    </row>
    <row r="4438" spans="1:7" x14ac:dyDescent="0.25">
      <c r="A4438" t="s">
        <v>13087</v>
      </c>
      <c r="B4438" t="s">
        <v>14532</v>
      </c>
      <c r="C4438" t="s">
        <v>6606</v>
      </c>
      <c r="D4438" t="s">
        <v>14533</v>
      </c>
      <c r="E4438" t="s">
        <v>14534</v>
      </c>
      <c r="F4438" t="s">
        <v>14535</v>
      </c>
      <c r="G4438" s="2" t="str">
        <f>HYPERLINK("https://probpalata.gov.ru/files/ЮЛ230400641400000.jpeg","Скачать индивидуальный QR-код магазина")</f>
        <v>Скачать индивидуальный QR-код магазина</v>
      </c>
    </row>
    <row r="4439" spans="1:7" x14ac:dyDescent="0.25">
      <c r="A4439" t="s">
        <v>13087</v>
      </c>
      <c r="B4439" t="s">
        <v>14536</v>
      </c>
      <c r="C4439" t="s">
        <v>14537</v>
      </c>
      <c r="D4439" t="s">
        <v>14538</v>
      </c>
      <c r="E4439" t="s">
        <v>14539</v>
      </c>
      <c r="F4439" t="s">
        <v>14540</v>
      </c>
      <c r="G4439" s="2" t="str">
        <f>HYPERLINK("https://probpalata.gov.ru/files/ЮЛ230400158500000.jpeg","Скачать индивидуальный QR-код магазина")</f>
        <v>Скачать индивидуальный QR-код магазина</v>
      </c>
    </row>
    <row r="4440" spans="1:7" x14ac:dyDescent="0.25">
      <c r="A4440" t="s">
        <v>13087</v>
      </c>
      <c r="B4440" t="s">
        <v>14541</v>
      </c>
      <c r="C4440" t="s">
        <v>14542</v>
      </c>
      <c r="D4440" t="s">
        <v>14543</v>
      </c>
      <c r="E4440" t="s">
        <v>14544</v>
      </c>
      <c r="F4440" t="s">
        <v>14545</v>
      </c>
      <c r="G4440" s="2" t="str">
        <f>HYPERLINK("https://probpalata.gov.ru/files/ЮЛ230400979100000.jpeg","Скачать индивидуальный QR-код магазина")</f>
        <v>Скачать индивидуальный QR-код магазина</v>
      </c>
    </row>
    <row r="4441" spans="1:7" x14ac:dyDescent="0.25">
      <c r="A4441" t="s">
        <v>13087</v>
      </c>
      <c r="B4441" t="s">
        <v>14546</v>
      </c>
      <c r="C4441" t="s">
        <v>14542</v>
      </c>
      <c r="D4441" t="s">
        <v>14543</v>
      </c>
      <c r="E4441" t="s">
        <v>14544</v>
      </c>
      <c r="F4441" t="s">
        <v>14547</v>
      </c>
      <c r="G4441" s="2" t="str">
        <f>HYPERLINK("https://probpalata.gov.ru/files/ЮЛ230400979100001.jpeg","Скачать индивидуальный QR-код магазина")</f>
        <v>Скачать индивидуальный QR-код магазина</v>
      </c>
    </row>
    <row r="4442" spans="1:7" x14ac:dyDescent="0.25">
      <c r="A4442" t="s">
        <v>13087</v>
      </c>
      <c r="B4442" t="s">
        <v>14457</v>
      </c>
      <c r="C4442" t="s">
        <v>14548</v>
      </c>
      <c r="D4442" t="s">
        <v>14549</v>
      </c>
      <c r="E4442" t="s">
        <v>14550</v>
      </c>
      <c r="F4442" t="s">
        <v>14551</v>
      </c>
      <c r="G4442" s="2" t="str">
        <f>HYPERLINK("https://probpalata.gov.ru/files/ИП230403262100000.jpeg","Скачать индивидуальный QR-код магазина")</f>
        <v>Скачать индивидуальный QR-код магазина</v>
      </c>
    </row>
    <row r="4443" spans="1:7" x14ac:dyDescent="0.25">
      <c r="A4443" t="s">
        <v>13087</v>
      </c>
      <c r="B4443" t="s">
        <v>14552</v>
      </c>
      <c r="C4443" t="s">
        <v>14553</v>
      </c>
      <c r="D4443" t="s">
        <v>14554</v>
      </c>
      <c r="E4443" t="s">
        <v>14555</v>
      </c>
      <c r="F4443" t="s">
        <v>14556</v>
      </c>
      <c r="G4443" s="2" t="str">
        <f>HYPERLINK("https://probpalata.gov.ru/files/ИП230404090600000.jpeg","Скачать индивидуальный QR-код магазина")</f>
        <v>Скачать индивидуальный QR-код магазина</v>
      </c>
    </row>
    <row r="4444" spans="1:7" x14ac:dyDescent="0.25">
      <c r="A4444" t="s">
        <v>13087</v>
      </c>
      <c r="B4444" t="s">
        <v>14557</v>
      </c>
      <c r="C4444" t="s">
        <v>14558</v>
      </c>
      <c r="D4444" t="s">
        <v>14559</v>
      </c>
      <c r="E4444" t="s">
        <v>14560</v>
      </c>
      <c r="F4444" t="s">
        <v>14561</v>
      </c>
      <c r="G4444" s="2" t="str">
        <f>HYPERLINK("https://probpalata.gov.ru/files/ЮЛ240800183000015.jpeg","Скачать индивидуальный QR-код магазина")</f>
        <v>Скачать индивидуальный QR-код магазина</v>
      </c>
    </row>
    <row r="4445" spans="1:7" x14ac:dyDescent="0.25">
      <c r="A4445" t="s">
        <v>13087</v>
      </c>
      <c r="B4445" t="s">
        <v>14562</v>
      </c>
      <c r="C4445" t="s">
        <v>14558</v>
      </c>
      <c r="D4445" t="s">
        <v>14559</v>
      </c>
      <c r="E4445" t="s">
        <v>14560</v>
      </c>
      <c r="F4445" t="s">
        <v>14563</v>
      </c>
      <c r="G4445" s="2" t="str">
        <f>HYPERLINK("https://probpalata.gov.ru/files/ЮЛ240800183000016.jpeg","Скачать индивидуальный QR-код магазина")</f>
        <v>Скачать индивидуальный QR-код магазина</v>
      </c>
    </row>
    <row r="4446" spans="1:7" x14ac:dyDescent="0.25">
      <c r="A4446" t="s">
        <v>13087</v>
      </c>
      <c r="B4446" t="s">
        <v>14564</v>
      </c>
      <c r="C4446" t="s">
        <v>14558</v>
      </c>
      <c r="D4446" t="s">
        <v>14559</v>
      </c>
      <c r="E4446" t="s">
        <v>14560</v>
      </c>
      <c r="F4446" t="s">
        <v>14565</v>
      </c>
      <c r="G4446" s="2" t="str">
        <f>HYPERLINK("https://probpalata.gov.ru/files/ЮЛ240800183000029.jpeg","Скачать индивидуальный QR-код магазина")</f>
        <v>Скачать индивидуальный QR-код магазина</v>
      </c>
    </row>
    <row r="4447" spans="1:7" x14ac:dyDescent="0.25">
      <c r="A4447" t="s">
        <v>13087</v>
      </c>
      <c r="B4447" t="s">
        <v>14566</v>
      </c>
      <c r="C4447" t="s">
        <v>14558</v>
      </c>
      <c r="D4447" t="s">
        <v>14559</v>
      </c>
      <c r="E4447" t="s">
        <v>14560</v>
      </c>
      <c r="F4447" t="s">
        <v>14567</v>
      </c>
      <c r="G4447" s="2" t="str">
        <f>HYPERLINK("https://probpalata.gov.ru/files/ЮЛ240800183000031.jpeg","Скачать индивидуальный QR-код магазина")</f>
        <v>Скачать индивидуальный QR-код магазина</v>
      </c>
    </row>
    <row r="4448" spans="1:7" x14ac:dyDescent="0.25">
      <c r="A4448" t="s">
        <v>13087</v>
      </c>
      <c r="B4448" t="s">
        <v>14568</v>
      </c>
      <c r="C4448" t="s">
        <v>14558</v>
      </c>
      <c r="D4448" t="s">
        <v>14559</v>
      </c>
      <c r="E4448" t="s">
        <v>14560</v>
      </c>
      <c r="F4448" t="s">
        <v>14569</v>
      </c>
      <c r="G4448" s="2" t="str">
        <f>HYPERLINK("https://probpalata.gov.ru/files/ЮЛ240800183000032.jpeg","Скачать индивидуальный QR-код магазина")</f>
        <v>Скачать индивидуальный QR-код магазина</v>
      </c>
    </row>
    <row r="4449" spans="1:7" x14ac:dyDescent="0.25">
      <c r="A4449" t="s">
        <v>13087</v>
      </c>
      <c r="B4449" t="s">
        <v>14570</v>
      </c>
      <c r="C4449" t="s">
        <v>14558</v>
      </c>
      <c r="D4449" t="s">
        <v>14559</v>
      </c>
      <c r="E4449" t="s">
        <v>14560</v>
      </c>
      <c r="F4449" t="s">
        <v>14571</v>
      </c>
      <c r="G4449" s="2" t="str">
        <f>HYPERLINK("https://probpalata.gov.ru/files/ЮЛ240800183000056.jpeg","Скачать индивидуальный QR-код магазина")</f>
        <v>Скачать индивидуальный QR-код магазина</v>
      </c>
    </row>
    <row r="4450" spans="1:7" x14ac:dyDescent="0.25">
      <c r="A4450" t="s">
        <v>13087</v>
      </c>
      <c r="B4450" t="s">
        <v>14572</v>
      </c>
      <c r="C4450" t="s">
        <v>14558</v>
      </c>
      <c r="D4450" t="s">
        <v>14559</v>
      </c>
      <c r="E4450" t="s">
        <v>14560</v>
      </c>
      <c r="F4450" t="s">
        <v>14573</v>
      </c>
      <c r="G4450" s="2" t="str">
        <f>HYPERLINK("https://probpalata.gov.ru/files/ЮЛ240800183000057.jpeg","Скачать индивидуальный QR-код магазина")</f>
        <v>Скачать индивидуальный QR-код магазина</v>
      </c>
    </row>
    <row r="4451" spans="1:7" x14ac:dyDescent="0.25">
      <c r="A4451" t="s">
        <v>13087</v>
      </c>
      <c r="B4451" t="s">
        <v>14574</v>
      </c>
      <c r="C4451" t="s">
        <v>14558</v>
      </c>
      <c r="D4451" t="s">
        <v>14559</v>
      </c>
      <c r="E4451" t="s">
        <v>14560</v>
      </c>
      <c r="F4451" t="s">
        <v>14575</v>
      </c>
      <c r="G4451" s="2" t="str">
        <f>HYPERLINK("https://probpalata.gov.ru/files/ЮЛ240800183000058.jpeg","Скачать индивидуальный QR-код магазина")</f>
        <v>Скачать индивидуальный QR-код магазина</v>
      </c>
    </row>
    <row r="4452" spans="1:7" x14ac:dyDescent="0.25">
      <c r="A4452" t="s">
        <v>13087</v>
      </c>
      <c r="B4452" t="s">
        <v>14576</v>
      </c>
      <c r="C4452" t="s">
        <v>14577</v>
      </c>
      <c r="D4452" t="s">
        <v>14578</v>
      </c>
      <c r="E4452" t="s">
        <v>14579</v>
      </c>
      <c r="F4452" t="s">
        <v>14580</v>
      </c>
      <c r="G4452" s="2" t="str">
        <f>HYPERLINK("https://probpalata.gov.ru/files/ЮЛ240801625800001.jpeg","Скачать индивидуальный QR-код магазина")</f>
        <v>Скачать индивидуальный QR-код магазина</v>
      </c>
    </row>
    <row r="4453" spans="1:7" x14ac:dyDescent="0.25">
      <c r="A4453" t="s">
        <v>13087</v>
      </c>
      <c r="B4453" t="s">
        <v>14581</v>
      </c>
      <c r="C4453" t="s">
        <v>14577</v>
      </c>
      <c r="D4453" t="s">
        <v>14578</v>
      </c>
      <c r="E4453" t="s">
        <v>14579</v>
      </c>
      <c r="F4453" t="s">
        <v>14582</v>
      </c>
      <c r="G4453" s="2" t="str">
        <f>HYPERLINK("https://probpalata.gov.ru/files/ЮЛ240801625800002.jpeg","Скачать индивидуальный QR-код магазина")</f>
        <v>Скачать индивидуальный QR-код магазина</v>
      </c>
    </row>
    <row r="4454" spans="1:7" x14ac:dyDescent="0.25">
      <c r="A4454" t="s">
        <v>13087</v>
      </c>
      <c r="B4454" t="s">
        <v>14583</v>
      </c>
      <c r="C4454" t="s">
        <v>14577</v>
      </c>
      <c r="D4454" t="s">
        <v>14578</v>
      </c>
      <c r="E4454" t="s">
        <v>14579</v>
      </c>
      <c r="F4454" t="s">
        <v>14584</v>
      </c>
      <c r="G4454" s="2" t="str">
        <f>HYPERLINK("https://probpalata.gov.ru/files/ЮЛ240801625800003.jpeg","Скачать индивидуальный QR-код магазина")</f>
        <v>Скачать индивидуальный QR-код магазина</v>
      </c>
    </row>
    <row r="4455" spans="1:7" x14ac:dyDescent="0.25">
      <c r="A4455" t="s">
        <v>13087</v>
      </c>
      <c r="B4455" t="s">
        <v>14585</v>
      </c>
      <c r="C4455" t="s">
        <v>14586</v>
      </c>
      <c r="D4455" t="s">
        <v>14587</v>
      </c>
      <c r="E4455" t="s">
        <v>14588</v>
      </c>
      <c r="F4455" t="s">
        <v>14589</v>
      </c>
      <c r="G4455" s="2" t="str">
        <f>HYPERLINK("https://probpalata.gov.ru/files/ИП260503200600000.jpeg","Скачать индивидуальный QR-код магазина")</f>
        <v>Скачать индивидуальный QR-код магазина</v>
      </c>
    </row>
    <row r="4456" spans="1:7" x14ac:dyDescent="0.25">
      <c r="A4456" t="s">
        <v>13087</v>
      </c>
      <c r="B4456" t="s">
        <v>14590</v>
      </c>
      <c r="C4456" t="s">
        <v>14591</v>
      </c>
      <c r="D4456" t="s">
        <v>14592</v>
      </c>
      <c r="E4456" t="s">
        <v>14593</v>
      </c>
      <c r="F4456" t="s">
        <v>14594</v>
      </c>
      <c r="G4456" s="2" t="str">
        <f>HYPERLINK("https://probpalata.gov.ru/files/ИП260503792200000.jpeg","Скачать индивидуальный QR-код магазина")</f>
        <v>Скачать индивидуальный QR-код магазина</v>
      </c>
    </row>
    <row r="4457" spans="1:7" x14ac:dyDescent="0.25">
      <c r="A4457" t="s">
        <v>13087</v>
      </c>
      <c r="B4457" t="s">
        <v>14595</v>
      </c>
      <c r="C4457" t="s">
        <v>14596</v>
      </c>
      <c r="D4457" t="s">
        <v>14597</v>
      </c>
      <c r="E4457" t="s">
        <v>14598</v>
      </c>
      <c r="F4457" t="s">
        <v>14599</v>
      </c>
      <c r="G4457" s="2" t="str">
        <f>HYPERLINK("https://probpalata.gov.ru/files/ИП260500627700009.jpeg","Скачать индивидуальный QR-код магазина")</f>
        <v>Скачать индивидуальный QR-код магазина</v>
      </c>
    </row>
    <row r="4458" spans="1:7" x14ac:dyDescent="0.25">
      <c r="A4458" t="s">
        <v>13087</v>
      </c>
      <c r="B4458" t="s">
        <v>14600</v>
      </c>
      <c r="C4458" t="s">
        <v>14596</v>
      </c>
      <c r="D4458" t="s">
        <v>14597</v>
      </c>
      <c r="E4458" t="s">
        <v>14598</v>
      </c>
      <c r="F4458" t="s">
        <v>14601</v>
      </c>
      <c r="G4458" s="2" t="str">
        <f>HYPERLINK("https://probpalata.gov.ru/files/ИП260500627700010.jpeg","Скачать индивидуальный QR-код магазина")</f>
        <v>Скачать индивидуальный QR-код магазина</v>
      </c>
    </row>
    <row r="4459" spans="1:7" x14ac:dyDescent="0.25">
      <c r="A4459" t="s">
        <v>13087</v>
      </c>
      <c r="B4459" t="s">
        <v>14602</v>
      </c>
      <c r="C4459" t="s">
        <v>14596</v>
      </c>
      <c r="D4459" t="s">
        <v>14597</v>
      </c>
      <c r="E4459" t="s">
        <v>14598</v>
      </c>
      <c r="F4459" t="s">
        <v>14603</v>
      </c>
      <c r="G4459" s="2" t="str">
        <f>HYPERLINK("https://probpalata.gov.ru/files/ИП260500627700012.jpeg","Скачать индивидуальный QR-код магазина")</f>
        <v>Скачать индивидуальный QR-код магазина</v>
      </c>
    </row>
    <row r="4460" spans="1:7" x14ac:dyDescent="0.25">
      <c r="A4460" t="s">
        <v>13087</v>
      </c>
      <c r="B4460" t="s">
        <v>14604</v>
      </c>
      <c r="C4460" t="s">
        <v>14596</v>
      </c>
      <c r="D4460" t="s">
        <v>14597</v>
      </c>
      <c r="E4460" t="s">
        <v>14598</v>
      </c>
      <c r="F4460" t="s">
        <v>14605</v>
      </c>
      <c r="G4460" s="2" t="str">
        <f>HYPERLINK("https://probpalata.gov.ru/files/ИП260500627700014.jpeg","Скачать индивидуальный QR-код магазина")</f>
        <v>Скачать индивидуальный QR-код магазина</v>
      </c>
    </row>
    <row r="4461" spans="1:7" x14ac:dyDescent="0.25">
      <c r="A4461" t="s">
        <v>13087</v>
      </c>
      <c r="B4461" t="s">
        <v>14606</v>
      </c>
      <c r="C4461" t="s">
        <v>14607</v>
      </c>
      <c r="D4461" t="s">
        <v>14608</v>
      </c>
      <c r="E4461" t="s">
        <v>14609</v>
      </c>
      <c r="F4461" t="s">
        <v>14610</v>
      </c>
      <c r="G4461" s="2" t="str">
        <f>HYPERLINK("https://probpalata.gov.ru/files/ИП260503892600002.jpeg","Скачать индивидуальный QR-код магазина")</f>
        <v>Скачать индивидуальный QR-код магазина</v>
      </c>
    </row>
    <row r="4462" spans="1:7" x14ac:dyDescent="0.25">
      <c r="A4462" t="s">
        <v>13087</v>
      </c>
      <c r="B4462" t="s">
        <v>14611</v>
      </c>
      <c r="C4462" t="s">
        <v>14612</v>
      </c>
      <c r="D4462" t="s">
        <v>14613</v>
      </c>
      <c r="E4462" t="s">
        <v>14614</v>
      </c>
      <c r="F4462" t="s">
        <v>14615</v>
      </c>
      <c r="G4462" s="2" t="str">
        <f>HYPERLINK("https://probpalata.gov.ru/files/ИП260500612300000.jpeg","Скачать индивидуальный QR-код магазина")</f>
        <v>Скачать индивидуальный QR-код магазина</v>
      </c>
    </row>
    <row r="4463" spans="1:7" x14ac:dyDescent="0.25">
      <c r="A4463" t="s">
        <v>13087</v>
      </c>
      <c r="B4463" t="s">
        <v>14616</v>
      </c>
      <c r="C4463" t="s">
        <v>14617</v>
      </c>
      <c r="D4463" t="s">
        <v>14618</v>
      </c>
      <c r="E4463" t="s">
        <v>14619</v>
      </c>
      <c r="F4463" t="s">
        <v>14620</v>
      </c>
      <c r="G4463" s="2" t="str">
        <f>HYPERLINK("https://probpalata.gov.ru/files/ИП260500608400004.jpeg","Скачать индивидуальный QR-код магазина")</f>
        <v>Скачать индивидуальный QR-код магазина</v>
      </c>
    </row>
    <row r="4464" spans="1:7" x14ac:dyDescent="0.25">
      <c r="A4464" t="s">
        <v>13087</v>
      </c>
      <c r="B4464" t="s">
        <v>14621</v>
      </c>
      <c r="C4464" t="s">
        <v>14622</v>
      </c>
      <c r="D4464" t="s">
        <v>14623</v>
      </c>
      <c r="E4464" t="s">
        <v>14624</v>
      </c>
      <c r="F4464" t="s">
        <v>14625</v>
      </c>
      <c r="G4464" s="2" t="str">
        <f>HYPERLINK("https://probpalata.gov.ru/files/ИП230400204900000.jpeg","Скачать индивидуальный QR-код магазина")</f>
        <v>Скачать индивидуальный QR-код магазина</v>
      </c>
    </row>
    <row r="4465" spans="1:7" x14ac:dyDescent="0.25">
      <c r="A4465" t="s">
        <v>13087</v>
      </c>
      <c r="B4465" t="s">
        <v>14626</v>
      </c>
      <c r="C4465" t="s">
        <v>14622</v>
      </c>
      <c r="D4465" t="s">
        <v>14623</v>
      </c>
      <c r="E4465" t="s">
        <v>14624</v>
      </c>
      <c r="F4465" t="s">
        <v>14627</v>
      </c>
      <c r="G4465" s="2" t="str">
        <f>HYPERLINK("https://probpalata.gov.ru/files/ИП230400204900001.jpeg","Скачать индивидуальный QR-код магазина")</f>
        <v>Скачать индивидуальный QR-код магазина</v>
      </c>
    </row>
    <row r="4466" spans="1:7" x14ac:dyDescent="0.25">
      <c r="A4466" t="s">
        <v>13087</v>
      </c>
      <c r="B4466" t="s">
        <v>14628</v>
      </c>
      <c r="C4466" t="s">
        <v>14622</v>
      </c>
      <c r="D4466" t="s">
        <v>14623</v>
      </c>
      <c r="E4466" t="s">
        <v>14624</v>
      </c>
      <c r="F4466" t="s">
        <v>14629</v>
      </c>
      <c r="G4466" s="2" t="str">
        <f>HYPERLINK("https://probpalata.gov.ru/files/ИП230400204900002.jpeg","Скачать индивидуальный QR-код магазина")</f>
        <v>Скачать индивидуальный QR-код магазина</v>
      </c>
    </row>
    <row r="4467" spans="1:7" x14ac:dyDescent="0.25">
      <c r="A4467" t="s">
        <v>13087</v>
      </c>
      <c r="B4467" t="s">
        <v>14630</v>
      </c>
      <c r="C4467" t="s">
        <v>14622</v>
      </c>
      <c r="D4467" t="s">
        <v>14623</v>
      </c>
      <c r="E4467" t="s">
        <v>14624</v>
      </c>
      <c r="F4467" t="s">
        <v>14631</v>
      </c>
      <c r="G4467" s="2" t="str">
        <f>HYPERLINK("https://probpalata.gov.ru/files/ИП230400204900003.jpeg","Скачать индивидуальный QR-код магазина")</f>
        <v>Скачать индивидуальный QR-код магазина</v>
      </c>
    </row>
    <row r="4468" spans="1:7" x14ac:dyDescent="0.25">
      <c r="A4468" t="s">
        <v>13087</v>
      </c>
      <c r="B4468" t="s">
        <v>14632</v>
      </c>
      <c r="C4468" t="s">
        <v>14622</v>
      </c>
      <c r="D4468" t="s">
        <v>14623</v>
      </c>
      <c r="E4468" t="s">
        <v>14624</v>
      </c>
      <c r="F4468" t="s">
        <v>14633</v>
      </c>
      <c r="G4468" s="2" t="str">
        <f>HYPERLINK("https://probpalata.gov.ru/files/ИП230400204900004.jpeg","Скачать индивидуальный QR-код магазина")</f>
        <v>Скачать индивидуальный QR-код магазина</v>
      </c>
    </row>
    <row r="4469" spans="1:7" x14ac:dyDescent="0.25">
      <c r="A4469" t="s">
        <v>13087</v>
      </c>
      <c r="B4469" t="s">
        <v>14634</v>
      </c>
      <c r="C4469" t="s">
        <v>14622</v>
      </c>
      <c r="D4469" t="s">
        <v>14623</v>
      </c>
      <c r="E4469" t="s">
        <v>14624</v>
      </c>
      <c r="F4469" t="s">
        <v>14635</v>
      </c>
      <c r="G4469" s="2" t="str">
        <f>HYPERLINK("https://probpalata.gov.ru/files/ИП230400204900005.jpeg","Скачать индивидуальный QR-код магазина")</f>
        <v>Скачать индивидуальный QR-код магазина</v>
      </c>
    </row>
    <row r="4470" spans="1:7" x14ac:dyDescent="0.25">
      <c r="A4470" t="s">
        <v>13087</v>
      </c>
      <c r="B4470" t="s">
        <v>14636</v>
      </c>
      <c r="C4470" t="s">
        <v>4686</v>
      </c>
      <c r="D4470" t="s">
        <v>4687</v>
      </c>
      <c r="E4470" t="s">
        <v>4688</v>
      </c>
      <c r="F4470" t="s">
        <v>14637</v>
      </c>
      <c r="G4470" s="2" t="str">
        <f>HYPERLINK("https://probpalata.gov.ru/files/ИП500101205300000.jpeg","Скачать индивидуальный QR-код магазина")</f>
        <v>Скачать индивидуальный QR-код магазина</v>
      </c>
    </row>
    <row r="4471" spans="1:7" x14ac:dyDescent="0.25">
      <c r="A4471" t="s">
        <v>13087</v>
      </c>
      <c r="B4471" t="s">
        <v>14638</v>
      </c>
      <c r="C4471" t="s">
        <v>4686</v>
      </c>
      <c r="D4471" t="s">
        <v>4687</v>
      </c>
      <c r="E4471" t="s">
        <v>4688</v>
      </c>
      <c r="F4471" t="s">
        <v>14639</v>
      </c>
      <c r="G4471" s="2" t="str">
        <f>HYPERLINK("https://probpalata.gov.ru/files/ИП500101205300001.jpeg","Скачать индивидуальный QR-код магазина")</f>
        <v>Скачать индивидуальный QR-код магазина</v>
      </c>
    </row>
    <row r="4472" spans="1:7" x14ac:dyDescent="0.25">
      <c r="A4472" t="s">
        <v>13087</v>
      </c>
      <c r="B4472" t="s">
        <v>13159</v>
      </c>
      <c r="C4472" t="s">
        <v>4686</v>
      </c>
      <c r="D4472" t="s">
        <v>4687</v>
      </c>
      <c r="E4472" t="s">
        <v>4688</v>
      </c>
      <c r="F4472" t="s">
        <v>14640</v>
      </c>
      <c r="G4472" s="2" t="str">
        <f>HYPERLINK("https://probpalata.gov.ru/files/ИП500101205300003.jpeg","Скачать индивидуальный QR-код магазина")</f>
        <v>Скачать индивидуальный QR-код магазина</v>
      </c>
    </row>
    <row r="4473" spans="1:7" x14ac:dyDescent="0.25">
      <c r="A4473" t="s">
        <v>13087</v>
      </c>
      <c r="B4473" t="s">
        <v>14641</v>
      </c>
      <c r="C4473" t="s">
        <v>1721</v>
      </c>
      <c r="D4473" t="s">
        <v>1722</v>
      </c>
      <c r="E4473" t="s">
        <v>1723</v>
      </c>
      <c r="F4473" t="s">
        <v>14642</v>
      </c>
      <c r="G4473" s="2" t="str">
        <f>HYPERLINK("https://probpalata.gov.ru/files/ИП340400993200018.jpeg","Скачать индивидуальный QR-код магазина")</f>
        <v>Скачать индивидуальный QR-код магазина</v>
      </c>
    </row>
    <row r="4474" spans="1:7" x14ac:dyDescent="0.25">
      <c r="A4474" t="s">
        <v>13087</v>
      </c>
      <c r="B4474" t="s">
        <v>14643</v>
      </c>
      <c r="C4474" t="s">
        <v>1721</v>
      </c>
      <c r="D4474" t="s">
        <v>1722</v>
      </c>
      <c r="E4474" t="s">
        <v>1723</v>
      </c>
      <c r="F4474" t="s">
        <v>14644</v>
      </c>
      <c r="G4474" s="2" t="str">
        <f>HYPERLINK("https://probpalata.gov.ru/files/ИП340400993200019.jpeg","Скачать индивидуальный QR-код магазина")</f>
        <v>Скачать индивидуальный QR-код магазина</v>
      </c>
    </row>
    <row r="4475" spans="1:7" x14ac:dyDescent="0.25">
      <c r="A4475" t="s">
        <v>13087</v>
      </c>
      <c r="B4475" t="s">
        <v>14645</v>
      </c>
      <c r="C4475" t="s">
        <v>1721</v>
      </c>
      <c r="D4475" t="s">
        <v>1722</v>
      </c>
      <c r="E4475" t="s">
        <v>1723</v>
      </c>
      <c r="F4475" t="s">
        <v>14646</v>
      </c>
      <c r="G4475" s="2" t="str">
        <f>HYPERLINK("https://probpalata.gov.ru/files/ИП340400993200022.jpeg","Скачать индивидуальный QR-код магазина")</f>
        <v>Скачать индивидуальный QR-код магазина</v>
      </c>
    </row>
    <row r="4476" spans="1:7" x14ac:dyDescent="0.25">
      <c r="A4476" t="s">
        <v>13087</v>
      </c>
      <c r="B4476" t="s">
        <v>14647</v>
      </c>
      <c r="C4476" t="s">
        <v>1721</v>
      </c>
      <c r="D4476" t="s">
        <v>1722</v>
      </c>
      <c r="E4476" t="s">
        <v>1723</v>
      </c>
      <c r="F4476" t="s">
        <v>14648</v>
      </c>
      <c r="G4476" s="2" t="str">
        <f>HYPERLINK("https://probpalata.gov.ru/files/ИП340400993200023.jpeg","Скачать индивидуальный QR-код магазина")</f>
        <v>Скачать индивидуальный QR-код магазина</v>
      </c>
    </row>
    <row r="4477" spans="1:7" x14ac:dyDescent="0.25">
      <c r="A4477" t="s">
        <v>13087</v>
      </c>
      <c r="B4477" t="s">
        <v>14649</v>
      </c>
      <c r="C4477" t="s">
        <v>3432</v>
      </c>
      <c r="D4477" t="s">
        <v>3433</v>
      </c>
      <c r="E4477" t="s">
        <v>3434</v>
      </c>
      <c r="F4477" t="s">
        <v>14650</v>
      </c>
      <c r="G4477" s="2" t="str">
        <f>HYPERLINK("https://probpalata.gov.ru/files/ИП780301493800003.jpeg","Скачать индивидуальный QR-код магазина")</f>
        <v>Скачать индивидуальный QR-код магазина</v>
      </c>
    </row>
    <row r="4478" spans="1:7" x14ac:dyDescent="0.25">
      <c r="A4478" t="s">
        <v>13087</v>
      </c>
      <c r="B4478" t="s">
        <v>14651</v>
      </c>
      <c r="C4478" t="s">
        <v>14652</v>
      </c>
      <c r="D4478" t="s">
        <v>14653</v>
      </c>
      <c r="E4478" t="s">
        <v>14654</v>
      </c>
      <c r="F4478" t="s">
        <v>14655</v>
      </c>
      <c r="G4478" s="2" t="str">
        <f>HYPERLINK("https://probpalata.gov.ru/files/ИП230404007200000.jpeg","Скачать индивидуальный QR-код магазина")</f>
        <v>Скачать индивидуальный QR-код магазина</v>
      </c>
    </row>
    <row r="4479" spans="1:7" x14ac:dyDescent="0.25">
      <c r="A4479" t="s">
        <v>13087</v>
      </c>
      <c r="B4479" t="s">
        <v>14656</v>
      </c>
      <c r="C4479" t="s">
        <v>1727</v>
      </c>
      <c r="D4479" t="s">
        <v>1728</v>
      </c>
      <c r="E4479" t="s">
        <v>1729</v>
      </c>
      <c r="F4479" t="s">
        <v>14657</v>
      </c>
      <c r="G4479" s="2" t="str">
        <f>HYPERLINK("https://probpalata.gov.ru/files/ЮЛ340400964300010.jpeg","Скачать индивидуальный QR-код магазина")</f>
        <v>Скачать индивидуальный QR-код магазина</v>
      </c>
    </row>
    <row r="4480" spans="1:7" x14ac:dyDescent="0.25">
      <c r="A4480" t="s">
        <v>13087</v>
      </c>
      <c r="B4480" t="s">
        <v>14641</v>
      </c>
      <c r="C4480" t="s">
        <v>1727</v>
      </c>
      <c r="D4480" t="s">
        <v>1728</v>
      </c>
      <c r="E4480" t="s">
        <v>1729</v>
      </c>
      <c r="F4480" t="s">
        <v>14658</v>
      </c>
      <c r="G4480" s="2" t="str">
        <f>HYPERLINK("https://probpalata.gov.ru/files/ЮЛ340400964300015.jpeg","Скачать индивидуальный QR-код магазина")</f>
        <v>Скачать индивидуальный QR-код магазина</v>
      </c>
    </row>
    <row r="4481" spans="1:7" x14ac:dyDescent="0.25">
      <c r="A4481" t="s">
        <v>13087</v>
      </c>
      <c r="B4481" t="s">
        <v>14645</v>
      </c>
      <c r="C4481" t="s">
        <v>1727</v>
      </c>
      <c r="D4481" t="s">
        <v>1728</v>
      </c>
      <c r="E4481" t="s">
        <v>1729</v>
      </c>
      <c r="F4481" t="s">
        <v>14659</v>
      </c>
      <c r="G4481" s="2" t="str">
        <f>HYPERLINK("https://probpalata.gov.ru/files/ЮЛ340400964300023.jpeg","Скачать индивидуальный QR-код магазина")</f>
        <v>Скачать индивидуальный QR-код магазина</v>
      </c>
    </row>
    <row r="4482" spans="1:7" x14ac:dyDescent="0.25">
      <c r="A4482" t="s">
        <v>13087</v>
      </c>
      <c r="B4482" t="s">
        <v>14647</v>
      </c>
      <c r="C4482" t="s">
        <v>1727</v>
      </c>
      <c r="D4482" t="s">
        <v>1728</v>
      </c>
      <c r="E4482" t="s">
        <v>1729</v>
      </c>
      <c r="F4482" t="s">
        <v>14660</v>
      </c>
      <c r="G4482" s="2" t="str">
        <f>HYPERLINK("https://probpalata.gov.ru/files/ЮЛ340400964300024.jpeg","Скачать индивидуальный QR-код магазина")</f>
        <v>Скачать индивидуальный QR-код магазина</v>
      </c>
    </row>
    <row r="4483" spans="1:7" x14ac:dyDescent="0.25">
      <c r="A4483" t="s">
        <v>13087</v>
      </c>
      <c r="B4483" t="s">
        <v>14661</v>
      </c>
      <c r="C4483" t="s">
        <v>14662</v>
      </c>
      <c r="D4483" t="s">
        <v>14663</v>
      </c>
      <c r="E4483" t="s">
        <v>14664</v>
      </c>
      <c r="F4483" t="s">
        <v>14665</v>
      </c>
      <c r="G4483" s="2" t="str">
        <f>HYPERLINK("https://probpalata.gov.ru/files/ИП230400424100000.jpeg","Скачать индивидуальный QR-код магазина")</f>
        <v>Скачать индивидуальный QR-код магазина</v>
      </c>
    </row>
    <row r="4484" spans="1:7" x14ac:dyDescent="0.25">
      <c r="A4484" t="s">
        <v>13087</v>
      </c>
      <c r="B4484" t="s">
        <v>14666</v>
      </c>
      <c r="C4484" t="s">
        <v>5055</v>
      </c>
      <c r="D4484" t="s">
        <v>5056</v>
      </c>
      <c r="E4484" t="s">
        <v>5057</v>
      </c>
      <c r="F4484" t="s">
        <v>14667</v>
      </c>
      <c r="G4484" s="2" t="str">
        <f>HYPERLINK("https://probpalata.gov.ru/files/ИП370200958400002.jpeg","Скачать индивидуальный QR-код магазина")</f>
        <v>Скачать индивидуальный QR-код магазина</v>
      </c>
    </row>
    <row r="4485" spans="1:7" x14ac:dyDescent="0.25">
      <c r="A4485" t="s">
        <v>13087</v>
      </c>
      <c r="B4485" t="s">
        <v>14668</v>
      </c>
      <c r="C4485" t="s">
        <v>5055</v>
      </c>
      <c r="D4485" t="s">
        <v>5056</v>
      </c>
      <c r="E4485" t="s">
        <v>5057</v>
      </c>
      <c r="F4485" t="s">
        <v>14669</v>
      </c>
      <c r="G4485" s="2" t="str">
        <f>HYPERLINK("https://probpalata.gov.ru/files/ИП370200958400003.jpeg","Скачать индивидуальный QR-код магазина")</f>
        <v>Скачать индивидуальный QR-код магазина</v>
      </c>
    </row>
    <row r="4486" spans="1:7" x14ac:dyDescent="0.25">
      <c r="A4486" t="s">
        <v>13087</v>
      </c>
      <c r="B4486" t="s">
        <v>14670</v>
      </c>
      <c r="C4486" t="s">
        <v>14671</v>
      </c>
      <c r="D4486" t="s">
        <v>14672</v>
      </c>
      <c r="E4486" t="s">
        <v>14673</v>
      </c>
      <c r="F4486" t="s">
        <v>14674</v>
      </c>
      <c r="G4486" s="2" t="str">
        <f>HYPERLINK("https://probpalata.gov.ru/files/ИП370200852500000.jpeg","Скачать индивидуальный QR-код магазина")</f>
        <v>Скачать индивидуальный QR-код магазина</v>
      </c>
    </row>
    <row r="4487" spans="1:7" x14ac:dyDescent="0.25">
      <c r="A4487" t="s">
        <v>13087</v>
      </c>
      <c r="B4487" t="s">
        <v>14675</v>
      </c>
      <c r="C4487" t="s">
        <v>14671</v>
      </c>
      <c r="D4487" t="s">
        <v>14672</v>
      </c>
      <c r="E4487" t="s">
        <v>14673</v>
      </c>
      <c r="F4487" t="s">
        <v>14676</v>
      </c>
      <c r="G4487" s="2" t="str">
        <f>HYPERLINK("https://probpalata.gov.ru/files/ИП370200852500004.jpeg","Скачать индивидуальный QR-код магазина")</f>
        <v>Скачать индивидуальный QR-код магазина</v>
      </c>
    </row>
    <row r="4488" spans="1:7" x14ac:dyDescent="0.25">
      <c r="A4488" t="s">
        <v>13087</v>
      </c>
      <c r="B4488" t="s">
        <v>14677</v>
      </c>
      <c r="C4488" t="s">
        <v>14678</v>
      </c>
      <c r="D4488" t="s">
        <v>14679</v>
      </c>
      <c r="E4488" t="s">
        <v>14680</v>
      </c>
      <c r="F4488" t="s">
        <v>14681</v>
      </c>
      <c r="G4488" s="2" t="str">
        <f>HYPERLINK("https://probpalata.gov.ru/files/ИП200503566800000.jpeg","Скачать индивидуальный QR-код магазина")</f>
        <v>Скачать индивидуальный QR-код магазина</v>
      </c>
    </row>
    <row r="4489" spans="1:7" x14ac:dyDescent="0.25">
      <c r="A4489" t="s">
        <v>13087</v>
      </c>
      <c r="B4489" t="s">
        <v>14682</v>
      </c>
      <c r="C4489" t="s">
        <v>14678</v>
      </c>
      <c r="D4489" t="s">
        <v>14679</v>
      </c>
      <c r="E4489" t="s">
        <v>14680</v>
      </c>
      <c r="F4489" t="s">
        <v>14683</v>
      </c>
      <c r="G4489" s="2" t="str">
        <f>HYPERLINK("https://probpalata.gov.ru/files/ИП200503566800001.jpeg","Скачать индивидуальный QR-код магазина")</f>
        <v>Скачать индивидуальный QR-код магазина</v>
      </c>
    </row>
    <row r="4490" spans="1:7" x14ac:dyDescent="0.25">
      <c r="A4490" t="s">
        <v>13087</v>
      </c>
      <c r="B4490" t="s">
        <v>14684</v>
      </c>
      <c r="C4490" t="s">
        <v>14678</v>
      </c>
      <c r="D4490" t="s">
        <v>14679</v>
      </c>
      <c r="E4490" t="s">
        <v>14680</v>
      </c>
      <c r="F4490" t="s">
        <v>14685</v>
      </c>
      <c r="G4490" s="2" t="str">
        <f>HYPERLINK("https://probpalata.gov.ru/files/ИП200503566800002.jpeg","Скачать индивидуальный QR-код магазина")</f>
        <v>Скачать индивидуальный QR-код магазина</v>
      </c>
    </row>
    <row r="4491" spans="1:7" x14ac:dyDescent="0.25">
      <c r="A4491" t="s">
        <v>13087</v>
      </c>
      <c r="B4491" t="s">
        <v>14686</v>
      </c>
      <c r="C4491" t="s">
        <v>14678</v>
      </c>
      <c r="D4491" t="s">
        <v>14679</v>
      </c>
      <c r="E4491" t="s">
        <v>14680</v>
      </c>
      <c r="F4491" t="s">
        <v>14687</v>
      </c>
      <c r="G4491" s="2" t="str">
        <f>HYPERLINK("https://probpalata.gov.ru/files/ИП200503566800003.jpeg","Скачать индивидуальный QR-код магазина")</f>
        <v>Скачать индивидуальный QR-код магазина</v>
      </c>
    </row>
    <row r="4492" spans="1:7" x14ac:dyDescent="0.25">
      <c r="A4492" t="s">
        <v>13087</v>
      </c>
      <c r="B4492" t="s">
        <v>14688</v>
      </c>
      <c r="C4492" t="s">
        <v>10198</v>
      </c>
      <c r="D4492" t="s">
        <v>10199</v>
      </c>
      <c r="E4492" t="s">
        <v>10200</v>
      </c>
      <c r="F4492" t="s">
        <v>14689</v>
      </c>
      <c r="G4492" s="2" t="str">
        <f>HYPERLINK("https://probpalata.gov.ru/files/ИП230400957000005.jpeg","Скачать индивидуальный QR-код магазина")</f>
        <v>Скачать индивидуальный QR-код магазина</v>
      </c>
    </row>
    <row r="4493" spans="1:7" x14ac:dyDescent="0.25">
      <c r="A4493" t="s">
        <v>13087</v>
      </c>
      <c r="B4493" t="s">
        <v>14690</v>
      </c>
      <c r="C4493" t="s">
        <v>10216</v>
      </c>
      <c r="D4493" t="s">
        <v>10217</v>
      </c>
      <c r="E4493" t="s">
        <v>10218</v>
      </c>
      <c r="F4493" t="s">
        <v>14691</v>
      </c>
      <c r="G4493" s="2" t="str">
        <f>HYPERLINK("https://probpalata.gov.ru/files/ИП420800129700004.jpeg","Скачать индивидуальный QR-код магазина")</f>
        <v>Скачать индивидуальный QR-код магазина</v>
      </c>
    </row>
    <row r="4494" spans="1:7" x14ac:dyDescent="0.25">
      <c r="A4494" t="s">
        <v>13087</v>
      </c>
      <c r="B4494" t="s">
        <v>14692</v>
      </c>
      <c r="C4494" t="s">
        <v>10216</v>
      </c>
      <c r="D4494" t="s">
        <v>10217</v>
      </c>
      <c r="E4494" t="s">
        <v>10218</v>
      </c>
      <c r="F4494" t="s">
        <v>14693</v>
      </c>
      <c r="G4494" s="2" t="str">
        <f>HYPERLINK("https://probpalata.gov.ru/files/ИП420800129700005.jpeg","Скачать индивидуальный QR-код магазина")</f>
        <v>Скачать индивидуальный QR-код магазина</v>
      </c>
    </row>
    <row r="4495" spans="1:7" x14ac:dyDescent="0.25">
      <c r="A4495" t="s">
        <v>13087</v>
      </c>
      <c r="B4495" t="s">
        <v>14694</v>
      </c>
      <c r="C4495" t="s">
        <v>10216</v>
      </c>
      <c r="D4495" t="s">
        <v>10217</v>
      </c>
      <c r="E4495" t="s">
        <v>10218</v>
      </c>
      <c r="F4495" t="s">
        <v>14695</v>
      </c>
      <c r="G4495" s="2" t="str">
        <f>HYPERLINK("https://probpalata.gov.ru/files/ИП420800129700007.jpeg","Скачать индивидуальный QR-код магазина")</f>
        <v>Скачать индивидуальный QR-код магазина</v>
      </c>
    </row>
    <row r="4496" spans="1:7" x14ac:dyDescent="0.25">
      <c r="A4496" t="s">
        <v>13087</v>
      </c>
      <c r="B4496" t="s">
        <v>14696</v>
      </c>
      <c r="C4496" t="s">
        <v>14697</v>
      </c>
      <c r="D4496" t="s">
        <v>14698</v>
      </c>
      <c r="E4496" t="s">
        <v>14699</v>
      </c>
      <c r="F4496" t="s">
        <v>14700</v>
      </c>
      <c r="G4496" s="2" t="str">
        <f>HYPERLINK("https://probpalata.gov.ru/files/ИП230400130600000.jpeg","Скачать индивидуальный QR-код магазина")</f>
        <v>Скачать индивидуальный QR-код магазина</v>
      </c>
    </row>
    <row r="4497" spans="1:7" x14ac:dyDescent="0.25">
      <c r="A4497" t="s">
        <v>13087</v>
      </c>
      <c r="B4497" t="s">
        <v>14701</v>
      </c>
      <c r="C4497" t="s">
        <v>14702</v>
      </c>
      <c r="D4497" t="s">
        <v>14703</v>
      </c>
      <c r="E4497" t="s">
        <v>14704</v>
      </c>
      <c r="F4497" t="s">
        <v>14705</v>
      </c>
      <c r="G4497" s="2" t="str">
        <f>HYPERLINK("https://probpalata.gov.ru/files/ИП230400144600000.jpeg","Скачать индивидуальный QR-код магазина")</f>
        <v>Скачать индивидуальный QR-код магазина</v>
      </c>
    </row>
    <row r="4498" spans="1:7" x14ac:dyDescent="0.25">
      <c r="A4498" t="s">
        <v>13087</v>
      </c>
      <c r="B4498" t="s">
        <v>14706</v>
      </c>
      <c r="C4498" t="s">
        <v>10581</v>
      </c>
      <c r="D4498" t="s">
        <v>10582</v>
      </c>
      <c r="E4498" t="s">
        <v>10583</v>
      </c>
      <c r="F4498" t="s">
        <v>14707</v>
      </c>
      <c r="G4498" s="2" t="str">
        <f>HYPERLINK("https://probpalata.gov.ru/files/ИП420803323600008.jpeg","Скачать индивидуальный QR-код магазина")</f>
        <v>Скачать индивидуальный QR-код магазина</v>
      </c>
    </row>
    <row r="4499" spans="1:7" x14ac:dyDescent="0.25">
      <c r="A4499" t="s">
        <v>13087</v>
      </c>
      <c r="B4499" t="s">
        <v>14708</v>
      </c>
      <c r="C4499" t="s">
        <v>14709</v>
      </c>
      <c r="D4499" t="s">
        <v>14710</v>
      </c>
      <c r="E4499" t="s">
        <v>14711</v>
      </c>
      <c r="F4499" t="s">
        <v>14712</v>
      </c>
      <c r="G4499" s="2" t="str">
        <f>HYPERLINK("https://probpalata.gov.ru/files/ЮЛ230400030300000.jpeg","Скачать индивидуальный QR-код магазина")</f>
        <v>Скачать индивидуальный QR-код магазина</v>
      </c>
    </row>
    <row r="4500" spans="1:7" x14ac:dyDescent="0.25">
      <c r="A4500" t="s">
        <v>13087</v>
      </c>
      <c r="B4500" t="s">
        <v>14713</v>
      </c>
      <c r="C4500" t="s">
        <v>14714</v>
      </c>
      <c r="D4500" t="s">
        <v>14715</v>
      </c>
      <c r="E4500" t="s">
        <v>14716</v>
      </c>
      <c r="F4500" t="s">
        <v>14717</v>
      </c>
      <c r="G4500" s="2" t="str">
        <f>HYPERLINK("https://probpalata.gov.ru/files/ИП230403447300002.jpeg","Скачать индивидуальный QR-код магазина")</f>
        <v>Скачать индивидуальный QR-код магазина</v>
      </c>
    </row>
    <row r="4501" spans="1:7" x14ac:dyDescent="0.25">
      <c r="A4501" t="s">
        <v>13087</v>
      </c>
      <c r="B4501" t="s">
        <v>14718</v>
      </c>
      <c r="C4501" t="s">
        <v>14714</v>
      </c>
      <c r="D4501" t="s">
        <v>14715</v>
      </c>
      <c r="E4501" t="s">
        <v>14716</v>
      </c>
      <c r="F4501" t="s">
        <v>14719</v>
      </c>
      <c r="G4501" s="2" t="str">
        <f>HYPERLINK("https://probpalata.gov.ru/files/ИП230403447300003.jpeg","Скачать индивидуальный QR-код магазина")</f>
        <v>Скачать индивидуальный QR-код магазина</v>
      </c>
    </row>
    <row r="4502" spans="1:7" x14ac:dyDescent="0.25">
      <c r="A4502" t="s">
        <v>13087</v>
      </c>
      <c r="B4502" t="s">
        <v>14720</v>
      </c>
      <c r="C4502" t="s">
        <v>14721</v>
      </c>
      <c r="D4502" t="s">
        <v>14722</v>
      </c>
      <c r="E4502" t="s">
        <v>14723</v>
      </c>
      <c r="F4502" t="s">
        <v>14724</v>
      </c>
      <c r="G4502" s="2" t="str">
        <f>HYPERLINK("https://probpalata.gov.ru/files/ЮЛ470303460700000.jpeg","Скачать индивидуальный QR-код магазина")</f>
        <v>Скачать индивидуальный QR-код магазина</v>
      </c>
    </row>
    <row r="4503" spans="1:7" x14ac:dyDescent="0.25">
      <c r="A4503" t="s">
        <v>13087</v>
      </c>
      <c r="B4503" t="s">
        <v>14725</v>
      </c>
      <c r="C4503" t="s">
        <v>2185</v>
      </c>
      <c r="D4503" t="s">
        <v>2186</v>
      </c>
      <c r="E4503" t="s">
        <v>2187</v>
      </c>
      <c r="F4503" t="s">
        <v>14726</v>
      </c>
      <c r="G4503" s="2" t="str">
        <f>HYPERLINK("https://probpalata.gov.ru/files/ЮЛ480100215000008.jpeg","Скачать индивидуальный QR-код магазина")</f>
        <v>Скачать индивидуальный QR-код магазина</v>
      </c>
    </row>
    <row r="4504" spans="1:7" x14ac:dyDescent="0.25">
      <c r="A4504" t="s">
        <v>13087</v>
      </c>
      <c r="B4504" t="s">
        <v>14727</v>
      </c>
      <c r="C4504" t="s">
        <v>2185</v>
      </c>
      <c r="D4504" t="s">
        <v>2186</v>
      </c>
      <c r="E4504" t="s">
        <v>2187</v>
      </c>
      <c r="F4504" t="s">
        <v>14728</v>
      </c>
      <c r="G4504" s="2" t="str">
        <f>HYPERLINK("https://probpalata.gov.ru/files/ЮЛ480100215000009.jpeg","Скачать индивидуальный QR-код магазина")</f>
        <v>Скачать индивидуальный QR-код магазина</v>
      </c>
    </row>
    <row r="4505" spans="1:7" x14ac:dyDescent="0.25">
      <c r="A4505" t="s">
        <v>13087</v>
      </c>
      <c r="B4505" t="s">
        <v>14729</v>
      </c>
      <c r="C4505" t="s">
        <v>2185</v>
      </c>
      <c r="D4505" t="s">
        <v>2186</v>
      </c>
      <c r="E4505" t="s">
        <v>2187</v>
      </c>
      <c r="F4505" t="s">
        <v>14730</v>
      </c>
      <c r="G4505" s="2" t="str">
        <f>HYPERLINK("https://probpalata.gov.ru/files/ЮЛ480100215000026.jpeg","Скачать индивидуальный QR-код магазина")</f>
        <v>Скачать индивидуальный QR-код магазина</v>
      </c>
    </row>
    <row r="4506" spans="1:7" x14ac:dyDescent="0.25">
      <c r="A4506" t="s">
        <v>13087</v>
      </c>
      <c r="B4506" t="s">
        <v>14731</v>
      </c>
      <c r="C4506" t="s">
        <v>2185</v>
      </c>
      <c r="D4506" t="s">
        <v>2186</v>
      </c>
      <c r="E4506" t="s">
        <v>2187</v>
      </c>
      <c r="F4506" t="s">
        <v>14732</v>
      </c>
      <c r="G4506" s="2" t="str">
        <f>HYPERLINK("https://probpalata.gov.ru/files/ЮЛ480100215000028.jpeg","Скачать индивидуальный QR-код магазина")</f>
        <v>Скачать индивидуальный QR-код магазина</v>
      </c>
    </row>
    <row r="4507" spans="1:7" x14ac:dyDescent="0.25">
      <c r="A4507" t="s">
        <v>13087</v>
      </c>
      <c r="B4507" t="s">
        <v>14733</v>
      </c>
      <c r="C4507" t="s">
        <v>2185</v>
      </c>
      <c r="D4507" t="s">
        <v>2186</v>
      </c>
      <c r="E4507" t="s">
        <v>2187</v>
      </c>
      <c r="F4507" t="s">
        <v>14734</v>
      </c>
      <c r="G4507" s="2" t="str">
        <f>HYPERLINK("https://probpalata.gov.ru/files/ЮЛ480100215000034.jpeg","Скачать индивидуальный QR-код магазина")</f>
        <v>Скачать индивидуальный QR-код магазина</v>
      </c>
    </row>
    <row r="4508" spans="1:7" x14ac:dyDescent="0.25">
      <c r="A4508" t="s">
        <v>13087</v>
      </c>
      <c r="B4508" t="s">
        <v>14735</v>
      </c>
      <c r="C4508" t="s">
        <v>14736</v>
      </c>
      <c r="D4508" t="s">
        <v>14737</v>
      </c>
      <c r="E4508" t="s">
        <v>14738</v>
      </c>
      <c r="F4508" t="s">
        <v>14739</v>
      </c>
      <c r="G4508" s="2" t="str">
        <f>HYPERLINK("https://probpalata.gov.ru/files/ЮЛ500100649400002.jpeg","Скачать индивидуальный QR-код магазина")</f>
        <v>Скачать индивидуальный QR-код магазина</v>
      </c>
    </row>
    <row r="4509" spans="1:7" x14ac:dyDescent="0.25">
      <c r="A4509" t="s">
        <v>13087</v>
      </c>
      <c r="B4509" t="s">
        <v>14740</v>
      </c>
      <c r="C4509" t="s">
        <v>14736</v>
      </c>
      <c r="D4509" t="s">
        <v>14737</v>
      </c>
      <c r="E4509" t="s">
        <v>14738</v>
      </c>
      <c r="F4509" t="s">
        <v>14741</v>
      </c>
      <c r="G4509" s="2" t="str">
        <f>HYPERLINK("https://probpalata.gov.ru/files/ЮЛ500100649400055.jpeg","Скачать индивидуальный QR-код магазина")</f>
        <v>Скачать индивидуальный QR-код магазина</v>
      </c>
    </row>
    <row r="4510" spans="1:7" x14ac:dyDescent="0.25">
      <c r="A4510" t="s">
        <v>13087</v>
      </c>
      <c r="B4510" t="s">
        <v>14742</v>
      </c>
      <c r="C4510" t="s">
        <v>14743</v>
      </c>
      <c r="D4510" t="s">
        <v>14744</v>
      </c>
      <c r="E4510" t="s">
        <v>14745</v>
      </c>
      <c r="F4510" t="s">
        <v>14746</v>
      </c>
      <c r="G4510" s="2" t="str">
        <f>HYPERLINK("https://probpalata.gov.ru/files/ИП780303232000002.jpeg","Скачать индивидуальный QR-код магазина")</f>
        <v>Скачать индивидуальный QR-код магазина</v>
      </c>
    </row>
    <row r="4511" spans="1:7" x14ac:dyDescent="0.25">
      <c r="A4511" t="s">
        <v>13087</v>
      </c>
      <c r="B4511" t="s">
        <v>14747</v>
      </c>
      <c r="C4511" t="s">
        <v>671</v>
      </c>
      <c r="D4511" t="s">
        <v>672</v>
      </c>
      <c r="E4511" t="s">
        <v>673</v>
      </c>
      <c r="F4511" t="s">
        <v>14748</v>
      </c>
      <c r="G4511" s="2" t="str">
        <f>HYPERLINK("https://probpalata.gov.ru/files/ИП500100445500020.jpeg","Скачать индивидуальный QR-код магазина")</f>
        <v>Скачать индивидуальный QR-код магазина</v>
      </c>
    </row>
    <row r="4512" spans="1:7" x14ac:dyDescent="0.25">
      <c r="A4512" t="s">
        <v>13087</v>
      </c>
      <c r="B4512" t="s">
        <v>14749</v>
      </c>
      <c r="C4512" t="s">
        <v>671</v>
      </c>
      <c r="D4512" t="s">
        <v>672</v>
      </c>
      <c r="E4512" t="s">
        <v>673</v>
      </c>
      <c r="F4512" t="s">
        <v>14750</v>
      </c>
      <c r="G4512" s="2" t="str">
        <f>HYPERLINK("https://probpalata.gov.ru/files/ИП500100445500072.jpeg","Скачать индивидуальный QR-код магазина")</f>
        <v>Скачать индивидуальный QR-код магазина</v>
      </c>
    </row>
    <row r="4513" spans="1:7" x14ac:dyDescent="0.25">
      <c r="A4513" t="s">
        <v>13087</v>
      </c>
      <c r="B4513" t="s">
        <v>14751</v>
      </c>
      <c r="C4513" t="s">
        <v>671</v>
      </c>
      <c r="D4513" t="s">
        <v>672</v>
      </c>
      <c r="E4513" t="s">
        <v>673</v>
      </c>
      <c r="F4513" t="s">
        <v>14752</v>
      </c>
      <c r="G4513" s="2" t="str">
        <f>HYPERLINK("https://probpalata.gov.ru/files/ИП500100445500081.jpeg","Скачать индивидуальный QR-код магазина")</f>
        <v>Скачать индивидуальный QR-код магазина</v>
      </c>
    </row>
    <row r="4514" spans="1:7" x14ac:dyDescent="0.25">
      <c r="A4514" t="s">
        <v>13087</v>
      </c>
      <c r="B4514" t="s">
        <v>14753</v>
      </c>
      <c r="C4514" t="s">
        <v>671</v>
      </c>
      <c r="D4514" t="s">
        <v>672</v>
      </c>
      <c r="E4514" t="s">
        <v>673</v>
      </c>
      <c r="F4514" t="s">
        <v>14754</v>
      </c>
      <c r="G4514" s="2" t="str">
        <f>HYPERLINK("https://probpalata.gov.ru/files/ИП500100445500105.jpeg","Скачать индивидуальный QR-код магазина")</f>
        <v>Скачать индивидуальный QR-код магазина</v>
      </c>
    </row>
    <row r="4515" spans="1:7" x14ac:dyDescent="0.25">
      <c r="A4515" t="s">
        <v>13087</v>
      </c>
      <c r="B4515" t="s">
        <v>14755</v>
      </c>
      <c r="C4515" t="s">
        <v>671</v>
      </c>
      <c r="D4515" t="s">
        <v>672</v>
      </c>
      <c r="E4515" t="s">
        <v>673</v>
      </c>
      <c r="F4515" t="s">
        <v>14756</v>
      </c>
      <c r="G4515" s="2" t="str">
        <f>HYPERLINK("https://probpalata.gov.ru/files/ИП500100445500111.jpeg","Скачать индивидуальный QR-код магазина")</f>
        <v>Скачать индивидуальный QR-код магазина</v>
      </c>
    </row>
    <row r="4516" spans="1:7" x14ac:dyDescent="0.25">
      <c r="A4516" t="s">
        <v>13087</v>
      </c>
      <c r="B4516" t="s">
        <v>14757</v>
      </c>
      <c r="C4516" t="s">
        <v>14758</v>
      </c>
      <c r="D4516" t="s">
        <v>14759</v>
      </c>
      <c r="E4516" t="s">
        <v>14760</v>
      </c>
      <c r="F4516" t="s">
        <v>14761</v>
      </c>
      <c r="G4516" s="2" t="str">
        <f>HYPERLINK("https://probpalata.gov.ru/files/ИП500104035600000.jpeg","Скачать индивидуальный QR-код магазина")</f>
        <v>Скачать индивидуальный QR-код магазина</v>
      </c>
    </row>
    <row r="4517" spans="1:7" x14ac:dyDescent="0.25">
      <c r="A4517" t="s">
        <v>13087</v>
      </c>
      <c r="B4517" t="s">
        <v>14762</v>
      </c>
      <c r="C4517" t="s">
        <v>1385</v>
      </c>
      <c r="D4517" t="s">
        <v>1386</v>
      </c>
      <c r="E4517" t="s">
        <v>1387</v>
      </c>
      <c r="F4517" t="s">
        <v>14763</v>
      </c>
      <c r="G4517" s="2" t="str">
        <f>HYPERLINK("https://probpalata.gov.ru/files/ИП500101774600003.jpeg","Скачать индивидуальный QR-код магазина")</f>
        <v>Скачать индивидуальный QR-код магазина</v>
      </c>
    </row>
    <row r="4518" spans="1:7" x14ac:dyDescent="0.25">
      <c r="A4518" t="s">
        <v>13087</v>
      </c>
      <c r="B4518" t="s">
        <v>14764</v>
      </c>
      <c r="C4518" t="s">
        <v>14765</v>
      </c>
      <c r="D4518" t="s">
        <v>14766</v>
      </c>
      <c r="E4518" t="s">
        <v>14767</v>
      </c>
      <c r="F4518" t="s">
        <v>14768</v>
      </c>
      <c r="G4518" s="2" t="str">
        <f>HYPERLINK("https://probpalata.gov.ru/files/ЮЛ500100279300008.jpeg","Скачать индивидуальный QR-код магазина")</f>
        <v>Скачать индивидуальный QR-код магазина</v>
      </c>
    </row>
    <row r="4519" spans="1:7" x14ac:dyDescent="0.25">
      <c r="A4519" t="s">
        <v>13087</v>
      </c>
      <c r="B4519" t="s">
        <v>14769</v>
      </c>
      <c r="C4519" t="s">
        <v>14765</v>
      </c>
      <c r="D4519" t="s">
        <v>14766</v>
      </c>
      <c r="E4519" t="s">
        <v>14767</v>
      </c>
      <c r="F4519" t="s">
        <v>14770</v>
      </c>
      <c r="G4519" s="2" t="str">
        <f>HYPERLINK("https://probpalata.gov.ru/files/ЮЛ500100279300009.jpeg","Скачать индивидуальный QR-код магазина")</f>
        <v>Скачать индивидуальный QR-код магазина</v>
      </c>
    </row>
    <row r="4520" spans="1:7" x14ac:dyDescent="0.25">
      <c r="A4520" t="s">
        <v>13087</v>
      </c>
      <c r="B4520" t="s">
        <v>14771</v>
      </c>
      <c r="C4520" t="s">
        <v>14765</v>
      </c>
      <c r="D4520" t="s">
        <v>14766</v>
      </c>
      <c r="E4520" t="s">
        <v>14767</v>
      </c>
      <c r="F4520" t="s">
        <v>14772</v>
      </c>
      <c r="G4520" s="2" t="str">
        <f>HYPERLINK("https://probpalata.gov.ru/files/ЮЛ500100279300011.jpeg","Скачать индивидуальный QR-код магазина")</f>
        <v>Скачать индивидуальный QR-код магазина</v>
      </c>
    </row>
    <row r="4521" spans="1:7" x14ac:dyDescent="0.25">
      <c r="A4521" t="s">
        <v>13087</v>
      </c>
      <c r="B4521" t="s">
        <v>13208</v>
      </c>
      <c r="C4521" t="s">
        <v>14773</v>
      </c>
      <c r="D4521" t="s">
        <v>14774</v>
      </c>
      <c r="E4521" t="s">
        <v>14775</v>
      </c>
      <c r="F4521" t="s">
        <v>14776</v>
      </c>
      <c r="G4521" s="2" t="str">
        <f>HYPERLINK("https://probpalata.gov.ru/files/ИП770104078500001.jpeg","Скачать индивидуальный QR-код магазина")</f>
        <v>Скачать индивидуальный QR-код магазина</v>
      </c>
    </row>
    <row r="4522" spans="1:7" x14ac:dyDescent="0.25">
      <c r="A4522" t="s">
        <v>13087</v>
      </c>
      <c r="B4522" t="s">
        <v>14777</v>
      </c>
      <c r="C4522" t="s">
        <v>14778</v>
      </c>
      <c r="D4522" t="s">
        <v>14779</v>
      </c>
      <c r="E4522" t="s">
        <v>14780</v>
      </c>
      <c r="F4522" t="s">
        <v>14781</v>
      </c>
      <c r="G4522" s="2" t="str">
        <f>HYPERLINK("https://probpalata.gov.ru/files/ИП230403089200000.jpeg","Скачать индивидуальный QR-код магазина")</f>
        <v>Скачать индивидуальный QR-код магазина</v>
      </c>
    </row>
    <row r="4523" spans="1:7" x14ac:dyDescent="0.25">
      <c r="A4523" t="s">
        <v>13087</v>
      </c>
      <c r="B4523" t="s">
        <v>14782</v>
      </c>
      <c r="C4523" t="s">
        <v>14783</v>
      </c>
      <c r="D4523" t="s">
        <v>14784</v>
      </c>
      <c r="E4523" t="s">
        <v>14785</v>
      </c>
      <c r="F4523" t="s">
        <v>14786</v>
      </c>
      <c r="G4523" s="2" t="str">
        <f>HYPERLINK("https://probpalata.gov.ru/files/ИП520603457800011.jpeg","Скачать индивидуальный QR-код магазина")</f>
        <v>Скачать индивидуальный QR-код магазина</v>
      </c>
    </row>
    <row r="4524" spans="1:7" x14ac:dyDescent="0.25">
      <c r="A4524" t="s">
        <v>13087</v>
      </c>
      <c r="B4524" t="s">
        <v>14787</v>
      </c>
      <c r="C4524" t="s">
        <v>681</v>
      </c>
      <c r="D4524" t="s">
        <v>682</v>
      </c>
      <c r="E4524" t="s">
        <v>683</v>
      </c>
      <c r="F4524" t="s">
        <v>14788</v>
      </c>
      <c r="G4524" s="2" t="str">
        <f>HYPERLINK("https://probpalata.gov.ru/files/ИП520600807800013.jpeg","Скачать индивидуальный QR-код магазина")</f>
        <v>Скачать индивидуальный QR-код магазина</v>
      </c>
    </row>
    <row r="4525" spans="1:7" x14ac:dyDescent="0.25">
      <c r="A4525" t="s">
        <v>13087</v>
      </c>
      <c r="B4525" t="s">
        <v>14789</v>
      </c>
      <c r="C4525" t="s">
        <v>14790</v>
      </c>
      <c r="D4525" t="s">
        <v>14791</v>
      </c>
      <c r="E4525" t="s">
        <v>14792</v>
      </c>
      <c r="F4525" t="s">
        <v>14793</v>
      </c>
      <c r="G4525" s="2" t="str">
        <f>HYPERLINK("https://probpalata.gov.ru/files/ИП770101938300000.jpeg","Скачать индивидуальный QR-код магазина")</f>
        <v>Скачать индивидуальный QR-код магазина</v>
      </c>
    </row>
    <row r="4526" spans="1:7" x14ac:dyDescent="0.25">
      <c r="A4526" t="s">
        <v>13087</v>
      </c>
      <c r="B4526" t="s">
        <v>14794</v>
      </c>
      <c r="C4526" t="s">
        <v>14790</v>
      </c>
      <c r="D4526" t="s">
        <v>14791</v>
      </c>
      <c r="E4526" t="s">
        <v>14792</v>
      </c>
      <c r="F4526" t="s">
        <v>14795</v>
      </c>
      <c r="G4526" s="2" t="str">
        <f>HYPERLINK("https://probpalata.gov.ru/files/ИП770101938300001.jpeg","Скачать индивидуальный QR-код магазина")</f>
        <v>Скачать индивидуальный QR-код магазина</v>
      </c>
    </row>
    <row r="4527" spans="1:7" x14ac:dyDescent="0.25">
      <c r="A4527" t="s">
        <v>13087</v>
      </c>
      <c r="B4527" t="s">
        <v>14796</v>
      </c>
      <c r="C4527" t="s">
        <v>1735</v>
      </c>
      <c r="D4527" t="s">
        <v>1736</v>
      </c>
      <c r="E4527" t="s">
        <v>1737</v>
      </c>
      <c r="F4527" t="s">
        <v>14797</v>
      </c>
      <c r="G4527" s="2" t="str">
        <f>HYPERLINK("https://probpalata.gov.ru/files/ЮЛ520603376600060.jpeg","Скачать индивидуальный QR-код магазина")</f>
        <v>Скачать индивидуальный QR-код магазина</v>
      </c>
    </row>
    <row r="4528" spans="1:7" x14ac:dyDescent="0.25">
      <c r="A4528" t="s">
        <v>13087</v>
      </c>
      <c r="B4528" t="s">
        <v>14798</v>
      </c>
      <c r="C4528" t="s">
        <v>1735</v>
      </c>
      <c r="D4528" t="s">
        <v>1736</v>
      </c>
      <c r="E4528" t="s">
        <v>1737</v>
      </c>
      <c r="F4528" t="s">
        <v>14799</v>
      </c>
      <c r="G4528" s="2" t="str">
        <f>HYPERLINK("https://probpalata.gov.ru/files/ЮЛ520603376600108.jpeg","Скачать индивидуальный QR-код магазина")</f>
        <v>Скачать индивидуальный QR-код магазина</v>
      </c>
    </row>
    <row r="4529" spans="1:7" x14ac:dyDescent="0.25">
      <c r="A4529" t="s">
        <v>13087</v>
      </c>
      <c r="B4529" t="s">
        <v>14800</v>
      </c>
      <c r="C4529" t="s">
        <v>1735</v>
      </c>
      <c r="D4529" t="s">
        <v>1736</v>
      </c>
      <c r="E4529" t="s">
        <v>1737</v>
      </c>
      <c r="F4529" t="s">
        <v>14801</v>
      </c>
      <c r="G4529" s="2" t="str">
        <f>HYPERLINK("https://probpalata.gov.ru/files/ЮЛ520603376600123.jpeg","Скачать индивидуальный QR-код магазина")</f>
        <v>Скачать индивидуальный QR-код магазина</v>
      </c>
    </row>
    <row r="4530" spans="1:7" x14ac:dyDescent="0.25">
      <c r="A4530" t="s">
        <v>13087</v>
      </c>
      <c r="B4530" t="s">
        <v>14802</v>
      </c>
      <c r="C4530" t="s">
        <v>1735</v>
      </c>
      <c r="D4530" t="s">
        <v>1736</v>
      </c>
      <c r="E4530" t="s">
        <v>1737</v>
      </c>
      <c r="F4530" t="s">
        <v>14803</v>
      </c>
      <c r="G4530" s="2" t="str">
        <f>HYPERLINK("https://probpalata.gov.ru/files/ЮЛ520603376600152.jpeg","Скачать индивидуальный QR-код магазина")</f>
        <v>Скачать индивидуальный QR-код магазина</v>
      </c>
    </row>
    <row r="4531" spans="1:7" x14ac:dyDescent="0.25">
      <c r="A4531" t="s">
        <v>13087</v>
      </c>
      <c r="B4531" t="s">
        <v>14804</v>
      </c>
      <c r="C4531" t="s">
        <v>14805</v>
      </c>
      <c r="D4531" t="s">
        <v>14806</v>
      </c>
      <c r="E4531" t="s">
        <v>14807</v>
      </c>
      <c r="F4531" t="s">
        <v>14808</v>
      </c>
      <c r="G4531" s="2" t="str">
        <f>HYPERLINK("https://probpalata.gov.ru/files/ИП770100890900012.jpeg","Скачать индивидуальный QR-код магазина")</f>
        <v>Скачать индивидуальный QR-код магазина</v>
      </c>
    </row>
    <row r="4532" spans="1:7" x14ac:dyDescent="0.25">
      <c r="A4532" t="s">
        <v>13087</v>
      </c>
      <c r="B4532" t="s">
        <v>13139</v>
      </c>
      <c r="C4532" t="s">
        <v>14809</v>
      </c>
      <c r="D4532" t="s">
        <v>14810</v>
      </c>
      <c r="E4532" t="s">
        <v>14811</v>
      </c>
      <c r="F4532" t="s">
        <v>14812</v>
      </c>
      <c r="G4532" s="2" t="str">
        <f>HYPERLINK("https://probpalata.gov.ru/files/ЮЛ520603824400001.jpeg","Скачать индивидуальный QR-код магазина")</f>
        <v>Скачать индивидуальный QR-код магазина</v>
      </c>
    </row>
    <row r="4533" spans="1:7" x14ac:dyDescent="0.25">
      <c r="A4533" t="s">
        <v>13087</v>
      </c>
      <c r="B4533" t="s">
        <v>14813</v>
      </c>
      <c r="C4533" t="s">
        <v>14814</v>
      </c>
      <c r="D4533" t="s">
        <v>14815</v>
      </c>
      <c r="E4533" t="s">
        <v>14816</v>
      </c>
      <c r="F4533" t="s">
        <v>14817</v>
      </c>
      <c r="G4533" s="2" t="str">
        <f>HYPERLINK("https://probpalata.gov.ru/files/ЮЛ230403609200000.jpeg","Скачать индивидуальный QR-код магазина")</f>
        <v>Скачать индивидуальный QR-код магазина</v>
      </c>
    </row>
    <row r="4534" spans="1:7" x14ac:dyDescent="0.25">
      <c r="A4534" t="s">
        <v>13087</v>
      </c>
      <c r="B4534" t="s">
        <v>14818</v>
      </c>
      <c r="C4534" t="s">
        <v>14819</v>
      </c>
      <c r="D4534" t="s">
        <v>14820</v>
      </c>
      <c r="E4534" t="s">
        <v>14821</v>
      </c>
      <c r="F4534" t="s">
        <v>14822</v>
      </c>
      <c r="G4534" s="2" t="str">
        <f>HYPERLINK("https://probpalata.gov.ru/files/ИП550803207100000.jpeg","Скачать индивидуальный QR-код магазина")</f>
        <v>Скачать индивидуальный QR-код магазина</v>
      </c>
    </row>
    <row r="4535" spans="1:7" x14ac:dyDescent="0.25">
      <c r="A4535" t="s">
        <v>13087</v>
      </c>
      <c r="B4535" t="s">
        <v>14823</v>
      </c>
      <c r="C4535" t="s">
        <v>14824</v>
      </c>
      <c r="D4535" t="s">
        <v>14825</v>
      </c>
      <c r="E4535" t="s">
        <v>14826</v>
      </c>
      <c r="F4535" t="s">
        <v>14827</v>
      </c>
      <c r="G4535" s="2" t="str">
        <f>HYPERLINK("https://probpalata.gov.ru/files/ИП550803428500000.jpeg","Скачать индивидуальный QR-код магазина")</f>
        <v>Скачать индивидуальный QR-код магазина</v>
      </c>
    </row>
    <row r="4536" spans="1:7" x14ac:dyDescent="0.25">
      <c r="A4536" t="s">
        <v>13087</v>
      </c>
      <c r="B4536" t="s">
        <v>14828</v>
      </c>
      <c r="C4536" t="s">
        <v>14824</v>
      </c>
      <c r="D4536" t="s">
        <v>14825</v>
      </c>
      <c r="E4536" t="s">
        <v>14826</v>
      </c>
      <c r="F4536" t="s">
        <v>14829</v>
      </c>
      <c r="G4536" s="2" t="str">
        <f>HYPERLINK("https://probpalata.gov.ru/files/ИП550803428500008.jpeg","Скачать индивидуальный QR-код магазина")</f>
        <v>Скачать индивидуальный QR-код магазина</v>
      </c>
    </row>
    <row r="4537" spans="1:7" x14ac:dyDescent="0.25">
      <c r="A4537" t="s">
        <v>13087</v>
      </c>
      <c r="B4537" t="s">
        <v>14830</v>
      </c>
      <c r="C4537" t="s">
        <v>14824</v>
      </c>
      <c r="D4537" t="s">
        <v>14825</v>
      </c>
      <c r="E4537" t="s">
        <v>14826</v>
      </c>
      <c r="F4537" t="s">
        <v>14831</v>
      </c>
      <c r="G4537" s="2" t="str">
        <f>HYPERLINK("https://probpalata.gov.ru/files/ИП550803428500009.jpeg","Скачать индивидуальный QR-код магазина")</f>
        <v>Скачать индивидуальный QR-код магазина</v>
      </c>
    </row>
    <row r="4538" spans="1:7" x14ac:dyDescent="0.25">
      <c r="A4538" t="s">
        <v>13087</v>
      </c>
      <c r="B4538" t="s">
        <v>14832</v>
      </c>
      <c r="C4538" t="s">
        <v>14824</v>
      </c>
      <c r="D4538" t="s">
        <v>14825</v>
      </c>
      <c r="E4538" t="s">
        <v>14826</v>
      </c>
      <c r="F4538" t="s">
        <v>14833</v>
      </c>
      <c r="G4538" s="2" t="str">
        <f>HYPERLINK("https://probpalata.gov.ru/files/ИП550803428500010.jpeg","Скачать индивидуальный QR-код магазина")</f>
        <v>Скачать индивидуальный QR-код магазина</v>
      </c>
    </row>
    <row r="4539" spans="1:7" x14ac:dyDescent="0.25">
      <c r="A4539" t="s">
        <v>13087</v>
      </c>
      <c r="B4539" t="s">
        <v>14834</v>
      </c>
      <c r="C4539" t="s">
        <v>14835</v>
      </c>
      <c r="D4539" t="s">
        <v>14836</v>
      </c>
      <c r="E4539" t="s">
        <v>14837</v>
      </c>
      <c r="F4539" t="s">
        <v>14838</v>
      </c>
      <c r="G4539" s="2" t="str">
        <f>HYPERLINK("https://probpalata.gov.ru/files/ИП230400708500000.jpeg","Скачать индивидуальный QR-код магазина")</f>
        <v>Скачать индивидуальный QR-код магазина</v>
      </c>
    </row>
    <row r="4540" spans="1:7" x14ac:dyDescent="0.25">
      <c r="A4540" t="s">
        <v>13087</v>
      </c>
      <c r="B4540" t="s">
        <v>14839</v>
      </c>
      <c r="C4540" t="s">
        <v>14835</v>
      </c>
      <c r="D4540" t="s">
        <v>14836</v>
      </c>
      <c r="E4540" t="s">
        <v>14837</v>
      </c>
      <c r="F4540" t="s">
        <v>14840</v>
      </c>
      <c r="G4540" s="2" t="str">
        <f>HYPERLINK("https://probpalata.gov.ru/files/ИП230400708500001.jpeg","Скачать индивидуальный QR-код магазина")</f>
        <v>Скачать индивидуальный QR-код магазина</v>
      </c>
    </row>
    <row r="4541" spans="1:7" x14ac:dyDescent="0.25">
      <c r="A4541" t="s">
        <v>13087</v>
      </c>
      <c r="B4541" t="s">
        <v>14841</v>
      </c>
      <c r="C4541" t="s">
        <v>14842</v>
      </c>
      <c r="D4541" t="s">
        <v>14843</v>
      </c>
      <c r="E4541" t="s">
        <v>14844</v>
      </c>
      <c r="F4541" t="s">
        <v>14845</v>
      </c>
      <c r="G4541" s="2" t="str">
        <f>HYPERLINK("https://probpalata.gov.ru/files/ИП230403977200000.jpeg","Скачать индивидуальный QR-код магазина")</f>
        <v>Скачать индивидуальный QR-код магазина</v>
      </c>
    </row>
    <row r="4542" spans="1:7" x14ac:dyDescent="0.25">
      <c r="A4542" t="s">
        <v>13087</v>
      </c>
      <c r="B4542" t="s">
        <v>14846</v>
      </c>
      <c r="C4542" t="s">
        <v>3783</v>
      </c>
      <c r="D4542" t="s">
        <v>3784</v>
      </c>
      <c r="E4542" t="s">
        <v>3785</v>
      </c>
      <c r="F4542" t="s">
        <v>14847</v>
      </c>
      <c r="G4542" s="2" t="str">
        <f>HYPERLINK("https://probpalata.gov.ru/files/ИП610400829500012.jpeg","Скачать индивидуальный QR-код магазина")</f>
        <v>Скачать индивидуальный QR-код магазина</v>
      </c>
    </row>
    <row r="4543" spans="1:7" x14ac:dyDescent="0.25">
      <c r="A4543" t="s">
        <v>13087</v>
      </c>
      <c r="B4543" t="s">
        <v>14848</v>
      </c>
      <c r="C4543" t="s">
        <v>3783</v>
      </c>
      <c r="D4543" t="s">
        <v>3784</v>
      </c>
      <c r="E4543" t="s">
        <v>3785</v>
      </c>
      <c r="F4543" t="s">
        <v>14849</v>
      </c>
      <c r="G4543" s="2" t="str">
        <f>HYPERLINK("https://probpalata.gov.ru/files/ИП610400829500013.jpeg","Скачать индивидуальный QR-код магазина")</f>
        <v>Скачать индивидуальный QR-код магазина</v>
      </c>
    </row>
    <row r="4544" spans="1:7" x14ac:dyDescent="0.25">
      <c r="A4544" t="s">
        <v>13087</v>
      </c>
      <c r="B4544" t="s">
        <v>14850</v>
      </c>
      <c r="C4544" t="s">
        <v>3783</v>
      </c>
      <c r="D4544" t="s">
        <v>3784</v>
      </c>
      <c r="E4544" t="s">
        <v>3785</v>
      </c>
      <c r="F4544" t="s">
        <v>14851</v>
      </c>
      <c r="G4544" s="2" t="str">
        <f>HYPERLINK("https://probpalata.gov.ru/files/ИП610400829500014.jpeg","Скачать индивидуальный QR-код магазина")</f>
        <v>Скачать индивидуальный QR-код магазина</v>
      </c>
    </row>
    <row r="4545" spans="1:7" x14ac:dyDescent="0.25">
      <c r="A4545" t="s">
        <v>13087</v>
      </c>
      <c r="B4545" t="s">
        <v>14852</v>
      </c>
      <c r="C4545" t="s">
        <v>3133</v>
      </c>
      <c r="D4545" t="s">
        <v>3134</v>
      </c>
      <c r="E4545" t="s">
        <v>3135</v>
      </c>
      <c r="F4545" t="s">
        <v>14853</v>
      </c>
      <c r="G4545" s="2" t="str">
        <f>HYPERLINK("https://probpalata.gov.ru/files/ИП610401294100002.jpeg","Скачать индивидуальный QR-код магазина")</f>
        <v>Скачать индивидуальный QR-код магазина</v>
      </c>
    </row>
    <row r="4546" spans="1:7" x14ac:dyDescent="0.25">
      <c r="A4546" t="s">
        <v>13087</v>
      </c>
      <c r="B4546" t="s">
        <v>14854</v>
      </c>
      <c r="C4546" t="s">
        <v>3133</v>
      </c>
      <c r="D4546" t="s">
        <v>3134</v>
      </c>
      <c r="E4546" t="s">
        <v>3135</v>
      </c>
      <c r="F4546" t="s">
        <v>14855</v>
      </c>
      <c r="G4546" s="2" t="str">
        <f>HYPERLINK("https://probpalata.gov.ru/files/ИП610401294100013.jpeg","Скачать индивидуальный QR-код магазина")</f>
        <v>Скачать индивидуальный QR-код магазина</v>
      </c>
    </row>
    <row r="4547" spans="1:7" x14ac:dyDescent="0.25">
      <c r="A4547" t="s">
        <v>13087</v>
      </c>
      <c r="B4547" t="s">
        <v>14856</v>
      </c>
      <c r="C4547" t="s">
        <v>3133</v>
      </c>
      <c r="D4547" t="s">
        <v>3134</v>
      </c>
      <c r="E4547" t="s">
        <v>3135</v>
      </c>
      <c r="F4547" t="s">
        <v>14857</v>
      </c>
      <c r="G4547" s="2" t="str">
        <f>HYPERLINK("https://probpalata.gov.ru/files/ИП610401294100017.jpeg","Скачать индивидуальный QR-код магазина")</f>
        <v>Скачать индивидуальный QR-код магазина</v>
      </c>
    </row>
    <row r="4548" spans="1:7" x14ac:dyDescent="0.25">
      <c r="A4548" t="s">
        <v>13087</v>
      </c>
      <c r="B4548" t="s">
        <v>14858</v>
      </c>
      <c r="C4548" t="s">
        <v>14859</v>
      </c>
      <c r="D4548" t="s">
        <v>14860</v>
      </c>
      <c r="E4548" t="s">
        <v>14861</v>
      </c>
      <c r="F4548" t="s">
        <v>14862</v>
      </c>
      <c r="G4548" s="2" t="str">
        <f>HYPERLINK("https://probpalata.gov.ru/files/ИП230400935700000.jpeg","Скачать индивидуальный QR-код магазина")</f>
        <v>Скачать индивидуальный QR-код магазина</v>
      </c>
    </row>
    <row r="4549" spans="1:7" x14ac:dyDescent="0.25">
      <c r="A4549" t="s">
        <v>13087</v>
      </c>
      <c r="B4549" t="s">
        <v>14863</v>
      </c>
      <c r="C4549" t="s">
        <v>14864</v>
      </c>
      <c r="D4549" t="s">
        <v>14865</v>
      </c>
      <c r="E4549" t="s">
        <v>14866</v>
      </c>
      <c r="F4549" t="s">
        <v>14867</v>
      </c>
      <c r="G4549" s="2" t="str">
        <f>HYPERLINK("https://probpalata.gov.ru/files/ИП230400885300000.jpeg","Скачать индивидуальный QR-код магазина")</f>
        <v>Скачать индивидуальный QR-код магазина</v>
      </c>
    </row>
    <row r="4550" spans="1:7" x14ac:dyDescent="0.25">
      <c r="A4550" t="s">
        <v>13087</v>
      </c>
      <c r="B4550" t="s">
        <v>14868</v>
      </c>
      <c r="C4550" t="s">
        <v>14869</v>
      </c>
      <c r="D4550" t="s">
        <v>14870</v>
      </c>
      <c r="E4550" t="s">
        <v>14871</v>
      </c>
      <c r="F4550" t="s">
        <v>14872</v>
      </c>
      <c r="G4550" s="2" t="str">
        <f>HYPERLINK("https://probpalata.gov.ru/files/ИП610403242200001.jpeg","Скачать индивидуальный QR-код магазина")</f>
        <v>Скачать индивидуальный QR-код магазина</v>
      </c>
    </row>
    <row r="4551" spans="1:7" x14ac:dyDescent="0.25">
      <c r="A4551" t="s">
        <v>13087</v>
      </c>
      <c r="B4551" t="s">
        <v>14873</v>
      </c>
      <c r="C4551" t="s">
        <v>14874</v>
      </c>
      <c r="D4551" t="s">
        <v>14875</v>
      </c>
      <c r="E4551" t="s">
        <v>14876</v>
      </c>
      <c r="F4551" t="s">
        <v>14877</v>
      </c>
      <c r="G4551" s="2" t="str">
        <f>HYPERLINK("https://probpalata.gov.ru/files/ЮЛ610401804600004.jpeg","Скачать индивидуальный QR-код магазина")</f>
        <v>Скачать индивидуальный QR-код магазина</v>
      </c>
    </row>
    <row r="4552" spans="1:7" x14ac:dyDescent="0.25">
      <c r="A4552" t="s">
        <v>13087</v>
      </c>
      <c r="B4552" t="s">
        <v>14878</v>
      </c>
      <c r="C4552" t="s">
        <v>14874</v>
      </c>
      <c r="D4552" t="s">
        <v>14875</v>
      </c>
      <c r="E4552" t="s">
        <v>14876</v>
      </c>
      <c r="F4552" t="s">
        <v>14879</v>
      </c>
      <c r="G4552" s="2" t="str">
        <f>HYPERLINK("https://probpalata.gov.ru/files/ЮЛ610401804600016.jpeg","Скачать индивидуальный QR-код магазина")</f>
        <v>Скачать индивидуальный QR-код магазина</v>
      </c>
    </row>
    <row r="4553" spans="1:7" x14ac:dyDescent="0.25">
      <c r="A4553" t="s">
        <v>13087</v>
      </c>
      <c r="B4553" t="s">
        <v>14880</v>
      </c>
      <c r="C4553" t="s">
        <v>14874</v>
      </c>
      <c r="D4553" t="s">
        <v>14875</v>
      </c>
      <c r="E4553" t="s">
        <v>14876</v>
      </c>
      <c r="F4553" t="s">
        <v>14881</v>
      </c>
      <c r="G4553" s="2" t="str">
        <f>HYPERLINK("https://probpalata.gov.ru/files/ЮЛ610401804600029.jpeg","Скачать индивидуальный QR-код магазина")</f>
        <v>Скачать индивидуальный QR-код магазина</v>
      </c>
    </row>
    <row r="4554" spans="1:7" x14ac:dyDescent="0.25">
      <c r="A4554" t="s">
        <v>13087</v>
      </c>
      <c r="B4554" t="s">
        <v>14882</v>
      </c>
      <c r="C4554" t="s">
        <v>14874</v>
      </c>
      <c r="D4554" t="s">
        <v>14875</v>
      </c>
      <c r="E4554" t="s">
        <v>14876</v>
      </c>
      <c r="F4554" t="s">
        <v>14883</v>
      </c>
      <c r="G4554" s="2" t="str">
        <f>HYPERLINK("https://probpalata.gov.ru/files/ЮЛ610401804600034.jpeg","Скачать индивидуальный QR-код магазина")</f>
        <v>Скачать индивидуальный QR-код магазина</v>
      </c>
    </row>
    <row r="4555" spans="1:7" x14ac:dyDescent="0.25">
      <c r="A4555" t="s">
        <v>13087</v>
      </c>
      <c r="B4555" t="s">
        <v>13340</v>
      </c>
      <c r="C4555" t="s">
        <v>14874</v>
      </c>
      <c r="D4555" t="s">
        <v>14875</v>
      </c>
      <c r="E4555" t="s">
        <v>14876</v>
      </c>
      <c r="F4555" t="s">
        <v>14884</v>
      </c>
      <c r="G4555" s="2" t="str">
        <f>HYPERLINK("https://probpalata.gov.ru/files/ЮЛ610401804600037.jpeg","Скачать индивидуальный QR-код магазина")</f>
        <v>Скачать индивидуальный QR-код магазина</v>
      </c>
    </row>
    <row r="4556" spans="1:7" x14ac:dyDescent="0.25">
      <c r="A4556" t="s">
        <v>13087</v>
      </c>
      <c r="B4556" t="s">
        <v>14237</v>
      </c>
      <c r="C4556" t="s">
        <v>14874</v>
      </c>
      <c r="D4556" t="s">
        <v>14875</v>
      </c>
      <c r="E4556" t="s">
        <v>14876</v>
      </c>
      <c r="F4556" t="s">
        <v>14885</v>
      </c>
      <c r="G4556" s="2" t="str">
        <f>HYPERLINK("https://probpalata.gov.ru/files/ЮЛ610401804600040.jpeg","Скачать индивидуальный QR-код магазина")</f>
        <v>Скачать индивидуальный QR-код магазина</v>
      </c>
    </row>
    <row r="4557" spans="1:7" x14ac:dyDescent="0.25">
      <c r="A4557" t="s">
        <v>13087</v>
      </c>
      <c r="B4557" t="s">
        <v>14886</v>
      </c>
      <c r="C4557" t="s">
        <v>14874</v>
      </c>
      <c r="D4557" t="s">
        <v>14875</v>
      </c>
      <c r="E4557" t="s">
        <v>14876</v>
      </c>
      <c r="F4557" t="s">
        <v>14887</v>
      </c>
      <c r="G4557" s="2" t="str">
        <f>HYPERLINK("https://probpalata.gov.ru/files/ЮЛ610401804600043.jpeg","Скачать индивидуальный QR-код магазина")</f>
        <v>Скачать индивидуальный QR-код магазина</v>
      </c>
    </row>
    <row r="4558" spans="1:7" x14ac:dyDescent="0.25">
      <c r="A4558" t="s">
        <v>13087</v>
      </c>
      <c r="B4558" t="s">
        <v>14888</v>
      </c>
      <c r="C4558" t="s">
        <v>14874</v>
      </c>
      <c r="D4558" t="s">
        <v>14875</v>
      </c>
      <c r="E4558" t="s">
        <v>14876</v>
      </c>
      <c r="F4558" t="s">
        <v>14889</v>
      </c>
      <c r="G4558" s="2" t="str">
        <f>HYPERLINK("https://probpalata.gov.ru/files/ЮЛ610401804600044.jpeg","Скачать индивидуальный QR-код магазина")</f>
        <v>Скачать индивидуальный QR-код магазина</v>
      </c>
    </row>
    <row r="4559" spans="1:7" x14ac:dyDescent="0.25">
      <c r="A4559" t="s">
        <v>13087</v>
      </c>
      <c r="B4559" t="s">
        <v>14890</v>
      </c>
      <c r="C4559" t="s">
        <v>14874</v>
      </c>
      <c r="D4559" t="s">
        <v>14875</v>
      </c>
      <c r="E4559" t="s">
        <v>14876</v>
      </c>
      <c r="F4559" t="s">
        <v>14891</v>
      </c>
      <c r="G4559" s="2" t="str">
        <f>HYPERLINK("https://probpalata.gov.ru/files/ЮЛ610401804600046.jpeg","Скачать индивидуальный QR-код магазина")</f>
        <v>Скачать индивидуальный QR-код магазина</v>
      </c>
    </row>
    <row r="4560" spans="1:7" x14ac:dyDescent="0.25">
      <c r="A4560" t="s">
        <v>13087</v>
      </c>
      <c r="B4560" t="s">
        <v>14892</v>
      </c>
      <c r="C4560" t="s">
        <v>14874</v>
      </c>
      <c r="D4560" t="s">
        <v>14875</v>
      </c>
      <c r="E4560" t="s">
        <v>14876</v>
      </c>
      <c r="F4560" t="s">
        <v>14893</v>
      </c>
      <c r="G4560" s="2" t="str">
        <f>HYPERLINK("https://probpalata.gov.ru/files/ЮЛ610401804600048.jpeg","Скачать индивидуальный QR-код магазина")</f>
        <v>Скачать индивидуальный QR-код магазина</v>
      </c>
    </row>
    <row r="4561" spans="1:7" x14ac:dyDescent="0.25">
      <c r="A4561" t="s">
        <v>13087</v>
      </c>
      <c r="B4561" t="s">
        <v>14894</v>
      </c>
      <c r="C4561" t="s">
        <v>14874</v>
      </c>
      <c r="D4561" t="s">
        <v>14875</v>
      </c>
      <c r="E4561" t="s">
        <v>14876</v>
      </c>
      <c r="F4561" t="s">
        <v>14895</v>
      </c>
      <c r="G4561" s="2" t="str">
        <f>HYPERLINK("https://probpalata.gov.ru/files/ЮЛ610401804600050.jpeg","Скачать индивидуальный QR-код магазина")</f>
        <v>Скачать индивидуальный QR-код магазина</v>
      </c>
    </row>
    <row r="4562" spans="1:7" x14ac:dyDescent="0.25">
      <c r="A4562" t="s">
        <v>13087</v>
      </c>
      <c r="B4562" t="s">
        <v>14896</v>
      </c>
      <c r="C4562" t="s">
        <v>14874</v>
      </c>
      <c r="D4562" t="s">
        <v>14875</v>
      </c>
      <c r="E4562" t="s">
        <v>14876</v>
      </c>
      <c r="F4562" t="s">
        <v>14897</v>
      </c>
      <c r="G4562" s="2" t="str">
        <f>HYPERLINK("https://probpalata.gov.ru/files/ЮЛ610401804600052.jpeg","Скачать индивидуальный QR-код магазина")</f>
        <v>Скачать индивидуальный QR-код магазина</v>
      </c>
    </row>
    <row r="4563" spans="1:7" x14ac:dyDescent="0.25">
      <c r="A4563" t="s">
        <v>13087</v>
      </c>
      <c r="B4563" t="s">
        <v>14898</v>
      </c>
      <c r="C4563" t="s">
        <v>14874</v>
      </c>
      <c r="D4563" t="s">
        <v>14875</v>
      </c>
      <c r="E4563" t="s">
        <v>14876</v>
      </c>
      <c r="F4563" t="s">
        <v>14899</v>
      </c>
      <c r="G4563" s="2" t="str">
        <f>HYPERLINK("https://probpalata.gov.ru/files/ЮЛ610401804600053.jpeg","Скачать индивидуальный QR-код магазина")</f>
        <v>Скачать индивидуальный QR-код магазина</v>
      </c>
    </row>
    <row r="4564" spans="1:7" x14ac:dyDescent="0.25">
      <c r="A4564" t="s">
        <v>13087</v>
      </c>
      <c r="B4564" t="s">
        <v>14900</v>
      </c>
      <c r="C4564" t="s">
        <v>14874</v>
      </c>
      <c r="D4564" t="s">
        <v>14875</v>
      </c>
      <c r="E4564" t="s">
        <v>14876</v>
      </c>
      <c r="F4564" t="s">
        <v>14901</v>
      </c>
      <c r="G4564" s="2" t="str">
        <f>HYPERLINK("https://probpalata.gov.ru/files/ЮЛ610401804600056.jpeg","Скачать индивидуальный QR-код магазина")</f>
        <v>Скачать индивидуальный QR-код магазина</v>
      </c>
    </row>
    <row r="4565" spans="1:7" x14ac:dyDescent="0.25">
      <c r="A4565" t="s">
        <v>13087</v>
      </c>
      <c r="B4565" t="s">
        <v>14902</v>
      </c>
      <c r="C4565" t="s">
        <v>14874</v>
      </c>
      <c r="D4565" t="s">
        <v>14875</v>
      </c>
      <c r="E4565" t="s">
        <v>14876</v>
      </c>
      <c r="F4565" t="s">
        <v>14903</v>
      </c>
      <c r="G4565" s="2" t="str">
        <f>HYPERLINK("https://probpalata.gov.ru/files/ЮЛ610401804600070.jpeg","Скачать индивидуальный QR-код магазина")</f>
        <v>Скачать индивидуальный QR-код магазина</v>
      </c>
    </row>
    <row r="4566" spans="1:7" x14ac:dyDescent="0.25">
      <c r="A4566" t="s">
        <v>13087</v>
      </c>
      <c r="B4566" t="s">
        <v>14904</v>
      </c>
      <c r="C4566" t="s">
        <v>14874</v>
      </c>
      <c r="D4566" t="s">
        <v>14875</v>
      </c>
      <c r="E4566" t="s">
        <v>14876</v>
      </c>
      <c r="F4566" t="s">
        <v>14905</v>
      </c>
      <c r="G4566" s="2" t="str">
        <f>HYPERLINK("https://probpalata.gov.ru/files/ЮЛ610401804600085.jpeg","Скачать индивидуальный QR-код магазина")</f>
        <v>Скачать индивидуальный QR-код магазина</v>
      </c>
    </row>
    <row r="4567" spans="1:7" x14ac:dyDescent="0.25">
      <c r="A4567" t="s">
        <v>13087</v>
      </c>
      <c r="B4567" t="s">
        <v>14906</v>
      </c>
      <c r="C4567" t="s">
        <v>14907</v>
      </c>
      <c r="D4567" t="s">
        <v>14908</v>
      </c>
      <c r="E4567" t="s">
        <v>14909</v>
      </c>
      <c r="F4567" t="s">
        <v>14910</v>
      </c>
      <c r="G4567" s="2" t="str">
        <f>HYPERLINK("https://probpalata.gov.ru/files/ЮЛ610400155100005.jpeg","Скачать индивидуальный QR-код магазина")</f>
        <v>Скачать индивидуальный QR-код магазина</v>
      </c>
    </row>
    <row r="4568" spans="1:7" x14ac:dyDescent="0.25">
      <c r="A4568" t="s">
        <v>13087</v>
      </c>
      <c r="B4568" t="s">
        <v>14911</v>
      </c>
      <c r="C4568" t="s">
        <v>14912</v>
      </c>
      <c r="D4568" t="s">
        <v>14913</v>
      </c>
      <c r="E4568" t="s">
        <v>14914</v>
      </c>
      <c r="F4568" t="s">
        <v>14915</v>
      </c>
      <c r="G4568" s="2" t="str">
        <f>HYPERLINK("https://probpalata.gov.ru/files/ИП610400962100002.jpeg","Скачать индивидуальный QR-код магазина")</f>
        <v>Скачать индивидуальный QR-код магазина</v>
      </c>
    </row>
    <row r="4569" spans="1:7" x14ac:dyDescent="0.25">
      <c r="A4569" t="s">
        <v>13087</v>
      </c>
      <c r="B4569" t="s">
        <v>14916</v>
      </c>
      <c r="C4569" t="s">
        <v>14912</v>
      </c>
      <c r="D4569" t="s">
        <v>14913</v>
      </c>
      <c r="E4569" t="s">
        <v>14914</v>
      </c>
      <c r="F4569" t="s">
        <v>14917</v>
      </c>
      <c r="G4569" s="2" t="str">
        <f>HYPERLINK("https://probpalata.gov.ru/files/ИП610400962100003.jpeg","Скачать индивидуальный QR-код магазина")</f>
        <v>Скачать индивидуальный QR-код магазина</v>
      </c>
    </row>
    <row r="4570" spans="1:7" x14ac:dyDescent="0.25">
      <c r="A4570" t="s">
        <v>13087</v>
      </c>
      <c r="B4570" t="s">
        <v>14918</v>
      </c>
      <c r="C4570" t="s">
        <v>14912</v>
      </c>
      <c r="D4570" t="s">
        <v>14913</v>
      </c>
      <c r="E4570" t="s">
        <v>14914</v>
      </c>
      <c r="F4570" t="s">
        <v>14919</v>
      </c>
      <c r="G4570" s="2" t="str">
        <f>HYPERLINK("https://probpalata.gov.ru/files/ИП610400962100004.jpeg","Скачать индивидуальный QR-код магазина")</f>
        <v>Скачать индивидуальный QR-код магазина</v>
      </c>
    </row>
    <row r="4571" spans="1:7" x14ac:dyDescent="0.25">
      <c r="A4571" t="s">
        <v>13087</v>
      </c>
      <c r="B4571" t="s">
        <v>14920</v>
      </c>
      <c r="C4571" t="s">
        <v>2197</v>
      </c>
      <c r="D4571" t="s">
        <v>2198</v>
      </c>
      <c r="E4571" t="s">
        <v>2199</v>
      </c>
      <c r="F4571" t="s">
        <v>14921</v>
      </c>
      <c r="G4571" s="2" t="str">
        <f>HYPERLINK("https://probpalata.gov.ru/files/ИП630601425400005.jpeg","Скачать индивидуальный QR-код магазина")</f>
        <v>Скачать индивидуальный QR-код магазина</v>
      </c>
    </row>
    <row r="4572" spans="1:7" x14ac:dyDescent="0.25">
      <c r="A4572" t="s">
        <v>13087</v>
      </c>
      <c r="B4572" t="s">
        <v>14922</v>
      </c>
      <c r="C4572" t="s">
        <v>2197</v>
      </c>
      <c r="D4572" t="s">
        <v>2198</v>
      </c>
      <c r="E4572" t="s">
        <v>2199</v>
      </c>
      <c r="F4572" t="s">
        <v>14923</v>
      </c>
      <c r="G4572" s="2" t="str">
        <f>HYPERLINK("https://probpalata.gov.ru/files/ИП630601425400027.jpeg","Скачать индивидуальный QR-код магазина")</f>
        <v>Скачать индивидуальный QR-код магазина</v>
      </c>
    </row>
    <row r="4573" spans="1:7" x14ac:dyDescent="0.25">
      <c r="A4573" t="s">
        <v>13087</v>
      </c>
      <c r="B4573" t="s">
        <v>14924</v>
      </c>
      <c r="C4573" t="s">
        <v>2197</v>
      </c>
      <c r="D4573" t="s">
        <v>2198</v>
      </c>
      <c r="E4573" t="s">
        <v>2199</v>
      </c>
      <c r="F4573" t="s">
        <v>14925</v>
      </c>
      <c r="G4573" s="2" t="str">
        <f>HYPERLINK("https://probpalata.gov.ru/files/ИП630601425400029.jpeg","Скачать индивидуальный QR-код магазина")</f>
        <v>Скачать индивидуальный QR-код магазина</v>
      </c>
    </row>
    <row r="4574" spans="1:7" x14ac:dyDescent="0.25">
      <c r="A4574" t="s">
        <v>13087</v>
      </c>
      <c r="B4574" t="s">
        <v>14365</v>
      </c>
      <c r="C4574" t="s">
        <v>2197</v>
      </c>
      <c r="D4574" t="s">
        <v>2198</v>
      </c>
      <c r="E4574" t="s">
        <v>2199</v>
      </c>
      <c r="F4574" t="s">
        <v>14926</v>
      </c>
      <c r="G4574" s="2" t="str">
        <f>HYPERLINK("https://probpalata.gov.ru/files/ИП630601425400032.jpeg","Скачать индивидуальный QR-код магазина")</f>
        <v>Скачать индивидуальный QR-код магазина</v>
      </c>
    </row>
    <row r="4575" spans="1:7" x14ac:dyDescent="0.25">
      <c r="A4575" t="s">
        <v>13087</v>
      </c>
      <c r="B4575" t="s">
        <v>13580</v>
      </c>
      <c r="C4575" t="s">
        <v>2197</v>
      </c>
      <c r="D4575" t="s">
        <v>2198</v>
      </c>
      <c r="E4575" t="s">
        <v>2199</v>
      </c>
      <c r="F4575" t="s">
        <v>14927</v>
      </c>
      <c r="G4575" s="2" t="str">
        <f>HYPERLINK("https://probpalata.gov.ru/files/ИП630601425400037.jpeg","Скачать индивидуальный QR-код магазина")</f>
        <v>Скачать индивидуальный QR-код магазина</v>
      </c>
    </row>
    <row r="4576" spans="1:7" x14ac:dyDescent="0.25">
      <c r="A4576" t="s">
        <v>13087</v>
      </c>
      <c r="B4576" t="s">
        <v>14928</v>
      </c>
      <c r="C4576" t="s">
        <v>14929</v>
      </c>
      <c r="D4576" t="s">
        <v>14930</v>
      </c>
      <c r="E4576" t="s">
        <v>14931</v>
      </c>
      <c r="F4576" t="s">
        <v>14932</v>
      </c>
      <c r="G4576" s="2" t="str">
        <f>HYPERLINK("https://probpalata.gov.ru/files/ИП660703134500001.jpeg","Скачать индивидуальный QR-код магазина")</f>
        <v>Скачать индивидуальный QR-код магазина</v>
      </c>
    </row>
    <row r="4577" spans="1:7" x14ac:dyDescent="0.25">
      <c r="A4577" t="s">
        <v>13087</v>
      </c>
      <c r="B4577" t="s">
        <v>14933</v>
      </c>
      <c r="C4577" t="s">
        <v>14929</v>
      </c>
      <c r="D4577" t="s">
        <v>14930</v>
      </c>
      <c r="E4577" t="s">
        <v>14931</v>
      </c>
      <c r="F4577" t="s">
        <v>14934</v>
      </c>
      <c r="G4577" s="2" t="str">
        <f>HYPERLINK("https://probpalata.gov.ru/files/ИП660703134500002.jpeg","Скачать индивидуальный QR-код магазина")</f>
        <v>Скачать индивидуальный QR-код магазина</v>
      </c>
    </row>
    <row r="4578" spans="1:7" x14ac:dyDescent="0.25">
      <c r="A4578" t="s">
        <v>13087</v>
      </c>
      <c r="B4578" t="s">
        <v>14935</v>
      </c>
      <c r="C4578" t="s">
        <v>7965</v>
      </c>
      <c r="D4578" t="s">
        <v>7966</v>
      </c>
      <c r="E4578" t="s">
        <v>7967</v>
      </c>
      <c r="F4578" t="s">
        <v>14936</v>
      </c>
      <c r="G4578" s="2" t="str">
        <f>HYPERLINK("https://probpalata.gov.ru/files/ЮЛ660700070800073.jpeg","Скачать индивидуальный QR-код магазина")</f>
        <v>Скачать индивидуальный QR-код магазина</v>
      </c>
    </row>
    <row r="4579" spans="1:7" x14ac:dyDescent="0.25">
      <c r="A4579" t="s">
        <v>13087</v>
      </c>
      <c r="B4579" t="s">
        <v>14937</v>
      </c>
      <c r="C4579" t="s">
        <v>7965</v>
      </c>
      <c r="D4579" t="s">
        <v>7966</v>
      </c>
      <c r="E4579" t="s">
        <v>7967</v>
      </c>
      <c r="F4579" t="s">
        <v>14938</v>
      </c>
      <c r="G4579" s="2" t="str">
        <f>HYPERLINK("https://probpalata.gov.ru/files/ЮЛ660700070800084.jpeg","Скачать индивидуальный QR-код магазина")</f>
        <v>Скачать индивидуальный QR-код магазина</v>
      </c>
    </row>
    <row r="4580" spans="1:7" x14ac:dyDescent="0.25">
      <c r="A4580" t="s">
        <v>13087</v>
      </c>
      <c r="B4580" t="s">
        <v>14939</v>
      </c>
      <c r="C4580" t="s">
        <v>7965</v>
      </c>
      <c r="D4580" t="s">
        <v>7966</v>
      </c>
      <c r="E4580" t="s">
        <v>7967</v>
      </c>
      <c r="F4580" t="s">
        <v>14940</v>
      </c>
      <c r="G4580" s="2" t="str">
        <f>HYPERLINK("https://probpalata.gov.ru/files/ЮЛ660700070800092.jpeg","Скачать индивидуальный QR-код магазина")</f>
        <v>Скачать индивидуальный QR-код магазина</v>
      </c>
    </row>
    <row r="4581" spans="1:7" x14ac:dyDescent="0.25">
      <c r="A4581" t="s">
        <v>13087</v>
      </c>
      <c r="B4581" t="s">
        <v>14941</v>
      </c>
      <c r="C4581" t="s">
        <v>7965</v>
      </c>
      <c r="D4581" t="s">
        <v>7966</v>
      </c>
      <c r="E4581" t="s">
        <v>7967</v>
      </c>
      <c r="F4581" t="s">
        <v>14942</v>
      </c>
      <c r="G4581" s="2" t="str">
        <f>HYPERLINK("https://probpalata.gov.ru/files/ЮЛ660700070800111.jpeg","Скачать индивидуальный QR-код магазина")</f>
        <v>Скачать индивидуальный QR-код магазина</v>
      </c>
    </row>
    <row r="4582" spans="1:7" x14ac:dyDescent="0.25">
      <c r="A4582" t="s">
        <v>13087</v>
      </c>
      <c r="B4582" t="s">
        <v>14943</v>
      </c>
      <c r="C4582" t="s">
        <v>7965</v>
      </c>
      <c r="D4582" t="s">
        <v>7966</v>
      </c>
      <c r="E4582" t="s">
        <v>7967</v>
      </c>
      <c r="F4582" t="s">
        <v>14944</v>
      </c>
      <c r="G4582" s="2" t="str">
        <f>HYPERLINK("https://probpalata.gov.ru/files/ЮЛ660700070800127.jpeg","Скачать индивидуальный QR-код магазина")</f>
        <v>Скачать индивидуальный QR-код магазина</v>
      </c>
    </row>
    <row r="4583" spans="1:7" x14ac:dyDescent="0.25">
      <c r="A4583" t="s">
        <v>13087</v>
      </c>
      <c r="B4583" t="s">
        <v>14945</v>
      </c>
      <c r="C4583" t="s">
        <v>7965</v>
      </c>
      <c r="D4583" t="s">
        <v>7966</v>
      </c>
      <c r="E4583" t="s">
        <v>7967</v>
      </c>
      <c r="F4583" t="s">
        <v>14946</v>
      </c>
      <c r="G4583" s="2" t="str">
        <f>HYPERLINK("https://probpalata.gov.ru/files/ЮЛ660700070800136.jpeg","Скачать индивидуальный QR-код магазина")</f>
        <v>Скачать индивидуальный QR-код магазина</v>
      </c>
    </row>
    <row r="4584" spans="1:7" x14ac:dyDescent="0.25">
      <c r="A4584" t="s">
        <v>13087</v>
      </c>
      <c r="B4584" t="s">
        <v>14892</v>
      </c>
      <c r="C4584" t="s">
        <v>7965</v>
      </c>
      <c r="D4584" t="s">
        <v>7966</v>
      </c>
      <c r="E4584" t="s">
        <v>7967</v>
      </c>
      <c r="F4584" t="s">
        <v>14947</v>
      </c>
      <c r="G4584" s="2" t="str">
        <f>HYPERLINK("https://probpalata.gov.ru/files/ЮЛ660700070800161.jpeg","Скачать индивидуальный QR-код магазина")</f>
        <v>Скачать индивидуальный QR-код магазина</v>
      </c>
    </row>
    <row r="4585" spans="1:7" x14ac:dyDescent="0.25">
      <c r="A4585" t="s">
        <v>13087</v>
      </c>
      <c r="B4585" t="s">
        <v>14948</v>
      </c>
      <c r="C4585" t="s">
        <v>7965</v>
      </c>
      <c r="D4585" t="s">
        <v>7966</v>
      </c>
      <c r="E4585" t="s">
        <v>7967</v>
      </c>
      <c r="F4585" t="s">
        <v>14949</v>
      </c>
      <c r="G4585" s="2" t="str">
        <f>HYPERLINK("https://probpalata.gov.ru/files/ЮЛ660700070800180.jpeg","Скачать индивидуальный QR-код магазина")</f>
        <v>Скачать индивидуальный QR-код магазина</v>
      </c>
    </row>
    <row r="4586" spans="1:7" x14ac:dyDescent="0.25">
      <c r="A4586" t="s">
        <v>13087</v>
      </c>
      <c r="B4586" t="s">
        <v>14950</v>
      </c>
      <c r="C4586" t="s">
        <v>7965</v>
      </c>
      <c r="D4586" t="s">
        <v>7966</v>
      </c>
      <c r="E4586" t="s">
        <v>7967</v>
      </c>
      <c r="F4586" t="s">
        <v>14951</v>
      </c>
      <c r="G4586" s="2" t="str">
        <f>HYPERLINK("https://probpalata.gov.ru/files/ЮЛ660700070800195.jpeg","Скачать индивидуальный QR-код магазина")</f>
        <v>Скачать индивидуальный QR-код магазина</v>
      </c>
    </row>
    <row r="4587" spans="1:7" x14ac:dyDescent="0.25">
      <c r="A4587" t="s">
        <v>13087</v>
      </c>
      <c r="B4587" t="s">
        <v>14952</v>
      </c>
      <c r="C4587" t="s">
        <v>7965</v>
      </c>
      <c r="D4587" t="s">
        <v>7966</v>
      </c>
      <c r="E4587" t="s">
        <v>7967</v>
      </c>
      <c r="F4587" t="s">
        <v>14953</v>
      </c>
      <c r="G4587" s="2" t="str">
        <f>HYPERLINK("https://probpalata.gov.ru/files/ЮЛ660700070800196.jpeg","Скачать индивидуальный QR-код магазина")</f>
        <v>Скачать индивидуальный QR-код магазина</v>
      </c>
    </row>
    <row r="4588" spans="1:7" x14ac:dyDescent="0.25">
      <c r="A4588" t="s">
        <v>13087</v>
      </c>
      <c r="B4588" t="s">
        <v>14954</v>
      </c>
      <c r="C4588" t="s">
        <v>7965</v>
      </c>
      <c r="D4588" t="s">
        <v>7966</v>
      </c>
      <c r="E4588" t="s">
        <v>7967</v>
      </c>
      <c r="F4588" t="s">
        <v>14955</v>
      </c>
      <c r="G4588" s="2" t="str">
        <f>HYPERLINK("https://probpalata.gov.ru/files/ЮЛ660700070800197.jpeg","Скачать индивидуальный QR-код магазина")</f>
        <v>Скачать индивидуальный QR-код магазина</v>
      </c>
    </row>
    <row r="4589" spans="1:7" x14ac:dyDescent="0.25">
      <c r="A4589" t="s">
        <v>13087</v>
      </c>
      <c r="B4589" t="s">
        <v>14956</v>
      </c>
      <c r="C4589" t="s">
        <v>7965</v>
      </c>
      <c r="D4589" t="s">
        <v>7966</v>
      </c>
      <c r="E4589" t="s">
        <v>7967</v>
      </c>
      <c r="F4589" t="s">
        <v>14957</v>
      </c>
      <c r="G4589" s="2" t="str">
        <f>HYPERLINK("https://probpalata.gov.ru/files/ЮЛ660700070800199.jpeg","Скачать индивидуальный QR-код магазина")</f>
        <v>Скачать индивидуальный QR-код магазина</v>
      </c>
    </row>
    <row r="4590" spans="1:7" x14ac:dyDescent="0.25">
      <c r="A4590" t="s">
        <v>13087</v>
      </c>
      <c r="B4590" t="s">
        <v>14958</v>
      </c>
      <c r="C4590" t="s">
        <v>7965</v>
      </c>
      <c r="D4590" t="s">
        <v>7966</v>
      </c>
      <c r="E4590" t="s">
        <v>7967</v>
      </c>
      <c r="F4590" t="s">
        <v>14959</v>
      </c>
      <c r="G4590" s="2" t="str">
        <f>HYPERLINK("https://probpalata.gov.ru/files/ЮЛ660700070800200.jpeg","Скачать индивидуальный QR-код магазина")</f>
        <v>Скачать индивидуальный QR-код магазина</v>
      </c>
    </row>
    <row r="4591" spans="1:7" x14ac:dyDescent="0.25">
      <c r="A4591" t="s">
        <v>13087</v>
      </c>
      <c r="B4591" t="s">
        <v>14960</v>
      </c>
      <c r="C4591" t="s">
        <v>7965</v>
      </c>
      <c r="D4591" t="s">
        <v>7966</v>
      </c>
      <c r="E4591" t="s">
        <v>7967</v>
      </c>
      <c r="F4591" t="s">
        <v>14961</v>
      </c>
      <c r="G4591" s="2" t="str">
        <f>HYPERLINK("https://probpalata.gov.ru/files/ЮЛ660700070800203.jpeg","Скачать индивидуальный QR-код магазина")</f>
        <v>Скачать индивидуальный QR-код магазина</v>
      </c>
    </row>
    <row r="4592" spans="1:7" x14ac:dyDescent="0.25">
      <c r="A4592" t="s">
        <v>13087</v>
      </c>
      <c r="B4592" t="s">
        <v>14962</v>
      </c>
      <c r="C4592" t="s">
        <v>7965</v>
      </c>
      <c r="D4592" t="s">
        <v>7966</v>
      </c>
      <c r="E4592" t="s">
        <v>7967</v>
      </c>
      <c r="F4592" t="s">
        <v>14963</v>
      </c>
      <c r="G4592" s="2" t="str">
        <f>HYPERLINK("https://probpalata.gov.ru/files/ЮЛ660700070800215.jpeg","Скачать индивидуальный QR-код магазина")</f>
        <v>Скачать индивидуальный QR-код магазина</v>
      </c>
    </row>
    <row r="4593" spans="1:7" x14ac:dyDescent="0.25">
      <c r="A4593" t="s">
        <v>13087</v>
      </c>
      <c r="B4593" t="s">
        <v>14964</v>
      </c>
      <c r="C4593" t="s">
        <v>7965</v>
      </c>
      <c r="D4593" t="s">
        <v>7966</v>
      </c>
      <c r="E4593" t="s">
        <v>7967</v>
      </c>
      <c r="F4593" t="s">
        <v>14965</v>
      </c>
      <c r="G4593" s="2" t="str">
        <f>HYPERLINK("https://probpalata.gov.ru/files/ЮЛ660700070800228.jpeg","Скачать индивидуальный QR-код магазина")</f>
        <v>Скачать индивидуальный QR-код магазина</v>
      </c>
    </row>
    <row r="4594" spans="1:7" x14ac:dyDescent="0.25">
      <c r="A4594" t="s">
        <v>13087</v>
      </c>
      <c r="B4594" t="s">
        <v>14966</v>
      </c>
      <c r="C4594" t="s">
        <v>14967</v>
      </c>
      <c r="D4594" t="s">
        <v>14968</v>
      </c>
      <c r="E4594" t="s">
        <v>14969</v>
      </c>
      <c r="F4594" t="s">
        <v>14970</v>
      </c>
      <c r="G4594" s="2" t="str">
        <f>HYPERLINK("https://probpalata.gov.ru/files/ЮЛ660701304200007.jpeg","Скачать индивидуальный QR-код магазина")</f>
        <v>Скачать индивидуальный QR-код магазина</v>
      </c>
    </row>
    <row r="4595" spans="1:7" x14ac:dyDescent="0.25">
      <c r="A4595" t="s">
        <v>13087</v>
      </c>
      <c r="B4595" t="s">
        <v>14971</v>
      </c>
      <c r="C4595" t="s">
        <v>14972</v>
      </c>
      <c r="D4595" t="s">
        <v>14973</v>
      </c>
      <c r="E4595" t="s">
        <v>14974</v>
      </c>
      <c r="F4595" t="s">
        <v>14975</v>
      </c>
      <c r="G4595" s="2" t="str">
        <f>HYPERLINK("https://probpalata.gov.ru/files/ЮЛ690100657400006.jpeg","Скачать индивидуальный QR-код магазина")</f>
        <v>Скачать индивидуальный QR-код магазина</v>
      </c>
    </row>
    <row r="4596" spans="1:7" x14ac:dyDescent="0.25">
      <c r="A4596" t="s">
        <v>13087</v>
      </c>
      <c r="B4596" t="s">
        <v>14976</v>
      </c>
      <c r="C4596" t="s">
        <v>14977</v>
      </c>
      <c r="D4596" t="s">
        <v>14978</v>
      </c>
      <c r="E4596" t="s">
        <v>14979</v>
      </c>
      <c r="F4596" t="s">
        <v>14980</v>
      </c>
      <c r="G4596" s="2" t="str">
        <f>HYPERLINK("https://probpalata.gov.ru/files/ИП230404063400000.jpeg","Скачать индивидуальный QR-код магазина")</f>
        <v>Скачать индивидуальный QR-код магазина</v>
      </c>
    </row>
    <row r="4597" spans="1:7" x14ac:dyDescent="0.25">
      <c r="A4597" t="s">
        <v>13087</v>
      </c>
      <c r="B4597" t="s">
        <v>14981</v>
      </c>
      <c r="C4597" t="s">
        <v>14982</v>
      </c>
      <c r="D4597" t="s">
        <v>14983</v>
      </c>
      <c r="E4597" t="s">
        <v>14984</v>
      </c>
      <c r="F4597" t="s">
        <v>14985</v>
      </c>
      <c r="G4597" s="2" t="str">
        <f>HYPERLINK("https://probpalata.gov.ru/files/ИП010404018500000.jpeg","Скачать индивидуальный QR-код магазина")</f>
        <v>Скачать индивидуальный QR-код магазина</v>
      </c>
    </row>
    <row r="4598" spans="1:7" x14ac:dyDescent="0.25">
      <c r="A4598" t="s">
        <v>13087</v>
      </c>
      <c r="B4598" t="s">
        <v>14986</v>
      </c>
      <c r="C4598" t="s">
        <v>1745</v>
      </c>
      <c r="D4598" t="s">
        <v>1746</v>
      </c>
      <c r="E4598" t="s">
        <v>1747</v>
      </c>
      <c r="F4598" t="s">
        <v>14987</v>
      </c>
      <c r="G4598" s="2" t="str">
        <f>HYPERLINK("https://probpalata.gov.ru/files/ЮЛ770100201500514.jpeg","Скачать индивидуальный QR-код магазина")</f>
        <v>Скачать индивидуальный QR-код магазина</v>
      </c>
    </row>
    <row r="4599" spans="1:7" x14ac:dyDescent="0.25">
      <c r="A4599" t="s">
        <v>13087</v>
      </c>
      <c r="B4599" t="s">
        <v>14988</v>
      </c>
      <c r="C4599" t="s">
        <v>1745</v>
      </c>
      <c r="D4599" t="s">
        <v>1746</v>
      </c>
      <c r="E4599" t="s">
        <v>1747</v>
      </c>
      <c r="F4599" t="s">
        <v>14989</v>
      </c>
      <c r="G4599" s="2" t="str">
        <f>HYPERLINK("https://probpalata.gov.ru/files/ЮЛ770100201500547.jpeg","Скачать индивидуальный QR-код магазина")</f>
        <v>Скачать индивидуальный QR-код магазина</v>
      </c>
    </row>
    <row r="4600" spans="1:7" x14ac:dyDescent="0.25">
      <c r="A4600" t="s">
        <v>13087</v>
      </c>
      <c r="B4600" t="s">
        <v>14990</v>
      </c>
      <c r="C4600" t="s">
        <v>1745</v>
      </c>
      <c r="D4600" t="s">
        <v>1746</v>
      </c>
      <c r="E4600" t="s">
        <v>1747</v>
      </c>
      <c r="F4600" t="s">
        <v>14991</v>
      </c>
      <c r="G4600" s="2" t="str">
        <f>HYPERLINK("https://probpalata.gov.ru/files/ЮЛ770100201500584.jpeg","Скачать индивидуальный QR-код магазина")</f>
        <v>Скачать индивидуальный QR-код магазина</v>
      </c>
    </row>
    <row r="4601" spans="1:7" x14ac:dyDescent="0.25">
      <c r="A4601" t="s">
        <v>13087</v>
      </c>
      <c r="B4601" t="s">
        <v>14992</v>
      </c>
      <c r="C4601" t="s">
        <v>14993</v>
      </c>
      <c r="D4601" t="s">
        <v>14994</v>
      </c>
      <c r="E4601" t="s">
        <v>14995</v>
      </c>
      <c r="F4601" t="s">
        <v>14996</v>
      </c>
      <c r="G4601" s="2" t="str">
        <f>HYPERLINK("https://probpalata.gov.ru/files/ЮЛ770100278900007.jpeg","Скачать индивидуальный QR-код магазина")</f>
        <v>Скачать индивидуальный QR-код магазина</v>
      </c>
    </row>
    <row r="4602" spans="1:7" x14ac:dyDescent="0.25">
      <c r="A4602" t="s">
        <v>13087</v>
      </c>
      <c r="B4602" t="s">
        <v>14997</v>
      </c>
      <c r="C4602" t="s">
        <v>14998</v>
      </c>
      <c r="D4602" t="s">
        <v>14999</v>
      </c>
      <c r="E4602" t="s">
        <v>15000</v>
      </c>
      <c r="F4602" t="s">
        <v>15001</v>
      </c>
      <c r="G4602" s="2" t="str">
        <f>HYPERLINK("https://probpalata.gov.ru/files/ЮЛ770100623000002.jpeg","Скачать индивидуальный QR-код магазина")</f>
        <v>Скачать индивидуальный QR-код магазина</v>
      </c>
    </row>
    <row r="4603" spans="1:7" x14ac:dyDescent="0.25">
      <c r="A4603" t="s">
        <v>13087</v>
      </c>
      <c r="B4603" t="s">
        <v>15002</v>
      </c>
      <c r="C4603" t="s">
        <v>15003</v>
      </c>
      <c r="D4603" t="s">
        <v>15004</v>
      </c>
      <c r="E4603" t="s">
        <v>15005</v>
      </c>
      <c r="F4603" t="s">
        <v>15006</v>
      </c>
      <c r="G4603" s="2" t="str">
        <f>HYPERLINK("https://probpalata.gov.ru/files/ЮЛ770100264000024.jpeg","Скачать индивидуальный QR-код магазина")</f>
        <v>Скачать индивидуальный QR-код магазина</v>
      </c>
    </row>
    <row r="4604" spans="1:7" x14ac:dyDescent="0.25">
      <c r="A4604" t="s">
        <v>13087</v>
      </c>
      <c r="B4604" t="s">
        <v>15007</v>
      </c>
      <c r="C4604" t="s">
        <v>15003</v>
      </c>
      <c r="D4604" t="s">
        <v>15004</v>
      </c>
      <c r="E4604" t="s">
        <v>15005</v>
      </c>
      <c r="F4604" t="s">
        <v>15008</v>
      </c>
      <c r="G4604" s="2" t="str">
        <f>HYPERLINK("https://probpalata.gov.ru/files/ЮЛ770100264000026.jpeg","Скачать индивидуальный QR-код магазина")</f>
        <v>Скачать индивидуальный QR-код магазина</v>
      </c>
    </row>
    <row r="4605" spans="1:7" x14ac:dyDescent="0.25">
      <c r="A4605" t="s">
        <v>13087</v>
      </c>
      <c r="B4605" t="s">
        <v>15009</v>
      </c>
      <c r="C4605" t="s">
        <v>15003</v>
      </c>
      <c r="D4605" t="s">
        <v>15004</v>
      </c>
      <c r="E4605" t="s">
        <v>15005</v>
      </c>
      <c r="F4605" t="s">
        <v>15010</v>
      </c>
      <c r="G4605" s="2" t="str">
        <f>HYPERLINK("https://probpalata.gov.ru/files/ЮЛ770100264000027.jpeg","Скачать индивидуальный QR-код магазина")</f>
        <v>Скачать индивидуальный QR-код магазина</v>
      </c>
    </row>
    <row r="4606" spans="1:7" x14ac:dyDescent="0.25">
      <c r="A4606" t="s">
        <v>13087</v>
      </c>
      <c r="B4606" t="s">
        <v>15011</v>
      </c>
      <c r="C4606" t="s">
        <v>15012</v>
      </c>
      <c r="D4606" t="s">
        <v>15013</v>
      </c>
      <c r="E4606" t="s">
        <v>15014</v>
      </c>
      <c r="F4606" t="s">
        <v>15015</v>
      </c>
      <c r="G4606" s="2" t="str">
        <f>HYPERLINK("https://probpalata.gov.ru/files/ЮЛ770100301000003.jpeg","Скачать индивидуальный QR-код магазина")</f>
        <v>Скачать индивидуальный QR-код магазина</v>
      </c>
    </row>
    <row r="4607" spans="1:7" x14ac:dyDescent="0.25">
      <c r="A4607" t="s">
        <v>13087</v>
      </c>
      <c r="B4607" t="s">
        <v>15016</v>
      </c>
      <c r="C4607" t="s">
        <v>15017</v>
      </c>
      <c r="D4607" t="s">
        <v>15018</v>
      </c>
      <c r="E4607" t="s">
        <v>15019</v>
      </c>
      <c r="F4607" t="s">
        <v>15020</v>
      </c>
      <c r="G4607" s="2" t="str">
        <f>HYPERLINK("https://probpalata.gov.ru/files/ЮЛ770101500300001.jpeg","Скачать индивидуальный QR-код магазина")</f>
        <v>Скачать индивидуальный QR-код магазина</v>
      </c>
    </row>
    <row r="4608" spans="1:7" x14ac:dyDescent="0.25">
      <c r="A4608" t="s">
        <v>13087</v>
      </c>
      <c r="B4608" t="s">
        <v>15021</v>
      </c>
      <c r="C4608" t="s">
        <v>15017</v>
      </c>
      <c r="D4608" t="s">
        <v>15018</v>
      </c>
      <c r="E4608" t="s">
        <v>15019</v>
      </c>
      <c r="F4608" t="s">
        <v>15022</v>
      </c>
      <c r="G4608" s="2" t="str">
        <f>HYPERLINK("https://probpalata.gov.ru/files/ЮЛ770101500300010.jpeg","Скачать индивидуальный QR-код магазина")</f>
        <v>Скачать индивидуальный QR-код магазина</v>
      </c>
    </row>
    <row r="4609" spans="1:7" x14ac:dyDescent="0.25">
      <c r="A4609" t="s">
        <v>13087</v>
      </c>
      <c r="B4609" t="s">
        <v>15023</v>
      </c>
      <c r="C4609" t="s">
        <v>15024</v>
      </c>
      <c r="D4609" t="s">
        <v>15025</v>
      </c>
      <c r="E4609" t="s">
        <v>15026</v>
      </c>
      <c r="F4609" t="s">
        <v>15027</v>
      </c>
      <c r="G4609" s="2" t="str">
        <f>HYPERLINK("https://probpalata.gov.ru/files/ЮЛ770100794500004.jpeg","Скачать индивидуальный QR-код магазина")</f>
        <v>Скачать индивидуальный QR-код магазина</v>
      </c>
    </row>
    <row r="4610" spans="1:7" x14ac:dyDescent="0.25">
      <c r="A4610" t="s">
        <v>13087</v>
      </c>
      <c r="B4610" t="s">
        <v>15028</v>
      </c>
      <c r="C4610" t="s">
        <v>15024</v>
      </c>
      <c r="D4610" t="s">
        <v>15025</v>
      </c>
      <c r="E4610" t="s">
        <v>15026</v>
      </c>
      <c r="F4610" t="s">
        <v>15029</v>
      </c>
      <c r="G4610" s="2" t="str">
        <f>HYPERLINK("https://probpalata.gov.ru/files/ЮЛ770100794500005.jpeg","Скачать индивидуальный QR-код магазина")</f>
        <v>Скачать индивидуальный QR-код магазина</v>
      </c>
    </row>
    <row r="4611" spans="1:7" x14ac:dyDescent="0.25">
      <c r="A4611" t="s">
        <v>13087</v>
      </c>
      <c r="B4611" t="s">
        <v>15030</v>
      </c>
      <c r="C4611" t="s">
        <v>15024</v>
      </c>
      <c r="D4611" t="s">
        <v>15025</v>
      </c>
      <c r="E4611" t="s">
        <v>15026</v>
      </c>
      <c r="F4611" t="s">
        <v>15031</v>
      </c>
      <c r="G4611" s="2" t="str">
        <f>HYPERLINK("https://probpalata.gov.ru/files/ЮЛ770100794500007.jpeg","Скачать индивидуальный QR-код магазина")</f>
        <v>Скачать индивидуальный QR-код магазина</v>
      </c>
    </row>
    <row r="4612" spans="1:7" x14ac:dyDescent="0.25">
      <c r="A4612" t="s">
        <v>13087</v>
      </c>
      <c r="B4612" t="s">
        <v>15032</v>
      </c>
      <c r="C4612" t="s">
        <v>15033</v>
      </c>
      <c r="D4612" t="s">
        <v>15034</v>
      </c>
      <c r="E4612" t="s">
        <v>15035</v>
      </c>
      <c r="F4612" t="s">
        <v>15036</v>
      </c>
      <c r="G4612" s="2" t="str">
        <f>HYPERLINK("https://probpalata.gov.ru/files/ЮЛ770103323800002.jpeg","Скачать индивидуальный QR-код магазина")</f>
        <v>Скачать индивидуальный QR-код магазина</v>
      </c>
    </row>
    <row r="4613" spans="1:7" x14ac:dyDescent="0.25">
      <c r="A4613" t="s">
        <v>13087</v>
      </c>
      <c r="B4613" t="s">
        <v>15037</v>
      </c>
      <c r="C4613" t="s">
        <v>15033</v>
      </c>
      <c r="D4613" t="s">
        <v>15034</v>
      </c>
      <c r="E4613" t="s">
        <v>15035</v>
      </c>
      <c r="F4613" t="s">
        <v>15038</v>
      </c>
      <c r="G4613" s="2" t="str">
        <f>HYPERLINK("https://probpalata.gov.ru/files/ЮЛ770103323800003.jpeg","Скачать индивидуальный QR-код магазина")</f>
        <v>Скачать индивидуальный QR-код магазина</v>
      </c>
    </row>
    <row r="4614" spans="1:7" x14ac:dyDescent="0.25">
      <c r="A4614" t="s">
        <v>13087</v>
      </c>
      <c r="B4614" t="s">
        <v>15039</v>
      </c>
      <c r="C4614" t="s">
        <v>3157</v>
      </c>
      <c r="D4614" t="s">
        <v>3158</v>
      </c>
      <c r="E4614" t="s">
        <v>3159</v>
      </c>
      <c r="F4614" t="s">
        <v>15040</v>
      </c>
      <c r="G4614" s="2" t="str">
        <f>HYPERLINK("https://probpalata.gov.ru/files/ИП770100417900002.jpeg","Скачать индивидуальный QR-код магазина")</f>
        <v>Скачать индивидуальный QR-код магазина</v>
      </c>
    </row>
    <row r="4615" spans="1:7" x14ac:dyDescent="0.25">
      <c r="A4615" t="s">
        <v>13087</v>
      </c>
      <c r="B4615" t="s">
        <v>15041</v>
      </c>
      <c r="C4615" t="s">
        <v>3157</v>
      </c>
      <c r="D4615" t="s">
        <v>3158</v>
      </c>
      <c r="E4615" t="s">
        <v>3159</v>
      </c>
      <c r="F4615" t="s">
        <v>15042</v>
      </c>
      <c r="G4615" s="2" t="str">
        <f>HYPERLINK("https://probpalata.gov.ru/files/ИП770100417900003.jpeg","Скачать индивидуальный QR-код магазина")</f>
        <v>Скачать индивидуальный QR-код магазина</v>
      </c>
    </row>
    <row r="4616" spans="1:7" x14ac:dyDescent="0.25">
      <c r="A4616" t="s">
        <v>13087</v>
      </c>
      <c r="B4616" t="s">
        <v>15043</v>
      </c>
      <c r="C4616" t="s">
        <v>713</v>
      </c>
      <c r="D4616" t="s">
        <v>714</v>
      </c>
      <c r="E4616" t="s">
        <v>715</v>
      </c>
      <c r="F4616" t="s">
        <v>15044</v>
      </c>
      <c r="G4616" s="2" t="str">
        <f>HYPERLINK("https://probpalata.gov.ru/files/ЮЛ770101216600095.jpeg","Скачать индивидуальный QR-код магазина")</f>
        <v>Скачать индивидуальный QR-код магазина</v>
      </c>
    </row>
    <row r="4617" spans="1:7" x14ac:dyDescent="0.25">
      <c r="A4617" t="s">
        <v>13087</v>
      </c>
      <c r="B4617" t="s">
        <v>15045</v>
      </c>
      <c r="C4617" t="s">
        <v>713</v>
      </c>
      <c r="D4617" t="s">
        <v>714</v>
      </c>
      <c r="E4617" t="s">
        <v>715</v>
      </c>
      <c r="F4617" t="s">
        <v>15046</v>
      </c>
      <c r="G4617" s="2" t="str">
        <f>HYPERLINK("https://probpalata.gov.ru/files/ЮЛ770101216600106.jpeg","Скачать индивидуальный QR-код магазина")</f>
        <v>Скачать индивидуальный QR-код магазина</v>
      </c>
    </row>
    <row r="4618" spans="1:7" x14ac:dyDescent="0.25">
      <c r="A4618" t="s">
        <v>13087</v>
      </c>
      <c r="B4618" t="s">
        <v>15047</v>
      </c>
      <c r="C4618" t="s">
        <v>713</v>
      </c>
      <c r="D4618" t="s">
        <v>714</v>
      </c>
      <c r="E4618" t="s">
        <v>715</v>
      </c>
      <c r="F4618" t="s">
        <v>15048</v>
      </c>
      <c r="G4618" s="2" t="str">
        <f>HYPERLINK("https://probpalata.gov.ru/files/ЮЛ770101216600163.jpeg","Скачать индивидуальный QR-код магазина")</f>
        <v>Скачать индивидуальный QR-код магазина</v>
      </c>
    </row>
    <row r="4619" spans="1:7" x14ac:dyDescent="0.25">
      <c r="A4619" t="s">
        <v>13087</v>
      </c>
      <c r="B4619" t="s">
        <v>15049</v>
      </c>
      <c r="C4619" t="s">
        <v>713</v>
      </c>
      <c r="D4619" t="s">
        <v>714</v>
      </c>
      <c r="E4619" t="s">
        <v>715</v>
      </c>
      <c r="F4619" t="s">
        <v>15050</v>
      </c>
      <c r="G4619" s="2" t="str">
        <f>HYPERLINK("https://probpalata.gov.ru/files/ЮЛ770101216600201.jpeg","Скачать индивидуальный QR-код магазина")</f>
        <v>Скачать индивидуальный QR-код магазина</v>
      </c>
    </row>
    <row r="4620" spans="1:7" x14ac:dyDescent="0.25">
      <c r="A4620" t="s">
        <v>13087</v>
      </c>
      <c r="B4620" t="s">
        <v>15051</v>
      </c>
      <c r="C4620" t="s">
        <v>713</v>
      </c>
      <c r="D4620" t="s">
        <v>714</v>
      </c>
      <c r="E4620" t="s">
        <v>715</v>
      </c>
      <c r="F4620" t="s">
        <v>15052</v>
      </c>
      <c r="G4620" s="2" t="str">
        <f>HYPERLINK("https://probpalata.gov.ru/files/ЮЛ770101216600227.jpeg","Скачать индивидуальный QR-код магазина")</f>
        <v>Скачать индивидуальный QR-код магазина</v>
      </c>
    </row>
    <row r="4621" spans="1:7" x14ac:dyDescent="0.25">
      <c r="A4621" t="s">
        <v>13087</v>
      </c>
      <c r="B4621" t="s">
        <v>15053</v>
      </c>
      <c r="C4621" t="s">
        <v>713</v>
      </c>
      <c r="D4621" t="s">
        <v>714</v>
      </c>
      <c r="E4621" t="s">
        <v>715</v>
      </c>
      <c r="F4621" t="s">
        <v>15054</v>
      </c>
      <c r="G4621" s="2" t="str">
        <f>HYPERLINK("https://probpalata.gov.ru/files/ЮЛ770101216600344.jpeg","Скачать индивидуальный QR-код магазина")</f>
        <v>Скачать индивидуальный QR-код магазина</v>
      </c>
    </row>
    <row r="4622" spans="1:7" x14ac:dyDescent="0.25">
      <c r="A4622" t="s">
        <v>13087</v>
      </c>
      <c r="B4622" t="s">
        <v>15055</v>
      </c>
      <c r="C4622" t="s">
        <v>713</v>
      </c>
      <c r="D4622" t="s">
        <v>714</v>
      </c>
      <c r="E4622" t="s">
        <v>715</v>
      </c>
      <c r="F4622" t="s">
        <v>15056</v>
      </c>
      <c r="G4622" s="2" t="str">
        <f>HYPERLINK("https://probpalata.gov.ru/files/ЮЛ770101216600390.jpeg","Скачать индивидуальный QR-код магазина")</f>
        <v>Скачать индивидуальный QR-код магазина</v>
      </c>
    </row>
    <row r="4623" spans="1:7" x14ac:dyDescent="0.25">
      <c r="A4623" t="s">
        <v>13087</v>
      </c>
      <c r="B4623" t="s">
        <v>15057</v>
      </c>
      <c r="C4623" t="s">
        <v>713</v>
      </c>
      <c r="D4623" t="s">
        <v>714</v>
      </c>
      <c r="E4623" t="s">
        <v>715</v>
      </c>
      <c r="F4623" t="s">
        <v>15058</v>
      </c>
      <c r="G4623" s="2" t="str">
        <f>HYPERLINK("https://probpalata.gov.ru/files/ЮЛ770101216600403.jpeg","Скачать индивидуальный QR-код магазина")</f>
        <v>Скачать индивидуальный QR-код магазина</v>
      </c>
    </row>
    <row r="4624" spans="1:7" x14ac:dyDescent="0.25">
      <c r="A4624" t="s">
        <v>13087</v>
      </c>
      <c r="B4624" t="s">
        <v>15059</v>
      </c>
      <c r="C4624" t="s">
        <v>713</v>
      </c>
      <c r="D4624" t="s">
        <v>714</v>
      </c>
      <c r="E4624" t="s">
        <v>715</v>
      </c>
      <c r="F4624" t="s">
        <v>15060</v>
      </c>
      <c r="G4624" s="2" t="str">
        <f>HYPERLINK("https://probpalata.gov.ru/files/ЮЛ770101216600471.jpeg","Скачать индивидуальный QR-код магазина")</f>
        <v>Скачать индивидуальный QR-код магазина</v>
      </c>
    </row>
    <row r="4625" spans="1:7" x14ac:dyDescent="0.25">
      <c r="A4625" t="s">
        <v>13087</v>
      </c>
      <c r="B4625" t="s">
        <v>15061</v>
      </c>
      <c r="C4625" t="s">
        <v>713</v>
      </c>
      <c r="D4625" t="s">
        <v>714</v>
      </c>
      <c r="E4625" t="s">
        <v>715</v>
      </c>
      <c r="F4625" t="s">
        <v>15062</v>
      </c>
      <c r="G4625" s="2" t="str">
        <f>HYPERLINK("https://probpalata.gov.ru/files/ЮЛ770101216600479.jpeg","Скачать индивидуальный QR-код магазина")</f>
        <v>Скачать индивидуальный QR-код магазина</v>
      </c>
    </row>
    <row r="4626" spans="1:7" x14ac:dyDescent="0.25">
      <c r="A4626" t="s">
        <v>13087</v>
      </c>
      <c r="B4626" t="s">
        <v>15063</v>
      </c>
      <c r="C4626" t="s">
        <v>713</v>
      </c>
      <c r="D4626" t="s">
        <v>714</v>
      </c>
      <c r="E4626" t="s">
        <v>715</v>
      </c>
      <c r="F4626" t="s">
        <v>15064</v>
      </c>
      <c r="G4626" s="2" t="str">
        <f>HYPERLINK("https://probpalata.gov.ru/files/ЮЛ770101216600486.jpeg","Скачать индивидуальный QR-код магазина")</f>
        <v>Скачать индивидуальный QR-код магазина</v>
      </c>
    </row>
    <row r="4627" spans="1:7" x14ac:dyDescent="0.25">
      <c r="A4627" t="s">
        <v>13087</v>
      </c>
      <c r="B4627" t="s">
        <v>15065</v>
      </c>
      <c r="C4627" t="s">
        <v>713</v>
      </c>
      <c r="D4627" t="s">
        <v>714</v>
      </c>
      <c r="E4627" t="s">
        <v>715</v>
      </c>
      <c r="F4627" t="s">
        <v>15066</v>
      </c>
      <c r="G4627" s="2" t="str">
        <f>HYPERLINK("https://probpalata.gov.ru/files/ЮЛ770101216600493.jpeg","Скачать индивидуальный QR-код магазина")</f>
        <v>Скачать индивидуальный QR-код магазина</v>
      </c>
    </row>
    <row r="4628" spans="1:7" x14ac:dyDescent="0.25">
      <c r="A4628" t="s">
        <v>13087</v>
      </c>
      <c r="B4628" t="s">
        <v>15067</v>
      </c>
      <c r="C4628" t="s">
        <v>713</v>
      </c>
      <c r="D4628" t="s">
        <v>714</v>
      </c>
      <c r="E4628" t="s">
        <v>715</v>
      </c>
      <c r="F4628" t="s">
        <v>15068</v>
      </c>
      <c r="G4628" s="2" t="str">
        <f>HYPERLINK("https://probpalata.gov.ru/files/ЮЛ770101216600532.jpeg","Скачать индивидуальный QR-код магазина")</f>
        <v>Скачать индивидуальный QR-код магазина</v>
      </c>
    </row>
    <row r="4629" spans="1:7" x14ac:dyDescent="0.25">
      <c r="A4629" t="s">
        <v>13087</v>
      </c>
      <c r="B4629" t="s">
        <v>15069</v>
      </c>
      <c r="C4629" t="s">
        <v>713</v>
      </c>
      <c r="D4629" t="s">
        <v>714</v>
      </c>
      <c r="E4629" t="s">
        <v>715</v>
      </c>
      <c r="F4629" t="s">
        <v>15070</v>
      </c>
      <c r="G4629" s="2" t="str">
        <f>HYPERLINK("https://probpalata.gov.ru/files/ЮЛ770101216600564.jpeg","Скачать индивидуальный QR-код магазина")</f>
        <v>Скачать индивидуальный QR-код магазина</v>
      </c>
    </row>
    <row r="4630" spans="1:7" x14ac:dyDescent="0.25">
      <c r="A4630" t="s">
        <v>13087</v>
      </c>
      <c r="B4630" t="s">
        <v>15071</v>
      </c>
      <c r="C4630" t="s">
        <v>713</v>
      </c>
      <c r="D4630" t="s">
        <v>714</v>
      </c>
      <c r="E4630" t="s">
        <v>715</v>
      </c>
      <c r="F4630" t="s">
        <v>15072</v>
      </c>
      <c r="G4630" s="2" t="str">
        <f>HYPERLINK("https://probpalata.gov.ru/files/ЮЛ770101216600569.jpeg","Скачать индивидуальный QR-код магазина")</f>
        <v>Скачать индивидуальный QR-код магазина</v>
      </c>
    </row>
    <row r="4631" spans="1:7" x14ac:dyDescent="0.25">
      <c r="A4631" t="s">
        <v>13087</v>
      </c>
      <c r="B4631" t="s">
        <v>15073</v>
      </c>
      <c r="C4631" t="s">
        <v>713</v>
      </c>
      <c r="D4631" t="s">
        <v>714</v>
      </c>
      <c r="E4631" t="s">
        <v>715</v>
      </c>
      <c r="F4631" t="s">
        <v>15074</v>
      </c>
      <c r="G4631" s="2" t="str">
        <f>HYPERLINK("https://probpalata.gov.ru/files/ЮЛ770101216600600.jpeg","Скачать индивидуальный QR-код магазина")</f>
        <v>Скачать индивидуальный QR-код магазина</v>
      </c>
    </row>
    <row r="4632" spans="1:7" x14ac:dyDescent="0.25">
      <c r="A4632" t="s">
        <v>13087</v>
      </c>
      <c r="B4632" t="s">
        <v>15075</v>
      </c>
      <c r="C4632" t="s">
        <v>713</v>
      </c>
      <c r="D4632" t="s">
        <v>714</v>
      </c>
      <c r="E4632" t="s">
        <v>715</v>
      </c>
      <c r="F4632" t="s">
        <v>15076</v>
      </c>
      <c r="G4632" s="2" t="str">
        <f>HYPERLINK("https://probpalata.gov.ru/files/ЮЛ770101216600601.jpeg","Скачать индивидуальный QR-код магазина")</f>
        <v>Скачать индивидуальный QR-код магазина</v>
      </c>
    </row>
    <row r="4633" spans="1:7" x14ac:dyDescent="0.25">
      <c r="A4633" t="s">
        <v>13087</v>
      </c>
      <c r="B4633" t="s">
        <v>15077</v>
      </c>
      <c r="C4633" t="s">
        <v>713</v>
      </c>
      <c r="D4633" t="s">
        <v>714</v>
      </c>
      <c r="E4633" t="s">
        <v>715</v>
      </c>
      <c r="F4633" t="s">
        <v>15078</v>
      </c>
      <c r="G4633" s="2" t="str">
        <f>HYPERLINK("https://probpalata.gov.ru/files/ЮЛ770101216600608.jpeg","Скачать индивидуальный QR-код магазина")</f>
        <v>Скачать индивидуальный QR-код магазина</v>
      </c>
    </row>
    <row r="4634" spans="1:7" x14ac:dyDescent="0.25">
      <c r="A4634" t="s">
        <v>13087</v>
      </c>
      <c r="B4634" t="s">
        <v>15079</v>
      </c>
      <c r="C4634" t="s">
        <v>713</v>
      </c>
      <c r="D4634" t="s">
        <v>714</v>
      </c>
      <c r="E4634" t="s">
        <v>715</v>
      </c>
      <c r="F4634" t="s">
        <v>15080</v>
      </c>
      <c r="G4634" s="2" t="str">
        <f>HYPERLINK("https://probpalata.gov.ru/files/ЮЛ770101216600639.jpeg","Скачать индивидуальный QR-код магазина")</f>
        <v>Скачать индивидуальный QR-код магазина</v>
      </c>
    </row>
    <row r="4635" spans="1:7" x14ac:dyDescent="0.25">
      <c r="A4635" t="s">
        <v>13087</v>
      </c>
      <c r="B4635" t="s">
        <v>15081</v>
      </c>
      <c r="C4635" t="s">
        <v>713</v>
      </c>
      <c r="D4635" t="s">
        <v>714</v>
      </c>
      <c r="E4635" t="s">
        <v>715</v>
      </c>
      <c r="F4635" t="s">
        <v>15082</v>
      </c>
      <c r="G4635" s="2" t="str">
        <f>HYPERLINK("https://probpalata.gov.ru/files/ЮЛ770101216600671.jpeg","Скачать индивидуальный QR-код магазина")</f>
        <v>Скачать индивидуальный QR-код магазина</v>
      </c>
    </row>
    <row r="4636" spans="1:7" x14ac:dyDescent="0.25">
      <c r="A4636" t="s">
        <v>13087</v>
      </c>
      <c r="B4636" t="s">
        <v>15083</v>
      </c>
      <c r="C4636" t="s">
        <v>713</v>
      </c>
      <c r="D4636" t="s">
        <v>714</v>
      </c>
      <c r="E4636" t="s">
        <v>715</v>
      </c>
      <c r="F4636" t="s">
        <v>15084</v>
      </c>
      <c r="G4636" s="2" t="str">
        <f>HYPERLINK("https://probpalata.gov.ru/files/ЮЛ770101216600729.jpeg","Скачать индивидуальный QR-код магазина")</f>
        <v>Скачать индивидуальный QR-код магазина</v>
      </c>
    </row>
    <row r="4637" spans="1:7" x14ac:dyDescent="0.25">
      <c r="A4637" t="s">
        <v>13087</v>
      </c>
      <c r="B4637" t="s">
        <v>15085</v>
      </c>
      <c r="C4637" t="s">
        <v>713</v>
      </c>
      <c r="D4637" t="s">
        <v>714</v>
      </c>
      <c r="E4637" t="s">
        <v>715</v>
      </c>
      <c r="F4637" t="s">
        <v>15086</v>
      </c>
      <c r="G4637" s="2" t="str">
        <f>HYPERLINK("https://probpalata.gov.ru/files/ЮЛ770101216600798.jpeg","Скачать индивидуальный QR-код магазина")</f>
        <v>Скачать индивидуальный QR-код магазина</v>
      </c>
    </row>
    <row r="4638" spans="1:7" x14ac:dyDescent="0.25">
      <c r="A4638" t="s">
        <v>13087</v>
      </c>
      <c r="B4638" t="s">
        <v>15087</v>
      </c>
      <c r="C4638" t="s">
        <v>713</v>
      </c>
      <c r="D4638" t="s">
        <v>714</v>
      </c>
      <c r="E4638" t="s">
        <v>715</v>
      </c>
      <c r="F4638" t="s">
        <v>15088</v>
      </c>
      <c r="G4638" s="2" t="str">
        <f>HYPERLINK("https://probpalata.gov.ru/files/ЮЛ770101216600825.jpeg","Скачать индивидуальный QR-код магазина")</f>
        <v>Скачать индивидуальный QR-код магазина</v>
      </c>
    </row>
    <row r="4639" spans="1:7" x14ac:dyDescent="0.25">
      <c r="A4639" t="s">
        <v>13087</v>
      </c>
      <c r="B4639" t="s">
        <v>15089</v>
      </c>
      <c r="C4639" t="s">
        <v>713</v>
      </c>
      <c r="D4639" t="s">
        <v>714</v>
      </c>
      <c r="E4639" t="s">
        <v>715</v>
      </c>
      <c r="F4639" t="s">
        <v>15090</v>
      </c>
      <c r="G4639" s="2" t="str">
        <f>HYPERLINK("https://probpalata.gov.ru/files/ЮЛ770101216600826.jpeg","Скачать индивидуальный QR-код магазина")</f>
        <v>Скачать индивидуальный QR-код магазина</v>
      </c>
    </row>
    <row r="4640" spans="1:7" x14ac:dyDescent="0.25">
      <c r="A4640" t="s">
        <v>13087</v>
      </c>
      <c r="B4640" t="s">
        <v>15091</v>
      </c>
      <c r="C4640" t="s">
        <v>713</v>
      </c>
      <c r="D4640" t="s">
        <v>714</v>
      </c>
      <c r="E4640" t="s">
        <v>715</v>
      </c>
      <c r="F4640" t="s">
        <v>15092</v>
      </c>
      <c r="G4640" s="2" t="str">
        <f>HYPERLINK("https://probpalata.gov.ru/files/ЮЛ770101216600827.jpeg","Скачать индивидуальный QR-код магазина")</f>
        <v>Скачать индивидуальный QR-код магазина</v>
      </c>
    </row>
    <row r="4641" spans="1:7" x14ac:dyDescent="0.25">
      <c r="A4641" t="s">
        <v>13087</v>
      </c>
      <c r="B4641" t="s">
        <v>15093</v>
      </c>
      <c r="C4641" t="s">
        <v>713</v>
      </c>
      <c r="D4641" t="s">
        <v>714</v>
      </c>
      <c r="E4641" t="s">
        <v>715</v>
      </c>
      <c r="F4641" t="s">
        <v>15094</v>
      </c>
      <c r="G4641" s="2" t="str">
        <f>HYPERLINK("https://probpalata.gov.ru/files/ЮЛ770101216600881.jpeg","Скачать индивидуальный QR-код магазина")</f>
        <v>Скачать индивидуальный QR-код магазина</v>
      </c>
    </row>
    <row r="4642" spans="1:7" x14ac:dyDescent="0.25">
      <c r="A4642" t="s">
        <v>13087</v>
      </c>
      <c r="B4642" t="s">
        <v>15095</v>
      </c>
      <c r="C4642" t="s">
        <v>713</v>
      </c>
      <c r="D4642" t="s">
        <v>714</v>
      </c>
      <c r="E4642" t="s">
        <v>715</v>
      </c>
      <c r="F4642" t="s">
        <v>15096</v>
      </c>
      <c r="G4642" s="2" t="str">
        <f>HYPERLINK("https://probpalata.gov.ru/files/ЮЛ770101216600926.jpeg","Скачать индивидуальный QR-код магазина")</f>
        <v>Скачать индивидуальный QR-код магазина</v>
      </c>
    </row>
    <row r="4643" spans="1:7" x14ac:dyDescent="0.25">
      <c r="A4643" t="s">
        <v>13087</v>
      </c>
      <c r="B4643" t="s">
        <v>15097</v>
      </c>
      <c r="C4643" t="s">
        <v>713</v>
      </c>
      <c r="D4643" t="s">
        <v>714</v>
      </c>
      <c r="E4643" t="s">
        <v>715</v>
      </c>
      <c r="F4643" t="s">
        <v>15098</v>
      </c>
      <c r="G4643" s="2" t="str">
        <f>HYPERLINK("https://probpalata.gov.ru/files/ЮЛ770101216600951.jpeg","Скачать индивидуальный QR-код магазина")</f>
        <v>Скачать индивидуальный QR-код магазина</v>
      </c>
    </row>
    <row r="4644" spans="1:7" x14ac:dyDescent="0.25">
      <c r="A4644" t="s">
        <v>13087</v>
      </c>
      <c r="B4644" t="s">
        <v>15099</v>
      </c>
      <c r="C4644" t="s">
        <v>713</v>
      </c>
      <c r="D4644" t="s">
        <v>714</v>
      </c>
      <c r="E4644" t="s">
        <v>715</v>
      </c>
      <c r="F4644" t="s">
        <v>15100</v>
      </c>
      <c r="G4644" s="2" t="str">
        <f>HYPERLINK("https://probpalata.gov.ru/files/ЮЛ770101216600953.jpeg","Скачать индивидуальный QR-код магазина")</f>
        <v>Скачать индивидуальный QR-код магазина</v>
      </c>
    </row>
    <row r="4645" spans="1:7" x14ac:dyDescent="0.25">
      <c r="A4645" t="s">
        <v>13087</v>
      </c>
      <c r="B4645" t="s">
        <v>15101</v>
      </c>
      <c r="C4645" t="s">
        <v>15102</v>
      </c>
      <c r="D4645" t="s">
        <v>15103</v>
      </c>
      <c r="E4645" t="s">
        <v>15104</v>
      </c>
      <c r="F4645" t="s">
        <v>15105</v>
      </c>
      <c r="G4645" s="2" t="str">
        <f>HYPERLINK("https://probpalata.gov.ru/files/ИП770101587900001.jpeg","Скачать индивидуальный QR-код магазина")</f>
        <v>Скачать индивидуальный QR-код магазина</v>
      </c>
    </row>
    <row r="4646" spans="1:7" x14ac:dyDescent="0.25">
      <c r="A4646" t="s">
        <v>13087</v>
      </c>
      <c r="B4646" t="s">
        <v>15106</v>
      </c>
      <c r="C4646" t="s">
        <v>15102</v>
      </c>
      <c r="D4646" t="s">
        <v>15103</v>
      </c>
      <c r="E4646" t="s">
        <v>15104</v>
      </c>
      <c r="F4646" t="s">
        <v>15107</v>
      </c>
      <c r="G4646" s="2" t="str">
        <f>HYPERLINK("https://probpalata.gov.ru/files/ИП770101587900002.jpeg","Скачать индивидуальный QR-код магазина")</f>
        <v>Скачать индивидуальный QR-код магазина</v>
      </c>
    </row>
    <row r="4647" spans="1:7" x14ac:dyDescent="0.25">
      <c r="A4647" t="s">
        <v>13087</v>
      </c>
      <c r="B4647" t="s">
        <v>15108</v>
      </c>
      <c r="C4647" t="s">
        <v>15102</v>
      </c>
      <c r="D4647" t="s">
        <v>15103</v>
      </c>
      <c r="E4647" t="s">
        <v>15104</v>
      </c>
      <c r="F4647" t="s">
        <v>15109</v>
      </c>
      <c r="G4647" s="2" t="str">
        <f>HYPERLINK("https://probpalata.gov.ru/files/ИП770101587900003.jpeg","Скачать индивидуальный QR-код магазина")</f>
        <v>Скачать индивидуальный QR-код магазина</v>
      </c>
    </row>
    <row r="4648" spans="1:7" x14ac:dyDescent="0.25">
      <c r="A4648" t="s">
        <v>13087</v>
      </c>
      <c r="B4648" t="s">
        <v>15110</v>
      </c>
      <c r="C4648" t="s">
        <v>15111</v>
      </c>
      <c r="D4648" t="s">
        <v>15112</v>
      </c>
      <c r="E4648" t="s">
        <v>15113</v>
      </c>
      <c r="F4648" t="s">
        <v>15114</v>
      </c>
      <c r="G4648" s="2" t="str">
        <f>HYPERLINK("https://probpalata.gov.ru/files/ЮЛ770101053400001.jpeg","Скачать индивидуальный QR-код магазина")</f>
        <v>Скачать индивидуальный QR-код магазина</v>
      </c>
    </row>
    <row r="4649" spans="1:7" x14ac:dyDescent="0.25">
      <c r="A4649" t="s">
        <v>13087</v>
      </c>
      <c r="B4649" t="s">
        <v>15115</v>
      </c>
      <c r="C4649" t="s">
        <v>15116</v>
      </c>
      <c r="D4649" t="s">
        <v>15117</v>
      </c>
      <c r="E4649" t="s">
        <v>15118</v>
      </c>
      <c r="F4649" t="s">
        <v>15119</v>
      </c>
      <c r="G4649" s="2" t="str">
        <f>HYPERLINK("https://probpalata.gov.ru/files/ИП230400443800000.jpeg","Скачать индивидуальный QR-код магазина")</f>
        <v>Скачать индивидуальный QR-код магазина</v>
      </c>
    </row>
    <row r="4650" spans="1:7" x14ac:dyDescent="0.25">
      <c r="A4650" t="s">
        <v>13087</v>
      </c>
      <c r="B4650" t="s">
        <v>15120</v>
      </c>
      <c r="C4650" t="s">
        <v>15121</v>
      </c>
      <c r="D4650" t="s">
        <v>15122</v>
      </c>
      <c r="E4650" t="s">
        <v>15123</v>
      </c>
      <c r="F4650" t="s">
        <v>15124</v>
      </c>
      <c r="G4650" s="2" t="str">
        <f>HYPERLINK("https://probpalata.gov.ru/files/ЮЛ770101324600046.jpeg","Скачать индивидуальный QR-код магазина")</f>
        <v>Скачать индивидуальный QR-код магазина</v>
      </c>
    </row>
    <row r="4651" spans="1:7" x14ac:dyDescent="0.25">
      <c r="A4651" t="s">
        <v>13087</v>
      </c>
      <c r="B4651" t="s">
        <v>15125</v>
      </c>
      <c r="C4651" t="s">
        <v>15121</v>
      </c>
      <c r="D4651" t="s">
        <v>15122</v>
      </c>
      <c r="E4651" t="s">
        <v>15123</v>
      </c>
      <c r="F4651" t="s">
        <v>15126</v>
      </c>
      <c r="G4651" s="2" t="str">
        <f>HYPERLINK("https://probpalata.gov.ru/files/ЮЛ770101324600057.jpeg","Скачать индивидуальный QR-код магазина")</f>
        <v>Скачать индивидуальный QR-код магазина</v>
      </c>
    </row>
    <row r="4652" spans="1:7" x14ac:dyDescent="0.25">
      <c r="A4652" t="s">
        <v>13087</v>
      </c>
      <c r="B4652" t="s">
        <v>15127</v>
      </c>
      <c r="C4652" t="s">
        <v>15121</v>
      </c>
      <c r="D4652" t="s">
        <v>15122</v>
      </c>
      <c r="E4652" t="s">
        <v>15123</v>
      </c>
      <c r="F4652" t="s">
        <v>15128</v>
      </c>
      <c r="G4652" s="2" t="str">
        <f>HYPERLINK("https://probpalata.gov.ru/files/ЮЛ770101324600061.jpeg","Скачать индивидуальный QR-код магазина")</f>
        <v>Скачать индивидуальный QR-код магазина</v>
      </c>
    </row>
    <row r="4653" spans="1:7" x14ac:dyDescent="0.25">
      <c r="A4653" t="s">
        <v>13087</v>
      </c>
      <c r="B4653" t="s">
        <v>14922</v>
      </c>
      <c r="C4653" t="s">
        <v>1416</v>
      </c>
      <c r="D4653" t="s">
        <v>1417</v>
      </c>
      <c r="E4653" t="s">
        <v>1418</v>
      </c>
      <c r="F4653" t="s">
        <v>15129</v>
      </c>
      <c r="G4653" s="2" t="str">
        <f>HYPERLINK("https://probpalata.gov.ru/files/ЮЛ770100419400079.jpeg","Скачать индивидуальный QR-код магазина")</f>
        <v>Скачать индивидуальный QR-код магазина</v>
      </c>
    </row>
    <row r="4654" spans="1:7" x14ac:dyDescent="0.25">
      <c r="A4654" t="s">
        <v>13087</v>
      </c>
      <c r="B4654" t="s">
        <v>13159</v>
      </c>
      <c r="C4654" t="s">
        <v>1416</v>
      </c>
      <c r="D4654" t="s">
        <v>1417</v>
      </c>
      <c r="E4654" t="s">
        <v>1418</v>
      </c>
      <c r="F4654" t="s">
        <v>15130</v>
      </c>
      <c r="G4654" s="2" t="str">
        <f>HYPERLINK("https://probpalata.gov.ru/files/ЮЛ770100419400081.jpeg","Скачать индивидуальный QR-код магазина")</f>
        <v>Скачать индивидуальный QR-код магазина</v>
      </c>
    </row>
    <row r="4655" spans="1:7" x14ac:dyDescent="0.25">
      <c r="A4655" t="s">
        <v>13087</v>
      </c>
      <c r="B4655" t="s">
        <v>15131</v>
      </c>
      <c r="C4655" t="s">
        <v>1416</v>
      </c>
      <c r="D4655" t="s">
        <v>1417</v>
      </c>
      <c r="E4655" t="s">
        <v>1418</v>
      </c>
      <c r="F4655" t="s">
        <v>15132</v>
      </c>
      <c r="G4655" s="2" t="str">
        <f>HYPERLINK("https://probpalata.gov.ru/files/ЮЛ770100419400082.jpeg","Скачать индивидуальный QR-код магазина")</f>
        <v>Скачать индивидуальный QR-код магазина</v>
      </c>
    </row>
    <row r="4656" spans="1:7" x14ac:dyDescent="0.25">
      <c r="A4656" t="s">
        <v>13087</v>
      </c>
      <c r="B4656" t="s">
        <v>15133</v>
      </c>
      <c r="C4656" t="s">
        <v>1416</v>
      </c>
      <c r="D4656" t="s">
        <v>1417</v>
      </c>
      <c r="E4656" t="s">
        <v>1418</v>
      </c>
      <c r="F4656" t="s">
        <v>15134</v>
      </c>
      <c r="G4656" s="2" t="str">
        <f>HYPERLINK("https://probpalata.gov.ru/files/ЮЛ770100419400083.jpeg","Скачать индивидуальный QR-код магазина")</f>
        <v>Скачать индивидуальный QR-код магазина</v>
      </c>
    </row>
    <row r="4657" spans="1:7" x14ac:dyDescent="0.25">
      <c r="A4657" t="s">
        <v>13087</v>
      </c>
      <c r="B4657" t="s">
        <v>15135</v>
      </c>
      <c r="C4657" t="s">
        <v>1416</v>
      </c>
      <c r="D4657" t="s">
        <v>1417</v>
      </c>
      <c r="E4657" t="s">
        <v>1418</v>
      </c>
      <c r="F4657" t="s">
        <v>15136</v>
      </c>
      <c r="G4657" s="2" t="str">
        <f>HYPERLINK("https://probpalata.gov.ru/files/ЮЛ770100419400086.jpeg","Скачать индивидуальный QR-код магазина")</f>
        <v>Скачать индивидуальный QR-код магазина</v>
      </c>
    </row>
    <row r="4658" spans="1:7" x14ac:dyDescent="0.25">
      <c r="A4658" t="s">
        <v>13087</v>
      </c>
      <c r="B4658" t="s">
        <v>13215</v>
      </c>
      <c r="C4658" t="s">
        <v>1416</v>
      </c>
      <c r="D4658" t="s">
        <v>1417</v>
      </c>
      <c r="E4658" t="s">
        <v>1418</v>
      </c>
      <c r="F4658" t="s">
        <v>15137</v>
      </c>
      <c r="G4658" s="2" t="str">
        <f>HYPERLINK("https://probpalata.gov.ru/files/ЮЛ770100419400180.jpeg","Скачать индивидуальный QR-код магазина")</f>
        <v>Скачать индивидуальный QR-код магазина</v>
      </c>
    </row>
    <row r="4659" spans="1:7" x14ac:dyDescent="0.25">
      <c r="A4659" t="s">
        <v>13087</v>
      </c>
      <c r="B4659" t="s">
        <v>13580</v>
      </c>
      <c r="C4659" t="s">
        <v>1416</v>
      </c>
      <c r="D4659" t="s">
        <v>1417</v>
      </c>
      <c r="E4659" t="s">
        <v>1418</v>
      </c>
      <c r="F4659" t="s">
        <v>15138</v>
      </c>
      <c r="G4659" s="2" t="str">
        <f>HYPERLINK("https://probpalata.gov.ru/files/ЮЛ770100419400194.jpeg","Скачать индивидуальный QR-код магазина")</f>
        <v>Скачать индивидуальный QR-код магазина</v>
      </c>
    </row>
    <row r="4660" spans="1:7" x14ac:dyDescent="0.25">
      <c r="A4660" t="s">
        <v>13087</v>
      </c>
      <c r="B4660" t="s">
        <v>13548</v>
      </c>
      <c r="C4660" t="s">
        <v>1416</v>
      </c>
      <c r="D4660" t="s">
        <v>1417</v>
      </c>
      <c r="E4660" t="s">
        <v>1418</v>
      </c>
      <c r="F4660" t="s">
        <v>15139</v>
      </c>
      <c r="G4660" s="2" t="str">
        <f>HYPERLINK("https://probpalata.gov.ru/files/ЮЛ770100419400197.jpeg","Скачать индивидуальный QR-код магазина")</f>
        <v>Скачать индивидуальный QR-код магазина</v>
      </c>
    </row>
    <row r="4661" spans="1:7" x14ac:dyDescent="0.25">
      <c r="A4661" t="s">
        <v>13087</v>
      </c>
      <c r="B4661" t="s">
        <v>15140</v>
      </c>
      <c r="C4661" t="s">
        <v>1416</v>
      </c>
      <c r="D4661" t="s">
        <v>1417</v>
      </c>
      <c r="E4661" t="s">
        <v>1418</v>
      </c>
      <c r="F4661" t="s">
        <v>15141</v>
      </c>
      <c r="G4661" s="2" t="str">
        <f>HYPERLINK("https://probpalata.gov.ru/files/ЮЛ770100419400251.jpeg","Скачать индивидуальный QR-код магазина")</f>
        <v>Скачать индивидуальный QR-код магазина</v>
      </c>
    </row>
    <row r="4662" spans="1:7" x14ac:dyDescent="0.25">
      <c r="A4662" t="s">
        <v>13087</v>
      </c>
      <c r="B4662" t="s">
        <v>15142</v>
      </c>
      <c r="C4662" t="s">
        <v>15143</v>
      </c>
      <c r="D4662" t="s">
        <v>15144</v>
      </c>
      <c r="E4662" t="s">
        <v>15145</v>
      </c>
      <c r="F4662" t="s">
        <v>15146</v>
      </c>
      <c r="G4662" s="2" t="str">
        <f>HYPERLINK("https://probpalata.gov.ru/files/ЮЛ770101248500050.jpeg","Скачать индивидуальный QR-код магазина")</f>
        <v>Скачать индивидуальный QR-код магазина</v>
      </c>
    </row>
    <row r="4663" spans="1:7" x14ac:dyDescent="0.25">
      <c r="A4663" t="s">
        <v>13087</v>
      </c>
      <c r="B4663" t="s">
        <v>15147</v>
      </c>
      <c r="C4663" t="s">
        <v>15143</v>
      </c>
      <c r="D4663" t="s">
        <v>15144</v>
      </c>
      <c r="E4663" t="s">
        <v>15145</v>
      </c>
      <c r="F4663" t="s">
        <v>15148</v>
      </c>
      <c r="G4663" s="2" t="str">
        <f>HYPERLINK("https://probpalata.gov.ru/files/ЮЛ770101248500076.jpeg","Скачать индивидуальный QR-код магазина")</f>
        <v>Скачать индивидуальный QR-код магазина</v>
      </c>
    </row>
    <row r="4664" spans="1:7" x14ac:dyDescent="0.25">
      <c r="A4664" t="s">
        <v>13087</v>
      </c>
      <c r="B4664" t="s">
        <v>15149</v>
      </c>
      <c r="C4664" t="s">
        <v>15143</v>
      </c>
      <c r="D4664" t="s">
        <v>15144</v>
      </c>
      <c r="E4664" t="s">
        <v>15145</v>
      </c>
      <c r="F4664" t="s">
        <v>15150</v>
      </c>
      <c r="G4664" s="2" t="str">
        <f>HYPERLINK("https://probpalata.gov.ru/files/ЮЛ770101248500077.jpeg","Скачать индивидуальный QR-код магазина")</f>
        <v>Скачать индивидуальный QR-код магазина</v>
      </c>
    </row>
    <row r="4665" spans="1:7" x14ac:dyDescent="0.25">
      <c r="A4665" t="s">
        <v>13087</v>
      </c>
      <c r="B4665" t="s">
        <v>15151</v>
      </c>
      <c r="C4665" t="s">
        <v>15143</v>
      </c>
      <c r="D4665" t="s">
        <v>15144</v>
      </c>
      <c r="E4665" t="s">
        <v>15145</v>
      </c>
      <c r="F4665" t="s">
        <v>15152</v>
      </c>
      <c r="G4665" s="2" t="str">
        <f>HYPERLINK("https://probpalata.gov.ru/files/ЮЛ770101248500079.jpeg","Скачать индивидуальный QR-код магазина")</f>
        <v>Скачать индивидуальный QR-код магазина</v>
      </c>
    </row>
    <row r="4666" spans="1:7" x14ac:dyDescent="0.25">
      <c r="A4666" t="s">
        <v>13087</v>
      </c>
      <c r="B4666" t="s">
        <v>15153</v>
      </c>
      <c r="C4666" t="s">
        <v>15143</v>
      </c>
      <c r="D4666" t="s">
        <v>15144</v>
      </c>
      <c r="E4666" t="s">
        <v>15145</v>
      </c>
      <c r="F4666" t="s">
        <v>15154</v>
      </c>
      <c r="G4666" s="2" t="str">
        <f>HYPERLINK("https://probpalata.gov.ru/files/ЮЛ770101248500080.jpeg","Скачать индивидуальный QR-код магазина")</f>
        <v>Скачать индивидуальный QR-код магазина</v>
      </c>
    </row>
    <row r="4667" spans="1:7" x14ac:dyDescent="0.25">
      <c r="A4667" t="s">
        <v>13087</v>
      </c>
      <c r="B4667" t="s">
        <v>15155</v>
      </c>
      <c r="C4667" t="s">
        <v>15156</v>
      </c>
      <c r="D4667" t="s">
        <v>15157</v>
      </c>
      <c r="E4667" t="s">
        <v>15158</v>
      </c>
      <c r="F4667" t="s">
        <v>15159</v>
      </c>
      <c r="G4667" s="2" t="str">
        <f>HYPERLINK("https://probpalata.gov.ru/files/ЮЛ770100039000001.jpeg","Скачать индивидуальный QR-код магазина")</f>
        <v>Скачать индивидуальный QR-код магазина</v>
      </c>
    </row>
    <row r="4668" spans="1:7" x14ac:dyDescent="0.25">
      <c r="A4668" t="s">
        <v>13087</v>
      </c>
      <c r="B4668" t="s">
        <v>15160</v>
      </c>
      <c r="C4668" t="s">
        <v>748</v>
      </c>
      <c r="D4668" t="s">
        <v>749</v>
      </c>
      <c r="E4668" t="s">
        <v>750</v>
      </c>
      <c r="F4668" t="s">
        <v>15161</v>
      </c>
      <c r="G4668" s="2" t="str">
        <f>HYPERLINK("https://probpalata.gov.ru/files/ЮЛ770100193500049.jpeg","Скачать индивидуальный QR-код магазина")</f>
        <v>Скачать индивидуальный QR-код магазина</v>
      </c>
    </row>
    <row r="4669" spans="1:7" x14ac:dyDescent="0.25">
      <c r="A4669" t="s">
        <v>13087</v>
      </c>
      <c r="B4669" t="s">
        <v>15162</v>
      </c>
      <c r="C4669" t="s">
        <v>748</v>
      </c>
      <c r="D4669" t="s">
        <v>749</v>
      </c>
      <c r="E4669" t="s">
        <v>750</v>
      </c>
      <c r="F4669" t="s">
        <v>15163</v>
      </c>
      <c r="G4669" s="2" t="str">
        <f>HYPERLINK("https://probpalata.gov.ru/files/ЮЛ770100193500050.jpeg","Скачать индивидуальный QR-код магазина")</f>
        <v>Скачать индивидуальный QR-код магазина</v>
      </c>
    </row>
    <row r="4670" spans="1:7" x14ac:dyDescent="0.25">
      <c r="A4670" t="s">
        <v>13087</v>
      </c>
      <c r="B4670" t="s">
        <v>15164</v>
      </c>
      <c r="C4670" t="s">
        <v>748</v>
      </c>
      <c r="D4670" t="s">
        <v>749</v>
      </c>
      <c r="E4670" t="s">
        <v>750</v>
      </c>
      <c r="F4670" t="s">
        <v>15165</v>
      </c>
      <c r="G4670" s="2" t="str">
        <f>HYPERLINK("https://probpalata.gov.ru/files/ЮЛ770100193500051.jpeg","Скачать индивидуальный QR-код магазина")</f>
        <v>Скачать индивидуальный QR-код магазина</v>
      </c>
    </row>
    <row r="4671" spans="1:7" x14ac:dyDescent="0.25">
      <c r="A4671" t="s">
        <v>13087</v>
      </c>
      <c r="B4671" t="s">
        <v>15166</v>
      </c>
      <c r="C4671" t="s">
        <v>748</v>
      </c>
      <c r="D4671" t="s">
        <v>749</v>
      </c>
      <c r="E4671" t="s">
        <v>750</v>
      </c>
      <c r="F4671" t="s">
        <v>15167</v>
      </c>
      <c r="G4671" s="2" t="str">
        <f>HYPERLINK("https://probpalata.gov.ru/files/ЮЛ770100193500052.jpeg","Скачать индивидуальный QR-код магазина")</f>
        <v>Скачать индивидуальный QR-код магазина</v>
      </c>
    </row>
    <row r="4672" spans="1:7" x14ac:dyDescent="0.25">
      <c r="A4672" t="s">
        <v>13087</v>
      </c>
      <c r="B4672" t="s">
        <v>15168</v>
      </c>
      <c r="C4672" t="s">
        <v>748</v>
      </c>
      <c r="D4672" t="s">
        <v>749</v>
      </c>
      <c r="E4672" t="s">
        <v>750</v>
      </c>
      <c r="F4672" t="s">
        <v>15169</v>
      </c>
      <c r="G4672" s="2" t="str">
        <f>HYPERLINK("https://probpalata.gov.ru/files/ЮЛ770100193500053.jpeg","Скачать индивидуальный QR-код магазина")</f>
        <v>Скачать индивидуальный QR-код магазина</v>
      </c>
    </row>
    <row r="4673" spans="1:7" x14ac:dyDescent="0.25">
      <c r="A4673" t="s">
        <v>13087</v>
      </c>
      <c r="B4673" t="s">
        <v>15170</v>
      </c>
      <c r="C4673" t="s">
        <v>748</v>
      </c>
      <c r="D4673" t="s">
        <v>749</v>
      </c>
      <c r="E4673" t="s">
        <v>750</v>
      </c>
      <c r="F4673" t="s">
        <v>15171</v>
      </c>
      <c r="G4673" s="2" t="str">
        <f>HYPERLINK("https://probpalata.gov.ru/files/ЮЛ770100193500055.jpeg","Скачать индивидуальный QR-код магазина")</f>
        <v>Скачать индивидуальный QR-код магазина</v>
      </c>
    </row>
    <row r="4674" spans="1:7" x14ac:dyDescent="0.25">
      <c r="A4674" t="s">
        <v>13087</v>
      </c>
      <c r="B4674" t="s">
        <v>15172</v>
      </c>
      <c r="C4674" t="s">
        <v>748</v>
      </c>
      <c r="D4674" t="s">
        <v>749</v>
      </c>
      <c r="E4674" t="s">
        <v>750</v>
      </c>
      <c r="F4674" t="s">
        <v>15173</v>
      </c>
      <c r="G4674" s="2" t="str">
        <f>HYPERLINK("https://probpalata.gov.ru/files/ЮЛ770100193500056.jpeg","Скачать индивидуальный QR-код магазина")</f>
        <v>Скачать индивидуальный QR-код магазина</v>
      </c>
    </row>
    <row r="4675" spans="1:7" x14ac:dyDescent="0.25">
      <c r="A4675" t="s">
        <v>13087</v>
      </c>
      <c r="B4675" t="s">
        <v>15174</v>
      </c>
      <c r="C4675" t="s">
        <v>748</v>
      </c>
      <c r="D4675" t="s">
        <v>749</v>
      </c>
      <c r="E4675" t="s">
        <v>750</v>
      </c>
      <c r="F4675" t="s">
        <v>15175</v>
      </c>
      <c r="G4675" s="2" t="str">
        <f>HYPERLINK("https://probpalata.gov.ru/files/ЮЛ770100193500057.jpeg","Скачать индивидуальный QR-код магазина")</f>
        <v>Скачать индивидуальный QR-код магазина</v>
      </c>
    </row>
    <row r="4676" spans="1:7" x14ac:dyDescent="0.25">
      <c r="A4676" t="s">
        <v>13087</v>
      </c>
      <c r="B4676" t="s">
        <v>15176</v>
      </c>
      <c r="C4676" t="s">
        <v>748</v>
      </c>
      <c r="D4676" t="s">
        <v>749</v>
      </c>
      <c r="E4676" t="s">
        <v>750</v>
      </c>
      <c r="F4676" t="s">
        <v>15177</v>
      </c>
      <c r="G4676" s="2" t="str">
        <f>HYPERLINK("https://probpalata.gov.ru/files/ЮЛ770100193500058.jpeg","Скачать индивидуальный QR-код магазина")</f>
        <v>Скачать индивидуальный QR-код магазина</v>
      </c>
    </row>
    <row r="4677" spans="1:7" x14ac:dyDescent="0.25">
      <c r="A4677" t="s">
        <v>13087</v>
      </c>
      <c r="B4677" t="s">
        <v>15178</v>
      </c>
      <c r="C4677" t="s">
        <v>748</v>
      </c>
      <c r="D4677" t="s">
        <v>749</v>
      </c>
      <c r="E4677" t="s">
        <v>750</v>
      </c>
      <c r="F4677" t="s">
        <v>15179</v>
      </c>
      <c r="G4677" s="2" t="str">
        <f>HYPERLINK("https://probpalata.gov.ru/files/ЮЛ770100193500059.jpeg","Скачать индивидуальный QR-код магазина")</f>
        <v>Скачать индивидуальный QR-код магазина</v>
      </c>
    </row>
    <row r="4678" spans="1:7" x14ac:dyDescent="0.25">
      <c r="A4678" t="s">
        <v>13087</v>
      </c>
      <c r="B4678" t="s">
        <v>15180</v>
      </c>
      <c r="C4678" t="s">
        <v>748</v>
      </c>
      <c r="D4678" t="s">
        <v>749</v>
      </c>
      <c r="E4678" t="s">
        <v>750</v>
      </c>
      <c r="F4678" t="s">
        <v>15181</v>
      </c>
      <c r="G4678" s="2" t="str">
        <f>HYPERLINK("https://probpalata.gov.ru/files/ЮЛ770100193500310.jpeg","Скачать индивидуальный QR-код магазина")</f>
        <v>Скачать индивидуальный QR-код магазина</v>
      </c>
    </row>
    <row r="4679" spans="1:7" x14ac:dyDescent="0.25">
      <c r="A4679" t="s">
        <v>13087</v>
      </c>
      <c r="B4679" t="s">
        <v>15182</v>
      </c>
      <c r="C4679" t="s">
        <v>748</v>
      </c>
      <c r="D4679" t="s">
        <v>749</v>
      </c>
      <c r="E4679" t="s">
        <v>750</v>
      </c>
      <c r="F4679" t="s">
        <v>15183</v>
      </c>
      <c r="G4679" s="2" t="str">
        <f>HYPERLINK("https://probpalata.gov.ru/files/ЮЛ770100193500327.jpeg","Скачать индивидуальный QR-код магазина")</f>
        <v>Скачать индивидуальный QR-код магазина</v>
      </c>
    </row>
    <row r="4680" spans="1:7" x14ac:dyDescent="0.25">
      <c r="A4680" t="s">
        <v>13087</v>
      </c>
      <c r="B4680" t="s">
        <v>15184</v>
      </c>
      <c r="C4680" t="s">
        <v>748</v>
      </c>
      <c r="D4680" t="s">
        <v>749</v>
      </c>
      <c r="E4680" t="s">
        <v>750</v>
      </c>
      <c r="F4680" t="s">
        <v>15185</v>
      </c>
      <c r="G4680" s="2" t="str">
        <f>HYPERLINK("https://probpalata.gov.ru/files/ЮЛ770100193500329.jpeg","Скачать индивидуальный QR-код магазина")</f>
        <v>Скачать индивидуальный QR-код магазина</v>
      </c>
    </row>
    <row r="4681" spans="1:7" x14ac:dyDescent="0.25">
      <c r="A4681" t="s">
        <v>13087</v>
      </c>
      <c r="B4681" t="s">
        <v>15186</v>
      </c>
      <c r="C4681" t="s">
        <v>748</v>
      </c>
      <c r="D4681" t="s">
        <v>749</v>
      </c>
      <c r="E4681" t="s">
        <v>750</v>
      </c>
      <c r="F4681" t="s">
        <v>15187</v>
      </c>
      <c r="G4681" s="2" t="str">
        <f>HYPERLINK("https://probpalata.gov.ru/files/ЮЛ770100193500330.jpeg","Скачать индивидуальный QR-код магазина")</f>
        <v>Скачать индивидуальный QR-код магазина</v>
      </c>
    </row>
    <row r="4682" spans="1:7" x14ac:dyDescent="0.25">
      <c r="A4682" t="s">
        <v>13087</v>
      </c>
      <c r="B4682" t="s">
        <v>15188</v>
      </c>
      <c r="C4682" t="s">
        <v>748</v>
      </c>
      <c r="D4682" t="s">
        <v>749</v>
      </c>
      <c r="E4682" t="s">
        <v>750</v>
      </c>
      <c r="F4682" t="s">
        <v>15189</v>
      </c>
      <c r="G4682" s="2" t="str">
        <f>HYPERLINK("https://probpalata.gov.ru/files/ЮЛ770100193500494.jpeg","Скачать индивидуальный QR-код магазина")</f>
        <v>Скачать индивидуальный QR-код магазина</v>
      </c>
    </row>
    <row r="4683" spans="1:7" x14ac:dyDescent="0.25">
      <c r="A4683" t="s">
        <v>13087</v>
      </c>
      <c r="B4683" t="s">
        <v>15190</v>
      </c>
      <c r="C4683" t="s">
        <v>748</v>
      </c>
      <c r="D4683" t="s">
        <v>749</v>
      </c>
      <c r="E4683" t="s">
        <v>750</v>
      </c>
      <c r="F4683" t="s">
        <v>15191</v>
      </c>
      <c r="G4683" s="2" t="str">
        <f>HYPERLINK("https://probpalata.gov.ru/files/ЮЛ770100193500539.jpeg","Скачать индивидуальный QR-код магазина")</f>
        <v>Скачать индивидуальный QR-код магазина</v>
      </c>
    </row>
    <row r="4684" spans="1:7" x14ac:dyDescent="0.25">
      <c r="A4684" t="s">
        <v>13087</v>
      </c>
      <c r="B4684" t="s">
        <v>15192</v>
      </c>
      <c r="C4684" t="s">
        <v>748</v>
      </c>
      <c r="D4684" t="s">
        <v>749</v>
      </c>
      <c r="E4684" t="s">
        <v>750</v>
      </c>
      <c r="F4684" t="s">
        <v>15193</v>
      </c>
      <c r="G4684" s="2" t="str">
        <f>HYPERLINK("https://probpalata.gov.ru/files/ЮЛ770100193500542.jpeg","Скачать индивидуальный QR-код магазина")</f>
        <v>Скачать индивидуальный QR-код магазина</v>
      </c>
    </row>
    <row r="4685" spans="1:7" x14ac:dyDescent="0.25">
      <c r="A4685" t="s">
        <v>13087</v>
      </c>
      <c r="B4685" t="s">
        <v>15194</v>
      </c>
      <c r="C4685" t="s">
        <v>748</v>
      </c>
      <c r="D4685" t="s">
        <v>749</v>
      </c>
      <c r="E4685" t="s">
        <v>750</v>
      </c>
      <c r="F4685" t="s">
        <v>15195</v>
      </c>
      <c r="G4685" s="2" t="str">
        <f>HYPERLINK("https://probpalata.gov.ru/files/ЮЛ770100193500561.jpeg","Скачать индивидуальный QR-код магазина")</f>
        <v>Скачать индивидуальный QR-код магазина</v>
      </c>
    </row>
    <row r="4686" spans="1:7" x14ac:dyDescent="0.25">
      <c r="A4686" t="s">
        <v>13087</v>
      </c>
      <c r="B4686" t="s">
        <v>15196</v>
      </c>
      <c r="C4686" t="s">
        <v>748</v>
      </c>
      <c r="D4686" t="s">
        <v>749</v>
      </c>
      <c r="E4686" t="s">
        <v>750</v>
      </c>
      <c r="F4686" t="s">
        <v>15197</v>
      </c>
      <c r="G4686" s="2" t="str">
        <f>HYPERLINK("https://probpalata.gov.ru/files/ЮЛ770100193500568.jpeg","Скачать индивидуальный QR-код магазина")</f>
        <v>Скачать индивидуальный QR-код магазина</v>
      </c>
    </row>
    <row r="4687" spans="1:7" x14ac:dyDescent="0.25">
      <c r="A4687" t="s">
        <v>13087</v>
      </c>
      <c r="B4687" t="s">
        <v>15198</v>
      </c>
      <c r="C4687" t="s">
        <v>748</v>
      </c>
      <c r="D4687" t="s">
        <v>749</v>
      </c>
      <c r="E4687" t="s">
        <v>750</v>
      </c>
      <c r="F4687" t="s">
        <v>15199</v>
      </c>
      <c r="G4687" s="2" t="str">
        <f>HYPERLINK("https://probpalata.gov.ru/files/ЮЛ770100193500615.jpeg","Скачать индивидуальный QR-код магазина")</f>
        <v>Скачать индивидуальный QR-код магазина</v>
      </c>
    </row>
    <row r="4688" spans="1:7" x14ac:dyDescent="0.25">
      <c r="A4688" t="s">
        <v>13087</v>
      </c>
      <c r="B4688" t="s">
        <v>15200</v>
      </c>
      <c r="C4688" t="s">
        <v>748</v>
      </c>
      <c r="D4688" t="s">
        <v>749</v>
      </c>
      <c r="E4688" t="s">
        <v>750</v>
      </c>
      <c r="F4688" t="s">
        <v>15201</v>
      </c>
      <c r="G4688" s="2" t="str">
        <f>HYPERLINK("https://probpalata.gov.ru/files/ЮЛ770100193500662.jpeg","Скачать индивидуальный QR-код магазина")</f>
        <v>Скачать индивидуальный QR-код магазина</v>
      </c>
    </row>
    <row r="4689" spans="1:7" x14ac:dyDescent="0.25">
      <c r="A4689" t="s">
        <v>13087</v>
      </c>
      <c r="B4689" t="s">
        <v>15202</v>
      </c>
      <c r="C4689" t="s">
        <v>748</v>
      </c>
      <c r="D4689" t="s">
        <v>749</v>
      </c>
      <c r="E4689" t="s">
        <v>750</v>
      </c>
      <c r="F4689" t="s">
        <v>15203</v>
      </c>
      <c r="G4689" s="2" t="str">
        <f>HYPERLINK("https://probpalata.gov.ru/files/ЮЛ770100193500668.jpeg","Скачать индивидуальный QR-код магазина")</f>
        <v>Скачать индивидуальный QR-код магазина</v>
      </c>
    </row>
    <row r="4690" spans="1:7" x14ac:dyDescent="0.25">
      <c r="A4690" t="s">
        <v>13087</v>
      </c>
      <c r="B4690" t="s">
        <v>15204</v>
      </c>
      <c r="C4690" t="s">
        <v>748</v>
      </c>
      <c r="D4690" t="s">
        <v>749</v>
      </c>
      <c r="E4690" t="s">
        <v>750</v>
      </c>
      <c r="F4690" t="s">
        <v>15205</v>
      </c>
      <c r="G4690" s="2" t="str">
        <f>HYPERLINK("https://probpalata.gov.ru/files/ЮЛ770100193500683.jpeg","Скачать индивидуальный QR-код магазина")</f>
        <v>Скачать индивидуальный QR-код магазина</v>
      </c>
    </row>
    <row r="4691" spans="1:7" x14ac:dyDescent="0.25">
      <c r="A4691" t="s">
        <v>13087</v>
      </c>
      <c r="B4691" t="s">
        <v>15206</v>
      </c>
      <c r="C4691" t="s">
        <v>748</v>
      </c>
      <c r="D4691" t="s">
        <v>749</v>
      </c>
      <c r="E4691" t="s">
        <v>750</v>
      </c>
      <c r="F4691" t="s">
        <v>15207</v>
      </c>
      <c r="G4691" s="2" t="str">
        <f>HYPERLINK("https://probpalata.gov.ru/files/ЮЛ770100193500693.jpeg","Скачать индивидуальный QR-код магазина")</f>
        <v>Скачать индивидуальный QR-код магазина</v>
      </c>
    </row>
    <row r="4692" spans="1:7" x14ac:dyDescent="0.25">
      <c r="A4692" t="s">
        <v>13087</v>
      </c>
      <c r="B4692" t="s">
        <v>15208</v>
      </c>
      <c r="C4692" t="s">
        <v>748</v>
      </c>
      <c r="D4692" t="s">
        <v>749</v>
      </c>
      <c r="E4692" t="s">
        <v>750</v>
      </c>
      <c r="F4692" t="s">
        <v>15209</v>
      </c>
      <c r="G4692" s="2" t="str">
        <f>HYPERLINK("https://probpalata.gov.ru/files/ЮЛ770100193500702.jpeg","Скачать индивидуальный QR-код магазина")</f>
        <v>Скачать индивидуальный QR-код магазина</v>
      </c>
    </row>
    <row r="4693" spans="1:7" x14ac:dyDescent="0.25">
      <c r="A4693" t="s">
        <v>13087</v>
      </c>
      <c r="B4693" t="s">
        <v>15210</v>
      </c>
      <c r="C4693" t="s">
        <v>748</v>
      </c>
      <c r="D4693" t="s">
        <v>749</v>
      </c>
      <c r="E4693" t="s">
        <v>750</v>
      </c>
      <c r="F4693" t="s">
        <v>15211</v>
      </c>
      <c r="G4693" s="2" t="str">
        <f>HYPERLINK("https://probpalata.gov.ru/files/ЮЛ770100193500703.jpeg","Скачать индивидуальный QR-код магазина")</f>
        <v>Скачать индивидуальный QR-код магазина</v>
      </c>
    </row>
    <row r="4694" spans="1:7" x14ac:dyDescent="0.25">
      <c r="A4694" t="s">
        <v>13087</v>
      </c>
      <c r="B4694" t="s">
        <v>15212</v>
      </c>
      <c r="C4694" t="s">
        <v>748</v>
      </c>
      <c r="D4694" t="s">
        <v>749</v>
      </c>
      <c r="E4694" t="s">
        <v>750</v>
      </c>
      <c r="F4694" t="s">
        <v>15213</v>
      </c>
      <c r="G4694" s="2" t="str">
        <f>HYPERLINK("https://probpalata.gov.ru/files/ЮЛ770100193500710.jpeg","Скачать индивидуальный QR-код магазина")</f>
        <v>Скачать индивидуальный QR-код магазина</v>
      </c>
    </row>
    <row r="4695" spans="1:7" x14ac:dyDescent="0.25">
      <c r="A4695" t="s">
        <v>13087</v>
      </c>
      <c r="B4695" t="s">
        <v>15214</v>
      </c>
      <c r="C4695" t="s">
        <v>748</v>
      </c>
      <c r="D4695" t="s">
        <v>749</v>
      </c>
      <c r="E4695" t="s">
        <v>750</v>
      </c>
      <c r="F4695" t="s">
        <v>15215</v>
      </c>
      <c r="G4695" s="2" t="str">
        <f>HYPERLINK("https://probpalata.gov.ru/files/ЮЛ770100193500718.jpeg","Скачать индивидуальный QR-код магазина")</f>
        <v>Скачать индивидуальный QR-код магазина</v>
      </c>
    </row>
    <row r="4696" spans="1:7" x14ac:dyDescent="0.25">
      <c r="A4696" t="s">
        <v>13087</v>
      </c>
      <c r="B4696" t="s">
        <v>15216</v>
      </c>
      <c r="C4696" t="s">
        <v>748</v>
      </c>
      <c r="D4696" t="s">
        <v>749</v>
      </c>
      <c r="E4696" t="s">
        <v>750</v>
      </c>
      <c r="F4696" t="s">
        <v>15217</v>
      </c>
      <c r="G4696" s="2" t="str">
        <f>HYPERLINK("https://probpalata.gov.ru/files/ЮЛ770100193500719.jpeg","Скачать индивидуальный QR-код магазина")</f>
        <v>Скачать индивидуальный QR-код магазина</v>
      </c>
    </row>
    <row r="4697" spans="1:7" x14ac:dyDescent="0.25">
      <c r="A4697" t="s">
        <v>13087</v>
      </c>
      <c r="B4697" t="s">
        <v>15218</v>
      </c>
      <c r="C4697" t="s">
        <v>748</v>
      </c>
      <c r="D4697" t="s">
        <v>749</v>
      </c>
      <c r="E4697" t="s">
        <v>750</v>
      </c>
      <c r="F4697" t="s">
        <v>15219</v>
      </c>
      <c r="G4697" s="2" t="str">
        <f>HYPERLINK("https://probpalata.gov.ru/files/ЮЛ770100193500723.jpeg","Скачать индивидуальный QR-код магазина")</f>
        <v>Скачать индивидуальный QR-код магазина</v>
      </c>
    </row>
    <row r="4698" spans="1:7" x14ac:dyDescent="0.25">
      <c r="A4698" t="s">
        <v>13087</v>
      </c>
      <c r="B4698" t="s">
        <v>15220</v>
      </c>
      <c r="C4698" t="s">
        <v>748</v>
      </c>
      <c r="D4698" t="s">
        <v>749</v>
      </c>
      <c r="E4698" t="s">
        <v>750</v>
      </c>
      <c r="F4698" t="s">
        <v>15221</v>
      </c>
      <c r="G4698" s="2" t="str">
        <f>HYPERLINK("https://probpalata.gov.ru/files/ЮЛ770100193500732.jpeg","Скачать индивидуальный QR-код магазина")</f>
        <v>Скачать индивидуальный QR-код магазина</v>
      </c>
    </row>
    <row r="4699" spans="1:7" x14ac:dyDescent="0.25">
      <c r="A4699" t="s">
        <v>13087</v>
      </c>
      <c r="B4699" t="s">
        <v>15222</v>
      </c>
      <c r="C4699" t="s">
        <v>748</v>
      </c>
      <c r="D4699" t="s">
        <v>749</v>
      </c>
      <c r="E4699" t="s">
        <v>750</v>
      </c>
      <c r="F4699" t="s">
        <v>15223</v>
      </c>
      <c r="G4699" s="2" t="str">
        <f>HYPERLINK("https://probpalata.gov.ru/files/ЮЛ770100193500735.jpeg","Скачать индивидуальный QR-код магазина")</f>
        <v>Скачать индивидуальный QR-код магазина</v>
      </c>
    </row>
    <row r="4700" spans="1:7" x14ac:dyDescent="0.25">
      <c r="A4700" t="s">
        <v>13087</v>
      </c>
      <c r="B4700" t="s">
        <v>15224</v>
      </c>
      <c r="C4700" t="s">
        <v>748</v>
      </c>
      <c r="D4700" t="s">
        <v>749</v>
      </c>
      <c r="E4700" t="s">
        <v>750</v>
      </c>
      <c r="F4700" t="s">
        <v>15225</v>
      </c>
      <c r="G4700" s="2" t="str">
        <f>HYPERLINK("https://probpalata.gov.ru/files/ЮЛ770100193500777.jpeg","Скачать индивидуальный QR-код магазина")</f>
        <v>Скачать индивидуальный QR-код магазина</v>
      </c>
    </row>
    <row r="4701" spans="1:7" x14ac:dyDescent="0.25">
      <c r="A4701" t="s">
        <v>13087</v>
      </c>
      <c r="B4701" t="s">
        <v>15226</v>
      </c>
      <c r="C4701" t="s">
        <v>748</v>
      </c>
      <c r="D4701" t="s">
        <v>749</v>
      </c>
      <c r="E4701" t="s">
        <v>750</v>
      </c>
      <c r="F4701" t="s">
        <v>15227</v>
      </c>
      <c r="G4701" s="2" t="str">
        <f>HYPERLINK("https://probpalata.gov.ru/files/ЮЛ770100193500797.jpeg","Скачать индивидуальный QR-код магазина")</f>
        <v>Скачать индивидуальный QR-код магазина</v>
      </c>
    </row>
    <row r="4702" spans="1:7" x14ac:dyDescent="0.25">
      <c r="A4702" t="s">
        <v>13087</v>
      </c>
      <c r="B4702" t="s">
        <v>15228</v>
      </c>
      <c r="C4702" t="s">
        <v>748</v>
      </c>
      <c r="D4702" t="s">
        <v>749</v>
      </c>
      <c r="E4702" t="s">
        <v>750</v>
      </c>
      <c r="F4702" t="s">
        <v>15229</v>
      </c>
      <c r="G4702" s="2" t="str">
        <f>HYPERLINK("https://probpalata.gov.ru/files/ЮЛ770100193500812.jpeg","Скачать индивидуальный QR-код магазина")</f>
        <v>Скачать индивидуальный QR-код магазина</v>
      </c>
    </row>
    <row r="4703" spans="1:7" x14ac:dyDescent="0.25">
      <c r="A4703" t="s">
        <v>13087</v>
      </c>
      <c r="B4703" t="s">
        <v>15230</v>
      </c>
      <c r="C4703" t="s">
        <v>748</v>
      </c>
      <c r="D4703" t="s">
        <v>749</v>
      </c>
      <c r="E4703" t="s">
        <v>750</v>
      </c>
      <c r="F4703" t="s">
        <v>15231</v>
      </c>
      <c r="G4703" s="2" t="str">
        <f>HYPERLINK("https://probpalata.gov.ru/files/ЮЛ770100193500814.jpeg","Скачать индивидуальный QR-код магазина")</f>
        <v>Скачать индивидуальный QR-код магазина</v>
      </c>
    </row>
    <row r="4704" spans="1:7" x14ac:dyDescent="0.25">
      <c r="A4704" t="s">
        <v>13087</v>
      </c>
      <c r="B4704" t="s">
        <v>15232</v>
      </c>
      <c r="C4704" t="s">
        <v>748</v>
      </c>
      <c r="D4704" t="s">
        <v>749</v>
      </c>
      <c r="E4704" t="s">
        <v>750</v>
      </c>
      <c r="F4704" t="s">
        <v>15233</v>
      </c>
      <c r="G4704" s="2" t="str">
        <f>HYPERLINK("https://probpalata.gov.ru/files/ЮЛ770100193500854.jpeg","Скачать индивидуальный QR-код магазина")</f>
        <v>Скачать индивидуальный QR-код магазина</v>
      </c>
    </row>
    <row r="4705" spans="1:7" x14ac:dyDescent="0.25">
      <c r="A4705" t="s">
        <v>13087</v>
      </c>
      <c r="B4705" t="s">
        <v>15234</v>
      </c>
      <c r="C4705" t="s">
        <v>748</v>
      </c>
      <c r="D4705" t="s">
        <v>749</v>
      </c>
      <c r="E4705" t="s">
        <v>750</v>
      </c>
      <c r="F4705" t="s">
        <v>15235</v>
      </c>
      <c r="G4705" s="2" t="str">
        <f>HYPERLINK("https://probpalata.gov.ru/files/ЮЛ770100193500864.jpeg","Скачать индивидуальный QR-код магазина")</f>
        <v>Скачать индивидуальный QR-код магазина</v>
      </c>
    </row>
    <row r="4706" spans="1:7" x14ac:dyDescent="0.25">
      <c r="A4706" t="s">
        <v>13087</v>
      </c>
      <c r="B4706" t="s">
        <v>15236</v>
      </c>
      <c r="C4706" t="s">
        <v>748</v>
      </c>
      <c r="D4706" t="s">
        <v>749</v>
      </c>
      <c r="E4706" t="s">
        <v>750</v>
      </c>
      <c r="F4706" t="s">
        <v>15237</v>
      </c>
      <c r="G4706" s="2" t="str">
        <f>HYPERLINK("https://probpalata.gov.ru/files/ЮЛ770100193500875.jpeg","Скачать индивидуальный QR-код магазина")</f>
        <v>Скачать индивидуальный QR-код магазина</v>
      </c>
    </row>
    <row r="4707" spans="1:7" x14ac:dyDescent="0.25">
      <c r="A4707" t="s">
        <v>13087</v>
      </c>
      <c r="B4707" t="s">
        <v>15238</v>
      </c>
      <c r="C4707" t="s">
        <v>748</v>
      </c>
      <c r="D4707" t="s">
        <v>749</v>
      </c>
      <c r="E4707" t="s">
        <v>750</v>
      </c>
      <c r="F4707" t="s">
        <v>15239</v>
      </c>
      <c r="G4707" s="2" t="str">
        <f>HYPERLINK("https://probpalata.gov.ru/files/ЮЛ770100193500882.jpeg","Скачать индивидуальный QR-код магазина")</f>
        <v>Скачать индивидуальный QR-код магазина</v>
      </c>
    </row>
    <row r="4708" spans="1:7" x14ac:dyDescent="0.25">
      <c r="A4708" t="s">
        <v>13087</v>
      </c>
      <c r="B4708" t="s">
        <v>15240</v>
      </c>
      <c r="C4708" t="s">
        <v>748</v>
      </c>
      <c r="D4708" t="s">
        <v>749</v>
      </c>
      <c r="E4708" t="s">
        <v>750</v>
      </c>
      <c r="F4708" t="s">
        <v>15241</v>
      </c>
      <c r="G4708" s="2" t="str">
        <f>HYPERLINK("https://probpalata.gov.ru/files/ЮЛ770100193500899.jpeg","Скачать индивидуальный QR-код магазина")</f>
        <v>Скачать индивидуальный QR-код магазина</v>
      </c>
    </row>
    <row r="4709" spans="1:7" x14ac:dyDescent="0.25">
      <c r="A4709" t="s">
        <v>13087</v>
      </c>
      <c r="B4709" t="s">
        <v>15242</v>
      </c>
      <c r="C4709" t="s">
        <v>748</v>
      </c>
      <c r="D4709" t="s">
        <v>749</v>
      </c>
      <c r="E4709" t="s">
        <v>750</v>
      </c>
      <c r="F4709" t="s">
        <v>15243</v>
      </c>
      <c r="G4709" s="2" t="str">
        <f>HYPERLINK("https://probpalata.gov.ru/files/ЮЛ770100193500924.jpeg","Скачать индивидуальный QR-код магазина")</f>
        <v>Скачать индивидуальный QR-код магазина</v>
      </c>
    </row>
    <row r="4710" spans="1:7" x14ac:dyDescent="0.25">
      <c r="A4710" t="s">
        <v>13087</v>
      </c>
      <c r="B4710" t="s">
        <v>14988</v>
      </c>
      <c r="C4710" t="s">
        <v>748</v>
      </c>
      <c r="D4710" t="s">
        <v>749</v>
      </c>
      <c r="E4710" t="s">
        <v>750</v>
      </c>
      <c r="F4710" t="s">
        <v>15244</v>
      </c>
      <c r="G4710" s="2" t="str">
        <f>HYPERLINK("https://probpalata.gov.ru/files/ЮЛ770100193500959.jpeg","Скачать индивидуальный QR-код магазина")</f>
        <v>Скачать индивидуальный QR-код магазина</v>
      </c>
    </row>
    <row r="4711" spans="1:7" x14ac:dyDescent="0.25">
      <c r="A4711" t="s">
        <v>13087</v>
      </c>
      <c r="B4711" t="s">
        <v>15245</v>
      </c>
      <c r="C4711" t="s">
        <v>748</v>
      </c>
      <c r="D4711" t="s">
        <v>749</v>
      </c>
      <c r="E4711" t="s">
        <v>750</v>
      </c>
      <c r="F4711" t="s">
        <v>15246</v>
      </c>
      <c r="G4711" s="2" t="str">
        <f>HYPERLINK("https://probpalata.gov.ru/files/ЮЛ770100193500982.jpeg","Скачать индивидуальный QR-код магазина")</f>
        <v>Скачать индивидуальный QR-код магазина</v>
      </c>
    </row>
    <row r="4712" spans="1:7" x14ac:dyDescent="0.25">
      <c r="A4712" t="s">
        <v>13087</v>
      </c>
      <c r="B4712" t="s">
        <v>15247</v>
      </c>
      <c r="C4712" t="s">
        <v>748</v>
      </c>
      <c r="D4712" t="s">
        <v>749</v>
      </c>
      <c r="E4712" t="s">
        <v>750</v>
      </c>
      <c r="F4712" t="s">
        <v>15248</v>
      </c>
      <c r="G4712" s="2" t="str">
        <f>HYPERLINK("https://probpalata.gov.ru/files/ЮЛ770100193500988.jpeg","Скачать индивидуальный QR-код магазина")</f>
        <v>Скачать индивидуальный QR-код магазина</v>
      </c>
    </row>
    <row r="4713" spans="1:7" x14ac:dyDescent="0.25">
      <c r="A4713" t="s">
        <v>13087</v>
      </c>
      <c r="B4713" t="s">
        <v>15249</v>
      </c>
      <c r="C4713" t="s">
        <v>748</v>
      </c>
      <c r="D4713" t="s">
        <v>749</v>
      </c>
      <c r="E4713" t="s">
        <v>750</v>
      </c>
      <c r="F4713" t="s">
        <v>15250</v>
      </c>
      <c r="G4713" s="2" t="str">
        <f>HYPERLINK("https://probpalata.gov.ru/files/ЮЛ770100193500992.jpeg","Скачать индивидуальный QR-код магазина")</f>
        <v>Скачать индивидуальный QR-код магазина</v>
      </c>
    </row>
    <row r="4714" spans="1:7" x14ac:dyDescent="0.25">
      <c r="A4714" t="s">
        <v>13087</v>
      </c>
      <c r="B4714" t="s">
        <v>15251</v>
      </c>
      <c r="C4714" t="s">
        <v>748</v>
      </c>
      <c r="D4714" t="s">
        <v>749</v>
      </c>
      <c r="E4714" t="s">
        <v>750</v>
      </c>
      <c r="F4714" t="s">
        <v>15252</v>
      </c>
      <c r="G4714" s="2" t="str">
        <f>HYPERLINK("https://probpalata.gov.ru/files/ЮЛ770100193501075.jpeg","Скачать индивидуальный QR-код магазина")</f>
        <v>Скачать индивидуальный QR-код магазина</v>
      </c>
    </row>
    <row r="4715" spans="1:7" x14ac:dyDescent="0.25">
      <c r="A4715" t="s">
        <v>13087</v>
      </c>
      <c r="B4715" t="s">
        <v>15253</v>
      </c>
      <c r="C4715" t="s">
        <v>4754</v>
      </c>
      <c r="D4715" t="s">
        <v>15254</v>
      </c>
      <c r="E4715" t="s">
        <v>15255</v>
      </c>
      <c r="F4715" t="s">
        <v>15256</v>
      </c>
      <c r="G4715" s="2" t="str">
        <f>HYPERLINK("https://probpalata.gov.ru/files/ЮЛ770180000700002.jpeg","Скачать индивидуальный QR-код магазина")</f>
        <v>Скачать индивидуальный QR-код магазина</v>
      </c>
    </row>
    <row r="4716" spans="1:7" x14ac:dyDescent="0.25">
      <c r="A4716" t="s">
        <v>13087</v>
      </c>
      <c r="B4716" t="s">
        <v>15257</v>
      </c>
      <c r="C4716" t="s">
        <v>15258</v>
      </c>
      <c r="D4716" t="s">
        <v>15259</v>
      </c>
      <c r="E4716" t="s">
        <v>15260</v>
      </c>
      <c r="F4716" t="s">
        <v>15261</v>
      </c>
      <c r="G4716" s="2" t="str">
        <f>HYPERLINK("https://probpalata.gov.ru/files/ИП230400481900002.jpeg","Скачать индивидуальный QR-код магазина")</f>
        <v>Скачать индивидуальный QR-код магазина</v>
      </c>
    </row>
    <row r="4717" spans="1:7" x14ac:dyDescent="0.25">
      <c r="A4717" t="s">
        <v>13087</v>
      </c>
      <c r="B4717" t="s">
        <v>15262</v>
      </c>
      <c r="C4717" t="s">
        <v>15258</v>
      </c>
      <c r="D4717" t="s">
        <v>15259</v>
      </c>
      <c r="E4717" t="s">
        <v>15260</v>
      </c>
      <c r="F4717" t="s">
        <v>15263</v>
      </c>
      <c r="G4717" s="2" t="str">
        <f>HYPERLINK("https://probpalata.gov.ru/files/ИП230400481900003.jpeg","Скачать индивидуальный QR-код магазина")</f>
        <v>Скачать индивидуальный QR-код магазина</v>
      </c>
    </row>
    <row r="4718" spans="1:7" x14ac:dyDescent="0.25">
      <c r="A4718" t="s">
        <v>13087</v>
      </c>
      <c r="B4718" t="s">
        <v>15264</v>
      </c>
      <c r="C4718" t="s">
        <v>15265</v>
      </c>
      <c r="D4718" t="s">
        <v>15266</v>
      </c>
      <c r="E4718" t="s">
        <v>15267</v>
      </c>
      <c r="F4718" t="s">
        <v>15268</v>
      </c>
      <c r="G4718" s="2" t="str">
        <f>HYPERLINK("https://probpalata.gov.ru/files/ЮЛ160600373100002.jpeg","Скачать индивидуальный QR-код магазина")</f>
        <v>Скачать индивидуальный QR-код магазина</v>
      </c>
    </row>
    <row r="4719" spans="1:7" x14ac:dyDescent="0.25">
      <c r="A4719" t="s">
        <v>13087</v>
      </c>
      <c r="B4719" t="s">
        <v>15269</v>
      </c>
      <c r="C4719" t="s">
        <v>15270</v>
      </c>
      <c r="D4719" t="s">
        <v>15271</v>
      </c>
      <c r="E4719" t="s">
        <v>15272</v>
      </c>
      <c r="F4719" t="s">
        <v>15273</v>
      </c>
      <c r="G4719" s="2" t="str">
        <f>HYPERLINK("https://probpalata.gov.ru/files/ЮЛ780300204700001.jpeg","Скачать индивидуальный QR-код магазина")</f>
        <v>Скачать индивидуальный QR-код магазина</v>
      </c>
    </row>
    <row r="4720" spans="1:7" x14ac:dyDescent="0.25">
      <c r="A4720" t="s">
        <v>13087</v>
      </c>
      <c r="B4720" t="s">
        <v>15274</v>
      </c>
      <c r="C4720" t="s">
        <v>13399</v>
      </c>
      <c r="D4720" t="s">
        <v>15275</v>
      </c>
      <c r="E4720" t="s">
        <v>15276</v>
      </c>
      <c r="F4720" t="s">
        <v>15277</v>
      </c>
      <c r="G4720" s="2" t="str">
        <f>HYPERLINK("https://probpalata.gov.ru/files/ИП780301452000000.jpeg","Скачать индивидуальный QR-код магазина")</f>
        <v>Скачать индивидуальный QR-код магазина</v>
      </c>
    </row>
    <row r="4721" spans="1:7" x14ac:dyDescent="0.25">
      <c r="A4721" t="s">
        <v>13087</v>
      </c>
      <c r="B4721" t="s">
        <v>15278</v>
      </c>
      <c r="C4721" t="s">
        <v>13399</v>
      </c>
      <c r="D4721" t="s">
        <v>15275</v>
      </c>
      <c r="E4721" t="s">
        <v>15276</v>
      </c>
      <c r="F4721" t="s">
        <v>15279</v>
      </c>
      <c r="G4721" s="2" t="str">
        <f>HYPERLINK("https://probpalata.gov.ru/files/ИП780301452000007.jpeg","Скачать индивидуальный QR-код магазина")</f>
        <v>Скачать индивидуальный QR-код магазина</v>
      </c>
    </row>
    <row r="4722" spans="1:7" x14ac:dyDescent="0.25">
      <c r="A4722" t="s">
        <v>13087</v>
      </c>
      <c r="B4722" t="s">
        <v>15280</v>
      </c>
      <c r="C4722" t="s">
        <v>13399</v>
      </c>
      <c r="D4722" t="s">
        <v>15275</v>
      </c>
      <c r="E4722" t="s">
        <v>15276</v>
      </c>
      <c r="F4722" t="s">
        <v>15281</v>
      </c>
      <c r="G4722" s="2" t="str">
        <f>HYPERLINK("https://probpalata.gov.ru/files/ИП780301452000008.jpeg","Скачать индивидуальный QR-код магазина")</f>
        <v>Скачать индивидуальный QR-код магазина</v>
      </c>
    </row>
    <row r="4723" spans="1:7" x14ac:dyDescent="0.25">
      <c r="A4723" t="s">
        <v>13087</v>
      </c>
      <c r="B4723" t="s">
        <v>15282</v>
      </c>
      <c r="C4723" t="s">
        <v>13399</v>
      </c>
      <c r="D4723" t="s">
        <v>15275</v>
      </c>
      <c r="E4723" t="s">
        <v>15276</v>
      </c>
      <c r="F4723" t="s">
        <v>15283</v>
      </c>
      <c r="G4723" s="2" t="str">
        <f>HYPERLINK("https://probpalata.gov.ru/files/ИП780301452000009.jpeg","Скачать индивидуальный QR-код магазина")</f>
        <v>Скачать индивидуальный QR-код магазина</v>
      </c>
    </row>
    <row r="4724" spans="1:7" x14ac:dyDescent="0.25">
      <c r="A4724" t="s">
        <v>13087</v>
      </c>
      <c r="B4724" t="s">
        <v>15284</v>
      </c>
      <c r="C4724" t="s">
        <v>15285</v>
      </c>
      <c r="D4724" t="s">
        <v>15286</v>
      </c>
      <c r="E4724" t="s">
        <v>15287</v>
      </c>
      <c r="F4724" t="s">
        <v>15288</v>
      </c>
      <c r="G4724" s="2" t="str">
        <f>HYPERLINK("https://probpalata.gov.ru/files/ИП780303215800003.jpeg","Скачать индивидуальный QR-код магазина")</f>
        <v>Скачать индивидуальный QR-код магазина</v>
      </c>
    </row>
    <row r="4725" spans="1:7" x14ac:dyDescent="0.25">
      <c r="A4725" t="s">
        <v>13087</v>
      </c>
      <c r="B4725" t="s">
        <v>15289</v>
      </c>
      <c r="C4725" t="s">
        <v>15285</v>
      </c>
      <c r="D4725" t="s">
        <v>15286</v>
      </c>
      <c r="E4725" t="s">
        <v>15287</v>
      </c>
      <c r="F4725" t="s">
        <v>15290</v>
      </c>
      <c r="G4725" s="2" t="str">
        <f>HYPERLINK("https://probpalata.gov.ru/files/ИП780303215800004.jpeg","Скачать индивидуальный QR-код магазина")</f>
        <v>Скачать индивидуальный QR-код магазина</v>
      </c>
    </row>
    <row r="4726" spans="1:7" x14ac:dyDescent="0.25">
      <c r="A4726" t="s">
        <v>13087</v>
      </c>
      <c r="B4726" t="s">
        <v>15291</v>
      </c>
      <c r="C4726" t="s">
        <v>773</v>
      </c>
      <c r="D4726" t="s">
        <v>774</v>
      </c>
      <c r="E4726" t="s">
        <v>775</v>
      </c>
      <c r="F4726" t="s">
        <v>15292</v>
      </c>
      <c r="G4726" s="2" t="str">
        <f>HYPERLINK("https://probpalata.gov.ru/files/ЮЛ780300131300322.jpeg","Скачать индивидуальный QR-код магазина")</f>
        <v>Скачать индивидуальный QR-код магазина</v>
      </c>
    </row>
    <row r="4727" spans="1:7" x14ac:dyDescent="0.25">
      <c r="A4727" t="s">
        <v>13087</v>
      </c>
      <c r="B4727" t="s">
        <v>15293</v>
      </c>
      <c r="C4727" t="s">
        <v>773</v>
      </c>
      <c r="D4727" t="s">
        <v>774</v>
      </c>
      <c r="E4727" t="s">
        <v>775</v>
      </c>
      <c r="F4727" t="s">
        <v>15294</v>
      </c>
      <c r="G4727" s="2" t="str">
        <f>HYPERLINK("https://probpalata.gov.ru/files/ЮЛ780300131300324.jpeg","Скачать индивидуальный QR-код магазина")</f>
        <v>Скачать индивидуальный QR-код магазина</v>
      </c>
    </row>
    <row r="4728" spans="1:7" x14ac:dyDescent="0.25">
      <c r="A4728" t="s">
        <v>13087</v>
      </c>
      <c r="B4728" t="s">
        <v>15295</v>
      </c>
      <c r="C4728" t="s">
        <v>773</v>
      </c>
      <c r="D4728" t="s">
        <v>774</v>
      </c>
      <c r="E4728" t="s">
        <v>775</v>
      </c>
      <c r="F4728" t="s">
        <v>15296</v>
      </c>
      <c r="G4728" s="2" t="str">
        <f>HYPERLINK("https://probpalata.gov.ru/files/ЮЛ780300131300325.jpeg","Скачать индивидуальный QR-код магазина")</f>
        <v>Скачать индивидуальный QR-код магазина</v>
      </c>
    </row>
    <row r="4729" spans="1:7" x14ac:dyDescent="0.25">
      <c r="A4729" t="s">
        <v>13087</v>
      </c>
      <c r="B4729" t="s">
        <v>15297</v>
      </c>
      <c r="C4729" t="s">
        <v>773</v>
      </c>
      <c r="D4729" t="s">
        <v>774</v>
      </c>
      <c r="E4729" t="s">
        <v>775</v>
      </c>
      <c r="F4729" t="s">
        <v>15298</v>
      </c>
      <c r="G4729" s="2" t="str">
        <f>HYPERLINK("https://probpalata.gov.ru/files/ЮЛ780300131300326.jpeg","Скачать индивидуальный QR-код магазина")</f>
        <v>Скачать индивидуальный QR-код магазина</v>
      </c>
    </row>
    <row r="4730" spans="1:7" x14ac:dyDescent="0.25">
      <c r="A4730" t="s">
        <v>13087</v>
      </c>
      <c r="B4730" t="s">
        <v>15299</v>
      </c>
      <c r="C4730" t="s">
        <v>773</v>
      </c>
      <c r="D4730" t="s">
        <v>774</v>
      </c>
      <c r="E4730" t="s">
        <v>775</v>
      </c>
      <c r="F4730" t="s">
        <v>15300</v>
      </c>
      <c r="G4730" s="2" t="str">
        <f>HYPERLINK("https://probpalata.gov.ru/files/ЮЛ780300131300389.jpeg","Скачать индивидуальный QR-код магазина")</f>
        <v>Скачать индивидуальный QR-код магазина</v>
      </c>
    </row>
    <row r="4731" spans="1:7" x14ac:dyDescent="0.25">
      <c r="A4731" t="s">
        <v>13087</v>
      </c>
      <c r="B4731" t="s">
        <v>15301</v>
      </c>
      <c r="C4731" t="s">
        <v>773</v>
      </c>
      <c r="D4731" t="s">
        <v>774</v>
      </c>
      <c r="E4731" t="s">
        <v>775</v>
      </c>
      <c r="F4731" t="s">
        <v>15302</v>
      </c>
      <c r="G4731" s="2" t="str">
        <f>HYPERLINK("https://probpalata.gov.ru/files/ЮЛ780300131300390.jpeg","Скачать индивидуальный QR-код магазина")</f>
        <v>Скачать индивидуальный QR-код магазина</v>
      </c>
    </row>
    <row r="4732" spans="1:7" x14ac:dyDescent="0.25">
      <c r="A4732" t="s">
        <v>13087</v>
      </c>
      <c r="B4732" t="s">
        <v>15303</v>
      </c>
      <c r="C4732" t="s">
        <v>773</v>
      </c>
      <c r="D4732" t="s">
        <v>774</v>
      </c>
      <c r="E4732" t="s">
        <v>775</v>
      </c>
      <c r="F4732" t="s">
        <v>15304</v>
      </c>
      <c r="G4732" s="2" t="str">
        <f>HYPERLINK("https://probpalata.gov.ru/files/ЮЛ780300131300397.jpeg","Скачать индивидуальный QR-код магазина")</f>
        <v>Скачать индивидуальный QR-код магазина</v>
      </c>
    </row>
    <row r="4733" spans="1:7" x14ac:dyDescent="0.25">
      <c r="A4733" t="s">
        <v>13087</v>
      </c>
      <c r="B4733" t="s">
        <v>15305</v>
      </c>
      <c r="C4733" t="s">
        <v>773</v>
      </c>
      <c r="D4733" t="s">
        <v>774</v>
      </c>
      <c r="E4733" t="s">
        <v>775</v>
      </c>
      <c r="F4733" t="s">
        <v>15306</v>
      </c>
      <c r="G4733" s="2" t="str">
        <f>HYPERLINK("https://probpalata.gov.ru/files/ЮЛ780300131300398.jpeg","Скачать индивидуальный QR-код магазина")</f>
        <v>Скачать индивидуальный QR-код магазина</v>
      </c>
    </row>
    <row r="4734" spans="1:7" x14ac:dyDescent="0.25">
      <c r="A4734" t="s">
        <v>13087</v>
      </c>
      <c r="B4734" t="s">
        <v>15307</v>
      </c>
      <c r="C4734" t="s">
        <v>773</v>
      </c>
      <c r="D4734" t="s">
        <v>774</v>
      </c>
      <c r="E4734" t="s">
        <v>775</v>
      </c>
      <c r="F4734" t="s">
        <v>15308</v>
      </c>
      <c r="G4734" s="2" t="str">
        <f>HYPERLINK("https://probpalata.gov.ru/files/ЮЛ780300131300411.jpeg","Скачать индивидуальный QR-код магазина")</f>
        <v>Скачать индивидуальный QR-код магазина</v>
      </c>
    </row>
    <row r="4735" spans="1:7" x14ac:dyDescent="0.25">
      <c r="A4735" t="s">
        <v>13087</v>
      </c>
      <c r="B4735" t="s">
        <v>15309</v>
      </c>
      <c r="C4735" t="s">
        <v>773</v>
      </c>
      <c r="D4735" t="s">
        <v>774</v>
      </c>
      <c r="E4735" t="s">
        <v>775</v>
      </c>
      <c r="F4735" t="s">
        <v>15310</v>
      </c>
      <c r="G4735" s="2" t="str">
        <f>HYPERLINK("https://probpalata.gov.ru/files/ЮЛ780300131300412.jpeg","Скачать индивидуальный QR-код магазина")</f>
        <v>Скачать индивидуальный QR-код магазина</v>
      </c>
    </row>
    <row r="4736" spans="1:7" x14ac:dyDescent="0.25">
      <c r="A4736" t="s">
        <v>13087</v>
      </c>
      <c r="B4736" t="s">
        <v>15311</v>
      </c>
      <c r="C4736" t="s">
        <v>773</v>
      </c>
      <c r="D4736" t="s">
        <v>774</v>
      </c>
      <c r="E4736" t="s">
        <v>775</v>
      </c>
      <c r="F4736" t="s">
        <v>15312</v>
      </c>
      <c r="G4736" s="2" t="str">
        <f>HYPERLINK("https://probpalata.gov.ru/files/ЮЛ780300131300413.jpeg","Скачать индивидуальный QR-код магазина")</f>
        <v>Скачать индивидуальный QR-код магазина</v>
      </c>
    </row>
    <row r="4737" spans="1:7" x14ac:dyDescent="0.25">
      <c r="A4737" t="s">
        <v>13087</v>
      </c>
      <c r="B4737" t="s">
        <v>15313</v>
      </c>
      <c r="C4737" t="s">
        <v>773</v>
      </c>
      <c r="D4737" t="s">
        <v>774</v>
      </c>
      <c r="E4737" t="s">
        <v>775</v>
      </c>
      <c r="F4737" t="s">
        <v>15314</v>
      </c>
      <c r="G4737" s="2" t="str">
        <f>HYPERLINK("https://probpalata.gov.ru/files/ЮЛ780300131300415.jpeg","Скачать индивидуальный QR-код магазина")</f>
        <v>Скачать индивидуальный QR-код магазина</v>
      </c>
    </row>
    <row r="4738" spans="1:7" x14ac:dyDescent="0.25">
      <c r="A4738" t="s">
        <v>13087</v>
      </c>
      <c r="B4738" t="s">
        <v>15315</v>
      </c>
      <c r="C4738" t="s">
        <v>773</v>
      </c>
      <c r="D4738" t="s">
        <v>774</v>
      </c>
      <c r="E4738" t="s">
        <v>775</v>
      </c>
      <c r="F4738" t="s">
        <v>15316</v>
      </c>
      <c r="G4738" s="2" t="str">
        <f>HYPERLINK("https://probpalata.gov.ru/files/ЮЛ780300131300416.jpeg","Скачать индивидуальный QR-код магазина")</f>
        <v>Скачать индивидуальный QR-код магазина</v>
      </c>
    </row>
    <row r="4739" spans="1:7" x14ac:dyDescent="0.25">
      <c r="A4739" t="s">
        <v>13087</v>
      </c>
      <c r="B4739" t="s">
        <v>15317</v>
      </c>
      <c r="C4739" t="s">
        <v>773</v>
      </c>
      <c r="D4739" t="s">
        <v>774</v>
      </c>
      <c r="E4739" t="s">
        <v>775</v>
      </c>
      <c r="F4739" t="s">
        <v>15318</v>
      </c>
      <c r="G4739" s="2" t="str">
        <f>HYPERLINK("https://probpalata.gov.ru/files/ЮЛ780300131300421.jpeg","Скачать индивидуальный QR-код магазина")</f>
        <v>Скачать индивидуальный QR-код магазина</v>
      </c>
    </row>
    <row r="4740" spans="1:7" x14ac:dyDescent="0.25">
      <c r="A4740" t="s">
        <v>13087</v>
      </c>
      <c r="B4740" t="s">
        <v>15319</v>
      </c>
      <c r="C4740" t="s">
        <v>773</v>
      </c>
      <c r="D4740" t="s">
        <v>774</v>
      </c>
      <c r="E4740" t="s">
        <v>775</v>
      </c>
      <c r="F4740" t="s">
        <v>15320</v>
      </c>
      <c r="G4740" s="2" t="str">
        <f>HYPERLINK("https://probpalata.gov.ru/files/ЮЛ780300131300422.jpeg","Скачать индивидуальный QR-код магазина")</f>
        <v>Скачать индивидуальный QR-код магазина</v>
      </c>
    </row>
    <row r="4741" spans="1:7" x14ac:dyDescent="0.25">
      <c r="A4741" t="s">
        <v>13087</v>
      </c>
      <c r="B4741" t="s">
        <v>15321</v>
      </c>
      <c r="C4741" t="s">
        <v>773</v>
      </c>
      <c r="D4741" t="s">
        <v>774</v>
      </c>
      <c r="E4741" t="s">
        <v>775</v>
      </c>
      <c r="F4741" t="s">
        <v>15322</v>
      </c>
      <c r="G4741" s="2" t="str">
        <f>HYPERLINK("https://probpalata.gov.ru/files/ЮЛ780300131300438.jpeg","Скачать индивидуальный QR-код магазина")</f>
        <v>Скачать индивидуальный QR-код магазина</v>
      </c>
    </row>
    <row r="4742" spans="1:7" x14ac:dyDescent="0.25">
      <c r="A4742" t="s">
        <v>13087</v>
      </c>
      <c r="B4742" t="s">
        <v>15323</v>
      </c>
      <c r="C4742" t="s">
        <v>773</v>
      </c>
      <c r="D4742" t="s">
        <v>774</v>
      </c>
      <c r="E4742" t="s">
        <v>775</v>
      </c>
      <c r="F4742" t="s">
        <v>15324</v>
      </c>
      <c r="G4742" s="2" t="str">
        <f>HYPERLINK("https://probpalata.gov.ru/files/ЮЛ780300131300439.jpeg","Скачать индивидуальный QR-код магазина")</f>
        <v>Скачать индивидуальный QR-код магазина</v>
      </c>
    </row>
    <row r="4743" spans="1:7" x14ac:dyDescent="0.25">
      <c r="A4743" t="s">
        <v>13087</v>
      </c>
      <c r="B4743" t="s">
        <v>15325</v>
      </c>
      <c r="C4743" t="s">
        <v>773</v>
      </c>
      <c r="D4743" t="s">
        <v>774</v>
      </c>
      <c r="E4743" t="s">
        <v>775</v>
      </c>
      <c r="F4743" t="s">
        <v>15326</v>
      </c>
      <c r="G4743" s="2" t="str">
        <f>HYPERLINK("https://probpalata.gov.ru/files/ЮЛ780300131300447.jpeg","Скачать индивидуальный QR-код магазина")</f>
        <v>Скачать индивидуальный QR-код магазина</v>
      </c>
    </row>
    <row r="4744" spans="1:7" x14ac:dyDescent="0.25">
      <c r="A4744" t="s">
        <v>13087</v>
      </c>
      <c r="B4744" t="s">
        <v>15327</v>
      </c>
      <c r="C4744" t="s">
        <v>773</v>
      </c>
      <c r="D4744" t="s">
        <v>774</v>
      </c>
      <c r="E4744" t="s">
        <v>775</v>
      </c>
      <c r="F4744" t="s">
        <v>15328</v>
      </c>
      <c r="G4744" s="2" t="str">
        <f>HYPERLINK("https://probpalata.gov.ru/files/ЮЛ780300131300462.jpeg","Скачать индивидуальный QR-код магазина")</f>
        <v>Скачать индивидуальный QR-код магазина</v>
      </c>
    </row>
    <row r="4745" spans="1:7" x14ac:dyDescent="0.25">
      <c r="A4745" t="s">
        <v>13087</v>
      </c>
      <c r="B4745" t="s">
        <v>15329</v>
      </c>
      <c r="C4745" t="s">
        <v>773</v>
      </c>
      <c r="D4745" t="s">
        <v>774</v>
      </c>
      <c r="E4745" t="s">
        <v>775</v>
      </c>
      <c r="F4745" t="s">
        <v>15330</v>
      </c>
      <c r="G4745" s="2" t="str">
        <f>HYPERLINK("https://probpalata.gov.ru/files/ЮЛ780300131300466.jpeg","Скачать индивидуальный QR-код магазина")</f>
        <v>Скачать индивидуальный QR-код магазина</v>
      </c>
    </row>
    <row r="4746" spans="1:7" x14ac:dyDescent="0.25">
      <c r="A4746" t="s">
        <v>13087</v>
      </c>
      <c r="B4746" t="s">
        <v>15331</v>
      </c>
      <c r="C4746" t="s">
        <v>773</v>
      </c>
      <c r="D4746" t="s">
        <v>774</v>
      </c>
      <c r="E4746" t="s">
        <v>775</v>
      </c>
      <c r="F4746" t="s">
        <v>15332</v>
      </c>
      <c r="G4746" s="2" t="str">
        <f>HYPERLINK("https://probpalata.gov.ru/files/ЮЛ780300131300484.jpeg","Скачать индивидуальный QR-код магазина")</f>
        <v>Скачать индивидуальный QR-код магазина</v>
      </c>
    </row>
    <row r="4747" spans="1:7" x14ac:dyDescent="0.25">
      <c r="A4747" t="s">
        <v>13087</v>
      </c>
      <c r="B4747" t="s">
        <v>15333</v>
      </c>
      <c r="C4747" t="s">
        <v>773</v>
      </c>
      <c r="D4747" t="s">
        <v>774</v>
      </c>
      <c r="E4747" t="s">
        <v>775</v>
      </c>
      <c r="F4747" t="s">
        <v>15334</v>
      </c>
      <c r="G4747" s="2" t="str">
        <f>HYPERLINK("https://probpalata.gov.ru/files/ЮЛ780300131300567.jpeg","Скачать индивидуальный QR-код магазина")</f>
        <v>Скачать индивидуальный QR-код магазина</v>
      </c>
    </row>
    <row r="4748" spans="1:7" x14ac:dyDescent="0.25">
      <c r="A4748" t="s">
        <v>13087</v>
      </c>
      <c r="B4748" t="s">
        <v>15335</v>
      </c>
      <c r="C4748" t="s">
        <v>773</v>
      </c>
      <c r="D4748" t="s">
        <v>774</v>
      </c>
      <c r="E4748" t="s">
        <v>775</v>
      </c>
      <c r="F4748" t="s">
        <v>15336</v>
      </c>
      <c r="G4748" s="2" t="str">
        <f>HYPERLINK("https://probpalata.gov.ru/files/ЮЛ780300131300568.jpeg","Скачать индивидуальный QR-код магазина")</f>
        <v>Скачать индивидуальный QR-код магазина</v>
      </c>
    </row>
    <row r="4749" spans="1:7" x14ac:dyDescent="0.25">
      <c r="A4749" t="s">
        <v>13087</v>
      </c>
      <c r="B4749" t="s">
        <v>15337</v>
      </c>
      <c r="C4749" t="s">
        <v>773</v>
      </c>
      <c r="D4749" t="s">
        <v>774</v>
      </c>
      <c r="E4749" t="s">
        <v>775</v>
      </c>
      <c r="F4749" t="s">
        <v>15338</v>
      </c>
      <c r="G4749" s="2" t="str">
        <f>HYPERLINK("https://probpalata.gov.ru/files/ЮЛ780300131300574.jpeg","Скачать индивидуальный QR-код магазина")</f>
        <v>Скачать индивидуальный QR-код магазина</v>
      </c>
    </row>
    <row r="4750" spans="1:7" x14ac:dyDescent="0.25">
      <c r="A4750" t="s">
        <v>13087</v>
      </c>
      <c r="B4750" t="s">
        <v>15339</v>
      </c>
      <c r="C4750" t="s">
        <v>773</v>
      </c>
      <c r="D4750" t="s">
        <v>774</v>
      </c>
      <c r="E4750" t="s">
        <v>775</v>
      </c>
      <c r="F4750" t="s">
        <v>15340</v>
      </c>
      <c r="G4750" s="2" t="str">
        <f>HYPERLINK("https://probpalata.gov.ru/files/ЮЛ780300131300626.jpeg","Скачать индивидуальный QR-код магазина")</f>
        <v>Скачать индивидуальный QR-код магазина</v>
      </c>
    </row>
    <row r="4751" spans="1:7" x14ac:dyDescent="0.25">
      <c r="A4751" t="s">
        <v>13087</v>
      </c>
      <c r="B4751" t="s">
        <v>15341</v>
      </c>
      <c r="C4751" t="s">
        <v>787</v>
      </c>
      <c r="D4751" t="s">
        <v>788</v>
      </c>
      <c r="E4751" t="s">
        <v>789</v>
      </c>
      <c r="F4751" t="s">
        <v>15342</v>
      </c>
      <c r="G4751" s="2" t="str">
        <f>HYPERLINK("https://probpalata.gov.ru/files/ЮЛ780300328000148.jpeg","Скачать индивидуальный QR-код магазина")</f>
        <v>Скачать индивидуальный QR-код магазина</v>
      </c>
    </row>
    <row r="4752" spans="1:7" x14ac:dyDescent="0.25">
      <c r="A4752" t="s">
        <v>13087</v>
      </c>
      <c r="B4752" t="s">
        <v>15343</v>
      </c>
      <c r="C4752" t="s">
        <v>787</v>
      </c>
      <c r="D4752" t="s">
        <v>788</v>
      </c>
      <c r="E4752" t="s">
        <v>789</v>
      </c>
      <c r="F4752" t="s">
        <v>15344</v>
      </c>
      <c r="G4752" s="2" t="str">
        <f>HYPERLINK("https://probpalata.gov.ru/files/ЮЛ780300328000150.jpeg","Скачать индивидуальный QR-код магазина")</f>
        <v>Скачать индивидуальный QR-код магазина</v>
      </c>
    </row>
    <row r="4753" spans="1:7" x14ac:dyDescent="0.25">
      <c r="A4753" t="s">
        <v>13087</v>
      </c>
      <c r="B4753" t="s">
        <v>15345</v>
      </c>
      <c r="C4753" t="s">
        <v>787</v>
      </c>
      <c r="D4753" t="s">
        <v>788</v>
      </c>
      <c r="E4753" t="s">
        <v>789</v>
      </c>
      <c r="F4753" t="s">
        <v>15346</v>
      </c>
      <c r="G4753" s="2" t="str">
        <f>HYPERLINK("https://probpalata.gov.ru/files/ЮЛ780300328000152.jpeg","Скачать индивидуальный QR-код магазина")</f>
        <v>Скачать индивидуальный QR-код магазина</v>
      </c>
    </row>
    <row r="4754" spans="1:7" x14ac:dyDescent="0.25">
      <c r="A4754" t="s">
        <v>13087</v>
      </c>
      <c r="B4754" t="s">
        <v>15347</v>
      </c>
      <c r="C4754" t="s">
        <v>787</v>
      </c>
      <c r="D4754" t="s">
        <v>788</v>
      </c>
      <c r="E4754" t="s">
        <v>789</v>
      </c>
      <c r="F4754" t="s">
        <v>15348</v>
      </c>
      <c r="G4754" s="2" t="str">
        <f>HYPERLINK("https://probpalata.gov.ru/files/ЮЛ780300328000154.jpeg","Скачать индивидуальный QR-код магазина")</f>
        <v>Скачать индивидуальный QR-код магазина</v>
      </c>
    </row>
    <row r="4755" spans="1:7" x14ac:dyDescent="0.25">
      <c r="A4755" t="s">
        <v>13087</v>
      </c>
      <c r="B4755" t="s">
        <v>15349</v>
      </c>
      <c r="C4755" t="s">
        <v>787</v>
      </c>
      <c r="D4755" t="s">
        <v>788</v>
      </c>
      <c r="E4755" t="s">
        <v>789</v>
      </c>
      <c r="F4755" t="s">
        <v>15350</v>
      </c>
      <c r="G4755" s="2" t="str">
        <f>HYPERLINK("https://probpalata.gov.ru/files/ЮЛ780300328000156.jpeg","Скачать индивидуальный QR-код магазина")</f>
        <v>Скачать индивидуальный QR-код магазина</v>
      </c>
    </row>
    <row r="4756" spans="1:7" x14ac:dyDescent="0.25">
      <c r="A4756" t="s">
        <v>13087</v>
      </c>
      <c r="B4756" t="s">
        <v>15351</v>
      </c>
      <c r="C4756" t="s">
        <v>787</v>
      </c>
      <c r="D4756" t="s">
        <v>788</v>
      </c>
      <c r="E4756" t="s">
        <v>789</v>
      </c>
      <c r="F4756" t="s">
        <v>15352</v>
      </c>
      <c r="G4756" s="2" t="str">
        <f>HYPERLINK("https://probpalata.gov.ru/files/ЮЛ780300328000230.jpeg","Скачать индивидуальный QR-код магазина")</f>
        <v>Скачать индивидуальный QR-код магазина</v>
      </c>
    </row>
    <row r="4757" spans="1:7" x14ac:dyDescent="0.25">
      <c r="A4757" t="s">
        <v>13087</v>
      </c>
      <c r="B4757" t="s">
        <v>15353</v>
      </c>
      <c r="C4757" t="s">
        <v>787</v>
      </c>
      <c r="D4757" t="s">
        <v>788</v>
      </c>
      <c r="E4757" t="s">
        <v>789</v>
      </c>
      <c r="F4757" t="s">
        <v>15354</v>
      </c>
      <c r="G4757" s="2" t="str">
        <f>HYPERLINK("https://probpalata.gov.ru/files/ЮЛ780300328000231.jpeg","Скачать индивидуальный QR-код магазина")</f>
        <v>Скачать индивидуальный QR-код магазина</v>
      </c>
    </row>
    <row r="4758" spans="1:7" x14ac:dyDescent="0.25">
      <c r="A4758" t="s">
        <v>13087</v>
      </c>
      <c r="B4758" t="s">
        <v>15355</v>
      </c>
      <c r="C4758" t="s">
        <v>787</v>
      </c>
      <c r="D4758" t="s">
        <v>788</v>
      </c>
      <c r="E4758" t="s">
        <v>789</v>
      </c>
      <c r="F4758" t="s">
        <v>15356</v>
      </c>
      <c r="G4758" s="2" t="str">
        <f>HYPERLINK("https://probpalata.gov.ru/files/ЮЛ780300328000234.jpeg","Скачать индивидуальный QR-код магазина")</f>
        <v>Скачать индивидуальный QR-код магазина</v>
      </c>
    </row>
    <row r="4759" spans="1:7" x14ac:dyDescent="0.25">
      <c r="A4759" t="s">
        <v>13087</v>
      </c>
      <c r="B4759" t="s">
        <v>15357</v>
      </c>
      <c r="C4759" t="s">
        <v>787</v>
      </c>
      <c r="D4759" t="s">
        <v>788</v>
      </c>
      <c r="E4759" t="s">
        <v>789</v>
      </c>
      <c r="F4759" t="s">
        <v>15358</v>
      </c>
      <c r="G4759" s="2" t="str">
        <f>HYPERLINK("https://probpalata.gov.ru/files/ЮЛ780300328000241.jpeg","Скачать индивидуальный QR-код магазина")</f>
        <v>Скачать индивидуальный QR-код магазина</v>
      </c>
    </row>
    <row r="4760" spans="1:7" x14ac:dyDescent="0.25">
      <c r="A4760" t="s">
        <v>13087</v>
      </c>
      <c r="B4760" t="s">
        <v>15359</v>
      </c>
      <c r="C4760" t="s">
        <v>787</v>
      </c>
      <c r="D4760" t="s">
        <v>788</v>
      </c>
      <c r="E4760" t="s">
        <v>789</v>
      </c>
      <c r="F4760" t="s">
        <v>15360</v>
      </c>
      <c r="G4760" s="2" t="str">
        <f>HYPERLINK("https://probpalata.gov.ru/files/ЮЛ780300328000258.jpeg","Скачать индивидуальный QR-код магазина")</f>
        <v>Скачать индивидуальный QR-код магазина</v>
      </c>
    </row>
    <row r="4761" spans="1:7" x14ac:dyDescent="0.25">
      <c r="A4761" t="s">
        <v>13087</v>
      </c>
      <c r="B4761" t="s">
        <v>15361</v>
      </c>
      <c r="C4761" t="s">
        <v>4077</v>
      </c>
      <c r="D4761" t="s">
        <v>4078</v>
      </c>
      <c r="E4761" t="s">
        <v>4079</v>
      </c>
      <c r="F4761" t="s">
        <v>15362</v>
      </c>
      <c r="G4761" s="2" t="str">
        <f>HYPERLINK("https://probpalata.gov.ru/files/ЮЛ780300331800013.jpeg","Скачать индивидуальный QR-код магазина")</f>
        <v>Скачать индивидуальный QR-код магазина</v>
      </c>
    </row>
    <row r="4762" spans="1:7" x14ac:dyDescent="0.25">
      <c r="A4762" t="s">
        <v>13087</v>
      </c>
      <c r="B4762" t="s">
        <v>15363</v>
      </c>
      <c r="C4762" t="s">
        <v>4077</v>
      </c>
      <c r="D4762" t="s">
        <v>4078</v>
      </c>
      <c r="E4762" t="s">
        <v>4079</v>
      </c>
      <c r="F4762" t="s">
        <v>15364</v>
      </c>
      <c r="G4762" s="2" t="str">
        <f>HYPERLINK("https://probpalata.gov.ru/files/ЮЛ780300331800015.jpeg","Скачать индивидуальный QR-код магазина")</f>
        <v>Скачать индивидуальный QR-код магазина</v>
      </c>
    </row>
    <row r="4763" spans="1:7" x14ac:dyDescent="0.25">
      <c r="A4763" t="s">
        <v>13087</v>
      </c>
      <c r="B4763" t="s">
        <v>15339</v>
      </c>
      <c r="C4763" t="s">
        <v>4077</v>
      </c>
      <c r="D4763" t="s">
        <v>4078</v>
      </c>
      <c r="E4763" t="s">
        <v>4079</v>
      </c>
      <c r="F4763" t="s">
        <v>15365</v>
      </c>
      <c r="G4763" s="2" t="str">
        <f>HYPERLINK("https://probpalata.gov.ru/files/ЮЛ780300331800027.jpeg","Скачать индивидуальный QR-код магазина")</f>
        <v>Скачать индивидуальный QR-код магазина</v>
      </c>
    </row>
    <row r="4764" spans="1:7" x14ac:dyDescent="0.25">
      <c r="A4764" t="s">
        <v>13087</v>
      </c>
      <c r="B4764" t="s">
        <v>15366</v>
      </c>
      <c r="C4764" t="s">
        <v>4077</v>
      </c>
      <c r="D4764" t="s">
        <v>4078</v>
      </c>
      <c r="E4764" t="s">
        <v>4079</v>
      </c>
      <c r="F4764" t="s">
        <v>15367</v>
      </c>
      <c r="G4764" s="2" t="str">
        <f>HYPERLINK("https://probpalata.gov.ru/files/ЮЛ780300331800090.jpeg","Скачать индивидуальный QR-код магазина")</f>
        <v>Скачать индивидуальный QR-код магазина</v>
      </c>
    </row>
    <row r="4765" spans="1:7" x14ac:dyDescent="0.25">
      <c r="A4765" t="s">
        <v>13087</v>
      </c>
      <c r="B4765" t="s">
        <v>15368</v>
      </c>
      <c r="C4765" t="s">
        <v>4077</v>
      </c>
      <c r="D4765" t="s">
        <v>4078</v>
      </c>
      <c r="E4765" t="s">
        <v>4079</v>
      </c>
      <c r="F4765" t="s">
        <v>15369</v>
      </c>
      <c r="G4765" s="2" t="str">
        <f>HYPERLINK("https://probpalata.gov.ru/files/ЮЛ780300331800120.jpeg","Скачать индивидуальный QR-код магазина")</f>
        <v>Скачать индивидуальный QR-код магазина</v>
      </c>
    </row>
    <row r="4766" spans="1:7" x14ac:dyDescent="0.25">
      <c r="A4766" t="s">
        <v>13087</v>
      </c>
      <c r="B4766" t="s">
        <v>15370</v>
      </c>
      <c r="C4766" t="s">
        <v>4084</v>
      </c>
      <c r="D4766" t="s">
        <v>4085</v>
      </c>
      <c r="E4766" t="s">
        <v>4086</v>
      </c>
      <c r="F4766" t="s">
        <v>15371</v>
      </c>
      <c r="G4766" s="2" t="str">
        <f>HYPERLINK("https://probpalata.gov.ru/files/ИП780303259200003.jpeg","Скачать индивидуальный QR-код магазина")</f>
        <v>Скачать индивидуальный QR-код магазина</v>
      </c>
    </row>
    <row r="4767" spans="1:7" x14ac:dyDescent="0.25">
      <c r="A4767" t="s">
        <v>13087</v>
      </c>
      <c r="B4767" t="s">
        <v>15372</v>
      </c>
      <c r="C4767" t="s">
        <v>791</v>
      </c>
      <c r="D4767" t="s">
        <v>792</v>
      </c>
      <c r="E4767" t="s">
        <v>793</v>
      </c>
      <c r="F4767" t="s">
        <v>15373</v>
      </c>
      <c r="G4767" s="2" t="str">
        <f>HYPERLINK("https://probpalata.gov.ru/files/ЮЛ780300323500032.jpeg","Скачать индивидуальный QR-код магазина")</f>
        <v>Скачать индивидуальный QR-код магазина</v>
      </c>
    </row>
    <row r="4768" spans="1:7" x14ac:dyDescent="0.25">
      <c r="A4768" t="s">
        <v>13087</v>
      </c>
      <c r="B4768" t="s">
        <v>15374</v>
      </c>
      <c r="C4768" t="s">
        <v>791</v>
      </c>
      <c r="D4768" t="s">
        <v>792</v>
      </c>
      <c r="E4768" t="s">
        <v>793</v>
      </c>
      <c r="F4768" t="s">
        <v>15375</v>
      </c>
      <c r="G4768" s="2" t="str">
        <f>HYPERLINK("https://probpalata.gov.ru/files/ЮЛ780300323500038.jpeg","Скачать индивидуальный QR-код магазина")</f>
        <v>Скачать индивидуальный QR-код магазина</v>
      </c>
    </row>
    <row r="4769" spans="1:7" x14ac:dyDescent="0.25">
      <c r="A4769" t="s">
        <v>13087</v>
      </c>
      <c r="B4769" t="s">
        <v>15376</v>
      </c>
      <c r="C4769" t="s">
        <v>791</v>
      </c>
      <c r="D4769" t="s">
        <v>792</v>
      </c>
      <c r="E4769" t="s">
        <v>793</v>
      </c>
      <c r="F4769" t="s">
        <v>15377</v>
      </c>
      <c r="G4769" s="2" t="str">
        <f>HYPERLINK("https://probpalata.gov.ru/files/ЮЛ780300323500043.jpeg","Скачать индивидуальный QR-код магазина")</f>
        <v>Скачать индивидуальный QR-код магазина</v>
      </c>
    </row>
    <row r="4770" spans="1:7" x14ac:dyDescent="0.25">
      <c r="A4770" t="s">
        <v>13087</v>
      </c>
      <c r="B4770" t="s">
        <v>15378</v>
      </c>
      <c r="C4770" t="s">
        <v>791</v>
      </c>
      <c r="D4770" t="s">
        <v>792</v>
      </c>
      <c r="E4770" t="s">
        <v>793</v>
      </c>
      <c r="F4770" t="s">
        <v>15379</v>
      </c>
      <c r="G4770" s="2" t="str">
        <f>HYPERLINK("https://probpalata.gov.ru/files/ЮЛ780300323500062.jpeg","Скачать индивидуальный QR-код магазина")</f>
        <v>Скачать индивидуальный QR-код магазина</v>
      </c>
    </row>
    <row r="4771" spans="1:7" x14ac:dyDescent="0.25">
      <c r="A4771" t="s">
        <v>13087</v>
      </c>
      <c r="B4771" t="s">
        <v>15380</v>
      </c>
      <c r="C4771" t="s">
        <v>791</v>
      </c>
      <c r="D4771" t="s">
        <v>792</v>
      </c>
      <c r="E4771" t="s">
        <v>793</v>
      </c>
      <c r="F4771" t="s">
        <v>15381</v>
      </c>
      <c r="G4771" s="2" t="str">
        <f>HYPERLINK("https://probpalata.gov.ru/files/ЮЛ780300323500068.jpeg","Скачать индивидуальный QR-код магазина")</f>
        <v>Скачать индивидуальный QR-код магазина</v>
      </c>
    </row>
    <row r="4772" spans="1:7" x14ac:dyDescent="0.25">
      <c r="A4772" t="s">
        <v>13087</v>
      </c>
      <c r="B4772" t="s">
        <v>15382</v>
      </c>
      <c r="C4772" t="s">
        <v>791</v>
      </c>
      <c r="D4772" t="s">
        <v>792</v>
      </c>
      <c r="E4772" t="s">
        <v>793</v>
      </c>
      <c r="F4772" t="s">
        <v>15383</v>
      </c>
      <c r="G4772" s="2" t="str">
        <f>HYPERLINK("https://probpalata.gov.ru/files/ЮЛ780300323500070.jpeg","Скачать индивидуальный QR-код магазина")</f>
        <v>Скачать индивидуальный QR-код магазина</v>
      </c>
    </row>
    <row r="4773" spans="1:7" x14ac:dyDescent="0.25">
      <c r="A4773" t="s">
        <v>13087</v>
      </c>
      <c r="B4773" t="s">
        <v>15384</v>
      </c>
      <c r="C4773" t="s">
        <v>15385</v>
      </c>
      <c r="D4773" t="s">
        <v>15386</v>
      </c>
      <c r="E4773" t="s">
        <v>15387</v>
      </c>
      <c r="F4773" t="s">
        <v>15388</v>
      </c>
      <c r="G4773" s="2" t="str">
        <f>HYPERLINK("https://probpalata.gov.ru/files/ИП780300886800000.jpeg","Скачать индивидуальный QR-код магазина")</f>
        <v>Скачать индивидуальный QR-код магазина</v>
      </c>
    </row>
    <row r="4774" spans="1:7" x14ac:dyDescent="0.25">
      <c r="A4774" t="s">
        <v>13087</v>
      </c>
      <c r="B4774" t="s">
        <v>15389</v>
      </c>
      <c r="C4774" t="s">
        <v>15385</v>
      </c>
      <c r="D4774" t="s">
        <v>15386</v>
      </c>
      <c r="E4774" t="s">
        <v>15387</v>
      </c>
      <c r="F4774" t="s">
        <v>15390</v>
      </c>
      <c r="G4774" s="2" t="str">
        <f>HYPERLINK("https://probpalata.gov.ru/files/ИП780300886800001.jpeg","Скачать индивидуальный QR-код магазина")</f>
        <v>Скачать индивидуальный QR-код магазина</v>
      </c>
    </row>
    <row r="4775" spans="1:7" x14ac:dyDescent="0.25">
      <c r="A4775" t="s">
        <v>13087</v>
      </c>
      <c r="B4775" t="s">
        <v>15391</v>
      </c>
      <c r="C4775" t="s">
        <v>15385</v>
      </c>
      <c r="D4775" t="s">
        <v>15386</v>
      </c>
      <c r="E4775" t="s">
        <v>15387</v>
      </c>
      <c r="F4775" t="s">
        <v>15392</v>
      </c>
      <c r="G4775" s="2" t="str">
        <f>HYPERLINK("https://probpalata.gov.ru/files/ИП780300886800002.jpeg","Скачать индивидуальный QR-код магазина")</f>
        <v>Скачать индивидуальный QR-код магазина</v>
      </c>
    </row>
    <row r="4776" spans="1:7" x14ac:dyDescent="0.25">
      <c r="A4776" t="s">
        <v>13087</v>
      </c>
      <c r="B4776" t="s">
        <v>15393</v>
      </c>
      <c r="C4776" t="s">
        <v>798</v>
      </c>
      <c r="D4776" t="s">
        <v>799</v>
      </c>
      <c r="E4776" t="s">
        <v>800</v>
      </c>
      <c r="F4776" t="s">
        <v>15394</v>
      </c>
      <c r="G4776" s="2" t="str">
        <f>HYPERLINK("https://probpalata.gov.ru/files/ЮЛ780300308200045.jpeg","Скачать индивидуальный QR-код магазина")</f>
        <v>Скачать индивидуальный QR-код магазина</v>
      </c>
    </row>
    <row r="4777" spans="1:7" x14ac:dyDescent="0.25">
      <c r="A4777" t="s">
        <v>13087</v>
      </c>
      <c r="B4777" t="s">
        <v>15395</v>
      </c>
      <c r="C4777" t="s">
        <v>798</v>
      </c>
      <c r="D4777" t="s">
        <v>799</v>
      </c>
      <c r="E4777" t="s">
        <v>800</v>
      </c>
      <c r="F4777" t="s">
        <v>15396</v>
      </c>
      <c r="G4777" s="2" t="str">
        <f>HYPERLINK("https://probpalata.gov.ru/files/ЮЛ780300308200046.jpeg","Скачать индивидуальный QR-код магазина")</f>
        <v>Скачать индивидуальный QR-код магазина</v>
      </c>
    </row>
    <row r="4778" spans="1:7" x14ac:dyDescent="0.25">
      <c r="A4778" t="s">
        <v>13087</v>
      </c>
      <c r="B4778" t="s">
        <v>15397</v>
      </c>
      <c r="C4778" t="s">
        <v>798</v>
      </c>
      <c r="D4778" t="s">
        <v>799</v>
      </c>
      <c r="E4778" t="s">
        <v>800</v>
      </c>
      <c r="F4778" t="s">
        <v>15398</v>
      </c>
      <c r="G4778" s="2" t="str">
        <f>HYPERLINK("https://probpalata.gov.ru/files/ЮЛ780300308200047.jpeg","Скачать индивидуальный QR-код магазина")</f>
        <v>Скачать индивидуальный QR-код магазина</v>
      </c>
    </row>
    <row r="4779" spans="1:7" x14ac:dyDescent="0.25">
      <c r="A4779" t="s">
        <v>13087</v>
      </c>
      <c r="B4779" t="s">
        <v>15399</v>
      </c>
      <c r="C4779" t="s">
        <v>798</v>
      </c>
      <c r="D4779" t="s">
        <v>799</v>
      </c>
      <c r="E4779" t="s">
        <v>800</v>
      </c>
      <c r="F4779" t="s">
        <v>15400</v>
      </c>
      <c r="G4779" s="2" t="str">
        <f>HYPERLINK("https://probpalata.gov.ru/files/ЮЛ780300308200091.jpeg","Скачать индивидуальный QR-код магазина")</f>
        <v>Скачать индивидуальный QR-код магазина</v>
      </c>
    </row>
    <row r="4780" spans="1:7" x14ac:dyDescent="0.25">
      <c r="A4780" t="s">
        <v>13087</v>
      </c>
      <c r="B4780" t="s">
        <v>15401</v>
      </c>
      <c r="C4780" t="s">
        <v>798</v>
      </c>
      <c r="D4780" t="s">
        <v>799</v>
      </c>
      <c r="E4780" t="s">
        <v>800</v>
      </c>
      <c r="F4780" t="s">
        <v>15402</v>
      </c>
      <c r="G4780" s="2" t="str">
        <f>HYPERLINK("https://probpalata.gov.ru/files/ЮЛ780300308200122.jpeg","Скачать индивидуальный QR-код магазина")</f>
        <v>Скачать индивидуальный QR-код магазина</v>
      </c>
    </row>
    <row r="4781" spans="1:7" x14ac:dyDescent="0.25">
      <c r="A4781" t="s">
        <v>13087</v>
      </c>
      <c r="B4781" t="s">
        <v>15403</v>
      </c>
      <c r="C4781" t="s">
        <v>798</v>
      </c>
      <c r="D4781" t="s">
        <v>799</v>
      </c>
      <c r="E4781" t="s">
        <v>800</v>
      </c>
      <c r="F4781" t="s">
        <v>15404</v>
      </c>
      <c r="G4781" s="2" t="str">
        <f>HYPERLINK("https://probpalata.gov.ru/files/ЮЛ780300308200125.jpeg","Скачать индивидуальный QR-код магазина")</f>
        <v>Скачать индивидуальный QR-код магазина</v>
      </c>
    </row>
    <row r="4782" spans="1:7" x14ac:dyDescent="0.25">
      <c r="A4782" t="s">
        <v>13087</v>
      </c>
      <c r="B4782" t="s">
        <v>15405</v>
      </c>
      <c r="C4782" t="s">
        <v>798</v>
      </c>
      <c r="D4782" t="s">
        <v>799</v>
      </c>
      <c r="E4782" t="s">
        <v>800</v>
      </c>
      <c r="F4782" t="s">
        <v>15406</v>
      </c>
      <c r="G4782" s="2" t="str">
        <f>HYPERLINK("https://probpalata.gov.ru/files/ЮЛ780300308200130.jpeg","Скачать индивидуальный QR-код магазина")</f>
        <v>Скачать индивидуальный QR-код магазина</v>
      </c>
    </row>
    <row r="4783" spans="1:7" x14ac:dyDescent="0.25">
      <c r="A4783" t="s">
        <v>13087</v>
      </c>
      <c r="B4783" t="s">
        <v>15407</v>
      </c>
      <c r="C4783" t="s">
        <v>798</v>
      </c>
      <c r="D4783" t="s">
        <v>799</v>
      </c>
      <c r="E4783" t="s">
        <v>800</v>
      </c>
      <c r="F4783" t="s">
        <v>15408</v>
      </c>
      <c r="G4783" s="2" t="str">
        <f>HYPERLINK("https://probpalata.gov.ru/files/ЮЛ780300308200131.jpeg","Скачать индивидуальный QR-код магазина")</f>
        <v>Скачать индивидуальный QR-код магазина</v>
      </c>
    </row>
    <row r="4784" spans="1:7" x14ac:dyDescent="0.25">
      <c r="A4784" t="s">
        <v>13087</v>
      </c>
      <c r="B4784" t="s">
        <v>15409</v>
      </c>
      <c r="C4784" t="s">
        <v>798</v>
      </c>
      <c r="D4784" t="s">
        <v>799</v>
      </c>
      <c r="E4784" t="s">
        <v>800</v>
      </c>
      <c r="F4784" t="s">
        <v>15410</v>
      </c>
      <c r="G4784" s="2" t="str">
        <f>HYPERLINK("https://probpalata.gov.ru/files/ЮЛ780300308200186.jpeg","Скачать индивидуальный QR-код магазина")</f>
        <v>Скачать индивидуальный QR-код магазина</v>
      </c>
    </row>
    <row r="4785" spans="1:7" x14ac:dyDescent="0.25">
      <c r="A4785" t="s">
        <v>13087</v>
      </c>
      <c r="B4785" t="s">
        <v>15411</v>
      </c>
      <c r="C4785" t="s">
        <v>798</v>
      </c>
      <c r="D4785" t="s">
        <v>799</v>
      </c>
      <c r="E4785" t="s">
        <v>800</v>
      </c>
      <c r="F4785" t="s">
        <v>15412</v>
      </c>
      <c r="G4785" s="2" t="str">
        <f>HYPERLINK("https://probpalata.gov.ru/files/ЮЛ780300308200189.jpeg","Скачать индивидуальный QR-код магазина")</f>
        <v>Скачать индивидуальный QR-код магазина</v>
      </c>
    </row>
    <row r="4786" spans="1:7" x14ac:dyDescent="0.25">
      <c r="A4786" t="s">
        <v>13087</v>
      </c>
      <c r="B4786" t="s">
        <v>15413</v>
      </c>
      <c r="C4786" t="s">
        <v>798</v>
      </c>
      <c r="D4786" t="s">
        <v>799</v>
      </c>
      <c r="E4786" t="s">
        <v>800</v>
      </c>
      <c r="F4786" t="s">
        <v>15414</v>
      </c>
      <c r="G4786" s="2" t="str">
        <f>HYPERLINK("https://probpalata.gov.ru/files/ЮЛ780300308200190.jpeg","Скачать индивидуальный QR-код магазина")</f>
        <v>Скачать индивидуальный QR-код магазина</v>
      </c>
    </row>
    <row r="4787" spans="1:7" x14ac:dyDescent="0.25">
      <c r="A4787" t="s">
        <v>13087</v>
      </c>
      <c r="B4787" t="s">
        <v>15415</v>
      </c>
      <c r="C4787" t="s">
        <v>798</v>
      </c>
      <c r="D4787" t="s">
        <v>799</v>
      </c>
      <c r="E4787" t="s">
        <v>800</v>
      </c>
      <c r="F4787" t="s">
        <v>15416</v>
      </c>
      <c r="G4787" s="2" t="str">
        <f>HYPERLINK("https://probpalata.gov.ru/files/ЮЛ780300308200191.jpeg","Скачать индивидуальный QR-код магазина")</f>
        <v>Скачать индивидуальный QR-код магазина</v>
      </c>
    </row>
    <row r="4788" spans="1:7" x14ac:dyDescent="0.25">
      <c r="A4788" t="s">
        <v>13087</v>
      </c>
      <c r="B4788" t="s">
        <v>15417</v>
      </c>
      <c r="C4788" t="s">
        <v>798</v>
      </c>
      <c r="D4788" t="s">
        <v>799</v>
      </c>
      <c r="E4788" t="s">
        <v>800</v>
      </c>
      <c r="F4788" t="s">
        <v>15418</v>
      </c>
      <c r="G4788" s="2" t="str">
        <f>HYPERLINK("https://probpalata.gov.ru/files/ЮЛ780300308200199.jpeg","Скачать индивидуальный QR-код магазина")</f>
        <v>Скачать индивидуальный QR-код магазина</v>
      </c>
    </row>
    <row r="4789" spans="1:7" x14ac:dyDescent="0.25">
      <c r="A4789" t="s">
        <v>13087</v>
      </c>
      <c r="B4789" t="s">
        <v>15419</v>
      </c>
      <c r="C4789" t="s">
        <v>798</v>
      </c>
      <c r="D4789" t="s">
        <v>799</v>
      </c>
      <c r="E4789" t="s">
        <v>800</v>
      </c>
      <c r="F4789" t="s">
        <v>15420</v>
      </c>
      <c r="G4789" s="2" t="str">
        <f>HYPERLINK("https://probpalata.gov.ru/files/ЮЛ780300308200201.jpeg","Скачать индивидуальный QR-код магазина")</f>
        <v>Скачать индивидуальный QR-код магазина</v>
      </c>
    </row>
    <row r="4790" spans="1:7" x14ac:dyDescent="0.25">
      <c r="A4790" t="s">
        <v>13087</v>
      </c>
      <c r="B4790" t="s">
        <v>15293</v>
      </c>
      <c r="C4790" t="s">
        <v>798</v>
      </c>
      <c r="D4790" t="s">
        <v>799</v>
      </c>
      <c r="E4790" t="s">
        <v>800</v>
      </c>
      <c r="F4790" t="s">
        <v>15421</v>
      </c>
      <c r="G4790" s="2" t="str">
        <f>HYPERLINK("https://probpalata.gov.ru/files/ЮЛ780300308200203.jpeg","Скачать индивидуальный QR-код магазина")</f>
        <v>Скачать индивидуальный QR-код магазина</v>
      </c>
    </row>
    <row r="4791" spans="1:7" x14ac:dyDescent="0.25">
      <c r="A4791" t="s">
        <v>13087</v>
      </c>
      <c r="B4791" t="s">
        <v>15422</v>
      </c>
      <c r="C4791" t="s">
        <v>798</v>
      </c>
      <c r="D4791" t="s">
        <v>799</v>
      </c>
      <c r="E4791" t="s">
        <v>800</v>
      </c>
      <c r="F4791" t="s">
        <v>15423</v>
      </c>
      <c r="G4791" s="2" t="str">
        <f>HYPERLINK("https://probpalata.gov.ru/files/ЮЛ780300308200252.jpeg","Скачать индивидуальный QR-код магазина")</f>
        <v>Скачать индивидуальный QR-код магазина</v>
      </c>
    </row>
    <row r="4792" spans="1:7" x14ac:dyDescent="0.25">
      <c r="A4792" t="s">
        <v>13087</v>
      </c>
      <c r="B4792" t="s">
        <v>15424</v>
      </c>
      <c r="C4792" t="s">
        <v>798</v>
      </c>
      <c r="D4792" t="s">
        <v>799</v>
      </c>
      <c r="E4792" t="s">
        <v>800</v>
      </c>
      <c r="F4792" t="s">
        <v>15425</v>
      </c>
      <c r="G4792" s="2" t="str">
        <f>HYPERLINK("https://probpalata.gov.ru/files/ЮЛ780300308200265.jpeg","Скачать индивидуальный QR-код магазина")</f>
        <v>Скачать индивидуальный QR-код магазина</v>
      </c>
    </row>
    <row r="4793" spans="1:7" x14ac:dyDescent="0.25">
      <c r="A4793" t="s">
        <v>13087</v>
      </c>
      <c r="B4793" t="s">
        <v>15426</v>
      </c>
      <c r="C4793" t="s">
        <v>798</v>
      </c>
      <c r="D4793" t="s">
        <v>799</v>
      </c>
      <c r="E4793" t="s">
        <v>800</v>
      </c>
      <c r="F4793" t="s">
        <v>15427</v>
      </c>
      <c r="G4793" s="2" t="str">
        <f>HYPERLINK("https://probpalata.gov.ru/files/ЮЛ780300308200267.jpeg","Скачать индивидуальный QR-код магазина")</f>
        <v>Скачать индивидуальный QR-код магазина</v>
      </c>
    </row>
    <row r="4794" spans="1:7" x14ac:dyDescent="0.25">
      <c r="A4794" t="s">
        <v>13087</v>
      </c>
      <c r="B4794" t="s">
        <v>15428</v>
      </c>
      <c r="C4794" t="s">
        <v>798</v>
      </c>
      <c r="D4794" t="s">
        <v>799</v>
      </c>
      <c r="E4794" t="s">
        <v>800</v>
      </c>
      <c r="F4794" t="s">
        <v>15429</v>
      </c>
      <c r="G4794" s="2" t="str">
        <f>HYPERLINK("https://probpalata.gov.ru/files/ЮЛ780300308200271.jpeg","Скачать индивидуальный QR-код магазина")</f>
        <v>Скачать индивидуальный QR-код магазина</v>
      </c>
    </row>
    <row r="4795" spans="1:7" x14ac:dyDescent="0.25">
      <c r="A4795" t="s">
        <v>13087</v>
      </c>
      <c r="B4795" t="s">
        <v>15430</v>
      </c>
      <c r="C4795" t="s">
        <v>798</v>
      </c>
      <c r="D4795" t="s">
        <v>799</v>
      </c>
      <c r="E4795" t="s">
        <v>800</v>
      </c>
      <c r="F4795" t="s">
        <v>15431</v>
      </c>
      <c r="G4795" s="2" t="str">
        <f>HYPERLINK("https://probpalata.gov.ru/files/ЮЛ780300308200275.jpeg","Скачать индивидуальный QR-код магазина")</f>
        <v>Скачать индивидуальный QR-код магазина</v>
      </c>
    </row>
    <row r="4796" spans="1:7" x14ac:dyDescent="0.25">
      <c r="A4796" t="s">
        <v>13087</v>
      </c>
      <c r="B4796" t="s">
        <v>15432</v>
      </c>
      <c r="C4796" t="s">
        <v>798</v>
      </c>
      <c r="D4796" t="s">
        <v>799</v>
      </c>
      <c r="E4796" t="s">
        <v>800</v>
      </c>
      <c r="F4796" t="s">
        <v>15433</v>
      </c>
      <c r="G4796" s="2" t="str">
        <f>HYPERLINK("https://probpalata.gov.ru/files/ЮЛ780300308200323.jpeg","Скачать индивидуальный QR-код магазина")</f>
        <v>Скачать индивидуальный QR-код магазина</v>
      </c>
    </row>
    <row r="4797" spans="1:7" x14ac:dyDescent="0.25">
      <c r="A4797" t="s">
        <v>13087</v>
      </c>
      <c r="B4797" t="s">
        <v>15434</v>
      </c>
      <c r="C4797" t="s">
        <v>798</v>
      </c>
      <c r="D4797" t="s">
        <v>799</v>
      </c>
      <c r="E4797" t="s">
        <v>800</v>
      </c>
      <c r="F4797" t="s">
        <v>15435</v>
      </c>
      <c r="G4797" s="2" t="str">
        <f>HYPERLINK("https://probpalata.gov.ru/files/ЮЛ780300308200368.jpeg","Скачать индивидуальный QR-код магазина")</f>
        <v>Скачать индивидуальный QR-код магазина</v>
      </c>
    </row>
    <row r="4798" spans="1:7" x14ac:dyDescent="0.25">
      <c r="A4798" t="s">
        <v>13087</v>
      </c>
      <c r="B4798" t="s">
        <v>15436</v>
      </c>
      <c r="C4798" t="s">
        <v>798</v>
      </c>
      <c r="D4798" t="s">
        <v>799</v>
      </c>
      <c r="E4798" t="s">
        <v>800</v>
      </c>
      <c r="F4798" t="s">
        <v>15437</v>
      </c>
      <c r="G4798" s="2" t="str">
        <f>HYPERLINK("https://probpalata.gov.ru/files/ЮЛ780300308200433.jpeg","Скачать индивидуальный QR-код магазина")</f>
        <v>Скачать индивидуальный QR-код магазина</v>
      </c>
    </row>
    <row r="4799" spans="1:7" x14ac:dyDescent="0.25">
      <c r="A4799" t="s">
        <v>13087</v>
      </c>
      <c r="B4799" t="s">
        <v>15301</v>
      </c>
      <c r="C4799" t="s">
        <v>798</v>
      </c>
      <c r="D4799" t="s">
        <v>799</v>
      </c>
      <c r="E4799" t="s">
        <v>800</v>
      </c>
      <c r="F4799" t="s">
        <v>15438</v>
      </c>
      <c r="G4799" s="2" t="str">
        <f>HYPERLINK("https://probpalata.gov.ru/files/ЮЛ780300308200437.jpeg","Скачать индивидуальный QR-код магазина")</f>
        <v>Скачать индивидуальный QR-код магазина</v>
      </c>
    </row>
    <row r="4800" spans="1:7" x14ac:dyDescent="0.25">
      <c r="A4800" t="s">
        <v>13087</v>
      </c>
      <c r="B4800" t="s">
        <v>15439</v>
      </c>
      <c r="C4800" t="s">
        <v>798</v>
      </c>
      <c r="D4800" t="s">
        <v>799</v>
      </c>
      <c r="E4800" t="s">
        <v>800</v>
      </c>
      <c r="F4800" t="s">
        <v>15440</v>
      </c>
      <c r="G4800" s="2" t="str">
        <f>HYPERLINK("https://probpalata.gov.ru/files/ЮЛ780300308200447.jpeg","Скачать индивидуальный QR-код магазина")</f>
        <v>Скачать индивидуальный QR-код магазина</v>
      </c>
    </row>
    <row r="4801" spans="1:7" x14ac:dyDescent="0.25">
      <c r="A4801" t="s">
        <v>13087</v>
      </c>
      <c r="B4801" t="s">
        <v>15441</v>
      </c>
      <c r="C4801" t="s">
        <v>798</v>
      </c>
      <c r="D4801" t="s">
        <v>799</v>
      </c>
      <c r="E4801" t="s">
        <v>800</v>
      </c>
      <c r="F4801" t="s">
        <v>15442</v>
      </c>
      <c r="G4801" s="2" t="str">
        <f>HYPERLINK("https://probpalata.gov.ru/files/ЮЛ780300308200448.jpeg","Скачать индивидуальный QR-код магазина")</f>
        <v>Скачать индивидуальный QR-код магазина</v>
      </c>
    </row>
    <row r="4802" spans="1:7" x14ac:dyDescent="0.25">
      <c r="A4802" t="s">
        <v>13087</v>
      </c>
      <c r="B4802" t="s">
        <v>15133</v>
      </c>
      <c r="C4802" t="s">
        <v>798</v>
      </c>
      <c r="D4802" t="s">
        <v>799</v>
      </c>
      <c r="E4802" t="s">
        <v>800</v>
      </c>
      <c r="F4802" t="s">
        <v>15443</v>
      </c>
      <c r="G4802" s="2" t="str">
        <f>HYPERLINK("https://probpalata.gov.ru/files/ЮЛ780300308200456.jpeg","Скачать индивидуальный QR-код магазина")</f>
        <v>Скачать индивидуальный QR-код магазина</v>
      </c>
    </row>
    <row r="4803" spans="1:7" x14ac:dyDescent="0.25">
      <c r="A4803" t="s">
        <v>13087</v>
      </c>
      <c r="B4803" t="s">
        <v>15444</v>
      </c>
      <c r="C4803" t="s">
        <v>798</v>
      </c>
      <c r="D4803" t="s">
        <v>799</v>
      </c>
      <c r="E4803" t="s">
        <v>800</v>
      </c>
      <c r="F4803" t="s">
        <v>15445</v>
      </c>
      <c r="G4803" s="2" t="str">
        <f>HYPERLINK("https://probpalata.gov.ru/files/ЮЛ780300308200457.jpeg","Скачать индивидуальный QR-код магазина")</f>
        <v>Скачать индивидуальный QR-код магазина</v>
      </c>
    </row>
    <row r="4804" spans="1:7" x14ac:dyDescent="0.25">
      <c r="A4804" t="s">
        <v>13087</v>
      </c>
      <c r="B4804" t="s">
        <v>15446</v>
      </c>
      <c r="C4804" t="s">
        <v>798</v>
      </c>
      <c r="D4804" t="s">
        <v>799</v>
      </c>
      <c r="E4804" t="s">
        <v>800</v>
      </c>
      <c r="F4804" t="s">
        <v>15447</v>
      </c>
      <c r="G4804" s="2" t="str">
        <f>HYPERLINK("https://probpalata.gov.ru/files/ЮЛ780300308200458.jpeg","Скачать индивидуальный QR-код магазина")</f>
        <v>Скачать индивидуальный QR-код магазина</v>
      </c>
    </row>
    <row r="4805" spans="1:7" x14ac:dyDescent="0.25">
      <c r="A4805" t="s">
        <v>13087</v>
      </c>
      <c r="B4805" t="s">
        <v>15448</v>
      </c>
      <c r="C4805" t="s">
        <v>798</v>
      </c>
      <c r="D4805" t="s">
        <v>799</v>
      </c>
      <c r="E4805" t="s">
        <v>800</v>
      </c>
      <c r="F4805" t="s">
        <v>15449</v>
      </c>
      <c r="G4805" s="2" t="str">
        <f>HYPERLINK("https://probpalata.gov.ru/files/ЮЛ780300308200460.jpeg","Скачать индивидуальный QR-код магазина")</f>
        <v>Скачать индивидуальный QR-код магазина</v>
      </c>
    </row>
    <row r="4806" spans="1:7" x14ac:dyDescent="0.25">
      <c r="A4806" t="s">
        <v>13087</v>
      </c>
      <c r="B4806" t="s">
        <v>15450</v>
      </c>
      <c r="C4806" t="s">
        <v>798</v>
      </c>
      <c r="D4806" t="s">
        <v>799</v>
      </c>
      <c r="E4806" t="s">
        <v>800</v>
      </c>
      <c r="F4806" t="s">
        <v>15451</v>
      </c>
      <c r="G4806" s="2" t="str">
        <f>HYPERLINK("https://probpalata.gov.ru/files/ЮЛ780300308200513.jpeg","Скачать индивидуальный QR-код магазина")</f>
        <v>Скачать индивидуальный QR-код магазина</v>
      </c>
    </row>
    <row r="4807" spans="1:7" x14ac:dyDescent="0.25">
      <c r="A4807" t="s">
        <v>13087</v>
      </c>
      <c r="B4807" t="s">
        <v>15452</v>
      </c>
      <c r="C4807" t="s">
        <v>798</v>
      </c>
      <c r="D4807" t="s">
        <v>799</v>
      </c>
      <c r="E4807" t="s">
        <v>800</v>
      </c>
      <c r="F4807" t="s">
        <v>15453</v>
      </c>
      <c r="G4807" s="2" t="str">
        <f>HYPERLINK("https://probpalata.gov.ru/files/ЮЛ780300308200530.jpeg","Скачать индивидуальный QR-код магазина")</f>
        <v>Скачать индивидуальный QR-код магазина</v>
      </c>
    </row>
    <row r="4808" spans="1:7" x14ac:dyDescent="0.25">
      <c r="A4808" t="s">
        <v>13087</v>
      </c>
      <c r="B4808" t="s">
        <v>15454</v>
      </c>
      <c r="C4808" t="s">
        <v>798</v>
      </c>
      <c r="D4808" t="s">
        <v>799</v>
      </c>
      <c r="E4808" t="s">
        <v>800</v>
      </c>
      <c r="F4808" t="s">
        <v>15455</v>
      </c>
      <c r="G4808" s="2" t="str">
        <f>HYPERLINK("https://probpalata.gov.ru/files/ЮЛ780300308200538.jpeg","Скачать индивидуальный QR-код магазина")</f>
        <v>Скачать индивидуальный QR-код магазина</v>
      </c>
    </row>
    <row r="4809" spans="1:7" x14ac:dyDescent="0.25">
      <c r="A4809" t="s">
        <v>13087</v>
      </c>
      <c r="B4809" t="s">
        <v>15355</v>
      </c>
      <c r="C4809" t="s">
        <v>798</v>
      </c>
      <c r="D4809" t="s">
        <v>799</v>
      </c>
      <c r="E4809" t="s">
        <v>800</v>
      </c>
      <c r="F4809" t="s">
        <v>15456</v>
      </c>
      <c r="G4809" s="2" t="str">
        <f>HYPERLINK("https://probpalata.gov.ru/files/ЮЛ780300308200541.jpeg","Скачать индивидуальный QR-код магазина")</f>
        <v>Скачать индивидуальный QR-код магазина</v>
      </c>
    </row>
    <row r="4810" spans="1:7" x14ac:dyDescent="0.25">
      <c r="A4810" t="s">
        <v>13087</v>
      </c>
      <c r="B4810" t="s">
        <v>15457</v>
      </c>
      <c r="C4810" t="s">
        <v>798</v>
      </c>
      <c r="D4810" t="s">
        <v>799</v>
      </c>
      <c r="E4810" t="s">
        <v>800</v>
      </c>
      <c r="F4810" t="s">
        <v>15458</v>
      </c>
      <c r="G4810" s="2" t="str">
        <f>HYPERLINK("https://probpalata.gov.ru/files/ЮЛ780300308200543.jpeg","Скачать индивидуальный QR-код магазина")</f>
        <v>Скачать индивидуальный QR-код магазина</v>
      </c>
    </row>
    <row r="4811" spans="1:7" x14ac:dyDescent="0.25">
      <c r="A4811" t="s">
        <v>13087</v>
      </c>
      <c r="B4811" t="s">
        <v>15459</v>
      </c>
      <c r="C4811" t="s">
        <v>798</v>
      </c>
      <c r="D4811" t="s">
        <v>799</v>
      </c>
      <c r="E4811" t="s">
        <v>800</v>
      </c>
      <c r="F4811" t="s">
        <v>15460</v>
      </c>
      <c r="G4811" s="2" t="str">
        <f>HYPERLINK("https://probpalata.gov.ru/files/ЮЛ780300308200545.jpeg","Скачать индивидуальный QR-код магазина")</f>
        <v>Скачать индивидуальный QR-код магазина</v>
      </c>
    </row>
    <row r="4812" spans="1:7" x14ac:dyDescent="0.25">
      <c r="A4812" t="s">
        <v>13087</v>
      </c>
      <c r="B4812" t="s">
        <v>15461</v>
      </c>
      <c r="C4812" t="s">
        <v>798</v>
      </c>
      <c r="D4812" t="s">
        <v>799</v>
      </c>
      <c r="E4812" t="s">
        <v>800</v>
      </c>
      <c r="F4812" t="s">
        <v>15462</v>
      </c>
      <c r="G4812" s="2" t="str">
        <f>HYPERLINK("https://probpalata.gov.ru/files/ЮЛ780300308200613.jpeg","Скачать индивидуальный QR-код магазина")</f>
        <v>Скачать индивидуальный QR-код магазина</v>
      </c>
    </row>
    <row r="4813" spans="1:7" x14ac:dyDescent="0.25">
      <c r="A4813" t="s">
        <v>13087</v>
      </c>
      <c r="B4813" t="s">
        <v>15463</v>
      </c>
      <c r="C4813" t="s">
        <v>798</v>
      </c>
      <c r="D4813" t="s">
        <v>799</v>
      </c>
      <c r="E4813" t="s">
        <v>800</v>
      </c>
      <c r="F4813" t="s">
        <v>15464</v>
      </c>
      <c r="G4813" s="2" t="str">
        <f>HYPERLINK("https://probpalata.gov.ru/files/ЮЛ780300308200638.jpeg","Скачать индивидуальный QR-код магазина")</f>
        <v>Скачать индивидуальный QR-код магазина</v>
      </c>
    </row>
    <row r="4814" spans="1:7" x14ac:dyDescent="0.25">
      <c r="A4814" t="s">
        <v>13087</v>
      </c>
      <c r="B4814" t="s">
        <v>15465</v>
      </c>
      <c r="C4814" t="s">
        <v>798</v>
      </c>
      <c r="D4814" t="s">
        <v>799</v>
      </c>
      <c r="E4814" t="s">
        <v>800</v>
      </c>
      <c r="F4814" t="s">
        <v>15466</v>
      </c>
      <c r="G4814" s="2" t="str">
        <f>HYPERLINK("https://probpalata.gov.ru/files/ЮЛ780300308200651.jpeg","Скачать индивидуальный QR-код магазина")</f>
        <v>Скачать индивидуальный QR-код магазина</v>
      </c>
    </row>
    <row r="4815" spans="1:7" x14ac:dyDescent="0.25">
      <c r="A4815" t="s">
        <v>13087</v>
      </c>
      <c r="B4815" t="s">
        <v>15467</v>
      </c>
      <c r="C4815" t="s">
        <v>798</v>
      </c>
      <c r="D4815" t="s">
        <v>799</v>
      </c>
      <c r="E4815" t="s">
        <v>800</v>
      </c>
      <c r="F4815" t="s">
        <v>15468</v>
      </c>
      <c r="G4815" s="2" t="str">
        <f>HYPERLINK("https://probpalata.gov.ru/files/ЮЛ780300308200653.jpeg","Скачать индивидуальный QR-код магазина")</f>
        <v>Скачать индивидуальный QR-код магазина</v>
      </c>
    </row>
    <row r="4816" spans="1:7" x14ac:dyDescent="0.25">
      <c r="A4816" t="s">
        <v>13087</v>
      </c>
      <c r="B4816" t="s">
        <v>15469</v>
      </c>
      <c r="C4816" t="s">
        <v>798</v>
      </c>
      <c r="D4816" t="s">
        <v>799</v>
      </c>
      <c r="E4816" t="s">
        <v>800</v>
      </c>
      <c r="F4816" t="s">
        <v>15470</v>
      </c>
      <c r="G4816" s="2" t="str">
        <f>HYPERLINK("https://probpalata.gov.ru/files/ЮЛ780300308200733.jpeg","Скачать индивидуальный QR-код магазина")</f>
        <v>Скачать индивидуальный QR-код магазина</v>
      </c>
    </row>
    <row r="4817" spans="1:7" x14ac:dyDescent="0.25">
      <c r="A4817" t="s">
        <v>13087</v>
      </c>
      <c r="B4817" t="s">
        <v>15471</v>
      </c>
      <c r="C4817" t="s">
        <v>798</v>
      </c>
      <c r="D4817" t="s">
        <v>799</v>
      </c>
      <c r="E4817" t="s">
        <v>800</v>
      </c>
      <c r="F4817" t="s">
        <v>15472</v>
      </c>
      <c r="G4817" s="2" t="str">
        <f>HYPERLINK("https://probpalata.gov.ru/files/ЮЛ780300308200734.jpeg","Скачать индивидуальный QR-код магазина")</f>
        <v>Скачать индивидуальный QR-код магазина</v>
      </c>
    </row>
    <row r="4818" spans="1:7" x14ac:dyDescent="0.25">
      <c r="A4818" t="s">
        <v>13087</v>
      </c>
      <c r="B4818" t="s">
        <v>15473</v>
      </c>
      <c r="C4818" t="s">
        <v>798</v>
      </c>
      <c r="D4818" t="s">
        <v>799</v>
      </c>
      <c r="E4818" t="s">
        <v>800</v>
      </c>
      <c r="F4818" t="s">
        <v>15474</v>
      </c>
      <c r="G4818" s="2" t="str">
        <f>HYPERLINK("https://probpalata.gov.ru/files/ЮЛ780300308200735.jpeg","Скачать индивидуальный QR-код магазина")</f>
        <v>Скачать индивидуальный QR-код магазина</v>
      </c>
    </row>
    <row r="4819" spans="1:7" x14ac:dyDescent="0.25">
      <c r="A4819" t="s">
        <v>13087</v>
      </c>
      <c r="B4819" t="s">
        <v>15475</v>
      </c>
      <c r="C4819" t="s">
        <v>798</v>
      </c>
      <c r="D4819" t="s">
        <v>799</v>
      </c>
      <c r="E4819" t="s">
        <v>800</v>
      </c>
      <c r="F4819" t="s">
        <v>15476</v>
      </c>
      <c r="G4819" s="2" t="str">
        <f>HYPERLINK("https://probpalata.gov.ru/files/ЮЛ780300308200737.jpeg","Скачать индивидуальный QR-код магазина")</f>
        <v>Скачать индивидуальный QR-код магазина</v>
      </c>
    </row>
    <row r="4820" spans="1:7" x14ac:dyDescent="0.25">
      <c r="A4820" t="s">
        <v>13087</v>
      </c>
      <c r="B4820" t="s">
        <v>15477</v>
      </c>
      <c r="C4820" t="s">
        <v>798</v>
      </c>
      <c r="D4820" t="s">
        <v>799</v>
      </c>
      <c r="E4820" t="s">
        <v>800</v>
      </c>
      <c r="F4820" t="s">
        <v>15478</v>
      </c>
      <c r="G4820" s="2" t="str">
        <f>HYPERLINK("https://probpalata.gov.ru/files/ЮЛ780300308200738.jpeg","Скачать индивидуальный QR-код магазина")</f>
        <v>Скачать индивидуальный QR-код магазина</v>
      </c>
    </row>
    <row r="4821" spans="1:7" x14ac:dyDescent="0.25">
      <c r="A4821" t="s">
        <v>13087</v>
      </c>
      <c r="B4821" t="s">
        <v>15339</v>
      </c>
      <c r="C4821" t="s">
        <v>798</v>
      </c>
      <c r="D4821" t="s">
        <v>799</v>
      </c>
      <c r="E4821" t="s">
        <v>800</v>
      </c>
      <c r="F4821" t="s">
        <v>15479</v>
      </c>
      <c r="G4821" s="2" t="str">
        <f>HYPERLINK("https://probpalata.gov.ru/files/ЮЛ780300308200816.jpeg","Скачать индивидуальный QR-код магазина")</f>
        <v>Скачать индивидуальный QR-код магазина</v>
      </c>
    </row>
    <row r="4822" spans="1:7" x14ac:dyDescent="0.25">
      <c r="A4822" t="s">
        <v>13087</v>
      </c>
      <c r="B4822" t="s">
        <v>15480</v>
      </c>
      <c r="C4822" t="s">
        <v>798</v>
      </c>
      <c r="D4822" t="s">
        <v>799</v>
      </c>
      <c r="E4822" t="s">
        <v>800</v>
      </c>
      <c r="F4822" t="s">
        <v>15481</v>
      </c>
      <c r="G4822" s="2" t="str">
        <f>HYPERLINK("https://probpalata.gov.ru/files/ЮЛ780300308200817.jpeg","Скачать индивидуальный QR-код магазина")</f>
        <v>Скачать индивидуальный QR-код магазина</v>
      </c>
    </row>
    <row r="4823" spans="1:7" x14ac:dyDescent="0.25">
      <c r="A4823" t="s">
        <v>13087</v>
      </c>
      <c r="B4823" t="s">
        <v>15482</v>
      </c>
      <c r="C4823" t="s">
        <v>798</v>
      </c>
      <c r="D4823" t="s">
        <v>799</v>
      </c>
      <c r="E4823" t="s">
        <v>800</v>
      </c>
      <c r="F4823" t="s">
        <v>15483</v>
      </c>
      <c r="G4823" s="2" t="str">
        <f>HYPERLINK("https://probpalata.gov.ru/files/ЮЛ780300308200819.jpeg","Скачать индивидуальный QR-код магазина")</f>
        <v>Скачать индивидуальный QR-код магазина</v>
      </c>
    </row>
    <row r="4824" spans="1:7" x14ac:dyDescent="0.25">
      <c r="A4824" t="s">
        <v>13087</v>
      </c>
      <c r="B4824" t="s">
        <v>15484</v>
      </c>
      <c r="C4824" t="s">
        <v>798</v>
      </c>
      <c r="D4824" t="s">
        <v>799</v>
      </c>
      <c r="E4824" t="s">
        <v>800</v>
      </c>
      <c r="F4824" t="s">
        <v>15485</v>
      </c>
      <c r="G4824" s="2" t="str">
        <f>HYPERLINK("https://probpalata.gov.ru/files/ЮЛ780300308200825.jpeg","Скачать индивидуальный QR-код магазина")</f>
        <v>Скачать индивидуальный QR-код магазина</v>
      </c>
    </row>
    <row r="4825" spans="1:7" x14ac:dyDescent="0.25">
      <c r="A4825" t="s">
        <v>13087</v>
      </c>
      <c r="B4825" t="s">
        <v>15486</v>
      </c>
      <c r="C4825" t="s">
        <v>798</v>
      </c>
      <c r="D4825" t="s">
        <v>799</v>
      </c>
      <c r="E4825" t="s">
        <v>800</v>
      </c>
      <c r="F4825" t="s">
        <v>15487</v>
      </c>
      <c r="G4825" s="2" t="str">
        <f>HYPERLINK("https://probpalata.gov.ru/files/ЮЛ780300308200835.jpeg","Скачать индивидуальный QR-код магазина")</f>
        <v>Скачать индивидуальный QR-код магазина</v>
      </c>
    </row>
    <row r="4826" spans="1:7" x14ac:dyDescent="0.25">
      <c r="A4826" t="s">
        <v>13087</v>
      </c>
      <c r="B4826" t="s">
        <v>15488</v>
      </c>
      <c r="C4826" t="s">
        <v>798</v>
      </c>
      <c r="D4826" t="s">
        <v>799</v>
      </c>
      <c r="E4826" t="s">
        <v>800</v>
      </c>
      <c r="F4826" t="s">
        <v>15489</v>
      </c>
      <c r="G4826" s="2" t="str">
        <f>HYPERLINK("https://probpalata.gov.ru/files/ЮЛ780300308200836.jpeg","Скачать индивидуальный QR-код магазина")</f>
        <v>Скачать индивидуальный QR-код магазина</v>
      </c>
    </row>
    <row r="4827" spans="1:7" x14ac:dyDescent="0.25">
      <c r="A4827" t="s">
        <v>13087</v>
      </c>
      <c r="B4827" t="s">
        <v>15490</v>
      </c>
      <c r="C4827" t="s">
        <v>798</v>
      </c>
      <c r="D4827" t="s">
        <v>799</v>
      </c>
      <c r="E4827" t="s">
        <v>800</v>
      </c>
      <c r="F4827" t="s">
        <v>15491</v>
      </c>
      <c r="G4827" s="2" t="str">
        <f>HYPERLINK("https://probpalata.gov.ru/files/ЮЛ780300308200837.jpeg","Скачать индивидуальный QR-код магазина")</f>
        <v>Скачать индивидуальный QR-код магазина</v>
      </c>
    </row>
    <row r="4828" spans="1:7" x14ac:dyDescent="0.25">
      <c r="A4828" t="s">
        <v>13087</v>
      </c>
      <c r="B4828" t="s">
        <v>15492</v>
      </c>
      <c r="C4828" t="s">
        <v>798</v>
      </c>
      <c r="D4828" t="s">
        <v>799</v>
      </c>
      <c r="E4828" t="s">
        <v>800</v>
      </c>
      <c r="F4828" t="s">
        <v>15493</v>
      </c>
      <c r="G4828" s="2" t="str">
        <f>HYPERLINK("https://probpalata.gov.ru/files/ЮЛ780300308200841.jpeg","Скачать индивидуальный QR-код магазина")</f>
        <v>Скачать индивидуальный QR-код магазина</v>
      </c>
    </row>
    <row r="4829" spans="1:7" x14ac:dyDescent="0.25">
      <c r="A4829" t="s">
        <v>13087</v>
      </c>
      <c r="B4829" t="s">
        <v>15494</v>
      </c>
      <c r="C4829" t="s">
        <v>798</v>
      </c>
      <c r="D4829" t="s">
        <v>799</v>
      </c>
      <c r="E4829" t="s">
        <v>800</v>
      </c>
      <c r="F4829" t="s">
        <v>15495</v>
      </c>
      <c r="G4829" s="2" t="str">
        <f>HYPERLINK("https://probpalata.gov.ru/files/ЮЛ780300308200844.jpeg","Скачать индивидуальный QR-код магазина")</f>
        <v>Скачать индивидуальный QR-код магазина</v>
      </c>
    </row>
    <row r="4830" spans="1:7" x14ac:dyDescent="0.25">
      <c r="A4830" t="s">
        <v>13087</v>
      </c>
      <c r="B4830" t="s">
        <v>15496</v>
      </c>
      <c r="C4830" t="s">
        <v>798</v>
      </c>
      <c r="D4830" t="s">
        <v>799</v>
      </c>
      <c r="E4830" t="s">
        <v>800</v>
      </c>
      <c r="F4830" t="s">
        <v>15497</v>
      </c>
      <c r="G4830" s="2" t="str">
        <f>HYPERLINK("https://probpalata.gov.ru/files/ЮЛ780300308200847.jpeg","Скачать индивидуальный QR-код магазина")</f>
        <v>Скачать индивидуальный QR-код магазина</v>
      </c>
    </row>
    <row r="4831" spans="1:7" x14ac:dyDescent="0.25">
      <c r="A4831" t="s">
        <v>13087</v>
      </c>
      <c r="B4831" t="s">
        <v>15498</v>
      </c>
      <c r="C4831" t="s">
        <v>798</v>
      </c>
      <c r="D4831" t="s">
        <v>799</v>
      </c>
      <c r="E4831" t="s">
        <v>800</v>
      </c>
      <c r="F4831" t="s">
        <v>15499</v>
      </c>
      <c r="G4831" s="2" t="str">
        <f>HYPERLINK("https://probpalata.gov.ru/files/ЮЛ780300308200852.jpeg","Скачать индивидуальный QR-код магазина")</f>
        <v>Скачать индивидуальный QR-код магазина</v>
      </c>
    </row>
    <row r="4832" spans="1:7" x14ac:dyDescent="0.25">
      <c r="A4832" t="s">
        <v>13087</v>
      </c>
      <c r="B4832" t="s">
        <v>15500</v>
      </c>
      <c r="C4832" t="s">
        <v>798</v>
      </c>
      <c r="D4832" t="s">
        <v>799</v>
      </c>
      <c r="E4832" t="s">
        <v>800</v>
      </c>
      <c r="F4832" t="s">
        <v>15501</v>
      </c>
      <c r="G4832" s="2" t="str">
        <f>HYPERLINK("https://probpalata.gov.ru/files/ЮЛ780300308200855.jpeg","Скачать индивидуальный QR-код магазина")</f>
        <v>Скачать индивидуальный QR-код магазина</v>
      </c>
    </row>
    <row r="4833" spans="1:7" x14ac:dyDescent="0.25">
      <c r="A4833" t="s">
        <v>13087</v>
      </c>
      <c r="B4833" t="s">
        <v>15502</v>
      </c>
      <c r="C4833" t="s">
        <v>798</v>
      </c>
      <c r="D4833" t="s">
        <v>799</v>
      </c>
      <c r="E4833" t="s">
        <v>800</v>
      </c>
      <c r="F4833" t="s">
        <v>15503</v>
      </c>
      <c r="G4833" s="2" t="str">
        <f>HYPERLINK("https://probpalata.gov.ru/files/ЮЛ780300308200857.jpeg","Скачать индивидуальный QR-код магазина")</f>
        <v>Скачать индивидуальный QR-код магазина</v>
      </c>
    </row>
    <row r="4834" spans="1:7" x14ac:dyDescent="0.25">
      <c r="A4834" t="s">
        <v>13087</v>
      </c>
      <c r="B4834" t="s">
        <v>13340</v>
      </c>
      <c r="C4834" t="s">
        <v>798</v>
      </c>
      <c r="D4834" t="s">
        <v>799</v>
      </c>
      <c r="E4834" t="s">
        <v>800</v>
      </c>
      <c r="F4834" t="s">
        <v>15504</v>
      </c>
      <c r="G4834" s="2" t="str">
        <f>HYPERLINK("https://probpalata.gov.ru/files/ЮЛ780300308200865.jpeg","Скачать индивидуальный QR-код магазина")</f>
        <v>Скачать индивидуальный QR-код магазина</v>
      </c>
    </row>
    <row r="4835" spans="1:7" x14ac:dyDescent="0.25">
      <c r="A4835" t="s">
        <v>13087</v>
      </c>
      <c r="B4835" t="s">
        <v>15505</v>
      </c>
      <c r="C4835" t="s">
        <v>798</v>
      </c>
      <c r="D4835" t="s">
        <v>799</v>
      </c>
      <c r="E4835" t="s">
        <v>800</v>
      </c>
      <c r="F4835" t="s">
        <v>15506</v>
      </c>
      <c r="G4835" s="2" t="str">
        <f>HYPERLINK("https://probpalata.gov.ru/files/ЮЛ780300308200866.jpeg","Скачать индивидуальный QR-код магазина")</f>
        <v>Скачать индивидуальный QR-код магазина</v>
      </c>
    </row>
    <row r="4836" spans="1:7" x14ac:dyDescent="0.25">
      <c r="A4836" t="s">
        <v>13087</v>
      </c>
      <c r="B4836" t="s">
        <v>13739</v>
      </c>
      <c r="C4836" t="s">
        <v>798</v>
      </c>
      <c r="D4836" t="s">
        <v>799</v>
      </c>
      <c r="E4836" t="s">
        <v>800</v>
      </c>
      <c r="F4836" t="s">
        <v>15507</v>
      </c>
      <c r="G4836" s="2" t="str">
        <f>HYPERLINK("https://probpalata.gov.ru/files/ЮЛ780300308200871.jpeg","Скачать индивидуальный QR-код магазина")</f>
        <v>Скачать индивидуальный QR-код магазина</v>
      </c>
    </row>
    <row r="4837" spans="1:7" x14ac:dyDescent="0.25">
      <c r="A4837" t="s">
        <v>13087</v>
      </c>
      <c r="B4837" t="s">
        <v>15508</v>
      </c>
      <c r="C4837" t="s">
        <v>798</v>
      </c>
      <c r="D4837" t="s">
        <v>799</v>
      </c>
      <c r="E4837" t="s">
        <v>800</v>
      </c>
      <c r="F4837" t="s">
        <v>15509</v>
      </c>
      <c r="G4837" s="2" t="str">
        <f>HYPERLINK("https://probpalata.gov.ru/files/ЮЛ780300308200872.jpeg","Скачать индивидуальный QR-код магазина")</f>
        <v>Скачать индивидуальный QR-код магазина</v>
      </c>
    </row>
    <row r="4838" spans="1:7" x14ac:dyDescent="0.25">
      <c r="A4838" t="s">
        <v>13087</v>
      </c>
      <c r="B4838" t="s">
        <v>15510</v>
      </c>
      <c r="C4838" t="s">
        <v>798</v>
      </c>
      <c r="D4838" t="s">
        <v>799</v>
      </c>
      <c r="E4838" t="s">
        <v>800</v>
      </c>
      <c r="F4838" t="s">
        <v>15511</v>
      </c>
      <c r="G4838" s="2" t="str">
        <f>HYPERLINK("https://probpalata.gov.ru/files/ЮЛ780300308200882.jpeg","Скачать индивидуальный QR-код магазина")</f>
        <v>Скачать индивидуальный QR-код магазина</v>
      </c>
    </row>
    <row r="4839" spans="1:7" x14ac:dyDescent="0.25">
      <c r="A4839" t="s">
        <v>13087</v>
      </c>
      <c r="B4839" t="s">
        <v>15512</v>
      </c>
      <c r="C4839" t="s">
        <v>798</v>
      </c>
      <c r="D4839" t="s">
        <v>799</v>
      </c>
      <c r="E4839" t="s">
        <v>800</v>
      </c>
      <c r="F4839" t="s">
        <v>15513</v>
      </c>
      <c r="G4839" s="2" t="str">
        <f>HYPERLINK("https://probpalata.gov.ru/files/ЮЛ780300308200883.jpeg","Скачать индивидуальный QR-код магазина")</f>
        <v>Скачать индивидуальный QR-код магазина</v>
      </c>
    </row>
    <row r="4840" spans="1:7" x14ac:dyDescent="0.25">
      <c r="A4840" t="s">
        <v>13087</v>
      </c>
      <c r="B4840" t="s">
        <v>15514</v>
      </c>
      <c r="C4840" t="s">
        <v>798</v>
      </c>
      <c r="D4840" t="s">
        <v>799</v>
      </c>
      <c r="E4840" t="s">
        <v>800</v>
      </c>
      <c r="F4840" t="s">
        <v>15515</v>
      </c>
      <c r="G4840" s="2" t="str">
        <f>HYPERLINK("https://probpalata.gov.ru/files/ЮЛ780300308200974.jpeg","Скачать индивидуальный QR-код магазина")</f>
        <v>Скачать индивидуальный QR-код магазина</v>
      </c>
    </row>
    <row r="4841" spans="1:7" x14ac:dyDescent="0.25">
      <c r="A4841" t="s">
        <v>13087</v>
      </c>
      <c r="B4841" t="s">
        <v>14922</v>
      </c>
      <c r="C4841" t="s">
        <v>798</v>
      </c>
      <c r="D4841" t="s">
        <v>799</v>
      </c>
      <c r="E4841" t="s">
        <v>800</v>
      </c>
      <c r="F4841" t="s">
        <v>15516</v>
      </c>
      <c r="G4841" s="2" t="str">
        <f>HYPERLINK("https://probpalata.gov.ru/files/ЮЛ780300308200999.jpeg","Скачать индивидуальный QR-код магазина")</f>
        <v>Скачать индивидуальный QR-код магазина</v>
      </c>
    </row>
    <row r="4842" spans="1:7" x14ac:dyDescent="0.25">
      <c r="A4842" t="s">
        <v>13087</v>
      </c>
      <c r="B4842" t="s">
        <v>15517</v>
      </c>
      <c r="C4842" t="s">
        <v>798</v>
      </c>
      <c r="D4842" t="s">
        <v>799</v>
      </c>
      <c r="E4842" t="s">
        <v>800</v>
      </c>
      <c r="F4842" t="s">
        <v>15518</v>
      </c>
      <c r="G4842" s="2" t="str">
        <f>HYPERLINK("https://probpalata.gov.ru/files/ЮЛ780300308201008.jpeg","Скачать индивидуальный QR-код магазина")</f>
        <v>Скачать индивидуальный QR-код магазина</v>
      </c>
    </row>
    <row r="4843" spans="1:7" x14ac:dyDescent="0.25">
      <c r="A4843" t="s">
        <v>13087</v>
      </c>
      <c r="B4843" t="s">
        <v>15519</v>
      </c>
      <c r="C4843" t="s">
        <v>798</v>
      </c>
      <c r="D4843" t="s">
        <v>799</v>
      </c>
      <c r="E4843" t="s">
        <v>800</v>
      </c>
      <c r="F4843" t="s">
        <v>15520</v>
      </c>
      <c r="G4843" s="2" t="str">
        <f>HYPERLINK("https://probpalata.gov.ru/files/ЮЛ780300308201013.jpeg","Скачать индивидуальный QR-код магазина")</f>
        <v>Скачать индивидуальный QR-код магазина</v>
      </c>
    </row>
    <row r="4844" spans="1:7" x14ac:dyDescent="0.25">
      <c r="A4844" t="s">
        <v>13087</v>
      </c>
      <c r="B4844" t="s">
        <v>15521</v>
      </c>
      <c r="C4844" t="s">
        <v>798</v>
      </c>
      <c r="D4844" t="s">
        <v>799</v>
      </c>
      <c r="E4844" t="s">
        <v>800</v>
      </c>
      <c r="F4844" t="s">
        <v>15522</v>
      </c>
      <c r="G4844" s="2" t="str">
        <f>HYPERLINK("https://probpalata.gov.ru/files/ЮЛ780300308201016.jpeg","Скачать индивидуальный QR-код магазина")</f>
        <v>Скачать индивидуальный QR-код магазина</v>
      </c>
    </row>
    <row r="4845" spans="1:7" x14ac:dyDescent="0.25">
      <c r="A4845" t="s">
        <v>13087</v>
      </c>
      <c r="B4845" t="s">
        <v>15523</v>
      </c>
      <c r="C4845" t="s">
        <v>798</v>
      </c>
      <c r="D4845" t="s">
        <v>799</v>
      </c>
      <c r="E4845" t="s">
        <v>800</v>
      </c>
      <c r="F4845" t="s">
        <v>15524</v>
      </c>
      <c r="G4845" s="2" t="str">
        <f>HYPERLINK("https://probpalata.gov.ru/files/ЮЛ780300308201021.jpeg","Скачать индивидуальный QR-код магазина")</f>
        <v>Скачать индивидуальный QR-код магазина</v>
      </c>
    </row>
    <row r="4846" spans="1:7" x14ac:dyDescent="0.25">
      <c r="A4846" t="s">
        <v>13087</v>
      </c>
      <c r="B4846" t="s">
        <v>15525</v>
      </c>
      <c r="C4846" t="s">
        <v>798</v>
      </c>
      <c r="D4846" t="s">
        <v>799</v>
      </c>
      <c r="E4846" t="s">
        <v>800</v>
      </c>
      <c r="F4846" t="s">
        <v>15526</v>
      </c>
      <c r="G4846" s="2" t="str">
        <f>HYPERLINK("https://probpalata.gov.ru/files/ЮЛ780300308201034.jpeg","Скачать индивидуальный QR-код магазина")</f>
        <v>Скачать индивидуальный QR-код магазина</v>
      </c>
    </row>
    <row r="4847" spans="1:7" x14ac:dyDescent="0.25">
      <c r="A4847" t="s">
        <v>13087</v>
      </c>
      <c r="B4847" t="s">
        <v>15527</v>
      </c>
      <c r="C4847" t="s">
        <v>798</v>
      </c>
      <c r="D4847" t="s">
        <v>799</v>
      </c>
      <c r="E4847" t="s">
        <v>800</v>
      </c>
      <c r="F4847" t="s">
        <v>15528</v>
      </c>
      <c r="G4847" s="2" t="str">
        <f>HYPERLINK("https://probpalata.gov.ru/files/ЮЛ780300308201154.jpeg","Скачать индивидуальный QR-код магазина")</f>
        <v>Скачать индивидуальный QR-код магазина</v>
      </c>
    </row>
    <row r="4848" spans="1:7" x14ac:dyDescent="0.25">
      <c r="A4848" t="s">
        <v>13087</v>
      </c>
      <c r="B4848" t="s">
        <v>15529</v>
      </c>
      <c r="C4848" t="s">
        <v>798</v>
      </c>
      <c r="D4848" t="s">
        <v>799</v>
      </c>
      <c r="E4848" t="s">
        <v>800</v>
      </c>
      <c r="F4848" t="s">
        <v>15530</v>
      </c>
      <c r="G4848" s="2" t="str">
        <f>HYPERLINK("https://probpalata.gov.ru/files/ЮЛ780300308201167.jpeg","Скачать индивидуальный QR-код магазина")</f>
        <v>Скачать индивидуальный QR-код магазина</v>
      </c>
    </row>
    <row r="4849" spans="1:7" x14ac:dyDescent="0.25">
      <c r="A4849" t="s">
        <v>13087</v>
      </c>
      <c r="B4849" t="s">
        <v>15531</v>
      </c>
      <c r="C4849" t="s">
        <v>798</v>
      </c>
      <c r="D4849" t="s">
        <v>799</v>
      </c>
      <c r="E4849" t="s">
        <v>800</v>
      </c>
      <c r="F4849" t="s">
        <v>15532</v>
      </c>
      <c r="G4849" s="2" t="str">
        <f>HYPERLINK("https://probpalata.gov.ru/files/ЮЛ780300308201178.jpeg","Скачать индивидуальный QR-код магазина")</f>
        <v>Скачать индивидуальный QR-код магазина</v>
      </c>
    </row>
    <row r="4850" spans="1:7" x14ac:dyDescent="0.25">
      <c r="A4850" t="s">
        <v>13087</v>
      </c>
      <c r="B4850" t="s">
        <v>15533</v>
      </c>
      <c r="C4850" t="s">
        <v>798</v>
      </c>
      <c r="D4850" t="s">
        <v>799</v>
      </c>
      <c r="E4850" t="s">
        <v>800</v>
      </c>
      <c r="F4850" t="s">
        <v>15534</v>
      </c>
      <c r="G4850" s="2" t="str">
        <f>HYPERLINK("https://probpalata.gov.ru/files/ЮЛ780300308201216.jpeg","Скачать индивидуальный QR-код магазина")</f>
        <v>Скачать индивидуальный QR-код магазина</v>
      </c>
    </row>
    <row r="4851" spans="1:7" x14ac:dyDescent="0.25">
      <c r="A4851" t="s">
        <v>13087</v>
      </c>
      <c r="B4851" t="s">
        <v>15535</v>
      </c>
      <c r="C4851" t="s">
        <v>798</v>
      </c>
      <c r="D4851" t="s">
        <v>799</v>
      </c>
      <c r="E4851" t="s">
        <v>800</v>
      </c>
      <c r="F4851" t="s">
        <v>15536</v>
      </c>
      <c r="G4851" s="2" t="str">
        <f>HYPERLINK("https://probpalata.gov.ru/files/ЮЛ780300308201219.jpeg","Скачать индивидуальный QR-код магазина")</f>
        <v>Скачать индивидуальный QR-код магазина</v>
      </c>
    </row>
    <row r="4852" spans="1:7" x14ac:dyDescent="0.25">
      <c r="A4852" t="s">
        <v>13087</v>
      </c>
      <c r="B4852" t="s">
        <v>15537</v>
      </c>
      <c r="C4852" t="s">
        <v>798</v>
      </c>
      <c r="D4852" t="s">
        <v>799</v>
      </c>
      <c r="E4852" t="s">
        <v>800</v>
      </c>
      <c r="F4852" t="s">
        <v>15538</v>
      </c>
      <c r="G4852" s="2" t="str">
        <f>HYPERLINK("https://probpalata.gov.ru/files/ЮЛ780300308201241.jpeg","Скачать индивидуальный QR-код магазина")</f>
        <v>Скачать индивидуальный QR-код магазина</v>
      </c>
    </row>
    <row r="4853" spans="1:7" x14ac:dyDescent="0.25">
      <c r="A4853" t="s">
        <v>13087</v>
      </c>
      <c r="B4853" t="s">
        <v>15376</v>
      </c>
      <c r="C4853" t="s">
        <v>823</v>
      </c>
      <c r="D4853" t="s">
        <v>824</v>
      </c>
      <c r="E4853" t="s">
        <v>825</v>
      </c>
      <c r="F4853" t="s">
        <v>15539</v>
      </c>
      <c r="G4853" s="2" t="str">
        <f>HYPERLINK("https://probpalata.gov.ru/files/ЮЛ780300363500002.jpeg","Скачать индивидуальный QR-код магазина")</f>
        <v>Скачать индивидуальный QR-код магазина</v>
      </c>
    </row>
    <row r="4854" spans="1:7" x14ac:dyDescent="0.25">
      <c r="A4854" t="s">
        <v>13087</v>
      </c>
      <c r="B4854" t="s">
        <v>15540</v>
      </c>
      <c r="C4854" t="s">
        <v>823</v>
      </c>
      <c r="D4854" t="s">
        <v>824</v>
      </c>
      <c r="E4854" t="s">
        <v>825</v>
      </c>
      <c r="F4854" t="s">
        <v>15541</v>
      </c>
      <c r="G4854" s="2" t="str">
        <f>HYPERLINK("https://probpalata.gov.ru/files/ЮЛ780300363500024.jpeg","Скачать индивидуальный QR-код магазина")</f>
        <v>Скачать индивидуальный QR-код магазина</v>
      </c>
    </row>
    <row r="4855" spans="1:7" x14ac:dyDescent="0.25">
      <c r="A4855" t="s">
        <v>13087</v>
      </c>
      <c r="B4855" t="s">
        <v>15542</v>
      </c>
      <c r="C4855" t="s">
        <v>823</v>
      </c>
      <c r="D4855" t="s">
        <v>824</v>
      </c>
      <c r="E4855" t="s">
        <v>825</v>
      </c>
      <c r="F4855" t="s">
        <v>15543</v>
      </c>
      <c r="G4855" s="2" t="str">
        <f>HYPERLINK("https://probpalata.gov.ru/files/ЮЛ780300363500046.jpeg","Скачать индивидуальный QR-код магазина")</f>
        <v>Скачать индивидуальный QR-код магазина</v>
      </c>
    </row>
    <row r="4856" spans="1:7" x14ac:dyDescent="0.25">
      <c r="A4856" t="s">
        <v>13087</v>
      </c>
      <c r="B4856" t="s">
        <v>15544</v>
      </c>
      <c r="C4856" t="s">
        <v>823</v>
      </c>
      <c r="D4856" t="s">
        <v>824</v>
      </c>
      <c r="E4856" t="s">
        <v>825</v>
      </c>
      <c r="F4856" t="s">
        <v>15545</v>
      </c>
      <c r="G4856" s="2" t="str">
        <f>HYPERLINK("https://probpalata.gov.ru/files/ЮЛ780300363500047.jpeg","Скачать индивидуальный QR-код магазина")</f>
        <v>Скачать индивидуальный QR-код магазина</v>
      </c>
    </row>
    <row r="4857" spans="1:7" x14ac:dyDescent="0.25">
      <c r="A4857" t="s">
        <v>13087</v>
      </c>
      <c r="B4857" t="s">
        <v>15378</v>
      </c>
      <c r="C4857" t="s">
        <v>823</v>
      </c>
      <c r="D4857" t="s">
        <v>824</v>
      </c>
      <c r="E4857" t="s">
        <v>825</v>
      </c>
      <c r="F4857" t="s">
        <v>15546</v>
      </c>
      <c r="G4857" s="2" t="str">
        <f>HYPERLINK("https://probpalata.gov.ru/files/ЮЛ780300363500126.jpeg","Скачать индивидуальный QR-код магазина")</f>
        <v>Скачать индивидуальный QR-код магазина</v>
      </c>
    </row>
    <row r="4858" spans="1:7" x14ac:dyDescent="0.25">
      <c r="A4858" t="s">
        <v>13087</v>
      </c>
      <c r="B4858" t="s">
        <v>15547</v>
      </c>
      <c r="C4858" t="s">
        <v>823</v>
      </c>
      <c r="D4858" t="s">
        <v>824</v>
      </c>
      <c r="E4858" t="s">
        <v>825</v>
      </c>
      <c r="F4858" t="s">
        <v>15548</v>
      </c>
      <c r="G4858" s="2" t="str">
        <f>HYPERLINK("https://probpalata.gov.ru/files/ЮЛ780300363500212.jpeg","Скачать индивидуальный QR-код магазина")</f>
        <v>Скачать индивидуальный QR-код магазина</v>
      </c>
    </row>
    <row r="4859" spans="1:7" x14ac:dyDescent="0.25">
      <c r="A4859" t="s">
        <v>13087</v>
      </c>
      <c r="B4859" t="s">
        <v>14782</v>
      </c>
      <c r="C4859" t="s">
        <v>823</v>
      </c>
      <c r="D4859" t="s">
        <v>824</v>
      </c>
      <c r="E4859" t="s">
        <v>825</v>
      </c>
      <c r="F4859" t="s">
        <v>15549</v>
      </c>
      <c r="G4859" s="2" t="str">
        <f>HYPERLINK("https://probpalata.gov.ru/files/ЮЛ780300363500214.jpeg","Скачать индивидуальный QR-код магазина")</f>
        <v>Скачать индивидуальный QR-код магазина</v>
      </c>
    </row>
    <row r="4860" spans="1:7" x14ac:dyDescent="0.25">
      <c r="A4860" t="s">
        <v>13087</v>
      </c>
      <c r="B4860" t="s">
        <v>15372</v>
      </c>
      <c r="C4860" t="s">
        <v>823</v>
      </c>
      <c r="D4860" t="s">
        <v>824</v>
      </c>
      <c r="E4860" t="s">
        <v>825</v>
      </c>
      <c r="F4860" t="s">
        <v>15550</v>
      </c>
      <c r="G4860" s="2" t="str">
        <f>HYPERLINK("https://probpalata.gov.ru/files/ЮЛ780300363500225.jpeg","Скачать индивидуальный QR-код магазина")</f>
        <v>Скачать индивидуальный QR-код магазина</v>
      </c>
    </row>
    <row r="4861" spans="1:7" x14ac:dyDescent="0.25">
      <c r="A4861" t="s">
        <v>13087</v>
      </c>
      <c r="B4861" t="s">
        <v>15551</v>
      </c>
      <c r="C4861" t="s">
        <v>1490</v>
      </c>
      <c r="D4861" t="s">
        <v>1491</v>
      </c>
      <c r="E4861" t="s">
        <v>1492</v>
      </c>
      <c r="F4861" t="s">
        <v>15552</v>
      </c>
      <c r="G4861" s="2" t="str">
        <f>HYPERLINK("https://probpalata.gov.ru/files/ЮЛ780301261200048.jpeg","Скачать индивидуальный QR-код магазина")</f>
        <v>Скачать индивидуальный QR-код магазина</v>
      </c>
    </row>
    <row r="4862" spans="1:7" x14ac:dyDescent="0.25">
      <c r="A4862" t="s">
        <v>13087</v>
      </c>
      <c r="B4862" t="s">
        <v>15553</v>
      </c>
      <c r="C4862" t="s">
        <v>15554</v>
      </c>
      <c r="D4862" t="s">
        <v>15555</v>
      </c>
      <c r="E4862" t="s">
        <v>15556</v>
      </c>
      <c r="F4862" t="s">
        <v>15557</v>
      </c>
      <c r="G4862" s="2" t="str">
        <f>HYPERLINK("https://probpalata.gov.ru/files/ИП230400903500000.jpeg","Скачать индивидуальный QR-код магазина")</f>
        <v>Скачать индивидуальный QR-код магазина</v>
      </c>
    </row>
    <row r="4863" spans="1:7" x14ac:dyDescent="0.25">
      <c r="A4863" t="s">
        <v>13087</v>
      </c>
      <c r="B4863" t="s">
        <v>15558</v>
      </c>
      <c r="C4863" t="s">
        <v>15554</v>
      </c>
      <c r="D4863" t="s">
        <v>15555</v>
      </c>
      <c r="E4863" t="s">
        <v>15556</v>
      </c>
      <c r="F4863" t="s">
        <v>15559</v>
      </c>
      <c r="G4863" s="2" t="str">
        <f>HYPERLINK("https://probpalata.gov.ru/files/ИП230400903500001.jpeg","Скачать индивидуальный QR-код магазина")</f>
        <v>Скачать индивидуальный QR-код магазина</v>
      </c>
    </row>
    <row r="4864" spans="1:7" x14ac:dyDescent="0.25">
      <c r="A4864" t="s">
        <v>13087</v>
      </c>
      <c r="B4864" t="s">
        <v>15560</v>
      </c>
      <c r="C4864" t="s">
        <v>15554</v>
      </c>
      <c r="D4864" t="s">
        <v>15555</v>
      </c>
      <c r="E4864" t="s">
        <v>15556</v>
      </c>
      <c r="F4864" t="s">
        <v>15561</v>
      </c>
      <c r="G4864" s="2" t="str">
        <f>HYPERLINK("https://probpalata.gov.ru/files/ИП230400903500002.jpeg","Скачать индивидуальный QR-код магазина")</f>
        <v>Скачать индивидуальный QR-код магазина</v>
      </c>
    </row>
    <row r="4865" spans="1:7" x14ac:dyDescent="0.25">
      <c r="A4865" t="s">
        <v>13087</v>
      </c>
      <c r="B4865" t="s">
        <v>15562</v>
      </c>
      <c r="C4865" t="s">
        <v>15554</v>
      </c>
      <c r="D4865" t="s">
        <v>15555</v>
      </c>
      <c r="E4865" t="s">
        <v>15556</v>
      </c>
      <c r="F4865" t="s">
        <v>15563</v>
      </c>
      <c r="G4865" s="2" t="str">
        <f>HYPERLINK("https://probpalata.gov.ru/files/ИП230400903500004.jpeg","Скачать индивидуальный QR-код магазина")</f>
        <v>Скачать индивидуальный QR-код магазина</v>
      </c>
    </row>
    <row r="4866" spans="1:7" x14ac:dyDescent="0.25">
      <c r="A4866" t="s">
        <v>13087</v>
      </c>
      <c r="B4866" t="s">
        <v>15564</v>
      </c>
      <c r="C4866" t="s">
        <v>15565</v>
      </c>
      <c r="D4866" t="s">
        <v>15566</v>
      </c>
      <c r="E4866" t="s">
        <v>15567</v>
      </c>
      <c r="F4866" t="s">
        <v>15568</v>
      </c>
      <c r="G4866" s="2" t="str">
        <f>HYPERLINK("https://probpalata.gov.ru/files/ИП820403325600000.jpeg","Скачать индивидуальный QR-код магазина")</f>
        <v>Скачать индивидуальный QR-код магазина</v>
      </c>
    </row>
    <row r="4867" spans="1:7" x14ac:dyDescent="0.25">
      <c r="A4867" t="s">
        <v>13087</v>
      </c>
      <c r="B4867" t="s">
        <v>15569</v>
      </c>
      <c r="C4867" t="s">
        <v>15570</v>
      </c>
      <c r="D4867" t="s">
        <v>15571</v>
      </c>
      <c r="E4867" t="s">
        <v>15572</v>
      </c>
      <c r="F4867" t="s">
        <v>15573</v>
      </c>
      <c r="G4867" s="2" t="str">
        <f>HYPERLINK("https://probpalata.gov.ru/files/ИП820400472100000.jpeg","Скачать индивидуальный QR-код магазина")</f>
        <v>Скачать индивидуальный QR-код магазина</v>
      </c>
    </row>
    <row r="4868" spans="1:7" x14ac:dyDescent="0.25">
      <c r="A4868" t="s">
        <v>13087</v>
      </c>
      <c r="B4868" t="s">
        <v>13169</v>
      </c>
      <c r="C4868" t="s">
        <v>15574</v>
      </c>
      <c r="D4868" t="s">
        <v>15575</v>
      </c>
      <c r="E4868" t="s">
        <v>15576</v>
      </c>
      <c r="F4868" t="s">
        <v>15577</v>
      </c>
      <c r="G4868" s="2" t="str">
        <f>HYPERLINK("https://probpalata.gov.ru/files/ИП820400991100008.jpeg","Скачать индивидуальный QR-код магазина")</f>
        <v>Скачать индивидуальный QR-код магазина</v>
      </c>
    </row>
    <row r="4869" spans="1:7" x14ac:dyDescent="0.25">
      <c r="A4869" t="s">
        <v>13087</v>
      </c>
      <c r="B4869" t="s">
        <v>14590</v>
      </c>
      <c r="C4869" t="s">
        <v>15574</v>
      </c>
      <c r="D4869" t="s">
        <v>15575</v>
      </c>
      <c r="E4869" t="s">
        <v>15576</v>
      </c>
      <c r="F4869" t="s">
        <v>15578</v>
      </c>
      <c r="G4869" s="2" t="str">
        <f>HYPERLINK("https://probpalata.gov.ru/files/ИП820400991100015.jpeg","Скачать индивидуальный QR-код магазина")</f>
        <v>Скачать индивидуальный QR-код магазина</v>
      </c>
    </row>
    <row r="4870" spans="1:7" x14ac:dyDescent="0.25">
      <c r="A4870" t="s">
        <v>13087</v>
      </c>
      <c r="B4870" t="s">
        <v>15579</v>
      </c>
      <c r="C4870" t="s">
        <v>15580</v>
      </c>
      <c r="D4870" t="s">
        <v>15581</v>
      </c>
      <c r="E4870" t="s">
        <v>15582</v>
      </c>
      <c r="F4870" t="s">
        <v>15583</v>
      </c>
      <c r="G4870" s="2" t="str">
        <f>HYPERLINK("https://probpalata.gov.ru/files/ИП830401078400000.jpeg","Скачать индивидуальный QR-код магазина")</f>
        <v>Скачать индивидуальный QR-код магазина</v>
      </c>
    </row>
    <row r="4871" spans="1:7" x14ac:dyDescent="0.25">
      <c r="A4871" t="s">
        <v>13087</v>
      </c>
      <c r="B4871" t="s">
        <v>15584</v>
      </c>
      <c r="C4871" t="s">
        <v>1501</v>
      </c>
      <c r="D4871" t="s">
        <v>1502</v>
      </c>
      <c r="E4871" t="s">
        <v>1503</v>
      </c>
      <c r="F4871" t="s">
        <v>15585</v>
      </c>
      <c r="G4871" s="2" t="str">
        <f>HYPERLINK("https://probpalata.gov.ru/files/ЮЛ770100439200001.jpeg","Скачать индивидуальный QR-код магазина")</f>
        <v>Скачать индивидуальный QR-код магазина</v>
      </c>
    </row>
    <row r="4872" spans="1:7" x14ac:dyDescent="0.25">
      <c r="A4872" t="s">
        <v>13087</v>
      </c>
      <c r="B4872" t="s">
        <v>15586</v>
      </c>
      <c r="C4872" t="s">
        <v>1501</v>
      </c>
      <c r="D4872" t="s">
        <v>1502</v>
      </c>
      <c r="E4872" t="s">
        <v>1503</v>
      </c>
      <c r="F4872" t="s">
        <v>15587</v>
      </c>
      <c r="G4872" s="2" t="str">
        <f>HYPERLINK("https://probpalata.gov.ru/files/ЮЛ770100439200014.jpeg","Скачать индивидуальный QR-код магазина")</f>
        <v>Скачать индивидуальный QR-код магазина</v>
      </c>
    </row>
    <row r="4873" spans="1:7" x14ac:dyDescent="0.25">
      <c r="A4873" t="s">
        <v>13087</v>
      </c>
      <c r="B4873" t="s">
        <v>15588</v>
      </c>
      <c r="C4873" t="s">
        <v>1501</v>
      </c>
      <c r="D4873" t="s">
        <v>1502</v>
      </c>
      <c r="E4873" t="s">
        <v>1503</v>
      </c>
      <c r="F4873" t="s">
        <v>15589</v>
      </c>
      <c r="G4873" s="2" t="str">
        <f>HYPERLINK("https://probpalata.gov.ru/files/ЮЛ770100439200015.jpeg","Скачать индивидуальный QR-код магазина")</f>
        <v>Скачать индивидуальный QR-код магазина</v>
      </c>
    </row>
    <row r="4874" spans="1:7" x14ac:dyDescent="0.25">
      <c r="A4874" t="s">
        <v>13087</v>
      </c>
      <c r="B4874" t="s">
        <v>15590</v>
      </c>
      <c r="C4874" t="s">
        <v>1501</v>
      </c>
      <c r="D4874" t="s">
        <v>1502</v>
      </c>
      <c r="E4874" t="s">
        <v>1503</v>
      </c>
      <c r="F4874" t="s">
        <v>15591</v>
      </c>
      <c r="G4874" s="2" t="str">
        <f>HYPERLINK("https://probpalata.gov.ru/files/ЮЛ770100439200085.jpeg","Скачать индивидуальный QR-код магазина")</f>
        <v>Скачать индивидуальный QR-код магазина</v>
      </c>
    </row>
    <row r="4875" spans="1:7" x14ac:dyDescent="0.25">
      <c r="A4875" t="s">
        <v>13087</v>
      </c>
      <c r="B4875" t="s">
        <v>15592</v>
      </c>
      <c r="C4875" t="s">
        <v>1501</v>
      </c>
      <c r="D4875" t="s">
        <v>1502</v>
      </c>
      <c r="E4875" t="s">
        <v>1503</v>
      </c>
      <c r="F4875" t="s">
        <v>15593</v>
      </c>
      <c r="G4875" s="2" t="str">
        <f>HYPERLINK("https://probpalata.gov.ru/files/ЮЛ770100439200086.jpeg","Скачать индивидуальный QR-код магазина")</f>
        <v>Скачать индивидуальный QR-код магазина</v>
      </c>
    </row>
    <row r="4876" spans="1:7" x14ac:dyDescent="0.25">
      <c r="A4876" t="s">
        <v>13087</v>
      </c>
      <c r="B4876" t="s">
        <v>15594</v>
      </c>
      <c r="C4876" t="s">
        <v>1501</v>
      </c>
      <c r="D4876" t="s">
        <v>1502</v>
      </c>
      <c r="E4876" t="s">
        <v>1503</v>
      </c>
      <c r="F4876" t="s">
        <v>15595</v>
      </c>
      <c r="G4876" s="2" t="str">
        <f>HYPERLINK("https://probpalata.gov.ru/files/ЮЛ770100439200174.jpeg","Скачать индивидуальный QR-код магазина")</f>
        <v>Скачать индивидуальный QR-код магазина</v>
      </c>
    </row>
    <row r="4877" spans="1:7" x14ac:dyDescent="0.25">
      <c r="A4877" t="s">
        <v>13087</v>
      </c>
      <c r="B4877" t="s">
        <v>15596</v>
      </c>
      <c r="C4877" t="s">
        <v>1501</v>
      </c>
      <c r="D4877" t="s">
        <v>1502</v>
      </c>
      <c r="E4877" t="s">
        <v>1503</v>
      </c>
      <c r="F4877" t="s">
        <v>15597</v>
      </c>
      <c r="G4877" s="2" t="str">
        <f>HYPERLINK("https://probpalata.gov.ru/files/ЮЛ770100439200186.jpeg","Скачать индивидуальный QR-код магазина")</f>
        <v>Скачать индивидуальный QR-код магазина</v>
      </c>
    </row>
    <row r="4878" spans="1:7" x14ac:dyDescent="0.25">
      <c r="A4878" t="s">
        <v>13087</v>
      </c>
      <c r="B4878" t="s">
        <v>15598</v>
      </c>
      <c r="C4878" t="s">
        <v>1501</v>
      </c>
      <c r="D4878" t="s">
        <v>1502</v>
      </c>
      <c r="E4878" t="s">
        <v>1503</v>
      </c>
      <c r="F4878" t="s">
        <v>15599</v>
      </c>
      <c r="G4878" s="2" t="str">
        <f>HYPERLINK("https://probpalata.gov.ru/files/ЮЛ770100439200208.jpeg","Скачать индивидуальный QR-код магазина")</f>
        <v>Скачать индивидуальный QR-код магазина</v>
      </c>
    </row>
    <row r="4879" spans="1:7" x14ac:dyDescent="0.25">
      <c r="A4879" t="s">
        <v>13087</v>
      </c>
      <c r="B4879" t="s">
        <v>15600</v>
      </c>
      <c r="C4879" t="s">
        <v>1501</v>
      </c>
      <c r="D4879" t="s">
        <v>1502</v>
      </c>
      <c r="E4879" t="s">
        <v>1503</v>
      </c>
      <c r="F4879" t="s">
        <v>15601</v>
      </c>
      <c r="G4879" s="2" t="str">
        <f>HYPERLINK("https://probpalata.gov.ru/files/ЮЛ770100439200211.jpeg","Скачать индивидуальный QR-код магазина")</f>
        <v>Скачать индивидуальный QR-код магазина</v>
      </c>
    </row>
    <row r="4880" spans="1:7" x14ac:dyDescent="0.25">
      <c r="A4880" t="s">
        <v>13087</v>
      </c>
      <c r="B4880" t="s">
        <v>15602</v>
      </c>
      <c r="C4880" t="s">
        <v>1501</v>
      </c>
      <c r="D4880" t="s">
        <v>1502</v>
      </c>
      <c r="E4880" t="s">
        <v>1503</v>
      </c>
      <c r="F4880" t="s">
        <v>15603</v>
      </c>
      <c r="G4880" s="2" t="str">
        <f>HYPERLINK("https://probpalata.gov.ru/files/ЮЛ770100439200232.jpeg","Скачать индивидуальный QR-код магазина")</f>
        <v>Скачать индивидуальный QR-код магазина</v>
      </c>
    </row>
    <row r="4881" spans="1:7" x14ac:dyDescent="0.25">
      <c r="A4881" t="s">
        <v>13087</v>
      </c>
      <c r="B4881" t="s">
        <v>15604</v>
      </c>
      <c r="C4881" t="s">
        <v>1501</v>
      </c>
      <c r="D4881" t="s">
        <v>1502</v>
      </c>
      <c r="E4881" t="s">
        <v>1503</v>
      </c>
      <c r="F4881" t="s">
        <v>15605</v>
      </c>
      <c r="G4881" s="2" t="str">
        <f>HYPERLINK("https://probpalata.gov.ru/files/ЮЛ770100439200241.jpeg","Скачать индивидуальный QR-код магазина")</f>
        <v>Скачать индивидуальный QR-код магазина</v>
      </c>
    </row>
    <row r="4882" spans="1:7" x14ac:dyDescent="0.25">
      <c r="A4882" t="s">
        <v>13087</v>
      </c>
      <c r="B4882" t="s">
        <v>15606</v>
      </c>
      <c r="C4882" t="s">
        <v>1501</v>
      </c>
      <c r="D4882" t="s">
        <v>1502</v>
      </c>
      <c r="E4882" t="s">
        <v>1503</v>
      </c>
      <c r="F4882" t="s">
        <v>15607</v>
      </c>
      <c r="G4882" s="2" t="str">
        <f>HYPERLINK("https://probpalata.gov.ru/files/ЮЛ770100439200254.jpeg","Скачать индивидуальный QR-код магазина")</f>
        <v>Скачать индивидуальный QR-код магазина</v>
      </c>
    </row>
    <row r="4883" spans="1:7" x14ac:dyDescent="0.25">
      <c r="A4883" t="s">
        <v>13087</v>
      </c>
      <c r="B4883" t="s">
        <v>15608</v>
      </c>
      <c r="C4883" t="s">
        <v>1501</v>
      </c>
      <c r="D4883" t="s">
        <v>1502</v>
      </c>
      <c r="E4883" t="s">
        <v>1503</v>
      </c>
      <c r="F4883" t="s">
        <v>15609</v>
      </c>
      <c r="G4883" s="2" t="str">
        <f>HYPERLINK("https://probpalata.gov.ru/files/ЮЛ770100439200261.jpeg","Скачать индивидуальный QR-код магазина")</f>
        <v>Скачать индивидуальный QR-код магазина</v>
      </c>
    </row>
    <row r="4884" spans="1:7" x14ac:dyDescent="0.25">
      <c r="A4884" t="s">
        <v>13087</v>
      </c>
      <c r="B4884" t="s">
        <v>15610</v>
      </c>
      <c r="C4884" t="s">
        <v>7852</v>
      </c>
      <c r="D4884" t="s">
        <v>7853</v>
      </c>
      <c r="E4884" t="s">
        <v>7854</v>
      </c>
      <c r="F4884" t="s">
        <v>15611</v>
      </c>
      <c r="G4884" s="2" t="str">
        <f>HYPERLINK("https://probpalata.gov.ru/files/ЮЛ770100029500014.jpeg","Скачать индивидуальный QR-код магазина")</f>
        <v>Скачать индивидуальный QR-код магазина</v>
      </c>
    </row>
    <row r="4885" spans="1:7" x14ac:dyDescent="0.25">
      <c r="A4885" t="s">
        <v>13087</v>
      </c>
      <c r="B4885" t="s">
        <v>15612</v>
      </c>
      <c r="C4885" t="s">
        <v>15613</v>
      </c>
      <c r="D4885" t="s">
        <v>15614</v>
      </c>
      <c r="E4885" t="s">
        <v>15615</v>
      </c>
      <c r="F4885" t="s">
        <v>15616</v>
      </c>
      <c r="G4885" s="2" t="str">
        <f>HYPERLINK("https://probpalata.gov.ru/files/ЮЛ770103721200001.jpeg","Скачать индивидуальный QR-код магазина")</f>
        <v>Скачать индивидуальный QR-код магазина</v>
      </c>
    </row>
    <row r="4886" spans="1:7" x14ac:dyDescent="0.25">
      <c r="A4886" t="s">
        <v>13087</v>
      </c>
      <c r="B4886" t="s">
        <v>15617</v>
      </c>
      <c r="C4886" t="s">
        <v>15618</v>
      </c>
      <c r="D4886" t="s">
        <v>15619</v>
      </c>
      <c r="E4886" t="s">
        <v>15620</v>
      </c>
      <c r="F4886" t="s">
        <v>15621</v>
      </c>
      <c r="G4886" s="2" t="str">
        <f>HYPERLINK("https://probpalata.gov.ru/files/ЮЛ770103502400013.jpeg","Скачать индивидуальный QR-код магазина")</f>
        <v>Скачать индивидуальный QR-код магазина</v>
      </c>
    </row>
    <row r="4887" spans="1:7" x14ac:dyDescent="0.25">
      <c r="A4887" t="s">
        <v>13087</v>
      </c>
      <c r="B4887" t="s">
        <v>15622</v>
      </c>
      <c r="C4887" t="s">
        <v>15623</v>
      </c>
      <c r="D4887" t="s">
        <v>15624</v>
      </c>
      <c r="E4887" t="s">
        <v>15625</v>
      </c>
      <c r="F4887" t="s">
        <v>15626</v>
      </c>
      <c r="G4887" s="2" t="str">
        <f>HYPERLINK("https://probpalata.gov.ru/files/ЮЛ770103641400001.jpeg","Скачать индивидуальный QR-код магазина")</f>
        <v>Скачать индивидуальный QR-код магазина</v>
      </c>
    </row>
    <row r="4888" spans="1:7" x14ac:dyDescent="0.25">
      <c r="A4888" t="s">
        <v>15627</v>
      </c>
      <c r="B4888" t="s">
        <v>15628</v>
      </c>
      <c r="C4888" t="s">
        <v>15629</v>
      </c>
      <c r="D4888" t="s">
        <v>15630</v>
      </c>
      <c r="E4888" t="s">
        <v>15631</v>
      </c>
      <c r="F4888" t="s">
        <v>15632</v>
      </c>
      <c r="G4888" s="2" t="str">
        <f>HYPERLINK("https://probpalata.gov.ru/files/ИП190800848400004.jpeg","Скачать индивидуальный QR-код магазина")</f>
        <v>Скачать индивидуальный QR-код магазина</v>
      </c>
    </row>
    <row r="4889" spans="1:7" x14ac:dyDescent="0.25">
      <c r="A4889" t="s">
        <v>15627</v>
      </c>
      <c r="B4889" t="s">
        <v>15633</v>
      </c>
      <c r="C4889" t="s">
        <v>15634</v>
      </c>
      <c r="D4889" t="s">
        <v>15635</v>
      </c>
      <c r="E4889" t="s">
        <v>15636</v>
      </c>
      <c r="F4889" t="s">
        <v>15637</v>
      </c>
      <c r="G4889" s="2" t="str">
        <f>HYPERLINK("https://probpalata.gov.ru/files/ИП140900792500000.jpeg","Скачать индивидуальный QR-код магазина")</f>
        <v>Скачать индивидуальный QR-код магазина</v>
      </c>
    </row>
    <row r="4890" spans="1:7" x14ac:dyDescent="0.25">
      <c r="A4890" t="s">
        <v>15627</v>
      </c>
      <c r="B4890" t="s">
        <v>15638</v>
      </c>
      <c r="C4890" t="s">
        <v>15639</v>
      </c>
      <c r="D4890" t="s">
        <v>15640</v>
      </c>
      <c r="E4890" t="s">
        <v>15641</v>
      </c>
      <c r="F4890" t="s">
        <v>15642</v>
      </c>
      <c r="G4890" s="2" t="str">
        <f>HYPERLINK("https://probpalata.gov.ru/files/ИП190800258300005.jpeg","Скачать индивидуальный QR-код магазина")</f>
        <v>Скачать индивидуальный QR-код магазина</v>
      </c>
    </row>
    <row r="4891" spans="1:7" x14ac:dyDescent="0.25">
      <c r="A4891" t="s">
        <v>15627</v>
      </c>
      <c r="B4891" t="s">
        <v>15643</v>
      </c>
      <c r="C4891" t="s">
        <v>15644</v>
      </c>
      <c r="D4891" t="s">
        <v>15645</v>
      </c>
      <c r="E4891" t="s">
        <v>15646</v>
      </c>
      <c r="F4891" t="s">
        <v>15647</v>
      </c>
      <c r="G4891" s="2" t="str">
        <f>HYPERLINK("https://probpalata.gov.ru/files/ИП190803730900001.jpeg","Скачать индивидуальный QR-код магазина")</f>
        <v>Скачать индивидуальный QR-код магазина</v>
      </c>
    </row>
    <row r="4892" spans="1:7" x14ac:dyDescent="0.25">
      <c r="A4892" t="s">
        <v>15627</v>
      </c>
      <c r="B4892" t="s">
        <v>15648</v>
      </c>
      <c r="C4892" t="s">
        <v>15649</v>
      </c>
      <c r="D4892" t="s">
        <v>15650</v>
      </c>
      <c r="E4892" t="s">
        <v>15651</v>
      </c>
      <c r="F4892" t="s">
        <v>15652</v>
      </c>
      <c r="G4892" s="2" t="str">
        <f>HYPERLINK("https://probpalata.gov.ru/files/ИП190800842600004.jpeg","Скачать индивидуальный QR-код магазина")</f>
        <v>Скачать индивидуальный QR-код магазина</v>
      </c>
    </row>
    <row r="4893" spans="1:7" x14ac:dyDescent="0.25">
      <c r="A4893" t="s">
        <v>15627</v>
      </c>
      <c r="B4893" t="s">
        <v>15653</v>
      </c>
      <c r="C4893" t="s">
        <v>15654</v>
      </c>
      <c r="D4893" t="s">
        <v>15655</v>
      </c>
      <c r="E4893" t="s">
        <v>15656</v>
      </c>
      <c r="F4893" t="s">
        <v>15657</v>
      </c>
      <c r="G4893" s="2" t="str">
        <f>HYPERLINK("https://probpalata.gov.ru/files/ИП240801677100000.jpeg","Скачать индивидуальный QR-код магазина")</f>
        <v>Скачать индивидуальный QR-код магазина</v>
      </c>
    </row>
    <row r="4894" spans="1:7" x14ac:dyDescent="0.25">
      <c r="A4894" t="s">
        <v>15627</v>
      </c>
      <c r="B4894" t="s">
        <v>15658</v>
      </c>
      <c r="C4894" t="s">
        <v>15659</v>
      </c>
      <c r="D4894" t="s">
        <v>15660</v>
      </c>
      <c r="E4894" t="s">
        <v>15661</v>
      </c>
      <c r="F4894" t="s">
        <v>15662</v>
      </c>
      <c r="G4894" s="2" t="str">
        <f>HYPERLINK("https://probpalata.gov.ru/files/ЮЛ240801411000001.jpeg","Скачать индивидуальный QR-код магазина")</f>
        <v>Скачать индивидуальный QR-код магазина</v>
      </c>
    </row>
    <row r="4895" spans="1:7" x14ac:dyDescent="0.25">
      <c r="A4895" t="s">
        <v>15627</v>
      </c>
      <c r="B4895" t="s">
        <v>15663</v>
      </c>
      <c r="C4895" t="s">
        <v>15664</v>
      </c>
      <c r="D4895" t="s">
        <v>15665</v>
      </c>
      <c r="E4895" t="s">
        <v>15666</v>
      </c>
      <c r="F4895" t="s">
        <v>15667</v>
      </c>
      <c r="G4895" s="2" t="str">
        <f>HYPERLINK("https://probpalata.gov.ru/files/ИП240801443900000.jpeg","Скачать индивидуальный QR-код магазина")</f>
        <v>Скачать индивидуальный QR-код магазина</v>
      </c>
    </row>
    <row r="4896" spans="1:7" x14ac:dyDescent="0.25">
      <c r="A4896" t="s">
        <v>15627</v>
      </c>
      <c r="B4896" t="s">
        <v>15668</v>
      </c>
      <c r="C4896" t="s">
        <v>15664</v>
      </c>
      <c r="D4896" t="s">
        <v>15665</v>
      </c>
      <c r="E4896" t="s">
        <v>15666</v>
      </c>
      <c r="F4896" t="s">
        <v>15669</v>
      </c>
      <c r="G4896" s="2" t="str">
        <f>HYPERLINK("https://probpalata.gov.ru/files/ИП240801443900001.jpeg","Скачать индивидуальный QR-код магазина")</f>
        <v>Скачать индивидуальный QR-код магазина</v>
      </c>
    </row>
    <row r="4897" spans="1:7" x14ac:dyDescent="0.25">
      <c r="A4897" t="s">
        <v>15627</v>
      </c>
      <c r="B4897" t="s">
        <v>15670</v>
      </c>
      <c r="C4897" t="s">
        <v>15671</v>
      </c>
      <c r="D4897" t="s">
        <v>15672</v>
      </c>
      <c r="E4897" t="s">
        <v>15673</v>
      </c>
      <c r="F4897" t="s">
        <v>15674</v>
      </c>
      <c r="G4897" s="2" t="str">
        <f>HYPERLINK("https://probpalata.gov.ru/files/ИП240801451700000.jpeg","Скачать индивидуальный QR-код магазина")</f>
        <v>Скачать индивидуальный QR-код магазина</v>
      </c>
    </row>
    <row r="4898" spans="1:7" x14ac:dyDescent="0.25">
      <c r="A4898" t="s">
        <v>15627</v>
      </c>
      <c r="B4898" t="s">
        <v>15675</v>
      </c>
      <c r="C4898" t="s">
        <v>15676</v>
      </c>
      <c r="D4898" t="s">
        <v>15677</v>
      </c>
      <c r="E4898" t="s">
        <v>15678</v>
      </c>
      <c r="F4898" t="s">
        <v>15679</v>
      </c>
      <c r="G4898" s="2" t="str">
        <f>HYPERLINK("https://probpalata.gov.ru/files/ИП240800521900000.jpeg","Скачать индивидуальный QR-код магазина")</f>
        <v>Скачать индивидуальный QR-код магазина</v>
      </c>
    </row>
    <row r="4899" spans="1:7" x14ac:dyDescent="0.25">
      <c r="A4899" t="s">
        <v>15627</v>
      </c>
      <c r="B4899" t="s">
        <v>15680</v>
      </c>
      <c r="C4899" t="s">
        <v>15681</v>
      </c>
      <c r="D4899" t="s">
        <v>15682</v>
      </c>
      <c r="E4899" t="s">
        <v>15683</v>
      </c>
      <c r="F4899" t="s">
        <v>15684</v>
      </c>
      <c r="G4899" s="2" t="str">
        <f>HYPERLINK("https://probpalata.gov.ru/files/ИП240803042900000.jpeg","Скачать индивидуальный QR-код магазина")</f>
        <v>Скачать индивидуальный QR-код магазина</v>
      </c>
    </row>
    <row r="4900" spans="1:7" x14ac:dyDescent="0.25">
      <c r="A4900" t="s">
        <v>15627</v>
      </c>
      <c r="B4900" t="s">
        <v>15685</v>
      </c>
      <c r="C4900" t="s">
        <v>15686</v>
      </c>
      <c r="D4900" t="s">
        <v>15687</v>
      </c>
      <c r="E4900" t="s">
        <v>15688</v>
      </c>
      <c r="F4900" t="s">
        <v>15689</v>
      </c>
      <c r="G4900" s="2" t="str">
        <f>HYPERLINK("https://probpalata.gov.ru/files/ИП240800698500000.jpeg","Скачать индивидуальный QR-код магазина")</f>
        <v>Скачать индивидуальный QR-код магазина</v>
      </c>
    </row>
    <row r="4901" spans="1:7" x14ac:dyDescent="0.25">
      <c r="A4901" t="s">
        <v>15627</v>
      </c>
      <c r="B4901" t="s">
        <v>15690</v>
      </c>
      <c r="C4901" t="s">
        <v>15691</v>
      </c>
      <c r="D4901" t="s">
        <v>15692</v>
      </c>
      <c r="E4901" t="s">
        <v>15693</v>
      </c>
      <c r="F4901" t="s">
        <v>15694</v>
      </c>
      <c r="G4901" s="2" t="str">
        <f>HYPERLINK("https://probpalata.gov.ru/files/ИП240880001100000.jpeg","Скачать индивидуальный QR-код магазина")</f>
        <v>Скачать индивидуальный QR-код магазина</v>
      </c>
    </row>
    <row r="4902" spans="1:7" x14ac:dyDescent="0.25">
      <c r="A4902" t="s">
        <v>15627</v>
      </c>
      <c r="B4902" t="s">
        <v>15695</v>
      </c>
      <c r="C4902" t="s">
        <v>15696</v>
      </c>
      <c r="D4902" t="s">
        <v>15697</v>
      </c>
      <c r="E4902" t="s">
        <v>15698</v>
      </c>
      <c r="F4902" t="s">
        <v>15699</v>
      </c>
      <c r="G4902" s="2" t="str">
        <f>HYPERLINK("https://probpalata.gov.ru/files/ИП240801118900000.jpeg","Скачать индивидуальный QR-код магазина")</f>
        <v>Скачать индивидуальный QR-код магазина</v>
      </c>
    </row>
    <row r="4903" spans="1:7" x14ac:dyDescent="0.25">
      <c r="A4903" t="s">
        <v>15627</v>
      </c>
      <c r="B4903" t="s">
        <v>15700</v>
      </c>
      <c r="C4903" t="s">
        <v>15701</v>
      </c>
      <c r="D4903" t="s">
        <v>15702</v>
      </c>
      <c r="E4903" t="s">
        <v>15703</v>
      </c>
      <c r="F4903" t="s">
        <v>15704</v>
      </c>
      <c r="G4903" s="2" t="str">
        <f>HYPERLINK("https://probpalata.gov.ru/files/ЮЛ240803312600000.jpeg","Скачать индивидуальный QR-код магазина")</f>
        <v>Скачать индивидуальный QR-код магазина</v>
      </c>
    </row>
    <row r="4904" spans="1:7" x14ac:dyDescent="0.25">
      <c r="A4904" t="s">
        <v>15627</v>
      </c>
      <c r="B4904" t="s">
        <v>15705</v>
      </c>
      <c r="C4904" t="s">
        <v>15706</v>
      </c>
      <c r="D4904" t="s">
        <v>15707</v>
      </c>
      <c r="E4904" t="s">
        <v>15708</v>
      </c>
      <c r="F4904" t="s">
        <v>15709</v>
      </c>
      <c r="G4904" s="2" t="str">
        <f>HYPERLINK("https://probpalata.gov.ru/files/ИП240803238700000.jpeg","Скачать индивидуальный QR-код магазина")</f>
        <v>Скачать индивидуальный QR-код магазина</v>
      </c>
    </row>
    <row r="4905" spans="1:7" x14ac:dyDescent="0.25">
      <c r="A4905" t="s">
        <v>15627</v>
      </c>
      <c r="B4905" t="s">
        <v>15710</v>
      </c>
      <c r="C4905" t="s">
        <v>15711</v>
      </c>
      <c r="D4905" t="s">
        <v>15712</v>
      </c>
      <c r="E4905" t="s">
        <v>15713</v>
      </c>
      <c r="F4905" t="s">
        <v>15714</v>
      </c>
      <c r="G4905" s="2" t="str">
        <f>HYPERLINK("https://probpalata.gov.ru/files/ИП240803982100000.jpeg","Скачать индивидуальный QR-код магазина")</f>
        <v>Скачать индивидуальный QR-код магазина</v>
      </c>
    </row>
    <row r="4906" spans="1:7" x14ac:dyDescent="0.25">
      <c r="A4906" t="s">
        <v>15627</v>
      </c>
      <c r="B4906" t="s">
        <v>15715</v>
      </c>
      <c r="C4906" t="s">
        <v>15716</v>
      </c>
      <c r="D4906" t="s">
        <v>15717</v>
      </c>
      <c r="E4906" t="s">
        <v>15718</v>
      </c>
      <c r="F4906" t="s">
        <v>15719</v>
      </c>
      <c r="G4906" s="2" t="str">
        <f>HYPERLINK("https://probpalata.gov.ru/files/ИП240800502100000.jpeg","Скачать индивидуальный QR-код магазина")</f>
        <v>Скачать индивидуальный QR-код магазина</v>
      </c>
    </row>
    <row r="4907" spans="1:7" x14ac:dyDescent="0.25">
      <c r="A4907" t="s">
        <v>15627</v>
      </c>
      <c r="B4907" t="s">
        <v>15720</v>
      </c>
      <c r="C4907" t="s">
        <v>15721</v>
      </c>
      <c r="D4907" t="s">
        <v>15722</v>
      </c>
      <c r="E4907" t="s">
        <v>15723</v>
      </c>
      <c r="F4907" t="s">
        <v>15724</v>
      </c>
      <c r="G4907" s="2" t="str">
        <f>HYPERLINK("https://probpalata.gov.ru/files/ИП240801454400000.jpeg","Скачать индивидуальный QR-код магазина")</f>
        <v>Скачать индивидуальный QR-код магазина</v>
      </c>
    </row>
    <row r="4908" spans="1:7" x14ac:dyDescent="0.25">
      <c r="A4908" t="s">
        <v>15627</v>
      </c>
      <c r="B4908" t="s">
        <v>15725</v>
      </c>
      <c r="C4908" t="s">
        <v>15726</v>
      </c>
      <c r="D4908" t="s">
        <v>15727</v>
      </c>
      <c r="E4908" t="s">
        <v>15728</v>
      </c>
      <c r="F4908" t="s">
        <v>15729</v>
      </c>
      <c r="G4908" s="2" t="str">
        <f>HYPERLINK("https://probpalata.gov.ru/files/ИП240800443100000.jpeg","Скачать индивидуальный QR-код магазина")</f>
        <v>Скачать индивидуальный QR-код магазина</v>
      </c>
    </row>
    <row r="4909" spans="1:7" x14ac:dyDescent="0.25">
      <c r="A4909" t="s">
        <v>15627</v>
      </c>
      <c r="B4909" t="s">
        <v>15730</v>
      </c>
      <c r="C4909" t="s">
        <v>15731</v>
      </c>
      <c r="D4909" t="s">
        <v>15732</v>
      </c>
      <c r="E4909" t="s">
        <v>15733</v>
      </c>
      <c r="F4909" t="s">
        <v>15734</v>
      </c>
      <c r="G4909" s="2" t="str">
        <f>HYPERLINK("https://probpalata.gov.ru/files/ИП240800504200000.jpeg","Скачать индивидуальный QR-код магазина")</f>
        <v>Скачать индивидуальный QR-код магазина</v>
      </c>
    </row>
    <row r="4910" spans="1:7" x14ac:dyDescent="0.25">
      <c r="A4910" t="s">
        <v>15627</v>
      </c>
      <c r="B4910" t="s">
        <v>15735</v>
      </c>
      <c r="C4910" t="s">
        <v>15736</v>
      </c>
      <c r="D4910" t="s">
        <v>15737</v>
      </c>
      <c r="E4910" t="s">
        <v>15738</v>
      </c>
      <c r="F4910" t="s">
        <v>15739</v>
      </c>
      <c r="G4910" s="2" t="str">
        <f>HYPERLINK("https://probpalata.gov.ru/files/ИП240801019900000.jpeg","Скачать индивидуальный QR-код магазина")</f>
        <v>Скачать индивидуальный QR-код магазина</v>
      </c>
    </row>
    <row r="4911" spans="1:7" x14ac:dyDescent="0.25">
      <c r="A4911" t="s">
        <v>15627</v>
      </c>
      <c r="B4911" t="s">
        <v>15740</v>
      </c>
      <c r="C4911" t="s">
        <v>15741</v>
      </c>
      <c r="D4911" t="s">
        <v>15742</v>
      </c>
      <c r="E4911" t="s">
        <v>15743</v>
      </c>
      <c r="F4911" t="s">
        <v>15744</v>
      </c>
      <c r="G4911" s="2" t="str">
        <f>HYPERLINK("https://probpalata.gov.ru/files/ИП240801472400000.jpeg","Скачать индивидуальный QR-код магазина")</f>
        <v>Скачать индивидуальный QR-код магазина</v>
      </c>
    </row>
    <row r="4912" spans="1:7" x14ac:dyDescent="0.25">
      <c r="A4912" t="s">
        <v>15627</v>
      </c>
      <c r="B4912" t="s">
        <v>15745</v>
      </c>
      <c r="C4912" t="s">
        <v>15746</v>
      </c>
      <c r="D4912" t="s">
        <v>15747</v>
      </c>
      <c r="E4912" t="s">
        <v>15748</v>
      </c>
      <c r="F4912" t="s">
        <v>15749</v>
      </c>
      <c r="G4912" s="2" t="str">
        <f>HYPERLINK("https://probpalata.gov.ru/files/ИП240803700600000.jpeg","Скачать индивидуальный QR-код магазина")</f>
        <v>Скачать индивидуальный QR-код магазина</v>
      </c>
    </row>
    <row r="4913" spans="1:7" x14ac:dyDescent="0.25">
      <c r="A4913" t="s">
        <v>15627</v>
      </c>
      <c r="B4913" t="s">
        <v>15750</v>
      </c>
      <c r="C4913" t="s">
        <v>15751</v>
      </c>
      <c r="D4913" t="s">
        <v>15752</v>
      </c>
      <c r="E4913" t="s">
        <v>15753</v>
      </c>
      <c r="F4913" t="s">
        <v>15754</v>
      </c>
      <c r="G4913" s="2" t="str">
        <f>HYPERLINK("https://probpalata.gov.ru/files/ИП240803273100000.jpeg","Скачать индивидуальный QR-код магазина")</f>
        <v>Скачать индивидуальный QR-код магазина</v>
      </c>
    </row>
    <row r="4914" spans="1:7" x14ac:dyDescent="0.25">
      <c r="A4914" t="s">
        <v>15627</v>
      </c>
      <c r="B4914" t="s">
        <v>15755</v>
      </c>
      <c r="C4914" t="s">
        <v>15756</v>
      </c>
      <c r="D4914" t="s">
        <v>15757</v>
      </c>
      <c r="E4914" t="s">
        <v>15758</v>
      </c>
      <c r="F4914" t="s">
        <v>15759</v>
      </c>
      <c r="G4914" s="2" t="str">
        <f>HYPERLINK("https://probpalata.gov.ru/files/ИП240801108600000.jpeg","Скачать индивидуальный QR-код магазина")</f>
        <v>Скачать индивидуальный QR-код магазина</v>
      </c>
    </row>
    <row r="4915" spans="1:7" x14ac:dyDescent="0.25">
      <c r="A4915" t="s">
        <v>15627</v>
      </c>
      <c r="B4915" t="s">
        <v>15760</v>
      </c>
      <c r="C4915" t="s">
        <v>15761</v>
      </c>
      <c r="D4915" t="s">
        <v>15762</v>
      </c>
      <c r="E4915" t="s">
        <v>15763</v>
      </c>
      <c r="F4915" t="s">
        <v>15764</v>
      </c>
      <c r="G4915" s="2" t="str">
        <f>HYPERLINK("https://probpalata.gov.ru/files/ИП240803211500001.jpeg","Скачать индивидуальный QR-код магазина")</f>
        <v>Скачать индивидуальный QR-код магазина</v>
      </c>
    </row>
    <row r="4916" spans="1:7" x14ac:dyDescent="0.25">
      <c r="A4916" t="s">
        <v>15627</v>
      </c>
      <c r="B4916" t="s">
        <v>15765</v>
      </c>
      <c r="C4916" t="s">
        <v>15766</v>
      </c>
      <c r="D4916" t="s">
        <v>15767</v>
      </c>
      <c r="E4916" t="s">
        <v>15768</v>
      </c>
      <c r="F4916" t="s">
        <v>15769</v>
      </c>
      <c r="G4916" s="2" t="str">
        <f>HYPERLINK("https://probpalata.gov.ru/files/ИП240801436200000.jpeg","Скачать индивидуальный QR-код магазина")</f>
        <v>Скачать индивидуальный QR-код магазина</v>
      </c>
    </row>
    <row r="4917" spans="1:7" x14ac:dyDescent="0.25">
      <c r="A4917" t="s">
        <v>15627</v>
      </c>
      <c r="B4917" t="s">
        <v>15770</v>
      </c>
      <c r="C4917" t="s">
        <v>15766</v>
      </c>
      <c r="D4917" t="s">
        <v>15767</v>
      </c>
      <c r="E4917" t="s">
        <v>15768</v>
      </c>
      <c r="F4917" t="s">
        <v>15771</v>
      </c>
      <c r="G4917" s="2" t="str">
        <f>HYPERLINK("https://probpalata.gov.ru/files/ИП240801436200001.jpeg","Скачать индивидуальный QR-код магазина")</f>
        <v>Скачать индивидуальный QR-код магазина</v>
      </c>
    </row>
    <row r="4918" spans="1:7" x14ac:dyDescent="0.25">
      <c r="A4918" t="s">
        <v>15627</v>
      </c>
      <c r="B4918" t="s">
        <v>15772</v>
      </c>
      <c r="C4918" t="s">
        <v>15773</v>
      </c>
      <c r="D4918" t="s">
        <v>15774</v>
      </c>
      <c r="E4918" t="s">
        <v>15775</v>
      </c>
      <c r="F4918" t="s">
        <v>15776</v>
      </c>
      <c r="G4918" s="2" t="str">
        <f>HYPERLINK("https://probpalata.gov.ru/files/ИП240800791900000.jpeg","Скачать индивидуальный QR-код магазина")</f>
        <v>Скачать индивидуальный QR-код магазина</v>
      </c>
    </row>
    <row r="4919" spans="1:7" x14ac:dyDescent="0.25">
      <c r="A4919" t="s">
        <v>15627</v>
      </c>
      <c r="B4919" t="s">
        <v>15777</v>
      </c>
      <c r="C4919" t="s">
        <v>15773</v>
      </c>
      <c r="D4919" t="s">
        <v>15774</v>
      </c>
      <c r="E4919" t="s">
        <v>15775</v>
      </c>
      <c r="F4919" t="s">
        <v>15778</v>
      </c>
      <c r="G4919" s="2" t="str">
        <f>HYPERLINK("https://probpalata.gov.ru/files/ИП240800791900002.jpeg","Скачать индивидуальный QR-код магазина")</f>
        <v>Скачать индивидуальный QR-код магазина</v>
      </c>
    </row>
    <row r="4920" spans="1:7" x14ac:dyDescent="0.25">
      <c r="A4920" t="s">
        <v>15627</v>
      </c>
      <c r="B4920" t="s">
        <v>15779</v>
      </c>
      <c r="C4920" t="s">
        <v>15773</v>
      </c>
      <c r="D4920" t="s">
        <v>15774</v>
      </c>
      <c r="E4920" t="s">
        <v>15775</v>
      </c>
      <c r="F4920" t="s">
        <v>15780</v>
      </c>
      <c r="G4920" s="2" t="str">
        <f>HYPERLINK("https://probpalata.gov.ru/files/ИП240800791900003.jpeg","Скачать индивидуальный QR-код магазина")</f>
        <v>Скачать индивидуальный QR-код магазина</v>
      </c>
    </row>
    <row r="4921" spans="1:7" x14ac:dyDescent="0.25">
      <c r="A4921" t="s">
        <v>15627</v>
      </c>
      <c r="B4921" t="s">
        <v>15781</v>
      </c>
      <c r="C4921" t="s">
        <v>15773</v>
      </c>
      <c r="D4921" t="s">
        <v>15774</v>
      </c>
      <c r="E4921" t="s">
        <v>15775</v>
      </c>
      <c r="F4921" t="s">
        <v>15782</v>
      </c>
      <c r="G4921" s="2" t="str">
        <f>HYPERLINK("https://probpalata.gov.ru/files/ИП240800791900004.jpeg","Скачать индивидуальный QR-код магазина")</f>
        <v>Скачать индивидуальный QR-код магазина</v>
      </c>
    </row>
    <row r="4922" spans="1:7" x14ac:dyDescent="0.25">
      <c r="A4922" t="s">
        <v>15627</v>
      </c>
      <c r="B4922" t="s">
        <v>15783</v>
      </c>
      <c r="C4922" t="s">
        <v>15773</v>
      </c>
      <c r="D4922" t="s">
        <v>15774</v>
      </c>
      <c r="E4922" t="s">
        <v>15775</v>
      </c>
      <c r="F4922" t="s">
        <v>15784</v>
      </c>
      <c r="G4922" s="2" t="str">
        <f>HYPERLINK("https://probpalata.gov.ru/files/ИП240800791900005.jpeg","Скачать индивидуальный QR-код магазина")</f>
        <v>Скачать индивидуальный QR-код магазина</v>
      </c>
    </row>
    <row r="4923" spans="1:7" x14ac:dyDescent="0.25">
      <c r="A4923" t="s">
        <v>15627</v>
      </c>
      <c r="B4923" t="s">
        <v>15785</v>
      </c>
      <c r="C4923" t="s">
        <v>15773</v>
      </c>
      <c r="D4923" t="s">
        <v>15774</v>
      </c>
      <c r="E4923" t="s">
        <v>15775</v>
      </c>
      <c r="F4923" t="s">
        <v>15786</v>
      </c>
      <c r="G4923" s="2" t="str">
        <f>HYPERLINK("https://probpalata.gov.ru/files/ИП240800791900006.jpeg","Скачать индивидуальный QR-код магазина")</f>
        <v>Скачать индивидуальный QR-код магазина</v>
      </c>
    </row>
    <row r="4924" spans="1:7" x14ac:dyDescent="0.25">
      <c r="A4924" t="s">
        <v>15627</v>
      </c>
      <c r="B4924" t="s">
        <v>15787</v>
      </c>
      <c r="C4924" t="s">
        <v>15773</v>
      </c>
      <c r="D4924" t="s">
        <v>15774</v>
      </c>
      <c r="E4924" t="s">
        <v>15775</v>
      </c>
      <c r="F4924" t="s">
        <v>15788</v>
      </c>
      <c r="G4924" s="2" t="str">
        <f>HYPERLINK("https://probpalata.gov.ru/files/ИП240800791900007.jpeg","Скачать индивидуальный QR-код магазина")</f>
        <v>Скачать индивидуальный QR-код магазина</v>
      </c>
    </row>
    <row r="4925" spans="1:7" x14ac:dyDescent="0.25">
      <c r="A4925" t="s">
        <v>15627</v>
      </c>
      <c r="B4925" t="s">
        <v>15789</v>
      </c>
      <c r="C4925" t="s">
        <v>15773</v>
      </c>
      <c r="D4925" t="s">
        <v>15774</v>
      </c>
      <c r="E4925" t="s">
        <v>15775</v>
      </c>
      <c r="F4925" t="s">
        <v>15790</v>
      </c>
      <c r="G4925" s="2" t="str">
        <f>HYPERLINK("https://probpalata.gov.ru/files/ИП240800791900008.jpeg","Скачать индивидуальный QR-код магазина")</f>
        <v>Скачать индивидуальный QR-код магазина</v>
      </c>
    </row>
    <row r="4926" spans="1:7" x14ac:dyDescent="0.25">
      <c r="A4926" t="s">
        <v>15627</v>
      </c>
      <c r="B4926" t="s">
        <v>15791</v>
      </c>
      <c r="C4926" t="s">
        <v>15792</v>
      </c>
      <c r="D4926" t="s">
        <v>15793</v>
      </c>
      <c r="E4926" t="s">
        <v>15794</v>
      </c>
      <c r="F4926" t="s">
        <v>15795</v>
      </c>
      <c r="G4926" s="2" t="str">
        <f>HYPERLINK("https://probpalata.gov.ru/files/ИП240801497200000.jpeg","Скачать индивидуальный QR-код магазина")</f>
        <v>Скачать индивидуальный QR-код магазина</v>
      </c>
    </row>
    <row r="4927" spans="1:7" x14ac:dyDescent="0.25">
      <c r="A4927" t="s">
        <v>15627</v>
      </c>
      <c r="B4927" t="s">
        <v>15796</v>
      </c>
      <c r="C4927" t="s">
        <v>15797</v>
      </c>
      <c r="D4927" t="s">
        <v>15798</v>
      </c>
      <c r="E4927" t="s">
        <v>15799</v>
      </c>
      <c r="F4927" t="s">
        <v>15800</v>
      </c>
      <c r="G4927" s="2" t="str">
        <f>HYPERLINK("https://probpalata.gov.ru/files/ИП240800845700000.jpeg","Скачать индивидуальный QR-код магазина")</f>
        <v>Скачать индивидуальный QR-код магазина</v>
      </c>
    </row>
    <row r="4928" spans="1:7" x14ac:dyDescent="0.25">
      <c r="A4928" t="s">
        <v>15627</v>
      </c>
      <c r="B4928" t="s">
        <v>15801</v>
      </c>
      <c r="C4928" t="s">
        <v>15797</v>
      </c>
      <c r="D4928" t="s">
        <v>15798</v>
      </c>
      <c r="E4928" t="s">
        <v>15799</v>
      </c>
      <c r="F4928" t="s">
        <v>15802</v>
      </c>
      <c r="G4928" s="2" t="str">
        <f>HYPERLINK("https://probpalata.gov.ru/files/ИП240800845700001.jpeg","Скачать индивидуальный QR-код магазина")</f>
        <v>Скачать индивидуальный QR-код магазина</v>
      </c>
    </row>
    <row r="4929" spans="1:7" x14ac:dyDescent="0.25">
      <c r="A4929" t="s">
        <v>15627</v>
      </c>
      <c r="B4929" t="s">
        <v>15803</v>
      </c>
      <c r="C4929" t="s">
        <v>15797</v>
      </c>
      <c r="D4929" t="s">
        <v>15798</v>
      </c>
      <c r="E4929" t="s">
        <v>15799</v>
      </c>
      <c r="F4929" t="s">
        <v>15804</v>
      </c>
      <c r="G4929" s="2" t="str">
        <f>HYPERLINK("https://probpalata.gov.ru/files/ИП240800845700002.jpeg","Скачать индивидуальный QR-код магазина")</f>
        <v>Скачать индивидуальный QR-код магазина</v>
      </c>
    </row>
    <row r="4930" spans="1:7" x14ac:dyDescent="0.25">
      <c r="A4930" t="s">
        <v>15627</v>
      </c>
      <c r="B4930" t="s">
        <v>15805</v>
      </c>
      <c r="C4930" t="s">
        <v>15797</v>
      </c>
      <c r="D4930" t="s">
        <v>15798</v>
      </c>
      <c r="E4930" t="s">
        <v>15799</v>
      </c>
      <c r="F4930" t="s">
        <v>15806</v>
      </c>
      <c r="G4930" s="2" t="str">
        <f>HYPERLINK("https://probpalata.gov.ru/files/ИП240800845700004.jpeg","Скачать индивидуальный QR-код магазина")</f>
        <v>Скачать индивидуальный QR-код магазина</v>
      </c>
    </row>
    <row r="4931" spans="1:7" x14ac:dyDescent="0.25">
      <c r="A4931" t="s">
        <v>15627</v>
      </c>
      <c r="B4931" t="s">
        <v>15807</v>
      </c>
      <c r="C4931" t="s">
        <v>15808</v>
      </c>
      <c r="D4931" t="s">
        <v>15809</v>
      </c>
      <c r="E4931" t="s">
        <v>15810</v>
      </c>
      <c r="F4931" t="s">
        <v>15811</v>
      </c>
      <c r="G4931" s="2" t="str">
        <f>HYPERLINK("https://probpalata.gov.ru/files/ИП240801390900000.jpeg","Скачать индивидуальный QR-код магазина")</f>
        <v>Скачать индивидуальный QR-код магазина</v>
      </c>
    </row>
    <row r="4932" spans="1:7" x14ac:dyDescent="0.25">
      <c r="A4932" t="s">
        <v>15627</v>
      </c>
      <c r="B4932" t="s">
        <v>15812</v>
      </c>
      <c r="C4932" t="s">
        <v>15808</v>
      </c>
      <c r="D4932" t="s">
        <v>15809</v>
      </c>
      <c r="E4932" t="s">
        <v>15810</v>
      </c>
      <c r="F4932" t="s">
        <v>15813</v>
      </c>
      <c r="G4932" s="2" t="str">
        <f>HYPERLINK("https://probpalata.gov.ru/files/ИП240801390900003.jpeg","Скачать индивидуальный QR-код магазина")</f>
        <v>Скачать индивидуальный QR-код магазина</v>
      </c>
    </row>
    <row r="4933" spans="1:7" x14ac:dyDescent="0.25">
      <c r="A4933" t="s">
        <v>15627</v>
      </c>
      <c r="B4933" t="s">
        <v>15814</v>
      </c>
      <c r="C4933" t="s">
        <v>15815</v>
      </c>
      <c r="D4933" t="s">
        <v>15816</v>
      </c>
      <c r="E4933" t="s">
        <v>15817</v>
      </c>
      <c r="F4933" t="s">
        <v>15818</v>
      </c>
      <c r="G4933" s="2" t="str">
        <f>HYPERLINK("https://probpalata.gov.ru/files/ИП240803463100000.jpeg","Скачать индивидуальный QR-код магазина")</f>
        <v>Скачать индивидуальный QR-код магазина</v>
      </c>
    </row>
    <row r="4934" spans="1:7" x14ac:dyDescent="0.25">
      <c r="A4934" t="s">
        <v>15627</v>
      </c>
      <c r="B4934" t="s">
        <v>15819</v>
      </c>
      <c r="C4934" t="s">
        <v>15820</v>
      </c>
      <c r="D4934" t="s">
        <v>15821</v>
      </c>
      <c r="E4934" t="s">
        <v>15822</v>
      </c>
      <c r="F4934" t="s">
        <v>15823</v>
      </c>
      <c r="G4934" s="2" t="str">
        <f>HYPERLINK("https://probpalata.gov.ru/files/ИП240801454500000.jpeg","Скачать индивидуальный QR-код магазина")</f>
        <v>Скачать индивидуальный QR-код магазина</v>
      </c>
    </row>
    <row r="4935" spans="1:7" x14ac:dyDescent="0.25">
      <c r="A4935" t="s">
        <v>15627</v>
      </c>
      <c r="B4935" t="s">
        <v>15824</v>
      </c>
      <c r="C4935" t="s">
        <v>15820</v>
      </c>
      <c r="D4935" t="s">
        <v>15821</v>
      </c>
      <c r="E4935" t="s">
        <v>15822</v>
      </c>
      <c r="F4935" t="s">
        <v>15825</v>
      </c>
      <c r="G4935" s="2" t="str">
        <f>HYPERLINK("https://probpalata.gov.ru/files/ИП240801454500004.jpeg","Скачать индивидуальный QR-код магазина")</f>
        <v>Скачать индивидуальный QR-код магазина</v>
      </c>
    </row>
    <row r="4936" spans="1:7" x14ac:dyDescent="0.25">
      <c r="A4936" t="s">
        <v>15627</v>
      </c>
      <c r="B4936" t="s">
        <v>15826</v>
      </c>
      <c r="C4936" t="s">
        <v>15820</v>
      </c>
      <c r="D4936" t="s">
        <v>15821</v>
      </c>
      <c r="E4936" t="s">
        <v>15822</v>
      </c>
      <c r="F4936" t="s">
        <v>15827</v>
      </c>
      <c r="G4936" s="2" t="str">
        <f>HYPERLINK("https://probpalata.gov.ru/files/ИП240801454500005.jpeg","Скачать индивидуальный QR-код магазина")</f>
        <v>Скачать индивидуальный QR-код магазина</v>
      </c>
    </row>
    <row r="4937" spans="1:7" x14ac:dyDescent="0.25">
      <c r="A4937" t="s">
        <v>15627</v>
      </c>
      <c r="B4937" t="s">
        <v>15828</v>
      </c>
      <c r="C4937" t="s">
        <v>15829</v>
      </c>
      <c r="D4937" t="s">
        <v>15830</v>
      </c>
      <c r="E4937" t="s">
        <v>15831</v>
      </c>
      <c r="F4937" t="s">
        <v>15832</v>
      </c>
      <c r="G4937" s="2" t="str">
        <f>HYPERLINK("https://probpalata.gov.ru/files/ИП240803237200000.jpeg","Скачать индивидуальный QR-код магазина")</f>
        <v>Скачать индивидуальный QR-код магазина</v>
      </c>
    </row>
    <row r="4938" spans="1:7" x14ac:dyDescent="0.25">
      <c r="A4938" t="s">
        <v>15627</v>
      </c>
      <c r="B4938" t="s">
        <v>15833</v>
      </c>
      <c r="C4938" t="s">
        <v>15834</v>
      </c>
      <c r="D4938" t="s">
        <v>15835</v>
      </c>
      <c r="E4938" t="s">
        <v>15836</v>
      </c>
      <c r="F4938" t="s">
        <v>15837</v>
      </c>
      <c r="G4938" s="2" t="str">
        <f>HYPERLINK("https://probpalata.gov.ru/files/ИП240803244600000.jpeg","Скачать индивидуальный QR-код магазина")</f>
        <v>Скачать индивидуальный QR-код магазина</v>
      </c>
    </row>
    <row r="4939" spans="1:7" x14ac:dyDescent="0.25">
      <c r="A4939" t="s">
        <v>15627</v>
      </c>
      <c r="B4939" t="s">
        <v>15838</v>
      </c>
      <c r="C4939" t="s">
        <v>15839</v>
      </c>
      <c r="D4939" t="s">
        <v>15840</v>
      </c>
      <c r="E4939" t="s">
        <v>15841</v>
      </c>
      <c r="F4939" t="s">
        <v>15842</v>
      </c>
      <c r="G4939" s="2" t="str">
        <f>HYPERLINK("https://probpalata.gov.ru/files/ИП240801618700000.jpeg","Скачать индивидуальный QR-код магазина")</f>
        <v>Скачать индивидуальный QR-код магазина</v>
      </c>
    </row>
    <row r="4940" spans="1:7" x14ac:dyDescent="0.25">
      <c r="A4940" t="s">
        <v>15627</v>
      </c>
      <c r="B4940" t="s">
        <v>15843</v>
      </c>
      <c r="C4940" t="s">
        <v>15844</v>
      </c>
      <c r="D4940" t="s">
        <v>15845</v>
      </c>
      <c r="E4940" t="s">
        <v>15846</v>
      </c>
      <c r="F4940" t="s">
        <v>15847</v>
      </c>
      <c r="G4940" s="2" t="str">
        <f>HYPERLINK("https://probpalata.gov.ru/files/ИП240801899500000.jpeg","Скачать индивидуальный QR-код магазина")</f>
        <v>Скачать индивидуальный QR-код магазина</v>
      </c>
    </row>
    <row r="4941" spans="1:7" x14ac:dyDescent="0.25">
      <c r="A4941" t="s">
        <v>15627</v>
      </c>
      <c r="B4941" t="s">
        <v>15848</v>
      </c>
      <c r="C4941" t="s">
        <v>15849</v>
      </c>
      <c r="D4941" t="s">
        <v>15850</v>
      </c>
      <c r="E4941" t="s">
        <v>15851</v>
      </c>
      <c r="F4941" t="s">
        <v>15852</v>
      </c>
      <c r="G4941" s="2" t="str">
        <f>HYPERLINK("https://probpalata.gov.ru/files/ИП240801450700000.jpeg","Скачать индивидуальный QR-код магазина")</f>
        <v>Скачать индивидуальный QR-код магазина</v>
      </c>
    </row>
    <row r="4942" spans="1:7" x14ac:dyDescent="0.25">
      <c r="A4942" t="s">
        <v>15627</v>
      </c>
      <c r="B4942" t="s">
        <v>15853</v>
      </c>
      <c r="C4942" t="s">
        <v>15854</v>
      </c>
      <c r="D4942" t="s">
        <v>15855</v>
      </c>
      <c r="E4942" t="s">
        <v>15856</v>
      </c>
      <c r="F4942" t="s">
        <v>15857</v>
      </c>
      <c r="G4942" s="2" t="str">
        <f>HYPERLINK("https://probpalata.gov.ru/files/ЮЛ240800872500000.jpeg","Скачать индивидуальный QR-код магазина")</f>
        <v>Скачать индивидуальный QR-код магазина</v>
      </c>
    </row>
    <row r="4943" spans="1:7" x14ac:dyDescent="0.25">
      <c r="A4943" t="s">
        <v>15627</v>
      </c>
      <c r="B4943" t="s">
        <v>15858</v>
      </c>
      <c r="C4943" t="s">
        <v>15859</v>
      </c>
      <c r="D4943" t="s">
        <v>15860</v>
      </c>
      <c r="E4943" t="s">
        <v>15861</v>
      </c>
      <c r="F4943" t="s">
        <v>15862</v>
      </c>
      <c r="G4943" s="2" t="str">
        <f>HYPERLINK("https://probpalata.gov.ru/files/ИП240801747500000.jpeg","Скачать индивидуальный QR-код магазина")</f>
        <v>Скачать индивидуальный QR-код магазина</v>
      </c>
    </row>
    <row r="4944" spans="1:7" x14ac:dyDescent="0.25">
      <c r="A4944" t="s">
        <v>15627</v>
      </c>
      <c r="B4944" t="s">
        <v>15863</v>
      </c>
      <c r="C4944" t="s">
        <v>15859</v>
      </c>
      <c r="D4944" t="s">
        <v>15860</v>
      </c>
      <c r="E4944" t="s">
        <v>15861</v>
      </c>
      <c r="F4944" t="s">
        <v>15864</v>
      </c>
      <c r="G4944" s="2" t="str">
        <f>HYPERLINK("https://probpalata.gov.ru/files/ИП240801747500002.jpeg","Скачать индивидуальный QR-код магазина")</f>
        <v>Скачать индивидуальный QR-код магазина</v>
      </c>
    </row>
    <row r="4945" spans="1:7" x14ac:dyDescent="0.25">
      <c r="A4945" t="s">
        <v>15627</v>
      </c>
      <c r="B4945" t="s">
        <v>15865</v>
      </c>
      <c r="C4945" t="s">
        <v>15859</v>
      </c>
      <c r="D4945" t="s">
        <v>15860</v>
      </c>
      <c r="E4945" t="s">
        <v>15861</v>
      </c>
      <c r="F4945" t="s">
        <v>15866</v>
      </c>
      <c r="G4945" s="2" t="str">
        <f>HYPERLINK("https://probpalata.gov.ru/files/ИП240801747500003.jpeg","Скачать индивидуальный QR-код магазина")</f>
        <v>Скачать индивидуальный QR-код магазина</v>
      </c>
    </row>
    <row r="4946" spans="1:7" x14ac:dyDescent="0.25">
      <c r="A4946" t="s">
        <v>15627</v>
      </c>
      <c r="B4946" t="s">
        <v>15867</v>
      </c>
      <c r="C4946" t="s">
        <v>15868</v>
      </c>
      <c r="D4946" t="s">
        <v>15869</v>
      </c>
      <c r="E4946" t="s">
        <v>15870</v>
      </c>
      <c r="F4946" t="s">
        <v>15871</v>
      </c>
      <c r="G4946" s="2" t="str">
        <f>HYPERLINK("https://probpalata.gov.ru/files/ИП240801454100000.jpeg","Скачать индивидуальный QR-код магазина")</f>
        <v>Скачать индивидуальный QR-код магазина</v>
      </c>
    </row>
    <row r="4947" spans="1:7" x14ac:dyDescent="0.25">
      <c r="A4947" t="s">
        <v>15627</v>
      </c>
      <c r="B4947" t="s">
        <v>15872</v>
      </c>
      <c r="C4947" t="s">
        <v>15873</v>
      </c>
      <c r="D4947" t="s">
        <v>15874</v>
      </c>
      <c r="E4947" t="s">
        <v>15875</v>
      </c>
      <c r="F4947" t="s">
        <v>15876</v>
      </c>
      <c r="G4947" s="2" t="str">
        <f>HYPERLINK("https://probpalata.gov.ru/files/ИП240801253000000.jpeg","Скачать индивидуальный QR-код магазина")</f>
        <v>Скачать индивидуальный QR-код магазина</v>
      </c>
    </row>
    <row r="4948" spans="1:7" x14ac:dyDescent="0.25">
      <c r="A4948" t="s">
        <v>15627</v>
      </c>
      <c r="B4948" t="s">
        <v>15877</v>
      </c>
      <c r="C4948" t="s">
        <v>15878</v>
      </c>
      <c r="D4948" t="s">
        <v>15879</v>
      </c>
      <c r="E4948" t="s">
        <v>15880</v>
      </c>
      <c r="F4948" t="s">
        <v>15881</v>
      </c>
      <c r="G4948" s="2" t="str">
        <f>HYPERLINK("https://probpalata.gov.ru/files/ИП240800162200000.jpeg","Скачать индивидуальный QR-код магазина")</f>
        <v>Скачать индивидуальный QR-код магазина</v>
      </c>
    </row>
    <row r="4949" spans="1:7" x14ac:dyDescent="0.25">
      <c r="A4949" t="s">
        <v>15627</v>
      </c>
      <c r="B4949" t="s">
        <v>15882</v>
      </c>
      <c r="C4949" t="s">
        <v>15878</v>
      </c>
      <c r="D4949" t="s">
        <v>15879</v>
      </c>
      <c r="E4949" t="s">
        <v>15880</v>
      </c>
      <c r="F4949" t="s">
        <v>15883</v>
      </c>
      <c r="G4949" s="2" t="str">
        <f>HYPERLINK("https://probpalata.gov.ru/files/ИП240800162200001.jpeg","Скачать индивидуальный QR-код магазина")</f>
        <v>Скачать индивидуальный QR-код магазина</v>
      </c>
    </row>
    <row r="4950" spans="1:7" x14ac:dyDescent="0.25">
      <c r="A4950" t="s">
        <v>15627</v>
      </c>
      <c r="B4950" t="s">
        <v>15884</v>
      </c>
      <c r="C4950" t="s">
        <v>15878</v>
      </c>
      <c r="D4950" t="s">
        <v>15879</v>
      </c>
      <c r="E4950" t="s">
        <v>15880</v>
      </c>
      <c r="F4950" t="s">
        <v>15885</v>
      </c>
      <c r="G4950" s="2" t="str">
        <f>HYPERLINK("https://probpalata.gov.ru/files/ИП240800162200002.jpeg","Скачать индивидуальный QR-код магазина")</f>
        <v>Скачать индивидуальный QR-код магазина</v>
      </c>
    </row>
    <row r="4951" spans="1:7" x14ac:dyDescent="0.25">
      <c r="A4951" t="s">
        <v>15627</v>
      </c>
      <c r="B4951" t="s">
        <v>15886</v>
      </c>
      <c r="C4951" t="s">
        <v>15878</v>
      </c>
      <c r="D4951" t="s">
        <v>15879</v>
      </c>
      <c r="E4951" t="s">
        <v>15880</v>
      </c>
      <c r="F4951" t="s">
        <v>15887</v>
      </c>
      <c r="G4951" s="2" t="str">
        <f>HYPERLINK("https://probpalata.gov.ru/files/ИП240800162200003.jpeg","Скачать индивидуальный QR-код магазина")</f>
        <v>Скачать индивидуальный QR-код магазина</v>
      </c>
    </row>
    <row r="4952" spans="1:7" x14ac:dyDescent="0.25">
      <c r="A4952" t="s">
        <v>15627</v>
      </c>
      <c r="B4952" t="s">
        <v>15888</v>
      </c>
      <c r="C4952" t="s">
        <v>15878</v>
      </c>
      <c r="D4952" t="s">
        <v>15879</v>
      </c>
      <c r="E4952" t="s">
        <v>15880</v>
      </c>
      <c r="F4952" t="s">
        <v>15889</v>
      </c>
      <c r="G4952" s="2" t="str">
        <f>HYPERLINK("https://probpalata.gov.ru/files/ИП240800162200004.jpeg","Скачать индивидуальный QR-код магазина")</f>
        <v>Скачать индивидуальный QR-код магазина</v>
      </c>
    </row>
    <row r="4953" spans="1:7" x14ac:dyDescent="0.25">
      <c r="A4953" t="s">
        <v>15627</v>
      </c>
      <c r="B4953" t="s">
        <v>15890</v>
      </c>
      <c r="C4953" t="s">
        <v>15878</v>
      </c>
      <c r="D4953" t="s">
        <v>15879</v>
      </c>
      <c r="E4953" t="s">
        <v>15880</v>
      </c>
      <c r="F4953" t="s">
        <v>15891</v>
      </c>
      <c r="G4953" s="2" t="str">
        <f>HYPERLINK("https://probpalata.gov.ru/files/ИП240800162200008.jpeg","Скачать индивидуальный QR-код магазина")</f>
        <v>Скачать индивидуальный QR-код магазина</v>
      </c>
    </row>
    <row r="4954" spans="1:7" x14ac:dyDescent="0.25">
      <c r="A4954" t="s">
        <v>15627</v>
      </c>
      <c r="B4954" t="s">
        <v>15882</v>
      </c>
      <c r="C4954" t="s">
        <v>15892</v>
      </c>
      <c r="D4954" t="s">
        <v>15893</v>
      </c>
      <c r="E4954" t="s">
        <v>15894</v>
      </c>
      <c r="F4954" t="s">
        <v>15895</v>
      </c>
      <c r="G4954" s="2" t="str">
        <f>HYPERLINK("https://probpalata.gov.ru/files/ИП240801012000000.jpeg","Скачать индивидуальный QR-код магазина")</f>
        <v>Скачать индивидуальный QR-код магазина</v>
      </c>
    </row>
    <row r="4955" spans="1:7" x14ac:dyDescent="0.25">
      <c r="A4955" t="s">
        <v>15627</v>
      </c>
      <c r="B4955" t="s">
        <v>15896</v>
      </c>
      <c r="C4955" t="s">
        <v>15897</v>
      </c>
      <c r="D4955" t="s">
        <v>15898</v>
      </c>
      <c r="E4955" t="s">
        <v>15899</v>
      </c>
      <c r="F4955" t="s">
        <v>15900</v>
      </c>
      <c r="G4955" s="2" t="str">
        <f>HYPERLINK("https://probpalata.gov.ru/files/ИП240800250400000.jpeg","Скачать индивидуальный QR-код магазина")</f>
        <v>Скачать индивидуальный QR-код магазина</v>
      </c>
    </row>
    <row r="4956" spans="1:7" x14ac:dyDescent="0.25">
      <c r="A4956" t="s">
        <v>15627</v>
      </c>
      <c r="B4956" t="s">
        <v>15901</v>
      </c>
      <c r="C4956" t="s">
        <v>15902</v>
      </c>
      <c r="D4956" t="s">
        <v>15903</v>
      </c>
      <c r="E4956" t="s">
        <v>15904</v>
      </c>
      <c r="F4956" t="s">
        <v>15905</v>
      </c>
      <c r="G4956" s="2" t="str">
        <f>HYPERLINK("https://probpalata.gov.ru/files/ИП240801703300000.jpeg","Скачать индивидуальный QR-код магазина")</f>
        <v>Скачать индивидуальный QR-код магазина</v>
      </c>
    </row>
    <row r="4957" spans="1:7" x14ac:dyDescent="0.25">
      <c r="A4957" t="s">
        <v>15627</v>
      </c>
      <c r="B4957" t="s">
        <v>15906</v>
      </c>
      <c r="C4957" t="s">
        <v>15907</v>
      </c>
      <c r="D4957" t="s">
        <v>15908</v>
      </c>
      <c r="E4957" t="s">
        <v>15909</v>
      </c>
      <c r="F4957" t="s">
        <v>15910</v>
      </c>
      <c r="G4957" s="2" t="str">
        <f>HYPERLINK("https://probpalata.gov.ru/files/ИП240800848100000.jpeg","Скачать индивидуальный QR-код магазина")</f>
        <v>Скачать индивидуальный QR-код магазина</v>
      </c>
    </row>
    <row r="4958" spans="1:7" x14ac:dyDescent="0.25">
      <c r="A4958" t="s">
        <v>15627</v>
      </c>
      <c r="B4958" t="s">
        <v>15911</v>
      </c>
      <c r="C4958" t="s">
        <v>15912</v>
      </c>
      <c r="D4958" t="s">
        <v>15913</v>
      </c>
      <c r="E4958" t="s">
        <v>15914</v>
      </c>
      <c r="F4958" t="s">
        <v>15915</v>
      </c>
      <c r="G4958" s="2" t="str">
        <f>HYPERLINK("https://probpalata.gov.ru/files/ИП240803274800000.jpeg","Скачать индивидуальный QR-код магазина")</f>
        <v>Скачать индивидуальный QR-код магазина</v>
      </c>
    </row>
    <row r="4959" spans="1:7" x14ac:dyDescent="0.25">
      <c r="A4959" t="s">
        <v>15627</v>
      </c>
      <c r="B4959" t="s">
        <v>15916</v>
      </c>
      <c r="C4959" t="s">
        <v>15917</v>
      </c>
      <c r="D4959" t="s">
        <v>15918</v>
      </c>
      <c r="E4959" t="s">
        <v>15919</v>
      </c>
      <c r="F4959" t="s">
        <v>15920</v>
      </c>
      <c r="G4959" s="2" t="str">
        <f>HYPERLINK("https://probpalata.gov.ru/files/ИП240803616700000.jpeg","Скачать индивидуальный QR-код магазина")</f>
        <v>Скачать индивидуальный QR-код магазина</v>
      </c>
    </row>
    <row r="4960" spans="1:7" x14ac:dyDescent="0.25">
      <c r="A4960" t="s">
        <v>15627</v>
      </c>
      <c r="B4960" t="s">
        <v>15921</v>
      </c>
      <c r="C4960" t="s">
        <v>15922</v>
      </c>
      <c r="D4960" t="s">
        <v>15923</v>
      </c>
      <c r="E4960" t="s">
        <v>15924</v>
      </c>
      <c r="F4960" t="s">
        <v>15925</v>
      </c>
      <c r="G4960" s="2" t="str">
        <f>HYPERLINK("https://probpalata.gov.ru/files/ЮЛ240800431600000.jpeg","Скачать индивидуальный QR-код магазина")</f>
        <v>Скачать индивидуальный QR-код магазина</v>
      </c>
    </row>
    <row r="4961" spans="1:7" x14ac:dyDescent="0.25">
      <c r="A4961" t="s">
        <v>15627</v>
      </c>
      <c r="B4961" t="s">
        <v>15926</v>
      </c>
      <c r="C4961" t="s">
        <v>15922</v>
      </c>
      <c r="D4961" t="s">
        <v>15923</v>
      </c>
      <c r="E4961" t="s">
        <v>15924</v>
      </c>
      <c r="F4961" t="s">
        <v>15927</v>
      </c>
      <c r="G4961" s="2" t="str">
        <f>HYPERLINK("https://probpalata.gov.ru/files/ЮЛ240800431600001.jpeg","Скачать индивидуальный QR-код магазина")</f>
        <v>Скачать индивидуальный QR-код магазина</v>
      </c>
    </row>
    <row r="4962" spans="1:7" x14ac:dyDescent="0.25">
      <c r="A4962" t="s">
        <v>15627</v>
      </c>
      <c r="B4962" t="s">
        <v>15928</v>
      </c>
      <c r="C4962" t="s">
        <v>15922</v>
      </c>
      <c r="D4962" t="s">
        <v>15923</v>
      </c>
      <c r="E4962" t="s">
        <v>15924</v>
      </c>
      <c r="F4962" t="s">
        <v>15929</v>
      </c>
      <c r="G4962" s="2" t="str">
        <f>HYPERLINK("https://probpalata.gov.ru/files/ЮЛ240800431600002.jpeg","Скачать индивидуальный QR-код магазина")</f>
        <v>Скачать индивидуальный QR-код магазина</v>
      </c>
    </row>
    <row r="4963" spans="1:7" x14ac:dyDescent="0.25">
      <c r="A4963" t="s">
        <v>15627</v>
      </c>
      <c r="B4963" t="s">
        <v>15930</v>
      </c>
      <c r="C4963" t="s">
        <v>15931</v>
      </c>
      <c r="D4963" t="s">
        <v>15932</v>
      </c>
      <c r="E4963" t="s">
        <v>15933</v>
      </c>
      <c r="F4963" t="s">
        <v>15934</v>
      </c>
      <c r="G4963" s="2" t="str">
        <f>HYPERLINK("https://probpalata.gov.ru/files/ЮЛ240803726700000.jpeg","Скачать индивидуальный QR-код магазина")</f>
        <v>Скачать индивидуальный QR-код магазина</v>
      </c>
    </row>
    <row r="4964" spans="1:7" x14ac:dyDescent="0.25">
      <c r="A4964" t="s">
        <v>15627</v>
      </c>
      <c r="B4964" t="s">
        <v>15935</v>
      </c>
      <c r="C4964" t="s">
        <v>15936</v>
      </c>
      <c r="D4964" t="s">
        <v>15937</v>
      </c>
      <c r="E4964" t="s">
        <v>15938</v>
      </c>
      <c r="F4964" t="s">
        <v>15939</v>
      </c>
      <c r="G4964" s="2" t="str">
        <f>HYPERLINK("https://probpalata.gov.ru/files/ЮЛ240800147600000.jpeg","Скачать индивидуальный QR-код магазина")</f>
        <v>Скачать индивидуальный QR-код магазина</v>
      </c>
    </row>
    <row r="4965" spans="1:7" x14ac:dyDescent="0.25">
      <c r="A4965" t="s">
        <v>15627</v>
      </c>
      <c r="B4965" t="s">
        <v>15940</v>
      </c>
      <c r="C4965" t="s">
        <v>15941</v>
      </c>
      <c r="D4965" t="s">
        <v>15942</v>
      </c>
      <c r="E4965" t="s">
        <v>15943</v>
      </c>
      <c r="F4965" t="s">
        <v>15944</v>
      </c>
      <c r="G4965" s="2" t="str">
        <f>HYPERLINK("https://probpalata.gov.ru/files/ИП240800871800000.jpeg","Скачать индивидуальный QR-код магазина")</f>
        <v>Скачать индивидуальный QR-код магазина</v>
      </c>
    </row>
    <row r="4966" spans="1:7" x14ac:dyDescent="0.25">
      <c r="A4966" t="s">
        <v>15627</v>
      </c>
      <c r="B4966" t="s">
        <v>15945</v>
      </c>
      <c r="C4966" t="s">
        <v>15941</v>
      </c>
      <c r="D4966" t="s">
        <v>15942</v>
      </c>
      <c r="E4966" t="s">
        <v>15943</v>
      </c>
      <c r="F4966" t="s">
        <v>15946</v>
      </c>
      <c r="G4966" s="2" t="str">
        <f>HYPERLINK("https://probpalata.gov.ru/files/ИП240800871800001.jpeg","Скачать индивидуальный QR-код магазина")</f>
        <v>Скачать индивидуальный QR-код магазина</v>
      </c>
    </row>
    <row r="4967" spans="1:7" x14ac:dyDescent="0.25">
      <c r="A4967" t="s">
        <v>15627</v>
      </c>
      <c r="B4967" t="s">
        <v>15947</v>
      </c>
      <c r="C4967" t="s">
        <v>15948</v>
      </c>
      <c r="D4967" t="s">
        <v>15949</v>
      </c>
      <c r="E4967" t="s">
        <v>15950</v>
      </c>
      <c r="F4967" t="s">
        <v>15951</v>
      </c>
      <c r="G4967" s="2" t="str">
        <f>HYPERLINK("https://probpalata.gov.ru/files/ИП240800682700000.jpeg","Скачать индивидуальный QR-код магазина")</f>
        <v>Скачать индивидуальный QR-код магазина</v>
      </c>
    </row>
    <row r="4968" spans="1:7" x14ac:dyDescent="0.25">
      <c r="A4968" t="s">
        <v>15627</v>
      </c>
      <c r="B4968" t="s">
        <v>15952</v>
      </c>
      <c r="C4968" t="s">
        <v>15948</v>
      </c>
      <c r="D4968" t="s">
        <v>15949</v>
      </c>
      <c r="E4968" t="s">
        <v>15950</v>
      </c>
      <c r="F4968" t="s">
        <v>15953</v>
      </c>
      <c r="G4968" s="2" t="str">
        <f>HYPERLINK("https://probpalata.gov.ru/files/ИП240800682700003.jpeg","Скачать индивидуальный QR-код магазина")</f>
        <v>Скачать индивидуальный QR-код магазина</v>
      </c>
    </row>
    <row r="4969" spans="1:7" x14ac:dyDescent="0.25">
      <c r="A4969" t="s">
        <v>15627</v>
      </c>
      <c r="B4969" t="s">
        <v>15954</v>
      </c>
      <c r="C4969" t="s">
        <v>15948</v>
      </c>
      <c r="D4969" t="s">
        <v>15949</v>
      </c>
      <c r="E4969" t="s">
        <v>15950</v>
      </c>
      <c r="F4969" t="s">
        <v>15955</v>
      </c>
      <c r="G4969" s="2" t="str">
        <f>HYPERLINK("https://probpalata.gov.ru/files/ИП240800682700004.jpeg","Скачать индивидуальный QR-код магазина")</f>
        <v>Скачать индивидуальный QR-код магазина</v>
      </c>
    </row>
    <row r="4970" spans="1:7" x14ac:dyDescent="0.25">
      <c r="A4970" t="s">
        <v>15627</v>
      </c>
      <c r="B4970" t="s">
        <v>15956</v>
      </c>
      <c r="C4970" t="s">
        <v>15948</v>
      </c>
      <c r="D4970" t="s">
        <v>15949</v>
      </c>
      <c r="E4970" t="s">
        <v>15950</v>
      </c>
      <c r="F4970" t="s">
        <v>15957</v>
      </c>
      <c r="G4970" s="2" t="str">
        <f>HYPERLINK("https://probpalata.gov.ru/files/ИП240800682700005.jpeg","Скачать индивидуальный QR-код магазина")</f>
        <v>Скачать индивидуальный QR-код магазина</v>
      </c>
    </row>
    <row r="4971" spans="1:7" x14ac:dyDescent="0.25">
      <c r="A4971" t="s">
        <v>15627</v>
      </c>
      <c r="B4971" t="s">
        <v>15958</v>
      </c>
      <c r="C4971" t="s">
        <v>15948</v>
      </c>
      <c r="D4971" t="s">
        <v>15949</v>
      </c>
      <c r="E4971" t="s">
        <v>15950</v>
      </c>
      <c r="F4971" t="s">
        <v>15959</v>
      </c>
      <c r="G4971" s="2" t="str">
        <f>HYPERLINK("https://probpalata.gov.ru/files/ИП240800682700006.jpeg","Скачать индивидуальный QR-код магазина")</f>
        <v>Скачать индивидуальный QR-код магазина</v>
      </c>
    </row>
    <row r="4972" spans="1:7" x14ac:dyDescent="0.25">
      <c r="A4972" t="s">
        <v>15627</v>
      </c>
      <c r="B4972" t="s">
        <v>15960</v>
      </c>
      <c r="C4972" t="s">
        <v>15961</v>
      </c>
      <c r="D4972" t="s">
        <v>15962</v>
      </c>
      <c r="E4972" t="s">
        <v>15963</v>
      </c>
      <c r="F4972" t="s">
        <v>15964</v>
      </c>
      <c r="G4972" s="2" t="str">
        <f>HYPERLINK("https://probpalata.gov.ru/files/ЮЛ240800846200000.jpeg","Скачать индивидуальный QR-код магазина")</f>
        <v>Скачать индивидуальный QR-код магазина</v>
      </c>
    </row>
    <row r="4973" spans="1:7" x14ac:dyDescent="0.25">
      <c r="A4973" t="s">
        <v>15627</v>
      </c>
      <c r="B4973" t="s">
        <v>15965</v>
      </c>
      <c r="C4973" t="s">
        <v>15966</v>
      </c>
      <c r="D4973" t="s">
        <v>15967</v>
      </c>
      <c r="E4973" t="s">
        <v>15968</v>
      </c>
      <c r="F4973" t="s">
        <v>15969</v>
      </c>
      <c r="G4973" s="2" t="str">
        <f>HYPERLINK("https://probpalata.gov.ru/files/ИП240801451500000.jpeg","Скачать индивидуальный QR-код магазина")</f>
        <v>Скачать индивидуальный QR-код магазина</v>
      </c>
    </row>
    <row r="4974" spans="1:7" x14ac:dyDescent="0.25">
      <c r="A4974" t="s">
        <v>15627</v>
      </c>
      <c r="B4974" t="s">
        <v>15970</v>
      </c>
      <c r="C4974" t="s">
        <v>15971</v>
      </c>
      <c r="D4974" t="s">
        <v>15972</v>
      </c>
      <c r="E4974" t="s">
        <v>15973</v>
      </c>
      <c r="F4974" t="s">
        <v>15974</v>
      </c>
      <c r="G4974" s="2" t="str">
        <f>HYPERLINK("https://probpalata.gov.ru/files/ЮЛ240801204700001.jpeg","Скачать индивидуальный QR-код магазина")</f>
        <v>Скачать индивидуальный QR-код магазина</v>
      </c>
    </row>
    <row r="4975" spans="1:7" x14ac:dyDescent="0.25">
      <c r="A4975" t="s">
        <v>15627</v>
      </c>
      <c r="B4975" t="s">
        <v>15975</v>
      </c>
      <c r="C4975" t="s">
        <v>15971</v>
      </c>
      <c r="D4975" t="s">
        <v>15972</v>
      </c>
      <c r="E4975" t="s">
        <v>15973</v>
      </c>
      <c r="F4975" t="s">
        <v>15976</v>
      </c>
      <c r="G4975" s="2" t="str">
        <f>HYPERLINK("https://probpalata.gov.ru/files/ЮЛ240801204700002.jpeg","Скачать индивидуальный QR-код магазина")</f>
        <v>Скачать индивидуальный QR-код магазина</v>
      </c>
    </row>
    <row r="4976" spans="1:7" x14ac:dyDescent="0.25">
      <c r="A4976" t="s">
        <v>15627</v>
      </c>
      <c r="B4976" t="s">
        <v>15977</v>
      </c>
      <c r="C4976" t="s">
        <v>15978</v>
      </c>
      <c r="D4976" t="s">
        <v>15979</v>
      </c>
      <c r="E4976" t="s">
        <v>15980</v>
      </c>
      <c r="F4976" t="s">
        <v>15981</v>
      </c>
      <c r="G4976" s="2" t="str">
        <f>HYPERLINK("https://probpalata.gov.ru/files/ИП240801155700000.jpeg","Скачать индивидуальный QR-код магазина")</f>
        <v>Скачать индивидуальный QR-код магазина</v>
      </c>
    </row>
    <row r="4977" spans="1:7" x14ac:dyDescent="0.25">
      <c r="A4977" t="s">
        <v>15627</v>
      </c>
      <c r="B4977" t="s">
        <v>15982</v>
      </c>
      <c r="C4977" t="s">
        <v>15978</v>
      </c>
      <c r="D4977" t="s">
        <v>15979</v>
      </c>
      <c r="E4977" t="s">
        <v>15980</v>
      </c>
      <c r="F4977" t="s">
        <v>15983</v>
      </c>
      <c r="G4977" s="2" t="str">
        <f>HYPERLINK("https://probpalata.gov.ru/files/ИП240801155700001.jpeg","Скачать индивидуальный QR-код магазина")</f>
        <v>Скачать индивидуальный QR-код магазина</v>
      </c>
    </row>
    <row r="4978" spans="1:7" x14ac:dyDescent="0.25">
      <c r="A4978" t="s">
        <v>15627</v>
      </c>
      <c r="B4978" t="s">
        <v>15984</v>
      </c>
      <c r="C4978" t="s">
        <v>15985</v>
      </c>
      <c r="D4978" t="s">
        <v>15986</v>
      </c>
      <c r="E4978" t="s">
        <v>15987</v>
      </c>
      <c r="F4978" t="s">
        <v>15988</v>
      </c>
      <c r="G4978" s="2" t="str">
        <f>HYPERLINK("https://probpalata.gov.ru/files/ИП240801391800000.jpeg","Скачать индивидуальный QR-код магазина")</f>
        <v>Скачать индивидуальный QR-код магазина</v>
      </c>
    </row>
    <row r="4979" spans="1:7" x14ac:dyDescent="0.25">
      <c r="A4979" t="s">
        <v>15627</v>
      </c>
      <c r="B4979" t="s">
        <v>15989</v>
      </c>
      <c r="C4979" t="s">
        <v>15985</v>
      </c>
      <c r="D4979" t="s">
        <v>15986</v>
      </c>
      <c r="E4979" t="s">
        <v>15987</v>
      </c>
      <c r="F4979" t="s">
        <v>15990</v>
      </c>
      <c r="G4979" s="2" t="str">
        <f>HYPERLINK("https://probpalata.gov.ru/files/ИП240801391800006.jpeg","Скачать индивидуальный QR-код магазина")</f>
        <v>Скачать индивидуальный QR-код магазина</v>
      </c>
    </row>
    <row r="4980" spans="1:7" x14ac:dyDescent="0.25">
      <c r="A4980" t="s">
        <v>15627</v>
      </c>
      <c r="B4980" t="s">
        <v>15991</v>
      </c>
      <c r="C4980" t="s">
        <v>15985</v>
      </c>
      <c r="D4980" t="s">
        <v>15986</v>
      </c>
      <c r="E4980" t="s">
        <v>15987</v>
      </c>
      <c r="F4980" t="s">
        <v>15992</v>
      </c>
      <c r="G4980" s="2" t="str">
        <f>HYPERLINK("https://probpalata.gov.ru/files/ИП240801391800008.jpeg","Скачать индивидуальный QR-код магазина")</f>
        <v>Скачать индивидуальный QR-код магазина</v>
      </c>
    </row>
    <row r="4981" spans="1:7" x14ac:dyDescent="0.25">
      <c r="A4981" t="s">
        <v>15627</v>
      </c>
      <c r="B4981" t="s">
        <v>15993</v>
      </c>
      <c r="C4981" t="s">
        <v>15994</v>
      </c>
      <c r="D4981" t="s">
        <v>15995</v>
      </c>
      <c r="E4981" t="s">
        <v>15996</v>
      </c>
      <c r="F4981" t="s">
        <v>15997</v>
      </c>
      <c r="G4981" s="2" t="str">
        <f>HYPERLINK("https://probpalata.gov.ru/files/ИП240803846000000.jpeg","Скачать индивидуальный QR-код магазина")</f>
        <v>Скачать индивидуальный QR-код магазина</v>
      </c>
    </row>
    <row r="4982" spans="1:7" x14ac:dyDescent="0.25">
      <c r="A4982" t="s">
        <v>15627</v>
      </c>
      <c r="B4982" t="s">
        <v>15998</v>
      </c>
      <c r="C4982" t="s">
        <v>15999</v>
      </c>
      <c r="D4982" t="s">
        <v>16000</v>
      </c>
      <c r="E4982" t="s">
        <v>16001</v>
      </c>
      <c r="F4982" t="s">
        <v>16002</v>
      </c>
      <c r="G4982" s="2" t="str">
        <f>HYPERLINK("https://probpalata.gov.ru/files/ИП240800441300000.jpeg","Скачать индивидуальный QR-код магазина")</f>
        <v>Скачать индивидуальный QR-код магазина</v>
      </c>
    </row>
    <row r="4983" spans="1:7" x14ac:dyDescent="0.25">
      <c r="A4983" t="s">
        <v>15627</v>
      </c>
      <c r="B4983" t="s">
        <v>16003</v>
      </c>
      <c r="C4983" t="s">
        <v>16004</v>
      </c>
      <c r="D4983" t="s">
        <v>16005</v>
      </c>
      <c r="E4983" t="s">
        <v>16006</v>
      </c>
      <c r="F4983" t="s">
        <v>16007</v>
      </c>
      <c r="G4983" s="2" t="str">
        <f>HYPERLINK("https://probpalata.gov.ru/files/ИП240800069600001.jpeg","Скачать индивидуальный QR-код магазина")</f>
        <v>Скачать индивидуальный QR-код магазина</v>
      </c>
    </row>
    <row r="4984" spans="1:7" x14ac:dyDescent="0.25">
      <c r="A4984" t="s">
        <v>15627</v>
      </c>
      <c r="B4984" t="s">
        <v>16008</v>
      </c>
      <c r="C4984" t="s">
        <v>16004</v>
      </c>
      <c r="D4984" t="s">
        <v>16005</v>
      </c>
      <c r="E4984" t="s">
        <v>16006</v>
      </c>
      <c r="F4984" t="s">
        <v>16009</v>
      </c>
      <c r="G4984" s="2" t="str">
        <f>HYPERLINK("https://probpalata.gov.ru/files/ИП240800069600002.jpeg","Скачать индивидуальный QR-код магазина")</f>
        <v>Скачать индивидуальный QR-код магазина</v>
      </c>
    </row>
    <row r="4985" spans="1:7" x14ac:dyDescent="0.25">
      <c r="A4985" t="s">
        <v>15627</v>
      </c>
      <c r="B4985" t="s">
        <v>16010</v>
      </c>
      <c r="C4985" t="s">
        <v>16004</v>
      </c>
      <c r="D4985" t="s">
        <v>16005</v>
      </c>
      <c r="E4985" t="s">
        <v>16006</v>
      </c>
      <c r="F4985" t="s">
        <v>16011</v>
      </c>
      <c r="G4985" s="2" t="str">
        <f>HYPERLINK("https://probpalata.gov.ru/files/ИП240800069600003.jpeg","Скачать индивидуальный QR-код магазина")</f>
        <v>Скачать индивидуальный QR-код магазина</v>
      </c>
    </row>
    <row r="4986" spans="1:7" x14ac:dyDescent="0.25">
      <c r="A4986" t="s">
        <v>15627</v>
      </c>
      <c r="B4986" t="s">
        <v>16012</v>
      </c>
      <c r="C4986" t="s">
        <v>16004</v>
      </c>
      <c r="D4986" t="s">
        <v>16005</v>
      </c>
      <c r="E4986" t="s">
        <v>16006</v>
      </c>
      <c r="F4986" t="s">
        <v>16013</v>
      </c>
      <c r="G4986" s="2" t="str">
        <f>HYPERLINK("https://probpalata.gov.ru/files/ИП240800069600004.jpeg","Скачать индивидуальный QR-код магазина")</f>
        <v>Скачать индивидуальный QR-код магазина</v>
      </c>
    </row>
    <row r="4987" spans="1:7" x14ac:dyDescent="0.25">
      <c r="A4987" t="s">
        <v>15627</v>
      </c>
      <c r="B4987" t="s">
        <v>16014</v>
      </c>
      <c r="C4987" t="s">
        <v>16015</v>
      </c>
      <c r="D4987" t="s">
        <v>16016</v>
      </c>
      <c r="E4987" t="s">
        <v>16017</v>
      </c>
      <c r="F4987" t="s">
        <v>16018</v>
      </c>
      <c r="G4987" s="2" t="str">
        <f>HYPERLINK("https://probpalata.gov.ru/files/ИП190800918500000.jpeg","Скачать индивидуальный QR-код магазина")</f>
        <v>Скачать индивидуальный QR-код магазина</v>
      </c>
    </row>
    <row r="4988" spans="1:7" x14ac:dyDescent="0.25">
      <c r="A4988" t="s">
        <v>15627</v>
      </c>
      <c r="B4988" t="s">
        <v>16019</v>
      </c>
      <c r="C4988" t="s">
        <v>16015</v>
      </c>
      <c r="D4988" t="s">
        <v>16016</v>
      </c>
      <c r="E4988" t="s">
        <v>16017</v>
      </c>
      <c r="F4988" t="s">
        <v>16020</v>
      </c>
      <c r="G4988" s="2" t="str">
        <f>HYPERLINK("https://probpalata.gov.ru/files/ИП190800918500004.jpeg","Скачать индивидуальный QR-код магазина")</f>
        <v>Скачать индивидуальный QR-код магазина</v>
      </c>
    </row>
    <row r="4989" spans="1:7" x14ac:dyDescent="0.25">
      <c r="A4989" t="s">
        <v>15627</v>
      </c>
      <c r="B4989" t="s">
        <v>16021</v>
      </c>
      <c r="C4989" t="s">
        <v>16022</v>
      </c>
      <c r="D4989" t="s">
        <v>16023</v>
      </c>
      <c r="E4989" t="s">
        <v>16024</v>
      </c>
      <c r="F4989" t="s">
        <v>16025</v>
      </c>
      <c r="G4989" s="2" t="str">
        <f>HYPERLINK("https://probpalata.gov.ru/files/ЮЛ240800148600000.jpeg","Скачать индивидуальный QR-код магазина")</f>
        <v>Скачать индивидуальный QR-код магазина</v>
      </c>
    </row>
    <row r="4990" spans="1:7" x14ac:dyDescent="0.25">
      <c r="A4990" t="s">
        <v>15627</v>
      </c>
      <c r="B4990" t="s">
        <v>16026</v>
      </c>
      <c r="C4990" t="s">
        <v>16027</v>
      </c>
      <c r="D4990" t="s">
        <v>16028</v>
      </c>
      <c r="E4990" t="s">
        <v>16029</v>
      </c>
      <c r="F4990" t="s">
        <v>16030</v>
      </c>
      <c r="G4990" s="2" t="str">
        <f>HYPERLINK("https://probpalata.gov.ru/files/ИП240800244800000.jpeg","Скачать индивидуальный QR-код магазина")</f>
        <v>Скачать индивидуальный QR-код магазина</v>
      </c>
    </row>
    <row r="4991" spans="1:7" x14ac:dyDescent="0.25">
      <c r="A4991" t="s">
        <v>15627</v>
      </c>
      <c r="B4991" t="s">
        <v>16031</v>
      </c>
      <c r="C4991" t="s">
        <v>16032</v>
      </c>
      <c r="D4991" t="s">
        <v>16033</v>
      </c>
      <c r="E4991" t="s">
        <v>16034</v>
      </c>
      <c r="F4991" t="s">
        <v>16035</v>
      </c>
      <c r="G4991" s="2" t="str">
        <f>HYPERLINK("https://probpalata.gov.ru/files/ИП240800739900000.jpeg","Скачать индивидуальный QR-код магазина")</f>
        <v>Скачать индивидуальный QR-код магазина</v>
      </c>
    </row>
    <row r="4992" spans="1:7" x14ac:dyDescent="0.25">
      <c r="A4992" t="s">
        <v>15627</v>
      </c>
      <c r="B4992" t="s">
        <v>16036</v>
      </c>
      <c r="C4992" t="s">
        <v>16032</v>
      </c>
      <c r="D4992" t="s">
        <v>16033</v>
      </c>
      <c r="E4992" t="s">
        <v>16034</v>
      </c>
      <c r="F4992" t="s">
        <v>16037</v>
      </c>
      <c r="G4992" s="2" t="str">
        <f>HYPERLINK("https://probpalata.gov.ru/files/ИП240800739900004.jpeg","Скачать индивидуальный QR-код магазина")</f>
        <v>Скачать индивидуальный QR-код магазина</v>
      </c>
    </row>
    <row r="4993" spans="1:7" x14ac:dyDescent="0.25">
      <c r="A4993" t="s">
        <v>15627</v>
      </c>
      <c r="B4993" t="s">
        <v>16038</v>
      </c>
      <c r="C4993" t="s">
        <v>16039</v>
      </c>
      <c r="D4993" t="s">
        <v>16040</v>
      </c>
      <c r="E4993" t="s">
        <v>16041</v>
      </c>
      <c r="F4993" t="s">
        <v>16042</v>
      </c>
      <c r="G4993" s="2" t="str">
        <f>HYPERLINK("https://probpalata.gov.ru/files/ИП240801517500000.jpeg","Скачать индивидуальный QR-код магазина")</f>
        <v>Скачать индивидуальный QR-код магазина</v>
      </c>
    </row>
    <row r="4994" spans="1:7" x14ac:dyDescent="0.25">
      <c r="A4994" t="s">
        <v>15627</v>
      </c>
      <c r="B4994" t="s">
        <v>16043</v>
      </c>
      <c r="C4994" t="s">
        <v>16044</v>
      </c>
      <c r="D4994" t="s">
        <v>16045</v>
      </c>
      <c r="E4994" t="s">
        <v>16046</v>
      </c>
      <c r="F4994" t="s">
        <v>16047</v>
      </c>
      <c r="G4994" s="2" t="str">
        <f>HYPERLINK("https://probpalata.gov.ru/files/ИП240800429100000.jpeg","Скачать индивидуальный QR-код магазина")</f>
        <v>Скачать индивидуальный QR-код магазина</v>
      </c>
    </row>
    <row r="4995" spans="1:7" x14ac:dyDescent="0.25">
      <c r="A4995" t="s">
        <v>15627</v>
      </c>
      <c r="B4995" t="s">
        <v>16048</v>
      </c>
      <c r="C4995" t="s">
        <v>16049</v>
      </c>
      <c r="D4995" t="s">
        <v>16050</v>
      </c>
      <c r="E4995" t="s">
        <v>16051</v>
      </c>
      <c r="F4995" t="s">
        <v>16052</v>
      </c>
      <c r="G4995" s="2" t="str">
        <f>HYPERLINK("https://probpalata.gov.ru/files/ИП240801011200000.jpeg","Скачать индивидуальный QR-код магазина")</f>
        <v>Скачать индивидуальный QR-код магазина</v>
      </c>
    </row>
    <row r="4996" spans="1:7" x14ac:dyDescent="0.25">
      <c r="A4996" t="s">
        <v>15627</v>
      </c>
      <c r="B4996" t="s">
        <v>16053</v>
      </c>
      <c r="C4996" t="s">
        <v>16054</v>
      </c>
      <c r="D4996" t="s">
        <v>16055</v>
      </c>
      <c r="E4996" t="s">
        <v>16056</v>
      </c>
      <c r="F4996" t="s">
        <v>16057</v>
      </c>
      <c r="G4996" s="2" t="str">
        <f>HYPERLINK("https://probpalata.gov.ru/files/ИП240801738700000.jpeg","Скачать индивидуальный QR-код магазина")</f>
        <v>Скачать индивидуальный QR-код магазина</v>
      </c>
    </row>
    <row r="4997" spans="1:7" x14ac:dyDescent="0.25">
      <c r="A4997" t="s">
        <v>15627</v>
      </c>
      <c r="B4997" t="s">
        <v>16058</v>
      </c>
      <c r="C4997" t="s">
        <v>16054</v>
      </c>
      <c r="D4997" t="s">
        <v>16055</v>
      </c>
      <c r="E4997" t="s">
        <v>16056</v>
      </c>
      <c r="F4997" t="s">
        <v>16059</v>
      </c>
      <c r="G4997" s="2" t="str">
        <f>HYPERLINK("https://probpalata.gov.ru/files/ИП240801738700002.jpeg","Скачать индивидуальный QR-код магазина")</f>
        <v>Скачать индивидуальный QR-код магазина</v>
      </c>
    </row>
    <row r="4998" spans="1:7" x14ac:dyDescent="0.25">
      <c r="A4998" t="s">
        <v>15627</v>
      </c>
      <c r="B4998" t="s">
        <v>16060</v>
      </c>
      <c r="C4998" t="s">
        <v>16061</v>
      </c>
      <c r="D4998" t="s">
        <v>16062</v>
      </c>
      <c r="E4998" t="s">
        <v>16063</v>
      </c>
      <c r="F4998" t="s">
        <v>16064</v>
      </c>
      <c r="G4998" s="2" t="str">
        <f>HYPERLINK("https://probpalata.gov.ru/files/ЮЛ240803295400000.jpeg","Скачать индивидуальный QR-код магазина")</f>
        <v>Скачать индивидуальный QR-код магазина</v>
      </c>
    </row>
    <row r="4999" spans="1:7" x14ac:dyDescent="0.25">
      <c r="A4999" t="s">
        <v>15627</v>
      </c>
      <c r="B4999" t="s">
        <v>16065</v>
      </c>
      <c r="C4999" t="s">
        <v>16066</v>
      </c>
      <c r="D4999" t="s">
        <v>16067</v>
      </c>
      <c r="E4999" t="s">
        <v>16068</v>
      </c>
      <c r="F4999" t="s">
        <v>16069</v>
      </c>
      <c r="G4999" s="2" t="str">
        <f>HYPERLINK("https://probpalata.gov.ru/files/ИП240801380400000.jpeg","Скачать индивидуальный QR-код магазина")</f>
        <v>Скачать индивидуальный QR-код магазина</v>
      </c>
    </row>
    <row r="5000" spans="1:7" x14ac:dyDescent="0.25">
      <c r="A5000" t="s">
        <v>15627</v>
      </c>
      <c r="B5000" t="s">
        <v>16070</v>
      </c>
      <c r="C5000" t="s">
        <v>16071</v>
      </c>
      <c r="D5000" t="s">
        <v>16072</v>
      </c>
      <c r="E5000" t="s">
        <v>16073</v>
      </c>
      <c r="F5000" t="s">
        <v>16074</v>
      </c>
      <c r="G5000" s="2" t="str">
        <f>HYPERLINK("https://probpalata.gov.ru/files/ИП240801472800000.jpeg","Скачать индивидуальный QR-код магазина")</f>
        <v>Скачать индивидуальный QR-код магазина</v>
      </c>
    </row>
    <row r="5001" spans="1:7" x14ac:dyDescent="0.25">
      <c r="A5001" t="s">
        <v>15627</v>
      </c>
      <c r="B5001" t="s">
        <v>16075</v>
      </c>
      <c r="C5001" t="s">
        <v>288</v>
      </c>
      <c r="D5001" t="s">
        <v>16076</v>
      </c>
      <c r="E5001" t="s">
        <v>16077</v>
      </c>
      <c r="F5001" t="s">
        <v>16078</v>
      </c>
      <c r="G5001" s="2" t="str">
        <f>HYPERLINK("https://probpalata.gov.ru/files/ЮЛ240803363500000.jpeg","Скачать индивидуальный QR-код магазина")</f>
        <v>Скачать индивидуальный QR-код магазина</v>
      </c>
    </row>
    <row r="5002" spans="1:7" x14ac:dyDescent="0.25">
      <c r="A5002" t="s">
        <v>15627</v>
      </c>
      <c r="B5002" t="s">
        <v>16079</v>
      </c>
      <c r="C5002" t="s">
        <v>288</v>
      </c>
      <c r="D5002" t="s">
        <v>16076</v>
      </c>
      <c r="E5002" t="s">
        <v>16077</v>
      </c>
      <c r="F5002" t="s">
        <v>16080</v>
      </c>
      <c r="G5002" s="2" t="str">
        <f>HYPERLINK("https://probpalata.gov.ru/files/ЮЛ240803363500001.jpeg","Скачать индивидуальный QR-код магазина")</f>
        <v>Скачать индивидуальный QR-код магазина</v>
      </c>
    </row>
    <row r="5003" spans="1:7" x14ac:dyDescent="0.25">
      <c r="A5003" t="s">
        <v>15627</v>
      </c>
      <c r="B5003" t="s">
        <v>16081</v>
      </c>
      <c r="C5003" t="s">
        <v>16082</v>
      </c>
      <c r="D5003" t="s">
        <v>16083</v>
      </c>
      <c r="E5003" t="s">
        <v>16084</v>
      </c>
      <c r="F5003" t="s">
        <v>16085</v>
      </c>
      <c r="G5003" s="2" t="str">
        <f>HYPERLINK("https://probpalata.gov.ru/files/ИП240803086200000.jpeg","Скачать индивидуальный QR-код магазина")</f>
        <v>Скачать индивидуальный QR-код магазина</v>
      </c>
    </row>
    <row r="5004" spans="1:7" x14ac:dyDescent="0.25">
      <c r="A5004" t="s">
        <v>15627</v>
      </c>
      <c r="B5004" t="s">
        <v>16086</v>
      </c>
      <c r="C5004" t="s">
        <v>16087</v>
      </c>
      <c r="D5004" t="s">
        <v>16088</v>
      </c>
      <c r="E5004" t="s">
        <v>16089</v>
      </c>
      <c r="F5004" t="s">
        <v>16090</v>
      </c>
      <c r="G5004" s="2" t="str">
        <f>HYPERLINK("https://probpalata.gov.ru/files/ИП240801455800000.jpeg","Скачать индивидуальный QR-код магазина")</f>
        <v>Скачать индивидуальный QR-код магазина</v>
      </c>
    </row>
    <row r="5005" spans="1:7" x14ac:dyDescent="0.25">
      <c r="A5005" t="s">
        <v>15627</v>
      </c>
      <c r="B5005" t="s">
        <v>16091</v>
      </c>
      <c r="C5005" t="s">
        <v>16087</v>
      </c>
      <c r="D5005" t="s">
        <v>16088</v>
      </c>
      <c r="E5005" t="s">
        <v>16089</v>
      </c>
      <c r="F5005" t="s">
        <v>16092</v>
      </c>
      <c r="G5005" s="2" t="str">
        <f>HYPERLINK("https://probpalata.gov.ru/files/ИП240801455800001.jpeg","Скачать индивидуальный QR-код магазина")</f>
        <v>Скачать индивидуальный QR-код магазина</v>
      </c>
    </row>
    <row r="5006" spans="1:7" x14ac:dyDescent="0.25">
      <c r="A5006" t="s">
        <v>15627</v>
      </c>
      <c r="B5006" t="s">
        <v>16093</v>
      </c>
      <c r="C5006" t="s">
        <v>16094</v>
      </c>
      <c r="D5006" t="s">
        <v>16095</v>
      </c>
      <c r="E5006" t="s">
        <v>16096</v>
      </c>
      <c r="F5006" t="s">
        <v>16097</v>
      </c>
      <c r="G5006" s="2" t="str">
        <f>HYPERLINK("https://probpalata.gov.ru/files/ИП240800860700004.jpeg","Скачать индивидуальный QR-код магазина")</f>
        <v>Скачать индивидуальный QR-код магазина</v>
      </c>
    </row>
    <row r="5007" spans="1:7" x14ac:dyDescent="0.25">
      <c r="A5007" t="s">
        <v>15627</v>
      </c>
      <c r="B5007" t="s">
        <v>16098</v>
      </c>
      <c r="C5007" t="s">
        <v>16094</v>
      </c>
      <c r="D5007" t="s">
        <v>16095</v>
      </c>
      <c r="E5007" t="s">
        <v>16096</v>
      </c>
      <c r="F5007" t="s">
        <v>16099</v>
      </c>
      <c r="G5007" s="2" t="str">
        <f>HYPERLINK("https://probpalata.gov.ru/files/ИП240800860700008.jpeg","Скачать индивидуальный QR-код магазина")</f>
        <v>Скачать индивидуальный QR-код магазина</v>
      </c>
    </row>
    <row r="5008" spans="1:7" x14ac:dyDescent="0.25">
      <c r="A5008" t="s">
        <v>15627</v>
      </c>
      <c r="B5008" t="s">
        <v>16100</v>
      </c>
      <c r="C5008" t="s">
        <v>16094</v>
      </c>
      <c r="D5008" t="s">
        <v>16095</v>
      </c>
      <c r="E5008" t="s">
        <v>16096</v>
      </c>
      <c r="F5008" t="s">
        <v>16101</v>
      </c>
      <c r="G5008" s="2" t="str">
        <f>HYPERLINK("https://probpalata.gov.ru/files/ИП240800860700011.jpeg","Скачать индивидуальный QR-код магазина")</f>
        <v>Скачать индивидуальный QR-код магазина</v>
      </c>
    </row>
    <row r="5009" spans="1:7" x14ac:dyDescent="0.25">
      <c r="A5009" t="s">
        <v>15627</v>
      </c>
      <c r="B5009" t="s">
        <v>16102</v>
      </c>
      <c r="C5009" t="s">
        <v>16094</v>
      </c>
      <c r="D5009" t="s">
        <v>16095</v>
      </c>
      <c r="E5009" t="s">
        <v>16096</v>
      </c>
      <c r="F5009" t="s">
        <v>16103</v>
      </c>
      <c r="G5009" s="2" t="str">
        <f>HYPERLINK("https://probpalata.gov.ru/files/ИП240800860700015.jpeg","Скачать индивидуальный QR-код магазина")</f>
        <v>Скачать индивидуальный QR-код магазина</v>
      </c>
    </row>
    <row r="5010" spans="1:7" x14ac:dyDescent="0.25">
      <c r="A5010" t="s">
        <v>15627</v>
      </c>
      <c r="B5010" t="s">
        <v>16104</v>
      </c>
      <c r="C5010" t="s">
        <v>16105</v>
      </c>
      <c r="D5010" t="s">
        <v>16106</v>
      </c>
      <c r="E5010" t="s">
        <v>16107</v>
      </c>
      <c r="F5010" t="s">
        <v>16108</v>
      </c>
      <c r="G5010" s="2" t="str">
        <f>HYPERLINK("https://probpalata.gov.ru/files/ИП240801390700000.jpeg","Скачать индивидуальный QR-код магазина")</f>
        <v>Скачать индивидуальный QR-код магазина</v>
      </c>
    </row>
    <row r="5011" spans="1:7" x14ac:dyDescent="0.25">
      <c r="A5011" t="s">
        <v>15627</v>
      </c>
      <c r="B5011" t="s">
        <v>16109</v>
      </c>
      <c r="C5011" t="s">
        <v>16110</v>
      </c>
      <c r="D5011" t="s">
        <v>16111</v>
      </c>
      <c r="E5011" t="s">
        <v>16112</v>
      </c>
      <c r="F5011" t="s">
        <v>16113</v>
      </c>
      <c r="G5011" s="2" t="str">
        <f>HYPERLINK("https://probpalata.gov.ru/files/ЮЛ240800853800000.jpeg","Скачать индивидуальный QR-код магазина")</f>
        <v>Скачать индивидуальный QR-код магазина</v>
      </c>
    </row>
    <row r="5012" spans="1:7" x14ac:dyDescent="0.25">
      <c r="A5012" t="s">
        <v>15627</v>
      </c>
      <c r="B5012" t="s">
        <v>16114</v>
      </c>
      <c r="C5012" t="s">
        <v>16115</v>
      </c>
      <c r="D5012" t="s">
        <v>16116</v>
      </c>
      <c r="E5012" t="s">
        <v>16117</v>
      </c>
      <c r="F5012" t="s">
        <v>16118</v>
      </c>
      <c r="G5012" s="2" t="str">
        <f>HYPERLINK("https://probpalata.gov.ru/files/ЮЛ240800578400000.jpeg","Скачать индивидуальный QR-код магазина")</f>
        <v>Скачать индивидуальный QR-код магазина</v>
      </c>
    </row>
    <row r="5013" spans="1:7" x14ac:dyDescent="0.25">
      <c r="A5013" t="s">
        <v>15627</v>
      </c>
      <c r="B5013" t="s">
        <v>16119</v>
      </c>
      <c r="C5013" t="s">
        <v>16115</v>
      </c>
      <c r="D5013" t="s">
        <v>16116</v>
      </c>
      <c r="E5013" t="s">
        <v>16117</v>
      </c>
      <c r="F5013" t="s">
        <v>16120</v>
      </c>
      <c r="G5013" s="2" t="str">
        <f>HYPERLINK("https://probpalata.gov.ru/files/ЮЛ240800578400001.jpeg","Скачать индивидуальный QR-код магазина")</f>
        <v>Скачать индивидуальный QR-код магазина</v>
      </c>
    </row>
    <row r="5014" spans="1:7" x14ac:dyDescent="0.25">
      <c r="A5014" t="s">
        <v>15627</v>
      </c>
      <c r="B5014" t="s">
        <v>16121</v>
      </c>
      <c r="C5014" t="s">
        <v>16115</v>
      </c>
      <c r="D5014" t="s">
        <v>16116</v>
      </c>
      <c r="E5014" t="s">
        <v>16117</v>
      </c>
      <c r="F5014" t="s">
        <v>16122</v>
      </c>
      <c r="G5014" s="2" t="str">
        <f>HYPERLINK("https://probpalata.gov.ru/files/ЮЛ240800578400003.jpeg","Скачать индивидуальный QR-код магазина")</f>
        <v>Скачать индивидуальный QR-код магазина</v>
      </c>
    </row>
    <row r="5015" spans="1:7" x14ac:dyDescent="0.25">
      <c r="A5015" t="s">
        <v>15627</v>
      </c>
      <c r="B5015" t="s">
        <v>16123</v>
      </c>
      <c r="C5015" t="s">
        <v>16115</v>
      </c>
      <c r="D5015" t="s">
        <v>16116</v>
      </c>
      <c r="E5015" t="s">
        <v>16117</v>
      </c>
      <c r="F5015" t="s">
        <v>16124</v>
      </c>
      <c r="G5015" s="2" t="str">
        <f>HYPERLINK("https://probpalata.gov.ru/files/ЮЛ240800578400007.jpeg","Скачать индивидуальный QR-код магазина")</f>
        <v>Скачать индивидуальный QR-код магазина</v>
      </c>
    </row>
    <row r="5016" spans="1:7" x14ac:dyDescent="0.25">
      <c r="A5016" t="s">
        <v>15627</v>
      </c>
      <c r="B5016" t="s">
        <v>16125</v>
      </c>
      <c r="C5016" t="s">
        <v>16115</v>
      </c>
      <c r="D5016" t="s">
        <v>16116</v>
      </c>
      <c r="E5016" t="s">
        <v>16117</v>
      </c>
      <c r="F5016" t="s">
        <v>16126</v>
      </c>
      <c r="G5016" s="2" t="str">
        <f>HYPERLINK("https://probpalata.gov.ru/files/ЮЛ240800578400008.jpeg","Скачать индивидуальный QR-код магазина")</f>
        <v>Скачать индивидуальный QR-код магазина</v>
      </c>
    </row>
    <row r="5017" spans="1:7" x14ac:dyDescent="0.25">
      <c r="A5017" t="s">
        <v>15627</v>
      </c>
      <c r="B5017" t="s">
        <v>16127</v>
      </c>
      <c r="C5017" t="s">
        <v>16115</v>
      </c>
      <c r="D5017" t="s">
        <v>16116</v>
      </c>
      <c r="E5017" t="s">
        <v>16117</v>
      </c>
      <c r="F5017" t="s">
        <v>16128</v>
      </c>
      <c r="G5017" s="2" t="str">
        <f>HYPERLINK("https://probpalata.gov.ru/files/ЮЛ240800578400009.jpeg","Скачать индивидуальный QR-код магазина")</f>
        <v>Скачать индивидуальный QR-код магазина</v>
      </c>
    </row>
    <row r="5018" spans="1:7" x14ac:dyDescent="0.25">
      <c r="A5018" t="s">
        <v>15627</v>
      </c>
      <c r="B5018" t="s">
        <v>16129</v>
      </c>
      <c r="C5018" t="s">
        <v>16115</v>
      </c>
      <c r="D5018" t="s">
        <v>16116</v>
      </c>
      <c r="E5018" t="s">
        <v>16117</v>
      </c>
      <c r="F5018" t="s">
        <v>16130</v>
      </c>
      <c r="G5018" s="2" t="str">
        <f>HYPERLINK("https://probpalata.gov.ru/files/ЮЛ240800578400010.jpeg","Скачать индивидуальный QR-код магазина")</f>
        <v>Скачать индивидуальный QR-код магазина</v>
      </c>
    </row>
    <row r="5019" spans="1:7" x14ac:dyDescent="0.25">
      <c r="A5019" t="s">
        <v>15627</v>
      </c>
      <c r="B5019" t="s">
        <v>16131</v>
      </c>
      <c r="C5019" t="s">
        <v>16115</v>
      </c>
      <c r="D5019" t="s">
        <v>16116</v>
      </c>
      <c r="E5019" t="s">
        <v>16117</v>
      </c>
      <c r="F5019" t="s">
        <v>16132</v>
      </c>
      <c r="G5019" s="2" t="str">
        <f>HYPERLINK("https://probpalata.gov.ru/files/ЮЛ240800578400011.jpeg","Скачать индивидуальный QR-код магазина")</f>
        <v>Скачать индивидуальный QR-код магазина</v>
      </c>
    </row>
    <row r="5020" spans="1:7" x14ac:dyDescent="0.25">
      <c r="A5020" t="s">
        <v>15627</v>
      </c>
      <c r="B5020" t="s">
        <v>16133</v>
      </c>
      <c r="C5020" t="s">
        <v>16115</v>
      </c>
      <c r="D5020" t="s">
        <v>16116</v>
      </c>
      <c r="E5020" t="s">
        <v>16117</v>
      </c>
      <c r="F5020" t="s">
        <v>16134</v>
      </c>
      <c r="G5020" s="2" t="str">
        <f>HYPERLINK("https://probpalata.gov.ru/files/ЮЛ240800578400012.jpeg","Скачать индивидуальный QR-код магазина")</f>
        <v>Скачать индивидуальный QR-код магазина</v>
      </c>
    </row>
    <row r="5021" spans="1:7" x14ac:dyDescent="0.25">
      <c r="A5021" t="s">
        <v>15627</v>
      </c>
      <c r="B5021" t="s">
        <v>16135</v>
      </c>
      <c r="C5021" t="s">
        <v>16115</v>
      </c>
      <c r="D5021" t="s">
        <v>16116</v>
      </c>
      <c r="E5021" t="s">
        <v>16117</v>
      </c>
      <c r="F5021" t="s">
        <v>16136</v>
      </c>
      <c r="G5021" s="2" t="str">
        <f>HYPERLINK("https://probpalata.gov.ru/files/ЮЛ240800578400013.jpeg","Скачать индивидуальный QR-код магазина")</f>
        <v>Скачать индивидуальный QR-код магазина</v>
      </c>
    </row>
    <row r="5022" spans="1:7" x14ac:dyDescent="0.25">
      <c r="A5022" t="s">
        <v>15627</v>
      </c>
      <c r="B5022" t="s">
        <v>16137</v>
      </c>
      <c r="C5022" t="s">
        <v>16138</v>
      </c>
      <c r="D5022" t="s">
        <v>16139</v>
      </c>
      <c r="E5022" t="s">
        <v>16140</v>
      </c>
      <c r="F5022" t="s">
        <v>16141</v>
      </c>
      <c r="G5022" s="2" t="str">
        <f>HYPERLINK("https://probpalata.gov.ru/files/ИП240800721800001.jpeg","Скачать индивидуальный QR-код магазина")</f>
        <v>Скачать индивидуальный QR-код магазина</v>
      </c>
    </row>
    <row r="5023" spans="1:7" x14ac:dyDescent="0.25">
      <c r="A5023" t="s">
        <v>15627</v>
      </c>
      <c r="B5023" t="s">
        <v>16142</v>
      </c>
      <c r="C5023" t="s">
        <v>16143</v>
      </c>
      <c r="D5023" t="s">
        <v>16144</v>
      </c>
      <c r="E5023" t="s">
        <v>16145</v>
      </c>
      <c r="F5023" t="s">
        <v>16146</v>
      </c>
      <c r="G5023" s="2" t="str">
        <f>HYPERLINK("https://probpalata.gov.ru/files/ИП240800616600001.jpeg","Скачать индивидуальный QR-код магазина")</f>
        <v>Скачать индивидуальный QR-код магазина</v>
      </c>
    </row>
    <row r="5024" spans="1:7" x14ac:dyDescent="0.25">
      <c r="A5024" t="s">
        <v>15627</v>
      </c>
      <c r="B5024" t="s">
        <v>16147</v>
      </c>
      <c r="C5024" t="s">
        <v>16148</v>
      </c>
      <c r="D5024" t="s">
        <v>16149</v>
      </c>
      <c r="E5024" t="s">
        <v>16150</v>
      </c>
      <c r="F5024" t="s">
        <v>16151</v>
      </c>
      <c r="G5024" s="2" t="str">
        <f>HYPERLINK("https://probpalata.gov.ru/files/ИП240801523500000.jpeg","Скачать индивидуальный QR-код магазина")</f>
        <v>Скачать индивидуальный QR-код магазина</v>
      </c>
    </row>
    <row r="5025" spans="1:7" x14ac:dyDescent="0.25">
      <c r="A5025" t="s">
        <v>15627</v>
      </c>
      <c r="B5025" t="s">
        <v>16152</v>
      </c>
      <c r="C5025" t="s">
        <v>16153</v>
      </c>
      <c r="D5025" t="s">
        <v>16154</v>
      </c>
      <c r="E5025" t="s">
        <v>16155</v>
      </c>
      <c r="F5025" t="s">
        <v>16156</v>
      </c>
      <c r="G5025" s="2" t="str">
        <f>HYPERLINK("https://probpalata.gov.ru/files/ЮЛ240801102800000.jpeg","Скачать индивидуальный QR-код магазина")</f>
        <v>Скачать индивидуальный QR-код магазина</v>
      </c>
    </row>
    <row r="5026" spans="1:7" x14ac:dyDescent="0.25">
      <c r="A5026" t="s">
        <v>15627</v>
      </c>
      <c r="B5026" t="s">
        <v>16152</v>
      </c>
      <c r="C5026" t="s">
        <v>16157</v>
      </c>
      <c r="D5026" t="s">
        <v>16158</v>
      </c>
      <c r="E5026" t="s">
        <v>16159</v>
      </c>
      <c r="F5026" t="s">
        <v>16160</v>
      </c>
      <c r="G5026" s="2" t="str">
        <f>HYPERLINK("https://probpalata.gov.ru/files/ЮЛ240800605200000.jpeg","Скачать индивидуальный QR-код магазина")</f>
        <v>Скачать индивидуальный QR-код магазина</v>
      </c>
    </row>
    <row r="5027" spans="1:7" x14ac:dyDescent="0.25">
      <c r="A5027" t="s">
        <v>15627</v>
      </c>
      <c r="B5027" t="s">
        <v>16161</v>
      </c>
      <c r="C5027" t="s">
        <v>16162</v>
      </c>
      <c r="D5027" t="s">
        <v>16163</v>
      </c>
      <c r="E5027" t="s">
        <v>16164</v>
      </c>
      <c r="F5027" t="s">
        <v>16165</v>
      </c>
      <c r="G5027" s="2" t="str">
        <f>HYPERLINK("https://probpalata.gov.ru/files/ИП240803387800000.jpeg","Скачать индивидуальный QR-код магазина")</f>
        <v>Скачать индивидуальный QR-код магазина</v>
      </c>
    </row>
    <row r="5028" spans="1:7" x14ac:dyDescent="0.25">
      <c r="A5028" t="s">
        <v>15627</v>
      </c>
      <c r="B5028" t="s">
        <v>16166</v>
      </c>
      <c r="C5028" t="s">
        <v>16167</v>
      </c>
      <c r="D5028" t="s">
        <v>16168</v>
      </c>
      <c r="E5028" t="s">
        <v>16169</v>
      </c>
      <c r="F5028" t="s">
        <v>16170</v>
      </c>
      <c r="G5028" s="2" t="str">
        <f>HYPERLINK("https://probpalata.gov.ru/files/ИП240800919700000.jpeg","Скачать индивидуальный QR-код магазина")</f>
        <v>Скачать индивидуальный QR-код магазина</v>
      </c>
    </row>
    <row r="5029" spans="1:7" x14ac:dyDescent="0.25">
      <c r="A5029" t="s">
        <v>15627</v>
      </c>
      <c r="B5029" t="s">
        <v>16171</v>
      </c>
      <c r="C5029" t="s">
        <v>16172</v>
      </c>
      <c r="D5029" t="s">
        <v>16173</v>
      </c>
      <c r="E5029" t="s">
        <v>16174</v>
      </c>
      <c r="F5029" t="s">
        <v>16175</v>
      </c>
      <c r="G5029" s="2" t="str">
        <f>HYPERLINK("https://probpalata.gov.ru/files/ИП240801025800000.jpeg","Скачать индивидуальный QR-код магазина")</f>
        <v>Скачать индивидуальный QR-код магазина</v>
      </c>
    </row>
    <row r="5030" spans="1:7" x14ac:dyDescent="0.25">
      <c r="A5030" t="s">
        <v>15627</v>
      </c>
      <c r="B5030" t="s">
        <v>16176</v>
      </c>
      <c r="C5030" t="s">
        <v>16177</v>
      </c>
      <c r="D5030" t="s">
        <v>16178</v>
      </c>
      <c r="E5030" t="s">
        <v>16179</v>
      </c>
      <c r="F5030" t="s">
        <v>16180</v>
      </c>
      <c r="G5030" s="2" t="str">
        <f>HYPERLINK("https://probpalata.gov.ru/files/ИП240801571600000.jpeg","Скачать индивидуальный QR-код магазина")</f>
        <v>Скачать индивидуальный QR-код магазина</v>
      </c>
    </row>
    <row r="5031" spans="1:7" x14ac:dyDescent="0.25">
      <c r="A5031" t="s">
        <v>15627</v>
      </c>
      <c r="B5031" t="s">
        <v>16181</v>
      </c>
      <c r="C5031" t="s">
        <v>16177</v>
      </c>
      <c r="D5031" t="s">
        <v>16178</v>
      </c>
      <c r="E5031" t="s">
        <v>16179</v>
      </c>
      <c r="F5031" t="s">
        <v>16182</v>
      </c>
      <c r="G5031" s="2" t="str">
        <f>HYPERLINK("https://probpalata.gov.ru/files/ИП240801571600001.jpeg","Скачать индивидуальный QR-код магазина")</f>
        <v>Скачать индивидуальный QR-код магазина</v>
      </c>
    </row>
    <row r="5032" spans="1:7" x14ac:dyDescent="0.25">
      <c r="A5032" t="s">
        <v>15627</v>
      </c>
      <c r="B5032" t="s">
        <v>16183</v>
      </c>
      <c r="C5032" t="s">
        <v>16184</v>
      </c>
      <c r="D5032" t="s">
        <v>16185</v>
      </c>
      <c r="E5032" t="s">
        <v>16186</v>
      </c>
      <c r="F5032" t="s">
        <v>16187</v>
      </c>
      <c r="G5032" s="2" t="str">
        <f>HYPERLINK("https://probpalata.gov.ru/files/ЮЛ240801039400000.jpeg","Скачать индивидуальный QR-код магазина")</f>
        <v>Скачать индивидуальный QR-код магазина</v>
      </c>
    </row>
    <row r="5033" spans="1:7" x14ac:dyDescent="0.25">
      <c r="A5033" t="s">
        <v>15627</v>
      </c>
      <c r="B5033" t="s">
        <v>16188</v>
      </c>
      <c r="C5033" t="s">
        <v>16189</v>
      </c>
      <c r="D5033" t="s">
        <v>16190</v>
      </c>
      <c r="E5033" t="s">
        <v>16191</v>
      </c>
      <c r="F5033" t="s">
        <v>16192</v>
      </c>
      <c r="G5033" s="2" t="str">
        <f>HYPERLINK("https://probpalata.gov.ru/files/ИП240800931500000.jpeg","Скачать индивидуальный QR-код магазина")</f>
        <v>Скачать индивидуальный QR-код магазина</v>
      </c>
    </row>
    <row r="5034" spans="1:7" x14ac:dyDescent="0.25">
      <c r="A5034" t="s">
        <v>15627</v>
      </c>
      <c r="B5034" t="s">
        <v>16193</v>
      </c>
      <c r="C5034" t="s">
        <v>6915</v>
      </c>
      <c r="D5034" t="s">
        <v>6916</v>
      </c>
      <c r="E5034" t="s">
        <v>6917</v>
      </c>
      <c r="F5034" t="s">
        <v>16194</v>
      </c>
      <c r="G5034" s="2" t="str">
        <f>HYPERLINK("https://probpalata.gov.ru/files/ЮЛ240803662200000.jpeg","Скачать индивидуальный QR-код магазина")</f>
        <v>Скачать индивидуальный QR-код магазина</v>
      </c>
    </row>
    <row r="5035" spans="1:7" x14ac:dyDescent="0.25">
      <c r="A5035" t="s">
        <v>15627</v>
      </c>
      <c r="B5035" t="s">
        <v>16195</v>
      </c>
      <c r="C5035" t="s">
        <v>6915</v>
      </c>
      <c r="D5035" t="s">
        <v>6916</v>
      </c>
      <c r="E5035" t="s">
        <v>6917</v>
      </c>
      <c r="F5035" t="s">
        <v>16196</v>
      </c>
      <c r="G5035" s="2" t="str">
        <f>HYPERLINK("https://probpalata.gov.ru/files/ЮЛ240803662200001.jpeg","Скачать индивидуальный QR-код магазина")</f>
        <v>Скачать индивидуальный QR-код магазина</v>
      </c>
    </row>
    <row r="5036" spans="1:7" x14ac:dyDescent="0.25">
      <c r="A5036" t="s">
        <v>15627</v>
      </c>
      <c r="B5036" t="s">
        <v>16197</v>
      </c>
      <c r="C5036" t="s">
        <v>6915</v>
      </c>
      <c r="D5036" t="s">
        <v>6916</v>
      </c>
      <c r="E5036" t="s">
        <v>6917</v>
      </c>
      <c r="F5036" t="s">
        <v>16198</v>
      </c>
      <c r="G5036" s="2" t="str">
        <f>HYPERLINK("https://probpalata.gov.ru/files/ЮЛ240803662200002.jpeg","Скачать индивидуальный QR-код магазина")</f>
        <v>Скачать индивидуальный QR-код магазина</v>
      </c>
    </row>
    <row r="5037" spans="1:7" x14ac:dyDescent="0.25">
      <c r="A5037" t="s">
        <v>15627</v>
      </c>
      <c r="B5037" t="s">
        <v>16199</v>
      </c>
      <c r="C5037" t="s">
        <v>6915</v>
      </c>
      <c r="D5037" t="s">
        <v>6916</v>
      </c>
      <c r="E5037" t="s">
        <v>6917</v>
      </c>
      <c r="F5037" t="s">
        <v>16200</v>
      </c>
      <c r="G5037" s="2" t="str">
        <f>HYPERLINK("https://probpalata.gov.ru/files/ЮЛ240803662200004.jpeg","Скачать индивидуальный QR-код магазина")</f>
        <v>Скачать индивидуальный QR-код магазина</v>
      </c>
    </row>
    <row r="5038" spans="1:7" x14ac:dyDescent="0.25">
      <c r="A5038" t="s">
        <v>15627</v>
      </c>
      <c r="B5038" t="s">
        <v>16201</v>
      </c>
      <c r="C5038" t="s">
        <v>6915</v>
      </c>
      <c r="D5038" t="s">
        <v>6916</v>
      </c>
      <c r="E5038" t="s">
        <v>6917</v>
      </c>
      <c r="F5038" t="s">
        <v>16202</v>
      </c>
      <c r="G5038" s="2" t="str">
        <f>HYPERLINK("https://probpalata.gov.ru/files/ЮЛ240803662200005.jpeg","Скачать индивидуальный QR-код магазина")</f>
        <v>Скачать индивидуальный QR-код магазина</v>
      </c>
    </row>
    <row r="5039" spans="1:7" x14ac:dyDescent="0.25">
      <c r="A5039" t="s">
        <v>15627</v>
      </c>
      <c r="B5039" t="s">
        <v>16203</v>
      </c>
      <c r="C5039" t="s">
        <v>6915</v>
      </c>
      <c r="D5039" t="s">
        <v>6916</v>
      </c>
      <c r="E5039" t="s">
        <v>6917</v>
      </c>
      <c r="F5039" t="s">
        <v>16204</v>
      </c>
      <c r="G5039" s="2" t="str">
        <f>HYPERLINK("https://probpalata.gov.ru/files/ЮЛ240803662200006.jpeg","Скачать индивидуальный QR-код магазина")</f>
        <v>Скачать индивидуальный QR-код магазина</v>
      </c>
    </row>
    <row r="5040" spans="1:7" x14ac:dyDescent="0.25">
      <c r="A5040" t="s">
        <v>15627</v>
      </c>
      <c r="B5040" t="s">
        <v>16205</v>
      </c>
      <c r="C5040" t="s">
        <v>6915</v>
      </c>
      <c r="D5040" t="s">
        <v>6916</v>
      </c>
      <c r="E5040" t="s">
        <v>6917</v>
      </c>
      <c r="F5040" t="s">
        <v>16206</v>
      </c>
      <c r="G5040" s="2" t="str">
        <f>HYPERLINK("https://probpalata.gov.ru/files/ЮЛ240803662200007.jpeg","Скачать индивидуальный QR-код магазина")</f>
        <v>Скачать индивидуальный QR-код магазина</v>
      </c>
    </row>
    <row r="5041" spans="1:7" x14ac:dyDescent="0.25">
      <c r="A5041" t="s">
        <v>15627</v>
      </c>
      <c r="B5041" t="s">
        <v>16207</v>
      </c>
      <c r="C5041" t="s">
        <v>6915</v>
      </c>
      <c r="D5041" t="s">
        <v>6916</v>
      </c>
      <c r="E5041" t="s">
        <v>6917</v>
      </c>
      <c r="F5041" t="s">
        <v>16208</v>
      </c>
      <c r="G5041" s="2" t="str">
        <f>HYPERLINK("https://probpalata.gov.ru/files/ЮЛ240803662200008.jpeg","Скачать индивидуальный QR-код магазина")</f>
        <v>Скачать индивидуальный QR-код магазина</v>
      </c>
    </row>
    <row r="5042" spans="1:7" x14ac:dyDescent="0.25">
      <c r="A5042" t="s">
        <v>15627</v>
      </c>
      <c r="B5042" t="s">
        <v>16209</v>
      </c>
      <c r="C5042" t="s">
        <v>6915</v>
      </c>
      <c r="D5042" t="s">
        <v>6916</v>
      </c>
      <c r="E5042" t="s">
        <v>6917</v>
      </c>
      <c r="F5042" t="s">
        <v>16210</v>
      </c>
      <c r="G5042" s="2" t="str">
        <f>HYPERLINK("https://probpalata.gov.ru/files/ЮЛ240803662200010.jpeg","Скачать индивидуальный QR-код магазина")</f>
        <v>Скачать индивидуальный QR-код магазина</v>
      </c>
    </row>
    <row r="5043" spans="1:7" x14ac:dyDescent="0.25">
      <c r="A5043" t="s">
        <v>15627</v>
      </c>
      <c r="B5043" t="s">
        <v>16211</v>
      </c>
      <c r="C5043" t="s">
        <v>6915</v>
      </c>
      <c r="D5043" t="s">
        <v>6916</v>
      </c>
      <c r="E5043" t="s">
        <v>6917</v>
      </c>
      <c r="F5043" t="s">
        <v>16212</v>
      </c>
      <c r="G5043" s="2" t="str">
        <f>HYPERLINK("https://probpalata.gov.ru/files/ЮЛ240803662200011.jpeg","Скачать индивидуальный QR-код магазина")</f>
        <v>Скачать индивидуальный QR-код магазина</v>
      </c>
    </row>
    <row r="5044" spans="1:7" x14ac:dyDescent="0.25">
      <c r="A5044" t="s">
        <v>15627</v>
      </c>
      <c r="B5044" t="s">
        <v>16213</v>
      </c>
      <c r="C5044" t="s">
        <v>6915</v>
      </c>
      <c r="D5044" t="s">
        <v>6916</v>
      </c>
      <c r="E5044" t="s">
        <v>6917</v>
      </c>
      <c r="F5044" t="s">
        <v>16214</v>
      </c>
      <c r="G5044" s="2" t="str">
        <f>HYPERLINK("https://probpalata.gov.ru/files/ЮЛ240803662200012.jpeg","Скачать индивидуальный QR-код магазина")</f>
        <v>Скачать индивидуальный QR-код магазина</v>
      </c>
    </row>
    <row r="5045" spans="1:7" x14ac:dyDescent="0.25">
      <c r="A5045" t="s">
        <v>15627</v>
      </c>
      <c r="B5045" t="s">
        <v>16215</v>
      </c>
      <c r="C5045" t="s">
        <v>6915</v>
      </c>
      <c r="D5045" t="s">
        <v>6916</v>
      </c>
      <c r="E5045" t="s">
        <v>6917</v>
      </c>
      <c r="F5045" t="s">
        <v>16216</v>
      </c>
      <c r="G5045" s="2" t="str">
        <f>HYPERLINK("https://probpalata.gov.ru/files/ЮЛ240803662200013.jpeg","Скачать индивидуальный QR-код магазина")</f>
        <v>Скачать индивидуальный QR-код магазина</v>
      </c>
    </row>
    <row r="5046" spans="1:7" x14ac:dyDescent="0.25">
      <c r="A5046" t="s">
        <v>15627</v>
      </c>
      <c r="B5046" t="s">
        <v>16217</v>
      </c>
      <c r="C5046" t="s">
        <v>6915</v>
      </c>
      <c r="D5046" t="s">
        <v>6916</v>
      </c>
      <c r="E5046" t="s">
        <v>6917</v>
      </c>
      <c r="F5046" t="s">
        <v>16218</v>
      </c>
      <c r="G5046" s="2" t="str">
        <f>HYPERLINK("https://probpalata.gov.ru/files/ЮЛ240803662200014.jpeg","Скачать индивидуальный QR-код магазина")</f>
        <v>Скачать индивидуальный QR-код магазина</v>
      </c>
    </row>
    <row r="5047" spans="1:7" x14ac:dyDescent="0.25">
      <c r="A5047" t="s">
        <v>15627</v>
      </c>
      <c r="B5047" t="s">
        <v>16219</v>
      </c>
      <c r="C5047" t="s">
        <v>6915</v>
      </c>
      <c r="D5047" t="s">
        <v>6916</v>
      </c>
      <c r="E5047" t="s">
        <v>6917</v>
      </c>
      <c r="F5047" t="s">
        <v>16220</v>
      </c>
      <c r="G5047" s="2" t="str">
        <f>HYPERLINK("https://probpalata.gov.ru/files/ЮЛ240803662200015.jpeg","Скачать индивидуальный QR-код магазина")</f>
        <v>Скачать индивидуальный QR-код магазина</v>
      </c>
    </row>
    <row r="5048" spans="1:7" x14ac:dyDescent="0.25">
      <c r="A5048" t="s">
        <v>15627</v>
      </c>
      <c r="B5048" t="s">
        <v>16221</v>
      </c>
      <c r="C5048" t="s">
        <v>6915</v>
      </c>
      <c r="D5048" t="s">
        <v>6916</v>
      </c>
      <c r="E5048" t="s">
        <v>6917</v>
      </c>
      <c r="F5048" t="s">
        <v>16222</v>
      </c>
      <c r="G5048" s="2" t="str">
        <f>HYPERLINK("https://probpalata.gov.ru/files/ЮЛ240803662200016.jpeg","Скачать индивидуальный QR-код магазина")</f>
        <v>Скачать индивидуальный QR-код магазина</v>
      </c>
    </row>
    <row r="5049" spans="1:7" x14ac:dyDescent="0.25">
      <c r="A5049" t="s">
        <v>15627</v>
      </c>
      <c r="B5049" t="s">
        <v>16223</v>
      </c>
      <c r="C5049" t="s">
        <v>6915</v>
      </c>
      <c r="D5049" t="s">
        <v>6916</v>
      </c>
      <c r="E5049" t="s">
        <v>6917</v>
      </c>
      <c r="F5049" t="s">
        <v>16224</v>
      </c>
      <c r="G5049" s="2" t="str">
        <f>HYPERLINK("https://probpalata.gov.ru/files/ЮЛ240803662200017.jpeg","Скачать индивидуальный QR-код магазина")</f>
        <v>Скачать индивидуальный QR-код магазина</v>
      </c>
    </row>
    <row r="5050" spans="1:7" x14ac:dyDescent="0.25">
      <c r="A5050" t="s">
        <v>15627</v>
      </c>
      <c r="B5050" t="s">
        <v>16225</v>
      </c>
      <c r="C5050" t="s">
        <v>6915</v>
      </c>
      <c r="D5050" t="s">
        <v>6916</v>
      </c>
      <c r="E5050" t="s">
        <v>6917</v>
      </c>
      <c r="F5050" t="s">
        <v>16226</v>
      </c>
      <c r="G5050" s="2" t="str">
        <f>HYPERLINK("https://probpalata.gov.ru/files/ЮЛ240803662200019.jpeg","Скачать индивидуальный QR-код магазина")</f>
        <v>Скачать индивидуальный QR-код магазина</v>
      </c>
    </row>
    <row r="5051" spans="1:7" x14ac:dyDescent="0.25">
      <c r="A5051" t="s">
        <v>15627</v>
      </c>
      <c r="B5051" t="s">
        <v>16227</v>
      </c>
      <c r="C5051" t="s">
        <v>6915</v>
      </c>
      <c r="D5051" t="s">
        <v>6916</v>
      </c>
      <c r="E5051" t="s">
        <v>6917</v>
      </c>
      <c r="F5051" t="s">
        <v>16228</v>
      </c>
      <c r="G5051" s="2" t="str">
        <f>HYPERLINK("https://probpalata.gov.ru/files/ЮЛ240803662200020.jpeg","Скачать индивидуальный QR-код магазина")</f>
        <v>Скачать индивидуальный QR-код магазина</v>
      </c>
    </row>
    <row r="5052" spans="1:7" x14ac:dyDescent="0.25">
      <c r="A5052" t="s">
        <v>15627</v>
      </c>
      <c r="B5052" t="s">
        <v>16229</v>
      </c>
      <c r="C5052" t="s">
        <v>6915</v>
      </c>
      <c r="D5052" t="s">
        <v>6916</v>
      </c>
      <c r="E5052" t="s">
        <v>6917</v>
      </c>
      <c r="F5052" t="s">
        <v>16230</v>
      </c>
      <c r="G5052" s="2" t="str">
        <f>HYPERLINK("https://probpalata.gov.ru/files/ЮЛ240803662200021.jpeg","Скачать индивидуальный QR-код магазина")</f>
        <v>Скачать индивидуальный QR-код магазина</v>
      </c>
    </row>
    <row r="5053" spans="1:7" x14ac:dyDescent="0.25">
      <c r="A5053" t="s">
        <v>15627</v>
      </c>
      <c r="B5053" t="s">
        <v>16231</v>
      </c>
      <c r="C5053" t="s">
        <v>6915</v>
      </c>
      <c r="D5053" t="s">
        <v>6916</v>
      </c>
      <c r="E5053" t="s">
        <v>6917</v>
      </c>
      <c r="F5053" t="s">
        <v>16232</v>
      </c>
      <c r="G5053" s="2" t="str">
        <f>HYPERLINK("https://probpalata.gov.ru/files/ЮЛ240803662200022.jpeg","Скачать индивидуальный QR-код магазина")</f>
        <v>Скачать индивидуальный QR-код магазина</v>
      </c>
    </row>
    <row r="5054" spans="1:7" x14ac:dyDescent="0.25">
      <c r="A5054" t="s">
        <v>15627</v>
      </c>
      <c r="B5054" t="s">
        <v>16233</v>
      </c>
      <c r="C5054" t="s">
        <v>6915</v>
      </c>
      <c r="D5054" t="s">
        <v>6916</v>
      </c>
      <c r="E5054" t="s">
        <v>6917</v>
      </c>
      <c r="F5054" t="s">
        <v>16234</v>
      </c>
      <c r="G5054" s="2" t="str">
        <f>HYPERLINK("https://probpalata.gov.ru/files/ЮЛ240803662200026.jpeg","Скачать индивидуальный QR-код магазина")</f>
        <v>Скачать индивидуальный QR-код магазина</v>
      </c>
    </row>
    <row r="5055" spans="1:7" x14ac:dyDescent="0.25">
      <c r="A5055" t="s">
        <v>15627</v>
      </c>
      <c r="B5055" t="s">
        <v>16235</v>
      </c>
      <c r="C5055" t="s">
        <v>6915</v>
      </c>
      <c r="D5055" t="s">
        <v>6916</v>
      </c>
      <c r="E5055" t="s">
        <v>6917</v>
      </c>
      <c r="F5055" t="s">
        <v>16236</v>
      </c>
      <c r="G5055" s="2" t="str">
        <f>HYPERLINK("https://probpalata.gov.ru/files/ЮЛ240803662200027.jpeg","Скачать индивидуальный QR-код магазина")</f>
        <v>Скачать индивидуальный QR-код магазина</v>
      </c>
    </row>
    <row r="5056" spans="1:7" x14ac:dyDescent="0.25">
      <c r="A5056" t="s">
        <v>15627</v>
      </c>
      <c r="B5056" t="s">
        <v>16237</v>
      </c>
      <c r="C5056" t="s">
        <v>6915</v>
      </c>
      <c r="D5056" t="s">
        <v>6916</v>
      </c>
      <c r="E5056" t="s">
        <v>6917</v>
      </c>
      <c r="F5056" t="s">
        <v>16238</v>
      </c>
      <c r="G5056" s="2" t="str">
        <f>HYPERLINK("https://probpalata.gov.ru/files/ЮЛ240803662200030.jpeg","Скачать индивидуальный QR-код магазина")</f>
        <v>Скачать индивидуальный QR-код магазина</v>
      </c>
    </row>
    <row r="5057" spans="1:7" x14ac:dyDescent="0.25">
      <c r="A5057" t="s">
        <v>15627</v>
      </c>
      <c r="B5057" t="s">
        <v>16239</v>
      </c>
      <c r="C5057" t="s">
        <v>6915</v>
      </c>
      <c r="D5057" t="s">
        <v>6916</v>
      </c>
      <c r="E5057" t="s">
        <v>6917</v>
      </c>
      <c r="F5057" t="s">
        <v>16240</v>
      </c>
      <c r="G5057" s="2" t="str">
        <f>HYPERLINK("https://probpalata.gov.ru/files/ЮЛ240803662200033.jpeg","Скачать индивидуальный QR-код магазина")</f>
        <v>Скачать индивидуальный QR-код магазина</v>
      </c>
    </row>
    <row r="5058" spans="1:7" x14ac:dyDescent="0.25">
      <c r="A5058" t="s">
        <v>15627</v>
      </c>
      <c r="B5058" t="s">
        <v>16241</v>
      </c>
      <c r="C5058" t="s">
        <v>6915</v>
      </c>
      <c r="D5058" t="s">
        <v>6916</v>
      </c>
      <c r="E5058" t="s">
        <v>6917</v>
      </c>
      <c r="F5058" t="s">
        <v>16242</v>
      </c>
      <c r="G5058" s="2" t="str">
        <f>HYPERLINK("https://probpalata.gov.ru/files/ЮЛ240803662200039.jpeg","Скачать индивидуальный QR-код магазина")</f>
        <v>Скачать индивидуальный QR-код магазина</v>
      </c>
    </row>
    <row r="5059" spans="1:7" x14ac:dyDescent="0.25">
      <c r="A5059" t="s">
        <v>15627</v>
      </c>
      <c r="B5059" t="s">
        <v>16243</v>
      </c>
      <c r="C5059" t="s">
        <v>16244</v>
      </c>
      <c r="D5059" t="s">
        <v>16245</v>
      </c>
      <c r="E5059" t="s">
        <v>16246</v>
      </c>
      <c r="F5059" t="s">
        <v>16247</v>
      </c>
      <c r="G5059" s="2" t="str">
        <f>HYPERLINK("https://probpalata.gov.ru/files/ИП240801410300000.jpeg","Скачать индивидуальный QR-код магазина")</f>
        <v>Скачать индивидуальный QR-код магазина</v>
      </c>
    </row>
    <row r="5060" spans="1:7" x14ac:dyDescent="0.25">
      <c r="A5060" t="s">
        <v>15627</v>
      </c>
      <c r="B5060" t="s">
        <v>16248</v>
      </c>
      <c r="C5060" t="s">
        <v>16249</v>
      </c>
      <c r="D5060" t="s">
        <v>16250</v>
      </c>
      <c r="E5060" t="s">
        <v>16251</v>
      </c>
      <c r="F5060" t="s">
        <v>16252</v>
      </c>
      <c r="G5060" s="2" t="str">
        <f>HYPERLINK("https://probpalata.gov.ru/files/ИП240801822300000.jpeg","Скачать индивидуальный QR-код магазина")</f>
        <v>Скачать индивидуальный QR-код магазина</v>
      </c>
    </row>
    <row r="5061" spans="1:7" x14ac:dyDescent="0.25">
      <c r="A5061" t="s">
        <v>15627</v>
      </c>
      <c r="B5061" t="s">
        <v>16253</v>
      </c>
      <c r="C5061" t="s">
        <v>16254</v>
      </c>
      <c r="D5061" t="s">
        <v>16255</v>
      </c>
      <c r="E5061" t="s">
        <v>16256</v>
      </c>
      <c r="F5061" t="s">
        <v>16257</v>
      </c>
      <c r="G5061" s="2" t="str">
        <f>HYPERLINK("https://probpalata.gov.ru/files/ИП240801007200000.jpeg","Скачать индивидуальный QR-код магазина")</f>
        <v>Скачать индивидуальный QR-код магазина</v>
      </c>
    </row>
    <row r="5062" spans="1:7" x14ac:dyDescent="0.25">
      <c r="A5062" t="s">
        <v>15627</v>
      </c>
      <c r="B5062" t="s">
        <v>16258</v>
      </c>
      <c r="C5062" t="s">
        <v>16259</v>
      </c>
      <c r="D5062" t="s">
        <v>16260</v>
      </c>
      <c r="E5062" t="s">
        <v>16261</v>
      </c>
      <c r="F5062" t="s">
        <v>16262</v>
      </c>
      <c r="G5062" s="2" t="str">
        <f>HYPERLINK("https://probpalata.gov.ru/files/ИП240801037300000.jpeg","Скачать индивидуальный QR-код магазина")</f>
        <v>Скачать индивидуальный QR-код магазина</v>
      </c>
    </row>
    <row r="5063" spans="1:7" x14ac:dyDescent="0.25">
      <c r="A5063" t="s">
        <v>15627</v>
      </c>
      <c r="B5063" t="s">
        <v>16263</v>
      </c>
      <c r="C5063" t="s">
        <v>16264</v>
      </c>
      <c r="D5063" t="s">
        <v>16265</v>
      </c>
      <c r="E5063" t="s">
        <v>16266</v>
      </c>
      <c r="F5063" t="s">
        <v>16267</v>
      </c>
      <c r="G5063" s="2" t="str">
        <f>HYPERLINK("https://probpalata.gov.ru/files/ИП240801342300000.jpeg","Скачать индивидуальный QR-код магазина")</f>
        <v>Скачать индивидуальный QR-код магазина</v>
      </c>
    </row>
    <row r="5064" spans="1:7" x14ac:dyDescent="0.25">
      <c r="A5064" t="s">
        <v>15627</v>
      </c>
      <c r="B5064" t="s">
        <v>16268</v>
      </c>
      <c r="C5064" t="s">
        <v>16269</v>
      </c>
      <c r="D5064" t="s">
        <v>16270</v>
      </c>
      <c r="E5064" t="s">
        <v>16271</v>
      </c>
      <c r="F5064" t="s">
        <v>16272</v>
      </c>
      <c r="G5064" s="2" t="str">
        <f>HYPERLINK("https://probpalata.gov.ru/files/ИП240801256300000.jpeg","Скачать индивидуальный QR-код магазина")</f>
        <v>Скачать индивидуальный QR-код магазина</v>
      </c>
    </row>
    <row r="5065" spans="1:7" x14ac:dyDescent="0.25">
      <c r="A5065" t="s">
        <v>15627</v>
      </c>
      <c r="B5065" t="s">
        <v>16273</v>
      </c>
      <c r="C5065" t="s">
        <v>16274</v>
      </c>
      <c r="D5065" t="s">
        <v>16275</v>
      </c>
      <c r="E5065" t="s">
        <v>16276</v>
      </c>
      <c r="F5065" t="s">
        <v>16277</v>
      </c>
      <c r="G5065" s="2" t="str">
        <f>HYPERLINK("https://probpalata.gov.ru/files/ИП240804055700000.jpeg","Скачать индивидуальный QR-код магазина")</f>
        <v>Скачать индивидуальный QR-код магазина</v>
      </c>
    </row>
    <row r="5066" spans="1:7" x14ac:dyDescent="0.25">
      <c r="A5066" t="s">
        <v>15627</v>
      </c>
      <c r="B5066" t="s">
        <v>16278</v>
      </c>
      <c r="C5066" t="s">
        <v>16279</v>
      </c>
      <c r="D5066" t="s">
        <v>16280</v>
      </c>
      <c r="E5066" t="s">
        <v>16281</v>
      </c>
      <c r="F5066" t="s">
        <v>16282</v>
      </c>
      <c r="G5066" s="2" t="str">
        <f>HYPERLINK("https://probpalata.gov.ru/files/ИП240801272000000.jpeg","Скачать индивидуальный QR-код магазина")</f>
        <v>Скачать индивидуальный QR-код магазина</v>
      </c>
    </row>
    <row r="5067" spans="1:7" x14ac:dyDescent="0.25">
      <c r="A5067" t="s">
        <v>15627</v>
      </c>
      <c r="B5067" t="s">
        <v>16283</v>
      </c>
      <c r="C5067" t="s">
        <v>16284</v>
      </c>
      <c r="D5067" t="s">
        <v>16285</v>
      </c>
      <c r="E5067" t="s">
        <v>16286</v>
      </c>
      <c r="F5067" t="s">
        <v>16287</v>
      </c>
      <c r="G5067" s="2" t="str">
        <f>HYPERLINK("https://probpalata.gov.ru/files/ИП240803840200000.jpeg","Скачать индивидуальный QR-код магазина")</f>
        <v>Скачать индивидуальный QR-код магазина</v>
      </c>
    </row>
    <row r="5068" spans="1:7" x14ac:dyDescent="0.25">
      <c r="A5068" t="s">
        <v>15627</v>
      </c>
      <c r="B5068" t="s">
        <v>16288</v>
      </c>
      <c r="C5068" t="s">
        <v>16284</v>
      </c>
      <c r="D5068" t="s">
        <v>16285</v>
      </c>
      <c r="E5068" t="s">
        <v>16286</v>
      </c>
      <c r="F5068" t="s">
        <v>16289</v>
      </c>
      <c r="G5068" s="2" t="str">
        <f>HYPERLINK("https://probpalata.gov.ru/files/ИП240803840200001.jpeg","Скачать индивидуальный QR-код магазина")</f>
        <v>Скачать индивидуальный QR-код магазина</v>
      </c>
    </row>
    <row r="5069" spans="1:7" x14ac:dyDescent="0.25">
      <c r="A5069" t="s">
        <v>15627</v>
      </c>
      <c r="B5069" t="s">
        <v>16290</v>
      </c>
      <c r="C5069" t="s">
        <v>16291</v>
      </c>
      <c r="D5069" t="s">
        <v>16292</v>
      </c>
      <c r="E5069" t="s">
        <v>16293</v>
      </c>
      <c r="F5069" t="s">
        <v>16294</v>
      </c>
      <c r="G5069" s="2" t="str">
        <f>HYPERLINK("https://probpalata.gov.ru/files/ИП240800923600000.jpeg","Скачать индивидуальный QR-код магазина")</f>
        <v>Скачать индивидуальный QR-код магазина</v>
      </c>
    </row>
    <row r="5070" spans="1:7" x14ac:dyDescent="0.25">
      <c r="A5070" t="s">
        <v>15627</v>
      </c>
      <c r="B5070" t="s">
        <v>16295</v>
      </c>
      <c r="C5070" t="s">
        <v>14558</v>
      </c>
      <c r="D5070" t="s">
        <v>14559</v>
      </c>
      <c r="E5070" t="s">
        <v>14560</v>
      </c>
      <c r="F5070" t="s">
        <v>16296</v>
      </c>
      <c r="G5070" s="2" t="str">
        <f>HYPERLINK("https://probpalata.gov.ru/files/ЮЛ240800183000000.jpeg","Скачать индивидуальный QR-код магазина")</f>
        <v>Скачать индивидуальный QR-код магазина</v>
      </c>
    </row>
    <row r="5071" spans="1:7" x14ac:dyDescent="0.25">
      <c r="A5071" t="s">
        <v>15627</v>
      </c>
      <c r="B5071" t="s">
        <v>16297</v>
      </c>
      <c r="C5071" t="s">
        <v>14558</v>
      </c>
      <c r="D5071" t="s">
        <v>14559</v>
      </c>
      <c r="E5071" t="s">
        <v>14560</v>
      </c>
      <c r="F5071" t="s">
        <v>16298</v>
      </c>
      <c r="G5071" s="2" t="str">
        <f>HYPERLINK("https://probpalata.gov.ru/files/ЮЛ240800183000001.jpeg","Скачать индивидуальный QR-код магазина")</f>
        <v>Скачать индивидуальный QR-код магазина</v>
      </c>
    </row>
    <row r="5072" spans="1:7" x14ac:dyDescent="0.25">
      <c r="A5072" t="s">
        <v>15627</v>
      </c>
      <c r="B5072" t="s">
        <v>16299</v>
      </c>
      <c r="C5072" t="s">
        <v>14558</v>
      </c>
      <c r="D5072" t="s">
        <v>14559</v>
      </c>
      <c r="E5072" t="s">
        <v>14560</v>
      </c>
      <c r="F5072" t="s">
        <v>16300</v>
      </c>
      <c r="G5072" s="2" t="str">
        <f>HYPERLINK("https://probpalata.gov.ru/files/ЮЛ240800183000002.jpeg","Скачать индивидуальный QR-код магазина")</f>
        <v>Скачать индивидуальный QR-код магазина</v>
      </c>
    </row>
    <row r="5073" spans="1:7" x14ac:dyDescent="0.25">
      <c r="A5073" t="s">
        <v>15627</v>
      </c>
      <c r="B5073" t="s">
        <v>16301</v>
      </c>
      <c r="C5073" t="s">
        <v>14558</v>
      </c>
      <c r="D5073" t="s">
        <v>14559</v>
      </c>
      <c r="E5073" t="s">
        <v>14560</v>
      </c>
      <c r="F5073" t="s">
        <v>16302</v>
      </c>
      <c r="G5073" s="2" t="str">
        <f>HYPERLINK("https://probpalata.gov.ru/files/ЮЛ240800183000004.jpeg","Скачать индивидуальный QR-код магазина")</f>
        <v>Скачать индивидуальный QR-код магазина</v>
      </c>
    </row>
    <row r="5074" spans="1:7" x14ac:dyDescent="0.25">
      <c r="A5074" t="s">
        <v>15627</v>
      </c>
      <c r="B5074" t="s">
        <v>16303</v>
      </c>
      <c r="C5074" t="s">
        <v>14558</v>
      </c>
      <c r="D5074" t="s">
        <v>14559</v>
      </c>
      <c r="E5074" t="s">
        <v>14560</v>
      </c>
      <c r="F5074" t="s">
        <v>16304</v>
      </c>
      <c r="G5074" s="2" t="str">
        <f>HYPERLINK("https://probpalata.gov.ru/files/ЮЛ240800183000005.jpeg","Скачать индивидуальный QR-код магазина")</f>
        <v>Скачать индивидуальный QR-код магазина</v>
      </c>
    </row>
    <row r="5075" spans="1:7" x14ac:dyDescent="0.25">
      <c r="A5075" t="s">
        <v>15627</v>
      </c>
      <c r="B5075" t="s">
        <v>16305</v>
      </c>
      <c r="C5075" t="s">
        <v>14558</v>
      </c>
      <c r="D5075" t="s">
        <v>14559</v>
      </c>
      <c r="E5075" t="s">
        <v>14560</v>
      </c>
      <c r="F5075" t="s">
        <v>16306</v>
      </c>
      <c r="G5075" s="2" t="str">
        <f>HYPERLINK("https://probpalata.gov.ru/files/ЮЛ240800183000024.jpeg","Скачать индивидуальный QR-код магазина")</f>
        <v>Скачать индивидуальный QR-код магазина</v>
      </c>
    </row>
    <row r="5076" spans="1:7" x14ac:dyDescent="0.25">
      <c r="A5076" t="s">
        <v>15627</v>
      </c>
      <c r="B5076" t="s">
        <v>16307</v>
      </c>
      <c r="C5076" t="s">
        <v>14558</v>
      </c>
      <c r="D5076" t="s">
        <v>14559</v>
      </c>
      <c r="E5076" t="s">
        <v>14560</v>
      </c>
      <c r="F5076" t="s">
        <v>16308</v>
      </c>
      <c r="G5076" s="2" t="str">
        <f>HYPERLINK("https://probpalata.gov.ru/files/ЮЛ240800183000025.jpeg","Скачать индивидуальный QR-код магазина")</f>
        <v>Скачать индивидуальный QR-код магазина</v>
      </c>
    </row>
    <row r="5077" spans="1:7" x14ac:dyDescent="0.25">
      <c r="A5077" t="s">
        <v>15627</v>
      </c>
      <c r="B5077" t="s">
        <v>16263</v>
      </c>
      <c r="C5077" t="s">
        <v>14558</v>
      </c>
      <c r="D5077" t="s">
        <v>14559</v>
      </c>
      <c r="E5077" t="s">
        <v>14560</v>
      </c>
      <c r="F5077" t="s">
        <v>16309</v>
      </c>
      <c r="G5077" s="2" t="str">
        <f>HYPERLINK("https://probpalata.gov.ru/files/ЮЛ240800183000026.jpeg","Скачать индивидуальный QR-код магазина")</f>
        <v>Скачать индивидуальный QR-код магазина</v>
      </c>
    </row>
    <row r="5078" spans="1:7" x14ac:dyDescent="0.25">
      <c r="A5078" t="s">
        <v>15627</v>
      </c>
      <c r="B5078" t="s">
        <v>16310</v>
      </c>
      <c r="C5078" t="s">
        <v>14558</v>
      </c>
      <c r="D5078" t="s">
        <v>14559</v>
      </c>
      <c r="E5078" t="s">
        <v>14560</v>
      </c>
      <c r="F5078" t="s">
        <v>16311</v>
      </c>
      <c r="G5078" s="2" t="str">
        <f>HYPERLINK("https://probpalata.gov.ru/files/ЮЛ240800183000027.jpeg","Скачать индивидуальный QR-код магазина")</f>
        <v>Скачать индивидуальный QR-код магазина</v>
      </c>
    </row>
    <row r="5079" spans="1:7" x14ac:dyDescent="0.25">
      <c r="A5079" t="s">
        <v>15627</v>
      </c>
      <c r="B5079" t="s">
        <v>16312</v>
      </c>
      <c r="C5079" t="s">
        <v>14558</v>
      </c>
      <c r="D5079" t="s">
        <v>14559</v>
      </c>
      <c r="E5079" t="s">
        <v>14560</v>
      </c>
      <c r="F5079" t="s">
        <v>16313</v>
      </c>
      <c r="G5079" s="2" t="str">
        <f>HYPERLINK("https://probpalata.gov.ru/files/ЮЛ240800183000033.jpeg","Скачать индивидуальный QR-код магазина")</f>
        <v>Скачать индивидуальный QR-код магазина</v>
      </c>
    </row>
    <row r="5080" spans="1:7" x14ac:dyDescent="0.25">
      <c r="A5080" t="s">
        <v>15627</v>
      </c>
      <c r="B5080" t="s">
        <v>16314</v>
      </c>
      <c r="C5080" t="s">
        <v>14558</v>
      </c>
      <c r="D5080" t="s">
        <v>14559</v>
      </c>
      <c r="E5080" t="s">
        <v>14560</v>
      </c>
      <c r="F5080" t="s">
        <v>16315</v>
      </c>
      <c r="G5080" s="2" t="str">
        <f>HYPERLINK("https://probpalata.gov.ru/files/ЮЛ240800183000034.jpeg","Скачать индивидуальный QR-код магазина")</f>
        <v>Скачать индивидуальный QR-код магазина</v>
      </c>
    </row>
    <row r="5081" spans="1:7" x14ac:dyDescent="0.25">
      <c r="A5081" t="s">
        <v>15627</v>
      </c>
      <c r="B5081" t="s">
        <v>16316</v>
      </c>
      <c r="C5081" t="s">
        <v>14558</v>
      </c>
      <c r="D5081" t="s">
        <v>14559</v>
      </c>
      <c r="E5081" t="s">
        <v>14560</v>
      </c>
      <c r="F5081" t="s">
        <v>16317</v>
      </c>
      <c r="G5081" s="2" t="str">
        <f>HYPERLINK("https://probpalata.gov.ru/files/ЮЛ240800183000036.jpeg","Скачать индивидуальный QR-код магазина")</f>
        <v>Скачать индивидуальный QR-код магазина</v>
      </c>
    </row>
    <row r="5082" spans="1:7" x14ac:dyDescent="0.25">
      <c r="A5082" t="s">
        <v>15627</v>
      </c>
      <c r="B5082" t="s">
        <v>16318</v>
      </c>
      <c r="C5082" t="s">
        <v>14558</v>
      </c>
      <c r="D5082" t="s">
        <v>14559</v>
      </c>
      <c r="E5082" t="s">
        <v>14560</v>
      </c>
      <c r="F5082" t="s">
        <v>16319</v>
      </c>
      <c r="G5082" s="2" t="str">
        <f>HYPERLINK("https://probpalata.gov.ru/files/ЮЛ240800183000037.jpeg","Скачать индивидуальный QR-код магазина")</f>
        <v>Скачать индивидуальный QR-код магазина</v>
      </c>
    </row>
    <row r="5083" spans="1:7" x14ac:dyDescent="0.25">
      <c r="A5083" t="s">
        <v>15627</v>
      </c>
      <c r="B5083" t="s">
        <v>16320</v>
      </c>
      <c r="C5083" t="s">
        <v>14558</v>
      </c>
      <c r="D5083" t="s">
        <v>14559</v>
      </c>
      <c r="E5083" t="s">
        <v>14560</v>
      </c>
      <c r="F5083" t="s">
        <v>16321</v>
      </c>
      <c r="G5083" s="2" t="str">
        <f>HYPERLINK("https://probpalata.gov.ru/files/ЮЛ240800183000038.jpeg","Скачать индивидуальный QR-код магазина")</f>
        <v>Скачать индивидуальный QR-код магазина</v>
      </c>
    </row>
    <row r="5084" spans="1:7" x14ac:dyDescent="0.25">
      <c r="A5084" t="s">
        <v>15627</v>
      </c>
      <c r="B5084" t="s">
        <v>16322</v>
      </c>
      <c r="C5084" t="s">
        <v>14558</v>
      </c>
      <c r="D5084" t="s">
        <v>14559</v>
      </c>
      <c r="E5084" t="s">
        <v>14560</v>
      </c>
      <c r="F5084" t="s">
        <v>16323</v>
      </c>
      <c r="G5084" s="2" t="str">
        <f>HYPERLINK("https://probpalata.gov.ru/files/ЮЛ240800183000039.jpeg","Скачать индивидуальный QR-код магазина")</f>
        <v>Скачать индивидуальный QR-код магазина</v>
      </c>
    </row>
    <row r="5085" spans="1:7" x14ac:dyDescent="0.25">
      <c r="A5085" t="s">
        <v>15627</v>
      </c>
      <c r="B5085" t="s">
        <v>16324</v>
      </c>
      <c r="C5085" t="s">
        <v>14558</v>
      </c>
      <c r="D5085" t="s">
        <v>14559</v>
      </c>
      <c r="E5085" t="s">
        <v>14560</v>
      </c>
      <c r="F5085" t="s">
        <v>16325</v>
      </c>
      <c r="G5085" s="2" t="str">
        <f>HYPERLINK("https://probpalata.gov.ru/files/ЮЛ240800183000040.jpeg","Скачать индивидуальный QR-код магазина")</f>
        <v>Скачать индивидуальный QR-код магазина</v>
      </c>
    </row>
    <row r="5086" spans="1:7" x14ac:dyDescent="0.25">
      <c r="A5086" t="s">
        <v>15627</v>
      </c>
      <c r="B5086" t="s">
        <v>16326</v>
      </c>
      <c r="C5086" t="s">
        <v>14558</v>
      </c>
      <c r="D5086" t="s">
        <v>14559</v>
      </c>
      <c r="E5086" t="s">
        <v>14560</v>
      </c>
      <c r="F5086" t="s">
        <v>16327</v>
      </c>
      <c r="G5086" s="2" t="str">
        <f>HYPERLINK("https://probpalata.gov.ru/files/ЮЛ240800183000041.jpeg","Скачать индивидуальный QR-код магазина")</f>
        <v>Скачать индивидуальный QR-код магазина</v>
      </c>
    </row>
    <row r="5087" spans="1:7" x14ac:dyDescent="0.25">
      <c r="A5087" t="s">
        <v>15627</v>
      </c>
      <c r="B5087" t="s">
        <v>16328</v>
      </c>
      <c r="C5087" t="s">
        <v>14558</v>
      </c>
      <c r="D5087" t="s">
        <v>14559</v>
      </c>
      <c r="E5087" t="s">
        <v>14560</v>
      </c>
      <c r="F5087" t="s">
        <v>16329</v>
      </c>
      <c r="G5087" s="2" t="str">
        <f>HYPERLINK("https://probpalata.gov.ru/files/ЮЛ240800183000042.jpeg","Скачать индивидуальный QR-код магазина")</f>
        <v>Скачать индивидуальный QR-код магазина</v>
      </c>
    </row>
    <row r="5088" spans="1:7" x14ac:dyDescent="0.25">
      <c r="A5088" t="s">
        <v>15627</v>
      </c>
      <c r="B5088" t="s">
        <v>16330</v>
      </c>
      <c r="C5088" t="s">
        <v>14558</v>
      </c>
      <c r="D5088" t="s">
        <v>14559</v>
      </c>
      <c r="E5088" t="s">
        <v>14560</v>
      </c>
      <c r="F5088" t="s">
        <v>16331</v>
      </c>
      <c r="G5088" s="2" t="str">
        <f>HYPERLINK("https://probpalata.gov.ru/files/ЮЛ240800183000043.jpeg","Скачать индивидуальный QR-код магазина")</f>
        <v>Скачать индивидуальный QR-код магазина</v>
      </c>
    </row>
    <row r="5089" spans="1:7" x14ac:dyDescent="0.25">
      <c r="A5089" t="s">
        <v>15627</v>
      </c>
      <c r="B5089" t="s">
        <v>16332</v>
      </c>
      <c r="C5089" t="s">
        <v>14558</v>
      </c>
      <c r="D5089" t="s">
        <v>14559</v>
      </c>
      <c r="E5089" t="s">
        <v>14560</v>
      </c>
      <c r="F5089" t="s">
        <v>16333</v>
      </c>
      <c r="G5089" s="2" t="str">
        <f>HYPERLINK("https://probpalata.gov.ru/files/ЮЛ240800183000044.jpeg","Скачать индивидуальный QR-код магазина")</f>
        <v>Скачать индивидуальный QR-код магазина</v>
      </c>
    </row>
    <row r="5090" spans="1:7" x14ac:dyDescent="0.25">
      <c r="A5090" t="s">
        <v>15627</v>
      </c>
      <c r="B5090" t="s">
        <v>16334</v>
      </c>
      <c r="C5090" t="s">
        <v>14558</v>
      </c>
      <c r="D5090" t="s">
        <v>14559</v>
      </c>
      <c r="E5090" t="s">
        <v>14560</v>
      </c>
      <c r="F5090" t="s">
        <v>16335</v>
      </c>
      <c r="G5090" s="2" t="str">
        <f>HYPERLINK("https://probpalata.gov.ru/files/ЮЛ240800183000045.jpeg","Скачать индивидуальный QR-код магазина")</f>
        <v>Скачать индивидуальный QR-код магазина</v>
      </c>
    </row>
    <row r="5091" spans="1:7" x14ac:dyDescent="0.25">
      <c r="A5091" t="s">
        <v>15627</v>
      </c>
      <c r="B5091" t="s">
        <v>16336</v>
      </c>
      <c r="C5091" t="s">
        <v>14558</v>
      </c>
      <c r="D5091" t="s">
        <v>14559</v>
      </c>
      <c r="E5091" t="s">
        <v>14560</v>
      </c>
      <c r="F5091" t="s">
        <v>16337</v>
      </c>
      <c r="G5091" s="2" t="str">
        <f>HYPERLINK("https://probpalata.gov.ru/files/ЮЛ240800183000046.jpeg","Скачать индивидуальный QR-код магазина")</f>
        <v>Скачать индивидуальный QR-код магазина</v>
      </c>
    </row>
    <row r="5092" spans="1:7" x14ac:dyDescent="0.25">
      <c r="A5092" t="s">
        <v>15627</v>
      </c>
      <c r="B5092" t="s">
        <v>16338</v>
      </c>
      <c r="C5092" t="s">
        <v>14558</v>
      </c>
      <c r="D5092" t="s">
        <v>14559</v>
      </c>
      <c r="E5092" t="s">
        <v>14560</v>
      </c>
      <c r="F5092" t="s">
        <v>16339</v>
      </c>
      <c r="G5092" s="2" t="str">
        <f>HYPERLINK("https://probpalata.gov.ru/files/ЮЛ240800183000047.jpeg","Скачать индивидуальный QR-код магазина")</f>
        <v>Скачать индивидуальный QR-код магазина</v>
      </c>
    </row>
    <row r="5093" spans="1:7" x14ac:dyDescent="0.25">
      <c r="A5093" t="s">
        <v>15627</v>
      </c>
      <c r="B5093" t="s">
        <v>16340</v>
      </c>
      <c r="C5093" t="s">
        <v>14558</v>
      </c>
      <c r="D5093" t="s">
        <v>14559</v>
      </c>
      <c r="E5093" t="s">
        <v>14560</v>
      </c>
      <c r="F5093" t="s">
        <v>16341</v>
      </c>
      <c r="G5093" s="2" t="str">
        <f>HYPERLINK("https://probpalata.gov.ru/files/ЮЛ240800183000049.jpeg","Скачать индивидуальный QR-код магазина")</f>
        <v>Скачать индивидуальный QR-код магазина</v>
      </c>
    </row>
    <row r="5094" spans="1:7" x14ac:dyDescent="0.25">
      <c r="A5094" t="s">
        <v>15627</v>
      </c>
      <c r="B5094" t="s">
        <v>16342</v>
      </c>
      <c r="C5094" t="s">
        <v>14558</v>
      </c>
      <c r="D5094" t="s">
        <v>14559</v>
      </c>
      <c r="E5094" t="s">
        <v>14560</v>
      </c>
      <c r="F5094" t="s">
        <v>16343</v>
      </c>
      <c r="G5094" s="2" t="str">
        <f>HYPERLINK("https://probpalata.gov.ru/files/ЮЛ240800183000051.jpeg","Скачать индивидуальный QR-код магазина")</f>
        <v>Скачать индивидуальный QR-код магазина</v>
      </c>
    </row>
    <row r="5095" spans="1:7" x14ac:dyDescent="0.25">
      <c r="A5095" t="s">
        <v>15627</v>
      </c>
      <c r="B5095" t="s">
        <v>16344</v>
      </c>
      <c r="C5095" t="s">
        <v>14558</v>
      </c>
      <c r="D5095" t="s">
        <v>14559</v>
      </c>
      <c r="E5095" t="s">
        <v>14560</v>
      </c>
      <c r="F5095" t="s">
        <v>16345</v>
      </c>
      <c r="G5095" s="2" t="str">
        <f>HYPERLINK("https://probpalata.gov.ru/files/ЮЛ240800183000052.jpeg","Скачать индивидуальный QR-код магазина")</f>
        <v>Скачать индивидуальный QR-код магазина</v>
      </c>
    </row>
    <row r="5096" spans="1:7" x14ac:dyDescent="0.25">
      <c r="A5096" t="s">
        <v>15627</v>
      </c>
      <c r="B5096" t="s">
        <v>16346</v>
      </c>
      <c r="C5096" t="s">
        <v>14558</v>
      </c>
      <c r="D5096" t="s">
        <v>14559</v>
      </c>
      <c r="E5096" t="s">
        <v>14560</v>
      </c>
      <c r="F5096" t="s">
        <v>16347</v>
      </c>
      <c r="G5096" s="2" t="str">
        <f>HYPERLINK("https://probpalata.gov.ru/files/ЮЛ240800183000053.jpeg","Скачать индивидуальный QR-код магазина")</f>
        <v>Скачать индивидуальный QR-код магазина</v>
      </c>
    </row>
    <row r="5097" spans="1:7" x14ac:dyDescent="0.25">
      <c r="A5097" t="s">
        <v>15627</v>
      </c>
      <c r="B5097" t="s">
        <v>16348</v>
      </c>
      <c r="C5097" t="s">
        <v>14558</v>
      </c>
      <c r="D5097" t="s">
        <v>14559</v>
      </c>
      <c r="E5097" t="s">
        <v>14560</v>
      </c>
      <c r="F5097" t="s">
        <v>16349</v>
      </c>
      <c r="G5097" s="2" t="str">
        <f>HYPERLINK("https://probpalata.gov.ru/files/ЮЛ240800183000054.jpeg","Скачать индивидуальный QR-код магазина")</f>
        <v>Скачать индивидуальный QR-код магазина</v>
      </c>
    </row>
    <row r="5098" spans="1:7" x14ac:dyDescent="0.25">
      <c r="A5098" t="s">
        <v>15627</v>
      </c>
      <c r="B5098" t="s">
        <v>16350</v>
      </c>
      <c r="C5098" t="s">
        <v>14558</v>
      </c>
      <c r="D5098" t="s">
        <v>14559</v>
      </c>
      <c r="E5098" t="s">
        <v>14560</v>
      </c>
      <c r="F5098" t="s">
        <v>16351</v>
      </c>
      <c r="G5098" s="2" t="str">
        <f>HYPERLINK("https://probpalata.gov.ru/files/ЮЛ240800183000059.jpeg","Скачать индивидуальный QR-код магазина")</f>
        <v>Скачать индивидуальный QR-код магазина</v>
      </c>
    </row>
    <row r="5099" spans="1:7" x14ac:dyDescent="0.25">
      <c r="A5099" t="s">
        <v>15627</v>
      </c>
      <c r="B5099" t="s">
        <v>16352</v>
      </c>
      <c r="C5099" t="s">
        <v>14558</v>
      </c>
      <c r="D5099" t="s">
        <v>14559</v>
      </c>
      <c r="E5099" t="s">
        <v>14560</v>
      </c>
      <c r="F5099" t="s">
        <v>16353</v>
      </c>
      <c r="G5099" s="2" t="str">
        <f>HYPERLINK("https://probpalata.gov.ru/files/ЮЛ240800183000060.jpeg","Скачать индивидуальный QR-код магазина")</f>
        <v>Скачать индивидуальный QR-код магазина</v>
      </c>
    </row>
    <row r="5100" spans="1:7" x14ac:dyDescent="0.25">
      <c r="A5100" t="s">
        <v>15627</v>
      </c>
      <c r="B5100" t="s">
        <v>16354</v>
      </c>
      <c r="C5100" t="s">
        <v>14558</v>
      </c>
      <c r="D5100" t="s">
        <v>14559</v>
      </c>
      <c r="E5100" t="s">
        <v>14560</v>
      </c>
      <c r="F5100" t="s">
        <v>16355</v>
      </c>
      <c r="G5100" s="2" t="str">
        <f>HYPERLINK("https://probpalata.gov.ru/files/ЮЛ240800183000061.jpeg","Скачать индивидуальный QR-код магазина")</f>
        <v>Скачать индивидуальный QR-код магазина</v>
      </c>
    </row>
    <row r="5101" spans="1:7" x14ac:dyDescent="0.25">
      <c r="A5101" t="s">
        <v>15627</v>
      </c>
      <c r="B5101" t="s">
        <v>16356</v>
      </c>
      <c r="C5101" t="s">
        <v>14558</v>
      </c>
      <c r="D5101" t="s">
        <v>14559</v>
      </c>
      <c r="E5101" t="s">
        <v>14560</v>
      </c>
      <c r="F5101" t="s">
        <v>16357</v>
      </c>
      <c r="G5101" s="2" t="str">
        <f>HYPERLINK("https://probpalata.gov.ru/files/ЮЛ240800183000063.jpeg","Скачать индивидуальный QR-код магазина")</f>
        <v>Скачать индивидуальный QR-код магазина</v>
      </c>
    </row>
    <row r="5102" spans="1:7" x14ac:dyDescent="0.25">
      <c r="A5102" t="s">
        <v>15627</v>
      </c>
      <c r="B5102" t="s">
        <v>16358</v>
      </c>
      <c r="C5102" t="s">
        <v>14558</v>
      </c>
      <c r="D5102" t="s">
        <v>14559</v>
      </c>
      <c r="E5102" t="s">
        <v>14560</v>
      </c>
      <c r="F5102" t="s">
        <v>16359</v>
      </c>
      <c r="G5102" s="2" t="str">
        <f>HYPERLINK("https://probpalata.gov.ru/files/ЮЛ240800183000066.jpeg","Скачать индивидуальный QR-код магазина")</f>
        <v>Скачать индивидуальный QR-код магазина</v>
      </c>
    </row>
    <row r="5103" spans="1:7" x14ac:dyDescent="0.25">
      <c r="A5103" t="s">
        <v>15627</v>
      </c>
      <c r="B5103" t="s">
        <v>16360</v>
      </c>
      <c r="C5103" t="s">
        <v>14558</v>
      </c>
      <c r="D5103" t="s">
        <v>14559</v>
      </c>
      <c r="E5103" t="s">
        <v>14560</v>
      </c>
      <c r="F5103" t="s">
        <v>16361</v>
      </c>
      <c r="G5103" s="2" t="str">
        <f>HYPERLINK("https://probpalata.gov.ru/files/ЮЛ240800183000068.jpeg","Скачать индивидуальный QR-код магазина")</f>
        <v>Скачать индивидуальный QR-код магазина</v>
      </c>
    </row>
    <row r="5104" spans="1:7" x14ac:dyDescent="0.25">
      <c r="A5104" t="s">
        <v>15627</v>
      </c>
      <c r="B5104" t="s">
        <v>16362</v>
      </c>
      <c r="C5104" t="s">
        <v>14558</v>
      </c>
      <c r="D5104" t="s">
        <v>14559</v>
      </c>
      <c r="E5104" t="s">
        <v>14560</v>
      </c>
      <c r="F5104" t="s">
        <v>16363</v>
      </c>
      <c r="G5104" s="2" t="str">
        <f>HYPERLINK("https://probpalata.gov.ru/files/ЮЛ240800183000069.jpeg","Скачать индивидуальный QR-код магазина")</f>
        <v>Скачать индивидуальный QR-код магазина</v>
      </c>
    </row>
    <row r="5105" spans="1:7" x14ac:dyDescent="0.25">
      <c r="A5105" t="s">
        <v>15627</v>
      </c>
      <c r="B5105" t="s">
        <v>16364</v>
      </c>
      <c r="C5105" t="s">
        <v>14558</v>
      </c>
      <c r="D5105" t="s">
        <v>14559</v>
      </c>
      <c r="E5105" t="s">
        <v>14560</v>
      </c>
      <c r="F5105" t="s">
        <v>16365</v>
      </c>
      <c r="G5105" s="2" t="str">
        <f>HYPERLINK("https://probpalata.gov.ru/files/ЮЛ240800183000076.jpeg","Скачать индивидуальный QR-код магазина")</f>
        <v>Скачать индивидуальный QR-код магазина</v>
      </c>
    </row>
    <row r="5106" spans="1:7" x14ac:dyDescent="0.25">
      <c r="A5106" t="s">
        <v>15627</v>
      </c>
      <c r="B5106" t="s">
        <v>16366</v>
      </c>
      <c r="C5106" t="s">
        <v>14558</v>
      </c>
      <c r="D5106" t="s">
        <v>14559</v>
      </c>
      <c r="E5106" t="s">
        <v>14560</v>
      </c>
      <c r="F5106" t="s">
        <v>16367</v>
      </c>
      <c r="G5106" s="2" t="str">
        <f>HYPERLINK("https://probpalata.gov.ru/files/ЮЛ240800183000081.jpeg","Скачать индивидуальный QR-код магазина")</f>
        <v>Скачать индивидуальный QR-код магазина</v>
      </c>
    </row>
    <row r="5107" spans="1:7" x14ac:dyDescent="0.25">
      <c r="A5107" t="s">
        <v>15627</v>
      </c>
      <c r="B5107" t="s">
        <v>16368</v>
      </c>
      <c r="C5107" t="s">
        <v>14558</v>
      </c>
      <c r="D5107" t="s">
        <v>14559</v>
      </c>
      <c r="E5107" t="s">
        <v>14560</v>
      </c>
      <c r="F5107" t="s">
        <v>16369</v>
      </c>
      <c r="G5107" s="2" t="str">
        <f>HYPERLINK("https://probpalata.gov.ru/files/ЮЛ240800183000088.jpeg","Скачать индивидуальный QR-код магазина")</f>
        <v>Скачать индивидуальный QR-код магазина</v>
      </c>
    </row>
    <row r="5108" spans="1:7" x14ac:dyDescent="0.25">
      <c r="A5108" t="s">
        <v>15627</v>
      </c>
      <c r="B5108" t="s">
        <v>16370</v>
      </c>
      <c r="C5108" t="s">
        <v>14558</v>
      </c>
      <c r="D5108" t="s">
        <v>14559</v>
      </c>
      <c r="E5108" t="s">
        <v>14560</v>
      </c>
      <c r="F5108" t="s">
        <v>16371</v>
      </c>
      <c r="G5108" s="2" t="str">
        <f>HYPERLINK("https://probpalata.gov.ru/files/ЮЛ240800183000092.jpeg","Скачать индивидуальный QR-код магазина")</f>
        <v>Скачать индивидуальный QR-код магазина</v>
      </c>
    </row>
    <row r="5109" spans="1:7" x14ac:dyDescent="0.25">
      <c r="A5109" t="s">
        <v>15627</v>
      </c>
      <c r="B5109" t="s">
        <v>16372</v>
      </c>
      <c r="C5109" t="s">
        <v>14558</v>
      </c>
      <c r="D5109" t="s">
        <v>14559</v>
      </c>
      <c r="E5109" t="s">
        <v>14560</v>
      </c>
      <c r="F5109" t="s">
        <v>16373</v>
      </c>
      <c r="G5109" s="2" t="str">
        <f>HYPERLINK("https://probpalata.gov.ru/files/ЮЛ240800183000096.jpeg","Скачать индивидуальный QR-код магазина")</f>
        <v>Скачать индивидуальный QR-код магазина</v>
      </c>
    </row>
    <row r="5110" spans="1:7" x14ac:dyDescent="0.25">
      <c r="A5110" t="s">
        <v>15627</v>
      </c>
      <c r="B5110" t="s">
        <v>16374</v>
      </c>
      <c r="C5110" t="s">
        <v>14558</v>
      </c>
      <c r="D5110" t="s">
        <v>14559</v>
      </c>
      <c r="E5110" t="s">
        <v>14560</v>
      </c>
      <c r="F5110" t="s">
        <v>16375</v>
      </c>
      <c r="G5110" s="2" t="str">
        <f>HYPERLINK("https://probpalata.gov.ru/files/ЮЛ240800183000097.jpeg","Скачать индивидуальный QR-код магазина")</f>
        <v>Скачать индивидуальный QR-код магазина</v>
      </c>
    </row>
    <row r="5111" spans="1:7" x14ac:dyDescent="0.25">
      <c r="A5111" t="s">
        <v>15627</v>
      </c>
      <c r="B5111" t="s">
        <v>16299</v>
      </c>
      <c r="C5111" t="s">
        <v>14558</v>
      </c>
      <c r="D5111" t="s">
        <v>14559</v>
      </c>
      <c r="E5111" t="s">
        <v>14560</v>
      </c>
      <c r="F5111" t="s">
        <v>16376</v>
      </c>
      <c r="G5111" s="2" t="str">
        <f>HYPERLINK("https://probpalata.gov.ru/files/ЮЛ240800183000098.jpeg","Скачать индивидуальный QR-код магазина")</f>
        <v>Скачать индивидуальный QR-код магазина</v>
      </c>
    </row>
    <row r="5112" spans="1:7" x14ac:dyDescent="0.25">
      <c r="A5112" t="s">
        <v>15627</v>
      </c>
      <c r="B5112" t="s">
        <v>16377</v>
      </c>
      <c r="C5112" t="s">
        <v>14558</v>
      </c>
      <c r="D5112" t="s">
        <v>14559</v>
      </c>
      <c r="E5112" t="s">
        <v>14560</v>
      </c>
      <c r="F5112" t="s">
        <v>16378</v>
      </c>
      <c r="G5112" s="2" t="str">
        <f>HYPERLINK("https://probpalata.gov.ru/files/ЮЛ240800183000099.jpeg","Скачать индивидуальный QR-код магазина")</f>
        <v>Скачать индивидуальный QR-код магазина</v>
      </c>
    </row>
    <row r="5113" spans="1:7" x14ac:dyDescent="0.25">
      <c r="A5113" t="s">
        <v>15627</v>
      </c>
      <c r="B5113" t="s">
        <v>16379</v>
      </c>
      <c r="C5113" t="s">
        <v>16380</v>
      </c>
      <c r="D5113" t="s">
        <v>16381</v>
      </c>
      <c r="E5113" t="s">
        <v>16382</v>
      </c>
      <c r="F5113" t="s">
        <v>16383</v>
      </c>
      <c r="G5113" s="2" t="str">
        <f>HYPERLINK("https://probpalata.gov.ru/files/ИП240801411300000.jpeg","Скачать индивидуальный QR-код магазина")</f>
        <v>Скачать индивидуальный QR-код магазина</v>
      </c>
    </row>
    <row r="5114" spans="1:7" x14ac:dyDescent="0.25">
      <c r="A5114" t="s">
        <v>15627</v>
      </c>
      <c r="B5114" t="s">
        <v>16384</v>
      </c>
      <c r="C5114" t="s">
        <v>16385</v>
      </c>
      <c r="D5114" t="s">
        <v>16386</v>
      </c>
      <c r="E5114" t="s">
        <v>16387</v>
      </c>
      <c r="F5114" t="s">
        <v>16388</v>
      </c>
      <c r="G5114" s="2" t="str">
        <f>HYPERLINK("https://probpalata.gov.ru/files/ЮЛ240801484800000.jpeg","Скачать индивидуальный QR-код магазина")</f>
        <v>Скачать индивидуальный QR-код магазина</v>
      </c>
    </row>
    <row r="5115" spans="1:7" x14ac:dyDescent="0.25">
      <c r="A5115" t="s">
        <v>15627</v>
      </c>
      <c r="B5115" t="s">
        <v>16389</v>
      </c>
      <c r="C5115" t="s">
        <v>16390</v>
      </c>
      <c r="D5115" t="s">
        <v>16391</v>
      </c>
      <c r="E5115" t="s">
        <v>16392</v>
      </c>
      <c r="F5115" t="s">
        <v>16393</v>
      </c>
      <c r="G5115" s="2" t="str">
        <f>HYPERLINK("https://probpalata.gov.ru/files/ЮЛ240803100200000.jpeg","Скачать индивидуальный QR-код магазина")</f>
        <v>Скачать индивидуальный QR-код магазина</v>
      </c>
    </row>
    <row r="5116" spans="1:7" x14ac:dyDescent="0.25">
      <c r="A5116" t="s">
        <v>15627</v>
      </c>
      <c r="B5116" t="s">
        <v>15745</v>
      </c>
      <c r="C5116" t="s">
        <v>16394</v>
      </c>
      <c r="D5116" t="s">
        <v>16395</v>
      </c>
      <c r="E5116" t="s">
        <v>16396</v>
      </c>
      <c r="F5116" t="s">
        <v>16397</v>
      </c>
      <c r="G5116" s="2" t="str">
        <f>HYPERLINK("https://probpalata.gov.ru/files/ИП240800180700000.jpeg","Скачать индивидуальный QR-код магазина")</f>
        <v>Скачать индивидуальный QR-код магазина</v>
      </c>
    </row>
    <row r="5117" spans="1:7" x14ac:dyDescent="0.25">
      <c r="A5117" t="s">
        <v>15627</v>
      </c>
      <c r="B5117" t="s">
        <v>16398</v>
      </c>
      <c r="C5117" t="s">
        <v>16399</v>
      </c>
      <c r="D5117" t="s">
        <v>16400</v>
      </c>
      <c r="E5117" t="s">
        <v>16401</v>
      </c>
      <c r="F5117" t="s">
        <v>16402</v>
      </c>
      <c r="G5117" s="2" t="str">
        <f>HYPERLINK("https://probpalata.gov.ru/files/ИП240801516300000.jpeg","Скачать индивидуальный QR-код магазина")</f>
        <v>Скачать индивидуальный QR-код магазина</v>
      </c>
    </row>
    <row r="5118" spans="1:7" x14ac:dyDescent="0.25">
      <c r="A5118" t="s">
        <v>15627</v>
      </c>
      <c r="B5118" t="s">
        <v>16403</v>
      </c>
      <c r="C5118" t="s">
        <v>16404</v>
      </c>
      <c r="D5118" t="s">
        <v>16405</v>
      </c>
      <c r="E5118" t="s">
        <v>16406</v>
      </c>
      <c r="F5118" t="s">
        <v>16407</v>
      </c>
      <c r="G5118" s="2" t="str">
        <f>HYPERLINK("https://probpalata.gov.ru/files/ИП240801161400000.jpeg","Скачать индивидуальный QR-код магазина")</f>
        <v>Скачать индивидуальный QR-код магазина</v>
      </c>
    </row>
    <row r="5119" spans="1:7" x14ac:dyDescent="0.25">
      <c r="A5119" t="s">
        <v>15627</v>
      </c>
      <c r="B5119" t="s">
        <v>16408</v>
      </c>
      <c r="C5119" t="s">
        <v>16409</v>
      </c>
      <c r="D5119" t="s">
        <v>16410</v>
      </c>
      <c r="E5119" t="s">
        <v>16411</v>
      </c>
      <c r="F5119" t="s">
        <v>16412</v>
      </c>
      <c r="G5119" s="2" t="str">
        <f>HYPERLINK("https://probpalata.gov.ru/files/ИП240800503300000.jpeg","Скачать индивидуальный QR-код магазина")</f>
        <v>Скачать индивидуальный QR-код магазина</v>
      </c>
    </row>
    <row r="5120" spans="1:7" x14ac:dyDescent="0.25">
      <c r="A5120" t="s">
        <v>15627</v>
      </c>
      <c r="B5120" t="s">
        <v>16413</v>
      </c>
      <c r="C5120" t="s">
        <v>16414</v>
      </c>
      <c r="D5120" t="s">
        <v>16415</v>
      </c>
      <c r="E5120" t="s">
        <v>16416</v>
      </c>
      <c r="F5120" t="s">
        <v>16417</v>
      </c>
      <c r="G5120" s="2" t="str">
        <f>HYPERLINK("https://probpalata.gov.ru/files/ИП240800265400000.jpeg","Скачать индивидуальный QR-код магазина")</f>
        <v>Скачать индивидуальный QR-код магазина</v>
      </c>
    </row>
    <row r="5121" spans="1:7" x14ac:dyDescent="0.25">
      <c r="A5121" t="s">
        <v>15627</v>
      </c>
      <c r="B5121" t="s">
        <v>16418</v>
      </c>
      <c r="C5121" t="s">
        <v>16414</v>
      </c>
      <c r="D5121" t="s">
        <v>16415</v>
      </c>
      <c r="E5121" t="s">
        <v>16416</v>
      </c>
      <c r="F5121" t="s">
        <v>16419</v>
      </c>
      <c r="G5121" s="2" t="str">
        <f>HYPERLINK("https://probpalata.gov.ru/files/ИП240800265400001.jpeg","Скачать индивидуальный QR-код магазина")</f>
        <v>Скачать индивидуальный QR-код магазина</v>
      </c>
    </row>
    <row r="5122" spans="1:7" x14ac:dyDescent="0.25">
      <c r="A5122" t="s">
        <v>15627</v>
      </c>
      <c r="B5122" t="s">
        <v>16420</v>
      </c>
      <c r="C5122" t="s">
        <v>16421</v>
      </c>
      <c r="D5122" t="s">
        <v>16422</v>
      </c>
      <c r="E5122" t="s">
        <v>16423</v>
      </c>
      <c r="F5122" t="s">
        <v>16424</v>
      </c>
      <c r="G5122" s="2" t="str">
        <f>HYPERLINK("https://probpalata.gov.ru/files/ЮЛ240801396400003.jpeg","Скачать индивидуальный QR-код магазина")</f>
        <v>Скачать индивидуальный QR-код магазина</v>
      </c>
    </row>
    <row r="5123" spans="1:7" x14ac:dyDescent="0.25">
      <c r="A5123" t="s">
        <v>15627</v>
      </c>
      <c r="B5123" t="s">
        <v>16425</v>
      </c>
      <c r="C5123" t="s">
        <v>16426</v>
      </c>
      <c r="D5123" t="s">
        <v>16427</v>
      </c>
      <c r="E5123" t="s">
        <v>16428</v>
      </c>
      <c r="F5123" t="s">
        <v>16429</v>
      </c>
      <c r="G5123" s="2" t="str">
        <f>HYPERLINK("https://probpalata.gov.ru/files/ИП240800145600000.jpeg","Скачать индивидуальный QR-код магазина")</f>
        <v>Скачать индивидуальный QR-код магазина</v>
      </c>
    </row>
    <row r="5124" spans="1:7" x14ac:dyDescent="0.25">
      <c r="A5124" t="s">
        <v>15627</v>
      </c>
      <c r="B5124" t="s">
        <v>16430</v>
      </c>
      <c r="C5124" t="s">
        <v>16426</v>
      </c>
      <c r="D5124" t="s">
        <v>16427</v>
      </c>
      <c r="E5124" t="s">
        <v>16428</v>
      </c>
      <c r="F5124" t="s">
        <v>16431</v>
      </c>
      <c r="G5124" s="2" t="str">
        <f>HYPERLINK("https://probpalata.gov.ru/files/ИП240800145600002.jpeg","Скачать индивидуальный QR-код магазина")</f>
        <v>Скачать индивидуальный QR-код магазина</v>
      </c>
    </row>
    <row r="5125" spans="1:7" x14ac:dyDescent="0.25">
      <c r="A5125" t="s">
        <v>15627</v>
      </c>
      <c r="B5125" t="s">
        <v>16432</v>
      </c>
      <c r="C5125" t="s">
        <v>16426</v>
      </c>
      <c r="D5125" t="s">
        <v>16427</v>
      </c>
      <c r="E5125" t="s">
        <v>16428</v>
      </c>
      <c r="F5125" t="s">
        <v>16433</v>
      </c>
      <c r="G5125" s="2" t="str">
        <f>HYPERLINK("https://probpalata.gov.ru/files/ИП240800145600004.jpeg","Скачать индивидуальный QR-код магазина")</f>
        <v>Скачать индивидуальный QR-код магазина</v>
      </c>
    </row>
    <row r="5126" spans="1:7" x14ac:dyDescent="0.25">
      <c r="A5126" t="s">
        <v>15627</v>
      </c>
      <c r="B5126" t="s">
        <v>16434</v>
      </c>
      <c r="C5126" t="s">
        <v>16426</v>
      </c>
      <c r="D5126" t="s">
        <v>16427</v>
      </c>
      <c r="E5126" t="s">
        <v>16428</v>
      </c>
      <c r="F5126" t="s">
        <v>16435</v>
      </c>
      <c r="G5126" s="2" t="str">
        <f>HYPERLINK("https://probpalata.gov.ru/files/ИП240800145600005.jpeg","Скачать индивидуальный QR-код магазина")</f>
        <v>Скачать индивидуальный QR-код магазина</v>
      </c>
    </row>
    <row r="5127" spans="1:7" x14ac:dyDescent="0.25">
      <c r="A5127" t="s">
        <v>15627</v>
      </c>
      <c r="B5127" t="s">
        <v>16436</v>
      </c>
      <c r="C5127" t="s">
        <v>16426</v>
      </c>
      <c r="D5127" t="s">
        <v>16427</v>
      </c>
      <c r="E5127" t="s">
        <v>16428</v>
      </c>
      <c r="F5127" t="s">
        <v>16437</v>
      </c>
      <c r="G5127" s="2" t="str">
        <f>HYPERLINK("https://probpalata.gov.ru/files/ИП240800145600008.jpeg","Скачать индивидуальный QR-код магазина")</f>
        <v>Скачать индивидуальный QR-код магазина</v>
      </c>
    </row>
    <row r="5128" spans="1:7" x14ac:dyDescent="0.25">
      <c r="A5128" t="s">
        <v>15627</v>
      </c>
      <c r="B5128" t="s">
        <v>16438</v>
      </c>
      <c r="C5128" t="s">
        <v>16426</v>
      </c>
      <c r="D5128" t="s">
        <v>16427</v>
      </c>
      <c r="E5128" t="s">
        <v>16428</v>
      </c>
      <c r="F5128" t="s">
        <v>16439</v>
      </c>
      <c r="G5128" s="2" t="str">
        <f>HYPERLINK("https://probpalata.gov.ru/files/ИП240800145600009.jpeg","Скачать индивидуальный QR-код магазина")</f>
        <v>Скачать индивидуальный QR-код магазина</v>
      </c>
    </row>
    <row r="5129" spans="1:7" x14ac:dyDescent="0.25">
      <c r="A5129" t="s">
        <v>15627</v>
      </c>
      <c r="B5129" t="s">
        <v>16440</v>
      </c>
      <c r="C5129" t="s">
        <v>16426</v>
      </c>
      <c r="D5129" t="s">
        <v>16427</v>
      </c>
      <c r="E5129" t="s">
        <v>16428</v>
      </c>
      <c r="F5129" t="s">
        <v>16441</v>
      </c>
      <c r="G5129" s="2" t="str">
        <f>HYPERLINK("https://probpalata.gov.ru/files/ИП240800145600010.jpeg","Скачать индивидуальный QR-код магазина")</f>
        <v>Скачать индивидуальный QR-код магазина</v>
      </c>
    </row>
    <row r="5130" spans="1:7" x14ac:dyDescent="0.25">
      <c r="A5130" t="s">
        <v>15627</v>
      </c>
      <c r="B5130" t="s">
        <v>16442</v>
      </c>
      <c r="C5130" t="s">
        <v>16426</v>
      </c>
      <c r="D5130" t="s">
        <v>16427</v>
      </c>
      <c r="E5130" t="s">
        <v>16428</v>
      </c>
      <c r="F5130" t="s">
        <v>16443</v>
      </c>
      <c r="G5130" s="2" t="str">
        <f>HYPERLINK("https://probpalata.gov.ru/files/ИП240800145600011.jpeg","Скачать индивидуальный QR-код магазина")</f>
        <v>Скачать индивидуальный QR-код магазина</v>
      </c>
    </row>
    <row r="5131" spans="1:7" x14ac:dyDescent="0.25">
      <c r="A5131" t="s">
        <v>15627</v>
      </c>
      <c r="B5131" t="s">
        <v>16444</v>
      </c>
      <c r="C5131" t="s">
        <v>16445</v>
      </c>
      <c r="D5131" t="s">
        <v>16446</v>
      </c>
      <c r="E5131" t="s">
        <v>16447</v>
      </c>
      <c r="F5131" t="s">
        <v>16448</v>
      </c>
      <c r="G5131" s="2" t="str">
        <f>HYPERLINK("https://probpalata.gov.ru/files/ИП240801127800000.jpeg","Скачать индивидуальный QR-код магазина")</f>
        <v>Скачать индивидуальный QR-код магазина</v>
      </c>
    </row>
    <row r="5132" spans="1:7" x14ac:dyDescent="0.25">
      <c r="A5132" t="s">
        <v>15627</v>
      </c>
      <c r="B5132" t="s">
        <v>15633</v>
      </c>
      <c r="C5132" t="s">
        <v>16449</v>
      </c>
      <c r="D5132" t="s">
        <v>16450</v>
      </c>
      <c r="E5132" t="s">
        <v>16451</v>
      </c>
      <c r="F5132" t="s">
        <v>16452</v>
      </c>
      <c r="G5132" s="2" t="str">
        <f>HYPERLINK("https://probpalata.gov.ru/files/ИП240803101000000.jpeg","Скачать индивидуальный QR-код магазина")</f>
        <v>Скачать индивидуальный QR-код магазина</v>
      </c>
    </row>
    <row r="5133" spans="1:7" x14ac:dyDescent="0.25">
      <c r="A5133" t="s">
        <v>15627</v>
      </c>
      <c r="B5133" t="s">
        <v>16453</v>
      </c>
      <c r="C5133" t="s">
        <v>16449</v>
      </c>
      <c r="D5133" t="s">
        <v>16450</v>
      </c>
      <c r="E5133" t="s">
        <v>16451</v>
      </c>
      <c r="F5133" t="s">
        <v>16454</v>
      </c>
      <c r="G5133" s="2" t="str">
        <f>HYPERLINK("https://probpalata.gov.ru/files/ИП240803101000001.jpeg","Скачать индивидуальный QR-код магазина")</f>
        <v>Скачать индивидуальный QR-код магазина</v>
      </c>
    </row>
    <row r="5134" spans="1:7" x14ac:dyDescent="0.25">
      <c r="A5134" t="s">
        <v>15627</v>
      </c>
      <c r="B5134" t="s">
        <v>16455</v>
      </c>
      <c r="C5134" t="s">
        <v>16449</v>
      </c>
      <c r="D5134" t="s">
        <v>16450</v>
      </c>
      <c r="E5134" t="s">
        <v>16451</v>
      </c>
      <c r="F5134" t="s">
        <v>16456</v>
      </c>
      <c r="G5134" s="2" t="str">
        <f>HYPERLINK("https://probpalata.gov.ru/files/ИП240803101000003.jpeg","Скачать индивидуальный QR-код магазина")</f>
        <v>Скачать индивидуальный QR-код магазина</v>
      </c>
    </row>
    <row r="5135" spans="1:7" x14ac:dyDescent="0.25">
      <c r="A5135" t="s">
        <v>15627</v>
      </c>
      <c r="B5135" t="s">
        <v>16457</v>
      </c>
      <c r="C5135" t="s">
        <v>16449</v>
      </c>
      <c r="D5135" t="s">
        <v>16450</v>
      </c>
      <c r="E5135" t="s">
        <v>16451</v>
      </c>
      <c r="F5135" t="s">
        <v>16458</v>
      </c>
      <c r="G5135" s="2" t="str">
        <f>HYPERLINK("https://probpalata.gov.ru/files/ИП240803101000004.jpeg","Скачать индивидуальный QR-код магазина")</f>
        <v>Скачать индивидуальный QR-код магазина</v>
      </c>
    </row>
    <row r="5136" spans="1:7" x14ac:dyDescent="0.25">
      <c r="A5136" t="s">
        <v>15627</v>
      </c>
      <c r="B5136" t="s">
        <v>16459</v>
      </c>
      <c r="C5136" t="s">
        <v>16449</v>
      </c>
      <c r="D5136" t="s">
        <v>16450</v>
      </c>
      <c r="E5136" t="s">
        <v>16451</v>
      </c>
      <c r="F5136" t="s">
        <v>16460</v>
      </c>
      <c r="G5136" s="2" t="str">
        <f>HYPERLINK("https://probpalata.gov.ru/files/ИП240803101000005.jpeg","Скачать индивидуальный QR-код магазина")</f>
        <v>Скачать индивидуальный QR-код магазина</v>
      </c>
    </row>
    <row r="5137" spans="1:7" x14ac:dyDescent="0.25">
      <c r="A5137" t="s">
        <v>15627</v>
      </c>
      <c r="B5137" t="s">
        <v>16461</v>
      </c>
      <c r="C5137" t="s">
        <v>16449</v>
      </c>
      <c r="D5137" t="s">
        <v>16450</v>
      </c>
      <c r="E5137" t="s">
        <v>16451</v>
      </c>
      <c r="F5137" t="s">
        <v>16462</v>
      </c>
      <c r="G5137" s="2" t="str">
        <f>HYPERLINK("https://probpalata.gov.ru/files/ИП240803101000006.jpeg","Скачать индивидуальный QR-код магазина")</f>
        <v>Скачать индивидуальный QR-код магазина</v>
      </c>
    </row>
    <row r="5138" spans="1:7" x14ac:dyDescent="0.25">
      <c r="A5138" t="s">
        <v>15627</v>
      </c>
      <c r="B5138" t="s">
        <v>16463</v>
      </c>
      <c r="C5138" t="s">
        <v>16449</v>
      </c>
      <c r="D5138" t="s">
        <v>16450</v>
      </c>
      <c r="E5138" t="s">
        <v>16451</v>
      </c>
      <c r="F5138" t="s">
        <v>16464</v>
      </c>
      <c r="G5138" s="2" t="str">
        <f>HYPERLINK("https://probpalata.gov.ru/files/ИП240803101000007.jpeg","Скачать индивидуальный QR-код магазина")</f>
        <v>Скачать индивидуальный QR-код магазина</v>
      </c>
    </row>
    <row r="5139" spans="1:7" x14ac:dyDescent="0.25">
      <c r="A5139" t="s">
        <v>15627</v>
      </c>
      <c r="B5139" t="s">
        <v>16465</v>
      </c>
      <c r="C5139" t="s">
        <v>16449</v>
      </c>
      <c r="D5139" t="s">
        <v>16450</v>
      </c>
      <c r="E5139" t="s">
        <v>16451</v>
      </c>
      <c r="F5139" t="s">
        <v>16466</v>
      </c>
      <c r="G5139" s="2" t="str">
        <f>HYPERLINK("https://probpalata.gov.ru/files/ИП240803101000008.jpeg","Скачать индивидуальный QR-код магазина")</f>
        <v>Скачать индивидуальный QR-код магазина</v>
      </c>
    </row>
    <row r="5140" spans="1:7" x14ac:dyDescent="0.25">
      <c r="A5140" t="s">
        <v>15627</v>
      </c>
      <c r="B5140" t="s">
        <v>16467</v>
      </c>
      <c r="C5140" t="s">
        <v>16468</v>
      </c>
      <c r="D5140" t="s">
        <v>16469</v>
      </c>
      <c r="E5140" t="s">
        <v>16470</v>
      </c>
      <c r="F5140" t="s">
        <v>16471</v>
      </c>
      <c r="G5140" s="2" t="str">
        <f>HYPERLINK("https://probpalata.gov.ru/files/ИП240801410200000.jpeg","Скачать индивидуальный QR-код магазина")</f>
        <v>Скачать индивидуальный QR-код магазина</v>
      </c>
    </row>
    <row r="5141" spans="1:7" x14ac:dyDescent="0.25">
      <c r="A5141" t="s">
        <v>15627</v>
      </c>
      <c r="B5141" t="s">
        <v>16472</v>
      </c>
      <c r="C5141" t="s">
        <v>10096</v>
      </c>
      <c r="D5141" t="s">
        <v>16473</v>
      </c>
      <c r="E5141" t="s">
        <v>16474</v>
      </c>
      <c r="F5141" t="s">
        <v>16475</v>
      </c>
      <c r="G5141" s="2" t="str">
        <f>HYPERLINK("https://probpalata.gov.ru/files/ЮЛ240801425900000.jpeg","Скачать индивидуальный QR-код магазина")</f>
        <v>Скачать индивидуальный QR-код магазина</v>
      </c>
    </row>
    <row r="5142" spans="1:7" x14ac:dyDescent="0.25">
      <c r="A5142" t="s">
        <v>15627</v>
      </c>
      <c r="B5142" t="s">
        <v>16476</v>
      </c>
      <c r="C5142" t="s">
        <v>10096</v>
      </c>
      <c r="D5142" t="s">
        <v>16473</v>
      </c>
      <c r="E5142" t="s">
        <v>16474</v>
      </c>
      <c r="F5142" t="s">
        <v>16477</v>
      </c>
      <c r="G5142" s="2" t="str">
        <f>HYPERLINK("https://probpalata.gov.ru/files/ЮЛ240801425900001.jpeg","Скачать индивидуальный QR-код магазина")</f>
        <v>Скачать индивидуальный QR-код магазина</v>
      </c>
    </row>
    <row r="5143" spans="1:7" x14ac:dyDescent="0.25">
      <c r="A5143" t="s">
        <v>15627</v>
      </c>
      <c r="B5143" t="s">
        <v>16478</v>
      </c>
      <c r="C5143" t="s">
        <v>10096</v>
      </c>
      <c r="D5143" t="s">
        <v>16473</v>
      </c>
      <c r="E5143" t="s">
        <v>16474</v>
      </c>
      <c r="F5143" t="s">
        <v>16479</v>
      </c>
      <c r="G5143" s="2" t="str">
        <f>HYPERLINK("https://probpalata.gov.ru/files/ЮЛ240801425900002.jpeg","Скачать индивидуальный QR-код магазина")</f>
        <v>Скачать индивидуальный QR-код магазина</v>
      </c>
    </row>
    <row r="5144" spans="1:7" x14ac:dyDescent="0.25">
      <c r="A5144" t="s">
        <v>15627</v>
      </c>
      <c r="B5144" t="s">
        <v>16480</v>
      </c>
      <c r="C5144" t="s">
        <v>16481</v>
      </c>
      <c r="D5144" t="s">
        <v>16482</v>
      </c>
      <c r="E5144" t="s">
        <v>16483</v>
      </c>
      <c r="F5144" t="s">
        <v>16484</v>
      </c>
      <c r="G5144" s="2" t="str">
        <f>HYPERLINK("https://probpalata.gov.ru/files/ЮЛ240801835300000.jpeg","Скачать индивидуальный QR-код магазина")</f>
        <v>Скачать индивидуальный QR-код магазина</v>
      </c>
    </row>
    <row r="5145" spans="1:7" x14ac:dyDescent="0.25">
      <c r="A5145" t="s">
        <v>15627</v>
      </c>
      <c r="B5145" t="s">
        <v>16485</v>
      </c>
      <c r="C5145" t="s">
        <v>16486</v>
      </c>
      <c r="D5145" t="s">
        <v>16487</v>
      </c>
      <c r="E5145" t="s">
        <v>16488</v>
      </c>
      <c r="F5145" t="s">
        <v>16489</v>
      </c>
      <c r="G5145" s="2" t="str">
        <f>HYPERLINK("https://probpalata.gov.ru/files/ИП240800680800000.jpeg","Скачать индивидуальный QR-код магазина")</f>
        <v>Скачать индивидуальный QR-код магазина</v>
      </c>
    </row>
    <row r="5146" spans="1:7" x14ac:dyDescent="0.25">
      <c r="A5146" t="s">
        <v>15627</v>
      </c>
      <c r="B5146" t="s">
        <v>16490</v>
      </c>
      <c r="C5146" t="s">
        <v>16491</v>
      </c>
      <c r="D5146" t="s">
        <v>16492</v>
      </c>
      <c r="E5146" t="s">
        <v>16493</v>
      </c>
      <c r="F5146" t="s">
        <v>16494</v>
      </c>
      <c r="G5146" s="2" t="str">
        <f>HYPERLINK("https://probpalata.gov.ru/files/ИП500103222500001.jpeg","Скачать индивидуальный QR-код магазина")</f>
        <v>Скачать индивидуальный QR-код магазина</v>
      </c>
    </row>
    <row r="5147" spans="1:7" x14ac:dyDescent="0.25">
      <c r="A5147" t="s">
        <v>15627</v>
      </c>
      <c r="B5147" t="s">
        <v>16495</v>
      </c>
      <c r="C5147" t="s">
        <v>16496</v>
      </c>
      <c r="D5147" t="s">
        <v>16497</v>
      </c>
      <c r="E5147" t="s">
        <v>16498</v>
      </c>
      <c r="F5147" t="s">
        <v>16499</v>
      </c>
      <c r="G5147" s="2" t="str">
        <f>HYPERLINK("https://probpalata.gov.ru/files/ИП240800442200000.jpeg","Скачать индивидуальный QR-код магазина")</f>
        <v>Скачать индивидуальный QR-код магазина</v>
      </c>
    </row>
    <row r="5148" spans="1:7" x14ac:dyDescent="0.25">
      <c r="A5148" t="s">
        <v>15627</v>
      </c>
      <c r="B5148" t="s">
        <v>16500</v>
      </c>
      <c r="C5148" t="s">
        <v>16501</v>
      </c>
      <c r="D5148" t="s">
        <v>16502</v>
      </c>
      <c r="E5148" t="s">
        <v>16503</v>
      </c>
      <c r="F5148" t="s">
        <v>16504</v>
      </c>
      <c r="G5148" s="2" t="str">
        <f>HYPERLINK("https://probpalata.gov.ru/files/ИП240803795100000.jpeg","Скачать индивидуальный QR-код магазина")</f>
        <v>Скачать индивидуальный QR-код магазина</v>
      </c>
    </row>
    <row r="5149" spans="1:7" x14ac:dyDescent="0.25">
      <c r="A5149" t="s">
        <v>15627</v>
      </c>
      <c r="B5149" t="s">
        <v>16505</v>
      </c>
      <c r="C5149" t="s">
        <v>16506</v>
      </c>
      <c r="D5149" t="s">
        <v>16507</v>
      </c>
      <c r="E5149" t="s">
        <v>16508</v>
      </c>
      <c r="F5149" t="s">
        <v>16509</v>
      </c>
      <c r="G5149" s="2" t="str">
        <f>HYPERLINK("https://probpalata.gov.ru/files/ИП240801355800000.jpeg","Скачать индивидуальный QR-код магазина")</f>
        <v>Скачать индивидуальный QR-код магазина</v>
      </c>
    </row>
    <row r="5150" spans="1:7" x14ac:dyDescent="0.25">
      <c r="A5150" t="s">
        <v>15627</v>
      </c>
      <c r="B5150" t="s">
        <v>16301</v>
      </c>
      <c r="C5150" t="s">
        <v>2073</v>
      </c>
      <c r="D5150" t="s">
        <v>16510</v>
      </c>
      <c r="E5150" t="s">
        <v>16511</v>
      </c>
      <c r="F5150" t="s">
        <v>16512</v>
      </c>
      <c r="G5150" s="2" t="str">
        <f>HYPERLINK("https://probpalata.gov.ru/files/ЮЛ240800191200001.jpeg","Скачать индивидуальный QR-код магазина")</f>
        <v>Скачать индивидуальный QR-код магазина</v>
      </c>
    </row>
    <row r="5151" spans="1:7" x14ac:dyDescent="0.25">
      <c r="A5151" t="s">
        <v>15627</v>
      </c>
      <c r="B5151" t="s">
        <v>16374</v>
      </c>
      <c r="C5151" t="s">
        <v>2073</v>
      </c>
      <c r="D5151" t="s">
        <v>16510</v>
      </c>
      <c r="E5151" t="s">
        <v>16511</v>
      </c>
      <c r="F5151" t="s">
        <v>16513</v>
      </c>
      <c r="G5151" s="2" t="str">
        <f>HYPERLINK("https://probpalata.gov.ru/files/ЮЛ240800191200002.jpeg","Скачать индивидуальный QR-код магазина")</f>
        <v>Скачать индивидуальный QR-код магазина</v>
      </c>
    </row>
    <row r="5152" spans="1:7" x14ac:dyDescent="0.25">
      <c r="A5152" t="s">
        <v>15627</v>
      </c>
      <c r="B5152" t="s">
        <v>16514</v>
      </c>
      <c r="C5152" t="s">
        <v>2073</v>
      </c>
      <c r="D5152" t="s">
        <v>16510</v>
      </c>
      <c r="E5152" t="s">
        <v>16511</v>
      </c>
      <c r="F5152" t="s">
        <v>16515</v>
      </c>
      <c r="G5152" s="2" t="str">
        <f>HYPERLINK("https://probpalata.gov.ru/files/ЮЛ240800191200003.jpeg","Скачать индивидуальный QR-код магазина")</f>
        <v>Скачать индивидуальный QR-код магазина</v>
      </c>
    </row>
    <row r="5153" spans="1:7" x14ac:dyDescent="0.25">
      <c r="A5153" t="s">
        <v>15627</v>
      </c>
      <c r="B5153" t="s">
        <v>16516</v>
      </c>
      <c r="C5153" t="s">
        <v>2073</v>
      </c>
      <c r="D5153" t="s">
        <v>16510</v>
      </c>
      <c r="E5153" t="s">
        <v>16511</v>
      </c>
      <c r="F5153" t="s">
        <v>16517</v>
      </c>
      <c r="G5153" s="2" t="str">
        <f>HYPERLINK("https://probpalata.gov.ru/files/ЮЛ240800191200004.jpeg","Скачать индивидуальный QR-код магазина")</f>
        <v>Скачать индивидуальный QR-код магазина</v>
      </c>
    </row>
    <row r="5154" spans="1:7" x14ac:dyDescent="0.25">
      <c r="A5154" t="s">
        <v>15627</v>
      </c>
      <c r="B5154" t="s">
        <v>16320</v>
      </c>
      <c r="C5154" t="s">
        <v>2073</v>
      </c>
      <c r="D5154" t="s">
        <v>16510</v>
      </c>
      <c r="E5154" t="s">
        <v>16511</v>
      </c>
      <c r="F5154" t="s">
        <v>16518</v>
      </c>
      <c r="G5154" s="2" t="str">
        <f>HYPERLINK("https://probpalata.gov.ru/files/ЮЛ240800191200005.jpeg","Скачать индивидуальный QR-код магазина")</f>
        <v>Скачать индивидуальный QR-код магазина</v>
      </c>
    </row>
    <row r="5155" spans="1:7" x14ac:dyDescent="0.25">
      <c r="A5155" t="s">
        <v>15627</v>
      </c>
      <c r="B5155" t="s">
        <v>16519</v>
      </c>
      <c r="C5155" t="s">
        <v>2073</v>
      </c>
      <c r="D5155" t="s">
        <v>16510</v>
      </c>
      <c r="E5155" t="s">
        <v>16511</v>
      </c>
      <c r="F5155" t="s">
        <v>16520</v>
      </c>
      <c r="G5155" s="2" t="str">
        <f>HYPERLINK("https://probpalata.gov.ru/files/ЮЛ240800191200006.jpeg","Скачать индивидуальный QR-код магазина")</f>
        <v>Скачать индивидуальный QR-код магазина</v>
      </c>
    </row>
    <row r="5156" spans="1:7" x14ac:dyDescent="0.25">
      <c r="A5156" t="s">
        <v>15627</v>
      </c>
      <c r="B5156" t="s">
        <v>16521</v>
      </c>
      <c r="C5156" t="s">
        <v>2073</v>
      </c>
      <c r="D5156" t="s">
        <v>16510</v>
      </c>
      <c r="E5156" t="s">
        <v>16511</v>
      </c>
      <c r="F5156" t="s">
        <v>16522</v>
      </c>
      <c r="G5156" s="2" t="str">
        <f>HYPERLINK("https://probpalata.gov.ru/files/ЮЛ240800191200007.jpeg","Скачать индивидуальный QR-код магазина")</f>
        <v>Скачать индивидуальный QR-код магазина</v>
      </c>
    </row>
    <row r="5157" spans="1:7" x14ac:dyDescent="0.25">
      <c r="A5157" t="s">
        <v>15627</v>
      </c>
      <c r="B5157" t="s">
        <v>16523</v>
      </c>
      <c r="C5157" t="s">
        <v>2073</v>
      </c>
      <c r="D5157" t="s">
        <v>16510</v>
      </c>
      <c r="E5157" t="s">
        <v>16511</v>
      </c>
      <c r="F5157" t="s">
        <v>16524</v>
      </c>
      <c r="G5157" s="2" t="str">
        <f>HYPERLINK("https://probpalata.gov.ru/files/ЮЛ240800191200008.jpeg","Скачать индивидуальный QR-код магазина")</f>
        <v>Скачать индивидуальный QR-код магазина</v>
      </c>
    </row>
    <row r="5158" spans="1:7" x14ac:dyDescent="0.25">
      <c r="A5158" t="s">
        <v>15627</v>
      </c>
      <c r="B5158" t="s">
        <v>16525</v>
      </c>
      <c r="C5158" t="s">
        <v>2073</v>
      </c>
      <c r="D5158" t="s">
        <v>16510</v>
      </c>
      <c r="E5158" t="s">
        <v>16511</v>
      </c>
      <c r="F5158" t="s">
        <v>16526</v>
      </c>
      <c r="G5158" s="2" t="str">
        <f>HYPERLINK("https://probpalata.gov.ru/files/ЮЛ240800191200009.jpeg","Скачать индивидуальный QR-код магазина")</f>
        <v>Скачать индивидуальный QR-код магазина</v>
      </c>
    </row>
    <row r="5159" spans="1:7" x14ac:dyDescent="0.25">
      <c r="A5159" t="s">
        <v>15627</v>
      </c>
      <c r="B5159" t="s">
        <v>16527</v>
      </c>
      <c r="C5159" t="s">
        <v>2073</v>
      </c>
      <c r="D5159" t="s">
        <v>16510</v>
      </c>
      <c r="E5159" t="s">
        <v>16511</v>
      </c>
      <c r="F5159" t="s">
        <v>16528</v>
      </c>
      <c r="G5159" s="2" t="str">
        <f>HYPERLINK("https://probpalata.gov.ru/files/ЮЛ240800191200010.jpeg","Скачать индивидуальный QR-код магазина")</f>
        <v>Скачать индивидуальный QR-код магазина</v>
      </c>
    </row>
    <row r="5160" spans="1:7" x14ac:dyDescent="0.25">
      <c r="A5160" t="s">
        <v>15627</v>
      </c>
      <c r="B5160" t="s">
        <v>16529</v>
      </c>
      <c r="C5160" t="s">
        <v>2073</v>
      </c>
      <c r="D5160" t="s">
        <v>16510</v>
      </c>
      <c r="E5160" t="s">
        <v>16511</v>
      </c>
      <c r="F5160" t="s">
        <v>16530</v>
      </c>
      <c r="G5160" s="2" t="str">
        <f>HYPERLINK("https://probpalata.gov.ru/files/ЮЛ240800191200011.jpeg","Скачать индивидуальный QR-код магазина")</f>
        <v>Скачать индивидуальный QR-код магазина</v>
      </c>
    </row>
    <row r="5161" spans="1:7" x14ac:dyDescent="0.25">
      <c r="A5161" t="s">
        <v>15627</v>
      </c>
      <c r="B5161" t="s">
        <v>16303</v>
      </c>
      <c r="C5161" t="s">
        <v>2073</v>
      </c>
      <c r="D5161" t="s">
        <v>16510</v>
      </c>
      <c r="E5161" t="s">
        <v>16511</v>
      </c>
      <c r="F5161" t="s">
        <v>16531</v>
      </c>
      <c r="G5161" s="2" t="str">
        <f>HYPERLINK("https://probpalata.gov.ru/files/ЮЛ240800191200012.jpeg","Скачать индивидуальный QR-код магазина")</f>
        <v>Скачать индивидуальный QR-код магазина</v>
      </c>
    </row>
    <row r="5162" spans="1:7" x14ac:dyDescent="0.25">
      <c r="A5162" t="s">
        <v>15627</v>
      </c>
      <c r="B5162" t="s">
        <v>16532</v>
      </c>
      <c r="C5162" t="s">
        <v>2073</v>
      </c>
      <c r="D5162" t="s">
        <v>16510</v>
      </c>
      <c r="E5162" t="s">
        <v>16511</v>
      </c>
      <c r="F5162" t="s">
        <v>16533</v>
      </c>
      <c r="G5162" s="2" t="str">
        <f>HYPERLINK("https://probpalata.gov.ru/files/ЮЛ240800191200015.jpeg","Скачать индивидуальный QR-код магазина")</f>
        <v>Скачать индивидуальный QR-код магазина</v>
      </c>
    </row>
    <row r="5163" spans="1:7" x14ac:dyDescent="0.25">
      <c r="A5163" t="s">
        <v>15627</v>
      </c>
      <c r="B5163" t="s">
        <v>16534</v>
      </c>
      <c r="C5163" t="s">
        <v>2073</v>
      </c>
      <c r="D5163" t="s">
        <v>16510</v>
      </c>
      <c r="E5163" t="s">
        <v>16511</v>
      </c>
      <c r="F5163" t="s">
        <v>16535</v>
      </c>
      <c r="G5163" s="2" t="str">
        <f>HYPERLINK("https://probpalata.gov.ru/files/ЮЛ240800191200018.jpeg","Скачать индивидуальный QR-код магазина")</f>
        <v>Скачать индивидуальный QR-код магазина</v>
      </c>
    </row>
    <row r="5164" spans="1:7" x14ac:dyDescent="0.25">
      <c r="A5164" t="s">
        <v>15627</v>
      </c>
      <c r="B5164" t="s">
        <v>16536</v>
      </c>
      <c r="C5164" t="s">
        <v>9980</v>
      </c>
      <c r="D5164" t="s">
        <v>9981</v>
      </c>
      <c r="E5164" t="s">
        <v>9982</v>
      </c>
      <c r="F5164" t="s">
        <v>16537</v>
      </c>
      <c r="G5164" s="2" t="str">
        <f>HYPERLINK("https://probpalata.gov.ru/files/ИП240801156100000.jpeg","Скачать индивидуальный QR-код магазина")</f>
        <v>Скачать индивидуальный QR-код магазина</v>
      </c>
    </row>
    <row r="5165" spans="1:7" x14ac:dyDescent="0.25">
      <c r="A5165" t="s">
        <v>15627</v>
      </c>
      <c r="B5165" t="s">
        <v>16538</v>
      </c>
      <c r="C5165" t="s">
        <v>16539</v>
      </c>
      <c r="D5165" t="s">
        <v>16540</v>
      </c>
      <c r="E5165" t="s">
        <v>16541</v>
      </c>
      <c r="F5165" t="s">
        <v>16542</v>
      </c>
      <c r="G5165" s="2" t="str">
        <f>HYPERLINK("https://probpalata.gov.ru/files/ИП240801892400000.jpeg","Скачать индивидуальный QR-код магазина")</f>
        <v>Скачать индивидуальный QR-код магазина</v>
      </c>
    </row>
    <row r="5166" spans="1:7" x14ac:dyDescent="0.25">
      <c r="A5166" t="s">
        <v>15627</v>
      </c>
      <c r="B5166" t="s">
        <v>16543</v>
      </c>
      <c r="C5166" t="s">
        <v>16539</v>
      </c>
      <c r="D5166" t="s">
        <v>16540</v>
      </c>
      <c r="E5166" t="s">
        <v>16541</v>
      </c>
      <c r="F5166" t="s">
        <v>16544</v>
      </c>
      <c r="G5166" s="2" t="str">
        <f>HYPERLINK("https://probpalata.gov.ru/files/ИП240801892400001.jpeg","Скачать индивидуальный QR-код магазина")</f>
        <v>Скачать индивидуальный QR-код магазина</v>
      </c>
    </row>
    <row r="5167" spans="1:7" x14ac:dyDescent="0.25">
      <c r="A5167" t="s">
        <v>15627</v>
      </c>
      <c r="B5167" t="s">
        <v>16545</v>
      </c>
      <c r="C5167" t="s">
        <v>16546</v>
      </c>
      <c r="D5167" t="s">
        <v>16547</v>
      </c>
      <c r="E5167" t="s">
        <v>16548</v>
      </c>
      <c r="F5167" t="s">
        <v>16549</v>
      </c>
      <c r="G5167" s="2" t="str">
        <f>HYPERLINK("https://probpalata.gov.ru/files/ИП240801618900000.jpeg","Скачать индивидуальный QR-код магазина")</f>
        <v>Скачать индивидуальный QR-код магазина</v>
      </c>
    </row>
    <row r="5168" spans="1:7" x14ac:dyDescent="0.25">
      <c r="A5168" t="s">
        <v>15627</v>
      </c>
      <c r="B5168" t="s">
        <v>16263</v>
      </c>
      <c r="C5168" t="s">
        <v>16550</v>
      </c>
      <c r="D5168" t="s">
        <v>16551</v>
      </c>
      <c r="E5168" t="s">
        <v>16552</v>
      </c>
      <c r="F5168" t="s">
        <v>16553</v>
      </c>
      <c r="G5168" s="2" t="str">
        <f>HYPERLINK("https://probpalata.gov.ru/files/ИП240801195200000.jpeg","Скачать индивидуальный QR-код магазина")</f>
        <v>Скачать индивидуальный QR-код магазина</v>
      </c>
    </row>
    <row r="5169" spans="1:7" x14ac:dyDescent="0.25">
      <c r="A5169" t="s">
        <v>15627</v>
      </c>
      <c r="B5169" t="s">
        <v>16554</v>
      </c>
      <c r="C5169" t="s">
        <v>16555</v>
      </c>
      <c r="D5169" t="s">
        <v>16556</v>
      </c>
      <c r="E5169" t="s">
        <v>16557</v>
      </c>
      <c r="F5169" t="s">
        <v>16558</v>
      </c>
      <c r="G5169" s="2" t="str">
        <f>HYPERLINK("https://probpalata.gov.ru/files/ИП240800860800001.jpeg","Скачать индивидуальный QR-код магазина")</f>
        <v>Скачать индивидуальный QR-код магазина</v>
      </c>
    </row>
    <row r="5170" spans="1:7" x14ac:dyDescent="0.25">
      <c r="A5170" t="s">
        <v>15627</v>
      </c>
      <c r="B5170" t="s">
        <v>16559</v>
      </c>
      <c r="C5170" t="s">
        <v>16555</v>
      </c>
      <c r="D5170" t="s">
        <v>16556</v>
      </c>
      <c r="E5170" t="s">
        <v>16557</v>
      </c>
      <c r="F5170" t="s">
        <v>16560</v>
      </c>
      <c r="G5170" s="2" t="str">
        <f>HYPERLINK("https://probpalata.gov.ru/files/ИП240800860800002.jpeg","Скачать индивидуальный QR-код магазина")</f>
        <v>Скачать индивидуальный QR-код магазина</v>
      </c>
    </row>
    <row r="5171" spans="1:7" x14ac:dyDescent="0.25">
      <c r="A5171" t="s">
        <v>15627</v>
      </c>
      <c r="B5171" t="s">
        <v>16561</v>
      </c>
      <c r="C5171" t="s">
        <v>16555</v>
      </c>
      <c r="D5171" t="s">
        <v>16556</v>
      </c>
      <c r="E5171" t="s">
        <v>16557</v>
      </c>
      <c r="F5171" t="s">
        <v>16562</v>
      </c>
      <c r="G5171" s="2" t="str">
        <f>HYPERLINK("https://probpalata.gov.ru/files/ИП240800860800004.jpeg","Скачать индивидуальный QR-код магазина")</f>
        <v>Скачать индивидуальный QR-код магазина</v>
      </c>
    </row>
    <row r="5172" spans="1:7" x14ac:dyDescent="0.25">
      <c r="A5172" t="s">
        <v>15627</v>
      </c>
      <c r="B5172" t="s">
        <v>16563</v>
      </c>
      <c r="C5172" t="s">
        <v>16555</v>
      </c>
      <c r="D5172" t="s">
        <v>16556</v>
      </c>
      <c r="E5172" t="s">
        <v>16557</v>
      </c>
      <c r="F5172" t="s">
        <v>16564</v>
      </c>
      <c r="G5172" s="2" t="str">
        <f>HYPERLINK("https://probpalata.gov.ru/files/ИП240800860800006.jpeg","Скачать индивидуальный QR-код магазина")</f>
        <v>Скачать индивидуальный QR-код магазина</v>
      </c>
    </row>
    <row r="5173" spans="1:7" x14ac:dyDescent="0.25">
      <c r="A5173" t="s">
        <v>15627</v>
      </c>
      <c r="B5173" t="s">
        <v>16565</v>
      </c>
      <c r="C5173" t="s">
        <v>16555</v>
      </c>
      <c r="D5173" t="s">
        <v>16556</v>
      </c>
      <c r="E5173" t="s">
        <v>16557</v>
      </c>
      <c r="F5173" t="s">
        <v>16566</v>
      </c>
      <c r="G5173" s="2" t="str">
        <f>HYPERLINK("https://probpalata.gov.ru/files/ИП240800860800007.jpeg","Скачать индивидуальный QR-код магазина")</f>
        <v>Скачать индивидуальный QR-код магазина</v>
      </c>
    </row>
    <row r="5174" spans="1:7" x14ac:dyDescent="0.25">
      <c r="A5174" t="s">
        <v>15627</v>
      </c>
      <c r="B5174" t="s">
        <v>16567</v>
      </c>
      <c r="C5174" t="s">
        <v>16555</v>
      </c>
      <c r="D5174" t="s">
        <v>16556</v>
      </c>
      <c r="E5174" t="s">
        <v>16557</v>
      </c>
      <c r="F5174" t="s">
        <v>16568</v>
      </c>
      <c r="G5174" s="2" t="str">
        <f>HYPERLINK("https://probpalata.gov.ru/files/ИП240800860800008.jpeg","Скачать индивидуальный QR-код магазина")</f>
        <v>Скачать индивидуальный QR-код магазина</v>
      </c>
    </row>
    <row r="5175" spans="1:7" x14ac:dyDescent="0.25">
      <c r="A5175" t="s">
        <v>15627</v>
      </c>
      <c r="B5175" t="s">
        <v>16569</v>
      </c>
      <c r="C5175" t="s">
        <v>16555</v>
      </c>
      <c r="D5175" t="s">
        <v>16556</v>
      </c>
      <c r="E5175" t="s">
        <v>16557</v>
      </c>
      <c r="F5175" t="s">
        <v>16570</v>
      </c>
      <c r="G5175" s="2" t="str">
        <f>HYPERLINK("https://probpalata.gov.ru/files/ИП240800860800009.jpeg","Скачать индивидуальный QR-код магазина")</f>
        <v>Скачать индивидуальный QR-код магазина</v>
      </c>
    </row>
    <row r="5176" spans="1:7" x14ac:dyDescent="0.25">
      <c r="A5176" t="s">
        <v>15627</v>
      </c>
      <c r="B5176" t="s">
        <v>16571</v>
      </c>
      <c r="C5176" t="s">
        <v>16572</v>
      </c>
      <c r="D5176" t="s">
        <v>16573</v>
      </c>
      <c r="E5176" t="s">
        <v>16574</v>
      </c>
      <c r="F5176" t="s">
        <v>16575</v>
      </c>
      <c r="G5176" s="2" t="str">
        <f>HYPERLINK("https://probpalata.gov.ru/files/ИП240801381900003.jpeg","Скачать индивидуальный QR-код магазина")</f>
        <v>Скачать индивидуальный QR-код магазина</v>
      </c>
    </row>
    <row r="5177" spans="1:7" x14ac:dyDescent="0.25">
      <c r="A5177" t="s">
        <v>15627</v>
      </c>
      <c r="B5177" t="s">
        <v>16576</v>
      </c>
      <c r="C5177" t="s">
        <v>16577</v>
      </c>
      <c r="D5177" t="s">
        <v>16578</v>
      </c>
      <c r="E5177" t="s">
        <v>16579</v>
      </c>
      <c r="F5177" t="s">
        <v>16580</v>
      </c>
      <c r="G5177" s="2" t="str">
        <f>HYPERLINK("https://probpalata.gov.ru/files/ИП240801158900000.jpeg","Скачать индивидуальный QR-код магазина")</f>
        <v>Скачать индивидуальный QR-код магазина</v>
      </c>
    </row>
    <row r="5178" spans="1:7" x14ac:dyDescent="0.25">
      <c r="A5178" t="s">
        <v>15627</v>
      </c>
      <c r="B5178" t="s">
        <v>16581</v>
      </c>
      <c r="C5178" t="s">
        <v>16582</v>
      </c>
      <c r="D5178" t="s">
        <v>16583</v>
      </c>
      <c r="E5178" t="s">
        <v>16584</v>
      </c>
      <c r="F5178" t="s">
        <v>16585</v>
      </c>
      <c r="G5178" s="2" t="str">
        <f>HYPERLINK("https://probpalata.gov.ru/files/ИП240800434700000.jpeg","Скачать индивидуальный QR-код магазина")</f>
        <v>Скачать индивидуальный QR-код магазина</v>
      </c>
    </row>
    <row r="5179" spans="1:7" x14ac:dyDescent="0.25">
      <c r="A5179" t="s">
        <v>15627</v>
      </c>
      <c r="B5179" t="s">
        <v>16586</v>
      </c>
      <c r="C5179" t="s">
        <v>16587</v>
      </c>
      <c r="D5179" t="s">
        <v>16588</v>
      </c>
      <c r="E5179" t="s">
        <v>16589</v>
      </c>
      <c r="F5179" t="s">
        <v>16590</v>
      </c>
      <c r="G5179" s="2" t="str">
        <f>HYPERLINK("https://probpalata.gov.ru/files/ИП240801156300000.jpeg","Скачать индивидуальный QR-код магазина")</f>
        <v>Скачать индивидуальный QR-код магазина</v>
      </c>
    </row>
    <row r="5180" spans="1:7" x14ac:dyDescent="0.25">
      <c r="A5180" t="s">
        <v>15627</v>
      </c>
      <c r="B5180" t="s">
        <v>16591</v>
      </c>
      <c r="C5180" t="s">
        <v>16592</v>
      </c>
      <c r="D5180" t="s">
        <v>16593</v>
      </c>
      <c r="E5180" t="s">
        <v>16594</v>
      </c>
      <c r="F5180" t="s">
        <v>16595</v>
      </c>
      <c r="G5180" s="2" t="str">
        <f>HYPERLINK("https://probpalata.gov.ru/files/ИП240800780700000.jpeg","Скачать индивидуальный QR-код магазина")</f>
        <v>Скачать индивидуальный QR-код магазина</v>
      </c>
    </row>
    <row r="5181" spans="1:7" x14ac:dyDescent="0.25">
      <c r="A5181" t="s">
        <v>15627</v>
      </c>
      <c r="B5181" t="s">
        <v>16596</v>
      </c>
      <c r="C5181" t="s">
        <v>16597</v>
      </c>
      <c r="D5181" t="s">
        <v>16598</v>
      </c>
      <c r="E5181" t="s">
        <v>16599</v>
      </c>
      <c r="F5181" t="s">
        <v>16600</v>
      </c>
      <c r="G5181" s="2" t="str">
        <f>HYPERLINK("https://probpalata.gov.ru/files/ЮЛ240800573800000.jpeg","Скачать индивидуальный QR-код магазина")</f>
        <v>Скачать индивидуальный QR-код магазина</v>
      </c>
    </row>
    <row r="5182" spans="1:7" x14ac:dyDescent="0.25">
      <c r="A5182" t="s">
        <v>15627</v>
      </c>
      <c r="B5182" t="s">
        <v>16048</v>
      </c>
      <c r="C5182" t="s">
        <v>16601</v>
      </c>
      <c r="D5182" t="s">
        <v>16602</v>
      </c>
      <c r="E5182" t="s">
        <v>16603</v>
      </c>
      <c r="F5182" t="s">
        <v>16604</v>
      </c>
      <c r="G5182" s="2" t="str">
        <f>HYPERLINK("https://probpalata.gov.ru/files/ИП240803819500000.jpeg","Скачать индивидуальный QR-код магазина")</f>
        <v>Скачать индивидуальный QR-код магазина</v>
      </c>
    </row>
    <row r="5183" spans="1:7" x14ac:dyDescent="0.25">
      <c r="A5183" t="s">
        <v>15627</v>
      </c>
      <c r="B5183" t="s">
        <v>16605</v>
      </c>
      <c r="C5183" t="s">
        <v>16606</v>
      </c>
      <c r="D5183" t="s">
        <v>16607</v>
      </c>
      <c r="E5183" t="s">
        <v>16608</v>
      </c>
      <c r="F5183" t="s">
        <v>16609</v>
      </c>
      <c r="G5183" s="2" t="str">
        <f>HYPERLINK("https://probpalata.gov.ru/files/ЮЛ240801471500000.jpeg","Скачать индивидуальный QR-код магазина")</f>
        <v>Скачать индивидуальный QR-код магазина</v>
      </c>
    </row>
    <row r="5184" spans="1:7" x14ac:dyDescent="0.25">
      <c r="A5184" t="s">
        <v>15627</v>
      </c>
      <c r="B5184" t="s">
        <v>16610</v>
      </c>
      <c r="C5184" t="s">
        <v>16611</v>
      </c>
      <c r="D5184" t="s">
        <v>16612</v>
      </c>
      <c r="E5184" t="s">
        <v>16613</v>
      </c>
      <c r="F5184" t="s">
        <v>16614</v>
      </c>
      <c r="G5184" s="2" t="str">
        <f>HYPERLINK("https://probpalata.gov.ru/files/ИП240801801800000.jpeg","Скачать индивидуальный QR-код магазина")</f>
        <v>Скачать индивидуальный QR-код магазина</v>
      </c>
    </row>
    <row r="5185" spans="1:7" x14ac:dyDescent="0.25">
      <c r="A5185" t="s">
        <v>15627</v>
      </c>
      <c r="B5185" t="s">
        <v>16615</v>
      </c>
      <c r="C5185" t="s">
        <v>16611</v>
      </c>
      <c r="D5185" t="s">
        <v>16612</v>
      </c>
      <c r="E5185" t="s">
        <v>16613</v>
      </c>
      <c r="F5185" t="s">
        <v>16616</v>
      </c>
      <c r="G5185" s="2" t="str">
        <f>HYPERLINK("https://probpalata.gov.ru/files/ИП240801801800001.jpeg","Скачать индивидуальный QR-код магазина")</f>
        <v>Скачать индивидуальный QR-код магазина</v>
      </c>
    </row>
    <row r="5186" spans="1:7" x14ac:dyDescent="0.25">
      <c r="A5186" t="s">
        <v>15627</v>
      </c>
      <c r="B5186" t="s">
        <v>16617</v>
      </c>
      <c r="C5186" t="s">
        <v>16611</v>
      </c>
      <c r="D5186" t="s">
        <v>16612</v>
      </c>
      <c r="E5186" t="s">
        <v>16613</v>
      </c>
      <c r="F5186" t="s">
        <v>16618</v>
      </c>
      <c r="G5186" s="2" t="str">
        <f>HYPERLINK("https://probpalata.gov.ru/files/ИП240801801800002.jpeg","Скачать индивидуальный QR-код магазина")</f>
        <v>Скачать индивидуальный QR-код магазина</v>
      </c>
    </row>
    <row r="5187" spans="1:7" x14ac:dyDescent="0.25">
      <c r="A5187" t="s">
        <v>15627</v>
      </c>
      <c r="B5187" t="s">
        <v>16619</v>
      </c>
      <c r="C5187" t="s">
        <v>16611</v>
      </c>
      <c r="D5187" t="s">
        <v>16612</v>
      </c>
      <c r="E5187" t="s">
        <v>16613</v>
      </c>
      <c r="F5187" t="s">
        <v>16620</v>
      </c>
      <c r="G5187" s="2" t="str">
        <f>HYPERLINK("https://probpalata.gov.ru/files/ИП240801801800005.jpeg","Скачать индивидуальный QR-код магазина")</f>
        <v>Скачать индивидуальный QR-код магазина</v>
      </c>
    </row>
    <row r="5188" spans="1:7" x14ac:dyDescent="0.25">
      <c r="A5188" t="s">
        <v>15627</v>
      </c>
      <c r="B5188" t="s">
        <v>16621</v>
      </c>
      <c r="C5188" t="s">
        <v>16622</v>
      </c>
      <c r="D5188" t="s">
        <v>16623</v>
      </c>
      <c r="E5188" t="s">
        <v>16624</v>
      </c>
      <c r="F5188" t="s">
        <v>16625</v>
      </c>
      <c r="G5188" s="2" t="str">
        <f>HYPERLINK("https://probpalata.gov.ru/files/ИП170801529100005.jpeg","Скачать индивидуальный QR-код магазина")</f>
        <v>Скачать индивидуальный QR-код магазина</v>
      </c>
    </row>
    <row r="5189" spans="1:7" x14ac:dyDescent="0.25">
      <c r="A5189" t="s">
        <v>15627</v>
      </c>
      <c r="B5189" t="s">
        <v>16626</v>
      </c>
      <c r="C5189" t="s">
        <v>16627</v>
      </c>
      <c r="D5189" t="s">
        <v>16628</v>
      </c>
      <c r="E5189" t="s">
        <v>16629</v>
      </c>
      <c r="F5189" t="s">
        <v>16630</v>
      </c>
      <c r="G5189" s="2" t="str">
        <f>HYPERLINK("https://probpalata.gov.ru/files/ИП240800162800000.jpeg","Скачать индивидуальный QR-код магазина")</f>
        <v>Скачать индивидуальный QR-код магазина</v>
      </c>
    </row>
    <row r="5190" spans="1:7" x14ac:dyDescent="0.25">
      <c r="A5190" t="s">
        <v>15627</v>
      </c>
      <c r="B5190" t="s">
        <v>16631</v>
      </c>
      <c r="C5190" t="s">
        <v>16632</v>
      </c>
      <c r="D5190" t="s">
        <v>16633</v>
      </c>
      <c r="E5190" t="s">
        <v>16634</v>
      </c>
      <c r="F5190" t="s">
        <v>16635</v>
      </c>
      <c r="G5190" s="2" t="str">
        <f>HYPERLINK("https://probpalata.gov.ru/files/ИП240801024100000.jpeg","Скачать индивидуальный QR-код магазина")</f>
        <v>Скачать индивидуальный QR-код магазина</v>
      </c>
    </row>
    <row r="5191" spans="1:7" x14ac:dyDescent="0.25">
      <c r="A5191" t="s">
        <v>15627</v>
      </c>
      <c r="B5191" t="s">
        <v>16636</v>
      </c>
      <c r="C5191" t="s">
        <v>16637</v>
      </c>
      <c r="D5191" t="s">
        <v>16638</v>
      </c>
      <c r="E5191" t="s">
        <v>16639</v>
      </c>
      <c r="F5191" t="s">
        <v>16640</v>
      </c>
      <c r="G5191" s="2" t="str">
        <f>HYPERLINK("https://probpalata.gov.ru/files/ЮЛ240800574500000.jpeg","Скачать индивидуальный QR-код магазина")</f>
        <v>Скачать индивидуальный QR-код магазина</v>
      </c>
    </row>
    <row r="5192" spans="1:7" x14ac:dyDescent="0.25">
      <c r="A5192" t="s">
        <v>15627</v>
      </c>
      <c r="B5192" t="s">
        <v>16641</v>
      </c>
      <c r="C5192" t="s">
        <v>16642</v>
      </c>
      <c r="D5192" t="s">
        <v>16643</v>
      </c>
      <c r="E5192" t="s">
        <v>16644</v>
      </c>
      <c r="F5192" t="s">
        <v>16645</v>
      </c>
      <c r="G5192" s="2" t="str">
        <f>HYPERLINK("https://probpalata.gov.ru/files/ЮЛ240801859500000.jpeg","Скачать индивидуальный QR-код магазина")</f>
        <v>Скачать индивидуальный QR-код магазина</v>
      </c>
    </row>
    <row r="5193" spans="1:7" x14ac:dyDescent="0.25">
      <c r="A5193" t="s">
        <v>15627</v>
      </c>
      <c r="B5193" t="s">
        <v>16646</v>
      </c>
      <c r="C5193" t="s">
        <v>16647</v>
      </c>
      <c r="D5193" t="s">
        <v>16648</v>
      </c>
      <c r="E5193" t="s">
        <v>16649</v>
      </c>
      <c r="F5193" t="s">
        <v>16650</v>
      </c>
      <c r="G5193" s="2" t="str">
        <f>HYPERLINK("https://probpalata.gov.ru/files/ЮЛ240803745000002.jpeg","Скачать индивидуальный QR-код магазина")</f>
        <v>Скачать индивидуальный QR-код магазина</v>
      </c>
    </row>
    <row r="5194" spans="1:7" x14ac:dyDescent="0.25">
      <c r="A5194" t="s">
        <v>15627</v>
      </c>
      <c r="B5194" t="s">
        <v>16651</v>
      </c>
      <c r="C5194" t="s">
        <v>16647</v>
      </c>
      <c r="D5194" t="s">
        <v>16648</v>
      </c>
      <c r="E5194" t="s">
        <v>16649</v>
      </c>
      <c r="F5194" t="s">
        <v>16652</v>
      </c>
      <c r="G5194" s="2" t="str">
        <f>HYPERLINK("https://probpalata.gov.ru/files/ЮЛ240803745000011.jpeg","Скачать индивидуальный QR-код магазина")</f>
        <v>Скачать индивидуальный QR-код магазина</v>
      </c>
    </row>
    <row r="5195" spans="1:7" x14ac:dyDescent="0.25">
      <c r="A5195" t="s">
        <v>15627</v>
      </c>
      <c r="B5195" t="s">
        <v>16653</v>
      </c>
      <c r="C5195" t="s">
        <v>11936</v>
      </c>
      <c r="D5195" t="s">
        <v>16654</v>
      </c>
      <c r="E5195" t="s">
        <v>16655</v>
      </c>
      <c r="F5195" t="s">
        <v>16656</v>
      </c>
      <c r="G5195" s="2" t="str">
        <f>HYPERLINK("https://probpalata.gov.ru/files/ЮЛ240800262000000.jpeg","Скачать индивидуальный QR-код магазина")</f>
        <v>Скачать индивидуальный QR-код магазина</v>
      </c>
    </row>
    <row r="5196" spans="1:7" x14ac:dyDescent="0.25">
      <c r="A5196" t="s">
        <v>15627</v>
      </c>
      <c r="B5196" t="s">
        <v>16657</v>
      </c>
      <c r="C5196" t="s">
        <v>16658</v>
      </c>
      <c r="D5196" t="s">
        <v>16659</v>
      </c>
      <c r="E5196" t="s">
        <v>16660</v>
      </c>
      <c r="F5196" t="s">
        <v>16661</v>
      </c>
      <c r="G5196" s="2" t="str">
        <f>HYPERLINK("https://probpalata.gov.ru/files/ИП240800533400000.jpeg","Скачать индивидуальный QR-код магазина")</f>
        <v>Скачать индивидуальный QR-код магазина</v>
      </c>
    </row>
    <row r="5197" spans="1:7" x14ac:dyDescent="0.25">
      <c r="A5197" t="s">
        <v>15627</v>
      </c>
      <c r="B5197" t="s">
        <v>16662</v>
      </c>
      <c r="C5197" t="s">
        <v>16663</v>
      </c>
      <c r="D5197" t="s">
        <v>16664</v>
      </c>
      <c r="E5197" t="s">
        <v>16665</v>
      </c>
      <c r="F5197" t="s">
        <v>16666</v>
      </c>
      <c r="G5197" s="2" t="str">
        <f>HYPERLINK("https://probpalata.gov.ru/files/ЮЛ240800064100002.jpeg","Скачать индивидуальный QR-код магазина")</f>
        <v>Скачать индивидуальный QR-код магазина</v>
      </c>
    </row>
    <row r="5198" spans="1:7" x14ac:dyDescent="0.25">
      <c r="A5198" t="s">
        <v>15627</v>
      </c>
      <c r="B5198" t="s">
        <v>16667</v>
      </c>
      <c r="C5198" t="s">
        <v>16663</v>
      </c>
      <c r="D5198" t="s">
        <v>16664</v>
      </c>
      <c r="E5198" t="s">
        <v>16665</v>
      </c>
      <c r="F5198" t="s">
        <v>16668</v>
      </c>
      <c r="G5198" s="2" t="str">
        <f>HYPERLINK("https://probpalata.gov.ru/files/ЮЛ240800064100005.jpeg","Скачать индивидуальный QR-код магазина")</f>
        <v>Скачать индивидуальный QR-код магазина</v>
      </c>
    </row>
    <row r="5199" spans="1:7" x14ac:dyDescent="0.25">
      <c r="A5199" t="s">
        <v>15627</v>
      </c>
      <c r="B5199" t="s">
        <v>16669</v>
      </c>
      <c r="C5199" t="s">
        <v>14577</v>
      </c>
      <c r="D5199" t="s">
        <v>14578</v>
      </c>
      <c r="E5199" t="s">
        <v>14579</v>
      </c>
      <c r="F5199" t="s">
        <v>16670</v>
      </c>
      <c r="G5199" s="2" t="str">
        <f>HYPERLINK("https://probpalata.gov.ru/files/ЮЛ240801625800000.jpeg","Скачать индивидуальный QR-код магазина")</f>
        <v>Скачать индивидуальный QR-код магазина</v>
      </c>
    </row>
    <row r="5200" spans="1:7" x14ac:dyDescent="0.25">
      <c r="A5200" t="s">
        <v>15627</v>
      </c>
      <c r="B5200" t="s">
        <v>16671</v>
      </c>
      <c r="C5200" t="s">
        <v>16672</v>
      </c>
      <c r="D5200" t="s">
        <v>16673</v>
      </c>
      <c r="E5200" t="s">
        <v>16674</v>
      </c>
      <c r="F5200" t="s">
        <v>16675</v>
      </c>
      <c r="G5200" s="2" t="str">
        <f>HYPERLINK("https://probpalata.gov.ru/files/ЮЛ240803754400000.jpeg","Скачать индивидуальный QR-код магазина")</f>
        <v>Скачать индивидуальный QR-код магазина</v>
      </c>
    </row>
    <row r="5201" spans="1:7" x14ac:dyDescent="0.25">
      <c r="A5201" t="s">
        <v>15627</v>
      </c>
      <c r="B5201" t="s">
        <v>16676</v>
      </c>
      <c r="C5201" t="s">
        <v>16677</v>
      </c>
      <c r="D5201" t="s">
        <v>16678</v>
      </c>
      <c r="E5201" t="s">
        <v>16679</v>
      </c>
      <c r="F5201" t="s">
        <v>16680</v>
      </c>
      <c r="G5201" s="2" t="str">
        <f>HYPERLINK("https://probpalata.gov.ru/files/ЮЛ240803770500000.jpeg","Скачать индивидуальный QR-код магазина")</f>
        <v>Скачать индивидуальный QR-код магазина</v>
      </c>
    </row>
    <row r="5202" spans="1:7" x14ac:dyDescent="0.25">
      <c r="A5202" t="s">
        <v>15627</v>
      </c>
      <c r="B5202" t="s">
        <v>16681</v>
      </c>
      <c r="C5202" t="s">
        <v>16682</v>
      </c>
      <c r="D5202" t="s">
        <v>16683</v>
      </c>
      <c r="E5202" t="s">
        <v>16684</v>
      </c>
      <c r="F5202" t="s">
        <v>16685</v>
      </c>
      <c r="G5202" s="2" t="str">
        <f>HYPERLINK("https://probpalata.gov.ru/files/ЮЛ240803866900000.jpeg","Скачать индивидуальный QR-код магазина")</f>
        <v>Скачать индивидуальный QR-код магазина</v>
      </c>
    </row>
    <row r="5203" spans="1:7" x14ac:dyDescent="0.25">
      <c r="A5203" t="s">
        <v>15627</v>
      </c>
      <c r="B5203" t="s">
        <v>16686</v>
      </c>
      <c r="C5203" t="s">
        <v>16687</v>
      </c>
      <c r="D5203" t="s">
        <v>16688</v>
      </c>
      <c r="E5203" t="s">
        <v>16689</v>
      </c>
      <c r="F5203" t="s">
        <v>16690</v>
      </c>
      <c r="G5203" s="2" t="str">
        <f>HYPERLINK("https://probpalata.gov.ru/files/ИП240801204300000.jpeg","Скачать индивидуальный QR-код магазина")</f>
        <v>Скачать индивидуальный QR-код магазина</v>
      </c>
    </row>
    <row r="5204" spans="1:7" x14ac:dyDescent="0.25">
      <c r="A5204" t="s">
        <v>15627</v>
      </c>
      <c r="B5204" t="s">
        <v>16691</v>
      </c>
      <c r="C5204" t="s">
        <v>16692</v>
      </c>
      <c r="D5204" t="s">
        <v>16693</v>
      </c>
      <c r="E5204" t="s">
        <v>16694</v>
      </c>
      <c r="F5204" t="s">
        <v>16695</v>
      </c>
      <c r="G5204" s="2" t="str">
        <f>HYPERLINK("https://probpalata.gov.ru/files/ИП380804004900000.jpeg","Скачать индивидуальный QR-код магазина")</f>
        <v>Скачать индивидуальный QR-код магазина</v>
      </c>
    </row>
    <row r="5205" spans="1:7" x14ac:dyDescent="0.25">
      <c r="A5205" t="s">
        <v>15627</v>
      </c>
      <c r="B5205" t="s">
        <v>16536</v>
      </c>
      <c r="C5205" t="s">
        <v>7629</v>
      </c>
      <c r="D5205" t="s">
        <v>7630</v>
      </c>
      <c r="E5205" t="s">
        <v>7631</v>
      </c>
      <c r="F5205" t="s">
        <v>16696</v>
      </c>
      <c r="G5205" s="2" t="str">
        <f>HYPERLINK("https://probpalata.gov.ru/files/ЮЛ380800074700003.jpeg","Скачать индивидуальный QR-код магазина")</f>
        <v>Скачать индивидуальный QR-код магазина</v>
      </c>
    </row>
    <row r="5206" spans="1:7" x14ac:dyDescent="0.25">
      <c r="A5206" t="s">
        <v>15627</v>
      </c>
      <c r="B5206" t="s">
        <v>16697</v>
      </c>
      <c r="C5206" t="s">
        <v>16698</v>
      </c>
      <c r="D5206" t="s">
        <v>16699</v>
      </c>
      <c r="E5206" t="s">
        <v>16700</v>
      </c>
      <c r="F5206" t="s">
        <v>16701</v>
      </c>
      <c r="G5206" s="2" t="str">
        <f>HYPERLINK("https://probpalata.gov.ru/files/ИП420803302200000.jpeg","Скачать индивидуальный QR-код магазина")</f>
        <v>Скачать индивидуальный QR-код магазина</v>
      </c>
    </row>
    <row r="5207" spans="1:7" x14ac:dyDescent="0.25">
      <c r="A5207" t="s">
        <v>15627</v>
      </c>
      <c r="B5207" t="s">
        <v>16536</v>
      </c>
      <c r="C5207" t="s">
        <v>16702</v>
      </c>
      <c r="D5207" t="s">
        <v>16703</v>
      </c>
      <c r="E5207" t="s">
        <v>16704</v>
      </c>
      <c r="F5207" t="s">
        <v>16705</v>
      </c>
      <c r="G5207" s="2" t="str">
        <f>HYPERLINK("https://probpalata.gov.ru/files/ИП420801495900000.jpeg","Скачать индивидуальный QR-код магазина")</f>
        <v>Скачать индивидуальный QR-код магазина</v>
      </c>
    </row>
    <row r="5208" spans="1:7" x14ac:dyDescent="0.25">
      <c r="A5208" t="s">
        <v>15627</v>
      </c>
      <c r="B5208" t="s">
        <v>16706</v>
      </c>
      <c r="C5208" t="s">
        <v>16702</v>
      </c>
      <c r="D5208" t="s">
        <v>16703</v>
      </c>
      <c r="E5208" t="s">
        <v>16704</v>
      </c>
      <c r="F5208" t="s">
        <v>16707</v>
      </c>
      <c r="G5208" s="2" t="str">
        <f>HYPERLINK("https://probpalata.gov.ru/files/ИП420801495900002.jpeg","Скачать индивидуальный QR-код магазина")</f>
        <v>Скачать индивидуальный QR-код магазина</v>
      </c>
    </row>
    <row r="5209" spans="1:7" x14ac:dyDescent="0.25">
      <c r="A5209" t="s">
        <v>15627</v>
      </c>
      <c r="B5209" t="s">
        <v>16708</v>
      </c>
      <c r="C5209" t="s">
        <v>2171</v>
      </c>
      <c r="D5209" t="s">
        <v>2172</v>
      </c>
      <c r="E5209" t="s">
        <v>2173</v>
      </c>
      <c r="F5209" t="s">
        <v>16709</v>
      </c>
      <c r="G5209" s="2" t="str">
        <f>HYPERLINK("https://probpalata.gov.ru/files/ЮЛ500100602500048.jpeg","Скачать индивидуальный QR-код магазина")</f>
        <v>Скачать индивидуальный QR-код магазина</v>
      </c>
    </row>
    <row r="5210" spans="1:7" x14ac:dyDescent="0.25">
      <c r="A5210" t="s">
        <v>15627</v>
      </c>
      <c r="B5210" t="s">
        <v>16710</v>
      </c>
      <c r="C5210" t="s">
        <v>16711</v>
      </c>
      <c r="D5210" t="s">
        <v>16712</v>
      </c>
      <c r="E5210" t="s">
        <v>16713</v>
      </c>
      <c r="F5210" t="s">
        <v>16714</v>
      </c>
      <c r="G5210" s="2" t="str">
        <f>HYPERLINK("https://probpalata.gov.ru/files/ИП470303382100000.jpeg","Скачать индивидуальный QR-код магазина")</f>
        <v>Скачать индивидуальный QR-код магазина</v>
      </c>
    </row>
    <row r="5211" spans="1:7" x14ac:dyDescent="0.25">
      <c r="A5211" t="s">
        <v>15627</v>
      </c>
      <c r="B5211" t="s">
        <v>16715</v>
      </c>
      <c r="C5211" t="s">
        <v>16711</v>
      </c>
      <c r="D5211" t="s">
        <v>16712</v>
      </c>
      <c r="E5211" t="s">
        <v>16713</v>
      </c>
      <c r="F5211" t="s">
        <v>16716</v>
      </c>
      <c r="G5211" s="2" t="str">
        <f>HYPERLINK("https://probpalata.gov.ru/files/ИП470303382100001.jpeg","Скачать индивидуальный QR-код магазина")</f>
        <v>Скачать индивидуальный QR-код магазина</v>
      </c>
    </row>
    <row r="5212" spans="1:7" x14ac:dyDescent="0.25">
      <c r="A5212" t="s">
        <v>15627</v>
      </c>
      <c r="B5212" t="s">
        <v>16717</v>
      </c>
      <c r="C5212" t="s">
        <v>16711</v>
      </c>
      <c r="D5212" t="s">
        <v>16712</v>
      </c>
      <c r="E5212" t="s">
        <v>16713</v>
      </c>
      <c r="F5212" t="s">
        <v>16718</v>
      </c>
      <c r="G5212" s="2" t="str">
        <f>HYPERLINK("https://probpalata.gov.ru/files/ИП470303382100002.jpeg","Скачать индивидуальный QR-код магазина")</f>
        <v>Скачать индивидуальный QR-код магазина</v>
      </c>
    </row>
    <row r="5213" spans="1:7" x14ac:dyDescent="0.25">
      <c r="A5213" t="s">
        <v>15627</v>
      </c>
      <c r="B5213" t="s">
        <v>16719</v>
      </c>
      <c r="C5213" t="s">
        <v>16720</v>
      </c>
      <c r="D5213" t="s">
        <v>16721</v>
      </c>
      <c r="E5213" t="s">
        <v>16722</v>
      </c>
      <c r="F5213" t="s">
        <v>16723</v>
      </c>
      <c r="G5213" s="2" t="str">
        <f>HYPERLINK("https://probpalata.gov.ru/files/ИП500103222400003.jpeg","Скачать индивидуальный QR-код магазина")</f>
        <v>Скачать индивидуальный QR-код магазина</v>
      </c>
    </row>
    <row r="5214" spans="1:7" x14ac:dyDescent="0.25">
      <c r="A5214" t="s">
        <v>15627</v>
      </c>
      <c r="B5214" t="s">
        <v>16724</v>
      </c>
      <c r="C5214" t="s">
        <v>671</v>
      </c>
      <c r="D5214" t="s">
        <v>672</v>
      </c>
      <c r="E5214" t="s">
        <v>673</v>
      </c>
      <c r="F5214" t="s">
        <v>16725</v>
      </c>
      <c r="G5214" s="2" t="str">
        <f>HYPERLINK("https://probpalata.gov.ru/files/ИП500100445500006.jpeg","Скачать индивидуальный QR-код магазина")</f>
        <v>Скачать индивидуальный QR-код магазина</v>
      </c>
    </row>
    <row r="5215" spans="1:7" x14ac:dyDescent="0.25">
      <c r="A5215" t="s">
        <v>15627</v>
      </c>
      <c r="B5215" t="s">
        <v>16726</v>
      </c>
      <c r="C5215" t="s">
        <v>10732</v>
      </c>
      <c r="D5215" t="s">
        <v>10733</v>
      </c>
      <c r="E5215" t="s">
        <v>10734</v>
      </c>
      <c r="F5215" t="s">
        <v>16727</v>
      </c>
      <c r="G5215" s="2" t="str">
        <f>HYPERLINK("https://probpalata.gov.ru/files/ИП440200426400015.jpeg","Скачать индивидуальный QR-код магазина")</f>
        <v>Скачать индивидуальный QR-код магазина</v>
      </c>
    </row>
    <row r="5216" spans="1:7" x14ac:dyDescent="0.25">
      <c r="A5216" t="s">
        <v>15627</v>
      </c>
      <c r="B5216" t="s">
        <v>16728</v>
      </c>
      <c r="C5216" t="s">
        <v>16729</v>
      </c>
      <c r="D5216" t="s">
        <v>16730</v>
      </c>
      <c r="E5216" t="s">
        <v>16731</v>
      </c>
      <c r="F5216" t="s">
        <v>16732</v>
      </c>
      <c r="G5216" s="2" t="str">
        <f>HYPERLINK("https://probpalata.gov.ru/files/ИП500101876600000.jpeg","Скачать индивидуальный QR-код магазина")</f>
        <v>Скачать индивидуальный QR-код магазина</v>
      </c>
    </row>
    <row r="5217" spans="1:7" x14ac:dyDescent="0.25">
      <c r="A5217" t="s">
        <v>15627</v>
      </c>
      <c r="B5217" t="s">
        <v>16733</v>
      </c>
      <c r="C5217" t="s">
        <v>1735</v>
      </c>
      <c r="D5217" t="s">
        <v>1736</v>
      </c>
      <c r="E5217" t="s">
        <v>1737</v>
      </c>
      <c r="F5217" t="s">
        <v>16734</v>
      </c>
      <c r="G5217" s="2" t="str">
        <f>HYPERLINK("https://probpalata.gov.ru/files/ЮЛ520603376600044.jpeg","Скачать индивидуальный QR-код магазина")</f>
        <v>Скачать индивидуальный QR-код магазина</v>
      </c>
    </row>
    <row r="5218" spans="1:7" x14ac:dyDescent="0.25">
      <c r="A5218" t="s">
        <v>15627</v>
      </c>
      <c r="B5218" t="s">
        <v>16735</v>
      </c>
      <c r="C5218" t="s">
        <v>16736</v>
      </c>
      <c r="D5218" t="s">
        <v>16737</v>
      </c>
      <c r="E5218" t="s">
        <v>16738</v>
      </c>
      <c r="F5218" t="s">
        <v>16739</v>
      </c>
      <c r="G5218" s="2" t="str">
        <f>HYPERLINK("https://probpalata.gov.ru/files/ЮЛ630600259300007.jpeg","Скачать индивидуальный QR-код магазина")</f>
        <v>Скачать индивидуальный QR-код магазина</v>
      </c>
    </row>
    <row r="5219" spans="1:7" x14ac:dyDescent="0.25">
      <c r="A5219" t="s">
        <v>15627</v>
      </c>
      <c r="B5219" t="s">
        <v>16740</v>
      </c>
      <c r="C5219" t="s">
        <v>16741</v>
      </c>
      <c r="D5219" t="s">
        <v>16742</v>
      </c>
      <c r="E5219" t="s">
        <v>16743</v>
      </c>
      <c r="F5219" t="s">
        <v>16744</v>
      </c>
      <c r="G5219" s="2" t="str">
        <f>HYPERLINK("https://probpalata.gov.ru/files/ЮЛ630603749900001.jpeg","Скачать индивидуальный QR-код магазина")</f>
        <v>Скачать индивидуальный QR-код магазина</v>
      </c>
    </row>
    <row r="5220" spans="1:7" x14ac:dyDescent="0.25">
      <c r="A5220" t="s">
        <v>15627</v>
      </c>
      <c r="B5220" t="s">
        <v>16745</v>
      </c>
      <c r="C5220" t="s">
        <v>16741</v>
      </c>
      <c r="D5220" t="s">
        <v>16742</v>
      </c>
      <c r="E5220" t="s">
        <v>16743</v>
      </c>
      <c r="F5220" t="s">
        <v>16746</v>
      </c>
      <c r="G5220" s="2" t="str">
        <f>HYPERLINK("https://probpalata.gov.ru/files/ЮЛ630603749900002.jpeg","Скачать индивидуальный QR-код магазина")</f>
        <v>Скачать индивидуальный QR-код магазина</v>
      </c>
    </row>
    <row r="5221" spans="1:7" x14ac:dyDescent="0.25">
      <c r="A5221" t="s">
        <v>15627</v>
      </c>
      <c r="B5221" t="s">
        <v>16747</v>
      </c>
      <c r="C5221" t="s">
        <v>16741</v>
      </c>
      <c r="D5221" t="s">
        <v>16742</v>
      </c>
      <c r="E5221" t="s">
        <v>16743</v>
      </c>
      <c r="F5221" t="s">
        <v>16748</v>
      </c>
      <c r="G5221" s="2" t="str">
        <f>HYPERLINK("https://probpalata.gov.ru/files/ЮЛ630603749900003.jpeg","Скачать индивидуальный QR-код магазина")</f>
        <v>Скачать индивидуальный QR-код магазина</v>
      </c>
    </row>
    <row r="5222" spans="1:7" x14ac:dyDescent="0.25">
      <c r="A5222" t="s">
        <v>15627</v>
      </c>
      <c r="B5222" t="s">
        <v>16749</v>
      </c>
      <c r="C5222" t="s">
        <v>16750</v>
      </c>
      <c r="D5222" t="s">
        <v>16751</v>
      </c>
      <c r="E5222" t="s">
        <v>16752</v>
      </c>
      <c r="F5222" t="s">
        <v>16753</v>
      </c>
      <c r="G5222" s="2" t="str">
        <f>HYPERLINK("https://probpalata.gov.ru/files/ЮЛ660700429800005.jpeg","Скачать индивидуальный QR-код магазина")</f>
        <v>Скачать индивидуальный QR-код магазина</v>
      </c>
    </row>
    <row r="5223" spans="1:7" x14ac:dyDescent="0.25">
      <c r="A5223" t="s">
        <v>15627</v>
      </c>
      <c r="B5223" t="s">
        <v>16754</v>
      </c>
      <c r="C5223" t="s">
        <v>16755</v>
      </c>
      <c r="D5223" t="s">
        <v>16756</v>
      </c>
      <c r="E5223" t="s">
        <v>16757</v>
      </c>
      <c r="F5223" t="s">
        <v>16758</v>
      </c>
      <c r="G5223" s="2" t="str">
        <f>HYPERLINK("https://probpalata.gov.ru/files/ИП240800096700000.jpeg","Скачать индивидуальный QR-код магазина")</f>
        <v>Скачать индивидуальный QR-код магазина</v>
      </c>
    </row>
    <row r="5224" spans="1:7" x14ac:dyDescent="0.25">
      <c r="A5224" t="s">
        <v>15627</v>
      </c>
      <c r="B5224" t="s">
        <v>16759</v>
      </c>
      <c r="C5224" t="s">
        <v>16760</v>
      </c>
      <c r="D5224" t="s">
        <v>16761</v>
      </c>
      <c r="E5224" t="s">
        <v>16762</v>
      </c>
      <c r="F5224" t="s">
        <v>16763</v>
      </c>
      <c r="G5224" s="2" t="str">
        <f>HYPERLINK("https://probpalata.gov.ru/files/ИП700801161100003.jpeg","Скачать индивидуальный QR-код магазина")</f>
        <v>Скачать индивидуальный QR-код магазина</v>
      </c>
    </row>
    <row r="5225" spans="1:7" x14ac:dyDescent="0.25">
      <c r="A5225" t="s">
        <v>15627</v>
      </c>
      <c r="B5225" t="s">
        <v>16764</v>
      </c>
      <c r="C5225" t="s">
        <v>1740</v>
      </c>
      <c r="D5225" t="s">
        <v>1741</v>
      </c>
      <c r="E5225" t="s">
        <v>1742</v>
      </c>
      <c r="F5225" t="s">
        <v>16765</v>
      </c>
      <c r="G5225" s="2" t="str">
        <f>HYPERLINK("https://probpalata.gov.ru/files/ЮЛ760201190700070.jpeg","Скачать индивидуальный QR-код магазина")</f>
        <v>Скачать индивидуальный QR-код магазина</v>
      </c>
    </row>
    <row r="5226" spans="1:7" x14ac:dyDescent="0.25">
      <c r="A5226" t="s">
        <v>15627</v>
      </c>
      <c r="B5226" t="s">
        <v>16766</v>
      </c>
      <c r="C5226" t="s">
        <v>713</v>
      </c>
      <c r="D5226" t="s">
        <v>714</v>
      </c>
      <c r="E5226" t="s">
        <v>715</v>
      </c>
      <c r="F5226" t="s">
        <v>16767</v>
      </c>
      <c r="G5226" s="2" t="str">
        <f>HYPERLINK("https://probpalata.gov.ru/files/ЮЛ770101216600212.jpeg","Скачать индивидуальный QR-код магазина")</f>
        <v>Скачать индивидуальный QR-код магазина</v>
      </c>
    </row>
    <row r="5227" spans="1:7" x14ac:dyDescent="0.25">
      <c r="A5227" t="s">
        <v>15627</v>
      </c>
      <c r="B5227" t="s">
        <v>16768</v>
      </c>
      <c r="C5227" t="s">
        <v>713</v>
      </c>
      <c r="D5227" t="s">
        <v>714</v>
      </c>
      <c r="E5227" t="s">
        <v>715</v>
      </c>
      <c r="F5227" t="s">
        <v>16769</v>
      </c>
      <c r="G5227" s="2" t="str">
        <f>HYPERLINK("https://probpalata.gov.ru/files/ЮЛ770101216600245.jpeg","Скачать индивидуальный QR-код магазина")</f>
        <v>Скачать индивидуальный QR-код магазина</v>
      </c>
    </row>
    <row r="5228" spans="1:7" x14ac:dyDescent="0.25">
      <c r="A5228" t="s">
        <v>15627</v>
      </c>
      <c r="B5228" t="s">
        <v>16770</v>
      </c>
      <c r="C5228" t="s">
        <v>713</v>
      </c>
      <c r="D5228" t="s">
        <v>714</v>
      </c>
      <c r="E5228" t="s">
        <v>715</v>
      </c>
      <c r="F5228" t="s">
        <v>16771</v>
      </c>
      <c r="G5228" s="2" t="str">
        <f>HYPERLINK("https://probpalata.gov.ru/files/ЮЛ770101216600381.jpeg","Скачать индивидуальный QR-код магазина")</f>
        <v>Скачать индивидуальный QR-код магазина</v>
      </c>
    </row>
    <row r="5229" spans="1:7" x14ac:dyDescent="0.25">
      <c r="A5229" t="s">
        <v>15627</v>
      </c>
      <c r="B5229" t="s">
        <v>16772</v>
      </c>
      <c r="C5229" t="s">
        <v>713</v>
      </c>
      <c r="D5229" t="s">
        <v>714</v>
      </c>
      <c r="E5229" t="s">
        <v>715</v>
      </c>
      <c r="F5229" t="s">
        <v>16773</v>
      </c>
      <c r="G5229" s="2" t="str">
        <f>HYPERLINK("https://probpalata.gov.ru/files/ЮЛ770101216600385.jpeg","Скачать индивидуальный QR-код магазина")</f>
        <v>Скачать индивидуальный QR-код магазина</v>
      </c>
    </row>
    <row r="5230" spans="1:7" x14ac:dyDescent="0.25">
      <c r="A5230" t="s">
        <v>15627</v>
      </c>
      <c r="B5230" t="s">
        <v>16774</v>
      </c>
      <c r="C5230" t="s">
        <v>713</v>
      </c>
      <c r="D5230" t="s">
        <v>714</v>
      </c>
      <c r="E5230" t="s">
        <v>715</v>
      </c>
      <c r="F5230" t="s">
        <v>16775</v>
      </c>
      <c r="G5230" s="2" t="str">
        <f>HYPERLINK("https://probpalata.gov.ru/files/ЮЛ770101216600398.jpeg","Скачать индивидуальный QR-код магазина")</f>
        <v>Скачать индивидуальный QR-код магазина</v>
      </c>
    </row>
    <row r="5231" spans="1:7" x14ac:dyDescent="0.25">
      <c r="A5231" t="s">
        <v>15627</v>
      </c>
      <c r="B5231" t="s">
        <v>16776</v>
      </c>
      <c r="C5231" t="s">
        <v>713</v>
      </c>
      <c r="D5231" t="s">
        <v>714</v>
      </c>
      <c r="E5231" t="s">
        <v>715</v>
      </c>
      <c r="F5231" t="s">
        <v>16777</v>
      </c>
      <c r="G5231" s="2" t="str">
        <f>HYPERLINK("https://probpalata.gov.ru/files/ЮЛ770101216600474.jpeg","Скачать индивидуальный QR-код магазина")</f>
        <v>Скачать индивидуальный QR-код магазина</v>
      </c>
    </row>
    <row r="5232" spans="1:7" x14ac:dyDescent="0.25">
      <c r="A5232" t="s">
        <v>15627</v>
      </c>
      <c r="B5232" t="s">
        <v>16778</v>
      </c>
      <c r="C5232" t="s">
        <v>713</v>
      </c>
      <c r="D5232" t="s">
        <v>714</v>
      </c>
      <c r="E5232" t="s">
        <v>715</v>
      </c>
      <c r="F5232" t="s">
        <v>16779</v>
      </c>
      <c r="G5232" s="2" t="str">
        <f>HYPERLINK("https://probpalata.gov.ru/files/ЮЛ770101216600507.jpeg","Скачать индивидуальный QR-код магазина")</f>
        <v>Скачать индивидуальный QR-код магазина</v>
      </c>
    </row>
    <row r="5233" spans="1:7" x14ac:dyDescent="0.25">
      <c r="A5233" t="s">
        <v>15627</v>
      </c>
      <c r="B5233" t="s">
        <v>16780</v>
      </c>
      <c r="C5233" t="s">
        <v>713</v>
      </c>
      <c r="D5233" t="s">
        <v>714</v>
      </c>
      <c r="E5233" t="s">
        <v>715</v>
      </c>
      <c r="F5233" t="s">
        <v>16781</v>
      </c>
      <c r="G5233" s="2" t="str">
        <f>HYPERLINK("https://probpalata.gov.ru/files/ЮЛ770101216600531.jpeg","Скачать индивидуальный QR-код магазина")</f>
        <v>Скачать индивидуальный QR-код магазина</v>
      </c>
    </row>
    <row r="5234" spans="1:7" x14ac:dyDescent="0.25">
      <c r="A5234" t="s">
        <v>15627</v>
      </c>
      <c r="B5234" t="s">
        <v>16782</v>
      </c>
      <c r="C5234" t="s">
        <v>713</v>
      </c>
      <c r="D5234" t="s">
        <v>714</v>
      </c>
      <c r="E5234" t="s">
        <v>715</v>
      </c>
      <c r="F5234" t="s">
        <v>16783</v>
      </c>
      <c r="G5234" s="2" t="str">
        <f>HYPERLINK("https://probpalata.gov.ru/files/ЮЛ770101216600578.jpeg","Скачать индивидуальный QR-код магазина")</f>
        <v>Скачать индивидуальный QR-код магазина</v>
      </c>
    </row>
    <row r="5235" spans="1:7" x14ac:dyDescent="0.25">
      <c r="A5235" t="s">
        <v>15627</v>
      </c>
      <c r="B5235" t="s">
        <v>16784</v>
      </c>
      <c r="C5235" t="s">
        <v>713</v>
      </c>
      <c r="D5235" t="s">
        <v>714</v>
      </c>
      <c r="E5235" t="s">
        <v>715</v>
      </c>
      <c r="F5235" t="s">
        <v>16785</v>
      </c>
      <c r="G5235" s="2" t="str">
        <f>HYPERLINK("https://probpalata.gov.ru/files/ЮЛ770101216600603.jpeg","Скачать индивидуальный QR-код магазина")</f>
        <v>Скачать индивидуальный QR-код магазина</v>
      </c>
    </row>
    <row r="5236" spans="1:7" x14ac:dyDescent="0.25">
      <c r="A5236" t="s">
        <v>15627</v>
      </c>
      <c r="B5236" t="s">
        <v>16786</v>
      </c>
      <c r="C5236" t="s">
        <v>713</v>
      </c>
      <c r="D5236" t="s">
        <v>714</v>
      </c>
      <c r="E5236" t="s">
        <v>715</v>
      </c>
      <c r="F5236" t="s">
        <v>16787</v>
      </c>
      <c r="G5236" s="2" t="str">
        <f>HYPERLINK("https://probpalata.gov.ru/files/ЮЛ770101216600663.jpeg","Скачать индивидуальный QR-код магазина")</f>
        <v>Скачать индивидуальный QR-код магазина</v>
      </c>
    </row>
    <row r="5237" spans="1:7" x14ac:dyDescent="0.25">
      <c r="A5237" t="s">
        <v>15627</v>
      </c>
      <c r="B5237" t="s">
        <v>16788</v>
      </c>
      <c r="C5237" t="s">
        <v>713</v>
      </c>
      <c r="D5237" t="s">
        <v>714</v>
      </c>
      <c r="E5237" t="s">
        <v>715</v>
      </c>
      <c r="F5237" t="s">
        <v>16789</v>
      </c>
      <c r="G5237" s="2" t="str">
        <f>HYPERLINK("https://probpalata.gov.ru/files/ЮЛ770101216600707.jpeg","Скачать индивидуальный QR-код магазина")</f>
        <v>Скачать индивидуальный QR-код магазина</v>
      </c>
    </row>
    <row r="5238" spans="1:7" x14ac:dyDescent="0.25">
      <c r="A5238" t="s">
        <v>15627</v>
      </c>
      <c r="B5238" t="s">
        <v>16790</v>
      </c>
      <c r="C5238" t="s">
        <v>713</v>
      </c>
      <c r="D5238" t="s">
        <v>714</v>
      </c>
      <c r="E5238" t="s">
        <v>715</v>
      </c>
      <c r="F5238" t="s">
        <v>16791</v>
      </c>
      <c r="G5238" s="2" t="str">
        <f>HYPERLINK("https://probpalata.gov.ru/files/ЮЛ770101216600763.jpeg","Скачать индивидуальный QR-код магазина")</f>
        <v>Скачать индивидуальный QR-код магазина</v>
      </c>
    </row>
    <row r="5239" spans="1:7" x14ac:dyDescent="0.25">
      <c r="A5239" t="s">
        <v>15627</v>
      </c>
      <c r="B5239" t="s">
        <v>16792</v>
      </c>
      <c r="C5239" t="s">
        <v>713</v>
      </c>
      <c r="D5239" t="s">
        <v>714</v>
      </c>
      <c r="E5239" t="s">
        <v>715</v>
      </c>
      <c r="F5239" t="s">
        <v>16793</v>
      </c>
      <c r="G5239" s="2" t="str">
        <f>HYPERLINK("https://probpalata.gov.ru/files/ЮЛ770101216600820.jpeg","Скачать индивидуальный QR-код магазина")</f>
        <v>Скачать индивидуальный QR-код магазина</v>
      </c>
    </row>
    <row r="5240" spans="1:7" x14ac:dyDescent="0.25">
      <c r="A5240" t="s">
        <v>15627</v>
      </c>
      <c r="B5240" t="s">
        <v>16794</v>
      </c>
      <c r="C5240" t="s">
        <v>713</v>
      </c>
      <c r="D5240" t="s">
        <v>714</v>
      </c>
      <c r="E5240" t="s">
        <v>715</v>
      </c>
      <c r="F5240" t="s">
        <v>16795</v>
      </c>
      <c r="G5240" s="2" t="str">
        <f>HYPERLINK("https://probpalata.gov.ru/files/ЮЛ770101216600920.jpeg","Скачать индивидуальный QR-код магазина")</f>
        <v>Скачать индивидуальный QR-код магазина</v>
      </c>
    </row>
    <row r="5241" spans="1:7" x14ac:dyDescent="0.25">
      <c r="A5241" t="s">
        <v>15627</v>
      </c>
      <c r="B5241" t="s">
        <v>16796</v>
      </c>
      <c r="C5241" t="s">
        <v>713</v>
      </c>
      <c r="D5241" t="s">
        <v>714</v>
      </c>
      <c r="E5241" t="s">
        <v>715</v>
      </c>
      <c r="F5241" t="s">
        <v>16797</v>
      </c>
      <c r="G5241" s="2" t="str">
        <f>HYPERLINK("https://probpalata.gov.ru/files/ЮЛ770101216600935.jpeg","Скачать индивидуальный QR-код магазина")</f>
        <v>Скачать индивидуальный QR-код магазина</v>
      </c>
    </row>
    <row r="5242" spans="1:7" x14ac:dyDescent="0.25">
      <c r="A5242" t="s">
        <v>15627</v>
      </c>
      <c r="B5242" t="s">
        <v>16485</v>
      </c>
      <c r="C5242" t="s">
        <v>1416</v>
      </c>
      <c r="D5242" t="s">
        <v>1417</v>
      </c>
      <c r="E5242" t="s">
        <v>1418</v>
      </c>
      <c r="F5242" t="s">
        <v>16798</v>
      </c>
      <c r="G5242" s="2" t="str">
        <f>HYPERLINK("https://probpalata.gov.ru/files/ЮЛ770100419400207.jpeg","Скачать индивидуальный QR-код магазина")</f>
        <v>Скачать индивидуальный QR-код магазина</v>
      </c>
    </row>
    <row r="5243" spans="1:7" x14ac:dyDescent="0.25">
      <c r="A5243" t="s">
        <v>15627</v>
      </c>
      <c r="B5243" t="s">
        <v>16799</v>
      </c>
      <c r="C5243" t="s">
        <v>748</v>
      </c>
      <c r="D5243" t="s">
        <v>749</v>
      </c>
      <c r="E5243" t="s">
        <v>750</v>
      </c>
      <c r="F5243" t="s">
        <v>16800</v>
      </c>
      <c r="G5243" s="2" t="str">
        <f>HYPERLINK("https://probpalata.gov.ru/files/ЮЛ770100193500060.jpeg","Скачать индивидуальный QR-код магазина")</f>
        <v>Скачать индивидуальный QR-код магазина</v>
      </c>
    </row>
    <row r="5244" spans="1:7" x14ac:dyDescent="0.25">
      <c r="A5244" t="s">
        <v>15627</v>
      </c>
      <c r="B5244" t="s">
        <v>16801</v>
      </c>
      <c r="C5244" t="s">
        <v>748</v>
      </c>
      <c r="D5244" t="s">
        <v>749</v>
      </c>
      <c r="E5244" t="s">
        <v>750</v>
      </c>
      <c r="F5244" t="s">
        <v>16802</v>
      </c>
      <c r="G5244" s="2" t="str">
        <f>HYPERLINK("https://probpalata.gov.ru/files/ЮЛ770100193500061.jpeg","Скачать индивидуальный QR-код магазина")</f>
        <v>Скачать индивидуальный QR-код магазина</v>
      </c>
    </row>
    <row r="5245" spans="1:7" x14ac:dyDescent="0.25">
      <c r="A5245" t="s">
        <v>15627</v>
      </c>
      <c r="B5245" t="s">
        <v>16803</v>
      </c>
      <c r="C5245" t="s">
        <v>748</v>
      </c>
      <c r="D5245" t="s">
        <v>749</v>
      </c>
      <c r="E5245" t="s">
        <v>750</v>
      </c>
      <c r="F5245" t="s">
        <v>16804</v>
      </c>
      <c r="G5245" s="2" t="str">
        <f>HYPERLINK("https://probpalata.gov.ru/files/ЮЛ770100193500063.jpeg","Скачать индивидуальный QR-код магазина")</f>
        <v>Скачать индивидуальный QR-код магазина</v>
      </c>
    </row>
    <row r="5246" spans="1:7" x14ac:dyDescent="0.25">
      <c r="A5246" t="s">
        <v>15627</v>
      </c>
      <c r="B5246" t="s">
        <v>16805</v>
      </c>
      <c r="C5246" t="s">
        <v>748</v>
      </c>
      <c r="D5246" t="s">
        <v>749</v>
      </c>
      <c r="E5246" t="s">
        <v>750</v>
      </c>
      <c r="F5246" t="s">
        <v>16806</v>
      </c>
      <c r="G5246" s="2" t="str">
        <f>HYPERLINK("https://probpalata.gov.ru/files/ЮЛ770100193500331.jpeg","Скачать индивидуальный QR-код магазина")</f>
        <v>Скачать индивидуальный QR-код магазина</v>
      </c>
    </row>
    <row r="5247" spans="1:7" x14ac:dyDescent="0.25">
      <c r="A5247" t="s">
        <v>15627</v>
      </c>
      <c r="B5247" t="s">
        <v>16807</v>
      </c>
      <c r="C5247" t="s">
        <v>748</v>
      </c>
      <c r="D5247" t="s">
        <v>749</v>
      </c>
      <c r="E5247" t="s">
        <v>750</v>
      </c>
      <c r="F5247" t="s">
        <v>16808</v>
      </c>
      <c r="G5247" s="2" t="str">
        <f>HYPERLINK("https://probpalata.gov.ru/files/ЮЛ770100193500347.jpeg","Скачать индивидуальный QR-код магазина")</f>
        <v>Скачать индивидуальный QR-код магазина</v>
      </c>
    </row>
    <row r="5248" spans="1:7" x14ac:dyDescent="0.25">
      <c r="A5248" t="s">
        <v>15627</v>
      </c>
      <c r="B5248" t="s">
        <v>16809</v>
      </c>
      <c r="C5248" t="s">
        <v>748</v>
      </c>
      <c r="D5248" t="s">
        <v>749</v>
      </c>
      <c r="E5248" t="s">
        <v>750</v>
      </c>
      <c r="F5248" t="s">
        <v>16810</v>
      </c>
      <c r="G5248" s="2" t="str">
        <f>HYPERLINK("https://probpalata.gov.ru/files/ЮЛ770100193500608.jpeg","Скачать индивидуальный QR-код магазина")</f>
        <v>Скачать индивидуальный QR-код магазина</v>
      </c>
    </row>
    <row r="5249" spans="1:7" x14ac:dyDescent="0.25">
      <c r="A5249" t="s">
        <v>15627</v>
      </c>
      <c r="B5249" t="s">
        <v>16811</v>
      </c>
      <c r="C5249" t="s">
        <v>748</v>
      </c>
      <c r="D5249" t="s">
        <v>749</v>
      </c>
      <c r="E5249" t="s">
        <v>750</v>
      </c>
      <c r="F5249" t="s">
        <v>16812</v>
      </c>
      <c r="G5249" s="2" t="str">
        <f>HYPERLINK("https://probpalata.gov.ru/files/ЮЛ770100193500616.jpeg","Скачать индивидуальный QR-код магазина")</f>
        <v>Скачать индивидуальный QR-код магазина</v>
      </c>
    </row>
    <row r="5250" spans="1:7" x14ac:dyDescent="0.25">
      <c r="A5250" t="s">
        <v>15627</v>
      </c>
      <c r="B5250" t="s">
        <v>16813</v>
      </c>
      <c r="C5250" t="s">
        <v>748</v>
      </c>
      <c r="D5250" t="s">
        <v>749</v>
      </c>
      <c r="E5250" t="s">
        <v>750</v>
      </c>
      <c r="F5250" t="s">
        <v>16814</v>
      </c>
      <c r="G5250" s="2" t="str">
        <f>HYPERLINK("https://probpalata.gov.ru/files/ЮЛ770100193500695.jpeg","Скачать индивидуальный QR-код магазина")</f>
        <v>Скачать индивидуальный QR-код магазина</v>
      </c>
    </row>
    <row r="5251" spans="1:7" x14ac:dyDescent="0.25">
      <c r="A5251" t="s">
        <v>15627</v>
      </c>
      <c r="B5251" t="s">
        <v>16815</v>
      </c>
      <c r="C5251" t="s">
        <v>748</v>
      </c>
      <c r="D5251" t="s">
        <v>749</v>
      </c>
      <c r="E5251" t="s">
        <v>750</v>
      </c>
      <c r="F5251" t="s">
        <v>16816</v>
      </c>
      <c r="G5251" s="2" t="str">
        <f>HYPERLINK("https://probpalata.gov.ru/files/ЮЛ770100193500721.jpeg","Скачать индивидуальный QR-код магазина")</f>
        <v>Скачать индивидуальный QR-код магазина</v>
      </c>
    </row>
    <row r="5252" spans="1:7" x14ac:dyDescent="0.25">
      <c r="A5252" t="s">
        <v>15627</v>
      </c>
      <c r="B5252" t="s">
        <v>16817</v>
      </c>
      <c r="C5252" t="s">
        <v>748</v>
      </c>
      <c r="D5252" t="s">
        <v>749</v>
      </c>
      <c r="E5252" t="s">
        <v>750</v>
      </c>
      <c r="F5252" t="s">
        <v>16818</v>
      </c>
      <c r="G5252" s="2" t="str">
        <f>HYPERLINK("https://probpalata.gov.ru/files/ЮЛ770100193500832.jpeg","Скачать индивидуальный QR-код магазина")</f>
        <v>Скачать индивидуальный QR-код магазина</v>
      </c>
    </row>
    <row r="5253" spans="1:7" x14ac:dyDescent="0.25">
      <c r="A5253" t="s">
        <v>15627</v>
      </c>
      <c r="B5253" t="s">
        <v>16819</v>
      </c>
      <c r="C5253" t="s">
        <v>748</v>
      </c>
      <c r="D5253" t="s">
        <v>749</v>
      </c>
      <c r="E5253" t="s">
        <v>750</v>
      </c>
      <c r="F5253" t="s">
        <v>16820</v>
      </c>
      <c r="G5253" s="2" t="str">
        <f>HYPERLINK("https://probpalata.gov.ru/files/ЮЛ770100193500851.jpeg","Скачать индивидуальный QR-код магазина")</f>
        <v>Скачать индивидуальный QR-код магазина</v>
      </c>
    </row>
    <row r="5254" spans="1:7" x14ac:dyDescent="0.25">
      <c r="A5254" t="s">
        <v>15627</v>
      </c>
      <c r="B5254" t="s">
        <v>16821</v>
      </c>
      <c r="C5254" t="s">
        <v>748</v>
      </c>
      <c r="D5254" t="s">
        <v>749</v>
      </c>
      <c r="E5254" t="s">
        <v>750</v>
      </c>
      <c r="F5254" t="s">
        <v>16822</v>
      </c>
      <c r="G5254" s="2" t="str">
        <f>HYPERLINK("https://probpalata.gov.ru/files/ЮЛ770100193501024.jpeg","Скачать индивидуальный QR-код магазина")</f>
        <v>Скачать индивидуальный QR-код магазина</v>
      </c>
    </row>
    <row r="5255" spans="1:7" x14ac:dyDescent="0.25">
      <c r="A5255" t="s">
        <v>15627</v>
      </c>
      <c r="B5255" t="s">
        <v>16823</v>
      </c>
      <c r="C5255" t="s">
        <v>748</v>
      </c>
      <c r="D5255" t="s">
        <v>749</v>
      </c>
      <c r="E5255" t="s">
        <v>750</v>
      </c>
      <c r="F5255" t="s">
        <v>16824</v>
      </c>
      <c r="G5255" s="2" t="str">
        <f>HYPERLINK("https://probpalata.gov.ru/files/ЮЛ770100193501125.jpeg","Скачать индивидуальный QR-код магазина")</f>
        <v>Скачать индивидуальный QR-код магазина</v>
      </c>
    </row>
    <row r="5256" spans="1:7" x14ac:dyDescent="0.25">
      <c r="A5256" t="s">
        <v>15627</v>
      </c>
      <c r="B5256" t="s">
        <v>16825</v>
      </c>
      <c r="C5256" t="s">
        <v>748</v>
      </c>
      <c r="D5256" t="s">
        <v>749</v>
      </c>
      <c r="E5256" t="s">
        <v>750</v>
      </c>
      <c r="F5256" t="s">
        <v>16826</v>
      </c>
      <c r="G5256" s="2" t="str">
        <f>HYPERLINK("https://probpalata.gov.ru/files/ЮЛ770100193501139.jpeg","Скачать индивидуальный QR-код магазина")</f>
        <v>Скачать индивидуальный QR-код магазина</v>
      </c>
    </row>
    <row r="5257" spans="1:7" x14ac:dyDescent="0.25">
      <c r="A5257" t="s">
        <v>15627</v>
      </c>
      <c r="B5257" t="s">
        <v>16827</v>
      </c>
      <c r="C5257" t="s">
        <v>15265</v>
      </c>
      <c r="D5257" t="s">
        <v>15266</v>
      </c>
      <c r="E5257" t="s">
        <v>15267</v>
      </c>
      <c r="F5257" t="s">
        <v>16828</v>
      </c>
      <c r="G5257" s="2" t="str">
        <f>HYPERLINK("https://probpalata.gov.ru/files/ЮЛ160600373100011.jpeg","Скачать индивидуальный QR-код магазина")</f>
        <v>Скачать индивидуальный QR-код магазина</v>
      </c>
    </row>
    <row r="5258" spans="1:7" x14ac:dyDescent="0.25">
      <c r="A5258" t="s">
        <v>15627</v>
      </c>
      <c r="B5258" t="s">
        <v>16829</v>
      </c>
      <c r="C5258" t="s">
        <v>6290</v>
      </c>
      <c r="D5258" t="s">
        <v>16830</v>
      </c>
      <c r="E5258" t="s">
        <v>16831</v>
      </c>
      <c r="F5258" t="s">
        <v>16832</v>
      </c>
      <c r="G5258" s="2" t="str">
        <f>HYPERLINK("https://probpalata.gov.ru/files/ЮЛ770103181900007.jpeg","Скачать индивидуальный QR-код магазина")</f>
        <v>Скачать индивидуальный QR-код магазина</v>
      </c>
    </row>
    <row r="5259" spans="1:7" x14ac:dyDescent="0.25">
      <c r="A5259" t="s">
        <v>15627</v>
      </c>
      <c r="B5259" t="s">
        <v>16833</v>
      </c>
      <c r="C5259" t="s">
        <v>16834</v>
      </c>
      <c r="D5259" t="s">
        <v>16835</v>
      </c>
      <c r="E5259" t="s">
        <v>16836</v>
      </c>
      <c r="F5259" t="s">
        <v>16837</v>
      </c>
      <c r="G5259" s="2" t="str">
        <f>HYPERLINK("https://probpalata.gov.ru/files/ИП780300136300008.jpeg","Скачать индивидуальный QR-код магазина")</f>
        <v>Скачать индивидуальный QR-код магазина</v>
      </c>
    </row>
    <row r="5260" spans="1:7" x14ac:dyDescent="0.25">
      <c r="A5260" t="s">
        <v>15627</v>
      </c>
      <c r="B5260" t="s">
        <v>16838</v>
      </c>
      <c r="C5260" t="s">
        <v>773</v>
      </c>
      <c r="D5260" t="s">
        <v>774</v>
      </c>
      <c r="E5260" t="s">
        <v>775</v>
      </c>
      <c r="F5260" t="s">
        <v>16839</v>
      </c>
      <c r="G5260" s="2" t="str">
        <f>HYPERLINK("https://probpalata.gov.ru/files/ЮЛ780300131300328.jpeg","Скачать индивидуальный QR-код магазина")</f>
        <v>Скачать индивидуальный QR-код магазина</v>
      </c>
    </row>
    <row r="5261" spans="1:7" x14ac:dyDescent="0.25">
      <c r="A5261" t="s">
        <v>15627</v>
      </c>
      <c r="B5261" t="s">
        <v>16840</v>
      </c>
      <c r="C5261" t="s">
        <v>773</v>
      </c>
      <c r="D5261" t="s">
        <v>774</v>
      </c>
      <c r="E5261" t="s">
        <v>775</v>
      </c>
      <c r="F5261" t="s">
        <v>16841</v>
      </c>
      <c r="G5261" s="2" t="str">
        <f>HYPERLINK("https://probpalata.gov.ru/files/ЮЛ780300131300348.jpeg","Скачать индивидуальный QR-код магазина")</f>
        <v>Скачать индивидуальный QR-код магазина</v>
      </c>
    </row>
    <row r="5262" spans="1:7" x14ac:dyDescent="0.25">
      <c r="A5262" t="s">
        <v>15627</v>
      </c>
      <c r="B5262" t="s">
        <v>16125</v>
      </c>
      <c r="C5262" t="s">
        <v>773</v>
      </c>
      <c r="D5262" t="s">
        <v>774</v>
      </c>
      <c r="E5262" t="s">
        <v>775</v>
      </c>
      <c r="F5262" t="s">
        <v>16842</v>
      </c>
      <c r="G5262" s="2" t="str">
        <f>HYPERLINK("https://probpalata.gov.ru/files/ЮЛ780300131300350.jpeg","Скачать индивидуальный QR-код магазина")</f>
        <v>Скачать индивидуальный QR-код магазина</v>
      </c>
    </row>
    <row r="5263" spans="1:7" x14ac:dyDescent="0.25">
      <c r="A5263" t="s">
        <v>15627</v>
      </c>
      <c r="B5263" t="s">
        <v>16843</v>
      </c>
      <c r="C5263" t="s">
        <v>773</v>
      </c>
      <c r="D5263" t="s">
        <v>774</v>
      </c>
      <c r="E5263" t="s">
        <v>775</v>
      </c>
      <c r="F5263" t="s">
        <v>16844</v>
      </c>
      <c r="G5263" s="2" t="str">
        <f>HYPERLINK("https://probpalata.gov.ru/files/ЮЛ780300131300353.jpeg","Скачать индивидуальный QR-код магазина")</f>
        <v>Скачать индивидуальный QR-код магазина</v>
      </c>
    </row>
    <row r="5264" spans="1:7" x14ac:dyDescent="0.25">
      <c r="A5264" t="s">
        <v>15627</v>
      </c>
      <c r="B5264" t="s">
        <v>16845</v>
      </c>
      <c r="C5264" t="s">
        <v>773</v>
      </c>
      <c r="D5264" t="s">
        <v>774</v>
      </c>
      <c r="E5264" t="s">
        <v>775</v>
      </c>
      <c r="F5264" t="s">
        <v>16846</v>
      </c>
      <c r="G5264" s="2" t="str">
        <f>HYPERLINK("https://probpalata.gov.ru/files/ЮЛ780300131300354.jpeg","Скачать индивидуальный QR-код магазина")</f>
        <v>Скачать индивидуальный QR-код магазина</v>
      </c>
    </row>
    <row r="5265" spans="1:7" x14ac:dyDescent="0.25">
      <c r="A5265" t="s">
        <v>15627</v>
      </c>
      <c r="B5265" t="s">
        <v>16847</v>
      </c>
      <c r="C5265" t="s">
        <v>773</v>
      </c>
      <c r="D5265" t="s">
        <v>774</v>
      </c>
      <c r="E5265" t="s">
        <v>775</v>
      </c>
      <c r="F5265" t="s">
        <v>16848</v>
      </c>
      <c r="G5265" s="2" t="str">
        <f>HYPERLINK("https://probpalata.gov.ru/files/ЮЛ780300131300355.jpeg","Скачать индивидуальный QR-код магазина")</f>
        <v>Скачать индивидуальный QR-код магазина</v>
      </c>
    </row>
    <row r="5266" spans="1:7" x14ac:dyDescent="0.25">
      <c r="A5266" t="s">
        <v>15627</v>
      </c>
      <c r="B5266" t="s">
        <v>16849</v>
      </c>
      <c r="C5266" t="s">
        <v>773</v>
      </c>
      <c r="D5266" t="s">
        <v>774</v>
      </c>
      <c r="E5266" t="s">
        <v>775</v>
      </c>
      <c r="F5266" t="s">
        <v>16850</v>
      </c>
      <c r="G5266" s="2" t="str">
        <f>HYPERLINK("https://probpalata.gov.ru/files/ЮЛ780300131300356.jpeg","Скачать индивидуальный QR-код магазина")</f>
        <v>Скачать индивидуальный QR-код магазина</v>
      </c>
    </row>
    <row r="5267" spans="1:7" x14ac:dyDescent="0.25">
      <c r="A5267" t="s">
        <v>15627</v>
      </c>
      <c r="B5267" t="s">
        <v>16851</v>
      </c>
      <c r="C5267" t="s">
        <v>773</v>
      </c>
      <c r="D5267" t="s">
        <v>774</v>
      </c>
      <c r="E5267" t="s">
        <v>775</v>
      </c>
      <c r="F5267" t="s">
        <v>16852</v>
      </c>
      <c r="G5267" s="2" t="str">
        <f>HYPERLINK("https://probpalata.gov.ru/files/ЮЛ780300131300357.jpeg","Скачать индивидуальный QR-код магазина")</f>
        <v>Скачать индивидуальный QR-код магазина</v>
      </c>
    </row>
    <row r="5268" spans="1:7" x14ac:dyDescent="0.25">
      <c r="A5268" t="s">
        <v>15627</v>
      </c>
      <c r="B5268" t="s">
        <v>16853</v>
      </c>
      <c r="C5268" t="s">
        <v>773</v>
      </c>
      <c r="D5268" t="s">
        <v>774</v>
      </c>
      <c r="E5268" t="s">
        <v>775</v>
      </c>
      <c r="F5268" t="s">
        <v>16854</v>
      </c>
      <c r="G5268" s="2" t="str">
        <f>HYPERLINK("https://probpalata.gov.ru/files/ЮЛ780300131300624.jpeg","Скачать индивидуальный QR-код магазина")</f>
        <v>Скачать индивидуальный QR-код магазина</v>
      </c>
    </row>
    <row r="5269" spans="1:7" x14ac:dyDescent="0.25">
      <c r="A5269" t="s">
        <v>15627</v>
      </c>
      <c r="B5269" t="s">
        <v>16855</v>
      </c>
      <c r="C5269" t="s">
        <v>773</v>
      </c>
      <c r="D5269" t="s">
        <v>774</v>
      </c>
      <c r="E5269" t="s">
        <v>775</v>
      </c>
      <c r="F5269" t="s">
        <v>16856</v>
      </c>
      <c r="G5269" s="2" t="str">
        <f>HYPERLINK("https://probpalata.gov.ru/files/ЮЛ780300131300660.jpeg","Скачать индивидуальный QR-код магазина")</f>
        <v>Скачать индивидуальный QR-код магазина</v>
      </c>
    </row>
    <row r="5270" spans="1:7" x14ac:dyDescent="0.25">
      <c r="A5270" t="s">
        <v>15627</v>
      </c>
      <c r="B5270" t="s">
        <v>16857</v>
      </c>
      <c r="C5270" t="s">
        <v>4077</v>
      </c>
      <c r="D5270" t="s">
        <v>4078</v>
      </c>
      <c r="E5270" t="s">
        <v>4079</v>
      </c>
      <c r="F5270" t="s">
        <v>16858</v>
      </c>
      <c r="G5270" s="2" t="str">
        <f>HYPERLINK("https://probpalata.gov.ru/files/ЮЛ780300331800028.jpeg","Скачать индивидуальный QR-код магазина")</f>
        <v>Скачать индивидуальный QR-код магазина</v>
      </c>
    </row>
    <row r="5271" spans="1:7" x14ac:dyDescent="0.25">
      <c r="A5271" t="s">
        <v>15627</v>
      </c>
      <c r="B5271" t="s">
        <v>16855</v>
      </c>
      <c r="C5271" t="s">
        <v>4077</v>
      </c>
      <c r="D5271" t="s">
        <v>4078</v>
      </c>
      <c r="E5271" t="s">
        <v>4079</v>
      </c>
      <c r="F5271" t="s">
        <v>16859</v>
      </c>
      <c r="G5271" s="2" t="str">
        <f>HYPERLINK("https://probpalata.gov.ru/files/ЮЛ780300331800059.jpeg","Скачать индивидуальный QR-код магазина")</f>
        <v>Скачать индивидуальный QR-код магазина</v>
      </c>
    </row>
    <row r="5272" spans="1:7" x14ac:dyDescent="0.25">
      <c r="A5272" t="s">
        <v>15627</v>
      </c>
      <c r="B5272" t="s">
        <v>16860</v>
      </c>
      <c r="C5272" t="s">
        <v>798</v>
      </c>
      <c r="D5272" t="s">
        <v>799</v>
      </c>
      <c r="E5272" t="s">
        <v>800</v>
      </c>
      <c r="F5272" t="s">
        <v>16861</v>
      </c>
      <c r="G5272" s="2" t="str">
        <f>HYPERLINK("https://probpalata.gov.ru/files/ЮЛ780300308200059.jpeg","Скачать индивидуальный QR-код магазина")</f>
        <v>Скачать индивидуальный QR-код магазина</v>
      </c>
    </row>
    <row r="5273" spans="1:7" x14ac:dyDescent="0.25">
      <c r="A5273" t="s">
        <v>15627</v>
      </c>
      <c r="B5273" t="s">
        <v>16862</v>
      </c>
      <c r="C5273" t="s">
        <v>798</v>
      </c>
      <c r="D5273" t="s">
        <v>799</v>
      </c>
      <c r="E5273" t="s">
        <v>800</v>
      </c>
      <c r="F5273" t="s">
        <v>16863</v>
      </c>
      <c r="G5273" s="2" t="str">
        <f>HYPERLINK("https://probpalata.gov.ru/files/ЮЛ780300308200063.jpeg","Скачать индивидуальный QR-код магазина")</f>
        <v>Скачать индивидуальный QR-код магазина</v>
      </c>
    </row>
    <row r="5274" spans="1:7" x14ac:dyDescent="0.25">
      <c r="A5274" t="s">
        <v>15627</v>
      </c>
      <c r="B5274" t="s">
        <v>16864</v>
      </c>
      <c r="C5274" t="s">
        <v>798</v>
      </c>
      <c r="D5274" t="s">
        <v>799</v>
      </c>
      <c r="E5274" t="s">
        <v>800</v>
      </c>
      <c r="F5274" t="s">
        <v>16865</v>
      </c>
      <c r="G5274" s="2" t="str">
        <f>HYPERLINK("https://probpalata.gov.ru/files/ЮЛ780300308200064.jpeg","Скачать индивидуальный QR-код магазина")</f>
        <v>Скачать индивидуальный QR-код магазина</v>
      </c>
    </row>
    <row r="5275" spans="1:7" x14ac:dyDescent="0.25">
      <c r="A5275" t="s">
        <v>15627</v>
      </c>
      <c r="B5275" t="s">
        <v>16529</v>
      </c>
      <c r="C5275" t="s">
        <v>798</v>
      </c>
      <c r="D5275" t="s">
        <v>799</v>
      </c>
      <c r="E5275" t="s">
        <v>800</v>
      </c>
      <c r="F5275" t="s">
        <v>16866</v>
      </c>
      <c r="G5275" s="2" t="str">
        <f>HYPERLINK("https://probpalata.gov.ru/files/ЮЛ780300308200065.jpeg","Скачать индивидуальный QR-код магазина")</f>
        <v>Скачать индивидуальный QR-код магазина</v>
      </c>
    </row>
    <row r="5276" spans="1:7" x14ac:dyDescent="0.25">
      <c r="A5276" t="s">
        <v>15627</v>
      </c>
      <c r="B5276" t="s">
        <v>16867</v>
      </c>
      <c r="C5276" t="s">
        <v>798</v>
      </c>
      <c r="D5276" t="s">
        <v>799</v>
      </c>
      <c r="E5276" t="s">
        <v>800</v>
      </c>
      <c r="F5276" t="s">
        <v>16868</v>
      </c>
      <c r="G5276" s="2" t="str">
        <f>HYPERLINK("https://probpalata.gov.ru/files/ЮЛ780300308200066.jpeg","Скачать индивидуальный QR-код магазина")</f>
        <v>Скачать индивидуальный QR-код магазина</v>
      </c>
    </row>
    <row r="5277" spans="1:7" x14ac:dyDescent="0.25">
      <c r="A5277" t="s">
        <v>15627</v>
      </c>
      <c r="B5277" t="s">
        <v>16038</v>
      </c>
      <c r="C5277" t="s">
        <v>798</v>
      </c>
      <c r="D5277" t="s">
        <v>799</v>
      </c>
      <c r="E5277" t="s">
        <v>800</v>
      </c>
      <c r="F5277" t="s">
        <v>16869</v>
      </c>
      <c r="G5277" s="2" t="str">
        <f>HYPERLINK("https://probpalata.gov.ru/files/ЮЛ780300308200068.jpeg","Скачать индивидуальный QR-код магазина")</f>
        <v>Скачать индивидуальный QR-код магазина</v>
      </c>
    </row>
    <row r="5278" spans="1:7" x14ac:dyDescent="0.25">
      <c r="A5278" t="s">
        <v>15627</v>
      </c>
      <c r="B5278" t="s">
        <v>16855</v>
      </c>
      <c r="C5278" t="s">
        <v>798</v>
      </c>
      <c r="D5278" t="s">
        <v>799</v>
      </c>
      <c r="E5278" t="s">
        <v>800</v>
      </c>
      <c r="F5278" t="s">
        <v>16870</v>
      </c>
      <c r="G5278" s="2" t="str">
        <f>HYPERLINK("https://probpalata.gov.ru/files/ЮЛ780300308200075.jpeg","Скачать индивидуальный QR-код магазина")</f>
        <v>Скачать индивидуальный QR-код магазина</v>
      </c>
    </row>
    <row r="5279" spans="1:7" x14ac:dyDescent="0.25">
      <c r="A5279" t="s">
        <v>15627</v>
      </c>
      <c r="B5279" t="s">
        <v>16871</v>
      </c>
      <c r="C5279" t="s">
        <v>798</v>
      </c>
      <c r="D5279" t="s">
        <v>799</v>
      </c>
      <c r="E5279" t="s">
        <v>800</v>
      </c>
      <c r="F5279" t="s">
        <v>16872</v>
      </c>
      <c r="G5279" s="2" t="str">
        <f>HYPERLINK("https://probpalata.gov.ru/files/ЮЛ780300308200231.jpeg","Скачать индивидуальный QR-код магазина")</f>
        <v>Скачать индивидуальный QR-код магазина</v>
      </c>
    </row>
    <row r="5280" spans="1:7" x14ac:dyDescent="0.25">
      <c r="A5280" t="s">
        <v>15627</v>
      </c>
      <c r="B5280" t="s">
        <v>16873</v>
      </c>
      <c r="C5280" t="s">
        <v>798</v>
      </c>
      <c r="D5280" t="s">
        <v>799</v>
      </c>
      <c r="E5280" t="s">
        <v>800</v>
      </c>
      <c r="F5280" t="s">
        <v>16874</v>
      </c>
      <c r="G5280" s="2" t="str">
        <f>HYPERLINK("https://probpalata.gov.ru/files/ЮЛ780300308200306.jpeg","Скачать индивидуальный QR-код магазина")</f>
        <v>Скачать индивидуальный QR-код магазина</v>
      </c>
    </row>
    <row r="5281" spans="1:7" x14ac:dyDescent="0.25">
      <c r="A5281" t="s">
        <v>15627</v>
      </c>
      <c r="B5281" t="s">
        <v>16875</v>
      </c>
      <c r="C5281" t="s">
        <v>798</v>
      </c>
      <c r="D5281" t="s">
        <v>799</v>
      </c>
      <c r="E5281" t="s">
        <v>800</v>
      </c>
      <c r="F5281" t="s">
        <v>16876</v>
      </c>
      <c r="G5281" s="2" t="str">
        <f>HYPERLINK("https://probpalata.gov.ru/files/ЮЛ780300308200333.jpeg","Скачать индивидуальный QR-код магазина")</f>
        <v>Скачать индивидуальный QR-код магазина</v>
      </c>
    </row>
    <row r="5282" spans="1:7" x14ac:dyDescent="0.25">
      <c r="A5282" t="s">
        <v>15627</v>
      </c>
      <c r="B5282" t="s">
        <v>16877</v>
      </c>
      <c r="C5282" t="s">
        <v>798</v>
      </c>
      <c r="D5282" t="s">
        <v>799</v>
      </c>
      <c r="E5282" t="s">
        <v>800</v>
      </c>
      <c r="F5282" t="s">
        <v>16878</v>
      </c>
      <c r="G5282" s="2" t="str">
        <f>HYPERLINK("https://probpalata.gov.ru/files/ЮЛ780300308200343.jpeg","Скачать индивидуальный QR-код магазина")</f>
        <v>Скачать индивидуальный QR-код магазина</v>
      </c>
    </row>
    <row r="5283" spans="1:7" x14ac:dyDescent="0.25">
      <c r="A5283" t="s">
        <v>15627</v>
      </c>
      <c r="B5283" t="s">
        <v>16879</v>
      </c>
      <c r="C5283" t="s">
        <v>798</v>
      </c>
      <c r="D5283" t="s">
        <v>799</v>
      </c>
      <c r="E5283" t="s">
        <v>800</v>
      </c>
      <c r="F5283" t="s">
        <v>16880</v>
      </c>
      <c r="G5283" s="2" t="str">
        <f>HYPERLINK("https://probpalata.gov.ru/files/ЮЛ780300308200344.jpeg","Скачать индивидуальный QR-код магазина")</f>
        <v>Скачать индивидуальный QR-код магазина</v>
      </c>
    </row>
    <row r="5284" spans="1:7" x14ac:dyDescent="0.25">
      <c r="A5284" t="s">
        <v>15627</v>
      </c>
      <c r="B5284" t="s">
        <v>16881</v>
      </c>
      <c r="C5284" t="s">
        <v>798</v>
      </c>
      <c r="D5284" t="s">
        <v>799</v>
      </c>
      <c r="E5284" t="s">
        <v>800</v>
      </c>
      <c r="F5284" t="s">
        <v>16882</v>
      </c>
      <c r="G5284" s="2" t="str">
        <f>HYPERLINK("https://probpalata.gov.ru/files/ЮЛ780300308200604.jpeg","Скачать индивидуальный QR-код магазина")</f>
        <v>Скачать индивидуальный QR-код магазина</v>
      </c>
    </row>
    <row r="5285" spans="1:7" x14ac:dyDescent="0.25">
      <c r="A5285" t="s">
        <v>15627</v>
      </c>
      <c r="B5285" t="s">
        <v>16883</v>
      </c>
      <c r="C5285" t="s">
        <v>798</v>
      </c>
      <c r="D5285" t="s">
        <v>799</v>
      </c>
      <c r="E5285" t="s">
        <v>800</v>
      </c>
      <c r="F5285" t="s">
        <v>16884</v>
      </c>
      <c r="G5285" s="2" t="str">
        <f>HYPERLINK("https://probpalata.gov.ru/files/ЮЛ780300308200640.jpeg","Скачать индивидуальный QR-код магазина")</f>
        <v>Скачать индивидуальный QR-код магазина</v>
      </c>
    </row>
    <row r="5286" spans="1:7" x14ac:dyDescent="0.25">
      <c r="A5286" t="s">
        <v>15627</v>
      </c>
      <c r="B5286" t="s">
        <v>16885</v>
      </c>
      <c r="C5286" t="s">
        <v>798</v>
      </c>
      <c r="D5286" t="s">
        <v>799</v>
      </c>
      <c r="E5286" t="s">
        <v>800</v>
      </c>
      <c r="F5286" t="s">
        <v>16886</v>
      </c>
      <c r="G5286" s="2" t="str">
        <f>HYPERLINK("https://probpalata.gov.ru/files/ЮЛ780300308200914.jpeg","Скачать индивидуальный QR-код магазина")</f>
        <v>Скачать индивидуальный QR-код магазина</v>
      </c>
    </row>
    <row r="5287" spans="1:7" x14ac:dyDescent="0.25">
      <c r="A5287" t="s">
        <v>15627</v>
      </c>
      <c r="B5287" t="s">
        <v>16817</v>
      </c>
      <c r="C5287" t="s">
        <v>798</v>
      </c>
      <c r="D5287" t="s">
        <v>799</v>
      </c>
      <c r="E5287" t="s">
        <v>800</v>
      </c>
      <c r="F5287" t="s">
        <v>16887</v>
      </c>
      <c r="G5287" s="2" t="str">
        <f>HYPERLINK("https://probpalata.gov.ru/files/ЮЛ780300308200927.jpeg","Скачать индивидуальный QR-код магазина")</f>
        <v>Скачать индивидуальный QR-код магазина</v>
      </c>
    </row>
    <row r="5288" spans="1:7" x14ac:dyDescent="0.25">
      <c r="A5288" t="s">
        <v>15627</v>
      </c>
      <c r="B5288" t="s">
        <v>16888</v>
      </c>
      <c r="C5288" t="s">
        <v>798</v>
      </c>
      <c r="D5288" t="s">
        <v>799</v>
      </c>
      <c r="E5288" t="s">
        <v>800</v>
      </c>
      <c r="F5288" t="s">
        <v>16889</v>
      </c>
      <c r="G5288" s="2" t="str">
        <f>HYPERLINK("https://probpalata.gov.ru/files/ЮЛ780300308200931.jpeg","Скачать индивидуальный QR-код магазина")</f>
        <v>Скачать индивидуальный QR-код магазина</v>
      </c>
    </row>
    <row r="5289" spans="1:7" x14ac:dyDescent="0.25">
      <c r="A5289" t="s">
        <v>15627</v>
      </c>
      <c r="B5289" t="s">
        <v>16890</v>
      </c>
      <c r="C5289" t="s">
        <v>798</v>
      </c>
      <c r="D5289" t="s">
        <v>799</v>
      </c>
      <c r="E5289" t="s">
        <v>800</v>
      </c>
      <c r="F5289" t="s">
        <v>16891</v>
      </c>
      <c r="G5289" s="2" t="str">
        <f>HYPERLINK("https://probpalata.gov.ru/files/ЮЛ780300308200937.jpeg","Скачать индивидуальный QR-код магазина")</f>
        <v>Скачать индивидуальный QR-код магазина</v>
      </c>
    </row>
    <row r="5290" spans="1:7" x14ac:dyDescent="0.25">
      <c r="A5290" t="s">
        <v>15627</v>
      </c>
      <c r="B5290" t="s">
        <v>16892</v>
      </c>
      <c r="C5290" t="s">
        <v>798</v>
      </c>
      <c r="D5290" t="s">
        <v>799</v>
      </c>
      <c r="E5290" t="s">
        <v>800</v>
      </c>
      <c r="F5290" t="s">
        <v>16893</v>
      </c>
      <c r="G5290" s="2" t="str">
        <f>HYPERLINK("https://probpalata.gov.ru/files/ЮЛ780300308200938.jpeg","Скачать индивидуальный QR-код магазина")</f>
        <v>Скачать индивидуальный QR-код магазина</v>
      </c>
    </row>
    <row r="5291" spans="1:7" x14ac:dyDescent="0.25">
      <c r="A5291" t="s">
        <v>15627</v>
      </c>
      <c r="B5291" t="s">
        <v>16894</v>
      </c>
      <c r="C5291" t="s">
        <v>798</v>
      </c>
      <c r="D5291" t="s">
        <v>799</v>
      </c>
      <c r="E5291" t="s">
        <v>800</v>
      </c>
      <c r="F5291" t="s">
        <v>16895</v>
      </c>
      <c r="G5291" s="2" t="str">
        <f>HYPERLINK("https://probpalata.gov.ru/files/ЮЛ780300308200941.jpeg","Скачать индивидуальный QR-код магазина")</f>
        <v>Скачать индивидуальный QR-код магазина</v>
      </c>
    </row>
    <row r="5292" spans="1:7" x14ac:dyDescent="0.25">
      <c r="A5292" t="s">
        <v>15627</v>
      </c>
      <c r="B5292" t="s">
        <v>16320</v>
      </c>
      <c r="C5292" t="s">
        <v>798</v>
      </c>
      <c r="D5292" t="s">
        <v>799</v>
      </c>
      <c r="E5292" t="s">
        <v>800</v>
      </c>
      <c r="F5292" t="s">
        <v>16896</v>
      </c>
      <c r="G5292" s="2" t="str">
        <f>HYPERLINK("https://probpalata.gov.ru/files/ЮЛ780300308200948.jpeg","Скачать индивидуальный QR-код магазина")</f>
        <v>Скачать индивидуальный QR-код магазина</v>
      </c>
    </row>
    <row r="5293" spans="1:7" x14ac:dyDescent="0.25">
      <c r="A5293" t="s">
        <v>15627</v>
      </c>
      <c r="B5293" t="s">
        <v>16897</v>
      </c>
      <c r="C5293" t="s">
        <v>798</v>
      </c>
      <c r="D5293" t="s">
        <v>799</v>
      </c>
      <c r="E5293" t="s">
        <v>800</v>
      </c>
      <c r="F5293" t="s">
        <v>16898</v>
      </c>
      <c r="G5293" s="2" t="str">
        <f>HYPERLINK("https://probpalata.gov.ru/files/ЮЛ780300308200959.jpeg","Скачать индивидуальный QR-код магазина")</f>
        <v>Скачать индивидуальный QR-код магазина</v>
      </c>
    </row>
    <row r="5294" spans="1:7" x14ac:dyDescent="0.25">
      <c r="A5294" t="s">
        <v>15627</v>
      </c>
      <c r="B5294" t="s">
        <v>16899</v>
      </c>
      <c r="C5294" t="s">
        <v>798</v>
      </c>
      <c r="D5294" t="s">
        <v>799</v>
      </c>
      <c r="E5294" t="s">
        <v>800</v>
      </c>
      <c r="F5294" t="s">
        <v>16900</v>
      </c>
      <c r="G5294" s="2" t="str">
        <f>HYPERLINK("https://probpalata.gov.ru/files/ЮЛ780300308200970.jpeg","Скачать индивидуальный QR-код магазина")</f>
        <v>Скачать индивидуальный QR-код магазина</v>
      </c>
    </row>
    <row r="5295" spans="1:7" x14ac:dyDescent="0.25">
      <c r="A5295" t="s">
        <v>15627</v>
      </c>
      <c r="B5295" t="s">
        <v>16901</v>
      </c>
      <c r="C5295" t="s">
        <v>798</v>
      </c>
      <c r="D5295" t="s">
        <v>799</v>
      </c>
      <c r="E5295" t="s">
        <v>800</v>
      </c>
      <c r="F5295" t="s">
        <v>16902</v>
      </c>
      <c r="G5295" s="2" t="str">
        <f>HYPERLINK("https://probpalata.gov.ru/files/ЮЛ780300308200978.jpeg","Скачать индивидуальный QR-код магазина")</f>
        <v>Скачать индивидуальный QR-код магазина</v>
      </c>
    </row>
    <row r="5296" spans="1:7" x14ac:dyDescent="0.25">
      <c r="A5296" t="s">
        <v>15627</v>
      </c>
      <c r="B5296" t="s">
        <v>16903</v>
      </c>
      <c r="C5296" t="s">
        <v>798</v>
      </c>
      <c r="D5296" t="s">
        <v>799</v>
      </c>
      <c r="E5296" t="s">
        <v>800</v>
      </c>
      <c r="F5296" t="s">
        <v>16904</v>
      </c>
      <c r="G5296" s="2" t="str">
        <f>HYPERLINK("https://probpalata.gov.ru/files/ЮЛ780300308201032.jpeg","Скачать индивидуальный QR-код магазина")</f>
        <v>Скачать индивидуальный QR-код магазина</v>
      </c>
    </row>
    <row r="5297" spans="1:7" x14ac:dyDescent="0.25">
      <c r="A5297" t="s">
        <v>15627</v>
      </c>
      <c r="B5297" t="s">
        <v>16905</v>
      </c>
      <c r="C5297" t="s">
        <v>798</v>
      </c>
      <c r="D5297" t="s">
        <v>799</v>
      </c>
      <c r="E5297" t="s">
        <v>800</v>
      </c>
      <c r="F5297" t="s">
        <v>16906</v>
      </c>
      <c r="G5297" s="2" t="str">
        <f>HYPERLINK("https://probpalata.gov.ru/files/ЮЛ780300308201038.jpeg","Скачать индивидуальный QR-код магазина")</f>
        <v>Скачать индивидуальный QR-код магазина</v>
      </c>
    </row>
    <row r="5298" spans="1:7" x14ac:dyDescent="0.25">
      <c r="A5298" t="s">
        <v>15627</v>
      </c>
      <c r="B5298" t="s">
        <v>16907</v>
      </c>
      <c r="C5298" t="s">
        <v>798</v>
      </c>
      <c r="D5298" t="s">
        <v>799</v>
      </c>
      <c r="E5298" t="s">
        <v>800</v>
      </c>
      <c r="F5298" t="s">
        <v>16908</v>
      </c>
      <c r="G5298" s="2" t="str">
        <f>HYPERLINK("https://probpalata.gov.ru/files/ЮЛ780300308201043.jpeg","Скачать индивидуальный QR-код магазина")</f>
        <v>Скачать индивидуальный QR-код магазина</v>
      </c>
    </row>
    <row r="5299" spans="1:7" x14ac:dyDescent="0.25">
      <c r="A5299" t="s">
        <v>15627</v>
      </c>
      <c r="B5299" t="s">
        <v>16909</v>
      </c>
      <c r="C5299" t="s">
        <v>798</v>
      </c>
      <c r="D5299" t="s">
        <v>799</v>
      </c>
      <c r="E5299" t="s">
        <v>800</v>
      </c>
      <c r="F5299" t="s">
        <v>16910</v>
      </c>
      <c r="G5299" s="2" t="str">
        <f>HYPERLINK("https://probpalata.gov.ru/files/ЮЛ780300308201063.jpeg","Скачать индивидуальный QR-код магазина")</f>
        <v>Скачать индивидуальный QR-код магазина</v>
      </c>
    </row>
    <row r="5300" spans="1:7" x14ac:dyDescent="0.25">
      <c r="A5300" t="s">
        <v>15627</v>
      </c>
      <c r="B5300" t="s">
        <v>16911</v>
      </c>
      <c r="C5300" t="s">
        <v>798</v>
      </c>
      <c r="D5300" t="s">
        <v>799</v>
      </c>
      <c r="E5300" t="s">
        <v>800</v>
      </c>
      <c r="F5300" t="s">
        <v>16912</v>
      </c>
      <c r="G5300" s="2" t="str">
        <f>HYPERLINK("https://probpalata.gov.ru/files/ЮЛ780300308201113.jpeg","Скачать индивидуальный QR-код магазина")</f>
        <v>Скачать индивидуальный QR-код магазина</v>
      </c>
    </row>
    <row r="5301" spans="1:7" x14ac:dyDescent="0.25">
      <c r="A5301" t="s">
        <v>15627</v>
      </c>
      <c r="B5301" t="s">
        <v>16913</v>
      </c>
      <c r="C5301" t="s">
        <v>798</v>
      </c>
      <c r="D5301" t="s">
        <v>799</v>
      </c>
      <c r="E5301" t="s">
        <v>800</v>
      </c>
      <c r="F5301" t="s">
        <v>16914</v>
      </c>
      <c r="G5301" s="2" t="str">
        <f>HYPERLINK("https://probpalata.gov.ru/files/ЮЛ780300308201206.jpeg","Скачать индивидуальный QR-код магазина")</f>
        <v>Скачать индивидуальный QR-код магазина</v>
      </c>
    </row>
    <row r="5302" spans="1:7" x14ac:dyDescent="0.25">
      <c r="A5302" t="s">
        <v>15627</v>
      </c>
      <c r="B5302" t="s">
        <v>16915</v>
      </c>
      <c r="C5302" t="s">
        <v>798</v>
      </c>
      <c r="D5302" t="s">
        <v>799</v>
      </c>
      <c r="E5302" t="s">
        <v>800</v>
      </c>
      <c r="F5302" t="s">
        <v>16916</v>
      </c>
      <c r="G5302" s="2" t="str">
        <f>HYPERLINK("https://probpalata.gov.ru/files/ЮЛ780300308201229.jpeg","Скачать индивидуальный QR-код магазина")</f>
        <v>Скачать индивидуальный QR-код магазина</v>
      </c>
    </row>
    <row r="5303" spans="1:7" x14ac:dyDescent="0.25">
      <c r="A5303" t="s">
        <v>15627</v>
      </c>
      <c r="B5303" t="s">
        <v>16917</v>
      </c>
      <c r="C5303" t="s">
        <v>1490</v>
      </c>
      <c r="D5303" t="s">
        <v>1491</v>
      </c>
      <c r="E5303" t="s">
        <v>1492</v>
      </c>
      <c r="F5303" t="s">
        <v>16918</v>
      </c>
      <c r="G5303" s="2" t="str">
        <f>HYPERLINK("https://probpalata.gov.ru/files/ЮЛ780301261200055.jpeg","Скачать индивидуальный QR-код магазина")</f>
        <v>Скачать индивидуальный QR-код магазина</v>
      </c>
    </row>
    <row r="5304" spans="1:7" x14ac:dyDescent="0.25">
      <c r="A5304" t="s">
        <v>15627</v>
      </c>
      <c r="B5304" t="s">
        <v>16919</v>
      </c>
      <c r="C5304" t="s">
        <v>7841</v>
      </c>
      <c r="D5304" t="s">
        <v>7842</v>
      </c>
      <c r="E5304" t="s">
        <v>7843</v>
      </c>
      <c r="F5304" t="s">
        <v>16920</v>
      </c>
      <c r="G5304" s="2" t="str">
        <f>HYPERLINK("https://probpalata.gov.ru/files/ЮЛ900403653600005.jpeg","Скачать индивидуальный QR-код магазина")</f>
        <v>Скачать индивидуальный QR-код магазина</v>
      </c>
    </row>
    <row r="5305" spans="1:7" x14ac:dyDescent="0.25">
      <c r="A5305" t="s">
        <v>15627</v>
      </c>
      <c r="B5305" t="s">
        <v>16921</v>
      </c>
      <c r="C5305" t="s">
        <v>1501</v>
      </c>
      <c r="D5305" t="s">
        <v>1502</v>
      </c>
      <c r="E5305" t="s">
        <v>1503</v>
      </c>
      <c r="F5305" t="s">
        <v>16922</v>
      </c>
      <c r="G5305" s="2" t="str">
        <f>HYPERLINK("https://probpalata.gov.ru/files/ЮЛ770100439200087.jpeg","Скачать индивидуальный QR-код магазина")</f>
        <v>Скачать индивидуальный QR-код магазина</v>
      </c>
    </row>
    <row r="5306" spans="1:7" x14ac:dyDescent="0.25">
      <c r="A5306" t="s">
        <v>15627</v>
      </c>
      <c r="B5306" t="s">
        <v>16923</v>
      </c>
      <c r="C5306" t="s">
        <v>1501</v>
      </c>
      <c r="D5306" t="s">
        <v>1502</v>
      </c>
      <c r="E5306" t="s">
        <v>1503</v>
      </c>
      <c r="F5306" t="s">
        <v>16924</v>
      </c>
      <c r="G5306" s="2" t="str">
        <f>HYPERLINK("https://probpalata.gov.ru/files/ЮЛ770100439200088.jpeg","Скачать индивидуальный QR-код магазина")</f>
        <v>Скачать индивидуальный QR-код магазина</v>
      </c>
    </row>
    <row r="5307" spans="1:7" x14ac:dyDescent="0.25">
      <c r="A5307" t="s">
        <v>15627</v>
      </c>
      <c r="B5307" t="s">
        <v>16925</v>
      </c>
      <c r="C5307" t="s">
        <v>7852</v>
      </c>
      <c r="D5307" t="s">
        <v>7853</v>
      </c>
      <c r="E5307" t="s">
        <v>7854</v>
      </c>
      <c r="F5307" t="s">
        <v>16926</v>
      </c>
      <c r="G5307" s="2" t="str">
        <f>HYPERLINK("https://probpalata.gov.ru/files/ЮЛ770100029500012.jpeg","Скачать индивидуальный QR-код магазина")</f>
        <v>Скачать индивидуальный QR-код магазина</v>
      </c>
    </row>
    <row r="5308" spans="1:7" x14ac:dyDescent="0.25">
      <c r="A5308" t="s">
        <v>15627</v>
      </c>
      <c r="B5308" t="s">
        <v>16927</v>
      </c>
      <c r="C5308" t="s">
        <v>1853</v>
      </c>
      <c r="D5308" t="s">
        <v>1854</v>
      </c>
      <c r="E5308" t="s">
        <v>1855</v>
      </c>
      <c r="F5308" t="s">
        <v>16928</v>
      </c>
      <c r="G5308" s="2" t="str">
        <f>HYPERLINK("https://probpalata.gov.ru/files/ЮЛ770104000500008.jpeg","Скачать индивидуальный QR-код магазина")</f>
        <v>Скачать индивидуальный QR-код магазина</v>
      </c>
    </row>
    <row r="5309" spans="1:7" x14ac:dyDescent="0.25">
      <c r="A5309" t="s">
        <v>16929</v>
      </c>
      <c r="B5309" t="s">
        <v>16930</v>
      </c>
      <c r="C5309" t="s">
        <v>16931</v>
      </c>
      <c r="D5309" t="s">
        <v>16932</v>
      </c>
      <c r="E5309" t="s">
        <v>16933</v>
      </c>
      <c r="F5309" t="s">
        <v>16934</v>
      </c>
      <c r="G5309" s="2" t="str">
        <f>HYPERLINK("https://probpalata.gov.ru/files/ИП450704053400000.jpeg","Скачать индивидуальный QR-код магазина")</f>
        <v>Скачать индивидуальный QR-код магазина</v>
      </c>
    </row>
    <row r="5310" spans="1:7" x14ac:dyDescent="0.25">
      <c r="A5310" t="s">
        <v>16929</v>
      </c>
      <c r="B5310" t="s">
        <v>16935</v>
      </c>
      <c r="C5310" t="s">
        <v>16936</v>
      </c>
      <c r="D5310" t="s">
        <v>16937</v>
      </c>
      <c r="E5310" t="s">
        <v>16938</v>
      </c>
      <c r="F5310" t="s">
        <v>16939</v>
      </c>
      <c r="G5310" s="2" t="str">
        <f>HYPERLINK("https://probpalata.gov.ru/files/ЮЛ450700685200000.jpeg","Скачать индивидуальный QR-код магазина")</f>
        <v>Скачать индивидуальный QR-код магазина</v>
      </c>
    </row>
    <row r="5311" spans="1:7" x14ac:dyDescent="0.25">
      <c r="A5311" t="s">
        <v>16929</v>
      </c>
      <c r="B5311" t="s">
        <v>16940</v>
      </c>
      <c r="C5311" t="s">
        <v>16941</v>
      </c>
      <c r="D5311" t="s">
        <v>16942</v>
      </c>
      <c r="E5311" t="s">
        <v>16943</v>
      </c>
      <c r="F5311" t="s">
        <v>16944</v>
      </c>
      <c r="G5311" s="2" t="str">
        <f>HYPERLINK("https://probpalata.gov.ru/files/ИП450700012500000.jpeg","Скачать индивидуальный QR-код магазина")</f>
        <v>Скачать индивидуальный QR-код магазина</v>
      </c>
    </row>
    <row r="5312" spans="1:7" x14ac:dyDescent="0.25">
      <c r="A5312" t="s">
        <v>16929</v>
      </c>
      <c r="B5312" t="s">
        <v>16945</v>
      </c>
      <c r="C5312" t="s">
        <v>16946</v>
      </c>
      <c r="D5312" t="s">
        <v>16947</v>
      </c>
      <c r="E5312" t="s">
        <v>16948</v>
      </c>
      <c r="F5312" t="s">
        <v>16949</v>
      </c>
      <c r="G5312" s="2" t="str">
        <f>HYPERLINK("https://probpalata.gov.ru/files/ИП450700014900000.jpeg","Скачать индивидуальный QR-код магазина")</f>
        <v>Скачать индивидуальный QR-код магазина</v>
      </c>
    </row>
    <row r="5313" spans="1:7" x14ac:dyDescent="0.25">
      <c r="A5313" t="s">
        <v>16929</v>
      </c>
      <c r="B5313" t="s">
        <v>16950</v>
      </c>
      <c r="C5313" t="s">
        <v>16951</v>
      </c>
      <c r="D5313" t="s">
        <v>16952</v>
      </c>
      <c r="E5313" t="s">
        <v>16953</v>
      </c>
      <c r="F5313" t="s">
        <v>16954</v>
      </c>
      <c r="G5313" s="2" t="str">
        <f>HYPERLINK("https://probpalata.gov.ru/files/ИП450701730000002.jpeg","Скачать индивидуальный QR-код магазина")</f>
        <v>Скачать индивидуальный QR-код магазина</v>
      </c>
    </row>
    <row r="5314" spans="1:7" x14ac:dyDescent="0.25">
      <c r="A5314" t="s">
        <v>16929</v>
      </c>
      <c r="B5314" t="s">
        <v>16955</v>
      </c>
      <c r="C5314" t="s">
        <v>16951</v>
      </c>
      <c r="D5314" t="s">
        <v>16952</v>
      </c>
      <c r="E5314" t="s">
        <v>16953</v>
      </c>
      <c r="F5314" t="s">
        <v>16956</v>
      </c>
      <c r="G5314" s="2" t="str">
        <f>HYPERLINK("https://probpalata.gov.ru/files/ИП450701730000003.jpeg","Скачать индивидуальный QR-код магазина")</f>
        <v>Скачать индивидуальный QR-код магазина</v>
      </c>
    </row>
    <row r="5315" spans="1:7" x14ac:dyDescent="0.25">
      <c r="A5315" t="s">
        <v>16929</v>
      </c>
      <c r="B5315" t="s">
        <v>16957</v>
      </c>
      <c r="C5315" t="s">
        <v>16951</v>
      </c>
      <c r="D5315" t="s">
        <v>16952</v>
      </c>
      <c r="E5315" t="s">
        <v>16953</v>
      </c>
      <c r="F5315" t="s">
        <v>16958</v>
      </c>
      <c r="G5315" s="2" t="str">
        <f>HYPERLINK("https://probpalata.gov.ru/files/ИП450701730000004.jpeg","Скачать индивидуальный QR-код магазина")</f>
        <v>Скачать индивидуальный QR-код магазина</v>
      </c>
    </row>
    <row r="5316" spans="1:7" x14ac:dyDescent="0.25">
      <c r="A5316" t="s">
        <v>16929</v>
      </c>
      <c r="B5316" t="s">
        <v>16959</v>
      </c>
      <c r="C5316" t="s">
        <v>16951</v>
      </c>
      <c r="D5316" t="s">
        <v>16952</v>
      </c>
      <c r="E5316" t="s">
        <v>16953</v>
      </c>
      <c r="F5316" t="s">
        <v>16960</v>
      </c>
      <c r="G5316" s="2" t="str">
        <f>HYPERLINK("https://probpalata.gov.ru/files/ИП450701730000005.jpeg","Скачать индивидуальный QR-код магазина")</f>
        <v>Скачать индивидуальный QR-код магазина</v>
      </c>
    </row>
    <row r="5317" spans="1:7" x14ac:dyDescent="0.25">
      <c r="A5317" t="s">
        <v>16929</v>
      </c>
      <c r="B5317" t="s">
        <v>16961</v>
      </c>
      <c r="C5317" t="s">
        <v>16951</v>
      </c>
      <c r="D5317" t="s">
        <v>16952</v>
      </c>
      <c r="E5317" t="s">
        <v>16953</v>
      </c>
      <c r="F5317" t="s">
        <v>16962</v>
      </c>
      <c r="G5317" s="2" t="str">
        <f>HYPERLINK("https://probpalata.gov.ru/files/ИП450701730000007.jpeg","Скачать индивидуальный QR-код магазина")</f>
        <v>Скачать индивидуальный QR-код магазина</v>
      </c>
    </row>
    <row r="5318" spans="1:7" x14ac:dyDescent="0.25">
      <c r="A5318" t="s">
        <v>16929</v>
      </c>
      <c r="B5318" t="s">
        <v>16963</v>
      </c>
      <c r="C5318" t="s">
        <v>16951</v>
      </c>
      <c r="D5318" t="s">
        <v>16952</v>
      </c>
      <c r="E5318" t="s">
        <v>16953</v>
      </c>
      <c r="F5318" t="s">
        <v>16964</v>
      </c>
      <c r="G5318" s="2" t="str">
        <f>HYPERLINK("https://probpalata.gov.ru/files/ИП450701730000008.jpeg","Скачать индивидуальный QR-код магазина")</f>
        <v>Скачать индивидуальный QR-код магазина</v>
      </c>
    </row>
    <row r="5319" spans="1:7" x14ac:dyDescent="0.25">
      <c r="A5319" t="s">
        <v>16929</v>
      </c>
      <c r="B5319" t="s">
        <v>16965</v>
      </c>
      <c r="C5319" t="s">
        <v>16951</v>
      </c>
      <c r="D5319" t="s">
        <v>16952</v>
      </c>
      <c r="E5319" t="s">
        <v>16953</v>
      </c>
      <c r="F5319" t="s">
        <v>16966</v>
      </c>
      <c r="G5319" s="2" t="str">
        <f>HYPERLINK("https://probpalata.gov.ru/files/ИП450701730000010.jpeg","Скачать индивидуальный QR-код магазина")</f>
        <v>Скачать индивидуальный QR-код магазина</v>
      </c>
    </row>
    <row r="5320" spans="1:7" x14ac:dyDescent="0.25">
      <c r="A5320" t="s">
        <v>16929</v>
      </c>
      <c r="B5320" t="s">
        <v>16967</v>
      </c>
      <c r="C5320" t="s">
        <v>16951</v>
      </c>
      <c r="D5320" t="s">
        <v>16952</v>
      </c>
      <c r="E5320" t="s">
        <v>16953</v>
      </c>
      <c r="F5320" t="s">
        <v>16968</v>
      </c>
      <c r="G5320" s="2" t="str">
        <f>HYPERLINK("https://probpalata.gov.ru/files/ИП450701730000011.jpeg","Скачать индивидуальный QR-код магазина")</f>
        <v>Скачать индивидуальный QR-код магазина</v>
      </c>
    </row>
    <row r="5321" spans="1:7" x14ac:dyDescent="0.25">
      <c r="A5321" t="s">
        <v>16929</v>
      </c>
      <c r="B5321" t="s">
        <v>16969</v>
      </c>
      <c r="C5321" t="s">
        <v>16951</v>
      </c>
      <c r="D5321" t="s">
        <v>16952</v>
      </c>
      <c r="E5321" t="s">
        <v>16953</v>
      </c>
      <c r="F5321" t="s">
        <v>16970</v>
      </c>
      <c r="G5321" s="2" t="str">
        <f>HYPERLINK("https://probpalata.gov.ru/files/ИП450701730000012.jpeg","Скачать индивидуальный QR-код магазина")</f>
        <v>Скачать индивидуальный QR-код магазина</v>
      </c>
    </row>
    <row r="5322" spans="1:7" x14ac:dyDescent="0.25">
      <c r="A5322" t="s">
        <v>16929</v>
      </c>
      <c r="B5322" t="s">
        <v>16971</v>
      </c>
      <c r="C5322" t="s">
        <v>16951</v>
      </c>
      <c r="D5322" t="s">
        <v>16952</v>
      </c>
      <c r="E5322" t="s">
        <v>16953</v>
      </c>
      <c r="F5322" t="s">
        <v>16972</v>
      </c>
      <c r="G5322" s="2" t="str">
        <f>HYPERLINK("https://probpalata.gov.ru/files/ИП450701730000013.jpeg","Скачать индивидуальный QR-код магазина")</f>
        <v>Скачать индивидуальный QR-код магазина</v>
      </c>
    </row>
    <row r="5323" spans="1:7" x14ac:dyDescent="0.25">
      <c r="A5323" t="s">
        <v>16929</v>
      </c>
      <c r="B5323" t="s">
        <v>16973</v>
      </c>
      <c r="C5323" t="s">
        <v>16951</v>
      </c>
      <c r="D5323" t="s">
        <v>16952</v>
      </c>
      <c r="E5323" t="s">
        <v>16953</v>
      </c>
      <c r="F5323" t="s">
        <v>16974</v>
      </c>
      <c r="G5323" s="2" t="str">
        <f>HYPERLINK("https://probpalata.gov.ru/files/ИП450701730000014.jpeg","Скачать индивидуальный QR-код магазина")</f>
        <v>Скачать индивидуальный QR-код магазина</v>
      </c>
    </row>
    <row r="5324" spans="1:7" x14ac:dyDescent="0.25">
      <c r="A5324" t="s">
        <v>16929</v>
      </c>
      <c r="B5324" t="s">
        <v>16975</v>
      </c>
      <c r="C5324" t="s">
        <v>16951</v>
      </c>
      <c r="D5324" t="s">
        <v>16952</v>
      </c>
      <c r="E5324" t="s">
        <v>16953</v>
      </c>
      <c r="F5324" t="s">
        <v>16976</v>
      </c>
      <c r="G5324" s="2" t="str">
        <f>HYPERLINK("https://probpalata.gov.ru/files/ИП450701730000015.jpeg","Скачать индивидуальный QR-код магазина")</f>
        <v>Скачать индивидуальный QR-код магазина</v>
      </c>
    </row>
    <row r="5325" spans="1:7" x14ac:dyDescent="0.25">
      <c r="A5325" t="s">
        <v>16929</v>
      </c>
      <c r="B5325" t="s">
        <v>16977</v>
      </c>
      <c r="C5325" t="s">
        <v>16951</v>
      </c>
      <c r="D5325" t="s">
        <v>16952</v>
      </c>
      <c r="E5325" t="s">
        <v>16953</v>
      </c>
      <c r="F5325" t="s">
        <v>16978</v>
      </c>
      <c r="G5325" s="2" t="str">
        <f>HYPERLINK("https://probpalata.gov.ru/files/ИП450701730000016.jpeg","Скачать индивидуальный QR-код магазина")</f>
        <v>Скачать индивидуальный QR-код магазина</v>
      </c>
    </row>
    <row r="5326" spans="1:7" x14ac:dyDescent="0.25">
      <c r="A5326" t="s">
        <v>16929</v>
      </c>
      <c r="B5326" t="s">
        <v>16979</v>
      </c>
      <c r="C5326" t="s">
        <v>16951</v>
      </c>
      <c r="D5326" t="s">
        <v>16952</v>
      </c>
      <c r="E5326" t="s">
        <v>16953</v>
      </c>
      <c r="F5326" t="s">
        <v>16980</v>
      </c>
      <c r="G5326" s="2" t="str">
        <f>HYPERLINK("https://probpalata.gov.ru/files/ИП450701730000017.jpeg","Скачать индивидуальный QR-код магазина")</f>
        <v>Скачать индивидуальный QR-код магазина</v>
      </c>
    </row>
    <row r="5327" spans="1:7" x14ac:dyDescent="0.25">
      <c r="A5327" t="s">
        <v>16929</v>
      </c>
      <c r="B5327" t="s">
        <v>16981</v>
      </c>
      <c r="C5327" t="s">
        <v>16951</v>
      </c>
      <c r="D5327" t="s">
        <v>16952</v>
      </c>
      <c r="E5327" t="s">
        <v>16953</v>
      </c>
      <c r="F5327" t="s">
        <v>16982</v>
      </c>
      <c r="G5327" s="2" t="str">
        <f>HYPERLINK("https://probpalata.gov.ru/files/ИП450701730000018.jpeg","Скачать индивидуальный QR-код магазина")</f>
        <v>Скачать индивидуальный QR-код магазина</v>
      </c>
    </row>
    <row r="5328" spans="1:7" x14ac:dyDescent="0.25">
      <c r="A5328" t="s">
        <v>16929</v>
      </c>
      <c r="B5328" t="s">
        <v>16983</v>
      </c>
      <c r="C5328" t="s">
        <v>16984</v>
      </c>
      <c r="D5328" t="s">
        <v>16985</v>
      </c>
      <c r="E5328" t="s">
        <v>16986</v>
      </c>
      <c r="F5328" t="s">
        <v>16987</v>
      </c>
      <c r="G5328" s="2" t="str">
        <f>HYPERLINK("https://probpalata.gov.ru/files/ИП450700640600000.jpeg","Скачать индивидуальный QR-код магазина")</f>
        <v>Скачать индивидуальный QR-код магазина</v>
      </c>
    </row>
    <row r="5329" spans="1:7" x14ac:dyDescent="0.25">
      <c r="A5329" t="s">
        <v>16929</v>
      </c>
      <c r="B5329" t="s">
        <v>16988</v>
      </c>
      <c r="C5329" t="s">
        <v>16984</v>
      </c>
      <c r="D5329" t="s">
        <v>16985</v>
      </c>
      <c r="E5329" t="s">
        <v>16986</v>
      </c>
      <c r="F5329" t="s">
        <v>16989</v>
      </c>
      <c r="G5329" s="2" t="str">
        <f>HYPERLINK("https://probpalata.gov.ru/files/ИП450700640600003.jpeg","Скачать индивидуальный QR-код магазина")</f>
        <v>Скачать индивидуальный QR-код магазина</v>
      </c>
    </row>
    <row r="5330" spans="1:7" x14ac:dyDescent="0.25">
      <c r="A5330" t="s">
        <v>16929</v>
      </c>
      <c r="B5330" t="s">
        <v>16990</v>
      </c>
      <c r="C5330" t="s">
        <v>16991</v>
      </c>
      <c r="D5330" t="s">
        <v>16992</v>
      </c>
      <c r="E5330" t="s">
        <v>16993</v>
      </c>
      <c r="F5330" t="s">
        <v>16994</v>
      </c>
      <c r="G5330" s="2" t="str">
        <f>HYPERLINK("https://probpalata.gov.ru/files/ИП450700479400000.jpeg","Скачать индивидуальный QR-код магазина")</f>
        <v>Скачать индивидуальный QR-код магазина</v>
      </c>
    </row>
    <row r="5331" spans="1:7" x14ac:dyDescent="0.25">
      <c r="A5331" t="s">
        <v>16929</v>
      </c>
      <c r="B5331" t="s">
        <v>16995</v>
      </c>
      <c r="C5331" t="s">
        <v>16991</v>
      </c>
      <c r="D5331" t="s">
        <v>16992</v>
      </c>
      <c r="E5331" t="s">
        <v>16993</v>
      </c>
      <c r="F5331" t="s">
        <v>16996</v>
      </c>
      <c r="G5331" s="2" t="str">
        <f>HYPERLINK("https://probpalata.gov.ru/files/ИП450700479400002.jpeg","Скачать индивидуальный QR-код магазина")</f>
        <v>Скачать индивидуальный QR-код магазина</v>
      </c>
    </row>
    <row r="5332" spans="1:7" x14ac:dyDescent="0.25">
      <c r="A5332" t="s">
        <v>16929</v>
      </c>
      <c r="B5332" t="s">
        <v>16997</v>
      </c>
      <c r="C5332" t="s">
        <v>16991</v>
      </c>
      <c r="D5332" t="s">
        <v>16992</v>
      </c>
      <c r="E5332" t="s">
        <v>16993</v>
      </c>
      <c r="F5332" t="s">
        <v>16998</v>
      </c>
      <c r="G5332" s="2" t="str">
        <f>HYPERLINK("https://probpalata.gov.ru/files/ИП450700479400003.jpeg","Скачать индивидуальный QR-код магазина")</f>
        <v>Скачать индивидуальный QR-код магазина</v>
      </c>
    </row>
    <row r="5333" spans="1:7" x14ac:dyDescent="0.25">
      <c r="A5333" t="s">
        <v>16929</v>
      </c>
      <c r="B5333" t="s">
        <v>16999</v>
      </c>
      <c r="C5333" t="s">
        <v>17000</v>
      </c>
      <c r="D5333" t="s">
        <v>17001</v>
      </c>
      <c r="E5333" t="s">
        <v>17002</v>
      </c>
      <c r="F5333" t="s">
        <v>17003</v>
      </c>
      <c r="G5333" s="2" t="str">
        <f>HYPERLINK("https://probpalata.gov.ru/files/ЮЛ450700685300000.jpeg","Скачать индивидуальный QR-код магазина")</f>
        <v>Скачать индивидуальный QR-код магазина</v>
      </c>
    </row>
    <row r="5334" spans="1:7" x14ac:dyDescent="0.25">
      <c r="A5334" t="s">
        <v>16929</v>
      </c>
      <c r="B5334" t="s">
        <v>17004</v>
      </c>
      <c r="C5334" t="s">
        <v>17000</v>
      </c>
      <c r="D5334" t="s">
        <v>17001</v>
      </c>
      <c r="E5334" t="s">
        <v>17002</v>
      </c>
      <c r="F5334" t="s">
        <v>17005</v>
      </c>
      <c r="G5334" s="2" t="str">
        <f>HYPERLINK("https://probpalata.gov.ru/files/ЮЛ450700685300001.jpeg","Скачать индивидуальный QR-код магазина")</f>
        <v>Скачать индивидуальный QR-код магазина</v>
      </c>
    </row>
    <row r="5335" spans="1:7" x14ac:dyDescent="0.25">
      <c r="A5335" t="s">
        <v>16929</v>
      </c>
      <c r="B5335" t="s">
        <v>17006</v>
      </c>
      <c r="C5335" t="s">
        <v>17000</v>
      </c>
      <c r="D5335" t="s">
        <v>17001</v>
      </c>
      <c r="E5335" t="s">
        <v>17002</v>
      </c>
      <c r="F5335" t="s">
        <v>17007</v>
      </c>
      <c r="G5335" s="2" t="str">
        <f>HYPERLINK("https://probpalata.gov.ru/files/ЮЛ450700685300002.jpeg","Скачать индивидуальный QR-код магазина")</f>
        <v>Скачать индивидуальный QR-код магазина</v>
      </c>
    </row>
    <row r="5336" spans="1:7" x14ac:dyDescent="0.25">
      <c r="A5336" t="s">
        <v>16929</v>
      </c>
      <c r="B5336" t="s">
        <v>17008</v>
      </c>
      <c r="C5336" t="s">
        <v>17000</v>
      </c>
      <c r="D5336" t="s">
        <v>17001</v>
      </c>
      <c r="E5336" t="s">
        <v>17002</v>
      </c>
      <c r="F5336" t="s">
        <v>17009</v>
      </c>
      <c r="G5336" s="2" t="str">
        <f>HYPERLINK("https://probpalata.gov.ru/files/ЮЛ450700685300003.jpeg","Скачать индивидуальный QR-код магазина")</f>
        <v>Скачать индивидуальный QR-код магазина</v>
      </c>
    </row>
    <row r="5337" spans="1:7" x14ac:dyDescent="0.25">
      <c r="A5337" t="s">
        <v>16929</v>
      </c>
      <c r="B5337" t="s">
        <v>17010</v>
      </c>
      <c r="C5337" t="s">
        <v>17000</v>
      </c>
      <c r="D5337" t="s">
        <v>17001</v>
      </c>
      <c r="E5337" t="s">
        <v>17002</v>
      </c>
      <c r="F5337" t="s">
        <v>17011</v>
      </c>
      <c r="G5337" s="2" t="str">
        <f>HYPERLINK("https://probpalata.gov.ru/files/ЮЛ450700685300004.jpeg","Скачать индивидуальный QR-код магазина")</f>
        <v>Скачать индивидуальный QR-код магазина</v>
      </c>
    </row>
    <row r="5338" spans="1:7" x14ac:dyDescent="0.25">
      <c r="A5338" t="s">
        <v>16929</v>
      </c>
      <c r="B5338" t="s">
        <v>17012</v>
      </c>
      <c r="C5338" t="s">
        <v>17013</v>
      </c>
      <c r="D5338" t="s">
        <v>17014</v>
      </c>
      <c r="E5338" t="s">
        <v>17015</v>
      </c>
      <c r="F5338" t="s">
        <v>17016</v>
      </c>
      <c r="G5338" s="2" t="str">
        <f>HYPERLINK("https://probpalata.gov.ru/files/ИП450700316000000.jpeg","Скачать индивидуальный QR-код магазина")</f>
        <v>Скачать индивидуальный QR-код магазина</v>
      </c>
    </row>
    <row r="5339" spans="1:7" x14ac:dyDescent="0.25">
      <c r="A5339" t="s">
        <v>16929</v>
      </c>
      <c r="B5339" t="s">
        <v>17017</v>
      </c>
      <c r="C5339" t="s">
        <v>17018</v>
      </c>
      <c r="D5339" t="s">
        <v>17019</v>
      </c>
      <c r="E5339" t="s">
        <v>17020</v>
      </c>
      <c r="F5339" t="s">
        <v>17021</v>
      </c>
      <c r="G5339" s="2" t="str">
        <f>HYPERLINK("https://probpalata.gov.ru/files/ИП450700010200000.jpeg","Скачать индивидуальный QR-код магазина")</f>
        <v>Скачать индивидуальный QR-код магазина</v>
      </c>
    </row>
    <row r="5340" spans="1:7" x14ac:dyDescent="0.25">
      <c r="A5340" t="s">
        <v>16929</v>
      </c>
      <c r="B5340" t="s">
        <v>17022</v>
      </c>
      <c r="C5340" t="s">
        <v>11536</v>
      </c>
      <c r="D5340" t="s">
        <v>17023</v>
      </c>
      <c r="E5340" t="s">
        <v>17024</v>
      </c>
      <c r="F5340" t="s">
        <v>17025</v>
      </c>
      <c r="G5340" s="2" t="str">
        <f>HYPERLINK("https://probpalata.gov.ru/files/ЮЛ450700319200000.jpeg","Скачать индивидуальный QR-код магазина")</f>
        <v>Скачать индивидуальный QR-код магазина</v>
      </c>
    </row>
    <row r="5341" spans="1:7" x14ac:dyDescent="0.25">
      <c r="A5341" t="s">
        <v>16929</v>
      </c>
      <c r="B5341" t="s">
        <v>17026</v>
      </c>
      <c r="C5341" t="s">
        <v>11536</v>
      </c>
      <c r="D5341" t="s">
        <v>17023</v>
      </c>
      <c r="E5341" t="s">
        <v>17024</v>
      </c>
      <c r="F5341" t="s">
        <v>17027</v>
      </c>
      <c r="G5341" s="2" t="str">
        <f>HYPERLINK("https://probpalata.gov.ru/files/ЮЛ450700319200001.jpeg","Скачать индивидуальный QR-код магазина")</f>
        <v>Скачать индивидуальный QR-код магазина</v>
      </c>
    </row>
    <row r="5342" spans="1:7" x14ac:dyDescent="0.25">
      <c r="A5342" t="s">
        <v>16929</v>
      </c>
      <c r="B5342" t="s">
        <v>17028</v>
      </c>
      <c r="C5342" t="s">
        <v>11536</v>
      </c>
      <c r="D5342" t="s">
        <v>17023</v>
      </c>
      <c r="E5342" t="s">
        <v>17024</v>
      </c>
      <c r="F5342" t="s">
        <v>17029</v>
      </c>
      <c r="G5342" s="2" t="str">
        <f>HYPERLINK("https://probpalata.gov.ru/files/ЮЛ450700319200002.jpeg","Скачать индивидуальный QR-код магазина")</f>
        <v>Скачать индивидуальный QR-код магазина</v>
      </c>
    </row>
    <row r="5343" spans="1:7" x14ac:dyDescent="0.25">
      <c r="A5343" t="s">
        <v>16929</v>
      </c>
      <c r="B5343" t="s">
        <v>17030</v>
      </c>
      <c r="C5343" t="s">
        <v>17031</v>
      </c>
      <c r="D5343" t="s">
        <v>17032</v>
      </c>
      <c r="E5343" t="s">
        <v>17033</v>
      </c>
      <c r="F5343" t="s">
        <v>17034</v>
      </c>
      <c r="G5343" s="2" t="str">
        <f>HYPERLINK("https://probpalata.gov.ru/files/ЮЛ450700786700000.jpeg","Скачать индивидуальный QR-код магазина")</f>
        <v>Скачать индивидуальный QR-код магазина</v>
      </c>
    </row>
    <row r="5344" spans="1:7" x14ac:dyDescent="0.25">
      <c r="A5344" t="s">
        <v>16929</v>
      </c>
      <c r="B5344" t="s">
        <v>17035</v>
      </c>
      <c r="C5344" t="s">
        <v>17036</v>
      </c>
      <c r="D5344" t="s">
        <v>17037</v>
      </c>
      <c r="E5344" t="s">
        <v>17038</v>
      </c>
      <c r="F5344" t="s">
        <v>17039</v>
      </c>
      <c r="G5344" s="2" t="str">
        <f>HYPERLINK("https://probpalata.gov.ru/files/ЮЛ450700088900000.jpeg","Скачать индивидуальный QR-код магазина")</f>
        <v>Скачать индивидуальный QR-код магазина</v>
      </c>
    </row>
    <row r="5345" spans="1:7" x14ac:dyDescent="0.25">
      <c r="A5345" t="s">
        <v>16929</v>
      </c>
      <c r="B5345" t="s">
        <v>17040</v>
      </c>
      <c r="C5345" t="s">
        <v>17041</v>
      </c>
      <c r="D5345" t="s">
        <v>17042</v>
      </c>
      <c r="E5345" t="s">
        <v>17043</v>
      </c>
      <c r="F5345" t="s">
        <v>17044</v>
      </c>
      <c r="G5345" s="2" t="str">
        <f>HYPERLINK("https://probpalata.gov.ru/files/ИП450704052000000.jpeg","Скачать индивидуальный QR-код магазина")</f>
        <v>Скачать индивидуальный QR-код магазина</v>
      </c>
    </row>
    <row r="5346" spans="1:7" x14ac:dyDescent="0.25">
      <c r="A5346" t="s">
        <v>16929</v>
      </c>
      <c r="B5346" t="s">
        <v>17045</v>
      </c>
      <c r="C5346" t="s">
        <v>17046</v>
      </c>
      <c r="D5346" t="s">
        <v>17047</v>
      </c>
      <c r="E5346" t="s">
        <v>17048</v>
      </c>
      <c r="F5346" t="s">
        <v>17049</v>
      </c>
      <c r="G5346" s="2" t="str">
        <f>HYPERLINK("https://probpalata.gov.ru/files/ИП450700858500000.jpeg","Скачать индивидуальный QR-код магазина")</f>
        <v>Скачать индивидуальный QR-код магазина</v>
      </c>
    </row>
    <row r="5347" spans="1:7" x14ac:dyDescent="0.25">
      <c r="A5347" t="s">
        <v>16929</v>
      </c>
      <c r="B5347" t="s">
        <v>17050</v>
      </c>
      <c r="C5347" t="s">
        <v>17046</v>
      </c>
      <c r="D5347" t="s">
        <v>17047</v>
      </c>
      <c r="E5347" t="s">
        <v>17048</v>
      </c>
      <c r="F5347" t="s">
        <v>17051</v>
      </c>
      <c r="G5347" s="2" t="str">
        <f>HYPERLINK("https://probpalata.gov.ru/files/ИП450700858500002.jpeg","Скачать индивидуальный QR-код магазина")</f>
        <v>Скачать индивидуальный QR-код магазина</v>
      </c>
    </row>
    <row r="5348" spans="1:7" x14ac:dyDescent="0.25">
      <c r="A5348" t="s">
        <v>16929</v>
      </c>
      <c r="B5348" t="s">
        <v>17052</v>
      </c>
      <c r="C5348" t="s">
        <v>17053</v>
      </c>
      <c r="D5348" t="s">
        <v>17054</v>
      </c>
      <c r="E5348" t="s">
        <v>17055</v>
      </c>
      <c r="F5348" t="s">
        <v>17056</v>
      </c>
      <c r="G5348" s="2" t="str">
        <f>HYPERLINK("https://probpalata.gov.ru/files/ИП450700759100000.jpeg","Скачать индивидуальный QR-код магазина")</f>
        <v>Скачать индивидуальный QR-код магазина</v>
      </c>
    </row>
    <row r="5349" spans="1:7" x14ac:dyDescent="0.25">
      <c r="A5349" t="s">
        <v>16929</v>
      </c>
      <c r="B5349" t="s">
        <v>17057</v>
      </c>
      <c r="C5349" t="s">
        <v>17058</v>
      </c>
      <c r="D5349" t="s">
        <v>17059</v>
      </c>
      <c r="E5349" t="s">
        <v>17060</v>
      </c>
      <c r="F5349" t="s">
        <v>17061</v>
      </c>
      <c r="G5349" s="2" t="str">
        <f>HYPERLINK("https://probpalata.gov.ru/files/ИП450700812200000.jpeg","Скачать индивидуальный QR-код магазина")</f>
        <v>Скачать индивидуальный QR-код магазина</v>
      </c>
    </row>
    <row r="5350" spans="1:7" x14ac:dyDescent="0.25">
      <c r="A5350" t="s">
        <v>16929</v>
      </c>
      <c r="B5350" t="s">
        <v>17062</v>
      </c>
      <c r="C5350" t="s">
        <v>17063</v>
      </c>
      <c r="D5350" t="s">
        <v>17064</v>
      </c>
      <c r="E5350" t="s">
        <v>17065</v>
      </c>
      <c r="F5350" t="s">
        <v>17066</v>
      </c>
      <c r="G5350" s="2" t="str">
        <f>HYPERLINK("https://probpalata.gov.ru/files/ИП450700030900000.jpeg","Скачать индивидуальный QR-код магазина")</f>
        <v>Скачать индивидуальный QR-код магазина</v>
      </c>
    </row>
    <row r="5351" spans="1:7" x14ac:dyDescent="0.25">
      <c r="A5351" t="s">
        <v>16929</v>
      </c>
      <c r="B5351" t="s">
        <v>17067</v>
      </c>
      <c r="C5351" t="s">
        <v>17063</v>
      </c>
      <c r="D5351" t="s">
        <v>17064</v>
      </c>
      <c r="E5351" t="s">
        <v>17065</v>
      </c>
      <c r="F5351" t="s">
        <v>17068</v>
      </c>
      <c r="G5351" s="2" t="str">
        <f>HYPERLINK("https://probpalata.gov.ru/files/ИП450700030900001.jpeg","Скачать индивидуальный QR-код магазина")</f>
        <v>Скачать индивидуальный QR-код магазина</v>
      </c>
    </row>
    <row r="5352" spans="1:7" x14ac:dyDescent="0.25">
      <c r="A5352" t="s">
        <v>16929</v>
      </c>
      <c r="B5352" t="s">
        <v>17069</v>
      </c>
      <c r="C5352" t="s">
        <v>17070</v>
      </c>
      <c r="D5352" t="s">
        <v>17071</v>
      </c>
      <c r="E5352" t="s">
        <v>17072</v>
      </c>
      <c r="F5352" t="s">
        <v>17073</v>
      </c>
      <c r="G5352" s="2" t="str">
        <f>HYPERLINK("https://probpalata.gov.ru/files/ИП450701225600000.jpeg","Скачать индивидуальный QR-код магазина")</f>
        <v>Скачать индивидуальный QR-код магазина</v>
      </c>
    </row>
    <row r="5353" spans="1:7" x14ac:dyDescent="0.25">
      <c r="A5353" t="s">
        <v>16929</v>
      </c>
      <c r="B5353" t="s">
        <v>17074</v>
      </c>
      <c r="C5353" t="s">
        <v>17075</v>
      </c>
      <c r="D5353" t="s">
        <v>17076</v>
      </c>
      <c r="E5353" t="s">
        <v>17077</v>
      </c>
      <c r="F5353" t="s">
        <v>17078</v>
      </c>
      <c r="G5353" s="2" t="str">
        <f>HYPERLINK("https://probpalata.gov.ru/files/ИП450700034100000.jpeg","Скачать индивидуальный QR-код магазина")</f>
        <v>Скачать индивидуальный QR-код магазина</v>
      </c>
    </row>
    <row r="5354" spans="1:7" x14ac:dyDescent="0.25">
      <c r="A5354" t="s">
        <v>16929</v>
      </c>
      <c r="B5354" t="s">
        <v>17079</v>
      </c>
      <c r="C5354" t="s">
        <v>17080</v>
      </c>
      <c r="D5354" t="s">
        <v>17081</v>
      </c>
      <c r="E5354" t="s">
        <v>17082</v>
      </c>
      <c r="F5354" t="s">
        <v>17083</v>
      </c>
      <c r="G5354" s="2" t="str">
        <f>HYPERLINK("https://probpalata.gov.ru/files/ИП450700785700000.jpeg","Скачать индивидуальный QR-код магазина")</f>
        <v>Скачать индивидуальный QR-код магазина</v>
      </c>
    </row>
    <row r="5355" spans="1:7" x14ac:dyDescent="0.25">
      <c r="A5355" t="s">
        <v>16929</v>
      </c>
      <c r="B5355" t="s">
        <v>17084</v>
      </c>
      <c r="C5355" t="s">
        <v>17085</v>
      </c>
      <c r="D5355" t="s">
        <v>17086</v>
      </c>
      <c r="E5355" t="s">
        <v>17087</v>
      </c>
      <c r="F5355" t="s">
        <v>17088</v>
      </c>
      <c r="G5355" s="2" t="str">
        <f>HYPERLINK("https://probpalata.gov.ru/files/ИП450701110100000.jpeg","Скачать индивидуальный QR-код магазина")</f>
        <v>Скачать индивидуальный QR-код магазина</v>
      </c>
    </row>
    <row r="5356" spans="1:7" x14ac:dyDescent="0.25">
      <c r="A5356" t="s">
        <v>16929</v>
      </c>
      <c r="B5356" t="s">
        <v>17089</v>
      </c>
      <c r="C5356" t="s">
        <v>17085</v>
      </c>
      <c r="D5356" t="s">
        <v>17086</v>
      </c>
      <c r="E5356" t="s">
        <v>17087</v>
      </c>
      <c r="F5356" t="s">
        <v>17090</v>
      </c>
      <c r="G5356" s="2" t="str">
        <f>HYPERLINK("https://probpalata.gov.ru/files/ИП450701110100002.jpeg","Скачать индивидуальный QR-код магазина")</f>
        <v>Скачать индивидуальный QR-код магазина</v>
      </c>
    </row>
    <row r="5357" spans="1:7" x14ac:dyDescent="0.25">
      <c r="A5357" t="s">
        <v>16929</v>
      </c>
      <c r="B5357" t="s">
        <v>17091</v>
      </c>
      <c r="C5357" t="s">
        <v>17085</v>
      </c>
      <c r="D5357" t="s">
        <v>17086</v>
      </c>
      <c r="E5357" t="s">
        <v>17087</v>
      </c>
      <c r="F5357" t="s">
        <v>17092</v>
      </c>
      <c r="G5357" s="2" t="str">
        <f>HYPERLINK("https://probpalata.gov.ru/files/ИП450701110100003.jpeg","Скачать индивидуальный QR-код магазина")</f>
        <v>Скачать индивидуальный QR-код магазина</v>
      </c>
    </row>
    <row r="5358" spans="1:7" x14ac:dyDescent="0.25">
      <c r="A5358" t="s">
        <v>16929</v>
      </c>
      <c r="B5358" t="s">
        <v>17093</v>
      </c>
      <c r="C5358" t="s">
        <v>17085</v>
      </c>
      <c r="D5358" t="s">
        <v>17086</v>
      </c>
      <c r="E5358" t="s">
        <v>17087</v>
      </c>
      <c r="F5358" t="s">
        <v>17094</v>
      </c>
      <c r="G5358" s="2" t="str">
        <f>HYPERLINK("https://probpalata.gov.ru/files/ИП450701110100007.jpeg","Скачать индивидуальный QR-код магазина")</f>
        <v>Скачать индивидуальный QR-код магазина</v>
      </c>
    </row>
    <row r="5359" spans="1:7" x14ac:dyDescent="0.25">
      <c r="A5359" t="s">
        <v>16929</v>
      </c>
      <c r="B5359" t="s">
        <v>17095</v>
      </c>
      <c r="C5359" t="s">
        <v>17096</v>
      </c>
      <c r="D5359" t="s">
        <v>17097</v>
      </c>
      <c r="E5359" t="s">
        <v>17098</v>
      </c>
      <c r="F5359" t="s">
        <v>17099</v>
      </c>
      <c r="G5359" s="2" t="str">
        <f>HYPERLINK("https://probpalata.gov.ru/files/ИП450703598500000.jpeg","Скачать индивидуальный QR-код магазина")</f>
        <v>Скачать индивидуальный QR-код магазина</v>
      </c>
    </row>
    <row r="5360" spans="1:7" x14ac:dyDescent="0.25">
      <c r="A5360" t="s">
        <v>16929</v>
      </c>
      <c r="B5360" t="s">
        <v>17100</v>
      </c>
      <c r="C5360" t="s">
        <v>17101</v>
      </c>
      <c r="D5360" t="s">
        <v>17102</v>
      </c>
      <c r="E5360" t="s">
        <v>17103</v>
      </c>
      <c r="F5360" t="s">
        <v>17104</v>
      </c>
      <c r="G5360" s="2" t="str">
        <f>HYPERLINK("https://probpalata.gov.ru/files/ИП450703780600000.jpeg","Скачать индивидуальный QR-код магазина")</f>
        <v>Скачать индивидуальный QR-код магазина</v>
      </c>
    </row>
    <row r="5361" spans="1:7" x14ac:dyDescent="0.25">
      <c r="A5361" t="s">
        <v>16929</v>
      </c>
      <c r="B5361" t="s">
        <v>17105</v>
      </c>
      <c r="C5361" t="s">
        <v>17106</v>
      </c>
      <c r="D5361" t="s">
        <v>17107</v>
      </c>
      <c r="E5361" t="s">
        <v>17108</v>
      </c>
      <c r="F5361" t="s">
        <v>17109</v>
      </c>
      <c r="G5361" s="2" t="str">
        <f>HYPERLINK("https://probpalata.gov.ru/files/ИП450701370600000.jpeg","Скачать индивидуальный QR-код магазина")</f>
        <v>Скачать индивидуальный QR-код магазина</v>
      </c>
    </row>
    <row r="5362" spans="1:7" x14ac:dyDescent="0.25">
      <c r="A5362" t="s">
        <v>16929</v>
      </c>
      <c r="B5362" t="s">
        <v>17110</v>
      </c>
      <c r="C5362" t="s">
        <v>17111</v>
      </c>
      <c r="D5362" t="s">
        <v>17112</v>
      </c>
      <c r="E5362" t="s">
        <v>17113</v>
      </c>
      <c r="F5362" t="s">
        <v>17114</v>
      </c>
      <c r="G5362" s="2" t="str">
        <f>HYPERLINK("https://probpalata.gov.ru/files/ИП450701572100000.jpeg","Скачать индивидуальный QR-код магазина")</f>
        <v>Скачать индивидуальный QR-код магазина</v>
      </c>
    </row>
    <row r="5363" spans="1:7" x14ac:dyDescent="0.25">
      <c r="A5363" t="s">
        <v>16929</v>
      </c>
      <c r="B5363" t="s">
        <v>17115</v>
      </c>
      <c r="C5363" t="s">
        <v>17116</v>
      </c>
      <c r="D5363" t="s">
        <v>17117</v>
      </c>
      <c r="E5363" t="s">
        <v>17118</v>
      </c>
      <c r="F5363" t="s">
        <v>17119</v>
      </c>
      <c r="G5363" s="2" t="str">
        <f>HYPERLINK("https://probpalata.gov.ru/files/ИП450701837300000.jpeg","Скачать индивидуальный QR-код магазина")</f>
        <v>Скачать индивидуальный QR-код магазина</v>
      </c>
    </row>
    <row r="5364" spans="1:7" x14ac:dyDescent="0.25">
      <c r="A5364" t="s">
        <v>16929</v>
      </c>
      <c r="B5364" t="s">
        <v>17120</v>
      </c>
      <c r="C5364" t="s">
        <v>17121</v>
      </c>
      <c r="D5364" t="s">
        <v>17122</v>
      </c>
      <c r="E5364" t="s">
        <v>17123</v>
      </c>
      <c r="F5364" t="s">
        <v>17124</v>
      </c>
      <c r="G5364" s="2" t="str">
        <f>HYPERLINK("https://probpalata.gov.ru/files/ИП450700431900000.jpeg","Скачать индивидуальный QR-код магазина")</f>
        <v>Скачать индивидуальный QR-код магазина</v>
      </c>
    </row>
    <row r="5365" spans="1:7" x14ac:dyDescent="0.25">
      <c r="A5365" t="s">
        <v>16929</v>
      </c>
      <c r="B5365" t="s">
        <v>17125</v>
      </c>
      <c r="C5365" t="s">
        <v>671</v>
      </c>
      <c r="D5365" t="s">
        <v>672</v>
      </c>
      <c r="E5365" t="s">
        <v>673</v>
      </c>
      <c r="F5365" t="s">
        <v>17126</v>
      </c>
      <c r="G5365" s="2" t="str">
        <f>HYPERLINK("https://probpalata.gov.ru/files/ИП500100445500048.jpeg","Скачать индивидуальный QR-код магазина")</f>
        <v>Скачать индивидуальный QR-код магазина</v>
      </c>
    </row>
    <row r="5366" spans="1:7" x14ac:dyDescent="0.25">
      <c r="A5366" t="s">
        <v>16929</v>
      </c>
      <c r="B5366" t="s">
        <v>17127</v>
      </c>
      <c r="C5366" t="s">
        <v>17128</v>
      </c>
      <c r="D5366" t="s">
        <v>17129</v>
      </c>
      <c r="E5366" t="s">
        <v>17130</v>
      </c>
      <c r="F5366" t="s">
        <v>17131</v>
      </c>
      <c r="G5366" s="2" t="str">
        <f>HYPERLINK("https://probpalata.gov.ru/files/ЮЛ630603726500001.jpeg","Скачать индивидуальный QR-код магазина")</f>
        <v>Скачать индивидуальный QR-код магазина</v>
      </c>
    </row>
    <row r="5367" spans="1:7" x14ac:dyDescent="0.25">
      <c r="A5367" t="s">
        <v>16929</v>
      </c>
      <c r="B5367" t="s">
        <v>17132</v>
      </c>
      <c r="C5367" t="s">
        <v>17128</v>
      </c>
      <c r="D5367" t="s">
        <v>17129</v>
      </c>
      <c r="E5367" t="s">
        <v>17130</v>
      </c>
      <c r="F5367" t="s">
        <v>17133</v>
      </c>
      <c r="G5367" s="2" t="str">
        <f>HYPERLINK("https://probpalata.gov.ru/files/ЮЛ630603726500002.jpeg","Скачать индивидуальный QR-код магазина")</f>
        <v>Скачать индивидуальный QR-код магазина</v>
      </c>
    </row>
    <row r="5368" spans="1:7" x14ac:dyDescent="0.25">
      <c r="A5368" t="s">
        <v>16929</v>
      </c>
      <c r="B5368" t="s">
        <v>17134</v>
      </c>
      <c r="C5368" t="s">
        <v>17128</v>
      </c>
      <c r="D5368" t="s">
        <v>17129</v>
      </c>
      <c r="E5368" t="s">
        <v>17130</v>
      </c>
      <c r="F5368" t="s">
        <v>17135</v>
      </c>
      <c r="G5368" s="2" t="str">
        <f>HYPERLINK("https://probpalata.gov.ru/files/ЮЛ630603726500003.jpeg","Скачать индивидуальный QR-код магазина")</f>
        <v>Скачать индивидуальный QR-код магазина</v>
      </c>
    </row>
    <row r="5369" spans="1:7" x14ac:dyDescent="0.25">
      <c r="A5369" t="s">
        <v>16929</v>
      </c>
      <c r="B5369" t="s">
        <v>17136</v>
      </c>
      <c r="C5369" t="s">
        <v>17128</v>
      </c>
      <c r="D5369" t="s">
        <v>17129</v>
      </c>
      <c r="E5369" t="s">
        <v>17130</v>
      </c>
      <c r="F5369" t="s">
        <v>17137</v>
      </c>
      <c r="G5369" s="2" t="str">
        <f>HYPERLINK("https://probpalata.gov.ru/files/ЮЛ630603726500004.jpeg","Скачать индивидуальный QR-код магазина")</f>
        <v>Скачать индивидуальный QR-код магазина</v>
      </c>
    </row>
    <row r="5370" spans="1:7" x14ac:dyDescent="0.25">
      <c r="A5370" t="s">
        <v>16929</v>
      </c>
      <c r="B5370" t="s">
        <v>17138</v>
      </c>
      <c r="C5370" t="s">
        <v>17139</v>
      </c>
      <c r="D5370" t="s">
        <v>17140</v>
      </c>
      <c r="E5370" t="s">
        <v>17141</v>
      </c>
      <c r="F5370" t="s">
        <v>17142</v>
      </c>
      <c r="G5370" s="2" t="str">
        <f>HYPERLINK("https://probpalata.gov.ru/files/ЮЛ740700747200002.jpeg","Скачать индивидуальный QR-код магазина")</f>
        <v>Скачать индивидуальный QR-код магазина</v>
      </c>
    </row>
    <row r="5371" spans="1:7" x14ac:dyDescent="0.25">
      <c r="A5371" t="s">
        <v>16929</v>
      </c>
      <c r="B5371" t="s">
        <v>17143</v>
      </c>
      <c r="C5371" t="s">
        <v>17139</v>
      </c>
      <c r="D5371" t="s">
        <v>17140</v>
      </c>
      <c r="E5371" t="s">
        <v>17141</v>
      </c>
      <c r="F5371" t="s">
        <v>17144</v>
      </c>
      <c r="G5371" s="2" t="str">
        <f>HYPERLINK("https://probpalata.gov.ru/files/ЮЛ740700747200028.jpeg","Скачать индивидуальный QR-код магазина")</f>
        <v>Скачать индивидуальный QR-код магазина</v>
      </c>
    </row>
    <row r="5372" spans="1:7" x14ac:dyDescent="0.25">
      <c r="A5372" t="s">
        <v>16929</v>
      </c>
      <c r="B5372" t="s">
        <v>17145</v>
      </c>
      <c r="C5372" t="s">
        <v>17139</v>
      </c>
      <c r="D5372" t="s">
        <v>17140</v>
      </c>
      <c r="E5372" t="s">
        <v>17141</v>
      </c>
      <c r="F5372" t="s">
        <v>17146</v>
      </c>
      <c r="G5372" s="2" t="str">
        <f>HYPERLINK("https://probpalata.gov.ru/files/ЮЛ740700747200029.jpeg","Скачать индивидуальный QR-код магазина")</f>
        <v>Скачать индивидуальный QR-код магазина</v>
      </c>
    </row>
    <row r="5373" spans="1:7" x14ac:dyDescent="0.25">
      <c r="A5373" t="s">
        <v>16929</v>
      </c>
      <c r="B5373" t="s">
        <v>17147</v>
      </c>
      <c r="C5373" t="s">
        <v>17148</v>
      </c>
      <c r="D5373" t="s">
        <v>17149</v>
      </c>
      <c r="E5373" t="s">
        <v>17150</v>
      </c>
      <c r="F5373" t="s">
        <v>17151</v>
      </c>
      <c r="G5373" s="2" t="str">
        <f>HYPERLINK("https://probpalata.gov.ru/files/ИП740701061100003.jpeg","Скачать индивидуальный QR-код магазина")</f>
        <v>Скачать индивидуальный QR-код магазина</v>
      </c>
    </row>
    <row r="5374" spans="1:7" x14ac:dyDescent="0.25">
      <c r="A5374" t="s">
        <v>16929</v>
      </c>
      <c r="B5374" t="s">
        <v>17152</v>
      </c>
      <c r="C5374" t="s">
        <v>17148</v>
      </c>
      <c r="D5374" t="s">
        <v>17149</v>
      </c>
      <c r="E5374" t="s">
        <v>17150</v>
      </c>
      <c r="F5374" t="s">
        <v>17153</v>
      </c>
      <c r="G5374" s="2" t="str">
        <f>HYPERLINK("https://probpalata.gov.ru/files/ИП740701061100004.jpeg","Скачать индивидуальный QR-код магазина")</f>
        <v>Скачать индивидуальный QR-код магазина</v>
      </c>
    </row>
    <row r="5375" spans="1:7" x14ac:dyDescent="0.25">
      <c r="A5375" t="s">
        <v>16929</v>
      </c>
      <c r="B5375" t="s">
        <v>17154</v>
      </c>
      <c r="C5375" t="s">
        <v>17155</v>
      </c>
      <c r="D5375" t="s">
        <v>17156</v>
      </c>
      <c r="E5375" t="s">
        <v>17157</v>
      </c>
      <c r="F5375" t="s">
        <v>17158</v>
      </c>
      <c r="G5375" s="2" t="str">
        <f>HYPERLINK("https://probpalata.gov.ru/files/ИП660703681200001.jpeg","Скачать индивидуальный QR-код магазина")</f>
        <v>Скачать индивидуальный QR-код магазина</v>
      </c>
    </row>
    <row r="5376" spans="1:7" x14ac:dyDescent="0.25">
      <c r="A5376" t="s">
        <v>16929</v>
      </c>
      <c r="B5376" t="s">
        <v>17159</v>
      </c>
      <c r="C5376" t="s">
        <v>17160</v>
      </c>
      <c r="D5376" t="s">
        <v>17161</v>
      </c>
      <c r="E5376" t="s">
        <v>17162</v>
      </c>
      <c r="F5376" t="s">
        <v>17163</v>
      </c>
      <c r="G5376" s="2" t="str">
        <f>HYPERLINK("https://probpalata.gov.ru/files/ИП740700755200005.jpeg","Скачать индивидуальный QR-код магазина")</f>
        <v>Скачать индивидуальный QR-код магазина</v>
      </c>
    </row>
    <row r="5377" spans="1:7" x14ac:dyDescent="0.25">
      <c r="A5377" t="s">
        <v>16929</v>
      </c>
      <c r="B5377" t="s">
        <v>17164</v>
      </c>
      <c r="C5377" t="s">
        <v>17160</v>
      </c>
      <c r="D5377" t="s">
        <v>17161</v>
      </c>
      <c r="E5377" t="s">
        <v>17162</v>
      </c>
      <c r="F5377" t="s">
        <v>17165</v>
      </c>
      <c r="G5377" s="2" t="str">
        <f>HYPERLINK("https://probpalata.gov.ru/files/ИП740700755200006.jpeg","Скачать индивидуальный QR-код магазина")</f>
        <v>Скачать индивидуальный QR-код магазина</v>
      </c>
    </row>
    <row r="5378" spans="1:7" x14ac:dyDescent="0.25">
      <c r="A5378" t="s">
        <v>16929</v>
      </c>
      <c r="B5378" t="s">
        <v>17166</v>
      </c>
      <c r="C5378" t="s">
        <v>17160</v>
      </c>
      <c r="D5378" t="s">
        <v>17161</v>
      </c>
      <c r="E5378" t="s">
        <v>17162</v>
      </c>
      <c r="F5378" t="s">
        <v>17167</v>
      </c>
      <c r="G5378" s="2" t="str">
        <f>HYPERLINK("https://probpalata.gov.ru/files/ИП740700755200013.jpeg","Скачать индивидуальный QR-код магазина")</f>
        <v>Скачать индивидуальный QR-код магазина</v>
      </c>
    </row>
    <row r="5379" spans="1:7" x14ac:dyDescent="0.25">
      <c r="A5379" t="s">
        <v>16929</v>
      </c>
      <c r="B5379" t="s">
        <v>17168</v>
      </c>
      <c r="C5379" t="s">
        <v>17160</v>
      </c>
      <c r="D5379" t="s">
        <v>17161</v>
      </c>
      <c r="E5379" t="s">
        <v>17162</v>
      </c>
      <c r="F5379" t="s">
        <v>17169</v>
      </c>
      <c r="G5379" s="2" t="str">
        <f>HYPERLINK("https://probpalata.gov.ru/files/ИП740700755200020.jpeg","Скачать индивидуальный QR-код магазина")</f>
        <v>Скачать индивидуальный QR-код магазина</v>
      </c>
    </row>
    <row r="5380" spans="1:7" x14ac:dyDescent="0.25">
      <c r="A5380" t="s">
        <v>16929</v>
      </c>
      <c r="B5380" t="s">
        <v>17170</v>
      </c>
      <c r="C5380" t="s">
        <v>17160</v>
      </c>
      <c r="D5380" t="s">
        <v>17161</v>
      </c>
      <c r="E5380" t="s">
        <v>17162</v>
      </c>
      <c r="F5380" t="s">
        <v>17171</v>
      </c>
      <c r="G5380" s="2" t="str">
        <f>HYPERLINK("https://probpalata.gov.ru/files/ИП740700755200023.jpeg","Скачать индивидуальный QR-код магазина")</f>
        <v>Скачать индивидуальный QR-код магазина</v>
      </c>
    </row>
    <row r="5381" spans="1:7" x14ac:dyDescent="0.25">
      <c r="A5381" t="s">
        <v>16929</v>
      </c>
      <c r="B5381" t="s">
        <v>17125</v>
      </c>
      <c r="C5381" t="s">
        <v>17160</v>
      </c>
      <c r="D5381" t="s">
        <v>17161</v>
      </c>
      <c r="E5381" t="s">
        <v>17162</v>
      </c>
      <c r="F5381" t="s">
        <v>17172</v>
      </c>
      <c r="G5381" s="2" t="str">
        <f>HYPERLINK("https://probpalata.gov.ru/files/ИП740700755200027.jpeg","Скачать индивидуальный QR-код магазина")</f>
        <v>Скачать индивидуальный QR-код магазина</v>
      </c>
    </row>
    <row r="5382" spans="1:7" x14ac:dyDescent="0.25">
      <c r="A5382" t="s">
        <v>16929</v>
      </c>
      <c r="B5382" t="s">
        <v>17173</v>
      </c>
      <c r="C5382" t="s">
        <v>17174</v>
      </c>
      <c r="D5382" t="s">
        <v>17175</v>
      </c>
      <c r="E5382" t="s">
        <v>17176</v>
      </c>
      <c r="F5382" t="s">
        <v>17177</v>
      </c>
      <c r="G5382" s="2" t="str">
        <f>HYPERLINK("https://probpalata.gov.ru/files/ЮЛ740700212600006.jpeg","Скачать индивидуальный QR-код магазина")</f>
        <v>Скачать индивидуальный QR-код магазина</v>
      </c>
    </row>
    <row r="5383" spans="1:7" x14ac:dyDescent="0.25">
      <c r="A5383" t="s">
        <v>16929</v>
      </c>
      <c r="B5383" t="s">
        <v>17178</v>
      </c>
      <c r="C5383" t="s">
        <v>17174</v>
      </c>
      <c r="D5383" t="s">
        <v>17175</v>
      </c>
      <c r="E5383" t="s">
        <v>17176</v>
      </c>
      <c r="F5383" t="s">
        <v>17179</v>
      </c>
      <c r="G5383" s="2" t="str">
        <f>HYPERLINK("https://probpalata.gov.ru/files/ЮЛ740700212600014.jpeg","Скачать индивидуальный QR-код магазина")</f>
        <v>Скачать индивидуальный QR-код магазина</v>
      </c>
    </row>
    <row r="5384" spans="1:7" x14ac:dyDescent="0.25">
      <c r="A5384" t="s">
        <v>16929</v>
      </c>
      <c r="B5384" t="s">
        <v>17180</v>
      </c>
      <c r="C5384" t="s">
        <v>17174</v>
      </c>
      <c r="D5384" t="s">
        <v>17175</v>
      </c>
      <c r="E5384" t="s">
        <v>17176</v>
      </c>
      <c r="F5384" t="s">
        <v>17181</v>
      </c>
      <c r="G5384" s="2" t="str">
        <f>HYPERLINK("https://probpalata.gov.ru/files/ЮЛ740700212600015.jpeg","Скачать индивидуальный QR-код магазина")</f>
        <v>Скачать индивидуальный QR-код магазина</v>
      </c>
    </row>
    <row r="5385" spans="1:7" x14ac:dyDescent="0.25">
      <c r="A5385" t="s">
        <v>16929</v>
      </c>
      <c r="B5385" t="s">
        <v>17182</v>
      </c>
      <c r="C5385" t="s">
        <v>1745</v>
      </c>
      <c r="D5385" t="s">
        <v>1746</v>
      </c>
      <c r="E5385" t="s">
        <v>1747</v>
      </c>
      <c r="F5385" t="s">
        <v>17183</v>
      </c>
      <c r="G5385" s="2" t="str">
        <f>HYPERLINK("https://probpalata.gov.ru/files/ЮЛ770100201500554.jpeg","Скачать индивидуальный QR-код магазина")</f>
        <v>Скачать индивидуальный QR-код магазина</v>
      </c>
    </row>
    <row r="5386" spans="1:7" x14ac:dyDescent="0.25">
      <c r="A5386" t="s">
        <v>16929</v>
      </c>
      <c r="B5386" t="s">
        <v>17184</v>
      </c>
      <c r="C5386" t="s">
        <v>713</v>
      </c>
      <c r="D5386" t="s">
        <v>714</v>
      </c>
      <c r="E5386" t="s">
        <v>715</v>
      </c>
      <c r="F5386" t="s">
        <v>17185</v>
      </c>
      <c r="G5386" s="2" t="str">
        <f>HYPERLINK("https://probpalata.gov.ru/files/ЮЛ770101216600420.jpeg","Скачать индивидуальный QR-код магазина")</f>
        <v>Скачать индивидуальный QR-код магазина</v>
      </c>
    </row>
    <row r="5387" spans="1:7" x14ac:dyDescent="0.25">
      <c r="A5387" t="s">
        <v>16929</v>
      </c>
      <c r="B5387" t="s">
        <v>17186</v>
      </c>
      <c r="C5387" t="s">
        <v>713</v>
      </c>
      <c r="D5387" t="s">
        <v>714</v>
      </c>
      <c r="E5387" t="s">
        <v>715</v>
      </c>
      <c r="F5387" t="s">
        <v>17187</v>
      </c>
      <c r="G5387" s="2" t="str">
        <f>HYPERLINK("https://probpalata.gov.ru/files/ЮЛ770101216600529.jpeg","Скачать индивидуальный QR-код магазина")</f>
        <v>Скачать индивидуальный QR-код магазина</v>
      </c>
    </row>
    <row r="5388" spans="1:7" x14ac:dyDescent="0.25">
      <c r="A5388" t="s">
        <v>16929</v>
      </c>
      <c r="B5388" t="s">
        <v>17188</v>
      </c>
      <c r="C5388" t="s">
        <v>713</v>
      </c>
      <c r="D5388" t="s">
        <v>714</v>
      </c>
      <c r="E5388" t="s">
        <v>715</v>
      </c>
      <c r="F5388" t="s">
        <v>17189</v>
      </c>
      <c r="G5388" s="2" t="str">
        <f>HYPERLINK("https://probpalata.gov.ru/files/ЮЛ770101216600530.jpeg","Скачать индивидуальный QR-код магазина")</f>
        <v>Скачать индивидуальный QR-код магазина</v>
      </c>
    </row>
    <row r="5389" spans="1:7" x14ac:dyDescent="0.25">
      <c r="A5389" t="s">
        <v>16929</v>
      </c>
      <c r="B5389" t="s">
        <v>17190</v>
      </c>
      <c r="C5389" t="s">
        <v>713</v>
      </c>
      <c r="D5389" t="s">
        <v>714</v>
      </c>
      <c r="E5389" t="s">
        <v>715</v>
      </c>
      <c r="F5389" t="s">
        <v>17191</v>
      </c>
      <c r="G5389" s="2" t="str">
        <f>HYPERLINK("https://probpalata.gov.ru/files/ЮЛ770101216600643.jpeg","Скачать индивидуальный QR-код магазина")</f>
        <v>Скачать индивидуальный QR-код магазина</v>
      </c>
    </row>
    <row r="5390" spans="1:7" x14ac:dyDescent="0.25">
      <c r="A5390" t="s">
        <v>16929</v>
      </c>
      <c r="B5390" t="s">
        <v>17192</v>
      </c>
      <c r="C5390" t="s">
        <v>748</v>
      </c>
      <c r="D5390" t="s">
        <v>749</v>
      </c>
      <c r="E5390" t="s">
        <v>750</v>
      </c>
      <c r="F5390" t="s">
        <v>17193</v>
      </c>
      <c r="G5390" s="2" t="str">
        <f>HYPERLINK("https://probpalata.gov.ru/files/ЮЛ770100193500407.jpeg","Скачать индивидуальный QR-код магазина")</f>
        <v>Скачать индивидуальный QR-код магазина</v>
      </c>
    </row>
    <row r="5391" spans="1:7" x14ac:dyDescent="0.25">
      <c r="A5391" t="s">
        <v>16929</v>
      </c>
      <c r="B5391" t="s">
        <v>17194</v>
      </c>
      <c r="C5391" t="s">
        <v>748</v>
      </c>
      <c r="D5391" t="s">
        <v>749</v>
      </c>
      <c r="E5391" t="s">
        <v>750</v>
      </c>
      <c r="F5391" t="s">
        <v>17195</v>
      </c>
      <c r="G5391" s="2" t="str">
        <f>HYPERLINK("https://probpalata.gov.ru/files/ЮЛ770100193500409.jpeg","Скачать индивидуальный QR-код магазина")</f>
        <v>Скачать индивидуальный QR-код магазина</v>
      </c>
    </row>
    <row r="5392" spans="1:7" x14ac:dyDescent="0.25">
      <c r="A5392" t="s">
        <v>16929</v>
      </c>
      <c r="B5392" t="s">
        <v>17182</v>
      </c>
      <c r="C5392" t="s">
        <v>748</v>
      </c>
      <c r="D5392" t="s">
        <v>749</v>
      </c>
      <c r="E5392" t="s">
        <v>750</v>
      </c>
      <c r="F5392" t="s">
        <v>17196</v>
      </c>
      <c r="G5392" s="2" t="str">
        <f>HYPERLINK("https://probpalata.gov.ru/files/ЮЛ770100193500989.jpeg","Скачать индивидуальный QR-код магазина")</f>
        <v>Скачать индивидуальный QR-код магазина</v>
      </c>
    </row>
    <row r="5393" spans="1:7" x14ac:dyDescent="0.25">
      <c r="A5393" t="s">
        <v>16929</v>
      </c>
      <c r="B5393" t="s">
        <v>17197</v>
      </c>
      <c r="C5393" t="s">
        <v>773</v>
      </c>
      <c r="D5393" t="s">
        <v>774</v>
      </c>
      <c r="E5393" t="s">
        <v>775</v>
      </c>
      <c r="F5393" t="s">
        <v>17198</v>
      </c>
      <c r="G5393" s="2" t="str">
        <f>HYPERLINK("https://probpalata.gov.ru/files/ЮЛ780300131300161.jpeg","Скачать индивидуальный QR-код магазина")</f>
        <v>Скачать индивидуальный QR-код магазина</v>
      </c>
    </row>
    <row r="5394" spans="1:7" x14ac:dyDescent="0.25">
      <c r="A5394" t="s">
        <v>16929</v>
      </c>
      <c r="B5394" t="s">
        <v>17199</v>
      </c>
      <c r="C5394" t="s">
        <v>773</v>
      </c>
      <c r="D5394" t="s">
        <v>774</v>
      </c>
      <c r="E5394" t="s">
        <v>775</v>
      </c>
      <c r="F5394" t="s">
        <v>17200</v>
      </c>
      <c r="G5394" s="2" t="str">
        <f>HYPERLINK("https://probpalata.gov.ru/files/ЮЛ780300131300162.jpeg","Скачать индивидуальный QR-код магазина")</f>
        <v>Скачать индивидуальный QR-код магазина</v>
      </c>
    </row>
    <row r="5395" spans="1:7" x14ac:dyDescent="0.25">
      <c r="A5395" t="s">
        <v>16929</v>
      </c>
      <c r="B5395" t="s">
        <v>17201</v>
      </c>
      <c r="C5395" t="s">
        <v>773</v>
      </c>
      <c r="D5395" t="s">
        <v>774</v>
      </c>
      <c r="E5395" t="s">
        <v>775</v>
      </c>
      <c r="F5395" t="s">
        <v>17202</v>
      </c>
      <c r="G5395" s="2" t="str">
        <f>HYPERLINK("https://probpalata.gov.ru/files/ЮЛ780300131300194.jpeg","Скачать индивидуальный QR-код магазина")</f>
        <v>Скачать индивидуальный QR-код магазина</v>
      </c>
    </row>
    <row r="5396" spans="1:7" x14ac:dyDescent="0.25">
      <c r="A5396" t="s">
        <v>16929</v>
      </c>
      <c r="B5396" t="s">
        <v>17203</v>
      </c>
      <c r="C5396" t="s">
        <v>773</v>
      </c>
      <c r="D5396" t="s">
        <v>774</v>
      </c>
      <c r="E5396" t="s">
        <v>775</v>
      </c>
      <c r="F5396" t="s">
        <v>17204</v>
      </c>
      <c r="G5396" s="2" t="str">
        <f>HYPERLINK("https://probpalata.gov.ru/files/ЮЛ780300131300195.jpeg","Скачать индивидуальный QR-код магазина")</f>
        <v>Скачать индивидуальный QR-код магазина</v>
      </c>
    </row>
    <row r="5397" spans="1:7" x14ac:dyDescent="0.25">
      <c r="A5397" t="s">
        <v>16929</v>
      </c>
      <c r="B5397" t="s">
        <v>17205</v>
      </c>
      <c r="C5397" t="s">
        <v>773</v>
      </c>
      <c r="D5397" t="s">
        <v>774</v>
      </c>
      <c r="E5397" t="s">
        <v>775</v>
      </c>
      <c r="F5397" t="s">
        <v>17206</v>
      </c>
      <c r="G5397" s="2" t="str">
        <f>HYPERLINK("https://probpalata.gov.ru/files/ЮЛ780300131300481.jpeg","Скачать индивидуальный QR-код магазина")</f>
        <v>Скачать индивидуальный QR-код магазина</v>
      </c>
    </row>
    <row r="5398" spans="1:7" x14ac:dyDescent="0.25">
      <c r="A5398" t="s">
        <v>16929</v>
      </c>
      <c r="B5398" t="s">
        <v>17125</v>
      </c>
      <c r="C5398" t="s">
        <v>798</v>
      </c>
      <c r="D5398" t="s">
        <v>799</v>
      </c>
      <c r="E5398" t="s">
        <v>800</v>
      </c>
      <c r="F5398" t="s">
        <v>17207</v>
      </c>
      <c r="G5398" s="2" t="str">
        <f>HYPERLINK("https://probpalata.gov.ru/files/ЮЛ780300308200481.jpeg","Скачать индивидуальный QR-код магазина")</f>
        <v>Скачать индивидуальный QR-код магазина</v>
      </c>
    </row>
    <row r="5399" spans="1:7" x14ac:dyDescent="0.25">
      <c r="A5399" t="s">
        <v>16929</v>
      </c>
      <c r="B5399" t="s">
        <v>17208</v>
      </c>
      <c r="C5399" t="s">
        <v>798</v>
      </c>
      <c r="D5399" t="s">
        <v>799</v>
      </c>
      <c r="E5399" t="s">
        <v>800</v>
      </c>
      <c r="F5399" t="s">
        <v>17209</v>
      </c>
      <c r="G5399" s="2" t="str">
        <f>HYPERLINK("https://probpalata.gov.ru/files/ЮЛ780300308200629.jpeg","Скачать индивидуальный QR-код магазина")</f>
        <v>Скачать индивидуальный QR-код магазина</v>
      </c>
    </row>
    <row r="5400" spans="1:7" x14ac:dyDescent="0.25">
      <c r="A5400" t="s">
        <v>16929</v>
      </c>
      <c r="B5400" t="s">
        <v>17210</v>
      </c>
      <c r="C5400" t="s">
        <v>798</v>
      </c>
      <c r="D5400" t="s">
        <v>799</v>
      </c>
      <c r="E5400" t="s">
        <v>800</v>
      </c>
      <c r="F5400" t="s">
        <v>17211</v>
      </c>
      <c r="G5400" s="2" t="str">
        <f>HYPERLINK("https://probpalata.gov.ru/files/ЮЛ780300308200911.jpeg","Скачать индивидуальный QR-код магазина")</f>
        <v>Скачать индивидуальный QR-код магазина</v>
      </c>
    </row>
    <row r="5401" spans="1:7" x14ac:dyDescent="0.25">
      <c r="A5401" t="s">
        <v>16929</v>
      </c>
      <c r="B5401" t="s">
        <v>17201</v>
      </c>
      <c r="C5401" t="s">
        <v>798</v>
      </c>
      <c r="D5401" t="s">
        <v>799</v>
      </c>
      <c r="E5401" t="s">
        <v>800</v>
      </c>
      <c r="F5401" t="s">
        <v>17212</v>
      </c>
      <c r="G5401" s="2" t="str">
        <f>HYPERLINK("https://probpalata.gov.ru/files/ЮЛ780300308200912.jpeg","Скачать индивидуальный QR-код магазина")</f>
        <v>Скачать индивидуальный QR-код магазина</v>
      </c>
    </row>
    <row r="5402" spans="1:7" x14ac:dyDescent="0.25">
      <c r="A5402" t="s">
        <v>16929</v>
      </c>
      <c r="B5402" t="s">
        <v>17213</v>
      </c>
      <c r="C5402" t="s">
        <v>798</v>
      </c>
      <c r="D5402" t="s">
        <v>799</v>
      </c>
      <c r="E5402" t="s">
        <v>800</v>
      </c>
      <c r="F5402" t="s">
        <v>17214</v>
      </c>
      <c r="G5402" s="2" t="str">
        <f>HYPERLINK("https://probpalata.gov.ru/files/ЮЛ780300308200915.jpeg","Скачать индивидуальный QR-код магазина")</f>
        <v>Скачать индивидуальный QR-код магазина</v>
      </c>
    </row>
    <row r="5403" spans="1:7" x14ac:dyDescent="0.25">
      <c r="A5403" t="s">
        <v>16929</v>
      </c>
      <c r="B5403" t="s">
        <v>17215</v>
      </c>
      <c r="C5403" t="s">
        <v>798</v>
      </c>
      <c r="D5403" t="s">
        <v>799</v>
      </c>
      <c r="E5403" t="s">
        <v>800</v>
      </c>
      <c r="F5403" t="s">
        <v>17216</v>
      </c>
      <c r="G5403" s="2" t="str">
        <f>HYPERLINK("https://probpalata.gov.ru/files/ЮЛ780300308200916.jpeg","Скачать индивидуальный QR-код магазина")</f>
        <v>Скачать индивидуальный QR-код магазина</v>
      </c>
    </row>
    <row r="5404" spans="1:7" x14ac:dyDescent="0.25">
      <c r="A5404" t="s">
        <v>16929</v>
      </c>
      <c r="B5404" t="s">
        <v>17201</v>
      </c>
      <c r="C5404" t="s">
        <v>798</v>
      </c>
      <c r="D5404" t="s">
        <v>799</v>
      </c>
      <c r="E5404" t="s">
        <v>800</v>
      </c>
      <c r="F5404" t="s">
        <v>17217</v>
      </c>
      <c r="G5404" s="2" t="str">
        <f>HYPERLINK("https://probpalata.gov.ru/files/ЮЛ780300308200925.jpeg","Скачать индивидуальный QR-код магазина")</f>
        <v>Скачать индивидуальный QR-код магазина</v>
      </c>
    </row>
    <row r="5405" spans="1:7" x14ac:dyDescent="0.25">
      <c r="A5405" t="s">
        <v>16929</v>
      </c>
      <c r="B5405" t="s">
        <v>17218</v>
      </c>
      <c r="C5405" t="s">
        <v>798</v>
      </c>
      <c r="D5405" t="s">
        <v>799</v>
      </c>
      <c r="E5405" t="s">
        <v>800</v>
      </c>
      <c r="F5405" t="s">
        <v>17219</v>
      </c>
      <c r="G5405" s="2" t="str">
        <f>HYPERLINK("https://probpalata.gov.ru/files/ЮЛ780300308200926.jpeg","Скачать индивидуальный QR-код магазина")</f>
        <v>Скачать индивидуальный QR-код магазина</v>
      </c>
    </row>
    <row r="5406" spans="1:7" x14ac:dyDescent="0.25">
      <c r="A5406" t="s">
        <v>16929</v>
      </c>
      <c r="B5406" t="s">
        <v>17220</v>
      </c>
      <c r="C5406" t="s">
        <v>798</v>
      </c>
      <c r="D5406" t="s">
        <v>799</v>
      </c>
      <c r="E5406" t="s">
        <v>800</v>
      </c>
      <c r="F5406" t="s">
        <v>17221</v>
      </c>
      <c r="G5406" s="2" t="str">
        <f>HYPERLINK("https://probpalata.gov.ru/files/ЮЛ780300308200994.jpeg","Скачать индивидуальный QR-код магазина")</f>
        <v>Скачать индивидуальный QR-код магазина</v>
      </c>
    </row>
    <row r="5407" spans="1:7" x14ac:dyDescent="0.25">
      <c r="A5407" t="s">
        <v>16929</v>
      </c>
      <c r="B5407" t="s">
        <v>17222</v>
      </c>
      <c r="C5407" t="s">
        <v>798</v>
      </c>
      <c r="D5407" t="s">
        <v>799</v>
      </c>
      <c r="E5407" t="s">
        <v>800</v>
      </c>
      <c r="F5407" t="s">
        <v>17223</v>
      </c>
      <c r="G5407" s="2" t="str">
        <f>HYPERLINK("https://probpalata.gov.ru/files/ЮЛ780300308201232.jpeg","Скачать индивидуальный QR-код магазина")</f>
        <v>Скачать индивидуальный QR-код магазина</v>
      </c>
    </row>
    <row r="5408" spans="1:7" x14ac:dyDescent="0.25">
      <c r="A5408" t="s">
        <v>17224</v>
      </c>
      <c r="B5408" t="s">
        <v>17225</v>
      </c>
      <c r="C5408" t="s">
        <v>1997</v>
      </c>
      <c r="D5408" t="s">
        <v>1998</v>
      </c>
      <c r="E5408" t="s">
        <v>1999</v>
      </c>
      <c r="F5408" t="s">
        <v>17226</v>
      </c>
      <c r="G5408" s="2" t="str">
        <f>HYPERLINK("https://probpalata.gov.ru/files/ЮЛ310100216200002.jpeg","Скачать индивидуальный QR-код магазина")</f>
        <v>Скачать индивидуальный QR-код магазина</v>
      </c>
    </row>
    <row r="5409" spans="1:7" x14ac:dyDescent="0.25">
      <c r="A5409" t="s">
        <v>17224</v>
      </c>
      <c r="B5409" t="s">
        <v>17227</v>
      </c>
      <c r="C5409" t="s">
        <v>1997</v>
      </c>
      <c r="D5409" t="s">
        <v>1998</v>
      </c>
      <c r="E5409" t="s">
        <v>1999</v>
      </c>
      <c r="F5409" t="s">
        <v>17228</v>
      </c>
      <c r="G5409" s="2" t="str">
        <f>HYPERLINK("https://probpalata.gov.ru/files/ЮЛ310100216200003.jpeg","Скачать индивидуальный QR-код магазина")</f>
        <v>Скачать индивидуальный QR-код магазина</v>
      </c>
    </row>
    <row r="5410" spans="1:7" x14ac:dyDescent="0.25">
      <c r="A5410" t="s">
        <v>17224</v>
      </c>
      <c r="B5410" t="s">
        <v>17229</v>
      </c>
      <c r="C5410" t="s">
        <v>1997</v>
      </c>
      <c r="D5410" t="s">
        <v>1998</v>
      </c>
      <c r="E5410" t="s">
        <v>1999</v>
      </c>
      <c r="F5410" t="s">
        <v>17230</v>
      </c>
      <c r="G5410" s="2" t="str">
        <f>HYPERLINK("https://probpalata.gov.ru/files/ЮЛ310100216200008.jpeg","Скачать индивидуальный QR-код магазина")</f>
        <v>Скачать индивидуальный QR-код магазина</v>
      </c>
    </row>
    <row r="5411" spans="1:7" x14ac:dyDescent="0.25">
      <c r="A5411" t="s">
        <v>17224</v>
      </c>
      <c r="B5411" t="s">
        <v>17231</v>
      </c>
      <c r="C5411" t="s">
        <v>2039</v>
      </c>
      <c r="D5411" t="s">
        <v>2040</v>
      </c>
      <c r="E5411" t="s">
        <v>2041</v>
      </c>
      <c r="F5411" t="s">
        <v>17232</v>
      </c>
      <c r="G5411" s="2" t="str">
        <f>HYPERLINK("https://probpalata.gov.ru/files/ЮЛ310100189400002.jpeg","Скачать индивидуальный QR-код магазина")</f>
        <v>Скачать индивидуальный QR-код магазина</v>
      </c>
    </row>
    <row r="5412" spans="1:7" x14ac:dyDescent="0.25">
      <c r="A5412" t="s">
        <v>17224</v>
      </c>
      <c r="B5412" t="s">
        <v>17233</v>
      </c>
      <c r="C5412" t="s">
        <v>2039</v>
      </c>
      <c r="D5412" t="s">
        <v>2040</v>
      </c>
      <c r="E5412" t="s">
        <v>2041</v>
      </c>
      <c r="F5412" t="s">
        <v>17234</v>
      </c>
      <c r="G5412" s="2" t="str">
        <f>HYPERLINK("https://probpalata.gov.ru/files/ЮЛ310100189400003.jpeg","Скачать индивидуальный QR-код магазина")</f>
        <v>Скачать индивидуальный QR-код магазина</v>
      </c>
    </row>
    <row r="5413" spans="1:7" x14ac:dyDescent="0.25">
      <c r="A5413" t="s">
        <v>17224</v>
      </c>
      <c r="B5413" t="s">
        <v>17235</v>
      </c>
      <c r="C5413" t="s">
        <v>2509</v>
      </c>
      <c r="D5413" t="s">
        <v>2510</v>
      </c>
      <c r="E5413" t="s">
        <v>2511</v>
      </c>
      <c r="F5413" t="s">
        <v>17236</v>
      </c>
      <c r="G5413" s="2" t="str">
        <f>HYPERLINK("https://probpalata.gov.ru/files/ИП320101991400003.jpeg","Скачать индивидуальный QR-код магазина")</f>
        <v>Скачать индивидуальный QR-код магазина</v>
      </c>
    </row>
    <row r="5414" spans="1:7" x14ac:dyDescent="0.25">
      <c r="A5414" t="s">
        <v>17224</v>
      </c>
      <c r="B5414" t="s">
        <v>17237</v>
      </c>
      <c r="C5414" t="s">
        <v>2509</v>
      </c>
      <c r="D5414" t="s">
        <v>2510</v>
      </c>
      <c r="E5414" t="s">
        <v>2511</v>
      </c>
      <c r="F5414" t="s">
        <v>17238</v>
      </c>
      <c r="G5414" s="2" t="str">
        <f>HYPERLINK("https://probpalata.gov.ru/files/ИП320101991400004.jpeg","Скачать индивидуальный QR-код магазина")</f>
        <v>Скачать индивидуальный QR-код магазина</v>
      </c>
    </row>
    <row r="5415" spans="1:7" x14ac:dyDescent="0.25">
      <c r="A5415" t="s">
        <v>17224</v>
      </c>
      <c r="B5415" t="s">
        <v>17239</v>
      </c>
      <c r="C5415" t="s">
        <v>2509</v>
      </c>
      <c r="D5415" t="s">
        <v>2510</v>
      </c>
      <c r="E5415" t="s">
        <v>2511</v>
      </c>
      <c r="F5415" t="s">
        <v>17240</v>
      </c>
      <c r="G5415" s="2" t="str">
        <f>HYPERLINK("https://probpalata.gov.ru/files/ИП320101991400006.jpeg","Скачать индивидуальный QR-код магазина")</f>
        <v>Скачать индивидуальный QR-код магазина</v>
      </c>
    </row>
    <row r="5416" spans="1:7" x14ac:dyDescent="0.25">
      <c r="A5416" t="s">
        <v>17224</v>
      </c>
      <c r="B5416" t="s">
        <v>17241</v>
      </c>
      <c r="C5416" t="s">
        <v>2509</v>
      </c>
      <c r="D5416" t="s">
        <v>2510</v>
      </c>
      <c r="E5416" t="s">
        <v>2511</v>
      </c>
      <c r="F5416" t="s">
        <v>17242</v>
      </c>
      <c r="G5416" s="2" t="str">
        <f>HYPERLINK("https://probpalata.gov.ru/files/ИП320101991400016.jpeg","Скачать индивидуальный QR-код магазина")</f>
        <v>Скачать индивидуальный QR-код магазина</v>
      </c>
    </row>
    <row r="5417" spans="1:7" x14ac:dyDescent="0.25">
      <c r="A5417" t="s">
        <v>17224</v>
      </c>
      <c r="B5417" t="s">
        <v>17243</v>
      </c>
      <c r="C5417" t="s">
        <v>2509</v>
      </c>
      <c r="D5417" t="s">
        <v>2510</v>
      </c>
      <c r="E5417" t="s">
        <v>2511</v>
      </c>
      <c r="F5417" t="s">
        <v>17244</v>
      </c>
      <c r="G5417" s="2" t="str">
        <f>HYPERLINK("https://probpalata.gov.ru/files/ИП320101991400017.jpeg","Скачать индивидуальный QR-код магазина")</f>
        <v>Скачать индивидуальный QR-код магазина</v>
      </c>
    </row>
    <row r="5418" spans="1:7" x14ac:dyDescent="0.25">
      <c r="A5418" t="s">
        <v>17224</v>
      </c>
      <c r="B5418" t="s">
        <v>17245</v>
      </c>
      <c r="C5418" t="s">
        <v>17246</v>
      </c>
      <c r="D5418" t="s">
        <v>17247</v>
      </c>
      <c r="E5418" t="s">
        <v>17248</v>
      </c>
      <c r="F5418" t="s">
        <v>17249</v>
      </c>
      <c r="G5418" s="2" t="str">
        <f>HYPERLINK("https://probpalata.gov.ru/files/ЮЛ460100755800000.jpeg","Скачать индивидуальный QR-код магазина")</f>
        <v>Скачать индивидуальный QR-код магазина</v>
      </c>
    </row>
    <row r="5419" spans="1:7" x14ac:dyDescent="0.25">
      <c r="A5419" t="s">
        <v>17224</v>
      </c>
      <c r="B5419" t="s">
        <v>17250</v>
      </c>
      <c r="C5419" t="s">
        <v>17251</v>
      </c>
      <c r="D5419" t="s">
        <v>17252</v>
      </c>
      <c r="E5419" t="s">
        <v>17253</v>
      </c>
      <c r="F5419" t="s">
        <v>17254</v>
      </c>
      <c r="G5419" s="2" t="str">
        <f>HYPERLINK("https://probpalata.gov.ru/files/ЮЛ460101521200000.jpeg","Скачать индивидуальный QR-код магазина")</f>
        <v>Скачать индивидуальный QR-код магазина</v>
      </c>
    </row>
    <row r="5420" spans="1:7" x14ac:dyDescent="0.25">
      <c r="A5420" t="s">
        <v>17224</v>
      </c>
      <c r="B5420" t="s">
        <v>17255</v>
      </c>
      <c r="C5420" t="s">
        <v>17256</v>
      </c>
      <c r="D5420" t="s">
        <v>17257</v>
      </c>
      <c r="E5420" t="s">
        <v>17258</v>
      </c>
      <c r="F5420" t="s">
        <v>17259</v>
      </c>
      <c r="G5420" s="2" t="str">
        <f>HYPERLINK("https://probpalata.gov.ru/files/ИП460101611100000.jpeg","Скачать индивидуальный QR-код магазина")</f>
        <v>Скачать индивидуальный QR-код магазина</v>
      </c>
    </row>
    <row r="5421" spans="1:7" x14ac:dyDescent="0.25">
      <c r="A5421" t="s">
        <v>17224</v>
      </c>
      <c r="B5421" t="s">
        <v>17260</v>
      </c>
      <c r="C5421" t="s">
        <v>17261</v>
      </c>
      <c r="D5421" t="s">
        <v>17262</v>
      </c>
      <c r="E5421" t="s">
        <v>17263</v>
      </c>
      <c r="F5421" t="s">
        <v>17264</v>
      </c>
      <c r="G5421" s="2" t="str">
        <f>HYPERLINK("https://probpalata.gov.ru/files/ИП460103278600000.jpeg","Скачать индивидуальный QR-код магазина")</f>
        <v>Скачать индивидуальный QR-код магазина</v>
      </c>
    </row>
    <row r="5422" spans="1:7" x14ac:dyDescent="0.25">
      <c r="A5422" t="s">
        <v>17224</v>
      </c>
      <c r="B5422" t="s">
        <v>17265</v>
      </c>
      <c r="C5422" t="s">
        <v>17266</v>
      </c>
      <c r="D5422" t="s">
        <v>17267</v>
      </c>
      <c r="E5422" t="s">
        <v>17268</v>
      </c>
      <c r="F5422" t="s">
        <v>17269</v>
      </c>
      <c r="G5422" s="2" t="str">
        <f>HYPERLINK("https://probpalata.gov.ru/files/ИП460101910700002.jpeg","Скачать индивидуальный QR-код магазина")</f>
        <v>Скачать индивидуальный QR-код магазина</v>
      </c>
    </row>
    <row r="5423" spans="1:7" x14ac:dyDescent="0.25">
      <c r="A5423" t="s">
        <v>17224</v>
      </c>
      <c r="B5423" t="s">
        <v>17270</v>
      </c>
      <c r="C5423" t="s">
        <v>17266</v>
      </c>
      <c r="D5423" t="s">
        <v>17267</v>
      </c>
      <c r="E5423" t="s">
        <v>17268</v>
      </c>
      <c r="F5423" t="s">
        <v>17271</v>
      </c>
      <c r="G5423" s="2" t="str">
        <f>HYPERLINK("https://probpalata.gov.ru/files/ИП460101910700006.jpeg","Скачать индивидуальный QR-код магазина")</f>
        <v>Скачать индивидуальный QR-код магазина</v>
      </c>
    </row>
    <row r="5424" spans="1:7" x14ac:dyDescent="0.25">
      <c r="A5424" t="s">
        <v>17224</v>
      </c>
      <c r="B5424" t="s">
        <v>17272</v>
      </c>
      <c r="C5424" t="s">
        <v>17266</v>
      </c>
      <c r="D5424" t="s">
        <v>17267</v>
      </c>
      <c r="E5424" t="s">
        <v>17268</v>
      </c>
      <c r="F5424" t="s">
        <v>17273</v>
      </c>
      <c r="G5424" s="2" t="str">
        <f>HYPERLINK("https://probpalata.gov.ru/files/ИП460101910700007.jpeg","Скачать индивидуальный QR-код магазина")</f>
        <v>Скачать индивидуальный QR-код магазина</v>
      </c>
    </row>
    <row r="5425" spans="1:7" x14ac:dyDescent="0.25">
      <c r="A5425" t="s">
        <v>17224</v>
      </c>
      <c r="B5425" t="s">
        <v>17274</v>
      </c>
      <c r="C5425" t="s">
        <v>17266</v>
      </c>
      <c r="D5425" t="s">
        <v>17267</v>
      </c>
      <c r="E5425" t="s">
        <v>17268</v>
      </c>
      <c r="F5425" t="s">
        <v>17275</v>
      </c>
      <c r="G5425" s="2" t="str">
        <f>HYPERLINK("https://probpalata.gov.ru/files/ИП460101910700009.jpeg","Скачать индивидуальный QR-код магазина")</f>
        <v>Скачать индивидуальный QR-код магазина</v>
      </c>
    </row>
    <row r="5426" spans="1:7" x14ac:dyDescent="0.25">
      <c r="A5426" t="s">
        <v>17224</v>
      </c>
      <c r="B5426" t="s">
        <v>17276</v>
      </c>
      <c r="C5426" t="s">
        <v>17266</v>
      </c>
      <c r="D5426" t="s">
        <v>17267</v>
      </c>
      <c r="E5426" t="s">
        <v>17268</v>
      </c>
      <c r="F5426" t="s">
        <v>17277</v>
      </c>
      <c r="G5426" s="2" t="str">
        <f>HYPERLINK("https://probpalata.gov.ru/files/ИП460101910700010.jpeg","Скачать индивидуальный QR-код магазина")</f>
        <v>Скачать индивидуальный QR-код магазина</v>
      </c>
    </row>
    <row r="5427" spans="1:7" x14ac:dyDescent="0.25">
      <c r="A5427" t="s">
        <v>17224</v>
      </c>
      <c r="B5427" t="s">
        <v>17278</v>
      </c>
      <c r="C5427" t="s">
        <v>17266</v>
      </c>
      <c r="D5427" t="s">
        <v>17267</v>
      </c>
      <c r="E5427" t="s">
        <v>17268</v>
      </c>
      <c r="F5427" t="s">
        <v>17279</v>
      </c>
      <c r="G5427" s="2" t="str">
        <f>HYPERLINK("https://probpalata.gov.ru/files/ИП460101910700011.jpeg","Скачать индивидуальный QR-код магазина")</f>
        <v>Скачать индивидуальный QR-код магазина</v>
      </c>
    </row>
    <row r="5428" spans="1:7" x14ac:dyDescent="0.25">
      <c r="A5428" t="s">
        <v>17224</v>
      </c>
      <c r="B5428" t="s">
        <v>17280</v>
      </c>
      <c r="C5428" t="s">
        <v>17266</v>
      </c>
      <c r="D5428" t="s">
        <v>17267</v>
      </c>
      <c r="E5428" t="s">
        <v>17268</v>
      </c>
      <c r="F5428" t="s">
        <v>17281</v>
      </c>
      <c r="G5428" s="2" t="str">
        <f>HYPERLINK("https://probpalata.gov.ru/files/ИП460101910700012.jpeg","Скачать индивидуальный QR-код магазина")</f>
        <v>Скачать индивидуальный QR-код магазина</v>
      </c>
    </row>
    <row r="5429" spans="1:7" x14ac:dyDescent="0.25">
      <c r="A5429" t="s">
        <v>17224</v>
      </c>
      <c r="B5429" t="s">
        <v>17282</v>
      </c>
      <c r="C5429" t="s">
        <v>17266</v>
      </c>
      <c r="D5429" t="s">
        <v>17267</v>
      </c>
      <c r="E5429" t="s">
        <v>17268</v>
      </c>
      <c r="F5429" t="s">
        <v>17283</v>
      </c>
      <c r="G5429" s="2" t="str">
        <f>HYPERLINK("https://probpalata.gov.ru/files/ИП460101910700013.jpeg","Скачать индивидуальный QR-код магазина")</f>
        <v>Скачать индивидуальный QR-код магазина</v>
      </c>
    </row>
    <row r="5430" spans="1:7" x14ac:dyDescent="0.25">
      <c r="A5430" t="s">
        <v>17224</v>
      </c>
      <c r="B5430" t="s">
        <v>17284</v>
      </c>
      <c r="C5430" t="s">
        <v>17266</v>
      </c>
      <c r="D5430" t="s">
        <v>17267</v>
      </c>
      <c r="E5430" t="s">
        <v>17268</v>
      </c>
      <c r="F5430" t="s">
        <v>17285</v>
      </c>
      <c r="G5430" s="2" t="str">
        <f>HYPERLINK("https://probpalata.gov.ru/files/ИП460101910700014.jpeg","Скачать индивидуальный QR-код магазина")</f>
        <v>Скачать индивидуальный QR-код магазина</v>
      </c>
    </row>
    <row r="5431" spans="1:7" x14ac:dyDescent="0.25">
      <c r="A5431" t="s">
        <v>17224</v>
      </c>
      <c r="B5431" t="s">
        <v>17286</v>
      </c>
      <c r="C5431" t="s">
        <v>17287</v>
      </c>
      <c r="D5431" t="s">
        <v>17288</v>
      </c>
      <c r="E5431" t="s">
        <v>17289</v>
      </c>
      <c r="F5431" t="s">
        <v>17290</v>
      </c>
      <c r="G5431" s="2" t="str">
        <f>HYPERLINK("https://probpalata.gov.ru/files/ИП460103299200000.jpeg","Скачать индивидуальный QR-код магазина")</f>
        <v>Скачать индивидуальный QR-код магазина</v>
      </c>
    </row>
    <row r="5432" spans="1:7" x14ac:dyDescent="0.25">
      <c r="A5432" t="s">
        <v>17224</v>
      </c>
      <c r="B5432" t="s">
        <v>17291</v>
      </c>
      <c r="C5432" t="s">
        <v>17292</v>
      </c>
      <c r="D5432" t="s">
        <v>17293</v>
      </c>
      <c r="E5432" t="s">
        <v>17294</v>
      </c>
      <c r="F5432" t="s">
        <v>17295</v>
      </c>
      <c r="G5432" s="2" t="str">
        <f>HYPERLINK("https://probpalata.gov.ru/files/ИП460100098600000.jpeg","Скачать индивидуальный QR-код магазина")</f>
        <v>Скачать индивидуальный QR-код магазина</v>
      </c>
    </row>
    <row r="5433" spans="1:7" x14ac:dyDescent="0.25">
      <c r="A5433" t="s">
        <v>17224</v>
      </c>
      <c r="B5433" t="s">
        <v>17296</v>
      </c>
      <c r="C5433" t="s">
        <v>17292</v>
      </c>
      <c r="D5433" t="s">
        <v>17293</v>
      </c>
      <c r="E5433" t="s">
        <v>17294</v>
      </c>
      <c r="F5433" t="s">
        <v>17297</v>
      </c>
      <c r="G5433" s="2" t="str">
        <f>HYPERLINK("https://probpalata.gov.ru/files/ИП460100098600001.jpeg","Скачать индивидуальный QR-код магазина")</f>
        <v>Скачать индивидуальный QR-код магазина</v>
      </c>
    </row>
    <row r="5434" spans="1:7" x14ac:dyDescent="0.25">
      <c r="A5434" t="s">
        <v>17224</v>
      </c>
      <c r="B5434" t="s">
        <v>17298</v>
      </c>
      <c r="C5434" t="s">
        <v>17299</v>
      </c>
      <c r="D5434" t="s">
        <v>17300</v>
      </c>
      <c r="E5434" t="s">
        <v>17301</v>
      </c>
      <c r="F5434" t="s">
        <v>17302</v>
      </c>
      <c r="G5434" s="2" t="str">
        <f>HYPERLINK("https://probpalata.gov.ru/files/ИП460103200100000.jpeg","Скачать индивидуальный QR-код магазина")</f>
        <v>Скачать индивидуальный QR-код магазина</v>
      </c>
    </row>
    <row r="5435" spans="1:7" x14ac:dyDescent="0.25">
      <c r="A5435" t="s">
        <v>17224</v>
      </c>
      <c r="B5435" t="s">
        <v>17303</v>
      </c>
      <c r="C5435" t="s">
        <v>17304</v>
      </c>
      <c r="D5435" t="s">
        <v>17305</v>
      </c>
      <c r="E5435" t="s">
        <v>17306</v>
      </c>
      <c r="F5435" t="s">
        <v>17307</v>
      </c>
      <c r="G5435" s="2" t="str">
        <f>HYPERLINK("https://probpalata.gov.ru/files/ИП460100596300000.jpeg","Скачать индивидуальный QR-код магазина")</f>
        <v>Скачать индивидуальный QR-код магазина</v>
      </c>
    </row>
    <row r="5436" spans="1:7" x14ac:dyDescent="0.25">
      <c r="A5436" t="s">
        <v>17224</v>
      </c>
      <c r="B5436" t="s">
        <v>17308</v>
      </c>
      <c r="C5436" t="s">
        <v>17309</v>
      </c>
      <c r="D5436" t="s">
        <v>17310</v>
      </c>
      <c r="E5436" t="s">
        <v>17311</v>
      </c>
      <c r="F5436" t="s">
        <v>17312</v>
      </c>
      <c r="G5436" s="2" t="str">
        <f>HYPERLINK("https://probpalata.gov.ru/files/ИП460101234700000.jpeg","Скачать индивидуальный QR-код магазина")</f>
        <v>Скачать индивидуальный QR-код магазина</v>
      </c>
    </row>
    <row r="5437" spans="1:7" x14ac:dyDescent="0.25">
      <c r="A5437" t="s">
        <v>17224</v>
      </c>
      <c r="B5437" t="s">
        <v>17313</v>
      </c>
      <c r="C5437" t="s">
        <v>17314</v>
      </c>
      <c r="D5437" t="s">
        <v>17315</v>
      </c>
      <c r="E5437" t="s">
        <v>17316</v>
      </c>
      <c r="F5437" t="s">
        <v>17317</v>
      </c>
      <c r="G5437" s="2" t="str">
        <f>HYPERLINK("https://probpalata.gov.ru/files/ИП460103686700000.jpeg","Скачать индивидуальный QR-код магазина")</f>
        <v>Скачать индивидуальный QR-код магазина</v>
      </c>
    </row>
    <row r="5438" spans="1:7" x14ac:dyDescent="0.25">
      <c r="A5438" t="s">
        <v>17224</v>
      </c>
      <c r="B5438" t="s">
        <v>17318</v>
      </c>
      <c r="C5438" t="s">
        <v>17314</v>
      </c>
      <c r="D5438" t="s">
        <v>17315</v>
      </c>
      <c r="E5438" t="s">
        <v>17316</v>
      </c>
      <c r="F5438" t="s">
        <v>17319</v>
      </c>
      <c r="G5438" s="2" t="str">
        <f>HYPERLINK("https://probpalata.gov.ru/files/ИП460103686700001.jpeg","Скачать индивидуальный QR-код магазина")</f>
        <v>Скачать индивидуальный QR-код магазина</v>
      </c>
    </row>
    <row r="5439" spans="1:7" x14ac:dyDescent="0.25">
      <c r="A5439" t="s">
        <v>17224</v>
      </c>
      <c r="B5439" t="s">
        <v>17320</v>
      </c>
      <c r="C5439" t="s">
        <v>17321</v>
      </c>
      <c r="D5439" t="s">
        <v>17322</v>
      </c>
      <c r="E5439" t="s">
        <v>17323</v>
      </c>
      <c r="F5439" t="s">
        <v>17324</v>
      </c>
      <c r="G5439" s="2" t="str">
        <f>HYPERLINK("https://probpalata.gov.ru/files/ИП460101268300000.jpeg","Скачать индивидуальный QR-код магазина")</f>
        <v>Скачать индивидуальный QR-код магазина</v>
      </c>
    </row>
    <row r="5440" spans="1:7" x14ac:dyDescent="0.25">
      <c r="A5440" t="s">
        <v>17224</v>
      </c>
      <c r="B5440" t="s">
        <v>17325</v>
      </c>
      <c r="C5440" t="s">
        <v>17321</v>
      </c>
      <c r="D5440" t="s">
        <v>17322</v>
      </c>
      <c r="E5440" t="s">
        <v>17323</v>
      </c>
      <c r="F5440" t="s">
        <v>17326</v>
      </c>
      <c r="G5440" s="2" t="str">
        <f>HYPERLINK("https://probpalata.gov.ru/files/ИП460101268300002.jpeg","Скачать индивидуальный QR-код магазина")</f>
        <v>Скачать индивидуальный QR-код магазина</v>
      </c>
    </row>
    <row r="5441" spans="1:7" x14ac:dyDescent="0.25">
      <c r="A5441" t="s">
        <v>17224</v>
      </c>
      <c r="B5441" t="s">
        <v>17327</v>
      </c>
      <c r="C5441" t="s">
        <v>17321</v>
      </c>
      <c r="D5441" t="s">
        <v>17322</v>
      </c>
      <c r="E5441" t="s">
        <v>17323</v>
      </c>
      <c r="F5441" t="s">
        <v>17328</v>
      </c>
      <c r="G5441" s="2" t="str">
        <f>HYPERLINK("https://probpalata.gov.ru/files/ИП460101268300003.jpeg","Скачать индивидуальный QR-код магазина")</f>
        <v>Скачать индивидуальный QR-код магазина</v>
      </c>
    </row>
    <row r="5442" spans="1:7" x14ac:dyDescent="0.25">
      <c r="A5442" t="s">
        <v>17224</v>
      </c>
      <c r="B5442" t="s">
        <v>17329</v>
      </c>
      <c r="C5442" t="s">
        <v>17321</v>
      </c>
      <c r="D5442" t="s">
        <v>17322</v>
      </c>
      <c r="E5442" t="s">
        <v>17323</v>
      </c>
      <c r="F5442" t="s">
        <v>17330</v>
      </c>
      <c r="G5442" s="2" t="str">
        <f>HYPERLINK("https://probpalata.gov.ru/files/ИП460101268300004.jpeg","Скачать индивидуальный QR-код магазина")</f>
        <v>Скачать индивидуальный QR-код магазина</v>
      </c>
    </row>
    <row r="5443" spans="1:7" x14ac:dyDescent="0.25">
      <c r="A5443" t="s">
        <v>17224</v>
      </c>
      <c r="B5443" t="s">
        <v>17331</v>
      </c>
      <c r="C5443" t="s">
        <v>17321</v>
      </c>
      <c r="D5443" t="s">
        <v>17322</v>
      </c>
      <c r="E5443" t="s">
        <v>17323</v>
      </c>
      <c r="F5443" t="s">
        <v>17332</v>
      </c>
      <c r="G5443" s="2" t="str">
        <f>HYPERLINK("https://probpalata.gov.ru/files/ИП460101268300005.jpeg","Скачать индивидуальный QR-код магазина")</f>
        <v>Скачать индивидуальный QR-код магазина</v>
      </c>
    </row>
    <row r="5444" spans="1:7" x14ac:dyDescent="0.25">
      <c r="A5444" t="s">
        <v>17224</v>
      </c>
      <c r="B5444" t="s">
        <v>17333</v>
      </c>
      <c r="C5444" t="s">
        <v>17334</v>
      </c>
      <c r="D5444" t="s">
        <v>17335</v>
      </c>
      <c r="E5444" t="s">
        <v>17336</v>
      </c>
      <c r="F5444" t="s">
        <v>17337</v>
      </c>
      <c r="G5444" s="2" t="str">
        <f>HYPERLINK("https://probpalata.gov.ru/files/ИП460100880600000.jpeg","Скачать индивидуальный QR-код магазина")</f>
        <v>Скачать индивидуальный QR-код магазина</v>
      </c>
    </row>
    <row r="5445" spans="1:7" x14ac:dyDescent="0.25">
      <c r="A5445" t="s">
        <v>17224</v>
      </c>
      <c r="B5445" t="s">
        <v>17338</v>
      </c>
      <c r="C5445" t="s">
        <v>17339</v>
      </c>
      <c r="D5445" t="s">
        <v>17340</v>
      </c>
      <c r="E5445" t="s">
        <v>17341</v>
      </c>
      <c r="F5445" t="s">
        <v>17342</v>
      </c>
      <c r="G5445" s="2" t="str">
        <f>HYPERLINK("https://probpalata.gov.ru/files/ЮЛ460100726700001.jpeg","Скачать индивидуальный QR-код магазина")</f>
        <v>Скачать индивидуальный QR-код магазина</v>
      </c>
    </row>
    <row r="5446" spans="1:7" x14ac:dyDescent="0.25">
      <c r="A5446" t="s">
        <v>17224</v>
      </c>
      <c r="B5446" t="s">
        <v>17343</v>
      </c>
      <c r="C5446" t="s">
        <v>17339</v>
      </c>
      <c r="D5446" t="s">
        <v>17340</v>
      </c>
      <c r="E5446" t="s">
        <v>17341</v>
      </c>
      <c r="F5446" t="s">
        <v>17344</v>
      </c>
      <c r="G5446" s="2" t="str">
        <f>HYPERLINK("https://probpalata.gov.ru/files/ЮЛ460100726700015.jpeg","Скачать индивидуальный QR-код магазина")</f>
        <v>Скачать индивидуальный QR-код магазина</v>
      </c>
    </row>
    <row r="5447" spans="1:7" x14ac:dyDescent="0.25">
      <c r="A5447" t="s">
        <v>17224</v>
      </c>
      <c r="B5447" t="s">
        <v>17345</v>
      </c>
      <c r="C5447" t="s">
        <v>17339</v>
      </c>
      <c r="D5447" t="s">
        <v>17340</v>
      </c>
      <c r="E5447" t="s">
        <v>17341</v>
      </c>
      <c r="F5447" t="s">
        <v>17346</v>
      </c>
      <c r="G5447" s="2" t="str">
        <f>HYPERLINK("https://probpalata.gov.ru/files/ЮЛ460100726700021.jpeg","Скачать индивидуальный QR-код магазина")</f>
        <v>Скачать индивидуальный QR-код магазина</v>
      </c>
    </row>
    <row r="5448" spans="1:7" x14ac:dyDescent="0.25">
      <c r="A5448" t="s">
        <v>17224</v>
      </c>
      <c r="B5448" t="s">
        <v>17347</v>
      </c>
      <c r="C5448" t="s">
        <v>17348</v>
      </c>
      <c r="D5448" t="s">
        <v>17349</v>
      </c>
      <c r="E5448" t="s">
        <v>17350</v>
      </c>
      <c r="F5448" t="s">
        <v>17351</v>
      </c>
      <c r="G5448" s="2" t="str">
        <f>HYPERLINK("https://probpalata.gov.ru/files/ИП460100419100000.jpeg","Скачать индивидуальный QR-код магазина")</f>
        <v>Скачать индивидуальный QR-код магазина</v>
      </c>
    </row>
    <row r="5449" spans="1:7" x14ac:dyDescent="0.25">
      <c r="A5449" t="s">
        <v>17224</v>
      </c>
      <c r="B5449" t="s">
        <v>17352</v>
      </c>
      <c r="C5449" t="s">
        <v>17348</v>
      </c>
      <c r="D5449" t="s">
        <v>17349</v>
      </c>
      <c r="E5449" t="s">
        <v>17350</v>
      </c>
      <c r="F5449" t="s">
        <v>17353</v>
      </c>
      <c r="G5449" s="2" t="str">
        <f>HYPERLINK("https://probpalata.gov.ru/files/ИП460100419100001.jpeg","Скачать индивидуальный QR-код магазина")</f>
        <v>Скачать индивидуальный QR-код магазина</v>
      </c>
    </row>
    <row r="5450" spans="1:7" x14ac:dyDescent="0.25">
      <c r="A5450" t="s">
        <v>17224</v>
      </c>
      <c r="B5450" t="s">
        <v>17354</v>
      </c>
      <c r="C5450" t="s">
        <v>17348</v>
      </c>
      <c r="D5450" t="s">
        <v>17349</v>
      </c>
      <c r="E5450" t="s">
        <v>17350</v>
      </c>
      <c r="F5450" t="s">
        <v>17355</v>
      </c>
      <c r="G5450" s="2" t="str">
        <f>HYPERLINK("https://probpalata.gov.ru/files/ИП460100419100003.jpeg","Скачать индивидуальный QR-код магазина")</f>
        <v>Скачать индивидуальный QR-код магазина</v>
      </c>
    </row>
    <row r="5451" spans="1:7" x14ac:dyDescent="0.25">
      <c r="A5451" t="s">
        <v>17224</v>
      </c>
      <c r="B5451" t="s">
        <v>17356</v>
      </c>
      <c r="C5451" t="s">
        <v>17348</v>
      </c>
      <c r="D5451" t="s">
        <v>17349</v>
      </c>
      <c r="E5451" t="s">
        <v>17350</v>
      </c>
      <c r="F5451" t="s">
        <v>17357</v>
      </c>
      <c r="G5451" s="2" t="str">
        <f>HYPERLINK("https://probpalata.gov.ru/files/ИП460100419100004.jpeg","Скачать индивидуальный QR-код магазина")</f>
        <v>Скачать индивидуальный QR-код магазина</v>
      </c>
    </row>
    <row r="5452" spans="1:7" x14ac:dyDescent="0.25">
      <c r="A5452" t="s">
        <v>17224</v>
      </c>
      <c r="B5452" t="s">
        <v>17358</v>
      </c>
      <c r="C5452" t="s">
        <v>17348</v>
      </c>
      <c r="D5452" t="s">
        <v>17349</v>
      </c>
      <c r="E5452" t="s">
        <v>17350</v>
      </c>
      <c r="F5452" t="s">
        <v>17359</v>
      </c>
      <c r="G5452" s="2" t="str">
        <f>HYPERLINK("https://probpalata.gov.ru/files/ИП460100419100005.jpeg","Скачать индивидуальный QR-код магазина")</f>
        <v>Скачать индивидуальный QR-код магазина</v>
      </c>
    </row>
    <row r="5453" spans="1:7" x14ac:dyDescent="0.25">
      <c r="A5453" t="s">
        <v>17224</v>
      </c>
      <c r="B5453" t="s">
        <v>17360</v>
      </c>
      <c r="C5453" t="s">
        <v>17361</v>
      </c>
      <c r="D5453" t="s">
        <v>17362</v>
      </c>
      <c r="E5453" t="s">
        <v>17363</v>
      </c>
      <c r="F5453" t="s">
        <v>17364</v>
      </c>
      <c r="G5453" s="2" t="str">
        <f>HYPERLINK("https://probpalata.gov.ru/files/ЮЛ460100704200000.jpeg","Скачать индивидуальный QR-код магазина")</f>
        <v>Скачать индивидуальный QR-код магазина</v>
      </c>
    </row>
    <row r="5454" spans="1:7" x14ac:dyDescent="0.25">
      <c r="A5454" t="s">
        <v>17224</v>
      </c>
      <c r="B5454" t="s">
        <v>17365</v>
      </c>
      <c r="C5454" t="s">
        <v>17361</v>
      </c>
      <c r="D5454" t="s">
        <v>17362</v>
      </c>
      <c r="E5454" t="s">
        <v>17363</v>
      </c>
      <c r="F5454" t="s">
        <v>17366</v>
      </c>
      <c r="G5454" s="2" t="str">
        <f>HYPERLINK("https://probpalata.gov.ru/files/ЮЛ460100704200002.jpeg","Скачать индивидуальный QR-код магазина")</f>
        <v>Скачать индивидуальный QR-код магазина</v>
      </c>
    </row>
    <row r="5455" spans="1:7" x14ac:dyDescent="0.25">
      <c r="A5455" t="s">
        <v>17224</v>
      </c>
      <c r="B5455" t="s">
        <v>17367</v>
      </c>
      <c r="C5455" t="s">
        <v>17368</v>
      </c>
      <c r="D5455" t="s">
        <v>17369</v>
      </c>
      <c r="E5455" t="s">
        <v>17370</v>
      </c>
      <c r="F5455" t="s">
        <v>17371</v>
      </c>
      <c r="G5455" s="2" t="str">
        <f>HYPERLINK("https://probpalata.gov.ru/files/ЮЛ460100268000000.jpeg","Скачать индивидуальный QR-код магазина")</f>
        <v>Скачать индивидуальный QR-код магазина</v>
      </c>
    </row>
    <row r="5456" spans="1:7" x14ac:dyDescent="0.25">
      <c r="A5456" t="s">
        <v>17224</v>
      </c>
      <c r="B5456" t="s">
        <v>17372</v>
      </c>
      <c r="C5456" t="s">
        <v>2176</v>
      </c>
      <c r="D5456" t="s">
        <v>2177</v>
      </c>
      <c r="E5456" t="s">
        <v>2178</v>
      </c>
      <c r="F5456" t="s">
        <v>17373</v>
      </c>
      <c r="G5456" s="2" t="str">
        <f>HYPERLINK("https://probpalata.gov.ru/files/ИП460103958400001.jpeg","Скачать индивидуальный QR-код магазина")</f>
        <v>Скачать индивидуальный QR-код магазина</v>
      </c>
    </row>
    <row r="5457" spans="1:7" x14ac:dyDescent="0.25">
      <c r="A5457" t="s">
        <v>17224</v>
      </c>
      <c r="B5457" t="s">
        <v>17374</v>
      </c>
      <c r="C5457" t="s">
        <v>2176</v>
      </c>
      <c r="D5457" t="s">
        <v>2177</v>
      </c>
      <c r="E5457" t="s">
        <v>2178</v>
      </c>
      <c r="F5457" t="s">
        <v>17375</v>
      </c>
      <c r="G5457" s="2" t="str">
        <f>HYPERLINK("https://probpalata.gov.ru/files/ИП460103958400003.jpeg","Скачать индивидуальный QR-код магазина")</f>
        <v>Скачать индивидуальный QR-код магазина</v>
      </c>
    </row>
    <row r="5458" spans="1:7" x14ac:dyDescent="0.25">
      <c r="A5458" t="s">
        <v>17224</v>
      </c>
      <c r="B5458" t="s">
        <v>17376</v>
      </c>
      <c r="C5458" t="s">
        <v>2176</v>
      </c>
      <c r="D5458" t="s">
        <v>2177</v>
      </c>
      <c r="E5458" t="s">
        <v>2178</v>
      </c>
      <c r="F5458" t="s">
        <v>17377</v>
      </c>
      <c r="G5458" s="2" t="str">
        <f>HYPERLINK("https://probpalata.gov.ru/files/ИП460103958400004.jpeg","Скачать индивидуальный QR-код магазина")</f>
        <v>Скачать индивидуальный QR-код магазина</v>
      </c>
    </row>
    <row r="5459" spans="1:7" x14ac:dyDescent="0.25">
      <c r="A5459" t="s">
        <v>17224</v>
      </c>
      <c r="B5459" t="s">
        <v>17378</v>
      </c>
      <c r="C5459" t="s">
        <v>2176</v>
      </c>
      <c r="D5459" t="s">
        <v>2177</v>
      </c>
      <c r="E5459" t="s">
        <v>2178</v>
      </c>
      <c r="F5459" t="s">
        <v>17379</v>
      </c>
      <c r="G5459" s="2" t="str">
        <f>HYPERLINK("https://probpalata.gov.ru/files/ИП460103958400007.jpeg","Скачать индивидуальный QR-код магазина")</f>
        <v>Скачать индивидуальный QR-код магазина</v>
      </c>
    </row>
    <row r="5460" spans="1:7" x14ac:dyDescent="0.25">
      <c r="A5460" t="s">
        <v>17224</v>
      </c>
      <c r="B5460" t="s">
        <v>17380</v>
      </c>
      <c r="C5460" t="s">
        <v>2176</v>
      </c>
      <c r="D5460" t="s">
        <v>2177</v>
      </c>
      <c r="E5460" t="s">
        <v>2178</v>
      </c>
      <c r="F5460" t="s">
        <v>17381</v>
      </c>
      <c r="G5460" s="2" t="str">
        <f>HYPERLINK("https://probpalata.gov.ru/files/ИП460103958400008.jpeg","Скачать индивидуальный QR-код магазина")</f>
        <v>Скачать индивидуальный QR-код магазина</v>
      </c>
    </row>
    <row r="5461" spans="1:7" x14ac:dyDescent="0.25">
      <c r="A5461" t="s">
        <v>17224</v>
      </c>
      <c r="B5461" t="s">
        <v>17382</v>
      </c>
      <c r="C5461" t="s">
        <v>17383</v>
      </c>
      <c r="D5461" t="s">
        <v>17384</v>
      </c>
      <c r="E5461" t="s">
        <v>17385</v>
      </c>
      <c r="F5461" t="s">
        <v>17386</v>
      </c>
      <c r="G5461" s="2" t="str">
        <f>HYPERLINK("https://probpalata.gov.ru/files/ИП460100981000000.jpeg","Скачать индивидуальный QR-код магазина")</f>
        <v>Скачать индивидуальный QR-код магазина</v>
      </c>
    </row>
    <row r="5462" spans="1:7" x14ac:dyDescent="0.25">
      <c r="A5462" t="s">
        <v>17224</v>
      </c>
      <c r="B5462" t="s">
        <v>17387</v>
      </c>
      <c r="C5462" t="s">
        <v>17388</v>
      </c>
      <c r="D5462" t="s">
        <v>17389</v>
      </c>
      <c r="E5462" t="s">
        <v>17390</v>
      </c>
      <c r="F5462" t="s">
        <v>17391</v>
      </c>
      <c r="G5462" s="2" t="str">
        <f>HYPERLINK("https://probpalata.gov.ru/files/ЮЛ460100821700000.jpeg","Скачать индивидуальный QR-код магазина")</f>
        <v>Скачать индивидуальный QR-код магазина</v>
      </c>
    </row>
    <row r="5463" spans="1:7" x14ac:dyDescent="0.25">
      <c r="A5463" t="s">
        <v>17224</v>
      </c>
      <c r="B5463" t="s">
        <v>17392</v>
      </c>
      <c r="C5463" t="s">
        <v>17393</v>
      </c>
      <c r="D5463" t="s">
        <v>17394</v>
      </c>
      <c r="E5463" t="s">
        <v>17395</v>
      </c>
      <c r="F5463" t="s">
        <v>17396</v>
      </c>
      <c r="G5463" s="2" t="str">
        <f>HYPERLINK("https://probpalata.gov.ru/files/ЮЛ460100878200000.jpeg","Скачать индивидуальный QR-код магазина")</f>
        <v>Скачать индивидуальный QR-код магазина</v>
      </c>
    </row>
    <row r="5464" spans="1:7" x14ac:dyDescent="0.25">
      <c r="A5464" t="s">
        <v>17224</v>
      </c>
      <c r="B5464" t="s">
        <v>17397</v>
      </c>
      <c r="C5464" t="s">
        <v>17398</v>
      </c>
      <c r="D5464" t="s">
        <v>17399</v>
      </c>
      <c r="E5464" t="s">
        <v>17400</v>
      </c>
      <c r="F5464" t="s">
        <v>17401</v>
      </c>
      <c r="G5464" s="2" t="str">
        <f>HYPERLINK("https://probpalata.gov.ru/files/ИП460101276900000.jpeg","Скачать индивидуальный QR-код магазина")</f>
        <v>Скачать индивидуальный QR-код магазина</v>
      </c>
    </row>
    <row r="5465" spans="1:7" x14ac:dyDescent="0.25">
      <c r="A5465" t="s">
        <v>17224</v>
      </c>
      <c r="B5465" t="s">
        <v>17402</v>
      </c>
      <c r="C5465" t="s">
        <v>17403</v>
      </c>
      <c r="D5465" t="s">
        <v>17404</v>
      </c>
      <c r="E5465" t="s">
        <v>17405</v>
      </c>
      <c r="F5465" t="s">
        <v>17406</v>
      </c>
      <c r="G5465" s="2" t="str">
        <f>HYPERLINK("https://probpalata.gov.ru/files/ИП460100054300000.jpeg","Скачать индивидуальный QR-код магазина")</f>
        <v>Скачать индивидуальный QR-код магазина</v>
      </c>
    </row>
    <row r="5466" spans="1:7" x14ac:dyDescent="0.25">
      <c r="A5466" t="s">
        <v>17224</v>
      </c>
      <c r="B5466" t="s">
        <v>17407</v>
      </c>
      <c r="C5466" t="s">
        <v>17408</v>
      </c>
      <c r="D5466" t="s">
        <v>17409</v>
      </c>
      <c r="E5466" t="s">
        <v>17410</v>
      </c>
      <c r="F5466" t="s">
        <v>17411</v>
      </c>
      <c r="G5466" s="2" t="str">
        <f>HYPERLINK("https://probpalata.gov.ru/files/ИП460101363700000.jpeg","Скачать индивидуальный QR-код магазина")</f>
        <v>Скачать индивидуальный QR-код магазина</v>
      </c>
    </row>
    <row r="5467" spans="1:7" x14ac:dyDescent="0.25">
      <c r="A5467" t="s">
        <v>17224</v>
      </c>
      <c r="B5467" t="s">
        <v>17412</v>
      </c>
      <c r="C5467" t="s">
        <v>17413</v>
      </c>
      <c r="D5467" t="s">
        <v>17414</v>
      </c>
      <c r="E5467" t="s">
        <v>17415</v>
      </c>
      <c r="F5467" t="s">
        <v>17416</v>
      </c>
      <c r="G5467" s="2" t="str">
        <f>HYPERLINK("https://probpalata.gov.ru/files/ИП460100753800005.jpeg","Скачать индивидуальный QR-код магазина")</f>
        <v>Скачать индивидуальный QR-код магазина</v>
      </c>
    </row>
    <row r="5468" spans="1:7" x14ac:dyDescent="0.25">
      <c r="A5468" t="s">
        <v>17224</v>
      </c>
      <c r="B5468" t="s">
        <v>17417</v>
      </c>
      <c r="C5468" t="s">
        <v>17418</v>
      </c>
      <c r="D5468" t="s">
        <v>17419</v>
      </c>
      <c r="E5468" t="s">
        <v>17420</v>
      </c>
      <c r="F5468" t="s">
        <v>17421</v>
      </c>
      <c r="G5468" s="2" t="str">
        <f>HYPERLINK("https://probpalata.gov.ru/files/ИП460100454000003.jpeg","Скачать индивидуальный QR-код магазина")</f>
        <v>Скачать индивидуальный QR-код магазина</v>
      </c>
    </row>
    <row r="5469" spans="1:7" x14ac:dyDescent="0.25">
      <c r="A5469" t="s">
        <v>17224</v>
      </c>
      <c r="B5469" t="s">
        <v>17422</v>
      </c>
      <c r="C5469" t="s">
        <v>17418</v>
      </c>
      <c r="D5469" t="s">
        <v>17419</v>
      </c>
      <c r="E5469" t="s">
        <v>17420</v>
      </c>
      <c r="F5469" t="s">
        <v>17423</v>
      </c>
      <c r="G5469" s="2" t="str">
        <f>HYPERLINK("https://probpalata.gov.ru/files/ИП460100454000005.jpeg","Скачать индивидуальный QR-код магазина")</f>
        <v>Скачать индивидуальный QR-код магазина</v>
      </c>
    </row>
    <row r="5470" spans="1:7" x14ac:dyDescent="0.25">
      <c r="A5470" t="s">
        <v>17224</v>
      </c>
      <c r="B5470" t="s">
        <v>17424</v>
      </c>
      <c r="C5470" t="s">
        <v>17418</v>
      </c>
      <c r="D5470" t="s">
        <v>17419</v>
      </c>
      <c r="E5470" t="s">
        <v>17420</v>
      </c>
      <c r="F5470" t="s">
        <v>17425</v>
      </c>
      <c r="G5470" s="2" t="str">
        <f>HYPERLINK("https://probpalata.gov.ru/files/ИП460100454000006.jpeg","Скачать индивидуальный QR-код магазина")</f>
        <v>Скачать индивидуальный QR-код магазина</v>
      </c>
    </row>
    <row r="5471" spans="1:7" x14ac:dyDescent="0.25">
      <c r="A5471" t="s">
        <v>17224</v>
      </c>
      <c r="B5471" t="s">
        <v>17426</v>
      </c>
      <c r="C5471" t="s">
        <v>17418</v>
      </c>
      <c r="D5471" t="s">
        <v>17419</v>
      </c>
      <c r="E5471" t="s">
        <v>17420</v>
      </c>
      <c r="F5471" t="s">
        <v>17427</v>
      </c>
      <c r="G5471" s="2" t="str">
        <f>HYPERLINK("https://probpalata.gov.ru/files/ИП460100454000011.jpeg","Скачать индивидуальный QR-код магазина")</f>
        <v>Скачать индивидуальный QR-код магазина</v>
      </c>
    </row>
    <row r="5472" spans="1:7" x14ac:dyDescent="0.25">
      <c r="A5472" t="s">
        <v>17224</v>
      </c>
      <c r="B5472" t="s">
        <v>17428</v>
      </c>
      <c r="C5472" t="s">
        <v>17429</v>
      </c>
      <c r="D5472" t="s">
        <v>17430</v>
      </c>
      <c r="E5472" t="s">
        <v>17431</v>
      </c>
      <c r="F5472" t="s">
        <v>17432</v>
      </c>
      <c r="G5472" s="2" t="str">
        <f>HYPERLINK("https://probpalata.gov.ru/files/ИП460101039800000.jpeg","Скачать индивидуальный QR-код магазина")</f>
        <v>Скачать индивидуальный QR-код магазина</v>
      </c>
    </row>
    <row r="5473" spans="1:7" x14ac:dyDescent="0.25">
      <c r="A5473" t="s">
        <v>17224</v>
      </c>
      <c r="B5473" t="s">
        <v>17433</v>
      </c>
      <c r="C5473" t="s">
        <v>17434</v>
      </c>
      <c r="D5473" t="s">
        <v>17435</v>
      </c>
      <c r="E5473" t="s">
        <v>17436</v>
      </c>
      <c r="F5473" t="s">
        <v>17437</v>
      </c>
      <c r="G5473" s="2" t="str">
        <f>HYPERLINK("https://probpalata.gov.ru/files/ИП460103855400000.jpeg","Скачать индивидуальный QR-код магазина")</f>
        <v>Скачать индивидуальный QR-код магазина</v>
      </c>
    </row>
    <row r="5474" spans="1:7" x14ac:dyDescent="0.25">
      <c r="A5474" t="s">
        <v>17224</v>
      </c>
      <c r="B5474" t="s">
        <v>17438</v>
      </c>
      <c r="C5474" t="s">
        <v>17439</v>
      </c>
      <c r="D5474" t="s">
        <v>17440</v>
      </c>
      <c r="E5474" t="s">
        <v>17441</v>
      </c>
      <c r="F5474" t="s">
        <v>17442</v>
      </c>
      <c r="G5474" s="2" t="str">
        <f>HYPERLINK("https://probpalata.gov.ru/files/ЮЛ460100477400000.jpeg","Скачать индивидуальный QR-код магазина")</f>
        <v>Скачать индивидуальный QR-код магазина</v>
      </c>
    </row>
    <row r="5475" spans="1:7" x14ac:dyDescent="0.25">
      <c r="A5475" t="s">
        <v>17224</v>
      </c>
      <c r="B5475" t="s">
        <v>17443</v>
      </c>
      <c r="C5475" t="s">
        <v>2185</v>
      </c>
      <c r="D5475" t="s">
        <v>2186</v>
      </c>
      <c r="E5475" t="s">
        <v>2187</v>
      </c>
      <c r="F5475" t="s">
        <v>17444</v>
      </c>
      <c r="G5475" s="2" t="str">
        <f>HYPERLINK("https://probpalata.gov.ru/files/ЮЛ480100215000033.jpeg","Скачать индивидуальный QR-код магазина")</f>
        <v>Скачать индивидуальный QR-код магазина</v>
      </c>
    </row>
    <row r="5476" spans="1:7" x14ac:dyDescent="0.25">
      <c r="A5476" t="s">
        <v>17224</v>
      </c>
      <c r="B5476" t="s">
        <v>17445</v>
      </c>
      <c r="C5476" t="s">
        <v>17446</v>
      </c>
      <c r="D5476" t="s">
        <v>17447</v>
      </c>
      <c r="E5476" t="s">
        <v>17448</v>
      </c>
      <c r="F5476" t="s">
        <v>17449</v>
      </c>
      <c r="G5476" s="2" t="str">
        <f>HYPERLINK("https://probpalata.gov.ru/files/ИП500100400700004.jpeg","Скачать индивидуальный QR-код магазина")</f>
        <v>Скачать индивидуальный QR-код магазина</v>
      </c>
    </row>
    <row r="5477" spans="1:7" x14ac:dyDescent="0.25">
      <c r="A5477" t="s">
        <v>17224</v>
      </c>
      <c r="B5477" t="s">
        <v>17450</v>
      </c>
      <c r="C5477" t="s">
        <v>17446</v>
      </c>
      <c r="D5477" t="s">
        <v>17447</v>
      </c>
      <c r="E5477" t="s">
        <v>17448</v>
      </c>
      <c r="F5477" t="s">
        <v>17451</v>
      </c>
      <c r="G5477" s="2" t="str">
        <f>HYPERLINK("https://probpalata.gov.ru/files/ИП500100400700006.jpeg","Скачать индивидуальный QR-код магазина")</f>
        <v>Скачать индивидуальный QR-код магазина</v>
      </c>
    </row>
    <row r="5478" spans="1:7" x14ac:dyDescent="0.25">
      <c r="A5478" t="s">
        <v>17224</v>
      </c>
      <c r="B5478" t="s">
        <v>17452</v>
      </c>
      <c r="C5478" t="s">
        <v>681</v>
      </c>
      <c r="D5478" t="s">
        <v>682</v>
      </c>
      <c r="E5478" t="s">
        <v>683</v>
      </c>
      <c r="F5478" t="s">
        <v>17453</v>
      </c>
      <c r="G5478" s="2" t="str">
        <f>HYPERLINK("https://probpalata.gov.ru/files/ИП520600807800005.jpeg","Скачать индивидуальный QR-код магазина")</f>
        <v>Скачать индивидуальный QR-код магазина</v>
      </c>
    </row>
    <row r="5479" spans="1:7" x14ac:dyDescent="0.25">
      <c r="A5479" t="s">
        <v>17224</v>
      </c>
      <c r="B5479" t="s">
        <v>17454</v>
      </c>
      <c r="C5479" t="s">
        <v>681</v>
      </c>
      <c r="D5479" t="s">
        <v>682</v>
      </c>
      <c r="E5479" t="s">
        <v>683</v>
      </c>
      <c r="F5479" t="s">
        <v>17455</v>
      </c>
      <c r="G5479" s="2" t="str">
        <f>HYPERLINK("https://probpalata.gov.ru/files/ИП520600807800036.jpeg","Скачать индивидуальный QR-код магазина")</f>
        <v>Скачать индивидуальный QR-код магазина</v>
      </c>
    </row>
    <row r="5480" spans="1:7" x14ac:dyDescent="0.25">
      <c r="A5480" t="s">
        <v>17224</v>
      </c>
      <c r="B5480" t="s">
        <v>17456</v>
      </c>
      <c r="C5480" t="s">
        <v>1735</v>
      </c>
      <c r="D5480" t="s">
        <v>1736</v>
      </c>
      <c r="E5480" t="s">
        <v>1737</v>
      </c>
      <c r="F5480" t="s">
        <v>17457</v>
      </c>
      <c r="G5480" s="2" t="str">
        <f>HYPERLINK("https://probpalata.gov.ru/files/ЮЛ520603376600094.jpeg","Скачать индивидуальный QR-код магазина")</f>
        <v>Скачать индивидуальный QR-код магазина</v>
      </c>
    </row>
    <row r="5481" spans="1:7" x14ac:dyDescent="0.25">
      <c r="A5481" t="s">
        <v>17224</v>
      </c>
      <c r="B5481" t="s">
        <v>17458</v>
      </c>
      <c r="C5481" t="s">
        <v>2197</v>
      </c>
      <c r="D5481" t="s">
        <v>2198</v>
      </c>
      <c r="E5481" t="s">
        <v>2199</v>
      </c>
      <c r="F5481" t="s">
        <v>17459</v>
      </c>
      <c r="G5481" s="2" t="str">
        <f>HYPERLINK("https://probpalata.gov.ru/files/ИП630601425400039.jpeg","Скачать индивидуальный QR-код магазина")</f>
        <v>Скачать индивидуальный QR-код магазина</v>
      </c>
    </row>
    <row r="5482" spans="1:7" x14ac:dyDescent="0.25">
      <c r="A5482" t="s">
        <v>17224</v>
      </c>
      <c r="B5482" t="s">
        <v>17460</v>
      </c>
      <c r="C5482" t="s">
        <v>2197</v>
      </c>
      <c r="D5482" t="s">
        <v>2198</v>
      </c>
      <c r="E5482" t="s">
        <v>2199</v>
      </c>
      <c r="F5482" t="s">
        <v>17461</v>
      </c>
      <c r="G5482" s="2" t="str">
        <f>HYPERLINK("https://probpalata.gov.ru/files/ИП630601425400043.jpeg","Скачать индивидуальный QR-код магазина")</f>
        <v>Скачать индивидуальный QR-код магазина</v>
      </c>
    </row>
    <row r="5483" spans="1:7" x14ac:dyDescent="0.25">
      <c r="A5483" t="s">
        <v>17224</v>
      </c>
      <c r="B5483" t="s">
        <v>17462</v>
      </c>
      <c r="C5483" t="s">
        <v>2197</v>
      </c>
      <c r="D5483" t="s">
        <v>2198</v>
      </c>
      <c r="E5483" t="s">
        <v>2199</v>
      </c>
      <c r="F5483" t="s">
        <v>17463</v>
      </c>
      <c r="G5483" s="2" t="str">
        <f>HYPERLINK("https://probpalata.gov.ru/files/ИП630601425400049.jpeg","Скачать индивидуальный QR-код магазина")</f>
        <v>Скачать индивидуальный QR-код магазина</v>
      </c>
    </row>
    <row r="5484" spans="1:7" x14ac:dyDescent="0.25">
      <c r="A5484" t="s">
        <v>17224</v>
      </c>
      <c r="B5484" t="s">
        <v>17464</v>
      </c>
      <c r="C5484" t="s">
        <v>2571</v>
      </c>
      <c r="D5484" t="s">
        <v>2572</v>
      </c>
      <c r="E5484" t="s">
        <v>2573</v>
      </c>
      <c r="F5484" t="s">
        <v>17465</v>
      </c>
      <c r="G5484" s="2" t="str">
        <f>HYPERLINK("https://probpalata.gov.ru/files/ИП670100329400003.jpeg","Скачать индивидуальный QR-код магазина")</f>
        <v>Скачать индивидуальный QR-код магазина</v>
      </c>
    </row>
    <row r="5485" spans="1:7" x14ac:dyDescent="0.25">
      <c r="A5485" t="s">
        <v>17224</v>
      </c>
      <c r="B5485" t="s">
        <v>17466</v>
      </c>
      <c r="C5485" t="s">
        <v>2571</v>
      </c>
      <c r="D5485" t="s">
        <v>2572</v>
      </c>
      <c r="E5485" t="s">
        <v>2573</v>
      </c>
      <c r="F5485" t="s">
        <v>17467</v>
      </c>
      <c r="G5485" s="2" t="str">
        <f>HYPERLINK("https://probpalata.gov.ru/files/ИП670100329400022.jpeg","Скачать индивидуальный QR-код магазина")</f>
        <v>Скачать индивидуальный QR-код магазина</v>
      </c>
    </row>
    <row r="5486" spans="1:7" x14ac:dyDescent="0.25">
      <c r="A5486" t="s">
        <v>17224</v>
      </c>
      <c r="B5486" t="s">
        <v>17468</v>
      </c>
      <c r="C5486" t="s">
        <v>2571</v>
      </c>
      <c r="D5486" t="s">
        <v>2572</v>
      </c>
      <c r="E5486" t="s">
        <v>2573</v>
      </c>
      <c r="F5486" t="s">
        <v>17469</v>
      </c>
      <c r="G5486" s="2" t="str">
        <f>HYPERLINK("https://probpalata.gov.ru/files/ИП670100329400024.jpeg","Скачать индивидуальный QR-код магазина")</f>
        <v>Скачать индивидуальный QR-код магазина</v>
      </c>
    </row>
    <row r="5487" spans="1:7" x14ac:dyDescent="0.25">
      <c r="A5487" t="s">
        <v>17224</v>
      </c>
      <c r="B5487" t="s">
        <v>17470</v>
      </c>
      <c r="C5487" t="s">
        <v>2219</v>
      </c>
      <c r="D5487" t="s">
        <v>2220</v>
      </c>
      <c r="E5487" t="s">
        <v>2221</v>
      </c>
      <c r="F5487" t="s">
        <v>17471</v>
      </c>
      <c r="G5487" s="2" t="str">
        <f>HYPERLINK("https://probpalata.gov.ru/files/ИП710100775300004.jpeg","Скачать индивидуальный QR-код магазина")</f>
        <v>Скачать индивидуальный QR-код магазина</v>
      </c>
    </row>
    <row r="5488" spans="1:7" x14ac:dyDescent="0.25">
      <c r="A5488" t="s">
        <v>17224</v>
      </c>
      <c r="B5488" t="s">
        <v>17229</v>
      </c>
      <c r="C5488" t="s">
        <v>5127</v>
      </c>
      <c r="D5488" t="s">
        <v>5128</v>
      </c>
      <c r="E5488" t="s">
        <v>5129</v>
      </c>
      <c r="F5488" t="s">
        <v>17472</v>
      </c>
      <c r="G5488" s="2" t="str">
        <f>HYPERLINK("https://probpalata.gov.ru/files/ИП000100637600011.jpeg","Скачать индивидуальный QR-код магазина")</f>
        <v>Скачать индивидуальный QR-код магазина</v>
      </c>
    </row>
    <row r="5489" spans="1:7" x14ac:dyDescent="0.25">
      <c r="A5489" t="s">
        <v>17224</v>
      </c>
      <c r="B5489" t="s">
        <v>17473</v>
      </c>
      <c r="C5489" t="s">
        <v>17474</v>
      </c>
      <c r="D5489" t="s">
        <v>17475</v>
      </c>
      <c r="E5489" t="s">
        <v>17476</v>
      </c>
      <c r="F5489" t="s">
        <v>17477</v>
      </c>
      <c r="G5489" s="2" t="str">
        <f>HYPERLINK("https://probpalata.gov.ru/files/ИП710101724000010.jpeg","Скачать индивидуальный QR-код магазина")</f>
        <v>Скачать индивидуальный QR-код магазина</v>
      </c>
    </row>
    <row r="5490" spans="1:7" x14ac:dyDescent="0.25">
      <c r="A5490" t="s">
        <v>17224</v>
      </c>
      <c r="B5490" t="s">
        <v>17478</v>
      </c>
      <c r="C5490" t="s">
        <v>17474</v>
      </c>
      <c r="D5490" t="s">
        <v>17475</v>
      </c>
      <c r="E5490" t="s">
        <v>17476</v>
      </c>
      <c r="F5490" t="s">
        <v>17479</v>
      </c>
      <c r="G5490" s="2" t="str">
        <f>HYPERLINK("https://probpalata.gov.ru/files/ИП710101724000011.jpeg","Скачать индивидуальный QR-код магазина")</f>
        <v>Скачать индивидуальный QR-код магазина</v>
      </c>
    </row>
    <row r="5491" spans="1:7" x14ac:dyDescent="0.25">
      <c r="A5491" t="s">
        <v>17224</v>
      </c>
      <c r="B5491" t="s">
        <v>17480</v>
      </c>
      <c r="C5491" t="s">
        <v>713</v>
      </c>
      <c r="D5491" t="s">
        <v>714</v>
      </c>
      <c r="E5491" t="s">
        <v>715</v>
      </c>
      <c r="F5491" t="s">
        <v>17481</v>
      </c>
      <c r="G5491" s="2" t="str">
        <f>HYPERLINK("https://probpalata.gov.ru/files/ЮЛ770101216600142.jpeg","Скачать индивидуальный QR-код магазина")</f>
        <v>Скачать индивидуальный QR-код магазина</v>
      </c>
    </row>
    <row r="5492" spans="1:7" x14ac:dyDescent="0.25">
      <c r="A5492" t="s">
        <v>17224</v>
      </c>
      <c r="B5492" t="s">
        <v>17239</v>
      </c>
      <c r="C5492" t="s">
        <v>713</v>
      </c>
      <c r="D5492" t="s">
        <v>714</v>
      </c>
      <c r="E5492" t="s">
        <v>715</v>
      </c>
      <c r="F5492" t="s">
        <v>17482</v>
      </c>
      <c r="G5492" s="2" t="str">
        <f>HYPERLINK("https://probpalata.gov.ru/files/ЮЛ770101216600207.jpeg","Скачать индивидуальный QR-код магазина")</f>
        <v>Скачать индивидуальный QR-код магазина</v>
      </c>
    </row>
    <row r="5493" spans="1:7" x14ac:dyDescent="0.25">
      <c r="A5493" t="s">
        <v>17224</v>
      </c>
      <c r="B5493" t="s">
        <v>17483</v>
      </c>
      <c r="C5493" t="s">
        <v>713</v>
      </c>
      <c r="D5493" t="s">
        <v>714</v>
      </c>
      <c r="E5493" t="s">
        <v>715</v>
      </c>
      <c r="F5493" t="s">
        <v>17484</v>
      </c>
      <c r="G5493" s="2" t="str">
        <f>HYPERLINK("https://probpalata.gov.ru/files/ЮЛ770101216600300.jpeg","Скачать индивидуальный QR-код магазина")</f>
        <v>Скачать индивидуальный QR-код магазина</v>
      </c>
    </row>
    <row r="5494" spans="1:7" x14ac:dyDescent="0.25">
      <c r="A5494" t="s">
        <v>17224</v>
      </c>
      <c r="B5494" t="s">
        <v>17485</v>
      </c>
      <c r="C5494" t="s">
        <v>713</v>
      </c>
      <c r="D5494" t="s">
        <v>714</v>
      </c>
      <c r="E5494" t="s">
        <v>715</v>
      </c>
      <c r="F5494" t="s">
        <v>17486</v>
      </c>
      <c r="G5494" s="2" t="str">
        <f>HYPERLINK("https://probpalata.gov.ru/files/ЮЛ770101216600312.jpeg","Скачать индивидуальный QR-код магазина")</f>
        <v>Скачать индивидуальный QR-код магазина</v>
      </c>
    </row>
    <row r="5495" spans="1:7" x14ac:dyDescent="0.25">
      <c r="A5495" t="s">
        <v>17224</v>
      </c>
      <c r="B5495" t="s">
        <v>17487</v>
      </c>
      <c r="C5495" t="s">
        <v>713</v>
      </c>
      <c r="D5495" t="s">
        <v>714</v>
      </c>
      <c r="E5495" t="s">
        <v>715</v>
      </c>
      <c r="F5495" t="s">
        <v>17488</v>
      </c>
      <c r="G5495" s="2" t="str">
        <f>HYPERLINK("https://probpalata.gov.ru/files/ЮЛ770101216600464.jpeg","Скачать индивидуальный QR-код магазина")</f>
        <v>Скачать индивидуальный QR-код магазина</v>
      </c>
    </row>
    <row r="5496" spans="1:7" x14ac:dyDescent="0.25">
      <c r="A5496" t="s">
        <v>17224</v>
      </c>
      <c r="B5496" t="s">
        <v>17489</v>
      </c>
      <c r="C5496" t="s">
        <v>713</v>
      </c>
      <c r="D5496" t="s">
        <v>714</v>
      </c>
      <c r="E5496" t="s">
        <v>715</v>
      </c>
      <c r="F5496" t="s">
        <v>17490</v>
      </c>
      <c r="G5496" s="2" t="str">
        <f>HYPERLINK("https://probpalata.gov.ru/files/ЮЛ770101216600555.jpeg","Скачать индивидуальный QR-код магазина")</f>
        <v>Скачать индивидуальный QR-код магазина</v>
      </c>
    </row>
    <row r="5497" spans="1:7" x14ac:dyDescent="0.25">
      <c r="A5497" t="s">
        <v>17224</v>
      </c>
      <c r="B5497" t="s">
        <v>17491</v>
      </c>
      <c r="C5497" t="s">
        <v>713</v>
      </c>
      <c r="D5497" t="s">
        <v>714</v>
      </c>
      <c r="E5497" t="s">
        <v>715</v>
      </c>
      <c r="F5497" t="s">
        <v>17492</v>
      </c>
      <c r="G5497" s="2" t="str">
        <f>HYPERLINK("https://probpalata.gov.ru/files/ЮЛ770101216600557.jpeg","Скачать индивидуальный QR-код магазина")</f>
        <v>Скачать индивидуальный QR-код магазина</v>
      </c>
    </row>
    <row r="5498" spans="1:7" x14ac:dyDescent="0.25">
      <c r="A5498" t="s">
        <v>17224</v>
      </c>
      <c r="B5498" t="s">
        <v>17493</v>
      </c>
      <c r="C5498" t="s">
        <v>713</v>
      </c>
      <c r="D5498" t="s">
        <v>714</v>
      </c>
      <c r="E5498" t="s">
        <v>715</v>
      </c>
      <c r="F5498" t="s">
        <v>17494</v>
      </c>
      <c r="G5498" s="2" t="str">
        <f>HYPERLINK("https://probpalata.gov.ru/files/ЮЛ770101216600596.jpeg","Скачать индивидуальный QR-код магазина")</f>
        <v>Скачать индивидуальный QR-код магазина</v>
      </c>
    </row>
    <row r="5499" spans="1:7" x14ac:dyDescent="0.25">
      <c r="A5499" t="s">
        <v>17224</v>
      </c>
      <c r="B5499" t="s">
        <v>17495</v>
      </c>
      <c r="C5499" t="s">
        <v>713</v>
      </c>
      <c r="D5499" t="s">
        <v>714</v>
      </c>
      <c r="E5499" t="s">
        <v>715</v>
      </c>
      <c r="F5499" t="s">
        <v>17496</v>
      </c>
      <c r="G5499" s="2" t="str">
        <f>HYPERLINK("https://probpalata.gov.ru/files/ЮЛ770101216600597.jpeg","Скачать индивидуальный QR-код магазина")</f>
        <v>Скачать индивидуальный QR-код магазина</v>
      </c>
    </row>
    <row r="5500" spans="1:7" x14ac:dyDescent="0.25">
      <c r="A5500" t="s">
        <v>17224</v>
      </c>
      <c r="B5500" t="s">
        <v>17497</v>
      </c>
      <c r="C5500" t="s">
        <v>713</v>
      </c>
      <c r="D5500" t="s">
        <v>714</v>
      </c>
      <c r="E5500" t="s">
        <v>715</v>
      </c>
      <c r="F5500" t="s">
        <v>17498</v>
      </c>
      <c r="G5500" s="2" t="str">
        <f>HYPERLINK("https://probpalata.gov.ru/files/ЮЛ770101216600717.jpeg","Скачать индивидуальный QR-код магазина")</f>
        <v>Скачать индивидуальный QR-код магазина</v>
      </c>
    </row>
    <row r="5501" spans="1:7" x14ac:dyDescent="0.25">
      <c r="A5501" t="s">
        <v>17224</v>
      </c>
      <c r="B5501" t="s">
        <v>17499</v>
      </c>
      <c r="C5501" t="s">
        <v>748</v>
      </c>
      <c r="D5501" t="s">
        <v>749</v>
      </c>
      <c r="E5501" t="s">
        <v>750</v>
      </c>
      <c r="F5501" t="s">
        <v>17500</v>
      </c>
      <c r="G5501" s="2" t="str">
        <f>HYPERLINK("https://probpalata.gov.ru/files/ЮЛ770100193500162.jpeg","Скачать индивидуальный QR-код магазина")</f>
        <v>Скачать индивидуальный QR-код магазина</v>
      </c>
    </row>
    <row r="5502" spans="1:7" x14ac:dyDescent="0.25">
      <c r="A5502" t="s">
        <v>17224</v>
      </c>
      <c r="B5502" t="s">
        <v>17501</v>
      </c>
      <c r="C5502" t="s">
        <v>748</v>
      </c>
      <c r="D5502" t="s">
        <v>749</v>
      </c>
      <c r="E5502" t="s">
        <v>750</v>
      </c>
      <c r="F5502" t="s">
        <v>17502</v>
      </c>
      <c r="G5502" s="2" t="str">
        <f>HYPERLINK("https://probpalata.gov.ru/files/ЮЛ770100193500171.jpeg","Скачать индивидуальный QR-код магазина")</f>
        <v>Скачать индивидуальный QR-код магазина</v>
      </c>
    </row>
    <row r="5503" spans="1:7" x14ac:dyDescent="0.25">
      <c r="A5503" t="s">
        <v>17224</v>
      </c>
      <c r="B5503" t="s">
        <v>17503</v>
      </c>
      <c r="C5503" t="s">
        <v>748</v>
      </c>
      <c r="D5503" t="s">
        <v>749</v>
      </c>
      <c r="E5503" t="s">
        <v>750</v>
      </c>
      <c r="F5503" t="s">
        <v>17504</v>
      </c>
      <c r="G5503" s="2" t="str">
        <f>HYPERLINK("https://probpalata.gov.ru/files/ЮЛ770100193500410.jpeg","Скачать индивидуальный QR-код магазина")</f>
        <v>Скачать индивидуальный QR-код магазина</v>
      </c>
    </row>
    <row r="5504" spans="1:7" x14ac:dyDescent="0.25">
      <c r="A5504" t="s">
        <v>17224</v>
      </c>
      <c r="B5504" t="s">
        <v>17505</v>
      </c>
      <c r="C5504" t="s">
        <v>748</v>
      </c>
      <c r="D5504" t="s">
        <v>749</v>
      </c>
      <c r="E5504" t="s">
        <v>750</v>
      </c>
      <c r="F5504" t="s">
        <v>17506</v>
      </c>
      <c r="G5504" s="2" t="str">
        <f>HYPERLINK("https://probpalata.gov.ru/files/ЮЛ770100193500617.jpeg","Скачать индивидуальный QR-код магазина")</f>
        <v>Скачать индивидуальный QR-код магазина</v>
      </c>
    </row>
    <row r="5505" spans="1:7" x14ac:dyDescent="0.25">
      <c r="A5505" t="s">
        <v>17224</v>
      </c>
      <c r="B5505" t="s">
        <v>17507</v>
      </c>
      <c r="C5505" t="s">
        <v>748</v>
      </c>
      <c r="D5505" t="s">
        <v>749</v>
      </c>
      <c r="E5505" t="s">
        <v>750</v>
      </c>
      <c r="F5505" t="s">
        <v>17508</v>
      </c>
      <c r="G5505" s="2" t="str">
        <f>HYPERLINK("https://probpalata.gov.ru/files/ЮЛ770100193500692.jpeg","Скачать индивидуальный QR-код магазина")</f>
        <v>Скачать индивидуальный QR-код магазина</v>
      </c>
    </row>
    <row r="5506" spans="1:7" x14ac:dyDescent="0.25">
      <c r="A5506" t="s">
        <v>17224</v>
      </c>
      <c r="B5506" t="s">
        <v>17509</v>
      </c>
      <c r="C5506" t="s">
        <v>748</v>
      </c>
      <c r="D5506" t="s">
        <v>749</v>
      </c>
      <c r="E5506" t="s">
        <v>750</v>
      </c>
      <c r="F5506" t="s">
        <v>17510</v>
      </c>
      <c r="G5506" s="2" t="str">
        <f>HYPERLINK("https://probpalata.gov.ru/files/ЮЛ770100193501017.jpeg","Скачать индивидуальный QR-код магазина")</f>
        <v>Скачать индивидуальный QR-код магазина</v>
      </c>
    </row>
    <row r="5507" spans="1:7" x14ac:dyDescent="0.25">
      <c r="A5507" t="s">
        <v>17224</v>
      </c>
      <c r="B5507" t="s">
        <v>17511</v>
      </c>
      <c r="C5507" t="s">
        <v>798</v>
      </c>
      <c r="D5507" t="s">
        <v>799</v>
      </c>
      <c r="E5507" t="s">
        <v>800</v>
      </c>
      <c r="F5507" t="s">
        <v>17512</v>
      </c>
      <c r="G5507" s="2" t="str">
        <f>HYPERLINK("https://probpalata.gov.ru/files/ЮЛ780300308200557.jpeg","Скачать индивидуальный QR-код магазина")</f>
        <v>Скачать индивидуальный QR-код магазина</v>
      </c>
    </row>
    <row r="5508" spans="1:7" x14ac:dyDescent="0.25">
      <c r="A5508" t="s">
        <v>17224</v>
      </c>
      <c r="B5508" t="s">
        <v>17513</v>
      </c>
      <c r="C5508" t="s">
        <v>798</v>
      </c>
      <c r="D5508" t="s">
        <v>799</v>
      </c>
      <c r="E5508" t="s">
        <v>800</v>
      </c>
      <c r="F5508" t="s">
        <v>17514</v>
      </c>
      <c r="G5508" s="2" t="str">
        <f>HYPERLINK("https://probpalata.gov.ru/files/ЮЛ780300308200565.jpeg","Скачать индивидуальный QR-код магазина")</f>
        <v>Скачать индивидуальный QR-код магазина</v>
      </c>
    </row>
    <row r="5509" spans="1:7" x14ac:dyDescent="0.25">
      <c r="A5509" t="s">
        <v>17224</v>
      </c>
      <c r="B5509" t="s">
        <v>17515</v>
      </c>
      <c r="C5509" t="s">
        <v>798</v>
      </c>
      <c r="D5509" t="s">
        <v>799</v>
      </c>
      <c r="E5509" t="s">
        <v>800</v>
      </c>
      <c r="F5509" t="s">
        <v>17516</v>
      </c>
      <c r="G5509" s="2" t="str">
        <f>HYPERLINK("https://probpalata.gov.ru/files/ЮЛ780300308200566.jpeg","Скачать индивидуальный QR-код магазина")</f>
        <v>Скачать индивидуальный QR-код магазина</v>
      </c>
    </row>
    <row r="5510" spans="1:7" x14ac:dyDescent="0.25">
      <c r="A5510" t="s">
        <v>17224</v>
      </c>
      <c r="B5510" t="s">
        <v>17460</v>
      </c>
      <c r="C5510" t="s">
        <v>798</v>
      </c>
      <c r="D5510" t="s">
        <v>799</v>
      </c>
      <c r="E5510" t="s">
        <v>800</v>
      </c>
      <c r="F5510" t="s">
        <v>17517</v>
      </c>
      <c r="G5510" s="2" t="str">
        <f>HYPERLINK("https://probpalata.gov.ru/files/ЮЛ780300308200567.jpeg","Скачать индивидуальный QR-код магазина")</f>
        <v>Скачать индивидуальный QR-код магазина</v>
      </c>
    </row>
    <row r="5511" spans="1:7" x14ac:dyDescent="0.25">
      <c r="A5511" t="s">
        <v>17224</v>
      </c>
      <c r="B5511" t="s">
        <v>17518</v>
      </c>
      <c r="C5511" t="s">
        <v>798</v>
      </c>
      <c r="D5511" t="s">
        <v>799</v>
      </c>
      <c r="E5511" t="s">
        <v>800</v>
      </c>
      <c r="F5511" t="s">
        <v>17519</v>
      </c>
      <c r="G5511" s="2" t="str">
        <f>HYPERLINK("https://probpalata.gov.ru/files/ЮЛ780300308200569.jpeg","Скачать индивидуальный QR-код магазина")</f>
        <v>Скачать индивидуальный QR-код магазина</v>
      </c>
    </row>
    <row r="5512" spans="1:7" x14ac:dyDescent="0.25">
      <c r="A5512" t="s">
        <v>17224</v>
      </c>
      <c r="B5512" t="s">
        <v>17520</v>
      </c>
      <c r="C5512" t="s">
        <v>798</v>
      </c>
      <c r="D5512" t="s">
        <v>799</v>
      </c>
      <c r="E5512" t="s">
        <v>800</v>
      </c>
      <c r="F5512" t="s">
        <v>17521</v>
      </c>
      <c r="G5512" s="2" t="str">
        <f>HYPERLINK("https://probpalata.gov.ru/files/ЮЛ780300308200908.jpeg","Скачать индивидуальный QR-код магазина")</f>
        <v>Скачать индивидуальный QR-код магазина</v>
      </c>
    </row>
    <row r="5513" spans="1:7" x14ac:dyDescent="0.25">
      <c r="A5513" t="s">
        <v>17224</v>
      </c>
      <c r="B5513" t="s">
        <v>17522</v>
      </c>
      <c r="C5513" t="s">
        <v>2636</v>
      </c>
      <c r="D5513" t="s">
        <v>2637</v>
      </c>
      <c r="E5513" t="s">
        <v>2638</v>
      </c>
      <c r="F5513" t="s">
        <v>17523</v>
      </c>
      <c r="G5513" s="2" t="str">
        <f>HYPERLINK("https://probpalata.gov.ru/files/ЮЛ770100902000041.jpeg","Скачать индивидуальный QR-код магазина")</f>
        <v>Скачать индивидуальный QR-код магазина</v>
      </c>
    </row>
    <row r="5514" spans="1:7" x14ac:dyDescent="0.25">
      <c r="A5514" t="s">
        <v>17524</v>
      </c>
      <c r="B5514" t="s">
        <v>17525</v>
      </c>
      <c r="C5514" t="s">
        <v>10711</v>
      </c>
      <c r="D5514" t="s">
        <v>10712</v>
      </c>
      <c r="E5514" t="s">
        <v>10713</v>
      </c>
      <c r="F5514" t="s">
        <v>17526</v>
      </c>
      <c r="G5514" s="2" t="str">
        <f>HYPERLINK("https://probpalata.gov.ru/files/ЮЛ420801680900000.jpeg","Скачать индивидуальный QR-код магазина")</f>
        <v>Скачать индивидуальный QR-код магазина</v>
      </c>
    </row>
    <row r="5515" spans="1:7" x14ac:dyDescent="0.25">
      <c r="A5515" t="s">
        <v>17524</v>
      </c>
      <c r="B5515" t="s">
        <v>17527</v>
      </c>
      <c r="C5515" t="s">
        <v>17528</v>
      </c>
      <c r="D5515" t="s">
        <v>17529</v>
      </c>
      <c r="E5515" t="s">
        <v>17530</v>
      </c>
      <c r="F5515" t="s">
        <v>17531</v>
      </c>
      <c r="G5515" s="2" t="str">
        <f>HYPERLINK("https://probpalata.gov.ru/files/ИП440203088100002.jpeg","Скачать индивидуальный QR-код магазина")</f>
        <v>Скачать индивидуальный QR-код магазина</v>
      </c>
    </row>
    <row r="5516" spans="1:7" x14ac:dyDescent="0.25">
      <c r="A5516" t="s">
        <v>17524</v>
      </c>
      <c r="B5516" t="s">
        <v>17532</v>
      </c>
      <c r="C5516" t="s">
        <v>17528</v>
      </c>
      <c r="D5516" t="s">
        <v>17529</v>
      </c>
      <c r="E5516" t="s">
        <v>17530</v>
      </c>
      <c r="F5516" t="s">
        <v>17533</v>
      </c>
      <c r="G5516" s="2" t="str">
        <f>HYPERLINK("https://probpalata.gov.ru/files/ИП440203088100003.jpeg","Скачать индивидуальный QR-код магазина")</f>
        <v>Скачать индивидуальный QR-код магазина</v>
      </c>
    </row>
    <row r="5517" spans="1:7" x14ac:dyDescent="0.25">
      <c r="A5517" t="s">
        <v>17524</v>
      </c>
      <c r="B5517" t="s">
        <v>17534</v>
      </c>
      <c r="C5517" t="s">
        <v>4575</v>
      </c>
      <c r="D5517" t="s">
        <v>4576</v>
      </c>
      <c r="E5517" t="s">
        <v>4577</v>
      </c>
      <c r="F5517" t="s">
        <v>17535</v>
      </c>
      <c r="G5517" s="2" t="str">
        <f>HYPERLINK("https://probpalata.gov.ru/files/ИП350300414400035.jpeg","Скачать индивидуальный QR-код магазина")</f>
        <v>Скачать индивидуальный QR-код магазина</v>
      </c>
    </row>
    <row r="5518" spans="1:7" x14ac:dyDescent="0.25">
      <c r="A5518" t="s">
        <v>17524</v>
      </c>
      <c r="B5518" t="s">
        <v>17536</v>
      </c>
      <c r="C5518" t="s">
        <v>17537</v>
      </c>
      <c r="D5518" t="s">
        <v>17538</v>
      </c>
      <c r="E5518" t="s">
        <v>17539</v>
      </c>
      <c r="F5518" t="s">
        <v>17540</v>
      </c>
      <c r="G5518" s="2" t="str">
        <f>HYPERLINK("https://probpalata.gov.ru/files/ИП470301504600000.jpeg","Скачать индивидуальный QR-код магазина")</f>
        <v>Скачать индивидуальный QR-код магазина</v>
      </c>
    </row>
    <row r="5519" spans="1:7" x14ac:dyDescent="0.25">
      <c r="A5519" t="s">
        <v>17524</v>
      </c>
      <c r="B5519" t="s">
        <v>17541</v>
      </c>
      <c r="C5519" t="s">
        <v>17542</v>
      </c>
      <c r="D5519" t="s">
        <v>17543</v>
      </c>
      <c r="E5519" t="s">
        <v>17544</v>
      </c>
      <c r="F5519" t="s">
        <v>17545</v>
      </c>
      <c r="G5519" s="2" t="str">
        <f>HYPERLINK("https://probpalata.gov.ru/files/ИП470301460100000.jpeg","Скачать индивидуальный QR-код магазина")</f>
        <v>Скачать индивидуальный QR-код магазина</v>
      </c>
    </row>
    <row r="5520" spans="1:7" x14ac:dyDescent="0.25">
      <c r="A5520" t="s">
        <v>17524</v>
      </c>
      <c r="B5520" t="s">
        <v>17546</v>
      </c>
      <c r="C5520" t="s">
        <v>17547</v>
      </c>
      <c r="D5520" t="s">
        <v>17548</v>
      </c>
      <c r="E5520" t="s">
        <v>17549</v>
      </c>
      <c r="F5520" t="s">
        <v>17550</v>
      </c>
      <c r="G5520" s="2" t="str">
        <f>HYPERLINK("https://probpalata.gov.ru/files/ИП470300560900000.jpeg","Скачать индивидуальный QR-код магазина")</f>
        <v>Скачать индивидуальный QR-код магазина</v>
      </c>
    </row>
    <row r="5521" spans="1:7" x14ac:dyDescent="0.25">
      <c r="A5521" t="s">
        <v>17524</v>
      </c>
      <c r="B5521" t="s">
        <v>17551</v>
      </c>
      <c r="C5521" t="s">
        <v>17552</v>
      </c>
      <c r="D5521" t="s">
        <v>17553</v>
      </c>
      <c r="E5521" t="s">
        <v>17554</v>
      </c>
      <c r="F5521" t="s">
        <v>17555</v>
      </c>
      <c r="G5521" s="2" t="str">
        <f>HYPERLINK("https://probpalata.gov.ru/files/ИП470300012800000.jpeg","Скачать индивидуальный QR-код магазина")</f>
        <v>Скачать индивидуальный QR-код магазина</v>
      </c>
    </row>
    <row r="5522" spans="1:7" x14ac:dyDescent="0.25">
      <c r="A5522" t="s">
        <v>17524</v>
      </c>
      <c r="B5522" t="s">
        <v>17556</v>
      </c>
      <c r="C5522" t="s">
        <v>17557</v>
      </c>
      <c r="D5522" t="s">
        <v>17558</v>
      </c>
      <c r="E5522" t="s">
        <v>17559</v>
      </c>
      <c r="F5522" t="s">
        <v>17560</v>
      </c>
      <c r="G5522" s="2" t="str">
        <f>HYPERLINK("https://probpalata.gov.ru/files/ЮЛ470300761900000.jpeg","Скачать индивидуальный QR-код магазина")</f>
        <v>Скачать индивидуальный QR-код магазина</v>
      </c>
    </row>
    <row r="5523" spans="1:7" x14ac:dyDescent="0.25">
      <c r="A5523" t="s">
        <v>17524</v>
      </c>
      <c r="B5523" t="s">
        <v>17561</v>
      </c>
      <c r="C5523" t="s">
        <v>17562</v>
      </c>
      <c r="D5523" t="s">
        <v>17563</v>
      </c>
      <c r="E5523" t="s">
        <v>17564</v>
      </c>
      <c r="F5523" t="s">
        <v>17565</v>
      </c>
      <c r="G5523" s="2" t="str">
        <f>HYPERLINK("https://probpalata.gov.ru/files/ИП470301343400000.jpeg","Скачать индивидуальный QR-код магазина")</f>
        <v>Скачать индивидуальный QR-код магазина</v>
      </c>
    </row>
    <row r="5524" spans="1:7" x14ac:dyDescent="0.25">
      <c r="A5524" t="s">
        <v>17524</v>
      </c>
      <c r="B5524" t="s">
        <v>17566</v>
      </c>
      <c r="C5524" t="s">
        <v>17567</v>
      </c>
      <c r="D5524" t="s">
        <v>17568</v>
      </c>
      <c r="E5524" t="s">
        <v>17569</v>
      </c>
      <c r="F5524" t="s">
        <v>17570</v>
      </c>
      <c r="G5524" s="2" t="str">
        <f>HYPERLINK("https://probpalata.gov.ru/files/ИП470300511900000.jpeg","Скачать индивидуальный QR-код магазина")</f>
        <v>Скачать индивидуальный QR-код магазина</v>
      </c>
    </row>
    <row r="5525" spans="1:7" x14ac:dyDescent="0.25">
      <c r="A5525" t="s">
        <v>17524</v>
      </c>
      <c r="B5525" t="s">
        <v>17571</v>
      </c>
      <c r="C5525" t="s">
        <v>17572</v>
      </c>
      <c r="D5525" t="s">
        <v>17573</v>
      </c>
      <c r="E5525" t="s">
        <v>17574</v>
      </c>
      <c r="F5525" t="s">
        <v>17575</v>
      </c>
      <c r="G5525" s="2" t="str">
        <f>HYPERLINK("https://probpalata.gov.ru/files/ИП470301746100000.jpeg","Скачать индивидуальный QR-код магазина")</f>
        <v>Скачать индивидуальный QR-код магазина</v>
      </c>
    </row>
    <row r="5526" spans="1:7" x14ac:dyDescent="0.25">
      <c r="A5526" t="s">
        <v>17524</v>
      </c>
      <c r="B5526" t="s">
        <v>17576</v>
      </c>
      <c r="C5526" t="s">
        <v>17577</v>
      </c>
      <c r="D5526" t="s">
        <v>17578</v>
      </c>
      <c r="E5526" t="s">
        <v>17579</v>
      </c>
      <c r="F5526" t="s">
        <v>17580</v>
      </c>
      <c r="G5526" s="2" t="str">
        <f>HYPERLINK("https://probpalata.gov.ru/files/ЮЛ470300487600000.jpeg","Скачать индивидуальный QR-код магазина")</f>
        <v>Скачать индивидуальный QR-код магазина</v>
      </c>
    </row>
    <row r="5527" spans="1:7" x14ac:dyDescent="0.25">
      <c r="A5527" t="s">
        <v>17524</v>
      </c>
      <c r="B5527" t="s">
        <v>17581</v>
      </c>
      <c r="C5527" t="s">
        <v>3761</v>
      </c>
      <c r="D5527" t="s">
        <v>3762</v>
      </c>
      <c r="E5527" t="s">
        <v>3763</v>
      </c>
      <c r="F5527" t="s">
        <v>17582</v>
      </c>
      <c r="G5527" s="2" t="str">
        <f>HYPERLINK("https://probpalata.gov.ru/files/ЮЛ470300219500000.jpeg","Скачать индивидуальный QR-код магазина")</f>
        <v>Скачать индивидуальный QR-код магазина</v>
      </c>
    </row>
    <row r="5528" spans="1:7" x14ac:dyDescent="0.25">
      <c r="A5528" t="s">
        <v>17524</v>
      </c>
      <c r="B5528" t="s">
        <v>17583</v>
      </c>
      <c r="C5528" t="s">
        <v>17584</v>
      </c>
      <c r="D5528" t="s">
        <v>17585</v>
      </c>
      <c r="E5528" t="s">
        <v>17586</v>
      </c>
      <c r="F5528" t="s">
        <v>17587</v>
      </c>
      <c r="G5528" s="2" t="str">
        <f>HYPERLINK("https://probpalata.gov.ru/files/ЮЛ470300808900000.jpeg","Скачать индивидуальный QR-код магазина")</f>
        <v>Скачать индивидуальный QR-код магазина</v>
      </c>
    </row>
    <row r="5529" spans="1:7" x14ac:dyDescent="0.25">
      <c r="A5529" t="s">
        <v>17524</v>
      </c>
      <c r="B5529" t="s">
        <v>17588</v>
      </c>
      <c r="C5529" t="s">
        <v>17584</v>
      </c>
      <c r="D5529" t="s">
        <v>17585</v>
      </c>
      <c r="E5529" t="s">
        <v>17586</v>
      </c>
      <c r="F5529" t="s">
        <v>17589</v>
      </c>
      <c r="G5529" s="2" t="str">
        <f>HYPERLINK("https://probpalata.gov.ru/files/ЮЛ470300808900002.jpeg","Скачать индивидуальный QR-код магазина")</f>
        <v>Скачать индивидуальный QR-код магазина</v>
      </c>
    </row>
    <row r="5530" spans="1:7" x14ac:dyDescent="0.25">
      <c r="A5530" t="s">
        <v>17524</v>
      </c>
      <c r="B5530" t="s">
        <v>17590</v>
      </c>
      <c r="C5530" t="s">
        <v>17584</v>
      </c>
      <c r="D5530" t="s">
        <v>17585</v>
      </c>
      <c r="E5530" t="s">
        <v>17586</v>
      </c>
      <c r="F5530" t="s">
        <v>17591</v>
      </c>
      <c r="G5530" s="2" t="str">
        <f>HYPERLINK("https://probpalata.gov.ru/files/ЮЛ470300808900003.jpeg","Скачать индивидуальный QR-код магазина")</f>
        <v>Скачать индивидуальный QR-код магазина</v>
      </c>
    </row>
    <row r="5531" spans="1:7" x14ac:dyDescent="0.25">
      <c r="A5531" t="s">
        <v>17524</v>
      </c>
      <c r="B5531" t="s">
        <v>17592</v>
      </c>
      <c r="C5531" t="s">
        <v>17584</v>
      </c>
      <c r="D5531" t="s">
        <v>17585</v>
      </c>
      <c r="E5531" t="s">
        <v>17586</v>
      </c>
      <c r="F5531" t="s">
        <v>17593</v>
      </c>
      <c r="G5531" s="2" t="str">
        <f>HYPERLINK("https://probpalata.gov.ru/files/ЮЛ470300808900004.jpeg","Скачать индивидуальный QR-код магазина")</f>
        <v>Скачать индивидуальный QR-код магазина</v>
      </c>
    </row>
    <row r="5532" spans="1:7" x14ac:dyDescent="0.25">
      <c r="A5532" t="s">
        <v>17524</v>
      </c>
      <c r="B5532" t="s">
        <v>17594</v>
      </c>
      <c r="C5532" t="s">
        <v>17584</v>
      </c>
      <c r="D5532" t="s">
        <v>17585</v>
      </c>
      <c r="E5532" t="s">
        <v>17586</v>
      </c>
      <c r="F5532" t="s">
        <v>17595</v>
      </c>
      <c r="G5532" s="2" t="str">
        <f>HYPERLINK("https://probpalata.gov.ru/files/ЮЛ470300808900005.jpeg","Скачать индивидуальный QR-код магазина")</f>
        <v>Скачать индивидуальный QR-код магазина</v>
      </c>
    </row>
    <row r="5533" spans="1:7" x14ac:dyDescent="0.25">
      <c r="A5533" t="s">
        <v>17524</v>
      </c>
      <c r="B5533" t="s">
        <v>17596</v>
      </c>
      <c r="C5533" t="s">
        <v>17597</v>
      </c>
      <c r="D5533" t="s">
        <v>17598</v>
      </c>
      <c r="E5533" t="s">
        <v>17599</v>
      </c>
      <c r="F5533" t="s">
        <v>17600</v>
      </c>
      <c r="G5533" s="2" t="str">
        <f>HYPERLINK("https://probpalata.gov.ru/files/ЮЛ470300324200000.jpeg","Скачать индивидуальный QR-код магазина")</f>
        <v>Скачать индивидуальный QR-код магазина</v>
      </c>
    </row>
    <row r="5534" spans="1:7" x14ac:dyDescent="0.25">
      <c r="A5534" t="s">
        <v>17524</v>
      </c>
      <c r="B5534" t="s">
        <v>17601</v>
      </c>
      <c r="C5534" t="s">
        <v>17602</v>
      </c>
      <c r="D5534" t="s">
        <v>17603</v>
      </c>
      <c r="E5534" t="s">
        <v>17604</v>
      </c>
      <c r="F5534" t="s">
        <v>17605</v>
      </c>
      <c r="G5534" s="2" t="str">
        <f>HYPERLINK("https://probpalata.gov.ru/files/ЮЛ470301143100000.jpeg","Скачать индивидуальный QR-код магазина")</f>
        <v>Скачать индивидуальный QR-код магазина</v>
      </c>
    </row>
    <row r="5535" spans="1:7" x14ac:dyDescent="0.25">
      <c r="A5535" t="s">
        <v>17524</v>
      </c>
      <c r="B5535" t="s">
        <v>17606</v>
      </c>
      <c r="C5535" t="s">
        <v>17607</v>
      </c>
      <c r="D5535" t="s">
        <v>17608</v>
      </c>
      <c r="E5535" t="s">
        <v>17609</v>
      </c>
      <c r="F5535" t="s">
        <v>17610</v>
      </c>
      <c r="G5535" s="2" t="str">
        <f>HYPERLINK("https://probpalata.gov.ru/files/ЮЛ470300369700000.jpeg","Скачать индивидуальный QR-код магазина")</f>
        <v>Скачать индивидуальный QR-код магазина</v>
      </c>
    </row>
    <row r="5536" spans="1:7" x14ac:dyDescent="0.25">
      <c r="A5536" t="s">
        <v>17524</v>
      </c>
      <c r="B5536" t="s">
        <v>17611</v>
      </c>
      <c r="C5536" t="s">
        <v>17612</v>
      </c>
      <c r="D5536" t="s">
        <v>17613</v>
      </c>
      <c r="E5536" t="s">
        <v>17614</v>
      </c>
      <c r="F5536" t="s">
        <v>17615</v>
      </c>
      <c r="G5536" s="2" t="str">
        <f>HYPERLINK("https://probpalata.gov.ru/files/ЮЛ470300557600001.jpeg","Скачать индивидуальный QR-код магазина")</f>
        <v>Скачать индивидуальный QR-код магазина</v>
      </c>
    </row>
    <row r="5537" spans="1:7" x14ac:dyDescent="0.25">
      <c r="A5537" t="s">
        <v>17524</v>
      </c>
      <c r="B5537" t="s">
        <v>17616</v>
      </c>
      <c r="C5537" t="s">
        <v>17612</v>
      </c>
      <c r="D5537" t="s">
        <v>17613</v>
      </c>
      <c r="E5537" t="s">
        <v>17614</v>
      </c>
      <c r="F5537" t="s">
        <v>17617</v>
      </c>
      <c r="G5537" s="2" t="str">
        <f>HYPERLINK("https://probpalata.gov.ru/files/ЮЛ470300557600002.jpeg","Скачать индивидуальный QR-код магазина")</f>
        <v>Скачать индивидуальный QR-код магазина</v>
      </c>
    </row>
    <row r="5538" spans="1:7" x14ac:dyDescent="0.25">
      <c r="A5538" t="s">
        <v>17524</v>
      </c>
      <c r="B5538" t="s">
        <v>17618</v>
      </c>
      <c r="C5538" t="s">
        <v>17612</v>
      </c>
      <c r="D5538" t="s">
        <v>17613</v>
      </c>
      <c r="E5538" t="s">
        <v>17614</v>
      </c>
      <c r="F5538" t="s">
        <v>17619</v>
      </c>
      <c r="G5538" s="2" t="str">
        <f>HYPERLINK("https://probpalata.gov.ru/files/ЮЛ470300557600003.jpeg","Скачать индивидуальный QR-код магазина")</f>
        <v>Скачать индивидуальный QR-код магазина</v>
      </c>
    </row>
    <row r="5539" spans="1:7" x14ac:dyDescent="0.25">
      <c r="A5539" t="s">
        <v>17524</v>
      </c>
      <c r="B5539" t="s">
        <v>17620</v>
      </c>
      <c r="C5539" t="s">
        <v>17612</v>
      </c>
      <c r="D5539" t="s">
        <v>17613</v>
      </c>
      <c r="E5539" t="s">
        <v>17614</v>
      </c>
      <c r="F5539" t="s">
        <v>17621</v>
      </c>
      <c r="G5539" s="2" t="str">
        <f>HYPERLINK("https://probpalata.gov.ru/files/ЮЛ470300557600004.jpeg","Скачать индивидуальный QR-код магазина")</f>
        <v>Скачать индивидуальный QR-код магазина</v>
      </c>
    </row>
    <row r="5540" spans="1:7" x14ac:dyDescent="0.25">
      <c r="A5540" t="s">
        <v>17524</v>
      </c>
      <c r="B5540" t="s">
        <v>17622</v>
      </c>
      <c r="C5540" t="s">
        <v>17623</v>
      </c>
      <c r="D5540" t="s">
        <v>17624</v>
      </c>
      <c r="E5540" t="s">
        <v>17625</v>
      </c>
      <c r="F5540" t="s">
        <v>17626</v>
      </c>
      <c r="G5540" s="2" t="str">
        <f>HYPERLINK("https://probpalata.gov.ru/files/ИП470300308100000.jpeg","Скачать индивидуальный QR-код магазина")</f>
        <v>Скачать индивидуальный QR-код магазина</v>
      </c>
    </row>
    <row r="5541" spans="1:7" x14ac:dyDescent="0.25">
      <c r="A5541" t="s">
        <v>17524</v>
      </c>
      <c r="B5541" t="s">
        <v>17627</v>
      </c>
      <c r="C5541" t="s">
        <v>17628</v>
      </c>
      <c r="D5541" t="s">
        <v>17629</v>
      </c>
      <c r="E5541" t="s">
        <v>17630</v>
      </c>
      <c r="F5541" t="s">
        <v>17631</v>
      </c>
      <c r="G5541" s="2" t="str">
        <f>HYPERLINK("https://probpalata.gov.ru/files/ЮЛ470300543800000.jpeg","Скачать индивидуальный QR-код магазина")</f>
        <v>Скачать индивидуальный QR-код магазина</v>
      </c>
    </row>
    <row r="5542" spans="1:7" x14ac:dyDescent="0.25">
      <c r="A5542" t="s">
        <v>17524</v>
      </c>
      <c r="B5542" t="s">
        <v>17632</v>
      </c>
      <c r="C5542" t="s">
        <v>17633</v>
      </c>
      <c r="D5542" t="s">
        <v>17634</v>
      </c>
      <c r="E5542" t="s">
        <v>17635</v>
      </c>
      <c r="F5542" t="s">
        <v>17636</v>
      </c>
      <c r="G5542" s="2" t="str">
        <f>HYPERLINK("https://probpalata.gov.ru/files/ИП470300861100000.jpeg","Скачать индивидуальный QR-код магазина")</f>
        <v>Скачать индивидуальный QR-код магазина</v>
      </c>
    </row>
    <row r="5543" spans="1:7" x14ac:dyDescent="0.25">
      <c r="A5543" t="s">
        <v>17524</v>
      </c>
      <c r="B5543" t="s">
        <v>17637</v>
      </c>
      <c r="C5543" t="s">
        <v>11187</v>
      </c>
      <c r="D5543" t="s">
        <v>17638</v>
      </c>
      <c r="E5543" t="s">
        <v>17639</v>
      </c>
      <c r="F5543" t="s">
        <v>17640</v>
      </c>
      <c r="G5543" s="2" t="str">
        <f>HYPERLINK("https://probpalata.gov.ru/files/ЮЛ470301451200000.jpeg","Скачать индивидуальный QR-код магазина")</f>
        <v>Скачать индивидуальный QR-код магазина</v>
      </c>
    </row>
    <row r="5544" spans="1:7" x14ac:dyDescent="0.25">
      <c r="A5544" t="s">
        <v>17524</v>
      </c>
      <c r="B5544" t="s">
        <v>17641</v>
      </c>
      <c r="C5544" t="s">
        <v>11187</v>
      </c>
      <c r="D5544" t="s">
        <v>17638</v>
      </c>
      <c r="E5544" t="s">
        <v>17639</v>
      </c>
      <c r="F5544" t="s">
        <v>17642</v>
      </c>
      <c r="G5544" s="2" t="str">
        <f>HYPERLINK("https://probpalata.gov.ru/files/ЮЛ470301451200001.jpeg","Скачать индивидуальный QR-код магазина")</f>
        <v>Скачать индивидуальный QR-код магазина</v>
      </c>
    </row>
    <row r="5545" spans="1:7" x14ac:dyDescent="0.25">
      <c r="A5545" t="s">
        <v>17524</v>
      </c>
      <c r="B5545" t="s">
        <v>17643</v>
      </c>
      <c r="C5545" t="s">
        <v>11187</v>
      </c>
      <c r="D5545" t="s">
        <v>17638</v>
      </c>
      <c r="E5545" t="s">
        <v>17639</v>
      </c>
      <c r="F5545" t="s">
        <v>17644</v>
      </c>
      <c r="G5545" s="2" t="str">
        <f>HYPERLINK("https://probpalata.gov.ru/files/ЮЛ470301451200002.jpeg","Скачать индивидуальный QR-код магазина")</f>
        <v>Скачать индивидуальный QR-код магазина</v>
      </c>
    </row>
    <row r="5546" spans="1:7" x14ac:dyDescent="0.25">
      <c r="A5546" t="s">
        <v>17524</v>
      </c>
      <c r="B5546" t="s">
        <v>17645</v>
      </c>
      <c r="C5546" t="s">
        <v>2481</v>
      </c>
      <c r="D5546" t="s">
        <v>17646</v>
      </c>
      <c r="E5546" t="s">
        <v>17647</v>
      </c>
      <c r="F5546" t="s">
        <v>17648</v>
      </c>
      <c r="G5546" s="2" t="str">
        <f>HYPERLINK("https://probpalata.gov.ru/files/ЮЛ470303213000000.jpeg","Скачать индивидуальный QR-код магазина")</f>
        <v>Скачать индивидуальный QR-код магазина</v>
      </c>
    </row>
    <row r="5547" spans="1:7" x14ac:dyDescent="0.25">
      <c r="A5547" t="s">
        <v>17524</v>
      </c>
      <c r="B5547" t="s">
        <v>17649</v>
      </c>
      <c r="C5547" t="s">
        <v>17650</v>
      </c>
      <c r="D5547" t="s">
        <v>17651</v>
      </c>
      <c r="E5547" t="s">
        <v>17652</v>
      </c>
      <c r="F5547" t="s">
        <v>17653</v>
      </c>
      <c r="G5547" s="2" t="str">
        <f>HYPERLINK("https://probpalata.gov.ru/files/ИП470303270000000.jpeg","Скачать индивидуальный QR-код магазина")</f>
        <v>Скачать индивидуальный QR-код магазина</v>
      </c>
    </row>
    <row r="5548" spans="1:7" x14ac:dyDescent="0.25">
      <c r="A5548" t="s">
        <v>17524</v>
      </c>
      <c r="B5548" t="s">
        <v>17654</v>
      </c>
      <c r="C5548" t="s">
        <v>17655</v>
      </c>
      <c r="D5548" t="s">
        <v>17656</v>
      </c>
      <c r="E5548" t="s">
        <v>17657</v>
      </c>
      <c r="F5548" t="s">
        <v>17658</v>
      </c>
      <c r="G5548" s="2" t="str">
        <f>HYPERLINK("https://probpalata.gov.ru/files/ЮЛ470300406900000.jpeg","Скачать индивидуальный QR-код магазина")</f>
        <v>Скачать индивидуальный QR-код магазина</v>
      </c>
    </row>
    <row r="5549" spans="1:7" x14ac:dyDescent="0.25">
      <c r="A5549" t="s">
        <v>17524</v>
      </c>
      <c r="B5549" t="s">
        <v>17659</v>
      </c>
      <c r="C5549" t="s">
        <v>17660</v>
      </c>
      <c r="D5549" t="s">
        <v>17661</v>
      </c>
      <c r="E5549" t="s">
        <v>17662</v>
      </c>
      <c r="F5549" t="s">
        <v>17663</v>
      </c>
      <c r="G5549" s="2" t="str">
        <f>HYPERLINK("https://probpalata.gov.ru/files/ИП470300163100000.jpeg","Скачать индивидуальный QR-код магазина")</f>
        <v>Скачать индивидуальный QR-код магазина</v>
      </c>
    </row>
    <row r="5550" spans="1:7" x14ac:dyDescent="0.25">
      <c r="A5550" t="s">
        <v>17524</v>
      </c>
      <c r="B5550" t="s">
        <v>17664</v>
      </c>
      <c r="C5550" t="s">
        <v>17665</v>
      </c>
      <c r="D5550" t="s">
        <v>17666</v>
      </c>
      <c r="E5550" t="s">
        <v>17667</v>
      </c>
      <c r="F5550" t="s">
        <v>17668</v>
      </c>
      <c r="G5550" s="2" t="str">
        <f>HYPERLINK("https://probpalata.gov.ru/files/ИП470300346200000.jpeg","Скачать индивидуальный QR-код магазина")</f>
        <v>Скачать индивидуальный QR-код магазина</v>
      </c>
    </row>
    <row r="5551" spans="1:7" x14ac:dyDescent="0.25">
      <c r="A5551" t="s">
        <v>17524</v>
      </c>
      <c r="B5551" t="s">
        <v>17669</v>
      </c>
      <c r="C5551" t="s">
        <v>17670</v>
      </c>
      <c r="D5551" t="s">
        <v>17671</v>
      </c>
      <c r="E5551" t="s">
        <v>17672</v>
      </c>
      <c r="F5551" t="s">
        <v>17673</v>
      </c>
      <c r="G5551" s="2" t="str">
        <f>HYPERLINK("https://probpalata.gov.ru/files/ИП470301261600000.jpeg","Скачать индивидуальный QR-код магазина")</f>
        <v>Скачать индивидуальный QR-код магазина</v>
      </c>
    </row>
    <row r="5552" spans="1:7" x14ac:dyDescent="0.25">
      <c r="A5552" t="s">
        <v>17524</v>
      </c>
      <c r="B5552" t="s">
        <v>17674</v>
      </c>
      <c r="C5552" t="s">
        <v>17675</v>
      </c>
      <c r="D5552" t="s">
        <v>17676</v>
      </c>
      <c r="E5552" t="s">
        <v>17677</v>
      </c>
      <c r="F5552" t="s">
        <v>17678</v>
      </c>
      <c r="G5552" s="2" t="str">
        <f>HYPERLINK("https://probpalata.gov.ru/files/ИП470302023700000.jpeg","Скачать индивидуальный QR-код магазина")</f>
        <v>Скачать индивидуальный QR-код магазина</v>
      </c>
    </row>
    <row r="5553" spans="1:7" x14ac:dyDescent="0.25">
      <c r="A5553" t="s">
        <v>17524</v>
      </c>
      <c r="B5553" t="s">
        <v>17679</v>
      </c>
      <c r="C5553" t="s">
        <v>17680</v>
      </c>
      <c r="D5553" t="s">
        <v>17681</v>
      </c>
      <c r="E5553" t="s">
        <v>17682</v>
      </c>
      <c r="F5553" t="s">
        <v>17683</v>
      </c>
      <c r="G5553" s="2" t="str">
        <f>HYPERLINK("https://probpalata.gov.ru/files/ИП470300636900000.jpeg","Скачать индивидуальный QR-код магазина")</f>
        <v>Скачать индивидуальный QR-код магазина</v>
      </c>
    </row>
    <row r="5554" spans="1:7" x14ac:dyDescent="0.25">
      <c r="A5554" t="s">
        <v>17524</v>
      </c>
      <c r="B5554" t="s">
        <v>17684</v>
      </c>
      <c r="C5554" t="s">
        <v>17680</v>
      </c>
      <c r="D5554" t="s">
        <v>17681</v>
      </c>
      <c r="E5554" t="s">
        <v>17682</v>
      </c>
      <c r="F5554" t="s">
        <v>17685</v>
      </c>
      <c r="G5554" s="2" t="str">
        <f>HYPERLINK("https://probpalata.gov.ru/files/ИП470300636900001.jpeg","Скачать индивидуальный QR-код магазина")</f>
        <v>Скачать индивидуальный QR-код магазина</v>
      </c>
    </row>
    <row r="5555" spans="1:7" x14ac:dyDescent="0.25">
      <c r="A5555" t="s">
        <v>17524</v>
      </c>
      <c r="B5555" t="s">
        <v>17686</v>
      </c>
      <c r="C5555" t="s">
        <v>17687</v>
      </c>
      <c r="D5555" t="s">
        <v>17688</v>
      </c>
      <c r="E5555" t="s">
        <v>17689</v>
      </c>
      <c r="F5555" t="s">
        <v>17690</v>
      </c>
      <c r="G5555" s="2" t="str">
        <f>HYPERLINK("https://probpalata.gov.ru/files/ИП470301395400000.jpeg","Скачать индивидуальный QR-код магазина")</f>
        <v>Скачать индивидуальный QR-код магазина</v>
      </c>
    </row>
    <row r="5556" spans="1:7" x14ac:dyDescent="0.25">
      <c r="A5556" t="s">
        <v>17524</v>
      </c>
      <c r="B5556" t="s">
        <v>17691</v>
      </c>
      <c r="C5556" t="s">
        <v>17692</v>
      </c>
      <c r="D5556" t="s">
        <v>17693</v>
      </c>
      <c r="E5556" t="s">
        <v>17694</v>
      </c>
      <c r="F5556" t="s">
        <v>17695</v>
      </c>
      <c r="G5556" s="2" t="str">
        <f>HYPERLINK("https://probpalata.gov.ru/files/ИП470303168800000.jpeg","Скачать индивидуальный QR-код магазина")</f>
        <v>Скачать индивидуальный QR-код магазина</v>
      </c>
    </row>
    <row r="5557" spans="1:7" x14ac:dyDescent="0.25">
      <c r="A5557" t="s">
        <v>17524</v>
      </c>
      <c r="B5557" t="s">
        <v>17696</v>
      </c>
      <c r="C5557" t="s">
        <v>17692</v>
      </c>
      <c r="D5557" t="s">
        <v>17693</v>
      </c>
      <c r="E5557" t="s">
        <v>17694</v>
      </c>
      <c r="F5557" t="s">
        <v>17697</v>
      </c>
      <c r="G5557" s="2" t="str">
        <f>HYPERLINK("https://probpalata.gov.ru/files/ИП470303168800002.jpeg","Скачать индивидуальный QR-код магазина")</f>
        <v>Скачать индивидуальный QR-код магазина</v>
      </c>
    </row>
    <row r="5558" spans="1:7" x14ac:dyDescent="0.25">
      <c r="A5558" t="s">
        <v>17524</v>
      </c>
      <c r="B5558" t="s">
        <v>17698</v>
      </c>
      <c r="C5558" t="s">
        <v>17699</v>
      </c>
      <c r="D5558" t="s">
        <v>17700</v>
      </c>
      <c r="E5558" t="s">
        <v>17701</v>
      </c>
      <c r="F5558" t="s">
        <v>17702</v>
      </c>
      <c r="G5558" s="2" t="str">
        <f>HYPERLINK("https://probpalata.gov.ru/files/ИП470301422100000.jpeg","Скачать индивидуальный QR-код магазина")</f>
        <v>Скачать индивидуальный QR-код магазина</v>
      </c>
    </row>
    <row r="5559" spans="1:7" x14ac:dyDescent="0.25">
      <c r="A5559" t="s">
        <v>17524</v>
      </c>
      <c r="B5559" t="s">
        <v>17703</v>
      </c>
      <c r="C5559" t="s">
        <v>17699</v>
      </c>
      <c r="D5559" t="s">
        <v>17700</v>
      </c>
      <c r="E5559" t="s">
        <v>17701</v>
      </c>
      <c r="F5559" t="s">
        <v>17704</v>
      </c>
      <c r="G5559" s="2" t="str">
        <f>HYPERLINK("https://probpalata.gov.ru/files/ИП470301422100001.jpeg","Скачать индивидуальный QR-код магазина")</f>
        <v>Скачать индивидуальный QR-код магазина</v>
      </c>
    </row>
    <row r="5560" spans="1:7" x14ac:dyDescent="0.25">
      <c r="A5560" t="s">
        <v>17524</v>
      </c>
      <c r="B5560" t="s">
        <v>17705</v>
      </c>
      <c r="C5560" t="s">
        <v>17706</v>
      </c>
      <c r="D5560" t="s">
        <v>17707</v>
      </c>
      <c r="E5560" t="s">
        <v>17708</v>
      </c>
      <c r="F5560" t="s">
        <v>17709</v>
      </c>
      <c r="G5560" s="2" t="str">
        <f>HYPERLINK("https://probpalata.gov.ru/files/ЮЛ470304086200000.jpeg","Скачать индивидуальный QR-код магазина")</f>
        <v>Скачать индивидуальный QR-код магазина</v>
      </c>
    </row>
    <row r="5561" spans="1:7" x14ac:dyDescent="0.25">
      <c r="A5561" t="s">
        <v>17524</v>
      </c>
      <c r="B5561" t="s">
        <v>17710</v>
      </c>
      <c r="C5561" t="s">
        <v>17711</v>
      </c>
      <c r="D5561" t="s">
        <v>17712</v>
      </c>
      <c r="E5561" t="s">
        <v>17713</v>
      </c>
      <c r="F5561" t="s">
        <v>17714</v>
      </c>
      <c r="G5561" s="2" t="str">
        <f>HYPERLINK("https://probpalata.gov.ru/files/ИП470301457100000.jpeg","Скачать индивидуальный QR-код магазина")</f>
        <v>Скачать индивидуальный QR-код магазина</v>
      </c>
    </row>
    <row r="5562" spans="1:7" x14ac:dyDescent="0.25">
      <c r="A5562" t="s">
        <v>17524</v>
      </c>
      <c r="B5562" t="s">
        <v>17715</v>
      </c>
      <c r="C5562" t="s">
        <v>17711</v>
      </c>
      <c r="D5562" t="s">
        <v>17712</v>
      </c>
      <c r="E5562" t="s">
        <v>17713</v>
      </c>
      <c r="F5562" t="s">
        <v>17716</v>
      </c>
      <c r="G5562" s="2" t="str">
        <f>HYPERLINK("https://probpalata.gov.ru/files/ИП470301457100001.jpeg","Скачать индивидуальный QR-код магазина")</f>
        <v>Скачать индивидуальный QR-код магазина</v>
      </c>
    </row>
    <row r="5563" spans="1:7" x14ac:dyDescent="0.25">
      <c r="A5563" t="s">
        <v>17524</v>
      </c>
      <c r="B5563" t="s">
        <v>17717</v>
      </c>
      <c r="C5563" t="s">
        <v>17711</v>
      </c>
      <c r="D5563" t="s">
        <v>17712</v>
      </c>
      <c r="E5563" t="s">
        <v>17713</v>
      </c>
      <c r="F5563" t="s">
        <v>17718</v>
      </c>
      <c r="G5563" s="2" t="str">
        <f>HYPERLINK("https://probpalata.gov.ru/files/ИП470301457100002.jpeg","Скачать индивидуальный QR-код магазина")</f>
        <v>Скачать индивидуальный QR-код магазина</v>
      </c>
    </row>
    <row r="5564" spans="1:7" x14ac:dyDescent="0.25">
      <c r="A5564" t="s">
        <v>17524</v>
      </c>
      <c r="B5564" t="s">
        <v>17719</v>
      </c>
      <c r="C5564" t="s">
        <v>17720</v>
      </c>
      <c r="D5564" t="s">
        <v>17721</v>
      </c>
      <c r="E5564" t="s">
        <v>17722</v>
      </c>
      <c r="F5564" t="s">
        <v>17723</v>
      </c>
      <c r="G5564" s="2" t="str">
        <f>HYPERLINK("https://probpalata.gov.ru/files/ЮЛ470301654800000.jpeg","Скачать индивидуальный QR-код магазина")</f>
        <v>Скачать индивидуальный QR-код магазина</v>
      </c>
    </row>
    <row r="5565" spans="1:7" x14ac:dyDescent="0.25">
      <c r="A5565" t="s">
        <v>17524</v>
      </c>
      <c r="B5565" t="s">
        <v>17724</v>
      </c>
      <c r="C5565" t="s">
        <v>17725</v>
      </c>
      <c r="D5565" t="s">
        <v>17726</v>
      </c>
      <c r="E5565" t="s">
        <v>17727</v>
      </c>
      <c r="F5565" t="s">
        <v>17728</v>
      </c>
      <c r="G5565" s="2" t="str">
        <f>HYPERLINK("https://probpalata.gov.ru/files/ЮЛ470300400000000.jpeg","Скачать индивидуальный QR-код магазина")</f>
        <v>Скачать индивидуальный QR-код магазина</v>
      </c>
    </row>
    <row r="5566" spans="1:7" x14ac:dyDescent="0.25">
      <c r="A5566" t="s">
        <v>17524</v>
      </c>
      <c r="B5566" t="s">
        <v>17729</v>
      </c>
      <c r="C5566" t="s">
        <v>17730</v>
      </c>
      <c r="D5566" t="s">
        <v>17731</v>
      </c>
      <c r="E5566" t="s">
        <v>17732</v>
      </c>
      <c r="F5566" t="s">
        <v>17733</v>
      </c>
      <c r="G5566" s="2" t="str">
        <f>HYPERLINK("https://probpalata.gov.ru/files/ИП470303129400000.jpeg","Скачать индивидуальный QR-код магазина")</f>
        <v>Скачать индивидуальный QR-код магазина</v>
      </c>
    </row>
    <row r="5567" spans="1:7" x14ac:dyDescent="0.25">
      <c r="A5567" t="s">
        <v>17524</v>
      </c>
      <c r="B5567" t="s">
        <v>17734</v>
      </c>
      <c r="C5567" t="s">
        <v>17735</v>
      </c>
      <c r="D5567" t="s">
        <v>17736</v>
      </c>
      <c r="E5567" t="s">
        <v>17737</v>
      </c>
      <c r="F5567" t="s">
        <v>17738</v>
      </c>
      <c r="G5567" s="2" t="str">
        <f>HYPERLINK("https://probpalata.gov.ru/files/ЮЛ470300295700000.jpeg","Скачать индивидуальный QR-код магазина")</f>
        <v>Скачать индивидуальный QR-код магазина</v>
      </c>
    </row>
    <row r="5568" spans="1:7" x14ac:dyDescent="0.25">
      <c r="A5568" t="s">
        <v>17524</v>
      </c>
      <c r="B5568" t="s">
        <v>17739</v>
      </c>
      <c r="C5568" t="s">
        <v>17740</v>
      </c>
      <c r="D5568" t="s">
        <v>17741</v>
      </c>
      <c r="E5568" t="s">
        <v>17742</v>
      </c>
      <c r="F5568" t="s">
        <v>17743</v>
      </c>
      <c r="G5568" s="2" t="str">
        <f>HYPERLINK("https://probpalata.gov.ru/files/ИП230400828500000.jpeg","Скачать индивидуальный QR-код магазина")</f>
        <v>Скачать индивидуальный QR-код магазина</v>
      </c>
    </row>
    <row r="5569" spans="1:7" x14ac:dyDescent="0.25">
      <c r="A5569" t="s">
        <v>17524</v>
      </c>
      <c r="B5569" t="s">
        <v>17744</v>
      </c>
      <c r="C5569" t="s">
        <v>17745</v>
      </c>
      <c r="D5569" t="s">
        <v>17746</v>
      </c>
      <c r="E5569" t="s">
        <v>17747</v>
      </c>
      <c r="F5569" t="s">
        <v>17748</v>
      </c>
      <c r="G5569" s="2" t="str">
        <f>HYPERLINK("https://probpalata.gov.ru/files/ЮЛ470301645400000.jpeg","Скачать индивидуальный QR-код магазина")</f>
        <v>Скачать индивидуальный QR-код магазина</v>
      </c>
    </row>
    <row r="5570" spans="1:7" x14ac:dyDescent="0.25">
      <c r="A5570" t="s">
        <v>17524</v>
      </c>
      <c r="B5570" t="s">
        <v>17749</v>
      </c>
      <c r="C5570" t="s">
        <v>17750</v>
      </c>
      <c r="D5570" t="s">
        <v>17751</v>
      </c>
      <c r="E5570" t="s">
        <v>17752</v>
      </c>
      <c r="F5570" t="s">
        <v>17753</v>
      </c>
      <c r="G5570" s="2" t="str">
        <f>HYPERLINK("https://probpalata.gov.ru/files/ИП470301599300000.jpeg","Скачать индивидуальный QR-код магазина")</f>
        <v>Скачать индивидуальный QR-код магазина</v>
      </c>
    </row>
    <row r="5571" spans="1:7" x14ac:dyDescent="0.25">
      <c r="A5571" t="s">
        <v>17524</v>
      </c>
      <c r="B5571" t="s">
        <v>17754</v>
      </c>
      <c r="C5571" t="s">
        <v>17755</v>
      </c>
      <c r="D5571" t="s">
        <v>17756</v>
      </c>
      <c r="E5571" t="s">
        <v>17757</v>
      </c>
      <c r="F5571" t="s">
        <v>17758</v>
      </c>
      <c r="G5571" s="2" t="str">
        <f>HYPERLINK("https://probpalata.gov.ru/files/ИП780300469500000.jpeg","Скачать индивидуальный QR-код магазина")</f>
        <v>Скачать индивидуальный QR-код магазина</v>
      </c>
    </row>
    <row r="5572" spans="1:7" x14ac:dyDescent="0.25">
      <c r="A5572" t="s">
        <v>17524</v>
      </c>
      <c r="B5572" t="s">
        <v>17759</v>
      </c>
      <c r="C5572" t="s">
        <v>17760</v>
      </c>
      <c r="D5572" t="s">
        <v>17761</v>
      </c>
      <c r="E5572" t="s">
        <v>17762</v>
      </c>
      <c r="F5572" t="s">
        <v>17763</v>
      </c>
      <c r="G5572" s="2" t="str">
        <f>HYPERLINK("https://probpalata.gov.ru/files/ИП470303187300000.jpeg","Скачать индивидуальный QR-код магазина")</f>
        <v>Скачать индивидуальный QR-код магазина</v>
      </c>
    </row>
    <row r="5573" spans="1:7" x14ac:dyDescent="0.25">
      <c r="A5573" t="s">
        <v>17524</v>
      </c>
      <c r="B5573" t="s">
        <v>17764</v>
      </c>
      <c r="C5573" t="s">
        <v>17765</v>
      </c>
      <c r="D5573" t="s">
        <v>17766</v>
      </c>
      <c r="E5573" t="s">
        <v>17767</v>
      </c>
      <c r="F5573" t="s">
        <v>17768</v>
      </c>
      <c r="G5573" s="2" t="str">
        <f>HYPERLINK("https://probpalata.gov.ru/files/ИП470301120300000.jpeg","Скачать индивидуальный QR-код магазина")</f>
        <v>Скачать индивидуальный QR-код магазина</v>
      </c>
    </row>
    <row r="5574" spans="1:7" x14ac:dyDescent="0.25">
      <c r="A5574" t="s">
        <v>17524</v>
      </c>
      <c r="B5574" t="s">
        <v>17769</v>
      </c>
      <c r="C5574" t="s">
        <v>17770</v>
      </c>
      <c r="D5574" t="s">
        <v>17771</v>
      </c>
      <c r="E5574" t="s">
        <v>17772</v>
      </c>
      <c r="F5574" t="s">
        <v>17773</v>
      </c>
      <c r="G5574" s="2" t="str">
        <f>HYPERLINK("https://probpalata.gov.ru/files/ИП470301800500000.jpeg","Скачать индивидуальный QR-код магазина")</f>
        <v>Скачать индивидуальный QR-код магазина</v>
      </c>
    </row>
    <row r="5575" spans="1:7" x14ac:dyDescent="0.25">
      <c r="A5575" t="s">
        <v>17524</v>
      </c>
      <c r="B5575" t="s">
        <v>17774</v>
      </c>
      <c r="C5575" t="s">
        <v>671</v>
      </c>
      <c r="D5575" t="s">
        <v>672</v>
      </c>
      <c r="E5575" t="s">
        <v>673</v>
      </c>
      <c r="F5575" t="s">
        <v>17775</v>
      </c>
      <c r="G5575" s="2" t="str">
        <f>HYPERLINK("https://probpalata.gov.ru/files/ИП500100445500074.jpeg","Скачать индивидуальный QR-код магазина")</f>
        <v>Скачать индивидуальный QR-код магазина</v>
      </c>
    </row>
    <row r="5576" spans="1:7" x14ac:dyDescent="0.25">
      <c r="A5576" t="s">
        <v>17524</v>
      </c>
      <c r="B5576" t="s">
        <v>17776</v>
      </c>
      <c r="C5576" t="s">
        <v>671</v>
      </c>
      <c r="D5576" t="s">
        <v>672</v>
      </c>
      <c r="E5576" t="s">
        <v>673</v>
      </c>
      <c r="F5576" t="s">
        <v>17777</v>
      </c>
      <c r="G5576" s="2" t="str">
        <f>HYPERLINK("https://probpalata.gov.ru/files/ИП500100445500084.jpeg","Скачать индивидуальный QR-код магазина")</f>
        <v>Скачать индивидуальный QR-код магазина</v>
      </c>
    </row>
    <row r="5577" spans="1:7" x14ac:dyDescent="0.25">
      <c r="A5577" t="s">
        <v>17524</v>
      </c>
      <c r="B5577" t="s">
        <v>17778</v>
      </c>
      <c r="C5577" t="s">
        <v>671</v>
      </c>
      <c r="D5577" t="s">
        <v>672</v>
      </c>
      <c r="E5577" t="s">
        <v>673</v>
      </c>
      <c r="F5577" t="s">
        <v>17779</v>
      </c>
      <c r="G5577" s="2" t="str">
        <f>HYPERLINK("https://probpalata.gov.ru/files/ИП500100445500123.jpeg","Скачать индивидуальный QR-код магазина")</f>
        <v>Скачать индивидуальный QR-код магазина</v>
      </c>
    </row>
    <row r="5578" spans="1:7" x14ac:dyDescent="0.25">
      <c r="A5578" t="s">
        <v>17524</v>
      </c>
      <c r="B5578" t="s">
        <v>17780</v>
      </c>
      <c r="C5578" t="s">
        <v>17781</v>
      </c>
      <c r="D5578" t="s">
        <v>17782</v>
      </c>
      <c r="E5578" t="s">
        <v>17783</v>
      </c>
      <c r="F5578" t="s">
        <v>17784</v>
      </c>
      <c r="G5578" s="2" t="str">
        <f>HYPERLINK("https://probpalata.gov.ru/files/ИП770103269300000.jpeg","Скачать индивидуальный QR-код магазина")</f>
        <v>Скачать индивидуальный QR-код магазина</v>
      </c>
    </row>
    <row r="5579" spans="1:7" x14ac:dyDescent="0.25">
      <c r="A5579" t="s">
        <v>17524</v>
      </c>
      <c r="B5579" t="s">
        <v>17785</v>
      </c>
      <c r="C5579" t="s">
        <v>1735</v>
      </c>
      <c r="D5579" t="s">
        <v>1736</v>
      </c>
      <c r="E5579" t="s">
        <v>1737</v>
      </c>
      <c r="F5579" t="s">
        <v>17786</v>
      </c>
      <c r="G5579" s="2" t="str">
        <f>HYPERLINK("https://probpalata.gov.ru/files/ЮЛ520603376600113.jpeg","Скачать индивидуальный QR-код магазина")</f>
        <v>Скачать индивидуальный QR-код магазина</v>
      </c>
    </row>
    <row r="5580" spans="1:7" x14ac:dyDescent="0.25">
      <c r="A5580" t="s">
        <v>17524</v>
      </c>
      <c r="B5580" t="s">
        <v>17787</v>
      </c>
      <c r="C5580" t="s">
        <v>17788</v>
      </c>
      <c r="D5580" t="s">
        <v>17789</v>
      </c>
      <c r="E5580" t="s">
        <v>17790</v>
      </c>
      <c r="F5580" t="s">
        <v>17791</v>
      </c>
      <c r="G5580" s="2" t="str">
        <f>HYPERLINK("https://probpalata.gov.ru/files/ИП470301617300000.jpeg","Скачать индивидуальный QR-код магазина")</f>
        <v>Скачать индивидуальный QR-код магазина</v>
      </c>
    </row>
    <row r="5581" spans="1:7" x14ac:dyDescent="0.25">
      <c r="A5581" t="s">
        <v>17524</v>
      </c>
      <c r="B5581" t="s">
        <v>17792</v>
      </c>
      <c r="C5581" t="s">
        <v>17793</v>
      </c>
      <c r="D5581" t="s">
        <v>17794</v>
      </c>
      <c r="E5581" t="s">
        <v>17795</v>
      </c>
      <c r="F5581" t="s">
        <v>17796</v>
      </c>
      <c r="G5581" s="2" t="str">
        <f>HYPERLINK("https://probpalata.gov.ru/files/ИП470301316600000.jpeg","Скачать индивидуальный QR-код магазина")</f>
        <v>Скачать индивидуальный QR-код магазина</v>
      </c>
    </row>
    <row r="5582" spans="1:7" x14ac:dyDescent="0.25">
      <c r="A5582" t="s">
        <v>17524</v>
      </c>
      <c r="B5582" t="s">
        <v>17797</v>
      </c>
      <c r="C5582" t="s">
        <v>17798</v>
      </c>
      <c r="D5582" t="s">
        <v>17799</v>
      </c>
      <c r="E5582" t="s">
        <v>17800</v>
      </c>
      <c r="F5582" t="s">
        <v>17801</v>
      </c>
      <c r="G5582" s="2" t="str">
        <f>HYPERLINK("https://probpalata.gov.ru/files/ЮЛ780300825400014.jpeg","Скачать индивидуальный QR-код магазина")</f>
        <v>Скачать индивидуальный QR-код магазина</v>
      </c>
    </row>
    <row r="5583" spans="1:7" x14ac:dyDescent="0.25">
      <c r="A5583" t="s">
        <v>17524</v>
      </c>
      <c r="B5583" t="s">
        <v>17802</v>
      </c>
      <c r="C5583" t="s">
        <v>17803</v>
      </c>
      <c r="D5583" t="s">
        <v>17804</v>
      </c>
      <c r="E5583" t="s">
        <v>17805</v>
      </c>
      <c r="F5583" t="s">
        <v>17806</v>
      </c>
      <c r="G5583" s="2" t="str">
        <f>HYPERLINK("https://probpalata.gov.ru/files/ИП470301491100000.jpeg","Скачать индивидуальный QR-код магазина")</f>
        <v>Скачать индивидуальный QR-код магазина</v>
      </c>
    </row>
    <row r="5584" spans="1:7" x14ac:dyDescent="0.25">
      <c r="A5584" t="s">
        <v>17524</v>
      </c>
      <c r="B5584" t="s">
        <v>17807</v>
      </c>
      <c r="C5584" t="s">
        <v>3157</v>
      </c>
      <c r="D5584" t="s">
        <v>3158</v>
      </c>
      <c r="E5584" t="s">
        <v>3159</v>
      </c>
      <c r="F5584" t="s">
        <v>17808</v>
      </c>
      <c r="G5584" s="2" t="str">
        <f>HYPERLINK("https://probpalata.gov.ru/files/ИП770100417900055.jpeg","Скачать индивидуальный QR-код магазина")</f>
        <v>Скачать индивидуальный QR-код магазина</v>
      </c>
    </row>
    <row r="5585" spans="1:7" x14ac:dyDescent="0.25">
      <c r="A5585" t="s">
        <v>17524</v>
      </c>
      <c r="B5585" t="s">
        <v>17809</v>
      </c>
      <c r="C5585" t="s">
        <v>713</v>
      </c>
      <c r="D5585" t="s">
        <v>714</v>
      </c>
      <c r="E5585" t="s">
        <v>715</v>
      </c>
      <c r="F5585" t="s">
        <v>17810</v>
      </c>
      <c r="G5585" s="2" t="str">
        <f>HYPERLINK("https://probpalata.gov.ru/files/ЮЛ770101216600028.jpeg","Скачать индивидуальный QR-код магазина")</f>
        <v>Скачать индивидуальный QR-код магазина</v>
      </c>
    </row>
    <row r="5586" spans="1:7" x14ac:dyDescent="0.25">
      <c r="A5586" t="s">
        <v>17524</v>
      </c>
      <c r="B5586" t="s">
        <v>17811</v>
      </c>
      <c r="C5586" t="s">
        <v>713</v>
      </c>
      <c r="D5586" t="s">
        <v>714</v>
      </c>
      <c r="E5586" t="s">
        <v>715</v>
      </c>
      <c r="F5586" t="s">
        <v>17812</v>
      </c>
      <c r="G5586" s="2" t="str">
        <f>HYPERLINK("https://probpalata.gov.ru/files/ЮЛ770101216600038.jpeg","Скачать индивидуальный QR-код магазина")</f>
        <v>Скачать индивидуальный QR-код магазина</v>
      </c>
    </row>
    <row r="5587" spans="1:7" x14ac:dyDescent="0.25">
      <c r="A5587" t="s">
        <v>17524</v>
      </c>
      <c r="B5587" t="s">
        <v>17813</v>
      </c>
      <c r="C5587" t="s">
        <v>713</v>
      </c>
      <c r="D5587" t="s">
        <v>714</v>
      </c>
      <c r="E5587" t="s">
        <v>715</v>
      </c>
      <c r="F5587" t="s">
        <v>17814</v>
      </c>
      <c r="G5587" s="2" t="str">
        <f>HYPERLINK("https://probpalata.gov.ru/files/ЮЛ770101216600127.jpeg","Скачать индивидуальный QR-код магазина")</f>
        <v>Скачать индивидуальный QR-код магазина</v>
      </c>
    </row>
    <row r="5588" spans="1:7" x14ac:dyDescent="0.25">
      <c r="A5588" t="s">
        <v>17524</v>
      </c>
      <c r="B5588" t="s">
        <v>17815</v>
      </c>
      <c r="C5588" t="s">
        <v>713</v>
      </c>
      <c r="D5588" t="s">
        <v>714</v>
      </c>
      <c r="E5588" t="s">
        <v>715</v>
      </c>
      <c r="F5588" t="s">
        <v>17816</v>
      </c>
      <c r="G5588" s="2" t="str">
        <f>HYPERLINK("https://probpalata.gov.ru/files/ЮЛ770101216600338.jpeg","Скачать индивидуальный QR-код магазина")</f>
        <v>Скачать индивидуальный QR-код магазина</v>
      </c>
    </row>
    <row r="5589" spans="1:7" x14ac:dyDescent="0.25">
      <c r="A5589" t="s">
        <v>17524</v>
      </c>
      <c r="B5589" t="s">
        <v>17817</v>
      </c>
      <c r="C5589" t="s">
        <v>713</v>
      </c>
      <c r="D5589" t="s">
        <v>714</v>
      </c>
      <c r="E5589" t="s">
        <v>715</v>
      </c>
      <c r="F5589" t="s">
        <v>17818</v>
      </c>
      <c r="G5589" s="2" t="str">
        <f>HYPERLINK("https://probpalata.gov.ru/files/ЮЛ770101216600428.jpeg","Скачать индивидуальный QR-код магазина")</f>
        <v>Скачать индивидуальный QR-код магазина</v>
      </c>
    </row>
    <row r="5590" spans="1:7" x14ac:dyDescent="0.25">
      <c r="A5590" t="s">
        <v>17524</v>
      </c>
      <c r="B5590" t="s">
        <v>17819</v>
      </c>
      <c r="C5590" t="s">
        <v>713</v>
      </c>
      <c r="D5590" t="s">
        <v>714</v>
      </c>
      <c r="E5590" t="s">
        <v>715</v>
      </c>
      <c r="F5590" t="s">
        <v>17820</v>
      </c>
      <c r="G5590" s="2" t="str">
        <f>HYPERLINK("https://probpalata.gov.ru/files/ЮЛ770101216600502.jpeg","Скачать индивидуальный QR-код магазина")</f>
        <v>Скачать индивидуальный QR-код магазина</v>
      </c>
    </row>
    <row r="5591" spans="1:7" x14ac:dyDescent="0.25">
      <c r="A5591" t="s">
        <v>17524</v>
      </c>
      <c r="B5591" t="s">
        <v>17821</v>
      </c>
      <c r="C5591" t="s">
        <v>713</v>
      </c>
      <c r="D5591" t="s">
        <v>714</v>
      </c>
      <c r="E5591" t="s">
        <v>715</v>
      </c>
      <c r="F5591" t="s">
        <v>17822</v>
      </c>
      <c r="G5591" s="2" t="str">
        <f>HYPERLINK("https://probpalata.gov.ru/files/ЮЛ770101216600633.jpeg","Скачать индивидуальный QR-код магазина")</f>
        <v>Скачать индивидуальный QR-код магазина</v>
      </c>
    </row>
    <row r="5592" spans="1:7" x14ac:dyDescent="0.25">
      <c r="A5592" t="s">
        <v>17524</v>
      </c>
      <c r="B5592" t="s">
        <v>17823</v>
      </c>
      <c r="C5592" t="s">
        <v>713</v>
      </c>
      <c r="D5592" t="s">
        <v>714</v>
      </c>
      <c r="E5592" t="s">
        <v>715</v>
      </c>
      <c r="F5592" t="s">
        <v>17824</v>
      </c>
      <c r="G5592" s="2" t="str">
        <f>HYPERLINK("https://probpalata.gov.ru/files/ЮЛ770101216600660.jpeg","Скачать индивидуальный QR-код магазина")</f>
        <v>Скачать индивидуальный QR-код магазина</v>
      </c>
    </row>
    <row r="5593" spans="1:7" x14ac:dyDescent="0.25">
      <c r="A5593" t="s">
        <v>17524</v>
      </c>
      <c r="B5593" t="s">
        <v>17825</v>
      </c>
      <c r="C5593" t="s">
        <v>713</v>
      </c>
      <c r="D5593" t="s">
        <v>714</v>
      </c>
      <c r="E5593" t="s">
        <v>715</v>
      </c>
      <c r="F5593" t="s">
        <v>17826</v>
      </c>
      <c r="G5593" s="2" t="str">
        <f>HYPERLINK("https://probpalata.gov.ru/files/ЮЛ770101216600688.jpeg","Скачать индивидуальный QR-код магазина")</f>
        <v>Скачать индивидуальный QR-код магазина</v>
      </c>
    </row>
    <row r="5594" spans="1:7" x14ac:dyDescent="0.25">
      <c r="A5594" t="s">
        <v>17524</v>
      </c>
      <c r="B5594" t="s">
        <v>17827</v>
      </c>
      <c r="C5594" t="s">
        <v>713</v>
      </c>
      <c r="D5594" t="s">
        <v>714</v>
      </c>
      <c r="E5594" t="s">
        <v>715</v>
      </c>
      <c r="F5594" t="s">
        <v>17828</v>
      </c>
      <c r="G5594" s="2" t="str">
        <f>HYPERLINK("https://probpalata.gov.ru/files/ЮЛ770101216600702.jpeg","Скачать индивидуальный QR-код магазина")</f>
        <v>Скачать индивидуальный QR-код магазина</v>
      </c>
    </row>
    <row r="5595" spans="1:7" x14ac:dyDescent="0.25">
      <c r="A5595" t="s">
        <v>17524</v>
      </c>
      <c r="B5595" t="s">
        <v>17829</v>
      </c>
      <c r="C5595" t="s">
        <v>713</v>
      </c>
      <c r="D5595" t="s">
        <v>714</v>
      </c>
      <c r="E5595" t="s">
        <v>715</v>
      </c>
      <c r="F5595" t="s">
        <v>17830</v>
      </c>
      <c r="G5595" s="2" t="str">
        <f>HYPERLINK("https://probpalata.gov.ru/files/ЮЛ770101216600742.jpeg","Скачать индивидуальный QR-код магазина")</f>
        <v>Скачать индивидуальный QR-код магазина</v>
      </c>
    </row>
    <row r="5596" spans="1:7" x14ac:dyDescent="0.25">
      <c r="A5596" t="s">
        <v>17524</v>
      </c>
      <c r="B5596" t="s">
        <v>17831</v>
      </c>
      <c r="C5596" t="s">
        <v>713</v>
      </c>
      <c r="D5596" t="s">
        <v>714</v>
      </c>
      <c r="E5596" t="s">
        <v>715</v>
      </c>
      <c r="F5596" t="s">
        <v>17832</v>
      </c>
      <c r="G5596" s="2" t="str">
        <f>HYPERLINK("https://probpalata.gov.ru/files/ЮЛ770101216600777.jpeg","Скачать индивидуальный QR-код магазина")</f>
        <v>Скачать индивидуальный QR-код магазина</v>
      </c>
    </row>
    <row r="5597" spans="1:7" x14ac:dyDescent="0.25">
      <c r="A5597" t="s">
        <v>17524</v>
      </c>
      <c r="B5597" t="s">
        <v>17833</v>
      </c>
      <c r="C5597" t="s">
        <v>713</v>
      </c>
      <c r="D5597" t="s">
        <v>714</v>
      </c>
      <c r="E5597" t="s">
        <v>715</v>
      </c>
      <c r="F5597" t="s">
        <v>17834</v>
      </c>
      <c r="G5597" s="2" t="str">
        <f>HYPERLINK("https://probpalata.gov.ru/files/ЮЛ770101216600793.jpeg","Скачать индивидуальный QR-код магазина")</f>
        <v>Скачать индивидуальный QR-код магазина</v>
      </c>
    </row>
    <row r="5598" spans="1:7" x14ac:dyDescent="0.25">
      <c r="A5598" t="s">
        <v>17524</v>
      </c>
      <c r="B5598" t="s">
        <v>17835</v>
      </c>
      <c r="C5598" t="s">
        <v>713</v>
      </c>
      <c r="D5598" t="s">
        <v>714</v>
      </c>
      <c r="E5598" t="s">
        <v>715</v>
      </c>
      <c r="F5598" t="s">
        <v>17836</v>
      </c>
      <c r="G5598" s="2" t="str">
        <f>HYPERLINK("https://probpalata.gov.ru/files/ЮЛ770101216600814.jpeg","Скачать индивидуальный QR-код магазина")</f>
        <v>Скачать индивидуальный QR-код магазина</v>
      </c>
    </row>
    <row r="5599" spans="1:7" x14ac:dyDescent="0.25">
      <c r="A5599" t="s">
        <v>17524</v>
      </c>
      <c r="B5599" t="s">
        <v>17837</v>
      </c>
      <c r="C5599" t="s">
        <v>713</v>
      </c>
      <c r="D5599" t="s">
        <v>714</v>
      </c>
      <c r="E5599" t="s">
        <v>715</v>
      </c>
      <c r="F5599" t="s">
        <v>17838</v>
      </c>
      <c r="G5599" s="2" t="str">
        <f>HYPERLINK("https://probpalata.gov.ru/files/ЮЛ770101216600830.jpeg","Скачать индивидуальный QR-код магазина")</f>
        <v>Скачать индивидуальный QR-код магазина</v>
      </c>
    </row>
    <row r="5600" spans="1:7" x14ac:dyDescent="0.25">
      <c r="A5600" t="s">
        <v>17524</v>
      </c>
      <c r="B5600" t="s">
        <v>17839</v>
      </c>
      <c r="C5600" t="s">
        <v>713</v>
      </c>
      <c r="D5600" t="s">
        <v>714</v>
      </c>
      <c r="E5600" t="s">
        <v>715</v>
      </c>
      <c r="F5600" t="s">
        <v>17840</v>
      </c>
      <c r="G5600" s="2" t="str">
        <f>HYPERLINK("https://probpalata.gov.ru/files/ЮЛ770101216600919.jpeg","Скачать индивидуальный QR-код магазина")</f>
        <v>Скачать индивидуальный QR-код магазина</v>
      </c>
    </row>
    <row r="5601" spans="1:7" x14ac:dyDescent="0.25">
      <c r="A5601" t="s">
        <v>17524</v>
      </c>
      <c r="B5601" t="s">
        <v>17841</v>
      </c>
      <c r="C5601" t="s">
        <v>1416</v>
      </c>
      <c r="D5601" t="s">
        <v>1417</v>
      </c>
      <c r="E5601" t="s">
        <v>1418</v>
      </c>
      <c r="F5601" t="s">
        <v>17842</v>
      </c>
      <c r="G5601" s="2" t="str">
        <f>HYPERLINK("https://probpalata.gov.ru/files/ЮЛ770100419400214.jpeg","Скачать индивидуальный QR-код магазина")</f>
        <v>Скачать индивидуальный QR-код магазина</v>
      </c>
    </row>
    <row r="5602" spans="1:7" x14ac:dyDescent="0.25">
      <c r="A5602" t="s">
        <v>17524</v>
      </c>
      <c r="B5602" t="s">
        <v>17843</v>
      </c>
      <c r="C5602" t="s">
        <v>748</v>
      </c>
      <c r="D5602" t="s">
        <v>749</v>
      </c>
      <c r="E5602" t="s">
        <v>750</v>
      </c>
      <c r="F5602" t="s">
        <v>17844</v>
      </c>
      <c r="G5602" s="2" t="str">
        <f>HYPERLINK("https://probpalata.gov.ru/files/ЮЛ770100193500163.jpeg","Скачать индивидуальный QR-код магазина")</f>
        <v>Скачать индивидуальный QR-код магазина</v>
      </c>
    </row>
    <row r="5603" spans="1:7" x14ac:dyDescent="0.25">
      <c r="A5603" t="s">
        <v>17524</v>
      </c>
      <c r="B5603" t="s">
        <v>17845</v>
      </c>
      <c r="C5603" t="s">
        <v>748</v>
      </c>
      <c r="D5603" t="s">
        <v>749</v>
      </c>
      <c r="E5603" t="s">
        <v>750</v>
      </c>
      <c r="F5603" t="s">
        <v>17846</v>
      </c>
      <c r="G5603" s="2" t="str">
        <f>HYPERLINK("https://probpalata.gov.ru/files/ЮЛ770100193500164.jpeg","Скачать индивидуальный QR-код магазина")</f>
        <v>Скачать индивидуальный QR-код магазина</v>
      </c>
    </row>
    <row r="5604" spans="1:7" x14ac:dyDescent="0.25">
      <c r="A5604" t="s">
        <v>17524</v>
      </c>
      <c r="B5604" t="s">
        <v>17847</v>
      </c>
      <c r="C5604" t="s">
        <v>748</v>
      </c>
      <c r="D5604" t="s">
        <v>749</v>
      </c>
      <c r="E5604" t="s">
        <v>750</v>
      </c>
      <c r="F5604" t="s">
        <v>17848</v>
      </c>
      <c r="G5604" s="2" t="str">
        <f>HYPERLINK("https://probpalata.gov.ru/files/ЮЛ770100193500165.jpeg","Скачать индивидуальный QR-код магазина")</f>
        <v>Скачать индивидуальный QR-код магазина</v>
      </c>
    </row>
    <row r="5605" spans="1:7" x14ac:dyDescent="0.25">
      <c r="A5605" t="s">
        <v>17524</v>
      </c>
      <c r="B5605" t="s">
        <v>17849</v>
      </c>
      <c r="C5605" t="s">
        <v>748</v>
      </c>
      <c r="D5605" t="s">
        <v>749</v>
      </c>
      <c r="E5605" t="s">
        <v>750</v>
      </c>
      <c r="F5605" t="s">
        <v>17850</v>
      </c>
      <c r="G5605" s="2" t="str">
        <f>HYPERLINK("https://probpalata.gov.ru/files/ЮЛ770100193500166.jpeg","Скачать индивидуальный QR-код магазина")</f>
        <v>Скачать индивидуальный QR-код магазина</v>
      </c>
    </row>
    <row r="5606" spans="1:7" x14ac:dyDescent="0.25">
      <c r="A5606" t="s">
        <v>17524</v>
      </c>
      <c r="B5606" t="s">
        <v>17851</v>
      </c>
      <c r="C5606" t="s">
        <v>748</v>
      </c>
      <c r="D5606" t="s">
        <v>749</v>
      </c>
      <c r="E5606" t="s">
        <v>750</v>
      </c>
      <c r="F5606" t="s">
        <v>17852</v>
      </c>
      <c r="G5606" s="2" t="str">
        <f>HYPERLINK("https://probpalata.gov.ru/files/ЮЛ770100193500525.jpeg","Скачать индивидуальный QR-код магазина")</f>
        <v>Скачать индивидуальный QR-код магазина</v>
      </c>
    </row>
    <row r="5607" spans="1:7" x14ac:dyDescent="0.25">
      <c r="A5607" t="s">
        <v>17524</v>
      </c>
      <c r="B5607" t="s">
        <v>17853</v>
      </c>
      <c r="C5607" t="s">
        <v>748</v>
      </c>
      <c r="D5607" t="s">
        <v>749</v>
      </c>
      <c r="E5607" t="s">
        <v>750</v>
      </c>
      <c r="F5607" t="s">
        <v>17854</v>
      </c>
      <c r="G5607" s="2" t="str">
        <f>HYPERLINK("https://probpalata.gov.ru/files/ЮЛ770100193500563.jpeg","Скачать индивидуальный QR-код магазина")</f>
        <v>Скачать индивидуальный QR-код магазина</v>
      </c>
    </row>
    <row r="5608" spans="1:7" x14ac:dyDescent="0.25">
      <c r="A5608" t="s">
        <v>17524</v>
      </c>
      <c r="B5608" t="s">
        <v>17855</v>
      </c>
      <c r="C5608" t="s">
        <v>748</v>
      </c>
      <c r="D5608" t="s">
        <v>749</v>
      </c>
      <c r="E5608" t="s">
        <v>750</v>
      </c>
      <c r="F5608" t="s">
        <v>17856</v>
      </c>
      <c r="G5608" s="2" t="str">
        <f>HYPERLINK("https://probpalata.gov.ru/files/ЮЛ770100193500582.jpeg","Скачать индивидуальный QR-код магазина")</f>
        <v>Скачать индивидуальный QR-код магазина</v>
      </c>
    </row>
    <row r="5609" spans="1:7" x14ac:dyDescent="0.25">
      <c r="A5609" t="s">
        <v>17524</v>
      </c>
      <c r="B5609" t="s">
        <v>17857</v>
      </c>
      <c r="C5609" t="s">
        <v>748</v>
      </c>
      <c r="D5609" t="s">
        <v>749</v>
      </c>
      <c r="E5609" t="s">
        <v>750</v>
      </c>
      <c r="F5609" t="s">
        <v>17858</v>
      </c>
      <c r="G5609" s="2" t="str">
        <f>HYPERLINK("https://probpalata.gov.ru/files/ЮЛ770100193500601.jpeg","Скачать индивидуальный QR-код магазина")</f>
        <v>Скачать индивидуальный QR-код магазина</v>
      </c>
    </row>
    <row r="5610" spans="1:7" x14ac:dyDescent="0.25">
      <c r="A5610" t="s">
        <v>17524</v>
      </c>
      <c r="B5610" t="s">
        <v>17859</v>
      </c>
      <c r="C5610" t="s">
        <v>748</v>
      </c>
      <c r="D5610" t="s">
        <v>749</v>
      </c>
      <c r="E5610" t="s">
        <v>750</v>
      </c>
      <c r="F5610" t="s">
        <v>17860</v>
      </c>
      <c r="G5610" s="2" t="str">
        <f>HYPERLINK("https://probpalata.gov.ru/files/ЮЛ770100193500709.jpeg","Скачать индивидуальный QR-код магазина")</f>
        <v>Скачать индивидуальный QR-код магазина</v>
      </c>
    </row>
    <row r="5611" spans="1:7" x14ac:dyDescent="0.25">
      <c r="A5611" t="s">
        <v>17524</v>
      </c>
      <c r="B5611" t="s">
        <v>17861</v>
      </c>
      <c r="C5611" t="s">
        <v>748</v>
      </c>
      <c r="D5611" t="s">
        <v>749</v>
      </c>
      <c r="E5611" t="s">
        <v>750</v>
      </c>
      <c r="F5611" t="s">
        <v>17862</v>
      </c>
      <c r="G5611" s="2" t="str">
        <f>HYPERLINK("https://probpalata.gov.ru/files/ЮЛ770100193500766.jpeg","Скачать индивидуальный QR-код магазина")</f>
        <v>Скачать индивидуальный QR-код магазина</v>
      </c>
    </row>
    <row r="5612" spans="1:7" x14ac:dyDescent="0.25">
      <c r="A5612" t="s">
        <v>17524</v>
      </c>
      <c r="B5612" t="s">
        <v>17863</v>
      </c>
      <c r="C5612" t="s">
        <v>748</v>
      </c>
      <c r="D5612" t="s">
        <v>749</v>
      </c>
      <c r="E5612" t="s">
        <v>750</v>
      </c>
      <c r="F5612" t="s">
        <v>17864</v>
      </c>
      <c r="G5612" s="2" t="str">
        <f>HYPERLINK("https://probpalata.gov.ru/files/ЮЛ770100193500778.jpeg","Скачать индивидуальный QR-код магазина")</f>
        <v>Скачать индивидуальный QR-код магазина</v>
      </c>
    </row>
    <row r="5613" spans="1:7" x14ac:dyDescent="0.25">
      <c r="A5613" t="s">
        <v>17524</v>
      </c>
      <c r="B5613" t="s">
        <v>17865</v>
      </c>
      <c r="C5613" t="s">
        <v>748</v>
      </c>
      <c r="D5613" t="s">
        <v>749</v>
      </c>
      <c r="E5613" t="s">
        <v>750</v>
      </c>
      <c r="F5613" t="s">
        <v>17866</v>
      </c>
      <c r="G5613" s="2" t="str">
        <f>HYPERLINK("https://probpalata.gov.ru/files/ЮЛ770100193500817.jpeg","Скачать индивидуальный QR-код магазина")</f>
        <v>Скачать индивидуальный QR-код магазина</v>
      </c>
    </row>
    <row r="5614" spans="1:7" x14ac:dyDescent="0.25">
      <c r="A5614" t="s">
        <v>17524</v>
      </c>
      <c r="B5614" t="s">
        <v>17867</v>
      </c>
      <c r="C5614" t="s">
        <v>748</v>
      </c>
      <c r="D5614" t="s">
        <v>749</v>
      </c>
      <c r="E5614" t="s">
        <v>750</v>
      </c>
      <c r="F5614" t="s">
        <v>17868</v>
      </c>
      <c r="G5614" s="2" t="str">
        <f>HYPERLINK("https://probpalata.gov.ru/files/ЮЛ770100193500860.jpeg","Скачать индивидуальный QR-код магазина")</f>
        <v>Скачать индивидуальный QR-код магазина</v>
      </c>
    </row>
    <row r="5615" spans="1:7" x14ac:dyDescent="0.25">
      <c r="A5615" t="s">
        <v>17524</v>
      </c>
      <c r="B5615" t="s">
        <v>17869</v>
      </c>
      <c r="C5615" t="s">
        <v>748</v>
      </c>
      <c r="D5615" t="s">
        <v>749</v>
      </c>
      <c r="E5615" t="s">
        <v>750</v>
      </c>
      <c r="F5615" t="s">
        <v>17870</v>
      </c>
      <c r="G5615" s="2" t="str">
        <f>HYPERLINK("https://probpalata.gov.ru/files/ЮЛ770100193501144.jpeg","Скачать индивидуальный QR-код магазина")</f>
        <v>Скачать индивидуальный QR-код магазина</v>
      </c>
    </row>
    <row r="5616" spans="1:7" x14ac:dyDescent="0.25">
      <c r="A5616" t="s">
        <v>17524</v>
      </c>
      <c r="B5616" t="s">
        <v>17871</v>
      </c>
      <c r="C5616" t="s">
        <v>17872</v>
      </c>
      <c r="D5616" t="s">
        <v>17873</v>
      </c>
      <c r="E5616" t="s">
        <v>17874</v>
      </c>
      <c r="F5616" t="s">
        <v>17875</v>
      </c>
      <c r="G5616" s="2" t="str">
        <f>HYPERLINK("https://probpalata.gov.ru/files/ИП470303001900002.jpeg","Скачать индивидуальный QR-код магазина")</f>
        <v>Скачать индивидуальный QR-код магазина</v>
      </c>
    </row>
    <row r="5617" spans="1:7" x14ac:dyDescent="0.25">
      <c r="A5617" t="s">
        <v>17524</v>
      </c>
      <c r="B5617" t="s">
        <v>17876</v>
      </c>
      <c r="C5617" t="s">
        <v>17877</v>
      </c>
      <c r="D5617" t="s">
        <v>17878</v>
      </c>
      <c r="E5617" t="s">
        <v>17879</v>
      </c>
      <c r="F5617" t="s">
        <v>17880</v>
      </c>
      <c r="G5617" s="2" t="str">
        <f>HYPERLINK("https://probpalata.gov.ru/files/ЮЛ780300099300004.jpeg","Скачать индивидуальный QR-код магазина")</f>
        <v>Скачать индивидуальный QR-код магазина</v>
      </c>
    </row>
    <row r="5618" spans="1:7" x14ac:dyDescent="0.25">
      <c r="A5618" t="s">
        <v>17524</v>
      </c>
      <c r="B5618" t="s">
        <v>17881</v>
      </c>
      <c r="C5618" t="s">
        <v>17882</v>
      </c>
      <c r="D5618" t="s">
        <v>17883</v>
      </c>
      <c r="E5618" t="s">
        <v>17884</v>
      </c>
      <c r="F5618" t="s">
        <v>17885</v>
      </c>
      <c r="G5618" s="2" t="str">
        <f>HYPERLINK("https://probpalata.gov.ru/files/ИП780301531600004.jpeg","Скачать индивидуальный QR-код магазина")</f>
        <v>Скачать индивидуальный QR-код магазина</v>
      </c>
    </row>
    <row r="5619" spans="1:7" x14ac:dyDescent="0.25">
      <c r="A5619" t="s">
        <v>17524</v>
      </c>
      <c r="B5619" t="s">
        <v>17886</v>
      </c>
      <c r="C5619" t="s">
        <v>13071</v>
      </c>
      <c r="D5619" t="s">
        <v>13072</v>
      </c>
      <c r="E5619" t="s">
        <v>13073</v>
      </c>
      <c r="F5619" t="s">
        <v>17887</v>
      </c>
      <c r="G5619" s="2" t="str">
        <f>HYPERLINK("https://probpalata.gov.ru/files/ЮЛ780301232700013.jpeg","Скачать индивидуальный QR-код магазина")</f>
        <v>Скачать индивидуальный QR-код магазина</v>
      </c>
    </row>
    <row r="5620" spans="1:7" x14ac:dyDescent="0.25">
      <c r="A5620" t="s">
        <v>17524</v>
      </c>
      <c r="B5620" t="s">
        <v>17888</v>
      </c>
      <c r="C5620" t="s">
        <v>17889</v>
      </c>
      <c r="D5620" t="s">
        <v>17890</v>
      </c>
      <c r="E5620" t="s">
        <v>17891</v>
      </c>
      <c r="F5620" t="s">
        <v>17892</v>
      </c>
      <c r="G5620" s="2" t="str">
        <f>HYPERLINK("https://probpalata.gov.ru/files/ЮЛ780301491200004.jpeg","Скачать индивидуальный QR-код магазина")</f>
        <v>Скачать индивидуальный QR-код магазина</v>
      </c>
    </row>
    <row r="5621" spans="1:7" x14ac:dyDescent="0.25">
      <c r="A5621" t="s">
        <v>17524</v>
      </c>
      <c r="B5621" t="s">
        <v>17893</v>
      </c>
      <c r="C5621" t="s">
        <v>773</v>
      </c>
      <c r="D5621" t="s">
        <v>774</v>
      </c>
      <c r="E5621" t="s">
        <v>775</v>
      </c>
      <c r="F5621" t="s">
        <v>17894</v>
      </c>
      <c r="G5621" s="2" t="str">
        <f>HYPERLINK("https://probpalata.gov.ru/files/ЮЛ780300131300198.jpeg","Скачать индивидуальный QR-код магазина")</f>
        <v>Скачать индивидуальный QR-код магазина</v>
      </c>
    </row>
    <row r="5622" spans="1:7" x14ac:dyDescent="0.25">
      <c r="A5622" t="s">
        <v>17524</v>
      </c>
      <c r="B5622" t="s">
        <v>17895</v>
      </c>
      <c r="C5622" t="s">
        <v>773</v>
      </c>
      <c r="D5622" t="s">
        <v>774</v>
      </c>
      <c r="E5622" t="s">
        <v>775</v>
      </c>
      <c r="F5622" t="s">
        <v>17896</v>
      </c>
      <c r="G5622" s="2" t="str">
        <f>HYPERLINK("https://probpalata.gov.ru/files/ЮЛ780300131300200.jpeg","Скачать индивидуальный QR-код магазина")</f>
        <v>Скачать индивидуальный QR-код магазина</v>
      </c>
    </row>
    <row r="5623" spans="1:7" x14ac:dyDescent="0.25">
      <c r="A5623" t="s">
        <v>17524</v>
      </c>
      <c r="B5623" t="s">
        <v>17897</v>
      </c>
      <c r="C5623" t="s">
        <v>773</v>
      </c>
      <c r="D5623" t="s">
        <v>774</v>
      </c>
      <c r="E5623" t="s">
        <v>775</v>
      </c>
      <c r="F5623" t="s">
        <v>17898</v>
      </c>
      <c r="G5623" s="2" t="str">
        <f>HYPERLINK("https://probpalata.gov.ru/files/ЮЛ780300131300201.jpeg","Скачать индивидуальный QR-код магазина")</f>
        <v>Скачать индивидуальный QR-код магазина</v>
      </c>
    </row>
    <row r="5624" spans="1:7" x14ac:dyDescent="0.25">
      <c r="A5624" t="s">
        <v>17524</v>
      </c>
      <c r="B5624" t="s">
        <v>17899</v>
      </c>
      <c r="C5624" t="s">
        <v>773</v>
      </c>
      <c r="D5624" t="s">
        <v>774</v>
      </c>
      <c r="E5624" t="s">
        <v>775</v>
      </c>
      <c r="F5624" t="s">
        <v>17900</v>
      </c>
      <c r="G5624" s="2" t="str">
        <f>HYPERLINK("https://probpalata.gov.ru/files/ЮЛ780300131300231.jpeg","Скачать индивидуальный QR-код магазина")</f>
        <v>Скачать индивидуальный QR-код магазина</v>
      </c>
    </row>
    <row r="5625" spans="1:7" x14ac:dyDescent="0.25">
      <c r="A5625" t="s">
        <v>17524</v>
      </c>
      <c r="B5625" t="s">
        <v>17901</v>
      </c>
      <c r="C5625" t="s">
        <v>773</v>
      </c>
      <c r="D5625" t="s">
        <v>774</v>
      </c>
      <c r="E5625" t="s">
        <v>775</v>
      </c>
      <c r="F5625" t="s">
        <v>17902</v>
      </c>
      <c r="G5625" s="2" t="str">
        <f>HYPERLINK("https://probpalata.gov.ru/files/ЮЛ780300131300597.jpeg","Скачать индивидуальный QR-код магазина")</f>
        <v>Скачать индивидуальный QR-код магазина</v>
      </c>
    </row>
    <row r="5626" spans="1:7" x14ac:dyDescent="0.25">
      <c r="A5626" t="s">
        <v>17524</v>
      </c>
      <c r="B5626" t="s">
        <v>17903</v>
      </c>
      <c r="C5626" t="s">
        <v>787</v>
      </c>
      <c r="D5626" t="s">
        <v>788</v>
      </c>
      <c r="E5626" t="s">
        <v>789</v>
      </c>
      <c r="F5626" t="s">
        <v>17904</v>
      </c>
      <c r="G5626" s="2" t="str">
        <f>HYPERLINK("https://probpalata.gov.ru/files/ЮЛ780300328000017.jpeg","Скачать индивидуальный QR-код магазина")</f>
        <v>Скачать индивидуальный QR-код магазина</v>
      </c>
    </row>
    <row r="5627" spans="1:7" x14ac:dyDescent="0.25">
      <c r="A5627" t="s">
        <v>17524</v>
      </c>
      <c r="B5627" t="s">
        <v>17905</v>
      </c>
      <c r="C5627" t="s">
        <v>787</v>
      </c>
      <c r="D5627" t="s">
        <v>788</v>
      </c>
      <c r="E5627" t="s">
        <v>789</v>
      </c>
      <c r="F5627" t="s">
        <v>17906</v>
      </c>
      <c r="G5627" s="2" t="str">
        <f>HYPERLINK("https://probpalata.gov.ru/files/ЮЛ780300328000018.jpeg","Скачать индивидуальный QR-код магазина")</f>
        <v>Скачать индивидуальный QR-код магазина</v>
      </c>
    </row>
    <row r="5628" spans="1:7" x14ac:dyDescent="0.25">
      <c r="A5628" t="s">
        <v>17524</v>
      </c>
      <c r="B5628" t="s">
        <v>17907</v>
      </c>
      <c r="C5628" t="s">
        <v>787</v>
      </c>
      <c r="D5628" t="s">
        <v>788</v>
      </c>
      <c r="E5628" t="s">
        <v>789</v>
      </c>
      <c r="F5628" t="s">
        <v>17908</v>
      </c>
      <c r="G5628" s="2" t="str">
        <f>HYPERLINK("https://probpalata.gov.ru/files/ЮЛ780300328000023.jpeg","Скачать индивидуальный QR-код магазина")</f>
        <v>Скачать индивидуальный QR-код магазина</v>
      </c>
    </row>
    <row r="5629" spans="1:7" x14ac:dyDescent="0.25">
      <c r="A5629" t="s">
        <v>17524</v>
      </c>
      <c r="B5629" t="s">
        <v>17909</v>
      </c>
      <c r="C5629" t="s">
        <v>787</v>
      </c>
      <c r="D5629" t="s">
        <v>788</v>
      </c>
      <c r="E5629" t="s">
        <v>789</v>
      </c>
      <c r="F5629" t="s">
        <v>17910</v>
      </c>
      <c r="G5629" s="2" t="str">
        <f>HYPERLINK("https://probpalata.gov.ru/files/ЮЛ780300328000025.jpeg","Скачать индивидуальный QR-код магазина")</f>
        <v>Скачать индивидуальный QR-код магазина</v>
      </c>
    </row>
    <row r="5630" spans="1:7" x14ac:dyDescent="0.25">
      <c r="A5630" t="s">
        <v>17524</v>
      </c>
      <c r="B5630" t="s">
        <v>17911</v>
      </c>
      <c r="C5630" t="s">
        <v>787</v>
      </c>
      <c r="D5630" t="s">
        <v>788</v>
      </c>
      <c r="E5630" t="s">
        <v>789</v>
      </c>
      <c r="F5630" t="s">
        <v>17912</v>
      </c>
      <c r="G5630" s="2" t="str">
        <f>HYPERLINK("https://probpalata.gov.ru/files/ЮЛ780300328000026.jpeg","Скачать индивидуальный QR-код магазина")</f>
        <v>Скачать индивидуальный QR-код магазина</v>
      </c>
    </row>
    <row r="5631" spans="1:7" x14ac:dyDescent="0.25">
      <c r="A5631" t="s">
        <v>17524</v>
      </c>
      <c r="B5631" t="s">
        <v>17913</v>
      </c>
      <c r="C5631" t="s">
        <v>1441</v>
      </c>
      <c r="D5631" t="s">
        <v>1442</v>
      </c>
      <c r="E5631" t="s">
        <v>1443</v>
      </c>
      <c r="F5631" t="s">
        <v>17914</v>
      </c>
      <c r="G5631" s="2" t="str">
        <f>HYPERLINK("https://probpalata.gov.ru/files/ЮЛ780300179700035.jpeg","Скачать индивидуальный QR-код магазина")</f>
        <v>Скачать индивидуальный QR-код магазина</v>
      </c>
    </row>
    <row r="5632" spans="1:7" x14ac:dyDescent="0.25">
      <c r="A5632" t="s">
        <v>17524</v>
      </c>
      <c r="B5632" t="s">
        <v>17915</v>
      </c>
      <c r="C5632" t="s">
        <v>17916</v>
      </c>
      <c r="D5632" t="s">
        <v>17917</v>
      </c>
      <c r="E5632" t="s">
        <v>17918</v>
      </c>
      <c r="F5632" t="s">
        <v>17919</v>
      </c>
      <c r="G5632" s="2" t="str">
        <f>HYPERLINK("https://probpalata.gov.ru/files/ЮЛ780301529600001.jpeg","Скачать индивидуальный QR-код магазина")</f>
        <v>Скачать индивидуальный QR-код магазина</v>
      </c>
    </row>
    <row r="5633" spans="1:7" x14ac:dyDescent="0.25">
      <c r="A5633" t="s">
        <v>17524</v>
      </c>
      <c r="B5633" t="s">
        <v>17920</v>
      </c>
      <c r="C5633" t="s">
        <v>17916</v>
      </c>
      <c r="D5633" t="s">
        <v>17917</v>
      </c>
      <c r="E5633" t="s">
        <v>17918</v>
      </c>
      <c r="F5633" t="s">
        <v>17921</v>
      </c>
      <c r="G5633" s="2" t="str">
        <f>HYPERLINK("https://probpalata.gov.ru/files/ЮЛ780301529600002.jpeg","Скачать индивидуальный QR-код магазина")</f>
        <v>Скачать индивидуальный QR-код магазина</v>
      </c>
    </row>
    <row r="5634" spans="1:7" x14ac:dyDescent="0.25">
      <c r="A5634" t="s">
        <v>17524</v>
      </c>
      <c r="B5634" t="s">
        <v>17922</v>
      </c>
      <c r="C5634" t="s">
        <v>17916</v>
      </c>
      <c r="D5634" t="s">
        <v>17917</v>
      </c>
      <c r="E5634" t="s">
        <v>17918</v>
      </c>
      <c r="F5634" t="s">
        <v>17923</v>
      </c>
      <c r="G5634" s="2" t="str">
        <f>HYPERLINK("https://probpalata.gov.ru/files/ЮЛ780301529600003.jpeg","Скачать индивидуальный QR-код магазина")</f>
        <v>Скачать индивидуальный QR-код магазина</v>
      </c>
    </row>
    <row r="5635" spans="1:7" x14ac:dyDescent="0.25">
      <c r="A5635" t="s">
        <v>17524</v>
      </c>
      <c r="B5635" t="s">
        <v>17924</v>
      </c>
      <c r="C5635" t="s">
        <v>17925</v>
      </c>
      <c r="D5635" t="s">
        <v>17926</v>
      </c>
      <c r="E5635" t="s">
        <v>17927</v>
      </c>
      <c r="F5635" t="s">
        <v>17928</v>
      </c>
      <c r="G5635" s="2" t="str">
        <f>HYPERLINK("https://probpalata.gov.ru/files/ЮЛ780300447600002.jpeg","Скачать индивидуальный QR-код магазина")</f>
        <v>Скачать индивидуальный QR-код магазина</v>
      </c>
    </row>
    <row r="5636" spans="1:7" x14ac:dyDescent="0.25">
      <c r="A5636" t="s">
        <v>17524</v>
      </c>
      <c r="B5636" t="s">
        <v>17929</v>
      </c>
      <c r="C5636" t="s">
        <v>17925</v>
      </c>
      <c r="D5636" t="s">
        <v>17926</v>
      </c>
      <c r="E5636" t="s">
        <v>17927</v>
      </c>
      <c r="F5636" t="s">
        <v>17930</v>
      </c>
      <c r="G5636" s="2" t="str">
        <f>HYPERLINK("https://probpalata.gov.ru/files/ЮЛ780300447600003.jpeg","Скачать индивидуальный QR-код магазина")</f>
        <v>Скачать индивидуальный QR-код магазина</v>
      </c>
    </row>
    <row r="5637" spans="1:7" x14ac:dyDescent="0.25">
      <c r="A5637" t="s">
        <v>17524</v>
      </c>
      <c r="B5637" t="s">
        <v>17931</v>
      </c>
      <c r="C5637" t="s">
        <v>17925</v>
      </c>
      <c r="D5637" t="s">
        <v>17926</v>
      </c>
      <c r="E5637" t="s">
        <v>17927</v>
      </c>
      <c r="F5637" t="s">
        <v>17932</v>
      </c>
      <c r="G5637" s="2" t="str">
        <f>HYPERLINK("https://probpalata.gov.ru/files/ЮЛ780300447600004.jpeg","Скачать индивидуальный QR-код магазина")</f>
        <v>Скачать индивидуальный QR-код магазина</v>
      </c>
    </row>
    <row r="5638" spans="1:7" x14ac:dyDescent="0.25">
      <c r="A5638" t="s">
        <v>17524</v>
      </c>
      <c r="B5638" t="s">
        <v>17933</v>
      </c>
      <c r="C5638" t="s">
        <v>17925</v>
      </c>
      <c r="D5638" t="s">
        <v>17926</v>
      </c>
      <c r="E5638" t="s">
        <v>17927</v>
      </c>
      <c r="F5638" t="s">
        <v>17934</v>
      </c>
      <c r="G5638" s="2" t="str">
        <f>HYPERLINK("https://probpalata.gov.ru/files/ЮЛ780300447600006.jpeg","Скачать индивидуальный QR-код магазина")</f>
        <v>Скачать индивидуальный QR-код магазина</v>
      </c>
    </row>
    <row r="5639" spans="1:7" x14ac:dyDescent="0.25">
      <c r="A5639" t="s">
        <v>17524</v>
      </c>
      <c r="B5639" t="s">
        <v>17935</v>
      </c>
      <c r="C5639" t="s">
        <v>17936</v>
      </c>
      <c r="D5639" t="s">
        <v>17937</v>
      </c>
      <c r="E5639" t="s">
        <v>17938</v>
      </c>
      <c r="F5639" t="s">
        <v>17939</v>
      </c>
      <c r="G5639" s="2" t="str">
        <f>HYPERLINK("https://probpalata.gov.ru/files/ИП780300633600000.jpeg","Скачать индивидуальный QR-код магазина")</f>
        <v>Скачать индивидуальный QR-код магазина</v>
      </c>
    </row>
    <row r="5640" spans="1:7" x14ac:dyDescent="0.25">
      <c r="A5640" t="s">
        <v>17524</v>
      </c>
      <c r="B5640" t="s">
        <v>17940</v>
      </c>
      <c r="C5640" t="s">
        <v>17941</v>
      </c>
      <c r="D5640" t="s">
        <v>17942</v>
      </c>
      <c r="E5640" t="s">
        <v>17943</v>
      </c>
      <c r="F5640" t="s">
        <v>17944</v>
      </c>
      <c r="G5640" s="2" t="str">
        <f>HYPERLINK("https://probpalata.gov.ru/files/ИП780300718300005.jpeg","Скачать индивидуальный QR-код магазина")</f>
        <v>Скачать индивидуальный QR-код магазина</v>
      </c>
    </row>
    <row r="5641" spans="1:7" x14ac:dyDescent="0.25">
      <c r="A5641" t="s">
        <v>17524</v>
      </c>
      <c r="B5641" t="s">
        <v>17945</v>
      </c>
      <c r="C5641" t="s">
        <v>791</v>
      </c>
      <c r="D5641" t="s">
        <v>792</v>
      </c>
      <c r="E5641" t="s">
        <v>793</v>
      </c>
      <c r="F5641" t="s">
        <v>17946</v>
      </c>
      <c r="G5641" s="2" t="str">
        <f>HYPERLINK("https://probpalata.gov.ru/files/ЮЛ780300323500127.jpeg","Скачать индивидуальный QR-код магазина")</f>
        <v>Скачать индивидуальный QR-код магазина</v>
      </c>
    </row>
    <row r="5642" spans="1:7" x14ac:dyDescent="0.25">
      <c r="A5642" t="s">
        <v>17524</v>
      </c>
      <c r="B5642" t="s">
        <v>17947</v>
      </c>
      <c r="C5642" t="s">
        <v>791</v>
      </c>
      <c r="D5642" t="s">
        <v>792</v>
      </c>
      <c r="E5642" t="s">
        <v>793</v>
      </c>
      <c r="F5642" t="s">
        <v>17948</v>
      </c>
      <c r="G5642" s="2" t="str">
        <f>HYPERLINK("https://probpalata.gov.ru/files/ЮЛ780300323500128.jpeg","Скачать индивидуальный QR-код магазина")</f>
        <v>Скачать индивидуальный QR-код магазина</v>
      </c>
    </row>
    <row r="5643" spans="1:7" x14ac:dyDescent="0.25">
      <c r="A5643" t="s">
        <v>17524</v>
      </c>
      <c r="B5643" t="s">
        <v>17949</v>
      </c>
      <c r="C5643" t="s">
        <v>791</v>
      </c>
      <c r="D5643" t="s">
        <v>792</v>
      </c>
      <c r="E5643" t="s">
        <v>793</v>
      </c>
      <c r="F5643" t="s">
        <v>17950</v>
      </c>
      <c r="G5643" s="2" t="str">
        <f>HYPERLINK("https://probpalata.gov.ru/files/ЮЛ780300323500129.jpeg","Скачать индивидуальный QR-код магазина")</f>
        <v>Скачать индивидуальный QR-код магазина</v>
      </c>
    </row>
    <row r="5644" spans="1:7" x14ac:dyDescent="0.25">
      <c r="A5644" t="s">
        <v>17524</v>
      </c>
      <c r="B5644" t="s">
        <v>17951</v>
      </c>
      <c r="C5644" t="s">
        <v>17952</v>
      </c>
      <c r="D5644" t="s">
        <v>17953</v>
      </c>
      <c r="E5644" t="s">
        <v>17954</v>
      </c>
      <c r="F5644" t="s">
        <v>17955</v>
      </c>
      <c r="G5644" s="2" t="str">
        <f>HYPERLINK("https://probpalata.gov.ru/files/ЮЛ780300632700008.jpeg","Скачать индивидуальный QR-код магазина")</f>
        <v>Скачать индивидуальный QR-код магазина</v>
      </c>
    </row>
    <row r="5645" spans="1:7" x14ac:dyDescent="0.25">
      <c r="A5645" t="s">
        <v>17524</v>
      </c>
      <c r="B5645" t="s">
        <v>17956</v>
      </c>
      <c r="C5645" t="s">
        <v>17952</v>
      </c>
      <c r="D5645" t="s">
        <v>17953</v>
      </c>
      <c r="E5645" t="s">
        <v>17954</v>
      </c>
      <c r="F5645" t="s">
        <v>17957</v>
      </c>
      <c r="G5645" s="2" t="str">
        <f>HYPERLINK("https://probpalata.gov.ru/files/ЮЛ780300632700010.jpeg","Скачать индивидуальный QR-код магазина")</f>
        <v>Скачать индивидуальный QR-код магазина</v>
      </c>
    </row>
    <row r="5646" spans="1:7" x14ac:dyDescent="0.25">
      <c r="A5646" t="s">
        <v>17524</v>
      </c>
      <c r="B5646" t="s">
        <v>17958</v>
      </c>
      <c r="C5646" t="s">
        <v>17952</v>
      </c>
      <c r="D5646" t="s">
        <v>17953</v>
      </c>
      <c r="E5646" t="s">
        <v>17954</v>
      </c>
      <c r="F5646" t="s">
        <v>17959</v>
      </c>
      <c r="G5646" s="2" t="str">
        <f>HYPERLINK("https://probpalata.gov.ru/files/ЮЛ780300632700012.jpeg","Скачать индивидуальный QR-код магазина")</f>
        <v>Скачать индивидуальный QR-код магазина</v>
      </c>
    </row>
    <row r="5647" spans="1:7" x14ac:dyDescent="0.25">
      <c r="A5647" t="s">
        <v>17524</v>
      </c>
      <c r="B5647" t="s">
        <v>17960</v>
      </c>
      <c r="C5647" t="s">
        <v>798</v>
      </c>
      <c r="D5647" t="s">
        <v>799</v>
      </c>
      <c r="E5647" t="s">
        <v>800</v>
      </c>
      <c r="F5647" t="s">
        <v>17961</v>
      </c>
      <c r="G5647" s="2" t="str">
        <f>HYPERLINK("https://probpalata.gov.ru/files/ЮЛ780300308200000.jpeg","Скачать индивидуальный QR-код магазина")</f>
        <v>Скачать индивидуальный QR-код магазина</v>
      </c>
    </row>
    <row r="5648" spans="1:7" x14ac:dyDescent="0.25">
      <c r="A5648" t="s">
        <v>17524</v>
      </c>
      <c r="B5648" t="s">
        <v>17962</v>
      </c>
      <c r="C5648" t="s">
        <v>798</v>
      </c>
      <c r="D5648" t="s">
        <v>799</v>
      </c>
      <c r="E5648" t="s">
        <v>800</v>
      </c>
      <c r="F5648" t="s">
        <v>17963</v>
      </c>
      <c r="G5648" s="2" t="str">
        <f>HYPERLINK("https://probpalata.gov.ru/files/ЮЛ780300308200011.jpeg","Скачать индивидуальный QR-код магазина")</f>
        <v>Скачать индивидуальный QR-код магазина</v>
      </c>
    </row>
    <row r="5649" spans="1:7" x14ac:dyDescent="0.25">
      <c r="A5649" t="s">
        <v>17524</v>
      </c>
      <c r="B5649" t="s">
        <v>17964</v>
      </c>
      <c r="C5649" t="s">
        <v>798</v>
      </c>
      <c r="D5649" t="s">
        <v>799</v>
      </c>
      <c r="E5649" t="s">
        <v>800</v>
      </c>
      <c r="F5649" t="s">
        <v>17965</v>
      </c>
      <c r="G5649" s="2" t="str">
        <f>HYPERLINK("https://probpalata.gov.ru/files/ЮЛ780300308200014.jpeg","Скачать индивидуальный QR-код магазина")</f>
        <v>Скачать индивидуальный QR-код магазина</v>
      </c>
    </row>
    <row r="5650" spans="1:7" x14ac:dyDescent="0.25">
      <c r="A5650" t="s">
        <v>17524</v>
      </c>
      <c r="B5650" t="s">
        <v>17966</v>
      </c>
      <c r="C5650" t="s">
        <v>798</v>
      </c>
      <c r="D5650" t="s">
        <v>799</v>
      </c>
      <c r="E5650" t="s">
        <v>800</v>
      </c>
      <c r="F5650" t="s">
        <v>17967</v>
      </c>
      <c r="G5650" s="2" t="str">
        <f>HYPERLINK("https://probpalata.gov.ru/files/ЮЛ780300308200015.jpeg","Скачать индивидуальный QR-код магазина")</f>
        <v>Скачать индивидуальный QR-код магазина</v>
      </c>
    </row>
    <row r="5651" spans="1:7" x14ac:dyDescent="0.25">
      <c r="A5651" t="s">
        <v>17524</v>
      </c>
      <c r="B5651" t="s">
        <v>17968</v>
      </c>
      <c r="C5651" t="s">
        <v>798</v>
      </c>
      <c r="D5651" t="s">
        <v>799</v>
      </c>
      <c r="E5651" t="s">
        <v>800</v>
      </c>
      <c r="F5651" t="s">
        <v>17969</v>
      </c>
      <c r="G5651" s="2" t="str">
        <f>HYPERLINK("https://probpalata.gov.ru/files/ЮЛ780300308200021.jpeg","Скачать индивидуальный QR-код магазина")</f>
        <v>Скачать индивидуальный QR-код магазина</v>
      </c>
    </row>
    <row r="5652" spans="1:7" x14ac:dyDescent="0.25">
      <c r="A5652" t="s">
        <v>17524</v>
      </c>
      <c r="B5652" t="s">
        <v>17970</v>
      </c>
      <c r="C5652" t="s">
        <v>798</v>
      </c>
      <c r="D5652" t="s">
        <v>799</v>
      </c>
      <c r="E5652" t="s">
        <v>800</v>
      </c>
      <c r="F5652" t="s">
        <v>17971</v>
      </c>
      <c r="G5652" s="2" t="str">
        <f>HYPERLINK("https://probpalata.gov.ru/files/ЮЛ780300308200078.jpeg","Скачать индивидуальный QR-код магазина")</f>
        <v>Скачать индивидуальный QR-код магазина</v>
      </c>
    </row>
    <row r="5653" spans="1:7" x14ac:dyDescent="0.25">
      <c r="A5653" t="s">
        <v>17524</v>
      </c>
      <c r="B5653" t="s">
        <v>17972</v>
      </c>
      <c r="C5653" t="s">
        <v>798</v>
      </c>
      <c r="D5653" t="s">
        <v>799</v>
      </c>
      <c r="E5653" t="s">
        <v>800</v>
      </c>
      <c r="F5653" t="s">
        <v>17973</v>
      </c>
      <c r="G5653" s="2" t="str">
        <f>HYPERLINK("https://probpalata.gov.ru/files/ЮЛ780300308200094.jpeg","Скачать индивидуальный QR-код магазина")</f>
        <v>Скачать индивидуальный QR-код магазина</v>
      </c>
    </row>
    <row r="5654" spans="1:7" x14ac:dyDescent="0.25">
      <c r="A5654" t="s">
        <v>17524</v>
      </c>
      <c r="B5654" t="s">
        <v>17974</v>
      </c>
      <c r="C5654" t="s">
        <v>798</v>
      </c>
      <c r="D5654" t="s">
        <v>799</v>
      </c>
      <c r="E5654" t="s">
        <v>800</v>
      </c>
      <c r="F5654" t="s">
        <v>17975</v>
      </c>
      <c r="G5654" s="2" t="str">
        <f>HYPERLINK("https://probpalata.gov.ru/files/ЮЛ780300308200232.jpeg","Скачать индивидуальный QR-код магазина")</f>
        <v>Скачать индивидуальный QR-код магазина</v>
      </c>
    </row>
    <row r="5655" spans="1:7" x14ac:dyDescent="0.25">
      <c r="A5655" t="s">
        <v>17524</v>
      </c>
      <c r="B5655" t="s">
        <v>17976</v>
      </c>
      <c r="C5655" t="s">
        <v>798</v>
      </c>
      <c r="D5655" t="s">
        <v>799</v>
      </c>
      <c r="E5655" t="s">
        <v>800</v>
      </c>
      <c r="F5655" t="s">
        <v>17977</v>
      </c>
      <c r="G5655" s="2" t="str">
        <f>HYPERLINK("https://probpalata.gov.ru/files/ЮЛ780300308200376.jpeg","Скачать индивидуальный QR-код магазина")</f>
        <v>Скачать индивидуальный QR-код магазина</v>
      </c>
    </row>
    <row r="5656" spans="1:7" x14ac:dyDescent="0.25">
      <c r="A5656" t="s">
        <v>17524</v>
      </c>
      <c r="B5656" t="s">
        <v>17978</v>
      </c>
      <c r="C5656" t="s">
        <v>798</v>
      </c>
      <c r="D5656" t="s">
        <v>799</v>
      </c>
      <c r="E5656" t="s">
        <v>800</v>
      </c>
      <c r="F5656" t="s">
        <v>17979</v>
      </c>
      <c r="G5656" s="2" t="str">
        <f>HYPERLINK("https://probpalata.gov.ru/files/ЮЛ780300308200377.jpeg","Скачать индивидуальный QR-код магазина")</f>
        <v>Скачать индивидуальный QR-код магазина</v>
      </c>
    </row>
    <row r="5657" spans="1:7" x14ac:dyDescent="0.25">
      <c r="A5657" t="s">
        <v>17524</v>
      </c>
      <c r="B5657" t="s">
        <v>17980</v>
      </c>
      <c r="C5657" t="s">
        <v>798</v>
      </c>
      <c r="D5657" t="s">
        <v>799</v>
      </c>
      <c r="E5657" t="s">
        <v>800</v>
      </c>
      <c r="F5657" t="s">
        <v>17981</v>
      </c>
      <c r="G5657" s="2" t="str">
        <f>HYPERLINK("https://probpalata.gov.ru/files/ЮЛ780300308200379.jpeg","Скачать индивидуальный QR-код магазина")</f>
        <v>Скачать индивидуальный QR-код магазина</v>
      </c>
    </row>
    <row r="5658" spans="1:7" x14ac:dyDescent="0.25">
      <c r="A5658" t="s">
        <v>17524</v>
      </c>
      <c r="B5658" t="s">
        <v>17982</v>
      </c>
      <c r="C5658" t="s">
        <v>798</v>
      </c>
      <c r="D5658" t="s">
        <v>799</v>
      </c>
      <c r="E5658" t="s">
        <v>800</v>
      </c>
      <c r="F5658" t="s">
        <v>17983</v>
      </c>
      <c r="G5658" s="2" t="str">
        <f>HYPERLINK("https://probpalata.gov.ru/files/ЮЛ780300308200658.jpeg","Скачать индивидуальный QR-код магазина")</f>
        <v>Скачать индивидуальный QR-код магазина</v>
      </c>
    </row>
    <row r="5659" spans="1:7" x14ac:dyDescent="0.25">
      <c r="A5659" t="s">
        <v>17524</v>
      </c>
      <c r="B5659" t="s">
        <v>17984</v>
      </c>
      <c r="C5659" t="s">
        <v>798</v>
      </c>
      <c r="D5659" t="s">
        <v>799</v>
      </c>
      <c r="E5659" t="s">
        <v>800</v>
      </c>
      <c r="F5659" t="s">
        <v>17985</v>
      </c>
      <c r="G5659" s="2" t="str">
        <f>HYPERLINK("https://probpalata.gov.ru/files/ЮЛ780300308200660.jpeg","Скачать индивидуальный QR-код магазина")</f>
        <v>Скачать индивидуальный QR-код магазина</v>
      </c>
    </row>
    <row r="5660" spans="1:7" x14ac:dyDescent="0.25">
      <c r="A5660" t="s">
        <v>17524</v>
      </c>
      <c r="B5660" t="s">
        <v>17895</v>
      </c>
      <c r="C5660" t="s">
        <v>798</v>
      </c>
      <c r="D5660" t="s">
        <v>799</v>
      </c>
      <c r="E5660" t="s">
        <v>800</v>
      </c>
      <c r="F5660" t="s">
        <v>17986</v>
      </c>
      <c r="G5660" s="2" t="str">
        <f>HYPERLINK("https://probpalata.gov.ru/files/ЮЛ780300308200774.jpeg","Скачать индивидуальный QR-код магазина")</f>
        <v>Скачать индивидуальный QR-код магазина</v>
      </c>
    </row>
    <row r="5661" spans="1:7" x14ac:dyDescent="0.25">
      <c r="A5661" t="s">
        <v>17524</v>
      </c>
      <c r="B5661" t="s">
        <v>17987</v>
      </c>
      <c r="C5661" t="s">
        <v>798</v>
      </c>
      <c r="D5661" t="s">
        <v>799</v>
      </c>
      <c r="E5661" t="s">
        <v>800</v>
      </c>
      <c r="F5661" t="s">
        <v>17988</v>
      </c>
      <c r="G5661" s="2" t="str">
        <f>HYPERLINK("https://probpalata.gov.ru/files/ЮЛ780300308200830.jpeg","Скачать индивидуальный QR-код магазина")</f>
        <v>Скачать индивидуальный QR-код магазина</v>
      </c>
    </row>
    <row r="5662" spans="1:7" x14ac:dyDescent="0.25">
      <c r="A5662" t="s">
        <v>17524</v>
      </c>
      <c r="B5662" t="s">
        <v>17989</v>
      </c>
      <c r="C5662" t="s">
        <v>798</v>
      </c>
      <c r="D5662" t="s">
        <v>799</v>
      </c>
      <c r="E5662" t="s">
        <v>800</v>
      </c>
      <c r="F5662" t="s">
        <v>17990</v>
      </c>
      <c r="G5662" s="2" t="str">
        <f>HYPERLINK("https://probpalata.gov.ru/files/ЮЛ780300308200831.jpeg","Скачать индивидуальный QR-код магазина")</f>
        <v>Скачать индивидуальный QR-код магазина</v>
      </c>
    </row>
    <row r="5663" spans="1:7" x14ac:dyDescent="0.25">
      <c r="A5663" t="s">
        <v>17524</v>
      </c>
      <c r="B5663" t="s">
        <v>17893</v>
      </c>
      <c r="C5663" t="s">
        <v>798</v>
      </c>
      <c r="D5663" t="s">
        <v>799</v>
      </c>
      <c r="E5663" t="s">
        <v>800</v>
      </c>
      <c r="F5663" t="s">
        <v>17991</v>
      </c>
      <c r="G5663" s="2" t="str">
        <f>HYPERLINK("https://probpalata.gov.ru/files/ЮЛ780300308200957.jpeg","Скачать индивидуальный QR-код магазина")</f>
        <v>Скачать индивидуальный QR-код магазина</v>
      </c>
    </row>
    <row r="5664" spans="1:7" x14ac:dyDescent="0.25">
      <c r="A5664" t="s">
        <v>17524</v>
      </c>
      <c r="B5664" t="s">
        <v>17992</v>
      </c>
      <c r="C5664" t="s">
        <v>798</v>
      </c>
      <c r="D5664" t="s">
        <v>799</v>
      </c>
      <c r="E5664" t="s">
        <v>800</v>
      </c>
      <c r="F5664" t="s">
        <v>17993</v>
      </c>
      <c r="G5664" s="2" t="str">
        <f>HYPERLINK("https://probpalata.gov.ru/files/ЮЛ780300308201058.jpeg","Скачать индивидуальный QR-код магазина")</f>
        <v>Скачать индивидуальный QR-код магазина</v>
      </c>
    </row>
    <row r="5665" spans="1:7" x14ac:dyDescent="0.25">
      <c r="A5665" t="s">
        <v>17524</v>
      </c>
      <c r="B5665" t="s">
        <v>17994</v>
      </c>
      <c r="C5665" t="s">
        <v>798</v>
      </c>
      <c r="D5665" t="s">
        <v>799</v>
      </c>
      <c r="E5665" t="s">
        <v>800</v>
      </c>
      <c r="F5665" t="s">
        <v>17995</v>
      </c>
      <c r="G5665" s="2" t="str">
        <f>HYPERLINK("https://probpalata.gov.ru/files/ЮЛ780300308201109.jpeg","Скачать индивидуальный QR-код магазина")</f>
        <v>Скачать индивидуальный QR-код магазина</v>
      </c>
    </row>
    <row r="5666" spans="1:7" x14ac:dyDescent="0.25">
      <c r="A5666" t="s">
        <v>17524</v>
      </c>
      <c r="B5666" t="s">
        <v>17996</v>
      </c>
      <c r="C5666" t="s">
        <v>798</v>
      </c>
      <c r="D5666" t="s">
        <v>799</v>
      </c>
      <c r="E5666" t="s">
        <v>800</v>
      </c>
      <c r="F5666" t="s">
        <v>17997</v>
      </c>
      <c r="G5666" s="2" t="str">
        <f>HYPERLINK("https://probpalata.gov.ru/files/ЮЛ780300308201173.jpeg","Скачать индивидуальный QR-код магазина")</f>
        <v>Скачать индивидуальный QR-код магазина</v>
      </c>
    </row>
    <row r="5667" spans="1:7" x14ac:dyDescent="0.25">
      <c r="A5667" t="s">
        <v>17524</v>
      </c>
      <c r="B5667" t="s">
        <v>17998</v>
      </c>
      <c r="C5667" t="s">
        <v>798</v>
      </c>
      <c r="D5667" t="s">
        <v>799</v>
      </c>
      <c r="E5667" t="s">
        <v>800</v>
      </c>
      <c r="F5667" t="s">
        <v>17999</v>
      </c>
      <c r="G5667" s="2" t="str">
        <f>HYPERLINK("https://probpalata.gov.ru/files/ЮЛ780300308201234.jpeg","Скачать индивидуальный QR-код магазина")</f>
        <v>Скачать индивидуальный QR-код магазина</v>
      </c>
    </row>
    <row r="5668" spans="1:7" x14ac:dyDescent="0.25">
      <c r="A5668" t="s">
        <v>17524</v>
      </c>
      <c r="B5668" t="s">
        <v>17945</v>
      </c>
      <c r="C5668" t="s">
        <v>9483</v>
      </c>
      <c r="D5668" t="s">
        <v>9484</v>
      </c>
      <c r="E5668" t="s">
        <v>9485</v>
      </c>
      <c r="F5668" t="s">
        <v>18000</v>
      </c>
      <c r="G5668" s="2" t="str">
        <f>HYPERLINK("https://probpalata.gov.ru/files/ЮЛ780300379600016.jpeg","Скачать индивидуальный QR-код магазина")</f>
        <v>Скачать индивидуальный QR-код магазина</v>
      </c>
    </row>
    <row r="5669" spans="1:7" x14ac:dyDescent="0.25">
      <c r="A5669" t="s">
        <v>17524</v>
      </c>
      <c r="B5669" t="s">
        <v>18001</v>
      </c>
      <c r="C5669" t="s">
        <v>9483</v>
      </c>
      <c r="D5669" t="s">
        <v>9484</v>
      </c>
      <c r="E5669" t="s">
        <v>9485</v>
      </c>
      <c r="F5669" t="s">
        <v>18002</v>
      </c>
      <c r="G5669" s="2" t="str">
        <f>HYPERLINK("https://probpalata.gov.ru/files/ЮЛ780300379600017.jpeg","Скачать индивидуальный QR-код магазина")</f>
        <v>Скачать индивидуальный QR-код магазина</v>
      </c>
    </row>
    <row r="5670" spans="1:7" x14ac:dyDescent="0.25">
      <c r="A5670" t="s">
        <v>17524</v>
      </c>
      <c r="B5670" t="s">
        <v>18003</v>
      </c>
      <c r="C5670" t="s">
        <v>9483</v>
      </c>
      <c r="D5670" t="s">
        <v>9484</v>
      </c>
      <c r="E5670" t="s">
        <v>9485</v>
      </c>
      <c r="F5670" t="s">
        <v>18004</v>
      </c>
      <c r="G5670" s="2" t="str">
        <f>HYPERLINK("https://probpalata.gov.ru/files/ЮЛ780300379600054.jpeg","Скачать индивидуальный QR-код магазина")</f>
        <v>Скачать индивидуальный QR-код магазина</v>
      </c>
    </row>
    <row r="5671" spans="1:7" x14ac:dyDescent="0.25">
      <c r="A5671" t="s">
        <v>17524</v>
      </c>
      <c r="B5671" t="s">
        <v>18005</v>
      </c>
      <c r="C5671" t="s">
        <v>823</v>
      </c>
      <c r="D5671" t="s">
        <v>824</v>
      </c>
      <c r="E5671" t="s">
        <v>825</v>
      </c>
      <c r="F5671" t="s">
        <v>18006</v>
      </c>
      <c r="G5671" s="2" t="str">
        <f>HYPERLINK("https://probpalata.gov.ru/files/ЮЛ780300363500348.jpeg","Скачать индивидуальный QR-код магазина")</f>
        <v>Скачать индивидуальный QR-код магазина</v>
      </c>
    </row>
    <row r="5672" spans="1:7" x14ac:dyDescent="0.25">
      <c r="A5672" t="s">
        <v>17524</v>
      </c>
      <c r="B5672" t="s">
        <v>18007</v>
      </c>
      <c r="C5672" t="s">
        <v>18008</v>
      </c>
      <c r="D5672" t="s">
        <v>18009</v>
      </c>
      <c r="E5672" t="s">
        <v>18010</v>
      </c>
      <c r="F5672" t="s">
        <v>18011</v>
      </c>
      <c r="G5672" s="2" t="str">
        <f>HYPERLINK("https://probpalata.gov.ru/files/ИП780300084400003.jpeg","Скачать индивидуальный QR-код магазина")</f>
        <v>Скачать индивидуальный QR-код магазина</v>
      </c>
    </row>
    <row r="5673" spans="1:7" x14ac:dyDescent="0.25">
      <c r="A5673" t="s">
        <v>17524</v>
      </c>
      <c r="B5673" t="s">
        <v>18012</v>
      </c>
      <c r="C5673" t="s">
        <v>18013</v>
      </c>
      <c r="D5673" t="s">
        <v>18014</v>
      </c>
      <c r="E5673" t="s">
        <v>18015</v>
      </c>
      <c r="F5673" t="s">
        <v>18016</v>
      </c>
      <c r="G5673" s="2" t="str">
        <f>HYPERLINK("https://probpalata.gov.ru/files/ЮЛ780301146700009.jpeg","Скачать индивидуальный QR-код магазина")</f>
        <v>Скачать индивидуальный QR-код магазина</v>
      </c>
    </row>
    <row r="5674" spans="1:7" x14ac:dyDescent="0.25">
      <c r="A5674" t="s">
        <v>17524</v>
      </c>
      <c r="B5674" t="s">
        <v>18017</v>
      </c>
      <c r="C5674" t="s">
        <v>18018</v>
      </c>
      <c r="D5674" t="s">
        <v>18019</v>
      </c>
      <c r="E5674" t="s">
        <v>18020</v>
      </c>
      <c r="F5674" t="s">
        <v>18021</v>
      </c>
      <c r="G5674" s="2" t="str">
        <f>HYPERLINK("https://probpalata.gov.ru/files/ИП470304061500000.jpeg","Скачать индивидуальный QR-код магазина")</f>
        <v>Скачать индивидуальный QR-код магазина</v>
      </c>
    </row>
    <row r="5675" spans="1:7" x14ac:dyDescent="0.25">
      <c r="A5675" t="s">
        <v>17524</v>
      </c>
      <c r="B5675" t="s">
        <v>18022</v>
      </c>
      <c r="C5675" t="s">
        <v>1501</v>
      </c>
      <c r="D5675" t="s">
        <v>1502</v>
      </c>
      <c r="E5675" t="s">
        <v>1503</v>
      </c>
      <c r="F5675" t="s">
        <v>18023</v>
      </c>
      <c r="G5675" s="2" t="str">
        <f>HYPERLINK("https://probpalata.gov.ru/files/ЮЛ770100439200250.jpeg","Скачать индивидуальный QR-код магазина")</f>
        <v>Скачать индивидуальный QR-код магазина</v>
      </c>
    </row>
    <row r="5676" spans="1:7" x14ac:dyDescent="0.25">
      <c r="A5676" t="s">
        <v>18024</v>
      </c>
      <c r="B5676" t="s">
        <v>18025</v>
      </c>
      <c r="C5676" t="s">
        <v>18026</v>
      </c>
      <c r="D5676" t="s">
        <v>18027</v>
      </c>
      <c r="E5676" t="s">
        <v>18028</v>
      </c>
      <c r="F5676" t="s">
        <v>18029</v>
      </c>
      <c r="G5676" s="2" t="str">
        <f>HYPERLINK("https://probpalata.gov.ru/files/ИП480101268900000.jpeg","Скачать индивидуальный QR-код магазина")</f>
        <v>Скачать индивидуальный QR-код магазина</v>
      </c>
    </row>
    <row r="5677" spans="1:7" x14ac:dyDescent="0.25">
      <c r="A5677" t="s">
        <v>18024</v>
      </c>
      <c r="B5677" t="s">
        <v>18030</v>
      </c>
      <c r="C5677" t="s">
        <v>4834</v>
      </c>
      <c r="D5677" t="s">
        <v>4835</v>
      </c>
      <c r="E5677" t="s">
        <v>4836</v>
      </c>
      <c r="F5677" t="s">
        <v>18031</v>
      </c>
      <c r="G5677" s="2" t="str">
        <f>HYPERLINK("https://probpalata.gov.ru/files/ИП360100329900002.jpeg","Скачать индивидуальный QR-код магазина")</f>
        <v>Скачать индивидуальный QR-код магазина</v>
      </c>
    </row>
    <row r="5678" spans="1:7" x14ac:dyDescent="0.25">
      <c r="A5678" t="s">
        <v>18024</v>
      </c>
      <c r="B5678" t="s">
        <v>18032</v>
      </c>
      <c r="C5678" t="s">
        <v>4834</v>
      </c>
      <c r="D5678" t="s">
        <v>4835</v>
      </c>
      <c r="E5678" t="s">
        <v>4836</v>
      </c>
      <c r="F5678" t="s">
        <v>18033</v>
      </c>
      <c r="G5678" s="2" t="str">
        <f>HYPERLINK("https://probpalata.gov.ru/files/ИП360100329900004.jpeg","Скачать индивидуальный QR-код магазина")</f>
        <v>Скачать индивидуальный QR-код магазина</v>
      </c>
    </row>
    <row r="5679" spans="1:7" x14ac:dyDescent="0.25">
      <c r="A5679" t="s">
        <v>18024</v>
      </c>
      <c r="B5679" t="s">
        <v>18034</v>
      </c>
      <c r="C5679" t="s">
        <v>4861</v>
      </c>
      <c r="D5679" t="s">
        <v>4862</v>
      </c>
      <c r="E5679" t="s">
        <v>4863</v>
      </c>
      <c r="F5679" t="s">
        <v>18035</v>
      </c>
      <c r="G5679" s="2" t="str">
        <f>HYPERLINK("https://probpalata.gov.ru/files/ИП360101554200004.jpeg","Скачать индивидуальный QR-код магазина")</f>
        <v>Скачать индивидуальный QR-код магазина</v>
      </c>
    </row>
    <row r="5680" spans="1:7" x14ac:dyDescent="0.25">
      <c r="A5680" t="s">
        <v>18024</v>
      </c>
      <c r="B5680" t="s">
        <v>18036</v>
      </c>
      <c r="C5680" t="s">
        <v>4861</v>
      </c>
      <c r="D5680" t="s">
        <v>4862</v>
      </c>
      <c r="E5680" t="s">
        <v>4863</v>
      </c>
      <c r="F5680" t="s">
        <v>18037</v>
      </c>
      <c r="G5680" s="2" t="str">
        <f>HYPERLINK("https://probpalata.gov.ru/files/ИП360101554200005.jpeg","Скачать индивидуальный QR-код магазина")</f>
        <v>Скачать индивидуальный QR-код магазина</v>
      </c>
    </row>
    <row r="5681" spans="1:7" x14ac:dyDescent="0.25">
      <c r="A5681" t="s">
        <v>18024</v>
      </c>
      <c r="B5681" t="s">
        <v>18038</v>
      </c>
      <c r="C5681" t="s">
        <v>18039</v>
      </c>
      <c r="D5681" t="s">
        <v>18040</v>
      </c>
      <c r="E5681" t="s">
        <v>18041</v>
      </c>
      <c r="F5681" t="s">
        <v>18042</v>
      </c>
      <c r="G5681" s="2" t="str">
        <f>HYPERLINK("https://probpalata.gov.ru/files/ИП360101804200000.jpeg","Скачать индивидуальный QR-код магазина")</f>
        <v>Скачать индивидуальный QR-код магазина</v>
      </c>
    </row>
    <row r="5682" spans="1:7" x14ac:dyDescent="0.25">
      <c r="A5682" t="s">
        <v>18024</v>
      </c>
      <c r="B5682" t="s">
        <v>18043</v>
      </c>
      <c r="C5682" t="s">
        <v>18039</v>
      </c>
      <c r="D5682" t="s">
        <v>18040</v>
      </c>
      <c r="E5682" t="s">
        <v>18041</v>
      </c>
      <c r="F5682" t="s">
        <v>18044</v>
      </c>
      <c r="G5682" s="2" t="str">
        <f>HYPERLINK("https://probpalata.gov.ru/files/ИП360101804200001.jpeg","Скачать индивидуальный QR-код магазина")</f>
        <v>Скачать индивидуальный QR-код магазина</v>
      </c>
    </row>
    <row r="5683" spans="1:7" x14ac:dyDescent="0.25">
      <c r="A5683" t="s">
        <v>18024</v>
      </c>
      <c r="B5683" t="s">
        <v>18045</v>
      </c>
      <c r="C5683" t="s">
        <v>18039</v>
      </c>
      <c r="D5683" t="s">
        <v>18040</v>
      </c>
      <c r="E5683" t="s">
        <v>18041</v>
      </c>
      <c r="F5683" t="s">
        <v>18046</v>
      </c>
      <c r="G5683" s="2" t="str">
        <f>HYPERLINK("https://probpalata.gov.ru/files/ИП360101804200002.jpeg","Скачать индивидуальный QR-код магазина")</f>
        <v>Скачать индивидуальный QR-код магазина</v>
      </c>
    </row>
    <row r="5684" spans="1:7" x14ac:dyDescent="0.25">
      <c r="A5684" t="s">
        <v>18024</v>
      </c>
      <c r="B5684" t="s">
        <v>18047</v>
      </c>
      <c r="C5684" t="s">
        <v>18048</v>
      </c>
      <c r="D5684" t="s">
        <v>18049</v>
      </c>
      <c r="E5684" t="s">
        <v>18050</v>
      </c>
      <c r="F5684" t="s">
        <v>18051</v>
      </c>
      <c r="G5684" s="2" t="str">
        <f>HYPERLINK("https://probpalata.gov.ru/files/ИП360101813300000.jpeg","Скачать индивидуальный QR-код магазина")</f>
        <v>Скачать индивидуальный QR-код магазина</v>
      </c>
    </row>
    <row r="5685" spans="1:7" x14ac:dyDescent="0.25">
      <c r="A5685" t="s">
        <v>18024</v>
      </c>
      <c r="B5685" t="s">
        <v>18052</v>
      </c>
      <c r="C5685" t="s">
        <v>18048</v>
      </c>
      <c r="D5685" t="s">
        <v>18049</v>
      </c>
      <c r="E5685" t="s">
        <v>18050</v>
      </c>
      <c r="F5685" t="s">
        <v>18053</v>
      </c>
      <c r="G5685" s="2" t="str">
        <f>HYPERLINK("https://probpalata.gov.ru/files/ИП360101813300001.jpeg","Скачать индивидуальный QR-код магазина")</f>
        <v>Скачать индивидуальный QR-код магазина</v>
      </c>
    </row>
    <row r="5686" spans="1:7" x14ac:dyDescent="0.25">
      <c r="A5686" t="s">
        <v>18024</v>
      </c>
      <c r="B5686" t="s">
        <v>18054</v>
      </c>
      <c r="C5686" t="s">
        <v>2171</v>
      </c>
      <c r="D5686" t="s">
        <v>2172</v>
      </c>
      <c r="E5686" t="s">
        <v>2173</v>
      </c>
      <c r="F5686" t="s">
        <v>18055</v>
      </c>
      <c r="G5686" s="2" t="str">
        <f>HYPERLINK("https://probpalata.gov.ru/files/ЮЛ500100602500039.jpeg","Скачать индивидуальный QR-код магазина")</f>
        <v>Скачать индивидуальный QR-код магазина</v>
      </c>
    </row>
    <row r="5687" spans="1:7" x14ac:dyDescent="0.25">
      <c r="A5687" t="s">
        <v>18024</v>
      </c>
      <c r="B5687" t="s">
        <v>18056</v>
      </c>
      <c r="C5687" t="s">
        <v>2171</v>
      </c>
      <c r="D5687" t="s">
        <v>2172</v>
      </c>
      <c r="E5687" t="s">
        <v>2173</v>
      </c>
      <c r="F5687" t="s">
        <v>18057</v>
      </c>
      <c r="G5687" s="2" t="str">
        <f>HYPERLINK("https://probpalata.gov.ru/files/ЮЛ500100602500059.jpeg","Скачать индивидуальный QR-код магазина")</f>
        <v>Скачать индивидуальный QR-код магазина</v>
      </c>
    </row>
    <row r="5688" spans="1:7" x14ac:dyDescent="0.25">
      <c r="A5688" t="s">
        <v>18024</v>
      </c>
      <c r="B5688" t="s">
        <v>18058</v>
      </c>
      <c r="C5688" t="s">
        <v>18059</v>
      </c>
      <c r="D5688" t="s">
        <v>18060</v>
      </c>
      <c r="E5688" t="s">
        <v>18061</v>
      </c>
      <c r="F5688" t="s">
        <v>18062</v>
      </c>
      <c r="G5688" s="2" t="str">
        <f>HYPERLINK("https://probpalata.gov.ru/files/ИП480103509800000.jpeg","Скачать индивидуальный QR-код магазина")</f>
        <v>Скачать индивидуальный QR-код магазина</v>
      </c>
    </row>
    <row r="5689" spans="1:7" x14ac:dyDescent="0.25">
      <c r="A5689" t="s">
        <v>18024</v>
      </c>
      <c r="B5689" t="s">
        <v>18063</v>
      </c>
      <c r="C5689" t="s">
        <v>18064</v>
      </c>
      <c r="D5689" t="s">
        <v>18065</v>
      </c>
      <c r="E5689" t="s">
        <v>18066</v>
      </c>
      <c r="F5689" t="s">
        <v>18067</v>
      </c>
      <c r="G5689" s="2" t="str">
        <f>HYPERLINK("https://probpalata.gov.ru/files/ИП480100078300000.jpeg","Скачать индивидуальный QR-код магазина")</f>
        <v>Скачать индивидуальный QR-код магазина</v>
      </c>
    </row>
    <row r="5690" spans="1:7" x14ac:dyDescent="0.25">
      <c r="A5690" t="s">
        <v>18024</v>
      </c>
      <c r="B5690" t="s">
        <v>18068</v>
      </c>
      <c r="C5690" t="s">
        <v>18069</v>
      </c>
      <c r="D5690" t="s">
        <v>18070</v>
      </c>
      <c r="E5690" t="s">
        <v>18071</v>
      </c>
      <c r="F5690" t="s">
        <v>18072</v>
      </c>
      <c r="G5690" s="2" t="str">
        <f>HYPERLINK("https://probpalata.gov.ru/files/ИП480104037900000.jpeg","Скачать индивидуальный QR-код магазина")</f>
        <v>Скачать индивидуальный QR-код магазина</v>
      </c>
    </row>
    <row r="5691" spans="1:7" x14ac:dyDescent="0.25">
      <c r="A5691" t="s">
        <v>18024</v>
      </c>
      <c r="B5691" t="s">
        <v>18073</v>
      </c>
      <c r="C5691" t="s">
        <v>18074</v>
      </c>
      <c r="D5691" t="s">
        <v>18075</v>
      </c>
      <c r="E5691" t="s">
        <v>18076</v>
      </c>
      <c r="F5691" t="s">
        <v>18077</v>
      </c>
      <c r="G5691" s="2" t="str">
        <f>HYPERLINK("https://probpalata.gov.ru/files/ИП480101636200000.jpeg","Скачать индивидуальный QR-код магазина")</f>
        <v>Скачать индивидуальный QR-код магазина</v>
      </c>
    </row>
    <row r="5692" spans="1:7" x14ac:dyDescent="0.25">
      <c r="A5692" t="s">
        <v>18024</v>
      </c>
      <c r="B5692" t="s">
        <v>18078</v>
      </c>
      <c r="C5692" t="s">
        <v>18079</v>
      </c>
      <c r="D5692" t="s">
        <v>18080</v>
      </c>
      <c r="E5692" t="s">
        <v>18081</v>
      </c>
      <c r="F5692" t="s">
        <v>18082</v>
      </c>
      <c r="G5692" s="2" t="str">
        <f>HYPERLINK("https://probpalata.gov.ru/files/ИП480100221600000.jpeg","Скачать индивидуальный QR-код магазина")</f>
        <v>Скачать индивидуальный QR-код магазина</v>
      </c>
    </row>
    <row r="5693" spans="1:7" x14ac:dyDescent="0.25">
      <c r="A5693" t="s">
        <v>18024</v>
      </c>
      <c r="B5693" t="s">
        <v>18083</v>
      </c>
      <c r="C5693" t="s">
        <v>18084</v>
      </c>
      <c r="D5693" t="s">
        <v>18085</v>
      </c>
      <c r="E5693" t="s">
        <v>18086</v>
      </c>
      <c r="F5693" t="s">
        <v>18087</v>
      </c>
      <c r="G5693" s="2" t="str">
        <f>HYPERLINK("https://probpalata.gov.ru/files/ИП480100926600000.jpeg","Скачать индивидуальный QR-код магазина")</f>
        <v>Скачать индивидуальный QR-код магазина</v>
      </c>
    </row>
    <row r="5694" spans="1:7" x14ac:dyDescent="0.25">
      <c r="A5694" t="s">
        <v>18024</v>
      </c>
      <c r="B5694" t="s">
        <v>18088</v>
      </c>
      <c r="C5694" t="s">
        <v>18089</v>
      </c>
      <c r="D5694" t="s">
        <v>18090</v>
      </c>
      <c r="E5694" t="s">
        <v>18091</v>
      </c>
      <c r="F5694" t="s">
        <v>18092</v>
      </c>
      <c r="G5694" s="2" t="str">
        <f>HYPERLINK("https://probpalata.gov.ru/files/ЮЛ480101141100000.jpeg","Скачать индивидуальный QR-код магазина")</f>
        <v>Скачать индивидуальный QR-код магазина</v>
      </c>
    </row>
    <row r="5695" spans="1:7" x14ac:dyDescent="0.25">
      <c r="A5695" t="s">
        <v>18024</v>
      </c>
      <c r="B5695" t="s">
        <v>18093</v>
      </c>
      <c r="C5695" t="s">
        <v>18089</v>
      </c>
      <c r="D5695" t="s">
        <v>18090</v>
      </c>
      <c r="E5695" t="s">
        <v>18091</v>
      </c>
      <c r="F5695" t="s">
        <v>18094</v>
      </c>
      <c r="G5695" s="2" t="str">
        <f>HYPERLINK("https://probpalata.gov.ru/files/ЮЛ480101141100001.jpeg","Скачать индивидуальный QR-код магазина")</f>
        <v>Скачать индивидуальный QR-код магазина</v>
      </c>
    </row>
    <row r="5696" spans="1:7" x14ac:dyDescent="0.25">
      <c r="A5696" t="s">
        <v>18024</v>
      </c>
      <c r="B5696" t="s">
        <v>18095</v>
      </c>
      <c r="C5696" t="s">
        <v>18096</v>
      </c>
      <c r="D5696" t="s">
        <v>18097</v>
      </c>
      <c r="E5696" t="s">
        <v>18098</v>
      </c>
      <c r="F5696" t="s">
        <v>18099</v>
      </c>
      <c r="G5696" s="2" t="str">
        <f>HYPERLINK("https://probpalata.gov.ru/files/ЮЛ480101735700000.jpeg","Скачать индивидуальный QR-код магазина")</f>
        <v>Скачать индивидуальный QR-код магазина</v>
      </c>
    </row>
    <row r="5697" spans="1:7" x14ac:dyDescent="0.25">
      <c r="A5697" t="s">
        <v>18024</v>
      </c>
      <c r="B5697" t="s">
        <v>18100</v>
      </c>
      <c r="C5697" t="s">
        <v>18101</v>
      </c>
      <c r="D5697" t="s">
        <v>18102</v>
      </c>
      <c r="E5697" t="s">
        <v>18103</v>
      </c>
      <c r="F5697" t="s">
        <v>18104</v>
      </c>
      <c r="G5697" s="2" t="str">
        <f>HYPERLINK("https://probpalata.gov.ru/files/ИП480100483800000.jpeg","Скачать индивидуальный QR-код магазина")</f>
        <v>Скачать индивидуальный QR-код магазина</v>
      </c>
    </row>
    <row r="5698" spans="1:7" x14ac:dyDescent="0.25">
      <c r="A5698" t="s">
        <v>18024</v>
      </c>
      <c r="B5698" t="s">
        <v>18105</v>
      </c>
      <c r="C5698" t="s">
        <v>18106</v>
      </c>
      <c r="D5698" t="s">
        <v>18107</v>
      </c>
      <c r="E5698" t="s">
        <v>18108</v>
      </c>
      <c r="F5698" t="s">
        <v>18109</v>
      </c>
      <c r="G5698" s="2" t="str">
        <f>HYPERLINK("https://probpalata.gov.ru/files/ИП480103320800000.jpeg","Скачать индивидуальный QR-код магазина")</f>
        <v>Скачать индивидуальный QR-код магазина</v>
      </c>
    </row>
    <row r="5699" spans="1:7" x14ac:dyDescent="0.25">
      <c r="A5699" t="s">
        <v>18024</v>
      </c>
      <c r="B5699" t="s">
        <v>18110</v>
      </c>
      <c r="C5699" t="s">
        <v>18111</v>
      </c>
      <c r="D5699" t="s">
        <v>18112</v>
      </c>
      <c r="E5699" t="s">
        <v>18113</v>
      </c>
      <c r="F5699" t="s">
        <v>18114</v>
      </c>
      <c r="G5699" s="2" t="str">
        <f>HYPERLINK("https://probpalata.gov.ru/files/ЮЛ480100169000000.jpeg","Скачать индивидуальный QR-код магазина")</f>
        <v>Скачать индивидуальный QR-код магазина</v>
      </c>
    </row>
    <row r="5700" spans="1:7" x14ac:dyDescent="0.25">
      <c r="A5700" t="s">
        <v>18024</v>
      </c>
      <c r="B5700" t="s">
        <v>18115</v>
      </c>
      <c r="C5700" t="s">
        <v>18116</v>
      </c>
      <c r="D5700" t="s">
        <v>18117</v>
      </c>
      <c r="E5700" t="s">
        <v>18118</v>
      </c>
      <c r="F5700" t="s">
        <v>18119</v>
      </c>
      <c r="G5700" s="2" t="str">
        <f>HYPERLINK("https://probpalata.gov.ru/files/ЮЛ480101902900000.jpeg","Скачать индивидуальный QR-код магазина")</f>
        <v>Скачать индивидуальный QR-код магазина</v>
      </c>
    </row>
    <row r="5701" spans="1:7" x14ac:dyDescent="0.25">
      <c r="A5701" t="s">
        <v>18024</v>
      </c>
      <c r="B5701" t="s">
        <v>18120</v>
      </c>
      <c r="C5701" t="s">
        <v>18116</v>
      </c>
      <c r="D5701" t="s">
        <v>18117</v>
      </c>
      <c r="E5701" t="s">
        <v>18118</v>
      </c>
      <c r="F5701" t="s">
        <v>18121</v>
      </c>
      <c r="G5701" s="2" t="str">
        <f>HYPERLINK("https://probpalata.gov.ru/files/ЮЛ480101902900001.jpeg","Скачать индивидуальный QR-код магазина")</f>
        <v>Скачать индивидуальный QR-код магазина</v>
      </c>
    </row>
    <row r="5702" spans="1:7" x14ac:dyDescent="0.25">
      <c r="A5702" t="s">
        <v>18024</v>
      </c>
      <c r="B5702" t="s">
        <v>18122</v>
      </c>
      <c r="C5702" t="s">
        <v>2185</v>
      </c>
      <c r="D5702" t="s">
        <v>2186</v>
      </c>
      <c r="E5702" t="s">
        <v>2187</v>
      </c>
      <c r="F5702" t="s">
        <v>18123</v>
      </c>
      <c r="G5702" s="2" t="str">
        <f>HYPERLINK("https://probpalata.gov.ru/files/ЮЛ480100215000000.jpeg","Скачать индивидуальный QR-код магазина")</f>
        <v>Скачать индивидуальный QR-код магазина</v>
      </c>
    </row>
    <row r="5703" spans="1:7" x14ac:dyDescent="0.25">
      <c r="A5703" t="s">
        <v>18024</v>
      </c>
      <c r="B5703" t="s">
        <v>18124</v>
      </c>
      <c r="C5703" t="s">
        <v>2185</v>
      </c>
      <c r="D5703" t="s">
        <v>2186</v>
      </c>
      <c r="E5703" t="s">
        <v>2187</v>
      </c>
      <c r="F5703" t="s">
        <v>18125</v>
      </c>
      <c r="G5703" s="2" t="str">
        <f>HYPERLINK("https://probpalata.gov.ru/files/ЮЛ480100215000001.jpeg","Скачать индивидуальный QR-код магазина")</f>
        <v>Скачать индивидуальный QR-код магазина</v>
      </c>
    </row>
    <row r="5704" spans="1:7" x14ac:dyDescent="0.25">
      <c r="A5704" t="s">
        <v>18024</v>
      </c>
      <c r="B5704" t="s">
        <v>18126</v>
      </c>
      <c r="C5704" t="s">
        <v>2185</v>
      </c>
      <c r="D5704" t="s">
        <v>2186</v>
      </c>
      <c r="E5704" t="s">
        <v>2187</v>
      </c>
      <c r="F5704" t="s">
        <v>18127</v>
      </c>
      <c r="G5704" s="2" t="str">
        <f>HYPERLINK("https://probpalata.gov.ru/files/ЮЛ480100215000002.jpeg","Скачать индивидуальный QR-код магазина")</f>
        <v>Скачать индивидуальный QR-код магазина</v>
      </c>
    </row>
    <row r="5705" spans="1:7" x14ac:dyDescent="0.25">
      <c r="A5705" t="s">
        <v>18024</v>
      </c>
      <c r="B5705" t="s">
        <v>18128</v>
      </c>
      <c r="C5705" t="s">
        <v>2185</v>
      </c>
      <c r="D5705" t="s">
        <v>2186</v>
      </c>
      <c r="E5705" t="s">
        <v>2187</v>
      </c>
      <c r="F5705" t="s">
        <v>18129</v>
      </c>
      <c r="G5705" s="2" t="str">
        <f>HYPERLINK("https://probpalata.gov.ru/files/ЮЛ480100215000015.jpeg","Скачать индивидуальный QR-код магазина")</f>
        <v>Скачать индивидуальный QR-код магазина</v>
      </c>
    </row>
    <row r="5706" spans="1:7" x14ac:dyDescent="0.25">
      <c r="A5706" t="s">
        <v>18024</v>
      </c>
      <c r="B5706" t="s">
        <v>18130</v>
      </c>
      <c r="C5706" t="s">
        <v>2185</v>
      </c>
      <c r="D5706" t="s">
        <v>2186</v>
      </c>
      <c r="E5706" t="s">
        <v>2187</v>
      </c>
      <c r="F5706" t="s">
        <v>18131</v>
      </c>
      <c r="G5706" s="2" t="str">
        <f>HYPERLINK("https://probpalata.gov.ru/files/ЮЛ480100215000032.jpeg","Скачать индивидуальный QR-код магазина")</f>
        <v>Скачать индивидуальный QR-код магазина</v>
      </c>
    </row>
    <row r="5707" spans="1:7" x14ac:dyDescent="0.25">
      <c r="A5707" t="s">
        <v>18024</v>
      </c>
      <c r="B5707" t="s">
        <v>18132</v>
      </c>
      <c r="C5707" t="s">
        <v>2185</v>
      </c>
      <c r="D5707" t="s">
        <v>2186</v>
      </c>
      <c r="E5707" t="s">
        <v>2187</v>
      </c>
      <c r="F5707" t="s">
        <v>18133</v>
      </c>
      <c r="G5707" s="2" t="str">
        <f>HYPERLINK("https://probpalata.gov.ru/files/ЮЛ480100215000038.jpeg","Скачать индивидуальный QR-код магазина")</f>
        <v>Скачать индивидуальный QR-код магазина</v>
      </c>
    </row>
    <row r="5708" spans="1:7" x14ac:dyDescent="0.25">
      <c r="A5708" t="s">
        <v>18024</v>
      </c>
      <c r="B5708" t="s">
        <v>18134</v>
      </c>
      <c r="C5708" t="s">
        <v>2185</v>
      </c>
      <c r="D5708" t="s">
        <v>2186</v>
      </c>
      <c r="E5708" t="s">
        <v>2187</v>
      </c>
      <c r="F5708" t="s">
        <v>18135</v>
      </c>
      <c r="G5708" s="2" t="str">
        <f>HYPERLINK("https://probpalata.gov.ru/files/ЮЛ480100215000039.jpeg","Скачать индивидуальный QR-код магазина")</f>
        <v>Скачать индивидуальный QR-код магазина</v>
      </c>
    </row>
    <row r="5709" spans="1:7" x14ac:dyDescent="0.25">
      <c r="A5709" t="s">
        <v>18024</v>
      </c>
      <c r="B5709" t="s">
        <v>18136</v>
      </c>
      <c r="C5709" t="s">
        <v>2185</v>
      </c>
      <c r="D5709" t="s">
        <v>2186</v>
      </c>
      <c r="E5709" t="s">
        <v>2187</v>
      </c>
      <c r="F5709" t="s">
        <v>18137</v>
      </c>
      <c r="G5709" s="2" t="str">
        <f>HYPERLINK("https://probpalata.gov.ru/files/ЮЛ480100215000048.jpeg","Скачать индивидуальный QR-код магазина")</f>
        <v>Скачать индивидуальный QR-код магазина</v>
      </c>
    </row>
    <row r="5710" spans="1:7" x14ac:dyDescent="0.25">
      <c r="A5710" t="s">
        <v>18024</v>
      </c>
      <c r="B5710" t="s">
        <v>18138</v>
      </c>
      <c r="C5710" t="s">
        <v>18139</v>
      </c>
      <c r="D5710" t="s">
        <v>18140</v>
      </c>
      <c r="E5710" t="s">
        <v>18141</v>
      </c>
      <c r="F5710" t="s">
        <v>18142</v>
      </c>
      <c r="G5710" s="2" t="str">
        <f>HYPERLINK("https://probpalata.gov.ru/files/ИП480100795400002.jpeg","Скачать индивидуальный QR-код магазина")</f>
        <v>Скачать индивидуальный QR-код магазина</v>
      </c>
    </row>
    <row r="5711" spans="1:7" x14ac:dyDescent="0.25">
      <c r="A5711" t="s">
        <v>18024</v>
      </c>
      <c r="B5711" t="s">
        <v>18143</v>
      </c>
      <c r="C5711" t="s">
        <v>18139</v>
      </c>
      <c r="D5711" t="s">
        <v>18140</v>
      </c>
      <c r="E5711" t="s">
        <v>18141</v>
      </c>
      <c r="F5711" t="s">
        <v>18144</v>
      </c>
      <c r="G5711" s="2" t="str">
        <f>HYPERLINK("https://probpalata.gov.ru/files/ИП480100795400003.jpeg","Скачать индивидуальный QR-код магазина")</f>
        <v>Скачать индивидуальный QR-код магазина</v>
      </c>
    </row>
    <row r="5712" spans="1:7" x14ac:dyDescent="0.25">
      <c r="A5712" t="s">
        <v>18024</v>
      </c>
      <c r="B5712" t="s">
        <v>18145</v>
      </c>
      <c r="C5712" t="s">
        <v>18139</v>
      </c>
      <c r="D5712" t="s">
        <v>18140</v>
      </c>
      <c r="E5712" t="s">
        <v>18141</v>
      </c>
      <c r="F5712" t="s">
        <v>18146</v>
      </c>
      <c r="G5712" s="2" t="str">
        <f>HYPERLINK("https://probpalata.gov.ru/files/ИП480100795400004.jpeg","Скачать индивидуальный QR-код магазина")</f>
        <v>Скачать индивидуальный QR-код магазина</v>
      </c>
    </row>
    <row r="5713" spans="1:7" x14ac:dyDescent="0.25">
      <c r="A5713" t="s">
        <v>18024</v>
      </c>
      <c r="B5713" t="s">
        <v>18147</v>
      </c>
      <c r="C5713" t="s">
        <v>18139</v>
      </c>
      <c r="D5713" t="s">
        <v>18140</v>
      </c>
      <c r="E5713" t="s">
        <v>18141</v>
      </c>
      <c r="F5713" t="s">
        <v>18148</v>
      </c>
      <c r="G5713" s="2" t="str">
        <f>HYPERLINK("https://probpalata.gov.ru/files/ИП480100795400006.jpeg","Скачать индивидуальный QR-код магазина")</f>
        <v>Скачать индивидуальный QR-код магазина</v>
      </c>
    </row>
    <row r="5714" spans="1:7" x14ac:dyDescent="0.25">
      <c r="A5714" t="s">
        <v>18024</v>
      </c>
      <c r="B5714" t="s">
        <v>18149</v>
      </c>
      <c r="C5714" t="s">
        <v>18139</v>
      </c>
      <c r="D5714" t="s">
        <v>18140</v>
      </c>
      <c r="E5714" t="s">
        <v>18141</v>
      </c>
      <c r="F5714" t="s">
        <v>18150</v>
      </c>
      <c r="G5714" s="2" t="str">
        <f>HYPERLINK("https://probpalata.gov.ru/files/ИП480100795400007.jpeg","Скачать индивидуальный QR-код магазина")</f>
        <v>Скачать индивидуальный QR-код магазина</v>
      </c>
    </row>
    <row r="5715" spans="1:7" x14ac:dyDescent="0.25">
      <c r="A5715" t="s">
        <v>18024</v>
      </c>
      <c r="B5715" t="s">
        <v>18151</v>
      </c>
      <c r="C5715" t="s">
        <v>18139</v>
      </c>
      <c r="D5715" t="s">
        <v>18140</v>
      </c>
      <c r="E5715" t="s">
        <v>18141</v>
      </c>
      <c r="F5715" t="s">
        <v>18152</v>
      </c>
      <c r="G5715" s="2" t="str">
        <f>HYPERLINK("https://probpalata.gov.ru/files/ИП480100795400008.jpeg","Скачать индивидуальный QR-код магазина")</f>
        <v>Скачать индивидуальный QR-код магазина</v>
      </c>
    </row>
    <row r="5716" spans="1:7" x14ac:dyDescent="0.25">
      <c r="A5716" t="s">
        <v>18024</v>
      </c>
      <c r="B5716" t="s">
        <v>18153</v>
      </c>
      <c r="C5716" t="s">
        <v>18154</v>
      </c>
      <c r="D5716" t="s">
        <v>18155</v>
      </c>
      <c r="E5716" t="s">
        <v>18156</v>
      </c>
      <c r="F5716" t="s">
        <v>18157</v>
      </c>
      <c r="G5716" s="2" t="str">
        <f>HYPERLINK("https://probpalata.gov.ru/files/ИП480101681000000.jpeg","Скачать индивидуальный QR-код магазина")</f>
        <v>Скачать индивидуальный QR-код магазина</v>
      </c>
    </row>
    <row r="5717" spans="1:7" x14ac:dyDescent="0.25">
      <c r="A5717" t="s">
        <v>18024</v>
      </c>
      <c r="B5717" t="s">
        <v>18158</v>
      </c>
      <c r="C5717" t="s">
        <v>18159</v>
      </c>
      <c r="D5717" t="s">
        <v>18160</v>
      </c>
      <c r="E5717" t="s">
        <v>18161</v>
      </c>
      <c r="F5717" t="s">
        <v>18162</v>
      </c>
      <c r="G5717" s="2" t="str">
        <f>HYPERLINK("https://probpalata.gov.ru/files/ИП480100215500000.jpeg","Скачать индивидуальный QR-код магазина")</f>
        <v>Скачать индивидуальный QR-код магазина</v>
      </c>
    </row>
    <row r="5718" spans="1:7" x14ac:dyDescent="0.25">
      <c r="A5718" t="s">
        <v>18024</v>
      </c>
      <c r="B5718" t="s">
        <v>18163</v>
      </c>
      <c r="C5718" t="s">
        <v>18159</v>
      </c>
      <c r="D5718" t="s">
        <v>18160</v>
      </c>
      <c r="E5718" t="s">
        <v>18161</v>
      </c>
      <c r="F5718" t="s">
        <v>18164</v>
      </c>
      <c r="G5718" s="2" t="str">
        <f>HYPERLINK("https://probpalata.gov.ru/files/ИП480100215500001.jpeg","Скачать индивидуальный QR-код магазина")</f>
        <v>Скачать индивидуальный QR-код магазина</v>
      </c>
    </row>
    <row r="5719" spans="1:7" x14ac:dyDescent="0.25">
      <c r="A5719" t="s">
        <v>18024</v>
      </c>
      <c r="B5719" t="s">
        <v>18165</v>
      </c>
      <c r="C5719" t="s">
        <v>18159</v>
      </c>
      <c r="D5719" t="s">
        <v>18160</v>
      </c>
      <c r="E5719" t="s">
        <v>18161</v>
      </c>
      <c r="F5719" t="s">
        <v>18166</v>
      </c>
      <c r="G5719" s="2" t="str">
        <f>HYPERLINK("https://probpalata.gov.ru/files/ИП480100215500002.jpeg","Скачать индивидуальный QR-код магазина")</f>
        <v>Скачать индивидуальный QR-код магазина</v>
      </c>
    </row>
    <row r="5720" spans="1:7" x14ac:dyDescent="0.25">
      <c r="A5720" t="s">
        <v>18024</v>
      </c>
      <c r="B5720" t="s">
        <v>18167</v>
      </c>
      <c r="C5720" t="s">
        <v>18168</v>
      </c>
      <c r="D5720" t="s">
        <v>18169</v>
      </c>
      <c r="E5720" t="s">
        <v>18170</v>
      </c>
      <c r="F5720" t="s">
        <v>18171</v>
      </c>
      <c r="G5720" s="2" t="str">
        <f>HYPERLINK("https://probpalata.gov.ru/files/ЮЛ480100897100000.jpeg","Скачать индивидуальный QR-код магазина")</f>
        <v>Скачать индивидуальный QR-код магазина</v>
      </c>
    </row>
    <row r="5721" spans="1:7" x14ac:dyDescent="0.25">
      <c r="A5721" t="s">
        <v>18024</v>
      </c>
      <c r="B5721" t="s">
        <v>18172</v>
      </c>
      <c r="C5721" t="s">
        <v>18168</v>
      </c>
      <c r="D5721" t="s">
        <v>18169</v>
      </c>
      <c r="E5721" t="s">
        <v>18170</v>
      </c>
      <c r="F5721" t="s">
        <v>18173</v>
      </c>
      <c r="G5721" s="2" t="str">
        <f>HYPERLINK("https://probpalata.gov.ru/files/ЮЛ480100897100001.jpeg","Скачать индивидуальный QR-код магазина")</f>
        <v>Скачать индивидуальный QR-код магазина</v>
      </c>
    </row>
    <row r="5722" spans="1:7" x14ac:dyDescent="0.25">
      <c r="A5722" t="s">
        <v>18024</v>
      </c>
      <c r="B5722" t="s">
        <v>18174</v>
      </c>
      <c r="C5722" t="s">
        <v>18175</v>
      </c>
      <c r="D5722" t="s">
        <v>18176</v>
      </c>
      <c r="E5722" t="s">
        <v>18177</v>
      </c>
      <c r="F5722" t="s">
        <v>18178</v>
      </c>
      <c r="G5722" s="2" t="str">
        <f>HYPERLINK("https://probpalata.gov.ru/files/ИП480100767400000.jpeg","Скачать индивидуальный QR-код магазина")</f>
        <v>Скачать индивидуальный QR-код магазина</v>
      </c>
    </row>
    <row r="5723" spans="1:7" x14ac:dyDescent="0.25">
      <c r="A5723" t="s">
        <v>18024</v>
      </c>
      <c r="B5723" t="s">
        <v>18179</v>
      </c>
      <c r="C5723" t="s">
        <v>18180</v>
      </c>
      <c r="D5723" t="s">
        <v>18181</v>
      </c>
      <c r="E5723" t="s">
        <v>18182</v>
      </c>
      <c r="F5723" t="s">
        <v>18183</v>
      </c>
      <c r="G5723" s="2" t="str">
        <f>HYPERLINK("https://probpalata.gov.ru/files/ЮЛ480101318100000.jpeg","Скачать индивидуальный QR-код магазина")</f>
        <v>Скачать индивидуальный QR-код магазина</v>
      </c>
    </row>
    <row r="5724" spans="1:7" x14ac:dyDescent="0.25">
      <c r="A5724" t="s">
        <v>18024</v>
      </c>
      <c r="B5724" t="s">
        <v>18174</v>
      </c>
      <c r="C5724" t="s">
        <v>18184</v>
      </c>
      <c r="D5724" t="s">
        <v>18185</v>
      </c>
      <c r="E5724" t="s">
        <v>18186</v>
      </c>
      <c r="F5724" t="s">
        <v>18187</v>
      </c>
      <c r="G5724" s="2" t="str">
        <f>HYPERLINK("https://probpalata.gov.ru/files/ЮЛ480100796800000.jpeg","Скачать индивидуальный QR-код магазина")</f>
        <v>Скачать индивидуальный QR-код магазина</v>
      </c>
    </row>
    <row r="5725" spans="1:7" x14ac:dyDescent="0.25">
      <c r="A5725" t="s">
        <v>18024</v>
      </c>
      <c r="B5725" t="s">
        <v>18188</v>
      </c>
      <c r="C5725" t="s">
        <v>18189</v>
      </c>
      <c r="D5725" t="s">
        <v>18190</v>
      </c>
      <c r="E5725" t="s">
        <v>18191</v>
      </c>
      <c r="F5725" t="s">
        <v>18192</v>
      </c>
      <c r="G5725" s="2" t="str">
        <f>HYPERLINK("https://probpalata.gov.ru/files/ИП480100795700001.jpeg","Скачать индивидуальный QR-код магазина")</f>
        <v>Скачать индивидуальный QR-код магазина</v>
      </c>
    </row>
    <row r="5726" spans="1:7" x14ac:dyDescent="0.25">
      <c r="A5726" t="s">
        <v>18024</v>
      </c>
      <c r="B5726" t="s">
        <v>18193</v>
      </c>
      <c r="C5726" t="s">
        <v>18189</v>
      </c>
      <c r="D5726" t="s">
        <v>18190</v>
      </c>
      <c r="E5726" t="s">
        <v>18191</v>
      </c>
      <c r="F5726" t="s">
        <v>18194</v>
      </c>
      <c r="G5726" s="2" t="str">
        <f>HYPERLINK("https://probpalata.gov.ru/files/ИП480100795700003.jpeg","Скачать индивидуальный QR-код магазина")</f>
        <v>Скачать индивидуальный QR-код магазина</v>
      </c>
    </row>
    <row r="5727" spans="1:7" x14ac:dyDescent="0.25">
      <c r="A5727" t="s">
        <v>18024</v>
      </c>
      <c r="B5727" t="s">
        <v>18195</v>
      </c>
      <c r="C5727" t="s">
        <v>18189</v>
      </c>
      <c r="D5727" t="s">
        <v>18190</v>
      </c>
      <c r="E5727" t="s">
        <v>18191</v>
      </c>
      <c r="F5727" t="s">
        <v>18196</v>
      </c>
      <c r="G5727" s="2" t="str">
        <f>HYPERLINK("https://probpalata.gov.ru/files/ИП480100795700004.jpeg","Скачать индивидуальный QR-код магазина")</f>
        <v>Скачать индивидуальный QR-код магазина</v>
      </c>
    </row>
    <row r="5728" spans="1:7" x14ac:dyDescent="0.25">
      <c r="A5728" t="s">
        <v>18024</v>
      </c>
      <c r="B5728" t="s">
        <v>18093</v>
      </c>
      <c r="C5728" t="s">
        <v>18197</v>
      </c>
      <c r="D5728" t="s">
        <v>18198</v>
      </c>
      <c r="E5728" t="s">
        <v>18199</v>
      </c>
      <c r="F5728" t="s">
        <v>18200</v>
      </c>
      <c r="G5728" s="2" t="str">
        <f>HYPERLINK("https://probpalata.gov.ru/files/ИП480100902500000.jpeg","Скачать индивидуальный QR-код магазина")</f>
        <v>Скачать индивидуальный QR-код магазина</v>
      </c>
    </row>
    <row r="5729" spans="1:7" x14ac:dyDescent="0.25">
      <c r="A5729" t="s">
        <v>18024</v>
      </c>
      <c r="B5729" t="s">
        <v>18201</v>
      </c>
      <c r="C5729" t="s">
        <v>18197</v>
      </c>
      <c r="D5729" t="s">
        <v>18198</v>
      </c>
      <c r="E5729" t="s">
        <v>18199</v>
      </c>
      <c r="F5729" t="s">
        <v>18202</v>
      </c>
      <c r="G5729" s="2" t="str">
        <f>HYPERLINK("https://probpalata.gov.ru/files/ИП480100902500001.jpeg","Скачать индивидуальный QR-код магазина")</f>
        <v>Скачать индивидуальный QR-код магазина</v>
      </c>
    </row>
    <row r="5730" spans="1:7" x14ac:dyDescent="0.25">
      <c r="A5730" t="s">
        <v>18024</v>
      </c>
      <c r="B5730" t="s">
        <v>18203</v>
      </c>
      <c r="C5730" t="s">
        <v>18197</v>
      </c>
      <c r="D5730" t="s">
        <v>18198</v>
      </c>
      <c r="E5730" t="s">
        <v>18199</v>
      </c>
      <c r="F5730" t="s">
        <v>18204</v>
      </c>
      <c r="G5730" s="2" t="str">
        <f>HYPERLINK("https://probpalata.gov.ru/files/ИП480100902500002.jpeg","Скачать индивидуальный QR-код магазина")</f>
        <v>Скачать индивидуальный QR-код магазина</v>
      </c>
    </row>
    <row r="5731" spans="1:7" x14ac:dyDescent="0.25">
      <c r="A5731" t="s">
        <v>18024</v>
      </c>
      <c r="B5731" t="s">
        <v>18205</v>
      </c>
      <c r="C5731" t="s">
        <v>18206</v>
      </c>
      <c r="D5731" t="s">
        <v>18207</v>
      </c>
      <c r="E5731" t="s">
        <v>18208</v>
      </c>
      <c r="F5731" t="s">
        <v>18209</v>
      </c>
      <c r="G5731" s="2" t="str">
        <f>HYPERLINK("https://probpalata.gov.ru/files/ИП480100937500000.jpeg","Скачать индивидуальный QR-код магазина")</f>
        <v>Скачать индивидуальный QR-код магазина</v>
      </c>
    </row>
    <row r="5732" spans="1:7" x14ac:dyDescent="0.25">
      <c r="A5732" t="s">
        <v>18024</v>
      </c>
      <c r="B5732" t="s">
        <v>18210</v>
      </c>
      <c r="C5732" t="s">
        <v>18211</v>
      </c>
      <c r="D5732" t="s">
        <v>18212</v>
      </c>
      <c r="E5732" t="s">
        <v>18213</v>
      </c>
      <c r="F5732" t="s">
        <v>18214</v>
      </c>
      <c r="G5732" s="2" t="str">
        <f>HYPERLINK("https://probpalata.gov.ru/files/ИП480100301900000.jpeg","Скачать индивидуальный QR-код магазина")</f>
        <v>Скачать индивидуальный QR-код магазина</v>
      </c>
    </row>
    <row r="5733" spans="1:7" x14ac:dyDescent="0.25">
      <c r="A5733" t="s">
        <v>18024</v>
      </c>
      <c r="B5733" t="s">
        <v>18215</v>
      </c>
      <c r="C5733" t="s">
        <v>18211</v>
      </c>
      <c r="D5733" t="s">
        <v>18212</v>
      </c>
      <c r="E5733" t="s">
        <v>18213</v>
      </c>
      <c r="F5733" t="s">
        <v>18216</v>
      </c>
      <c r="G5733" s="2" t="str">
        <f>HYPERLINK("https://probpalata.gov.ru/files/ИП480100301900001.jpeg","Скачать индивидуальный QR-код магазина")</f>
        <v>Скачать индивидуальный QR-код магазина</v>
      </c>
    </row>
    <row r="5734" spans="1:7" x14ac:dyDescent="0.25">
      <c r="A5734" t="s">
        <v>18024</v>
      </c>
      <c r="B5734" t="s">
        <v>18217</v>
      </c>
      <c r="C5734" t="s">
        <v>1735</v>
      </c>
      <c r="D5734" t="s">
        <v>1736</v>
      </c>
      <c r="E5734" t="s">
        <v>1737</v>
      </c>
      <c r="F5734" t="s">
        <v>18218</v>
      </c>
      <c r="G5734" s="2" t="str">
        <f>HYPERLINK("https://probpalata.gov.ru/files/ЮЛ520603376600099.jpeg","Скачать индивидуальный QR-код магазина")</f>
        <v>Скачать индивидуальный QR-код магазина</v>
      </c>
    </row>
    <row r="5735" spans="1:7" x14ac:dyDescent="0.25">
      <c r="A5735" t="s">
        <v>18024</v>
      </c>
      <c r="B5735" t="s">
        <v>18219</v>
      </c>
      <c r="C5735" t="s">
        <v>703</v>
      </c>
      <c r="D5735" t="s">
        <v>704</v>
      </c>
      <c r="E5735" t="s">
        <v>705</v>
      </c>
      <c r="F5735" t="s">
        <v>18220</v>
      </c>
      <c r="G5735" s="2" t="str">
        <f>HYPERLINK("https://probpalata.gov.ru/files/ИП610400426600026.jpeg","Скачать индивидуальный QR-код магазина")</f>
        <v>Скачать индивидуальный QR-код магазина</v>
      </c>
    </row>
    <row r="5736" spans="1:7" x14ac:dyDescent="0.25">
      <c r="A5736" t="s">
        <v>18024</v>
      </c>
      <c r="B5736" t="s">
        <v>18221</v>
      </c>
      <c r="C5736" t="s">
        <v>2197</v>
      </c>
      <c r="D5736" t="s">
        <v>2198</v>
      </c>
      <c r="E5736" t="s">
        <v>2199</v>
      </c>
      <c r="F5736" t="s">
        <v>18222</v>
      </c>
      <c r="G5736" s="2" t="str">
        <f>HYPERLINK("https://probpalata.gov.ru/files/ИП630601425400054.jpeg","Скачать индивидуальный QR-код магазина")</f>
        <v>Скачать индивидуальный QR-код магазина</v>
      </c>
    </row>
    <row r="5737" spans="1:7" x14ac:dyDescent="0.25">
      <c r="A5737" t="s">
        <v>18024</v>
      </c>
      <c r="B5737" t="s">
        <v>18223</v>
      </c>
      <c r="C5737" t="s">
        <v>2197</v>
      </c>
      <c r="D5737" t="s">
        <v>2198</v>
      </c>
      <c r="E5737" t="s">
        <v>2199</v>
      </c>
      <c r="F5737" t="s">
        <v>18224</v>
      </c>
      <c r="G5737" s="2" t="str">
        <f>HYPERLINK("https://probpalata.gov.ru/files/ИП630601425400118.jpeg","Скачать индивидуальный QR-код магазина")</f>
        <v>Скачать индивидуальный QR-код магазина</v>
      </c>
    </row>
    <row r="5738" spans="1:7" x14ac:dyDescent="0.25">
      <c r="A5738" t="s">
        <v>18024</v>
      </c>
      <c r="B5738" t="s">
        <v>18225</v>
      </c>
      <c r="C5738" t="s">
        <v>3828</v>
      </c>
      <c r="D5738" t="s">
        <v>3829</v>
      </c>
      <c r="E5738" t="s">
        <v>3830</v>
      </c>
      <c r="F5738" t="s">
        <v>18226</v>
      </c>
      <c r="G5738" s="2" t="str">
        <f>HYPERLINK("https://probpalata.gov.ru/files/ЮЛ630603373600066.jpeg","Скачать индивидуальный QR-код магазина")</f>
        <v>Скачать индивидуальный QR-код магазина</v>
      </c>
    </row>
    <row r="5739" spans="1:7" x14ac:dyDescent="0.25">
      <c r="A5739" t="s">
        <v>18024</v>
      </c>
      <c r="B5739" t="s">
        <v>18227</v>
      </c>
      <c r="C5739" t="s">
        <v>3828</v>
      </c>
      <c r="D5739" t="s">
        <v>3829</v>
      </c>
      <c r="E5739" t="s">
        <v>3830</v>
      </c>
      <c r="F5739" t="s">
        <v>18228</v>
      </c>
      <c r="G5739" s="2" t="str">
        <f>HYPERLINK("https://probpalata.gov.ru/files/ЮЛ630603373600072.jpeg","Скачать индивидуальный QR-код магазина")</f>
        <v>Скачать индивидуальный QR-код магазина</v>
      </c>
    </row>
    <row r="5740" spans="1:7" x14ac:dyDescent="0.25">
      <c r="A5740" t="s">
        <v>18024</v>
      </c>
      <c r="B5740" t="s">
        <v>18229</v>
      </c>
      <c r="C5740" t="s">
        <v>2219</v>
      </c>
      <c r="D5740" t="s">
        <v>2220</v>
      </c>
      <c r="E5740" t="s">
        <v>2221</v>
      </c>
      <c r="F5740" t="s">
        <v>18230</v>
      </c>
      <c r="G5740" s="2" t="str">
        <f>HYPERLINK("https://probpalata.gov.ru/files/ИП710100775300000.jpeg","Скачать индивидуальный QR-код магазина")</f>
        <v>Скачать индивидуальный QR-код магазина</v>
      </c>
    </row>
    <row r="5741" spans="1:7" x14ac:dyDescent="0.25">
      <c r="A5741" t="s">
        <v>18024</v>
      </c>
      <c r="B5741" t="s">
        <v>18231</v>
      </c>
      <c r="C5741" t="s">
        <v>17474</v>
      </c>
      <c r="D5741" t="s">
        <v>17475</v>
      </c>
      <c r="E5741" t="s">
        <v>17476</v>
      </c>
      <c r="F5741" t="s">
        <v>18232</v>
      </c>
      <c r="G5741" s="2" t="str">
        <f>HYPERLINK("https://probpalata.gov.ru/files/ИП710101724000000.jpeg","Скачать индивидуальный QR-код магазина")</f>
        <v>Скачать индивидуальный QR-код магазина</v>
      </c>
    </row>
    <row r="5742" spans="1:7" x14ac:dyDescent="0.25">
      <c r="A5742" t="s">
        <v>18024</v>
      </c>
      <c r="B5742" t="s">
        <v>18233</v>
      </c>
      <c r="C5742" t="s">
        <v>2231</v>
      </c>
      <c r="D5742" t="s">
        <v>2232</v>
      </c>
      <c r="E5742" t="s">
        <v>2233</v>
      </c>
      <c r="F5742" t="s">
        <v>18234</v>
      </c>
      <c r="G5742" s="2" t="str">
        <f>HYPERLINK("https://probpalata.gov.ru/files/ИП000100534900021.jpeg","Скачать индивидуальный QR-код магазина")</f>
        <v>Скачать индивидуальный QR-код магазина</v>
      </c>
    </row>
    <row r="5743" spans="1:7" x14ac:dyDescent="0.25">
      <c r="A5743" t="s">
        <v>18024</v>
      </c>
      <c r="B5743" t="s">
        <v>18235</v>
      </c>
      <c r="C5743" t="s">
        <v>1745</v>
      </c>
      <c r="D5743" t="s">
        <v>1746</v>
      </c>
      <c r="E5743" t="s">
        <v>1747</v>
      </c>
      <c r="F5743" t="s">
        <v>18236</v>
      </c>
      <c r="G5743" s="2" t="str">
        <f>HYPERLINK("https://probpalata.gov.ru/files/ЮЛ770100201500562.jpeg","Скачать индивидуальный QR-код магазина")</f>
        <v>Скачать индивидуальный QR-код магазина</v>
      </c>
    </row>
    <row r="5744" spans="1:7" x14ac:dyDescent="0.25">
      <c r="A5744" t="s">
        <v>18024</v>
      </c>
      <c r="B5744" t="s">
        <v>18237</v>
      </c>
      <c r="C5744" t="s">
        <v>748</v>
      </c>
      <c r="D5744" t="s">
        <v>749</v>
      </c>
      <c r="E5744" t="s">
        <v>750</v>
      </c>
      <c r="F5744" t="s">
        <v>18238</v>
      </c>
      <c r="G5744" s="2" t="str">
        <f>HYPERLINK("https://probpalata.gov.ru/files/ЮЛ770100193500167.jpeg","Скачать индивидуальный QR-код магазина")</f>
        <v>Скачать индивидуальный QR-код магазина</v>
      </c>
    </row>
    <row r="5745" spans="1:7" x14ac:dyDescent="0.25">
      <c r="A5745" t="s">
        <v>18024</v>
      </c>
      <c r="B5745" t="s">
        <v>18239</v>
      </c>
      <c r="C5745" t="s">
        <v>748</v>
      </c>
      <c r="D5745" t="s">
        <v>749</v>
      </c>
      <c r="E5745" t="s">
        <v>750</v>
      </c>
      <c r="F5745" t="s">
        <v>18240</v>
      </c>
      <c r="G5745" s="2" t="str">
        <f>HYPERLINK("https://probpalata.gov.ru/files/ЮЛ770100193500168.jpeg","Скачать индивидуальный QR-код магазина")</f>
        <v>Скачать индивидуальный QR-код магазина</v>
      </c>
    </row>
    <row r="5746" spans="1:7" x14ac:dyDescent="0.25">
      <c r="A5746" t="s">
        <v>18024</v>
      </c>
      <c r="B5746" t="s">
        <v>18241</v>
      </c>
      <c r="C5746" t="s">
        <v>748</v>
      </c>
      <c r="D5746" t="s">
        <v>749</v>
      </c>
      <c r="E5746" t="s">
        <v>750</v>
      </c>
      <c r="F5746" t="s">
        <v>18242</v>
      </c>
      <c r="G5746" s="2" t="str">
        <f>HYPERLINK("https://probpalata.gov.ru/files/ЮЛ770100193500579.jpeg","Скачать индивидуальный QR-код магазина")</f>
        <v>Скачать индивидуальный QR-код магазина</v>
      </c>
    </row>
    <row r="5747" spans="1:7" x14ac:dyDescent="0.25">
      <c r="A5747" t="s">
        <v>18024</v>
      </c>
      <c r="B5747" t="s">
        <v>18243</v>
      </c>
      <c r="C5747" t="s">
        <v>748</v>
      </c>
      <c r="D5747" t="s">
        <v>749</v>
      </c>
      <c r="E5747" t="s">
        <v>750</v>
      </c>
      <c r="F5747" t="s">
        <v>18244</v>
      </c>
      <c r="G5747" s="2" t="str">
        <f>HYPERLINK("https://probpalata.gov.ru/files/ЮЛ770100193500808.jpeg","Скачать индивидуальный QR-код магазина")</f>
        <v>Скачать индивидуальный QR-код магазина</v>
      </c>
    </row>
    <row r="5748" spans="1:7" x14ac:dyDescent="0.25">
      <c r="A5748" t="s">
        <v>18024</v>
      </c>
      <c r="B5748" t="s">
        <v>18245</v>
      </c>
      <c r="C5748" t="s">
        <v>748</v>
      </c>
      <c r="D5748" t="s">
        <v>749</v>
      </c>
      <c r="E5748" t="s">
        <v>750</v>
      </c>
      <c r="F5748" t="s">
        <v>18246</v>
      </c>
      <c r="G5748" s="2" t="str">
        <f>HYPERLINK("https://probpalata.gov.ru/files/ЮЛ770100193500883.jpeg","Скачать индивидуальный QR-код магазина")</f>
        <v>Скачать индивидуальный QR-код магазина</v>
      </c>
    </row>
    <row r="5749" spans="1:7" x14ac:dyDescent="0.25">
      <c r="A5749" t="s">
        <v>18024</v>
      </c>
      <c r="B5749" t="s">
        <v>18247</v>
      </c>
      <c r="C5749" t="s">
        <v>748</v>
      </c>
      <c r="D5749" t="s">
        <v>749</v>
      </c>
      <c r="E5749" t="s">
        <v>750</v>
      </c>
      <c r="F5749" t="s">
        <v>18248</v>
      </c>
      <c r="G5749" s="2" t="str">
        <f>HYPERLINK("https://probpalata.gov.ru/files/ЮЛ770100193500895.jpeg","Скачать индивидуальный QR-код магазина")</f>
        <v>Скачать индивидуальный QR-код магазина</v>
      </c>
    </row>
    <row r="5750" spans="1:7" x14ac:dyDescent="0.25">
      <c r="A5750" t="s">
        <v>18024</v>
      </c>
      <c r="B5750" t="s">
        <v>18249</v>
      </c>
      <c r="C5750" t="s">
        <v>748</v>
      </c>
      <c r="D5750" t="s">
        <v>749</v>
      </c>
      <c r="E5750" t="s">
        <v>750</v>
      </c>
      <c r="F5750" t="s">
        <v>18250</v>
      </c>
      <c r="G5750" s="2" t="str">
        <f>HYPERLINK("https://probpalata.gov.ru/files/ЮЛ770100193501021.jpeg","Скачать индивидуальный QR-код магазина")</f>
        <v>Скачать индивидуальный QR-код магазина</v>
      </c>
    </row>
    <row r="5751" spans="1:7" x14ac:dyDescent="0.25">
      <c r="A5751" t="s">
        <v>18024</v>
      </c>
      <c r="B5751" t="s">
        <v>18251</v>
      </c>
      <c r="C5751" t="s">
        <v>748</v>
      </c>
      <c r="D5751" t="s">
        <v>749</v>
      </c>
      <c r="E5751" t="s">
        <v>750</v>
      </c>
      <c r="F5751" t="s">
        <v>18252</v>
      </c>
      <c r="G5751" s="2" t="str">
        <f>HYPERLINK("https://probpalata.gov.ru/files/ЮЛ770100193501047.jpeg","Скачать индивидуальный QR-код магазина")</f>
        <v>Скачать индивидуальный QR-код магазина</v>
      </c>
    </row>
    <row r="5752" spans="1:7" x14ac:dyDescent="0.25">
      <c r="A5752" t="s">
        <v>18024</v>
      </c>
      <c r="B5752" t="s">
        <v>18253</v>
      </c>
      <c r="C5752" t="s">
        <v>748</v>
      </c>
      <c r="D5752" t="s">
        <v>749</v>
      </c>
      <c r="E5752" t="s">
        <v>750</v>
      </c>
      <c r="F5752" t="s">
        <v>18254</v>
      </c>
      <c r="G5752" s="2" t="str">
        <f>HYPERLINK("https://probpalata.gov.ru/files/ЮЛ770100193501065.jpeg","Скачать индивидуальный QR-код магазина")</f>
        <v>Скачать индивидуальный QR-код магазина</v>
      </c>
    </row>
    <row r="5753" spans="1:7" x14ac:dyDescent="0.25">
      <c r="A5753" t="s">
        <v>18024</v>
      </c>
      <c r="B5753" t="s">
        <v>18255</v>
      </c>
      <c r="C5753" t="s">
        <v>18256</v>
      </c>
      <c r="D5753" t="s">
        <v>18257</v>
      </c>
      <c r="E5753" t="s">
        <v>18258</v>
      </c>
      <c r="F5753" t="s">
        <v>18259</v>
      </c>
      <c r="G5753" s="2" t="str">
        <f>HYPERLINK("https://probpalata.gov.ru/files/ИП480103072800000.jpeg","Скачать индивидуальный QR-код магазина")</f>
        <v>Скачать индивидуальный QR-код магазина</v>
      </c>
    </row>
    <row r="5754" spans="1:7" x14ac:dyDescent="0.25">
      <c r="A5754" t="s">
        <v>18024</v>
      </c>
      <c r="B5754" t="s">
        <v>18260</v>
      </c>
      <c r="C5754" t="s">
        <v>773</v>
      </c>
      <c r="D5754" t="s">
        <v>774</v>
      </c>
      <c r="E5754" t="s">
        <v>775</v>
      </c>
      <c r="F5754" t="s">
        <v>18261</v>
      </c>
      <c r="G5754" s="2" t="str">
        <f>HYPERLINK("https://probpalata.gov.ru/files/ЮЛ780300131300233.jpeg","Скачать индивидуальный QR-код магазина")</f>
        <v>Скачать индивидуальный QR-код магазина</v>
      </c>
    </row>
    <row r="5755" spans="1:7" x14ac:dyDescent="0.25">
      <c r="A5755" t="s">
        <v>18024</v>
      </c>
      <c r="B5755" t="s">
        <v>18262</v>
      </c>
      <c r="C5755" t="s">
        <v>773</v>
      </c>
      <c r="D5755" t="s">
        <v>774</v>
      </c>
      <c r="E5755" t="s">
        <v>775</v>
      </c>
      <c r="F5755" t="s">
        <v>18263</v>
      </c>
      <c r="G5755" s="2" t="str">
        <f>HYPERLINK("https://probpalata.gov.ru/files/ЮЛ780300131300234.jpeg","Скачать индивидуальный QR-код магазина")</f>
        <v>Скачать индивидуальный QR-код магазина</v>
      </c>
    </row>
    <row r="5756" spans="1:7" x14ac:dyDescent="0.25">
      <c r="A5756" t="s">
        <v>18024</v>
      </c>
      <c r="B5756" t="s">
        <v>18264</v>
      </c>
      <c r="C5756" t="s">
        <v>773</v>
      </c>
      <c r="D5756" t="s">
        <v>774</v>
      </c>
      <c r="E5756" t="s">
        <v>775</v>
      </c>
      <c r="F5756" t="s">
        <v>18265</v>
      </c>
      <c r="G5756" s="2" t="str">
        <f>HYPERLINK("https://probpalata.gov.ru/files/ЮЛ780300131300235.jpeg","Скачать индивидуальный QR-код магазина")</f>
        <v>Скачать индивидуальный QR-код магазина</v>
      </c>
    </row>
    <row r="5757" spans="1:7" x14ac:dyDescent="0.25">
      <c r="A5757" t="s">
        <v>18024</v>
      </c>
      <c r="B5757" t="s">
        <v>18266</v>
      </c>
      <c r="C5757" t="s">
        <v>773</v>
      </c>
      <c r="D5757" t="s">
        <v>774</v>
      </c>
      <c r="E5757" t="s">
        <v>775</v>
      </c>
      <c r="F5757" t="s">
        <v>18267</v>
      </c>
      <c r="G5757" s="2" t="str">
        <f>HYPERLINK("https://probpalata.gov.ru/files/ЮЛ780300131300528.jpeg","Скачать индивидуальный QR-код магазина")</f>
        <v>Скачать индивидуальный QR-код магазина</v>
      </c>
    </row>
    <row r="5758" spans="1:7" x14ac:dyDescent="0.25">
      <c r="A5758" t="s">
        <v>18024</v>
      </c>
      <c r="B5758" t="s">
        <v>18268</v>
      </c>
      <c r="C5758" t="s">
        <v>798</v>
      </c>
      <c r="D5758" t="s">
        <v>799</v>
      </c>
      <c r="E5758" t="s">
        <v>800</v>
      </c>
      <c r="F5758" t="s">
        <v>18269</v>
      </c>
      <c r="G5758" s="2" t="str">
        <f>HYPERLINK("https://probpalata.gov.ru/files/ЮЛ780300308200124.jpeg","Скачать индивидуальный QR-код магазина")</f>
        <v>Скачать индивидуальный QR-код магазина</v>
      </c>
    </row>
    <row r="5759" spans="1:7" x14ac:dyDescent="0.25">
      <c r="A5759" t="s">
        <v>18024</v>
      </c>
      <c r="B5759" t="s">
        <v>18270</v>
      </c>
      <c r="C5759" t="s">
        <v>798</v>
      </c>
      <c r="D5759" t="s">
        <v>799</v>
      </c>
      <c r="E5759" t="s">
        <v>800</v>
      </c>
      <c r="F5759" t="s">
        <v>18271</v>
      </c>
      <c r="G5759" s="2" t="str">
        <f>HYPERLINK("https://probpalata.gov.ru/files/ЮЛ780300308200409.jpeg","Скачать индивидуальный QR-код магазина")</f>
        <v>Скачать индивидуальный QR-код магазина</v>
      </c>
    </row>
    <row r="5760" spans="1:7" x14ac:dyDescent="0.25">
      <c r="A5760" t="s">
        <v>18024</v>
      </c>
      <c r="B5760" t="s">
        <v>18272</v>
      </c>
      <c r="C5760" t="s">
        <v>798</v>
      </c>
      <c r="D5760" t="s">
        <v>799</v>
      </c>
      <c r="E5760" t="s">
        <v>800</v>
      </c>
      <c r="F5760" t="s">
        <v>18273</v>
      </c>
      <c r="G5760" s="2" t="str">
        <f>HYPERLINK("https://probpalata.gov.ru/files/ЮЛ780300308200556.jpeg","Скачать индивидуальный QR-код магазина")</f>
        <v>Скачать индивидуальный QR-код магазина</v>
      </c>
    </row>
    <row r="5761" spans="1:7" x14ac:dyDescent="0.25">
      <c r="A5761" t="s">
        <v>18024</v>
      </c>
      <c r="B5761" t="s">
        <v>18274</v>
      </c>
      <c r="C5761" t="s">
        <v>798</v>
      </c>
      <c r="D5761" t="s">
        <v>799</v>
      </c>
      <c r="E5761" t="s">
        <v>800</v>
      </c>
      <c r="F5761" t="s">
        <v>18275</v>
      </c>
      <c r="G5761" s="2" t="str">
        <f>HYPERLINK("https://probpalata.gov.ru/files/ЮЛ780300308200784.jpeg","Скачать индивидуальный QR-код магазина")</f>
        <v>Скачать индивидуальный QR-код магазина</v>
      </c>
    </row>
    <row r="5762" spans="1:7" x14ac:dyDescent="0.25">
      <c r="A5762" t="s">
        <v>18024</v>
      </c>
      <c r="B5762" t="s">
        <v>18276</v>
      </c>
      <c r="C5762" t="s">
        <v>798</v>
      </c>
      <c r="D5762" t="s">
        <v>799</v>
      </c>
      <c r="E5762" t="s">
        <v>800</v>
      </c>
      <c r="F5762" t="s">
        <v>18277</v>
      </c>
      <c r="G5762" s="2" t="str">
        <f>HYPERLINK("https://probpalata.gov.ru/files/ЮЛ780300308200792.jpeg","Скачать индивидуальный QR-код магазина")</f>
        <v>Скачать индивидуальный QR-код магазина</v>
      </c>
    </row>
    <row r="5763" spans="1:7" x14ac:dyDescent="0.25">
      <c r="A5763" t="s">
        <v>18024</v>
      </c>
      <c r="B5763" t="s">
        <v>18278</v>
      </c>
      <c r="C5763" t="s">
        <v>798</v>
      </c>
      <c r="D5763" t="s">
        <v>799</v>
      </c>
      <c r="E5763" t="s">
        <v>800</v>
      </c>
      <c r="F5763" t="s">
        <v>18279</v>
      </c>
      <c r="G5763" s="2" t="str">
        <f>HYPERLINK("https://probpalata.gov.ru/files/ЮЛ780300308200972.jpeg","Скачать индивидуальный QR-код магазина")</f>
        <v>Скачать индивидуальный QR-код магазина</v>
      </c>
    </row>
    <row r="5764" spans="1:7" x14ac:dyDescent="0.25">
      <c r="A5764" t="s">
        <v>18024</v>
      </c>
      <c r="B5764" t="s">
        <v>18280</v>
      </c>
      <c r="C5764" t="s">
        <v>798</v>
      </c>
      <c r="D5764" t="s">
        <v>799</v>
      </c>
      <c r="E5764" t="s">
        <v>800</v>
      </c>
      <c r="F5764" t="s">
        <v>18281</v>
      </c>
      <c r="G5764" s="2" t="str">
        <f>HYPERLINK("https://probpalata.gov.ru/files/ЮЛ780300308201143.jpeg","Скачать индивидуальный QR-код магазина")</f>
        <v>Скачать индивидуальный QR-код магазина</v>
      </c>
    </row>
    <row r="5765" spans="1:7" x14ac:dyDescent="0.25">
      <c r="A5765" t="s">
        <v>18024</v>
      </c>
      <c r="B5765" t="s">
        <v>18282</v>
      </c>
      <c r="C5765" t="s">
        <v>2286</v>
      </c>
      <c r="D5765" t="s">
        <v>2287</v>
      </c>
      <c r="E5765" t="s">
        <v>2288</v>
      </c>
      <c r="F5765" t="s">
        <v>18283</v>
      </c>
      <c r="G5765" s="2" t="str">
        <f>HYPERLINK("https://probpalata.gov.ru/files/ЮЛ770104038200005.jpeg","Скачать индивидуальный QR-код магазина")</f>
        <v>Скачать индивидуальный QR-код магазина</v>
      </c>
    </row>
    <row r="5766" spans="1:7" x14ac:dyDescent="0.25">
      <c r="A5766" t="s">
        <v>18024</v>
      </c>
      <c r="B5766" t="s">
        <v>18284</v>
      </c>
      <c r="C5766" t="s">
        <v>2286</v>
      </c>
      <c r="D5766" t="s">
        <v>2287</v>
      </c>
      <c r="E5766" t="s">
        <v>2288</v>
      </c>
      <c r="F5766" t="s">
        <v>18285</v>
      </c>
      <c r="G5766" s="2" t="str">
        <f>HYPERLINK("https://probpalata.gov.ru/files/ЮЛ770104038200006.jpeg","Скачать индивидуальный QR-код магазина")</f>
        <v>Скачать индивидуальный QR-код магазина</v>
      </c>
    </row>
    <row r="5767" spans="1:7" x14ac:dyDescent="0.25">
      <c r="A5767" t="s">
        <v>18024</v>
      </c>
      <c r="B5767" t="s">
        <v>18286</v>
      </c>
      <c r="C5767" t="s">
        <v>2286</v>
      </c>
      <c r="D5767" t="s">
        <v>2287</v>
      </c>
      <c r="E5767" t="s">
        <v>2288</v>
      </c>
      <c r="F5767" t="s">
        <v>18287</v>
      </c>
      <c r="G5767" s="2" t="str">
        <f>HYPERLINK("https://probpalata.gov.ru/files/ЮЛ770104038200013.jpeg","Скачать индивидуальный QR-код магазина")</f>
        <v>Скачать индивидуальный QR-код магазина</v>
      </c>
    </row>
    <row r="5768" spans="1:7" x14ac:dyDescent="0.25">
      <c r="A5768" t="s">
        <v>18024</v>
      </c>
      <c r="B5768" t="s">
        <v>18288</v>
      </c>
      <c r="C5768" t="s">
        <v>2286</v>
      </c>
      <c r="D5768" t="s">
        <v>2287</v>
      </c>
      <c r="E5768" t="s">
        <v>2288</v>
      </c>
      <c r="F5768" t="s">
        <v>18289</v>
      </c>
      <c r="G5768" s="2" t="str">
        <f>HYPERLINK("https://probpalata.gov.ru/files/ЮЛ770104038200025.jpeg","Скачать индивидуальный QR-код магазина")</f>
        <v>Скачать индивидуальный QR-код магазина</v>
      </c>
    </row>
    <row r="5769" spans="1:7" x14ac:dyDescent="0.25">
      <c r="A5769" t="s">
        <v>18024</v>
      </c>
      <c r="B5769" t="s">
        <v>18290</v>
      </c>
      <c r="C5769" t="s">
        <v>2286</v>
      </c>
      <c r="D5769" t="s">
        <v>2287</v>
      </c>
      <c r="E5769" t="s">
        <v>2288</v>
      </c>
      <c r="F5769" t="s">
        <v>18291</v>
      </c>
      <c r="G5769" s="2" t="str">
        <f>HYPERLINK("https://probpalata.gov.ru/files/ЮЛ770104038200033.jpeg","Скачать индивидуальный QR-код магазина")</f>
        <v>Скачать индивидуальный QR-код магазина</v>
      </c>
    </row>
    <row r="5770" spans="1:7" x14ac:dyDescent="0.25">
      <c r="A5770" t="s">
        <v>18292</v>
      </c>
      <c r="B5770" t="s">
        <v>18293</v>
      </c>
      <c r="C5770" t="s">
        <v>18294</v>
      </c>
      <c r="D5770" t="s">
        <v>18295</v>
      </c>
      <c r="E5770" t="s">
        <v>18296</v>
      </c>
      <c r="F5770" t="s">
        <v>18297</v>
      </c>
      <c r="G5770" s="2" t="str">
        <f>HYPERLINK("https://probpalata.gov.ru/files/ИП940403895600000.jpeg","Скачать индивидуальный QR-код магазина")</f>
        <v>Скачать индивидуальный QR-код магазина</v>
      </c>
    </row>
    <row r="5771" spans="1:7" x14ac:dyDescent="0.25">
      <c r="A5771" t="s">
        <v>18292</v>
      </c>
      <c r="B5771" t="s">
        <v>18298</v>
      </c>
      <c r="C5771" t="s">
        <v>5296</v>
      </c>
      <c r="D5771" t="s">
        <v>5297</v>
      </c>
      <c r="E5771" t="s">
        <v>5298</v>
      </c>
      <c r="F5771" t="s">
        <v>18299</v>
      </c>
      <c r="G5771" s="2" t="str">
        <f>HYPERLINK("https://probpalata.gov.ru/files/ИП470303686600019.jpeg","Скачать индивидуальный QR-код магазина")</f>
        <v>Скачать индивидуальный QR-код магазина</v>
      </c>
    </row>
    <row r="5772" spans="1:7" x14ac:dyDescent="0.25">
      <c r="A5772" t="s">
        <v>18292</v>
      </c>
      <c r="B5772" t="s">
        <v>18300</v>
      </c>
      <c r="C5772" t="s">
        <v>18301</v>
      </c>
      <c r="D5772" t="s">
        <v>18302</v>
      </c>
      <c r="E5772" t="s">
        <v>18303</v>
      </c>
      <c r="F5772" t="s">
        <v>18304</v>
      </c>
      <c r="G5772" s="2" t="str">
        <f>HYPERLINK("https://probpalata.gov.ru/files/ИП940404002100000.jpeg","Скачать индивидуальный QR-код магазина")</f>
        <v>Скачать индивидуальный QR-код магазина</v>
      </c>
    </row>
    <row r="5773" spans="1:7" x14ac:dyDescent="0.25">
      <c r="A5773" t="s">
        <v>18292</v>
      </c>
      <c r="B5773" t="s">
        <v>18305</v>
      </c>
      <c r="C5773" t="s">
        <v>18306</v>
      </c>
      <c r="D5773" t="s">
        <v>18307</v>
      </c>
      <c r="E5773" t="s">
        <v>18308</v>
      </c>
      <c r="F5773" t="s">
        <v>18309</v>
      </c>
      <c r="G5773" s="2" t="str">
        <f>HYPERLINK("https://probpalata.gov.ru/files/П1010403507000000.jpeg","Скачать индивидуальный QR-код магазина")</f>
        <v>Скачать индивидуальный QR-код магазина</v>
      </c>
    </row>
    <row r="5774" spans="1:7" x14ac:dyDescent="0.25">
      <c r="A5774" t="s">
        <v>18292</v>
      </c>
      <c r="B5774" t="s">
        <v>18310</v>
      </c>
      <c r="C5774" t="s">
        <v>18311</v>
      </c>
      <c r="D5774" t="s">
        <v>18312</v>
      </c>
      <c r="E5774" t="s">
        <v>18313</v>
      </c>
      <c r="F5774" t="s">
        <v>18314</v>
      </c>
      <c r="G5774" s="2" t="str">
        <f>HYPERLINK("https://probpalata.gov.ru/files/ИП940403535500000.jpeg","Скачать индивидуальный QR-код магазина")</f>
        <v>Скачать индивидуальный QR-код магазина</v>
      </c>
    </row>
    <row r="5775" spans="1:7" x14ac:dyDescent="0.25">
      <c r="A5775" t="s">
        <v>18292</v>
      </c>
      <c r="B5775" t="s">
        <v>18315</v>
      </c>
      <c r="C5775" t="s">
        <v>18311</v>
      </c>
      <c r="D5775" t="s">
        <v>18312</v>
      </c>
      <c r="E5775" t="s">
        <v>18313</v>
      </c>
      <c r="F5775" t="s">
        <v>18316</v>
      </c>
      <c r="G5775" s="2" t="str">
        <f>HYPERLINK("https://probpalata.gov.ru/files/ИП940403535500001.jpeg","Скачать индивидуальный QR-код магазина")</f>
        <v>Скачать индивидуальный QR-код магазина</v>
      </c>
    </row>
    <row r="5776" spans="1:7" x14ac:dyDescent="0.25">
      <c r="A5776" t="s">
        <v>18292</v>
      </c>
      <c r="B5776" t="s">
        <v>18317</v>
      </c>
      <c r="C5776" t="s">
        <v>18311</v>
      </c>
      <c r="D5776" t="s">
        <v>18312</v>
      </c>
      <c r="E5776" t="s">
        <v>18313</v>
      </c>
      <c r="F5776" t="s">
        <v>18318</v>
      </c>
      <c r="G5776" s="2" t="str">
        <f>HYPERLINK("https://probpalata.gov.ru/files/ИП940403535500003.jpeg","Скачать индивидуальный QR-код магазина")</f>
        <v>Скачать индивидуальный QR-код магазина</v>
      </c>
    </row>
    <row r="5777" spans="1:7" x14ac:dyDescent="0.25">
      <c r="A5777" t="s">
        <v>18292</v>
      </c>
      <c r="B5777" t="s">
        <v>18319</v>
      </c>
      <c r="C5777" t="s">
        <v>18320</v>
      </c>
      <c r="D5777" t="s">
        <v>18321</v>
      </c>
      <c r="E5777" t="s">
        <v>18322</v>
      </c>
      <c r="F5777" t="s">
        <v>18323</v>
      </c>
      <c r="G5777" s="2" t="str">
        <f>HYPERLINK("https://probpalata.gov.ru/files/ИП940403762500000.jpeg","Скачать индивидуальный QR-код магазина")</f>
        <v>Скачать индивидуальный QR-код магазина</v>
      </c>
    </row>
    <row r="5778" spans="1:7" x14ac:dyDescent="0.25">
      <c r="A5778" t="s">
        <v>18292</v>
      </c>
      <c r="B5778" t="s">
        <v>18324</v>
      </c>
      <c r="C5778" t="s">
        <v>18325</v>
      </c>
      <c r="D5778" t="s">
        <v>18326</v>
      </c>
      <c r="E5778" t="s">
        <v>18327</v>
      </c>
      <c r="F5778" t="s">
        <v>18328</v>
      </c>
      <c r="G5778" s="2" t="str">
        <f>HYPERLINK("https://probpalata.gov.ru/files/ИП940403697500000.jpeg","Скачать индивидуальный QR-код магазина")</f>
        <v>Скачать индивидуальный QR-код магазина</v>
      </c>
    </row>
    <row r="5779" spans="1:7" x14ac:dyDescent="0.25">
      <c r="A5779" t="s">
        <v>18292</v>
      </c>
      <c r="B5779" t="s">
        <v>18329</v>
      </c>
      <c r="C5779" t="s">
        <v>18330</v>
      </c>
      <c r="D5779" t="s">
        <v>18331</v>
      </c>
      <c r="E5779" t="s">
        <v>18332</v>
      </c>
      <c r="F5779" t="s">
        <v>18333</v>
      </c>
      <c r="G5779" s="2" t="str">
        <f>HYPERLINK("https://probpalata.gov.ru/files/ИП940403529200000.jpeg","Скачать индивидуальный QR-код магазина")</f>
        <v>Скачать индивидуальный QR-код магазина</v>
      </c>
    </row>
    <row r="5780" spans="1:7" x14ac:dyDescent="0.25">
      <c r="A5780" t="s">
        <v>18292</v>
      </c>
      <c r="B5780" t="s">
        <v>18334</v>
      </c>
      <c r="C5780" t="s">
        <v>18335</v>
      </c>
      <c r="D5780" t="s">
        <v>18336</v>
      </c>
      <c r="E5780" t="s">
        <v>18337</v>
      </c>
      <c r="F5780" t="s">
        <v>18338</v>
      </c>
      <c r="G5780" s="2" t="str">
        <f>HYPERLINK("https://probpalata.gov.ru/files/ИП940403759500000.jpeg","Скачать индивидуальный QR-код магазина")</f>
        <v>Скачать индивидуальный QR-код магазина</v>
      </c>
    </row>
    <row r="5781" spans="1:7" x14ac:dyDescent="0.25">
      <c r="A5781" t="s">
        <v>18292</v>
      </c>
      <c r="B5781" t="s">
        <v>18339</v>
      </c>
      <c r="C5781" t="s">
        <v>18335</v>
      </c>
      <c r="D5781" t="s">
        <v>18336</v>
      </c>
      <c r="E5781" t="s">
        <v>18337</v>
      </c>
      <c r="F5781" t="s">
        <v>18340</v>
      </c>
      <c r="G5781" s="2" t="str">
        <f>HYPERLINK("https://probpalata.gov.ru/files/ИП940403759500001.jpeg","Скачать индивидуальный QR-код магазина")</f>
        <v>Скачать индивидуальный QR-код магазина</v>
      </c>
    </row>
    <row r="5782" spans="1:7" x14ac:dyDescent="0.25">
      <c r="A5782" t="s">
        <v>18292</v>
      </c>
      <c r="B5782" t="s">
        <v>18341</v>
      </c>
      <c r="C5782" t="s">
        <v>18335</v>
      </c>
      <c r="D5782" t="s">
        <v>18336</v>
      </c>
      <c r="E5782" t="s">
        <v>18337</v>
      </c>
      <c r="F5782" t="s">
        <v>18342</v>
      </c>
      <c r="G5782" s="2" t="str">
        <f>HYPERLINK("https://probpalata.gov.ru/files/ИП940403759500002.jpeg","Скачать индивидуальный QR-код магазина")</f>
        <v>Скачать индивидуальный QR-код магазина</v>
      </c>
    </row>
    <row r="5783" spans="1:7" x14ac:dyDescent="0.25">
      <c r="A5783" t="s">
        <v>18292</v>
      </c>
      <c r="B5783" t="s">
        <v>18343</v>
      </c>
      <c r="C5783" t="s">
        <v>18344</v>
      </c>
      <c r="D5783" t="s">
        <v>18345</v>
      </c>
      <c r="E5783" t="s">
        <v>18346</v>
      </c>
      <c r="F5783" t="s">
        <v>18347</v>
      </c>
      <c r="G5783" s="2" t="str">
        <f>HYPERLINK("https://probpalata.gov.ru/files/ИП940403527300000.jpeg","Скачать индивидуальный QR-код магазина")</f>
        <v>Скачать индивидуальный QR-код магазина</v>
      </c>
    </row>
    <row r="5784" spans="1:7" x14ac:dyDescent="0.25">
      <c r="A5784" t="s">
        <v>18292</v>
      </c>
      <c r="B5784" t="s">
        <v>18348</v>
      </c>
      <c r="C5784" t="s">
        <v>18349</v>
      </c>
      <c r="D5784" t="s">
        <v>18350</v>
      </c>
      <c r="E5784" t="s">
        <v>18351</v>
      </c>
      <c r="F5784" t="s">
        <v>18352</v>
      </c>
      <c r="G5784" s="2" t="str">
        <f>HYPERLINK("https://probpalata.gov.ru/files/ИП940403528500000.jpeg","Скачать индивидуальный QR-код магазина")</f>
        <v>Скачать индивидуальный QR-код магазина</v>
      </c>
    </row>
    <row r="5785" spans="1:7" x14ac:dyDescent="0.25">
      <c r="A5785" t="s">
        <v>18292</v>
      </c>
      <c r="B5785" t="s">
        <v>18353</v>
      </c>
      <c r="C5785" t="s">
        <v>18354</v>
      </c>
      <c r="D5785" t="s">
        <v>18355</v>
      </c>
      <c r="E5785" t="s">
        <v>18356</v>
      </c>
      <c r="F5785" t="s">
        <v>18357</v>
      </c>
      <c r="G5785" s="2" t="str">
        <f>HYPERLINK("https://probpalata.gov.ru/files/ИП940403591300000.jpeg","Скачать индивидуальный QR-код магазина")</f>
        <v>Скачать индивидуальный QR-код магазина</v>
      </c>
    </row>
    <row r="5786" spans="1:7" x14ac:dyDescent="0.25">
      <c r="A5786" t="s">
        <v>18292</v>
      </c>
      <c r="B5786" t="s">
        <v>18358</v>
      </c>
      <c r="C5786" t="s">
        <v>18359</v>
      </c>
      <c r="D5786" t="s">
        <v>18360</v>
      </c>
      <c r="E5786" t="s">
        <v>18361</v>
      </c>
      <c r="F5786" t="s">
        <v>18362</v>
      </c>
      <c r="G5786" s="2" t="str">
        <f>HYPERLINK("https://probpalata.gov.ru/files/ИП940403644700000.jpeg","Скачать индивидуальный QR-код магазина")</f>
        <v>Скачать индивидуальный QR-код магазина</v>
      </c>
    </row>
    <row r="5787" spans="1:7" x14ac:dyDescent="0.25">
      <c r="A5787" t="s">
        <v>18292</v>
      </c>
      <c r="B5787" t="s">
        <v>18363</v>
      </c>
      <c r="C5787" t="s">
        <v>18359</v>
      </c>
      <c r="D5787" t="s">
        <v>18360</v>
      </c>
      <c r="E5787" t="s">
        <v>18361</v>
      </c>
      <c r="F5787" t="s">
        <v>18364</v>
      </c>
      <c r="G5787" s="2" t="str">
        <f>HYPERLINK("https://probpalata.gov.ru/files/ИП940403644700001.jpeg","Скачать индивидуальный QR-код магазина")</f>
        <v>Скачать индивидуальный QR-код магазина</v>
      </c>
    </row>
    <row r="5788" spans="1:7" x14ac:dyDescent="0.25">
      <c r="A5788" t="s">
        <v>18292</v>
      </c>
      <c r="B5788" t="s">
        <v>18365</v>
      </c>
      <c r="C5788" t="s">
        <v>18359</v>
      </c>
      <c r="D5788" t="s">
        <v>18360</v>
      </c>
      <c r="E5788" t="s">
        <v>18361</v>
      </c>
      <c r="F5788" t="s">
        <v>18366</v>
      </c>
      <c r="G5788" s="2" t="str">
        <f>HYPERLINK("https://probpalata.gov.ru/files/ИП940403644700002.jpeg","Скачать индивидуальный QR-код магазина")</f>
        <v>Скачать индивидуальный QR-код магазина</v>
      </c>
    </row>
    <row r="5789" spans="1:7" x14ac:dyDescent="0.25">
      <c r="A5789" t="s">
        <v>18292</v>
      </c>
      <c r="B5789" t="s">
        <v>18367</v>
      </c>
      <c r="C5789" t="s">
        <v>18368</v>
      </c>
      <c r="D5789" t="s">
        <v>18369</v>
      </c>
      <c r="E5789" t="s">
        <v>18370</v>
      </c>
      <c r="F5789" t="s">
        <v>18371</v>
      </c>
      <c r="G5789" s="2" t="str">
        <f>HYPERLINK("https://probpalata.gov.ru/files/ИП940403613000000.jpeg","Скачать индивидуальный QR-код магазина")</f>
        <v>Скачать индивидуальный QR-код магазина</v>
      </c>
    </row>
    <row r="5790" spans="1:7" x14ac:dyDescent="0.25">
      <c r="A5790" t="s">
        <v>18292</v>
      </c>
      <c r="B5790" t="s">
        <v>18372</v>
      </c>
      <c r="C5790" t="s">
        <v>18373</v>
      </c>
      <c r="D5790" t="s">
        <v>18374</v>
      </c>
      <c r="E5790" t="s">
        <v>18375</v>
      </c>
      <c r="F5790" t="s">
        <v>18376</v>
      </c>
      <c r="G5790" s="2" t="str">
        <f>HYPERLINK("https://probpalata.gov.ru/files/ИП940403529800001.jpeg","Скачать индивидуальный QR-код магазина")</f>
        <v>Скачать индивидуальный QR-код магазина</v>
      </c>
    </row>
    <row r="5791" spans="1:7" x14ac:dyDescent="0.25">
      <c r="A5791" t="s">
        <v>18292</v>
      </c>
      <c r="B5791" t="s">
        <v>18377</v>
      </c>
      <c r="C5791" t="s">
        <v>18373</v>
      </c>
      <c r="D5791" t="s">
        <v>18374</v>
      </c>
      <c r="E5791" t="s">
        <v>18375</v>
      </c>
      <c r="F5791" t="s">
        <v>18378</v>
      </c>
      <c r="G5791" s="2" t="str">
        <f>HYPERLINK("https://probpalata.gov.ru/files/ИП940403529800002.jpeg","Скачать индивидуальный QR-код магазина")</f>
        <v>Скачать индивидуальный QR-код магазина</v>
      </c>
    </row>
    <row r="5792" spans="1:7" x14ac:dyDescent="0.25">
      <c r="A5792" t="s">
        <v>18292</v>
      </c>
      <c r="B5792" t="s">
        <v>18379</v>
      </c>
      <c r="C5792" t="s">
        <v>18373</v>
      </c>
      <c r="D5792" t="s">
        <v>18374</v>
      </c>
      <c r="E5792" t="s">
        <v>18375</v>
      </c>
      <c r="F5792" t="s">
        <v>18380</v>
      </c>
      <c r="G5792" s="2" t="str">
        <f>HYPERLINK("https://probpalata.gov.ru/files/ИП940403529800003.jpeg","Скачать индивидуальный QR-код магазина")</f>
        <v>Скачать индивидуальный QR-код магазина</v>
      </c>
    </row>
    <row r="5793" spans="1:7" x14ac:dyDescent="0.25">
      <c r="A5793" t="s">
        <v>18292</v>
      </c>
      <c r="B5793" t="s">
        <v>18381</v>
      </c>
      <c r="C5793" t="s">
        <v>18373</v>
      </c>
      <c r="D5793" t="s">
        <v>18374</v>
      </c>
      <c r="E5793" t="s">
        <v>18375</v>
      </c>
      <c r="F5793" t="s">
        <v>18382</v>
      </c>
      <c r="G5793" s="2" t="str">
        <f>HYPERLINK("https://probpalata.gov.ru/files/ИП940403529800004.jpeg","Скачать индивидуальный QR-код магазина")</f>
        <v>Скачать индивидуальный QR-код магазина</v>
      </c>
    </row>
    <row r="5794" spans="1:7" x14ac:dyDescent="0.25">
      <c r="A5794" t="s">
        <v>18292</v>
      </c>
      <c r="B5794" t="s">
        <v>18383</v>
      </c>
      <c r="C5794" t="s">
        <v>18373</v>
      </c>
      <c r="D5794" t="s">
        <v>18374</v>
      </c>
      <c r="E5794" t="s">
        <v>18375</v>
      </c>
      <c r="F5794" t="s">
        <v>18384</v>
      </c>
      <c r="G5794" s="2" t="str">
        <f>HYPERLINK("https://probpalata.gov.ru/files/ИП940403529800005.jpeg","Скачать индивидуальный QR-код магазина")</f>
        <v>Скачать индивидуальный QR-код магазина</v>
      </c>
    </row>
    <row r="5795" spans="1:7" x14ac:dyDescent="0.25">
      <c r="A5795" t="s">
        <v>18292</v>
      </c>
      <c r="B5795" t="s">
        <v>18385</v>
      </c>
      <c r="C5795" t="s">
        <v>18373</v>
      </c>
      <c r="D5795" t="s">
        <v>18374</v>
      </c>
      <c r="E5795" t="s">
        <v>18375</v>
      </c>
      <c r="F5795" t="s">
        <v>18386</v>
      </c>
      <c r="G5795" s="2" t="str">
        <f>HYPERLINK("https://probpalata.gov.ru/files/ИП940403529800006.jpeg","Скачать индивидуальный QR-код магазина")</f>
        <v>Скачать индивидуальный QR-код магазина</v>
      </c>
    </row>
    <row r="5796" spans="1:7" x14ac:dyDescent="0.25">
      <c r="A5796" t="s">
        <v>18292</v>
      </c>
      <c r="B5796" t="s">
        <v>18387</v>
      </c>
      <c r="C5796" t="s">
        <v>18373</v>
      </c>
      <c r="D5796" t="s">
        <v>18374</v>
      </c>
      <c r="E5796" t="s">
        <v>18375</v>
      </c>
      <c r="F5796" t="s">
        <v>18388</v>
      </c>
      <c r="G5796" s="2" t="str">
        <f>HYPERLINK("https://probpalata.gov.ru/files/ИП940403529800007.jpeg","Скачать индивидуальный QR-код магазина")</f>
        <v>Скачать индивидуальный QR-код магазина</v>
      </c>
    </row>
    <row r="5797" spans="1:7" x14ac:dyDescent="0.25">
      <c r="A5797" t="s">
        <v>18292</v>
      </c>
      <c r="B5797" t="s">
        <v>18389</v>
      </c>
      <c r="C5797" t="s">
        <v>18373</v>
      </c>
      <c r="D5797" t="s">
        <v>18374</v>
      </c>
      <c r="E5797" t="s">
        <v>18375</v>
      </c>
      <c r="F5797" t="s">
        <v>18390</v>
      </c>
      <c r="G5797" s="2" t="str">
        <f>HYPERLINK("https://probpalata.gov.ru/files/ИП940403529800008.jpeg","Скачать индивидуальный QR-код магазина")</f>
        <v>Скачать индивидуальный QR-код магазина</v>
      </c>
    </row>
    <row r="5798" spans="1:7" x14ac:dyDescent="0.25">
      <c r="A5798" t="s">
        <v>18292</v>
      </c>
      <c r="B5798" t="s">
        <v>18391</v>
      </c>
      <c r="C5798" t="s">
        <v>18373</v>
      </c>
      <c r="D5798" t="s">
        <v>18374</v>
      </c>
      <c r="E5798" t="s">
        <v>18375</v>
      </c>
      <c r="F5798" t="s">
        <v>18392</v>
      </c>
      <c r="G5798" s="2" t="str">
        <f>HYPERLINK("https://probpalata.gov.ru/files/ИП940403529800010.jpeg","Скачать индивидуальный QR-код магазина")</f>
        <v>Скачать индивидуальный QR-код магазина</v>
      </c>
    </row>
    <row r="5799" spans="1:7" x14ac:dyDescent="0.25">
      <c r="A5799" t="s">
        <v>18292</v>
      </c>
      <c r="B5799" t="s">
        <v>18393</v>
      </c>
      <c r="C5799" t="s">
        <v>18373</v>
      </c>
      <c r="D5799" t="s">
        <v>18374</v>
      </c>
      <c r="E5799" t="s">
        <v>18375</v>
      </c>
      <c r="F5799" t="s">
        <v>18394</v>
      </c>
      <c r="G5799" s="2" t="str">
        <f>HYPERLINK("https://probpalata.gov.ru/files/ИП940403529800011.jpeg","Скачать индивидуальный QR-код магазина")</f>
        <v>Скачать индивидуальный QR-код магазина</v>
      </c>
    </row>
    <row r="5800" spans="1:7" x14ac:dyDescent="0.25">
      <c r="A5800" t="s">
        <v>18292</v>
      </c>
      <c r="B5800" t="s">
        <v>18395</v>
      </c>
      <c r="C5800" t="s">
        <v>18373</v>
      </c>
      <c r="D5800" t="s">
        <v>18374</v>
      </c>
      <c r="E5800" t="s">
        <v>18375</v>
      </c>
      <c r="F5800" t="s">
        <v>18396</v>
      </c>
      <c r="G5800" s="2" t="str">
        <f>HYPERLINK("https://probpalata.gov.ru/files/ИП940403529800012.jpeg","Скачать индивидуальный QR-код магазина")</f>
        <v>Скачать индивидуальный QR-код магазина</v>
      </c>
    </row>
    <row r="5801" spans="1:7" x14ac:dyDescent="0.25">
      <c r="A5801" t="s">
        <v>18292</v>
      </c>
      <c r="B5801" t="s">
        <v>18397</v>
      </c>
      <c r="C5801" t="s">
        <v>18398</v>
      </c>
      <c r="D5801" t="s">
        <v>18399</v>
      </c>
      <c r="E5801" t="s">
        <v>18400</v>
      </c>
      <c r="F5801" t="s">
        <v>18401</v>
      </c>
      <c r="G5801" s="2" t="str">
        <f>HYPERLINK("https://probpalata.gov.ru/files/ИП230403759700000.jpeg","Скачать индивидуальный QR-код магазина")</f>
        <v>Скачать индивидуальный QR-код магазина</v>
      </c>
    </row>
    <row r="5802" spans="1:7" x14ac:dyDescent="0.25">
      <c r="A5802" t="s">
        <v>18292</v>
      </c>
      <c r="B5802" t="s">
        <v>18402</v>
      </c>
      <c r="C5802" t="s">
        <v>18403</v>
      </c>
      <c r="D5802" t="s">
        <v>18404</v>
      </c>
      <c r="E5802" t="s">
        <v>18405</v>
      </c>
      <c r="F5802" t="s">
        <v>18406</v>
      </c>
      <c r="G5802" s="2" t="str">
        <f>HYPERLINK("https://probpalata.gov.ru/files/ИП940403591100000.jpeg","Скачать индивидуальный QR-код магазина")</f>
        <v>Скачать индивидуальный QR-код магазина</v>
      </c>
    </row>
    <row r="5803" spans="1:7" x14ac:dyDescent="0.25">
      <c r="A5803" t="s">
        <v>18292</v>
      </c>
      <c r="B5803" t="s">
        <v>18407</v>
      </c>
      <c r="C5803" t="s">
        <v>18408</v>
      </c>
      <c r="D5803" t="s">
        <v>18409</v>
      </c>
      <c r="E5803" t="s">
        <v>18410</v>
      </c>
      <c r="F5803" t="s">
        <v>18411</v>
      </c>
      <c r="G5803" s="2" t="str">
        <f>HYPERLINK("https://probpalata.gov.ru/files/ИП940403755000000.jpeg","Скачать индивидуальный QR-код магазина")</f>
        <v>Скачать индивидуальный QR-код магазина</v>
      </c>
    </row>
    <row r="5804" spans="1:7" x14ac:dyDescent="0.25">
      <c r="A5804" t="s">
        <v>18292</v>
      </c>
      <c r="B5804" t="s">
        <v>18412</v>
      </c>
      <c r="C5804" t="s">
        <v>18413</v>
      </c>
      <c r="D5804" t="s">
        <v>18414</v>
      </c>
      <c r="E5804" t="s">
        <v>18415</v>
      </c>
      <c r="F5804" t="s">
        <v>18416</v>
      </c>
      <c r="G5804" s="2" t="str">
        <f>HYPERLINK("https://probpalata.gov.ru/files/ИП940403601400000.jpeg","Скачать индивидуальный QR-код магазина")</f>
        <v>Скачать индивидуальный QR-код магазина</v>
      </c>
    </row>
    <row r="5805" spans="1:7" x14ac:dyDescent="0.25">
      <c r="A5805" t="s">
        <v>18292</v>
      </c>
      <c r="B5805" t="s">
        <v>18417</v>
      </c>
      <c r="C5805" t="s">
        <v>18413</v>
      </c>
      <c r="D5805" t="s">
        <v>18414</v>
      </c>
      <c r="E5805" t="s">
        <v>18415</v>
      </c>
      <c r="F5805" t="s">
        <v>18418</v>
      </c>
      <c r="G5805" s="2" t="str">
        <f>HYPERLINK("https://probpalata.gov.ru/files/ИП940403601400001.jpeg","Скачать индивидуальный QR-код магазина")</f>
        <v>Скачать индивидуальный QR-код магазина</v>
      </c>
    </row>
    <row r="5806" spans="1:7" x14ac:dyDescent="0.25">
      <c r="A5806" t="s">
        <v>18292</v>
      </c>
      <c r="B5806" t="s">
        <v>18419</v>
      </c>
      <c r="C5806" t="s">
        <v>18413</v>
      </c>
      <c r="D5806" t="s">
        <v>18414</v>
      </c>
      <c r="E5806" t="s">
        <v>18415</v>
      </c>
      <c r="F5806" t="s">
        <v>18420</v>
      </c>
      <c r="G5806" s="2" t="str">
        <f>HYPERLINK("https://probpalata.gov.ru/files/ИП940403601400002.jpeg","Скачать индивидуальный QR-код магазина")</f>
        <v>Скачать индивидуальный QR-код магазина</v>
      </c>
    </row>
    <row r="5807" spans="1:7" x14ac:dyDescent="0.25">
      <c r="A5807" t="s">
        <v>18292</v>
      </c>
      <c r="B5807" t="s">
        <v>18421</v>
      </c>
      <c r="C5807" t="s">
        <v>18413</v>
      </c>
      <c r="D5807" t="s">
        <v>18414</v>
      </c>
      <c r="E5807" t="s">
        <v>18415</v>
      </c>
      <c r="F5807" t="s">
        <v>18422</v>
      </c>
      <c r="G5807" s="2" t="str">
        <f>HYPERLINK("https://probpalata.gov.ru/files/ИП940403601400003.jpeg","Скачать индивидуальный QR-код магазина")</f>
        <v>Скачать индивидуальный QR-код магазина</v>
      </c>
    </row>
    <row r="5808" spans="1:7" x14ac:dyDescent="0.25">
      <c r="A5808" t="s">
        <v>18292</v>
      </c>
      <c r="B5808" t="s">
        <v>18423</v>
      </c>
      <c r="C5808" t="s">
        <v>18413</v>
      </c>
      <c r="D5808" t="s">
        <v>18414</v>
      </c>
      <c r="E5808" t="s">
        <v>18415</v>
      </c>
      <c r="F5808" t="s">
        <v>18424</v>
      </c>
      <c r="G5808" s="2" t="str">
        <f>HYPERLINK("https://probpalata.gov.ru/files/ИП940403601400004.jpeg","Скачать индивидуальный QR-код магазина")</f>
        <v>Скачать индивидуальный QR-код магазина</v>
      </c>
    </row>
    <row r="5809" spans="1:7" x14ac:dyDescent="0.25">
      <c r="A5809" t="s">
        <v>18292</v>
      </c>
      <c r="B5809" t="s">
        <v>18425</v>
      </c>
      <c r="C5809" t="s">
        <v>18413</v>
      </c>
      <c r="D5809" t="s">
        <v>18414</v>
      </c>
      <c r="E5809" t="s">
        <v>18415</v>
      </c>
      <c r="F5809" t="s">
        <v>18426</v>
      </c>
      <c r="G5809" s="2" t="str">
        <f>HYPERLINK("https://probpalata.gov.ru/files/ИП940403601400005.jpeg","Скачать индивидуальный QR-код магазина")</f>
        <v>Скачать индивидуальный QR-код магазина</v>
      </c>
    </row>
    <row r="5810" spans="1:7" x14ac:dyDescent="0.25">
      <c r="A5810" t="s">
        <v>18292</v>
      </c>
      <c r="B5810" t="s">
        <v>18427</v>
      </c>
      <c r="C5810" t="s">
        <v>18428</v>
      </c>
      <c r="D5810" t="s">
        <v>18429</v>
      </c>
      <c r="E5810" t="s">
        <v>18430</v>
      </c>
      <c r="F5810" t="s">
        <v>18431</v>
      </c>
      <c r="G5810" s="2" t="str">
        <f>HYPERLINK("https://probpalata.gov.ru/files/ИП940403529100000.jpeg","Скачать индивидуальный QR-код магазина")</f>
        <v>Скачать индивидуальный QR-код магазина</v>
      </c>
    </row>
    <row r="5811" spans="1:7" x14ac:dyDescent="0.25">
      <c r="A5811" t="s">
        <v>18292</v>
      </c>
      <c r="B5811" t="s">
        <v>18432</v>
      </c>
      <c r="C5811" t="s">
        <v>18433</v>
      </c>
      <c r="D5811" t="s">
        <v>18434</v>
      </c>
      <c r="E5811" t="s">
        <v>18435</v>
      </c>
      <c r="F5811" t="s">
        <v>18436</v>
      </c>
      <c r="G5811" s="2" t="str">
        <f>HYPERLINK("https://probpalata.gov.ru/files/ИП940403931200000.jpeg","Скачать индивидуальный QR-код магазина")</f>
        <v>Скачать индивидуальный QR-код магазина</v>
      </c>
    </row>
    <row r="5812" spans="1:7" x14ac:dyDescent="0.25">
      <c r="A5812" t="s">
        <v>18292</v>
      </c>
      <c r="B5812" t="s">
        <v>18437</v>
      </c>
      <c r="C5812" t="s">
        <v>18438</v>
      </c>
      <c r="D5812" t="s">
        <v>18439</v>
      </c>
      <c r="E5812" t="s">
        <v>18440</v>
      </c>
      <c r="F5812" t="s">
        <v>18441</v>
      </c>
      <c r="G5812" s="2" t="str">
        <f>HYPERLINK("https://probpalata.gov.ru/files/ИП940404037000000.jpeg","Скачать индивидуальный QR-код магазина")</f>
        <v>Скачать индивидуальный QR-код магазина</v>
      </c>
    </row>
    <row r="5813" spans="1:7" x14ac:dyDescent="0.25">
      <c r="A5813" t="s">
        <v>18292</v>
      </c>
      <c r="B5813" t="s">
        <v>18442</v>
      </c>
      <c r="C5813" t="s">
        <v>18438</v>
      </c>
      <c r="D5813" t="s">
        <v>18439</v>
      </c>
      <c r="E5813" t="s">
        <v>18440</v>
      </c>
      <c r="F5813" t="s">
        <v>18443</v>
      </c>
      <c r="G5813" s="2" t="str">
        <f>HYPERLINK("https://probpalata.gov.ru/files/ИП940404037000001.jpeg","Скачать индивидуальный QR-код магазина")</f>
        <v>Скачать индивидуальный QR-код магазина</v>
      </c>
    </row>
    <row r="5814" spans="1:7" x14ac:dyDescent="0.25">
      <c r="A5814" t="s">
        <v>18292</v>
      </c>
      <c r="B5814" t="s">
        <v>18444</v>
      </c>
      <c r="C5814" t="s">
        <v>18438</v>
      </c>
      <c r="D5814" t="s">
        <v>18439</v>
      </c>
      <c r="E5814" t="s">
        <v>18440</v>
      </c>
      <c r="F5814" t="s">
        <v>18445</v>
      </c>
      <c r="G5814" s="2" t="str">
        <f>HYPERLINK("https://probpalata.gov.ru/files/ИП940404037000002.jpeg","Скачать индивидуальный QR-код магазина")</f>
        <v>Скачать индивидуальный QR-код магазина</v>
      </c>
    </row>
    <row r="5815" spans="1:7" x14ac:dyDescent="0.25">
      <c r="A5815" t="s">
        <v>18292</v>
      </c>
      <c r="B5815" t="s">
        <v>18446</v>
      </c>
      <c r="C5815" t="s">
        <v>18438</v>
      </c>
      <c r="D5815" t="s">
        <v>18439</v>
      </c>
      <c r="E5815" t="s">
        <v>18440</v>
      </c>
      <c r="F5815" t="s">
        <v>18447</v>
      </c>
      <c r="G5815" s="2" t="str">
        <f>HYPERLINK("https://probpalata.gov.ru/files/ИП940404037000003.jpeg","Скачать индивидуальный QR-код магазина")</f>
        <v>Скачать индивидуальный QR-код магазина</v>
      </c>
    </row>
    <row r="5816" spans="1:7" x14ac:dyDescent="0.25">
      <c r="A5816" t="s">
        <v>18292</v>
      </c>
      <c r="B5816" t="s">
        <v>18448</v>
      </c>
      <c r="C5816" t="s">
        <v>18438</v>
      </c>
      <c r="D5816" t="s">
        <v>18439</v>
      </c>
      <c r="E5816" t="s">
        <v>18440</v>
      </c>
      <c r="F5816" t="s">
        <v>18449</v>
      </c>
      <c r="G5816" s="2" t="str">
        <f>HYPERLINK("https://probpalata.gov.ru/files/ИП940404037000004.jpeg","Скачать индивидуальный QR-код магазина")</f>
        <v>Скачать индивидуальный QR-код магазина</v>
      </c>
    </row>
    <row r="5817" spans="1:7" x14ac:dyDescent="0.25">
      <c r="A5817" t="s">
        <v>18292</v>
      </c>
      <c r="B5817" t="s">
        <v>18450</v>
      </c>
      <c r="C5817" t="s">
        <v>18438</v>
      </c>
      <c r="D5817" t="s">
        <v>18439</v>
      </c>
      <c r="E5817" t="s">
        <v>18440</v>
      </c>
      <c r="F5817" t="s">
        <v>18451</v>
      </c>
      <c r="G5817" s="2" t="str">
        <f>HYPERLINK("https://probpalata.gov.ru/files/ИП940404037000005.jpeg","Скачать индивидуальный QR-код магазина")</f>
        <v>Скачать индивидуальный QR-код магазина</v>
      </c>
    </row>
    <row r="5818" spans="1:7" x14ac:dyDescent="0.25">
      <c r="A5818" t="s">
        <v>18292</v>
      </c>
      <c r="B5818" t="s">
        <v>18452</v>
      </c>
      <c r="C5818" t="s">
        <v>18438</v>
      </c>
      <c r="D5818" t="s">
        <v>18439</v>
      </c>
      <c r="E5818" t="s">
        <v>18440</v>
      </c>
      <c r="F5818" t="s">
        <v>18453</v>
      </c>
      <c r="G5818" s="2" t="str">
        <f>HYPERLINK("https://probpalata.gov.ru/files/ИП940404037000006.jpeg","Скачать индивидуальный QR-код магазина")</f>
        <v>Скачать индивидуальный QR-код магазина</v>
      </c>
    </row>
    <row r="5819" spans="1:7" x14ac:dyDescent="0.25">
      <c r="A5819" t="s">
        <v>18292</v>
      </c>
      <c r="B5819" t="s">
        <v>18454</v>
      </c>
      <c r="C5819" t="s">
        <v>18438</v>
      </c>
      <c r="D5819" t="s">
        <v>18439</v>
      </c>
      <c r="E5819" t="s">
        <v>18440</v>
      </c>
      <c r="F5819" t="s">
        <v>18455</v>
      </c>
      <c r="G5819" s="2" t="str">
        <f>HYPERLINK("https://probpalata.gov.ru/files/ИП940404037000007.jpeg","Скачать индивидуальный QR-код магазина")</f>
        <v>Скачать индивидуальный QR-код магазина</v>
      </c>
    </row>
    <row r="5820" spans="1:7" x14ac:dyDescent="0.25">
      <c r="A5820" t="s">
        <v>18292</v>
      </c>
      <c r="B5820" t="s">
        <v>18456</v>
      </c>
      <c r="C5820" t="s">
        <v>18438</v>
      </c>
      <c r="D5820" t="s">
        <v>18439</v>
      </c>
      <c r="E5820" t="s">
        <v>18440</v>
      </c>
      <c r="F5820" t="s">
        <v>18457</v>
      </c>
      <c r="G5820" s="2" t="str">
        <f>HYPERLINK("https://probpalata.gov.ru/files/ИП940404037000009.jpeg","Скачать индивидуальный QR-код магазина")</f>
        <v>Скачать индивидуальный QR-код магазина</v>
      </c>
    </row>
    <row r="5821" spans="1:7" x14ac:dyDescent="0.25">
      <c r="A5821" t="s">
        <v>18292</v>
      </c>
      <c r="B5821" t="s">
        <v>18458</v>
      </c>
      <c r="C5821" t="s">
        <v>18438</v>
      </c>
      <c r="D5821" t="s">
        <v>18439</v>
      </c>
      <c r="E5821" t="s">
        <v>18440</v>
      </c>
      <c r="F5821" t="s">
        <v>18459</v>
      </c>
      <c r="G5821" s="2" t="str">
        <f>HYPERLINK("https://probpalata.gov.ru/files/ИП940404037000010.jpeg","Скачать индивидуальный QR-код магазина")</f>
        <v>Скачать индивидуальный QR-код магазина</v>
      </c>
    </row>
    <row r="5822" spans="1:7" x14ac:dyDescent="0.25">
      <c r="A5822" t="s">
        <v>18292</v>
      </c>
      <c r="B5822" t="s">
        <v>18460</v>
      </c>
      <c r="C5822" t="s">
        <v>18438</v>
      </c>
      <c r="D5822" t="s">
        <v>18439</v>
      </c>
      <c r="E5822" t="s">
        <v>18440</v>
      </c>
      <c r="F5822" t="s">
        <v>18461</v>
      </c>
      <c r="G5822" s="2" t="str">
        <f>HYPERLINK("https://probpalata.gov.ru/files/ИП940404037000012.jpeg","Скачать индивидуальный QR-код магазина")</f>
        <v>Скачать индивидуальный QR-код магазина</v>
      </c>
    </row>
    <row r="5823" spans="1:7" x14ac:dyDescent="0.25">
      <c r="A5823" t="s">
        <v>18292</v>
      </c>
      <c r="B5823" t="s">
        <v>18462</v>
      </c>
      <c r="C5823" t="s">
        <v>18438</v>
      </c>
      <c r="D5823" t="s">
        <v>18439</v>
      </c>
      <c r="E5823" t="s">
        <v>18440</v>
      </c>
      <c r="F5823" t="s">
        <v>18463</v>
      </c>
      <c r="G5823" s="2" t="str">
        <f>HYPERLINK("https://probpalata.gov.ru/files/ИП940404037000013.jpeg","Скачать индивидуальный QR-код магазина")</f>
        <v>Скачать индивидуальный QR-код магазина</v>
      </c>
    </row>
    <row r="5824" spans="1:7" x14ac:dyDescent="0.25">
      <c r="A5824" t="s">
        <v>18292</v>
      </c>
      <c r="B5824" t="s">
        <v>18464</v>
      </c>
      <c r="C5824" t="s">
        <v>18438</v>
      </c>
      <c r="D5824" t="s">
        <v>18439</v>
      </c>
      <c r="E5824" t="s">
        <v>18440</v>
      </c>
      <c r="F5824" t="s">
        <v>18465</v>
      </c>
      <c r="G5824" s="2" t="str">
        <f>HYPERLINK("https://probpalata.gov.ru/files/ИП940404037000014.jpeg","Скачать индивидуальный QR-код магазина")</f>
        <v>Скачать индивидуальный QR-код магазина</v>
      </c>
    </row>
    <row r="5825" spans="1:7" x14ac:dyDescent="0.25">
      <c r="A5825" t="s">
        <v>18292</v>
      </c>
      <c r="B5825" t="s">
        <v>18466</v>
      </c>
      <c r="C5825" t="s">
        <v>18438</v>
      </c>
      <c r="D5825" t="s">
        <v>18439</v>
      </c>
      <c r="E5825" t="s">
        <v>18440</v>
      </c>
      <c r="F5825" t="s">
        <v>18467</v>
      </c>
      <c r="G5825" s="2" t="str">
        <f>HYPERLINK("https://probpalata.gov.ru/files/ИП940404037000015.jpeg","Скачать индивидуальный QR-код магазина")</f>
        <v>Скачать индивидуальный QR-код магазина</v>
      </c>
    </row>
    <row r="5826" spans="1:7" x14ac:dyDescent="0.25">
      <c r="A5826" t="s">
        <v>18292</v>
      </c>
      <c r="B5826" t="s">
        <v>18468</v>
      </c>
      <c r="C5826" t="s">
        <v>18469</v>
      </c>
      <c r="D5826" t="s">
        <v>18470</v>
      </c>
      <c r="E5826" t="s">
        <v>18471</v>
      </c>
      <c r="F5826" t="s">
        <v>18472</v>
      </c>
      <c r="G5826" s="2" t="str">
        <f>HYPERLINK("https://probpalata.gov.ru/files/ИП940403527000000.jpeg","Скачать индивидуальный QR-код магазина")</f>
        <v>Скачать индивидуальный QR-код магазина</v>
      </c>
    </row>
    <row r="5827" spans="1:7" x14ac:dyDescent="0.25">
      <c r="A5827" t="s">
        <v>18292</v>
      </c>
      <c r="B5827" t="s">
        <v>18473</v>
      </c>
      <c r="C5827" t="s">
        <v>18469</v>
      </c>
      <c r="D5827" t="s">
        <v>18470</v>
      </c>
      <c r="E5827" t="s">
        <v>18471</v>
      </c>
      <c r="F5827" t="s">
        <v>18474</v>
      </c>
      <c r="G5827" s="2" t="str">
        <f>HYPERLINK("https://probpalata.gov.ru/files/ИП940403527000001.jpeg","Скачать индивидуальный QR-код магазина")</f>
        <v>Скачать индивидуальный QR-код магазина</v>
      </c>
    </row>
    <row r="5828" spans="1:7" x14ac:dyDescent="0.25">
      <c r="A5828" t="s">
        <v>18292</v>
      </c>
      <c r="B5828" t="s">
        <v>18475</v>
      </c>
      <c r="C5828" t="s">
        <v>18476</v>
      </c>
      <c r="D5828" t="s">
        <v>18477</v>
      </c>
      <c r="E5828" t="s">
        <v>18478</v>
      </c>
      <c r="F5828" t="s">
        <v>18479</v>
      </c>
      <c r="G5828" s="2" t="str">
        <f>HYPERLINK("https://probpalata.gov.ru/files/ИП940403573700000.jpeg","Скачать индивидуальный QR-код магазина")</f>
        <v>Скачать индивидуальный QR-код магазина</v>
      </c>
    </row>
    <row r="5829" spans="1:7" x14ac:dyDescent="0.25">
      <c r="A5829" t="s">
        <v>18292</v>
      </c>
      <c r="B5829" t="s">
        <v>18480</v>
      </c>
      <c r="C5829" t="s">
        <v>18481</v>
      </c>
      <c r="D5829" t="s">
        <v>18482</v>
      </c>
      <c r="E5829" t="s">
        <v>18483</v>
      </c>
      <c r="F5829" t="s">
        <v>18484</v>
      </c>
      <c r="G5829" s="2" t="str">
        <f>HYPERLINK("https://probpalata.gov.ru/files/ИП940403977000000.jpeg","Скачать индивидуальный QR-код магазина")</f>
        <v>Скачать индивидуальный QR-код магазина</v>
      </c>
    </row>
    <row r="5830" spans="1:7" x14ac:dyDescent="0.25">
      <c r="A5830" t="s">
        <v>18292</v>
      </c>
      <c r="B5830" t="s">
        <v>18485</v>
      </c>
      <c r="C5830" t="s">
        <v>18486</v>
      </c>
      <c r="D5830" t="s">
        <v>18487</v>
      </c>
      <c r="E5830" t="s">
        <v>18488</v>
      </c>
      <c r="F5830" t="s">
        <v>18489</v>
      </c>
      <c r="G5830" s="2" t="str">
        <f>HYPERLINK("https://probpalata.gov.ru/files/ИП940403941300000.jpeg","Скачать индивидуальный QR-код магазина")</f>
        <v>Скачать индивидуальный QR-код магазина</v>
      </c>
    </row>
    <row r="5831" spans="1:7" x14ac:dyDescent="0.25">
      <c r="A5831" t="s">
        <v>18292</v>
      </c>
      <c r="B5831" t="s">
        <v>18490</v>
      </c>
      <c r="C5831" t="s">
        <v>18491</v>
      </c>
      <c r="D5831" t="s">
        <v>18492</v>
      </c>
      <c r="E5831" t="s">
        <v>18493</v>
      </c>
      <c r="F5831" t="s">
        <v>18494</v>
      </c>
      <c r="G5831" s="2" t="str">
        <f>HYPERLINK("https://probpalata.gov.ru/files/ИП940403964400000.jpeg","Скачать индивидуальный QR-код магазина")</f>
        <v>Скачать индивидуальный QR-код магазина</v>
      </c>
    </row>
    <row r="5832" spans="1:7" x14ac:dyDescent="0.25">
      <c r="A5832" t="s">
        <v>18292</v>
      </c>
      <c r="B5832" t="s">
        <v>18495</v>
      </c>
      <c r="C5832" t="s">
        <v>18491</v>
      </c>
      <c r="D5832" t="s">
        <v>18492</v>
      </c>
      <c r="E5832" t="s">
        <v>18493</v>
      </c>
      <c r="F5832" t="s">
        <v>18496</v>
      </c>
      <c r="G5832" s="2" t="str">
        <f>HYPERLINK("https://probpalata.gov.ru/files/ИП940403964400001.jpeg","Скачать индивидуальный QR-код магазина")</f>
        <v>Скачать индивидуальный QR-код магазина</v>
      </c>
    </row>
    <row r="5833" spans="1:7" x14ac:dyDescent="0.25">
      <c r="A5833" t="s">
        <v>18292</v>
      </c>
      <c r="B5833" t="s">
        <v>18497</v>
      </c>
      <c r="C5833" t="s">
        <v>18498</v>
      </c>
      <c r="D5833" t="s">
        <v>18499</v>
      </c>
      <c r="E5833" t="s">
        <v>18500</v>
      </c>
      <c r="F5833" t="s">
        <v>18501</v>
      </c>
      <c r="G5833" s="2" t="str">
        <f>HYPERLINK("https://probpalata.gov.ru/files/П1010403383500000.jpeg","Скачать индивидуальный QR-код магазина")</f>
        <v>Скачать индивидуальный QR-код магазина</v>
      </c>
    </row>
    <row r="5834" spans="1:7" x14ac:dyDescent="0.25">
      <c r="A5834" t="s">
        <v>18292</v>
      </c>
      <c r="B5834" t="s">
        <v>18502</v>
      </c>
      <c r="C5834" t="s">
        <v>18503</v>
      </c>
      <c r="D5834" t="s">
        <v>18504</v>
      </c>
      <c r="E5834" t="s">
        <v>18505</v>
      </c>
      <c r="F5834" t="s">
        <v>18506</v>
      </c>
      <c r="G5834" s="2" t="str">
        <f>HYPERLINK("https://probpalata.gov.ru/files/ИП940403528300000.jpeg","Скачать индивидуальный QR-код магазина")</f>
        <v>Скачать индивидуальный QR-код магазина</v>
      </c>
    </row>
    <row r="5835" spans="1:7" x14ac:dyDescent="0.25">
      <c r="A5835" t="s">
        <v>18292</v>
      </c>
      <c r="B5835" t="s">
        <v>18507</v>
      </c>
      <c r="C5835" t="s">
        <v>18503</v>
      </c>
      <c r="D5835" t="s">
        <v>18504</v>
      </c>
      <c r="E5835" t="s">
        <v>18505</v>
      </c>
      <c r="F5835" t="s">
        <v>18508</v>
      </c>
      <c r="G5835" s="2" t="str">
        <f>HYPERLINK("https://probpalata.gov.ru/files/ИП940403528300001.jpeg","Скачать индивидуальный QR-код магазина")</f>
        <v>Скачать индивидуальный QR-код магазина</v>
      </c>
    </row>
    <row r="5836" spans="1:7" x14ac:dyDescent="0.25">
      <c r="A5836" t="s">
        <v>18292</v>
      </c>
      <c r="B5836" t="s">
        <v>18509</v>
      </c>
      <c r="C5836" t="s">
        <v>18503</v>
      </c>
      <c r="D5836" t="s">
        <v>18504</v>
      </c>
      <c r="E5836" t="s">
        <v>18505</v>
      </c>
      <c r="F5836" t="s">
        <v>18510</v>
      </c>
      <c r="G5836" s="2" t="str">
        <f>HYPERLINK("https://probpalata.gov.ru/files/ИП940403528300002.jpeg","Скачать индивидуальный QR-код магазина")</f>
        <v>Скачать индивидуальный QR-код магазина</v>
      </c>
    </row>
    <row r="5837" spans="1:7" x14ac:dyDescent="0.25">
      <c r="A5837" t="s">
        <v>18292</v>
      </c>
      <c r="B5837" t="s">
        <v>18511</v>
      </c>
      <c r="C5837" t="s">
        <v>18512</v>
      </c>
      <c r="D5837" t="s">
        <v>18513</v>
      </c>
      <c r="E5837" t="s">
        <v>18514</v>
      </c>
      <c r="F5837" t="s">
        <v>18515</v>
      </c>
      <c r="G5837" s="2" t="str">
        <f>HYPERLINK("https://probpalata.gov.ru/files/ИП940403529700000.jpeg","Скачать индивидуальный QR-код магазина")</f>
        <v>Скачать индивидуальный QR-код магазина</v>
      </c>
    </row>
    <row r="5838" spans="1:7" x14ac:dyDescent="0.25">
      <c r="A5838" t="s">
        <v>18292</v>
      </c>
      <c r="B5838" t="s">
        <v>18516</v>
      </c>
      <c r="C5838" t="s">
        <v>18512</v>
      </c>
      <c r="D5838" t="s">
        <v>18513</v>
      </c>
      <c r="E5838" t="s">
        <v>18514</v>
      </c>
      <c r="F5838" t="s">
        <v>18517</v>
      </c>
      <c r="G5838" s="2" t="str">
        <f>HYPERLINK("https://probpalata.gov.ru/files/ИП940403529700001.jpeg","Скачать индивидуальный QR-код магазина")</f>
        <v>Скачать индивидуальный QR-код магазина</v>
      </c>
    </row>
    <row r="5839" spans="1:7" x14ac:dyDescent="0.25">
      <c r="A5839" t="s">
        <v>18292</v>
      </c>
      <c r="B5839" t="s">
        <v>18518</v>
      </c>
      <c r="C5839" t="s">
        <v>18512</v>
      </c>
      <c r="D5839" t="s">
        <v>18513</v>
      </c>
      <c r="E5839" t="s">
        <v>18514</v>
      </c>
      <c r="F5839" t="s">
        <v>18519</v>
      </c>
      <c r="G5839" s="2" t="str">
        <f>HYPERLINK("https://probpalata.gov.ru/files/ИП940403529700002.jpeg","Скачать индивидуальный QR-код магазина")</f>
        <v>Скачать индивидуальный QR-код магазина</v>
      </c>
    </row>
    <row r="5840" spans="1:7" x14ac:dyDescent="0.25">
      <c r="A5840" t="s">
        <v>18292</v>
      </c>
      <c r="B5840" t="s">
        <v>18520</v>
      </c>
      <c r="C5840" t="s">
        <v>18512</v>
      </c>
      <c r="D5840" t="s">
        <v>18513</v>
      </c>
      <c r="E5840" t="s">
        <v>18514</v>
      </c>
      <c r="F5840" t="s">
        <v>18521</v>
      </c>
      <c r="G5840" s="2" t="str">
        <f>HYPERLINK("https://probpalata.gov.ru/files/ИП940403529700004.jpeg","Скачать индивидуальный QR-код магазина")</f>
        <v>Скачать индивидуальный QR-код магазина</v>
      </c>
    </row>
    <row r="5841" spans="1:7" x14ac:dyDescent="0.25">
      <c r="A5841" t="s">
        <v>18292</v>
      </c>
      <c r="B5841" t="s">
        <v>18522</v>
      </c>
      <c r="C5841" t="s">
        <v>18512</v>
      </c>
      <c r="D5841" t="s">
        <v>18513</v>
      </c>
      <c r="E5841" t="s">
        <v>18514</v>
      </c>
      <c r="F5841" t="s">
        <v>18523</v>
      </c>
      <c r="G5841" s="2" t="str">
        <f>HYPERLINK("https://probpalata.gov.ru/files/ИП940403529700005.jpeg","Скачать индивидуальный QR-код магазина")</f>
        <v>Скачать индивидуальный QR-код магазина</v>
      </c>
    </row>
    <row r="5842" spans="1:7" x14ac:dyDescent="0.25">
      <c r="A5842" t="s">
        <v>18292</v>
      </c>
      <c r="B5842" t="s">
        <v>18524</v>
      </c>
      <c r="C5842" t="s">
        <v>18525</v>
      </c>
      <c r="D5842" t="s">
        <v>18526</v>
      </c>
      <c r="E5842" t="s">
        <v>18527</v>
      </c>
      <c r="F5842" t="s">
        <v>18528</v>
      </c>
      <c r="G5842" s="2" t="str">
        <f>HYPERLINK("https://probpalata.gov.ru/files/ИП940403772100000.jpeg","Скачать индивидуальный QR-код магазина")</f>
        <v>Скачать индивидуальный QR-код магазина</v>
      </c>
    </row>
    <row r="5843" spans="1:7" x14ac:dyDescent="0.25">
      <c r="A5843" t="s">
        <v>18292</v>
      </c>
      <c r="B5843" t="s">
        <v>18529</v>
      </c>
      <c r="C5843" t="s">
        <v>18530</v>
      </c>
      <c r="D5843" t="s">
        <v>18531</v>
      </c>
      <c r="E5843" t="s">
        <v>18532</v>
      </c>
      <c r="F5843" t="s">
        <v>18533</v>
      </c>
      <c r="G5843" s="2" t="str">
        <f>HYPERLINK("https://probpalata.gov.ru/files/ИП610403315300000.jpeg","Скачать индивидуальный QR-код магазина")</f>
        <v>Скачать индивидуальный QR-код магазина</v>
      </c>
    </row>
    <row r="5844" spans="1:7" x14ac:dyDescent="0.25">
      <c r="A5844" t="s">
        <v>18292</v>
      </c>
      <c r="B5844" t="s">
        <v>18534</v>
      </c>
      <c r="C5844" t="s">
        <v>18530</v>
      </c>
      <c r="D5844" t="s">
        <v>18531</v>
      </c>
      <c r="E5844" t="s">
        <v>18532</v>
      </c>
      <c r="F5844" t="s">
        <v>18535</v>
      </c>
      <c r="G5844" s="2" t="str">
        <f>HYPERLINK("https://probpalata.gov.ru/files/ИП610403315300002.jpeg","Скачать индивидуальный QR-код магазина")</f>
        <v>Скачать индивидуальный QR-код магазина</v>
      </c>
    </row>
    <row r="5845" spans="1:7" x14ac:dyDescent="0.25">
      <c r="A5845" t="s">
        <v>18292</v>
      </c>
      <c r="B5845" t="s">
        <v>18293</v>
      </c>
      <c r="C5845" t="s">
        <v>18536</v>
      </c>
      <c r="D5845" t="s">
        <v>18537</v>
      </c>
      <c r="E5845" t="s">
        <v>18538</v>
      </c>
      <c r="F5845" t="s">
        <v>18539</v>
      </c>
      <c r="G5845" s="2" t="str">
        <f>HYPERLINK("https://probpalata.gov.ru/files/ИП940403910800000.jpeg","Скачать индивидуальный QR-код магазина")</f>
        <v>Скачать индивидуальный QR-код магазина</v>
      </c>
    </row>
    <row r="5846" spans="1:7" x14ac:dyDescent="0.25">
      <c r="A5846" t="s">
        <v>18292</v>
      </c>
      <c r="B5846" t="s">
        <v>18412</v>
      </c>
      <c r="C5846" t="s">
        <v>18540</v>
      </c>
      <c r="D5846" t="s">
        <v>18541</v>
      </c>
      <c r="E5846" t="s">
        <v>18542</v>
      </c>
      <c r="F5846" t="s">
        <v>18543</v>
      </c>
      <c r="G5846" s="2" t="str">
        <f>HYPERLINK("https://probpalata.gov.ru/files/ИП910403773200000.jpeg","Скачать индивидуальный QR-код магазина")</f>
        <v>Скачать индивидуальный QR-код магазина</v>
      </c>
    </row>
    <row r="5847" spans="1:7" x14ac:dyDescent="0.25">
      <c r="A5847" t="s">
        <v>18292</v>
      </c>
      <c r="B5847" t="s">
        <v>18419</v>
      </c>
      <c r="C5847" t="s">
        <v>18540</v>
      </c>
      <c r="D5847" t="s">
        <v>18541</v>
      </c>
      <c r="E5847" t="s">
        <v>18542</v>
      </c>
      <c r="F5847" t="s">
        <v>18544</v>
      </c>
      <c r="G5847" s="2" t="str">
        <f>HYPERLINK("https://probpalata.gov.ru/files/ИП910403773200001.jpeg","Скачать индивидуальный QR-код магазина")</f>
        <v>Скачать индивидуальный QR-код магазина</v>
      </c>
    </row>
    <row r="5848" spans="1:7" x14ac:dyDescent="0.25">
      <c r="A5848" t="s">
        <v>18292</v>
      </c>
      <c r="B5848" t="s">
        <v>18421</v>
      </c>
      <c r="C5848" t="s">
        <v>18540</v>
      </c>
      <c r="D5848" t="s">
        <v>18541</v>
      </c>
      <c r="E5848" t="s">
        <v>18542</v>
      </c>
      <c r="F5848" t="s">
        <v>18545</v>
      </c>
      <c r="G5848" s="2" t="str">
        <f>HYPERLINK("https://probpalata.gov.ru/files/ИП910403773200002.jpeg","Скачать индивидуальный QR-код магазина")</f>
        <v>Скачать индивидуальный QR-код магазина</v>
      </c>
    </row>
    <row r="5849" spans="1:7" x14ac:dyDescent="0.25">
      <c r="A5849" t="s">
        <v>18292</v>
      </c>
      <c r="B5849" t="s">
        <v>18417</v>
      </c>
      <c r="C5849" t="s">
        <v>18540</v>
      </c>
      <c r="D5849" t="s">
        <v>18541</v>
      </c>
      <c r="E5849" t="s">
        <v>18542</v>
      </c>
      <c r="F5849" t="s">
        <v>18546</v>
      </c>
      <c r="G5849" s="2" t="str">
        <f>HYPERLINK("https://probpalata.gov.ru/files/ИП910403773200003.jpeg","Скачать индивидуальный QR-код магазина")</f>
        <v>Скачать индивидуальный QR-код магазина</v>
      </c>
    </row>
    <row r="5850" spans="1:7" x14ac:dyDescent="0.25">
      <c r="A5850" t="s">
        <v>18292</v>
      </c>
      <c r="B5850" t="s">
        <v>18547</v>
      </c>
      <c r="C5850" t="s">
        <v>18540</v>
      </c>
      <c r="D5850" t="s">
        <v>18541</v>
      </c>
      <c r="E5850" t="s">
        <v>18542</v>
      </c>
      <c r="F5850" t="s">
        <v>18548</v>
      </c>
      <c r="G5850" s="2" t="str">
        <f>HYPERLINK("https://probpalata.gov.ru/files/ИП910403773200004.jpeg","Скачать индивидуальный QR-код магазина")</f>
        <v>Скачать индивидуальный QR-код магазина</v>
      </c>
    </row>
    <row r="5851" spans="1:7" x14ac:dyDescent="0.25">
      <c r="A5851" t="s">
        <v>18292</v>
      </c>
      <c r="B5851" t="s">
        <v>18549</v>
      </c>
      <c r="C5851" t="s">
        <v>18540</v>
      </c>
      <c r="D5851" t="s">
        <v>18541</v>
      </c>
      <c r="E5851" t="s">
        <v>18542</v>
      </c>
      <c r="F5851" t="s">
        <v>18550</v>
      </c>
      <c r="G5851" s="2" t="str">
        <f>HYPERLINK("https://probpalata.gov.ru/files/ИП910403773200005.jpeg","Скачать индивидуальный QR-код магазина")</f>
        <v>Скачать индивидуальный QR-код магазина</v>
      </c>
    </row>
    <row r="5852" spans="1:7" x14ac:dyDescent="0.25">
      <c r="A5852" t="s">
        <v>18292</v>
      </c>
      <c r="B5852" t="s">
        <v>18551</v>
      </c>
      <c r="C5852" t="s">
        <v>18552</v>
      </c>
      <c r="D5852" t="s">
        <v>18553</v>
      </c>
      <c r="E5852" t="s">
        <v>18554</v>
      </c>
      <c r="F5852" t="s">
        <v>18555</v>
      </c>
      <c r="G5852" s="2" t="str">
        <f>HYPERLINK("https://probpalata.gov.ru/files/ИП940403957800000.jpeg","Скачать индивидуальный QR-код магазина")</f>
        <v>Скачать индивидуальный QR-код магазина</v>
      </c>
    </row>
    <row r="5853" spans="1:7" x14ac:dyDescent="0.25">
      <c r="A5853" t="s">
        <v>18292</v>
      </c>
      <c r="B5853" t="s">
        <v>18556</v>
      </c>
      <c r="C5853" t="s">
        <v>18557</v>
      </c>
      <c r="D5853" t="s">
        <v>18558</v>
      </c>
      <c r="E5853" t="s">
        <v>18559</v>
      </c>
      <c r="F5853" t="s">
        <v>18560</v>
      </c>
      <c r="G5853" s="2" t="str">
        <f>HYPERLINK("https://probpalata.gov.ru/files/ИП820403159700000.jpeg","Скачать индивидуальный QR-код магазина")</f>
        <v>Скачать индивидуальный QR-код магазина</v>
      </c>
    </row>
    <row r="5854" spans="1:7" x14ac:dyDescent="0.25">
      <c r="A5854" t="s">
        <v>18292</v>
      </c>
      <c r="B5854" t="s">
        <v>18561</v>
      </c>
      <c r="C5854" t="s">
        <v>18562</v>
      </c>
      <c r="D5854" t="s">
        <v>18563</v>
      </c>
      <c r="E5854" t="s">
        <v>18564</v>
      </c>
      <c r="F5854" t="s">
        <v>18565</v>
      </c>
      <c r="G5854" s="2" t="str">
        <f>HYPERLINK("https://probpalata.gov.ru/files/ИП940403614800000.jpeg","Скачать индивидуальный QR-код магазина")</f>
        <v>Скачать индивидуальный QR-код магазина</v>
      </c>
    </row>
    <row r="5855" spans="1:7" x14ac:dyDescent="0.25">
      <c r="A5855" t="s">
        <v>18292</v>
      </c>
      <c r="B5855" t="s">
        <v>18566</v>
      </c>
      <c r="C5855" t="s">
        <v>18562</v>
      </c>
      <c r="D5855" t="s">
        <v>18563</v>
      </c>
      <c r="E5855" t="s">
        <v>18564</v>
      </c>
      <c r="F5855" t="s">
        <v>18567</v>
      </c>
      <c r="G5855" s="2" t="str">
        <f>HYPERLINK("https://probpalata.gov.ru/files/ИП940403614800001.jpeg","Скачать индивидуальный QR-код магазина")</f>
        <v>Скачать индивидуальный QR-код магазина</v>
      </c>
    </row>
    <row r="5856" spans="1:7" x14ac:dyDescent="0.25">
      <c r="A5856" t="s">
        <v>18292</v>
      </c>
      <c r="B5856" t="s">
        <v>18568</v>
      </c>
      <c r="C5856" t="s">
        <v>18569</v>
      </c>
      <c r="D5856" t="s">
        <v>18570</v>
      </c>
      <c r="E5856" t="s">
        <v>18571</v>
      </c>
      <c r="F5856" t="s">
        <v>18572</v>
      </c>
      <c r="G5856" s="2" t="str">
        <f>HYPERLINK("https://probpalata.gov.ru/files/ИП940403527900001.jpeg","Скачать индивидуальный QR-код магазина")</f>
        <v>Скачать индивидуальный QR-код магазина</v>
      </c>
    </row>
    <row r="5857" spans="1:7" x14ac:dyDescent="0.25">
      <c r="A5857" t="s">
        <v>18292</v>
      </c>
      <c r="B5857" t="s">
        <v>18573</v>
      </c>
      <c r="C5857" t="s">
        <v>18569</v>
      </c>
      <c r="D5857" t="s">
        <v>18570</v>
      </c>
      <c r="E5857" t="s">
        <v>18571</v>
      </c>
      <c r="F5857" t="s">
        <v>18574</v>
      </c>
      <c r="G5857" s="2" t="str">
        <f>HYPERLINK("https://probpalata.gov.ru/files/ИП940403527900002.jpeg","Скачать индивидуальный QR-код магазина")</f>
        <v>Скачать индивидуальный QR-код магазина</v>
      </c>
    </row>
    <row r="5858" spans="1:7" x14ac:dyDescent="0.25">
      <c r="A5858" t="s">
        <v>18292</v>
      </c>
      <c r="B5858" t="s">
        <v>18575</v>
      </c>
      <c r="C5858" t="s">
        <v>18569</v>
      </c>
      <c r="D5858" t="s">
        <v>18570</v>
      </c>
      <c r="E5858" t="s">
        <v>18571</v>
      </c>
      <c r="F5858" t="s">
        <v>18576</v>
      </c>
      <c r="G5858" s="2" t="str">
        <f>HYPERLINK("https://probpalata.gov.ru/files/ИП940403527900003.jpeg","Скачать индивидуальный QR-код магазина")</f>
        <v>Скачать индивидуальный QR-код магазина</v>
      </c>
    </row>
    <row r="5859" spans="1:7" x14ac:dyDescent="0.25">
      <c r="A5859" t="s">
        <v>18292</v>
      </c>
      <c r="B5859" t="s">
        <v>18577</v>
      </c>
      <c r="C5859" t="s">
        <v>18569</v>
      </c>
      <c r="D5859" t="s">
        <v>18570</v>
      </c>
      <c r="E5859" t="s">
        <v>18571</v>
      </c>
      <c r="F5859" t="s">
        <v>18578</v>
      </c>
      <c r="G5859" s="2" t="str">
        <f>HYPERLINK("https://probpalata.gov.ru/files/ИП940403527900005.jpeg","Скачать индивидуальный QR-код магазина")</f>
        <v>Скачать индивидуальный QR-код магазина</v>
      </c>
    </row>
    <row r="5860" spans="1:7" x14ac:dyDescent="0.25">
      <c r="A5860" t="s">
        <v>18292</v>
      </c>
      <c r="B5860" t="s">
        <v>18579</v>
      </c>
      <c r="C5860" t="s">
        <v>18569</v>
      </c>
      <c r="D5860" t="s">
        <v>18570</v>
      </c>
      <c r="E5860" t="s">
        <v>18571</v>
      </c>
      <c r="F5860" t="s">
        <v>18580</v>
      </c>
      <c r="G5860" s="2" t="str">
        <f>HYPERLINK("https://probpalata.gov.ru/files/ИП940403527900007.jpeg","Скачать индивидуальный QR-код магазина")</f>
        <v>Скачать индивидуальный QR-код магазина</v>
      </c>
    </row>
    <row r="5861" spans="1:7" x14ac:dyDescent="0.25">
      <c r="A5861" t="s">
        <v>18292</v>
      </c>
      <c r="B5861" t="s">
        <v>18581</v>
      </c>
      <c r="C5861" t="s">
        <v>18582</v>
      </c>
      <c r="D5861" t="s">
        <v>18583</v>
      </c>
      <c r="E5861" t="s">
        <v>18584</v>
      </c>
      <c r="F5861" t="s">
        <v>18585</v>
      </c>
      <c r="G5861" s="2" t="str">
        <f>HYPERLINK("https://probpalata.gov.ru/files/ИП940403620000000.jpeg","Скачать индивидуальный QR-код магазина")</f>
        <v>Скачать индивидуальный QR-код магазина</v>
      </c>
    </row>
    <row r="5862" spans="1:7" x14ac:dyDescent="0.25">
      <c r="A5862" t="s">
        <v>18292</v>
      </c>
      <c r="B5862" t="s">
        <v>18581</v>
      </c>
      <c r="C5862" t="s">
        <v>18586</v>
      </c>
      <c r="D5862" t="s">
        <v>18587</v>
      </c>
      <c r="E5862" t="s">
        <v>18588</v>
      </c>
      <c r="F5862" t="s">
        <v>18589</v>
      </c>
      <c r="G5862" s="2" t="str">
        <f>HYPERLINK("https://probpalata.gov.ru/files/ИП940403687700000.jpeg","Скачать индивидуальный QR-код магазина")</f>
        <v>Скачать индивидуальный QR-код магазина</v>
      </c>
    </row>
    <row r="5863" spans="1:7" x14ac:dyDescent="0.25">
      <c r="A5863" t="s">
        <v>18292</v>
      </c>
      <c r="B5863" t="s">
        <v>18590</v>
      </c>
      <c r="C5863" t="s">
        <v>18591</v>
      </c>
      <c r="D5863" t="s">
        <v>18592</v>
      </c>
      <c r="E5863" t="s">
        <v>18593</v>
      </c>
      <c r="F5863" t="s">
        <v>18594</v>
      </c>
      <c r="G5863" s="2" t="str">
        <f>HYPERLINK("https://probpalata.gov.ru/files/ИП940403884200000.jpeg","Скачать индивидуальный QR-код магазина")</f>
        <v>Скачать индивидуальный QR-код магазина</v>
      </c>
    </row>
    <row r="5864" spans="1:7" x14ac:dyDescent="0.25">
      <c r="A5864" t="s">
        <v>18292</v>
      </c>
      <c r="B5864" t="s">
        <v>18595</v>
      </c>
      <c r="C5864" t="s">
        <v>18596</v>
      </c>
      <c r="D5864" t="s">
        <v>18597</v>
      </c>
      <c r="E5864" t="s">
        <v>18598</v>
      </c>
      <c r="F5864" t="s">
        <v>18599</v>
      </c>
      <c r="G5864" s="2" t="str">
        <f>HYPERLINK("https://probpalata.gov.ru/files/ИП940403614900000.jpeg","Скачать индивидуальный QR-код магазина")</f>
        <v>Скачать индивидуальный QR-код магазина</v>
      </c>
    </row>
    <row r="5865" spans="1:7" x14ac:dyDescent="0.25">
      <c r="A5865" t="s">
        <v>18292</v>
      </c>
      <c r="B5865" t="s">
        <v>18600</v>
      </c>
      <c r="C5865" t="s">
        <v>18601</v>
      </c>
      <c r="D5865" t="s">
        <v>18602</v>
      </c>
      <c r="E5865" t="s">
        <v>18603</v>
      </c>
      <c r="F5865" t="s">
        <v>18604</v>
      </c>
      <c r="G5865" s="2" t="str">
        <f>HYPERLINK("https://probpalata.gov.ru/files/ИП940403527500000.jpeg","Скачать индивидуальный QR-код магазина")</f>
        <v>Скачать индивидуальный QR-код магазина</v>
      </c>
    </row>
    <row r="5866" spans="1:7" x14ac:dyDescent="0.25">
      <c r="A5866" t="s">
        <v>18292</v>
      </c>
      <c r="B5866" t="s">
        <v>18605</v>
      </c>
      <c r="C5866" t="s">
        <v>18601</v>
      </c>
      <c r="D5866" t="s">
        <v>18602</v>
      </c>
      <c r="E5866" t="s">
        <v>18603</v>
      </c>
      <c r="F5866" t="s">
        <v>18606</v>
      </c>
      <c r="G5866" s="2" t="str">
        <f>HYPERLINK("https://probpalata.gov.ru/files/ИП940403527500001.jpeg","Скачать индивидуальный QR-код магазина")</f>
        <v>Скачать индивидуальный QR-код магазина</v>
      </c>
    </row>
    <row r="5867" spans="1:7" x14ac:dyDescent="0.25">
      <c r="A5867" t="s">
        <v>18292</v>
      </c>
      <c r="B5867" t="s">
        <v>18607</v>
      </c>
      <c r="C5867" t="s">
        <v>18608</v>
      </c>
      <c r="D5867" t="s">
        <v>18609</v>
      </c>
      <c r="E5867" t="s">
        <v>18610</v>
      </c>
      <c r="F5867" t="s">
        <v>18611</v>
      </c>
      <c r="G5867" s="2" t="str">
        <f>HYPERLINK("https://probpalata.gov.ru/files/ИП940403742600000.jpeg","Скачать индивидуальный QR-код магазина")</f>
        <v>Скачать индивидуальный QR-код магазина</v>
      </c>
    </row>
    <row r="5868" spans="1:7" x14ac:dyDescent="0.25">
      <c r="A5868" t="s">
        <v>18292</v>
      </c>
      <c r="B5868" t="s">
        <v>18612</v>
      </c>
      <c r="C5868" t="s">
        <v>18608</v>
      </c>
      <c r="D5868" t="s">
        <v>18609</v>
      </c>
      <c r="E5868" t="s">
        <v>18610</v>
      </c>
      <c r="F5868" t="s">
        <v>18613</v>
      </c>
      <c r="G5868" s="2" t="str">
        <f>HYPERLINK("https://probpalata.gov.ru/files/ИП940403742600001.jpeg","Скачать индивидуальный QR-код магазина")</f>
        <v>Скачать индивидуальный QR-код магазина</v>
      </c>
    </row>
    <row r="5869" spans="1:7" x14ac:dyDescent="0.25">
      <c r="A5869" t="s">
        <v>18292</v>
      </c>
      <c r="B5869" t="s">
        <v>18614</v>
      </c>
      <c r="C5869" t="s">
        <v>18615</v>
      </c>
      <c r="D5869" t="s">
        <v>18616</v>
      </c>
      <c r="E5869" t="s">
        <v>18617</v>
      </c>
      <c r="F5869" t="s">
        <v>18618</v>
      </c>
      <c r="G5869" s="2" t="str">
        <f>HYPERLINK("https://probpalata.gov.ru/files/ИП940403570300000.jpeg","Скачать индивидуальный QR-код магазина")</f>
        <v>Скачать индивидуальный QR-код магазина</v>
      </c>
    </row>
    <row r="5870" spans="1:7" x14ac:dyDescent="0.25">
      <c r="A5870" t="s">
        <v>18292</v>
      </c>
      <c r="B5870" t="s">
        <v>18619</v>
      </c>
      <c r="C5870" t="s">
        <v>18620</v>
      </c>
      <c r="D5870" t="s">
        <v>18621</v>
      </c>
      <c r="E5870" t="s">
        <v>18622</v>
      </c>
      <c r="F5870" t="s">
        <v>18623</v>
      </c>
      <c r="G5870" s="2" t="str">
        <f>HYPERLINK("https://probpalata.gov.ru/files/ИП940404015800000.jpeg","Скачать индивидуальный QR-код магазина")</f>
        <v>Скачать индивидуальный QR-код магазина</v>
      </c>
    </row>
    <row r="5871" spans="1:7" x14ac:dyDescent="0.25">
      <c r="A5871" t="s">
        <v>18292</v>
      </c>
      <c r="B5871" t="s">
        <v>18624</v>
      </c>
      <c r="C5871" t="s">
        <v>18625</v>
      </c>
      <c r="D5871" t="s">
        <v>18626</v>
      </c>
      <c r="E5871" t="s">
        <v>18627</v>
      </c>
      <c r="F5871" t="s">
        <v>18628</v>
      </c>
      <c r="G5871" s="2" t="str">
        <f>HYPERLINK("https://probpalata.gov.ru/files/ИП940403872100000.jpeg","Скачать индивидуальный QR-код магазина")</f>
        <v>Скачать индивидуальный QR-код магазина</v>
      </c>
    </row>
    <row r="5872" spans="1:7" x14ac:dyDescent="0.25">
      <c r="A5872" t="s">
        <v>18292</v>
      </c>
      <c r="B5872" t="s">
        <v>18629</v>
      </c>
      <c r="C5872" t="s">
        <v>18630</v>
      </c>
      <c r="D5872" t="s">
        <v>18631</v>
      </c>
      <c r="E5872" t="s">
        <v>18632</v>
      </c>
      <c r="F5872" t="s">
        <v>18633</v>
      </c>
      <c r="G5872" s="2" t="str">
        <f>HYPERLINK("https://probpalata.gov.ru/files/ИП940403642100000.jpeg","Скачать индивидуальный QR-код магазина")</f>
        <v>Скачать индивидуальный QR-код магазина</v>
      </c>
    </row>
    <row r="5873" spans="1:7" x14ac:dyDescent="0.25">
      <c r="A5873" t="s">
        <v>18292</v>
      </c>
      <c r="B5873" t="s">
        <v>18634</v>
      </c>
      <c r="C5873" t="s">
        <v>18635</v>
      </c>
      <c r="D5873" t="s">
        <v>18636</v>
      </c>
      <c r="E5873" t="s">
        <v>18637</v>
      </c>
      <c r="F5873" t="s">
        <v>18638</v>
      </c>
      <c r="G5873" s="2" t="str">
        <f>HYPERLINK("https://probpalata.gov.ru/files/ИП940403650200000.jpeg","Скачать индивидуальный QR-код магазина")</f>
        <v>Скачать индивидуальный QR-код магазина</v>
      </c>
    </row>
    <row r="5874" spans="1:7" x14ac:dyDescent="0.25">
      <c r="A5874" t="s">
        <v>18292</v>
      </c>
      <c r="B5874" t="s">
        <v>18432</v>
      </c>
      <c r="C5874" t="s">
        <v>18639</v>
      </c>
      <c r="D5874" t="s">
        <v>18640</v>
      </c>
      <c r="E5874" t="s">
        <v>18641</v>
      </c>
      <c r="F5874" t="s">
        <v>18642</v>
      </c>
      <c r="G5874" s="2" t="str">
        <f>HYPERLINK("https://probpalata.gov.ru/files/ИП940403677000000.jpeg","Скачать индивидуальный QR-код магазина")</f>
        <v>Скачать индивидуальный QR-код магазина</v>
      </c>
    </row>
    <row r="5875" spans="1:7" x14ac:dyDescent="0.25">
      <c r="A5875" t="s">
        <v>18292</v>
      </c>
      <c r="B5875" t="s">
        <v>18643</v>
      </c>
      <c r="C5875" t="s">
        <v>5946</v>
      </c>
      <c r="D5875" t="s">
        <v>5947</v>
      </c>
      <c r="E5875" t="s">
        <v>5948</v>
      </c>
      <c r="F5875" t="s">
        <v>18644</v>
      </c>
      <c r="G5875" s="2" t="str">
        <f>HYPERLINK("https://probpalata.gov.ru/files/ИП940403528000000.jpeg","Скачать индивидуальный QR-код магазина")</f>
        <v>Скачать индивидуальный QR-код магазина</v>
      </c>
    </row>
    <row r="5876" spans="1:7" x14ac:dyDescent="0.25">
      <c r="A5876" t="s">
        <v>18292</v>
      </c>
      <c r="B5876" t="s">
        <v>18645</v>
      </c>
      <c r="C5876" t="s">
        <v>5946</v>
      </c>
      <c r="D5876" t="s">
        <v>5947</v>
      </c>
      <c r="E5876" t="s">
        <v>5948</v>
      </c>
      <c r="F5876" t="s">
        <v>18646</v>
      </c>
      <c r="G5876" s="2" t="str">
        <f>HYPERLINK("https://probpalata.gov.ru/files/ИП940403528000001.jpeg","Скачать индивидуальный QR-код магазина")</f>
        <v>Скачать индивидуальный QR-код магазина</v>
      </c>
    </row>
    <row r="5877" spans="1:7" x14ac:dyDescent="0.25">
      <c r="A5877" t="s">
        <v>18292</v>
      </c>
      <c r="B5877" t="s">
        <v>18647</v>
      </c>
      <c r="C5877" t="s">
        <v>5946</v>
      </c>
      <c r="D5877" t="s">
        <v>5947</v>
      </c>
      <c r="E5877" t="s">
        <v>5948</v>
      </c>
      <c r="F5877" t="s">
        <v>18648</v>
      </c>
      <c r="G5877" s="2" t="str">
        <f>HYPERLINK("https://probpalata.gov.ru/files/ИП940403528000002.jpeg","Скачать индивидуальный QR-код магазина")</f>
        <v>Скачать индивидуальный QR-код магазина</v>
      </c>
    </row>
    <row r="5878" spans="1:7" x14ac:dyDescent="0.25">
      <c r="A5878" t="s">
        <v>18292</v>
      </c>
      <c r="B5878" t="s">
        <v>18649</v>
      </c>
      <c r="C5878" t="s">
        <v>5946</v>
      </c>
      <c r="D5878" t="s">
        <v>5947</v>
      </c>
      <c r="E5878" t="s">
        <v>5948</v>
      </c>
      <c r="F5878" t="s">
        <v>18650</v>
      </c>
      <c r="G5878" s="2" t="str">
        <f>HYPERLINK("https://probpalata.gov.ru/files/ИП940403528000003.jpeg","Скачать индивидуальный QR-код магазина")</f>
        <v>Скачать индивидуальный QR-код магазина</v>
      </c>
    </row>
    <row r="5879" spans="1:7" x14ac:dyDescent="0.25">
      <c r="A5879" t="s">
        <v>18292</v>
      </c>
      <c r="B5879" t="s">
        <v>18651</v>
      </c>
      <c r="C5879" t="s">
        <v>18652</v>
      </c>
      <c r="D5879" t="s">
        <v>18653</v>
      </c>
      <c r="E5879" t="s">
        <v>18654</v>
      </c>
      <c r="F5879" t="s">
        <v>18655</v>
      </c>
      <c r="G5879" s="2" t="str">
        <f>HYPERLINK("https://probpalata.gov.ru/files/ЮЛ940403894900000.jpeg","Скачать индивидуальный QR-код магазина")</f>
        <v>Скачать индивидуальный QR-код магазина</v>
      </c>
    </row>
    <row r="5880" spans="1:7" x14ac:dyDescent="0.25">
      <c r="A5880" t="s">
        <v>18292</v>
      </c>
      <c r="B5880" t="s">
        <v>18656</v>
      </c>
      <c r="C5880" t="s">
        <v>18657</v>
      </c>
      <c r="D5880" t="s">
        <v>18658</v>
      </c>
      <c r="E5880" t="s">
        <v>18659</v>
      </c>
      <c r="F5880" t="s">
        <v>18660</v>
      </c>
      <c r="G5880" s="2" t="str">
        <f>HYPERLINK("https://probpalata.gov.ru/files/ИП940403527800000.jpeg","Скачать индивидуальный QR-код магазина")</f>
        <v>Скачать индивидуальный QR-код магазина</v>
      </c>
    </row>
    <row r="5881" spans="1:7" x14ac:dyDescent="0.25">
      <c r="A5881" t="s">
        <v>18292</v>
      </c>
      <c r="B5881" t="s">
        <v>18661</v>
      </c>
      <c r="C5881" t="s">
        <v>18662</v>
      </c>
      <c r="D5881" t="s">
        <v>18663</v>
      </c>
      <c r="E5881" t="s">
        <v>18664</v>
      </c>
      <c r="F5881" t="s">
        <v>18665</v>
      </c>
      <c r="G5881" s="2" t="str">
        <f>HYPERLINK("https://probpalata.gov.ru/files/ИП940403820900000.jpeg","Скачать индивидуальный QR-код магазина")</f>
        <v>Скачать индивидуальный QR-код магазина</v>
      </c>
    </row>
    <row r="5882" spans="1:7" x14ac:dyDescent="0.25">
      <c r="A5882" t="s">
        <v>18292</v>
      </c>
      <c r="B5882" t="s">
        <v>18666</v>
      </c>
      <c r="C5882" t="s">
        <v>18662</v>
      </c>
      <c r="D5882" t="s">
        <v>18663</v>
      </c>
      <c r="E5882" t="s">
        <v>18664</v>
      </c>
      <c r="F5882" t="s">
        <v>18667</v>
      </c>
      <c r="G5882" s="2" t="str">
        <f>HYPERLINK("https://probpalata.gov.ru/files/ИП940403820900003.jpeg","Скачать индивидуальный QR-код магазина")</f>
        <v>Скачать индивидуальный QR-код магазина</v>
      </c>
    </row>
    <row r="5883" spans="1:7" x14ac:dyDescent="0.25">
      <c r="A5883" t="s">
        <v>18292</v>
      </c>
      <c r="B5883" t="s">
        <v>18668</v>
      </c>
      <c r="C5883" t="s">
        <v>18662</v>
      </c>
      <c r="D5883" t="s">
        <v>18663</v>
      </c>
      <c r="E5883" t="s">
        <v>18664</v>
      </c>
      <c r="F5883" t="s">
        <v>18669</v>
      </c>
      <c r="G5883" s="2" t="str">
        <f>HYPERLINK("https://probpalata.gov.ru/files/ИП940403820900004.jpeg","Скачать индивидуальный QR-код магазина")</f>
        <v>Скачать индивидуальный QR-код магазина</v>
      </c>
    </row>
    <row r="5884" spans="1:7" x14ac:dyDescent="0.25">
      <c r="A5884" t="s">
        <v>18292</v>
      </c>
      <c r="B5884" t="s">
        <v>18670</v>
      </c>
      <c r="C5884" t="s">
        <v>18671</v>
      </c>
      <c r="D5884" t="s">
        <v>18672</v>
      </c>
      <c r="E5884" t="s">
        <v>18673</v>
      </c>
      <c r="F5884" t="s">
        <v>18674</v>
      </c>
      <c r="G5884" s="2" t="str">
        <f>HYPERLINK("https://probpalata.gov.ru/files/П1010403481200000.jpeg","Скачать индивидуальный QR-код магазина")</f>
        <v>Скачать индивидуальный QR-код магазина</v>
      </c>
    </row>
    <row r="5885" spans="1:7" x14ac:dyDescent="0.25">
      <c r="A5885" t="s">
        <v>18292</v>
      </c>
      <c r="B5885" t="s">
        <v>18417</v>
      </c>
      <c r="C5885" t="s">
        <v>18675</v>
      </c>
      <c r="D5885" t="s">
        <v>18676</v>
      </c>
      <c r="E5885" t="s">
        <v>18677</v>
      </c>
      <c r="F5885" t="s">
        <v>18678</v>
      </c>
      <c r="G5885" s="2" t="str">
        <f>HYPERLINK("https://probpalata.gov.ru/files/ИП940403628100000.jpeg","Скачать индивидуальный QR-код магазина")</f>
        <v>Скачать индивидуальный QR-код магазина</v>
      </c>
    </row>
    <row r="5886" spans="1:7" x14ac:dyDescent="0.25">
      <c r="A5886" t="s">
        <v>18292</v>
      </c>
      <c r="B5886" t="s">
        <v>18679</v>
      </c>
      <c r="C5886" t="s">
        <v>18680</v>
      </c>
      <c r="D5886" t="s">
        <v>18681</v>
      </c>
      <c r="E5886" t="s">
        <v>18682</v>
      </c>
      <c r="F5886" t="s">
        <v>18683</v>
      </c>
      <c r="G5886" s="2" t="str">
        <f>HYPERLINK("https://probpalata.gov.ru/files/П1010403358300000.jpeg","Скачать индивидуальный QR-код магазина")</f>
        <v>Скачать индивидуальный QR-код магазина</v>
      </c>
    </row>
    <row r="5887" spans="1:7" x14ac:dyDescent="0.25">
      <c r="A5887" t="s">
        <v>18292</v>
      </c>
      <c r="B5887" t="s">
        <v>18684</v>
      </c>
      <c r="C5887" t="s">
        <v>18685</v>
      </c>
      <c r="D5887" t="s">
        <v>18686</v>
      </c>
      <c r="E5887" t="s">
        <v>18687</v>
      </c>
      <c r="F5887" t="s">
        <v>18688</v>
      </c>
      <c r="G5887" s="2" t="str">
        <f>HYPERLINK("https://probpalata.gov.ru/files/ЮЛ940403526200000.jpeg","Скачать индивидуальный QR-код магазина")</f>
        <v>Скачать индивидуальный QR-код магазина</v>
      </c>
    </row>
    <row r="5888" spans="1:7" x14ac:dyDescent="0.25">
      <c r="A5888" t="s">
        <v>18292</v>
      </c>
      <c r="B5888" t="s">
        <v>18689</v>
      </c>
      <c r="C5888" t="s">
        <v>18685</v>
      </c>
      <c r="D5888" t="s">
        <v>18686</v>
      </c>
      <c r="E5888" t="s">
        <v>18687</v>
      </c>
      <c r="F5888" t="s">
        <v>18690</v>
      </c>
      <c r="G5888" s="2" t="str">
        <f>HYPERLINK("https://probpalata.gov.ru/files/ЮЛ940403526200002.jpeg","Скачать индивидуальный QR-код магазина")</f>
        <v>Скачать индивидуальный QR-код магазина</v>
      </c>
    </row>
    <row r="5889" spans="1:7" x14ac:dyDescent="0.25">
      <c r="A5889" t="s">
        <v>18292</v>
      </c>
      <c r="B5889" t="s">
        <v>18691</v>
      </c>
      <c r="C5889" t="s">
        <v>18685</v>
      </c>
      <c r="D5889" t="s">
        <v>18686</v>
      </c>
      <c r="E5889" t="s">
        <v>18687</v>
      </c>
      <c r="F5889" t="s">
        <v>18692</v>
      </c>
      <c r="G5889" s="2" t="str">
        <f>HYPERLINK("https://probpalata.gov.ru/files/ЮЛ940403526200003.jpeg","Скачать индивидуальный QR-код магазина")</f>
        <v>Скачать индивидуальный QR-код магазина</v>
      </c>
    </row>
    <row r="5890" spans="1:7" x14ac:dyDescent="0.25">
      <c r="A5890" t="s">
        <v>18292</v>
      </c>
      <c r="B5890" t="s">
        <v>18693</v>
      </c>
      <c r="C5890" t="s">
        <v>18694</v>
      </c>
      <c r="D5890" t="s">
        <v>18695</v>
      </c>
      <c r="E5890" t="s">
        <v>18696</v>
      </c>
      <c r="F5890" t="s">
        <v>18697</v>
      </c>
      <c r="G5890" s="2" t="str">
        <f>HYPERLINK("https://probpalata.gov.ru/files/ИП940403659500000.jpeg","Скачать индивидуальный QR-код магазина")</f>
        <v>Скачать индивидуальный QR-код магазина</v>
      </c>
    </row>
    <row r="5891" spans="1:7" x14ac:dyDescent="0.25">
      <c r="A5891" t="s">
        <v>18292</v>
      </c>
      <c r="B5891" t="s">
        <v>18698</v>
      </c>
      <c r="C5891" t="s">
        <v>18699</v>
      </c>
      <c r="D5891" t="s">
        <v>18700</v>
      </c>
      <c r="E5891" t="s">
        <v>18701</v>
      </c>
      <c r="F5891" t="s">
        <v>18702</v>
      </c>
      <c r="G5891" s="2" t="str">
        <f>HYPERLINK("https://probpalata.gov.ru/files/ИП940403794700000.jpeg","Скачать индивидуальный QR-код магазина")</f>
        <v>Скачать индивидуальный QR-код магазина</v>
      </c>
    </row>
    <row r="5892" spans="1:7" x14ac:dyDescent="0.25">
      <c r="A5892" t="s">
        <v>18292</v>
      </c>
      <c r="B5892" t="s">
        <v>18703</v>
      </c>
      <c r="C5892" t="s">
        <v>18699</v>
      </c>
      <c r="D5892" t="s">
        <v>18700</v>
      </c>
      <c r="E5892" t="s">
        <v>18701</v>
      </c>
      <c r="F5892" t="s">
        <v>18704</v>
      </c>
      <c r="G5892" s="2" t="str">
        <f>HYPERLINK("https://probpalata.gov.ru/files/ИП940403794700001.jpeg","Скачать индивидуальный QR-код магазина")</f>
        <v>Скачать индивидуальный QR-код магазина</v>
      </c>
    </row>
    <row r="5893" spans="1:7" x14ac:dyDescent="0.25">
      <c r="A5893" t="s">
        <v>18292</v>
      </c>
      <c r="B5893" t="s">
        <v>18705</v>
      </c>
      <c r="C5893" t="s">
        <v>18706</v>
      </c>
      <c r="D5893" t="s">
        <v>18707</v>
      </c>
      <c r="E5893" t="s">
        <v>18708</v>
      </c>
      <c r="F5893" t="s">
        <v>18709</v>
      </c>
      <c r="G5893" s="2" t="str">
        <f>HYPERLINK("https://probpalata.gov.ru/files/ИП940403794400000.jpeg","Скачать индивидуальный QR-код магазина")</f>
        <v>Скачать индивидуальный QR-код магазина</v>
      </c>
    </row>
    <row r="5894" spans="1:7" x14ac:dyDescent="0.25">
      <c r="A5894" t="s">
        <v>18292</v>
      </c>
      <c r="B5894" t="s">
        <v>18710</v>
      </c>
      <c r="C5894" t="s">
        <v>18706</v>
      </c>
      <c r="D5894" t="s">
        <v>18707</v>
      </c>
      <c r="E5894" t="s">
        <v>18708</v>
      </c>
      <c r="F5894" t="s">
        <v>18711</v>
      </c>
      <c r="G5894" s="2" t="str">
        <f>HYPERLINK("https://probpalata.gov.ru/files/ИП940403794400001.jpeg","Скачать индивидуальный QR-код магазина")</f>
        <v>Скачать индивидуальный QR-код магазина</v>
      </c>
    </row>
    <row r="5895" spans="1:7" x14ac:dyDescent="0.25">
      <c r="A5895" t="s">
        <v>18292</v>
      </c>
      <c r="B5895" t="s">
        <v>18712</v>
      </c>
      <c r="C5895" t="s">
        <v>18706</v>
      </c>
      <c r="D5895" t="s">
        <v>18707</v>
      </c>
      <c r="E5895" t="s">
        <v>18708</v>
      </c>
      <c r="F5895" t="s">
        <v>18713</v>
      </c>
      <c r="G5895" s="2" t="str">
        <f>HYPERLINK("https://probpalata.gov.ru/files/ИП940403794400002.jpeg","Скачать индивидуальный QR-код магазина")</f>
        <v>Скачать индивидуальный QR-код магазина</v>
      </c>
    </row>
    <row r="5896" spans="1:7" x14ac:dyDescent="0.25">
      <c r="A5896" t="s">
        <v>18292</v>
      </c>
      <c r="B5896" t="s">
        <v>18714</v>
      </c>
      <c r="C5896" t="s">
        <v>18715</v>
      </c>
      <c r="D5896" t="s">
        <v>18716</v>
      </c>
      <c r="E5896" t="s">
        <v>18717</v>
      </c>
      <c r="F5896" t="s">
        <v>18718</v>
      </c>
      <c r="G5896" s="2" t="str">
        <f>HYPERLINK("https://probpalata.gov.ru/files/ИП940403894700000.jpeg","Скачать индивидуальный QR-код магазина")</f>
        <v>Скачать индивидуальный QR-код магазина</v>
      </c>
    </row>
    <row r="5897" spans="1:7" x14ac:dyDescent="0.25">
      <c r="A5897" t="s">
        <v>18292</v>
      </c>
      <c r="B5897" t="s">
        <v>18719</v>
      </c>
      <c r="C5897" t="s">
        <v>18720</v>
      </c>
      <c r="D5897" t="s">
        <v>18721</v>
      </c>
      <c r="E5897" t="s">
        <v>18722</v>
      </c>
      <c r="F5897" t="s">
        <v>18723</v>
      </c>
      <c r="G5897" s="2" t="str">
        <f>HYPERLINK("https://probpalata.gov.ru/files/ИП940403944500000.jpeg","Скачать индивидуальный QR-код магазина")</f>
        <v>Скачать индивидуальный QR-код магазина</v>
      </c>
    </row>
    <row r="5898" spans="1:7" x14ac:dyDescent="0.25">
      <c r="A5898" t="s">
        <v>18292</v>
      </c>
      <c r="B5898" t="s">
        <v>18724</v>
      </c>
      <c r="C5898" t="s">
        <v>18720</v>
      </c>
      <c r="D5898" t="s">
        <v>18721</v>
      </c>
      <c r="E5898" t="s">
        <v>18722</v>
      </c>
      <c r="F5898" t="s">
        <v>18725</v>
      </c>
      <c r="G5898" s="2" t="str">
        <f>HYPERLINK("https://probpalata.gov.ru/files/ИП940403944500001.jpeg","Скачать индивидуальный QR-код магазина")</f>
        <v>Скачать индивидуальный QR-код магазина</v>
      </c>
    </row>
    <row r="5899" spans="1:7" x14ac:dyDescent="0.25">
      <c r="A5899" t="s">
        <v>18726</v>
      </c>
      <c r="B5899" t="s">
        <v>18727</v>
      </c>
      <c r="C5899" t="s">
        <v>18728</v>
      </c>
      <c r="D5899" t="s">
        <v>18729</v>
      </c>
      <c r="E5899" t="s">
        <v>18730</v>
      </c>
      <c r="F5899" t="s">
        <v>18731</v>
      </c>
      <c r="G5899" s="2" t="str">
        <f>HYPERLINK("https://probpalata.gov.ru/files/ЮЛ490903525600000.jpeg","Скачать индивидуальный QR-код магазина")</f>
        <v>Скачать индивидуальный QR-код магазина</v>
      </c>
    </row>
    <row r="5900" spans="1:7" x14ac:dyDescent="0.25">
      <c r="A5900" t="s">
        <v>18726</v>
      </c>
      <c r="B5900" t="s">
        <v>18732</v>
      </c>
      <c r="C5900" t="s">
        <v>18728</v>
      </c>
      <c r="D5900" t="s">
        <v>18729</v>
      </c>
      <c r="E5900" t="s">
        <v>18730</v>
      </c>
      <c r="F5900" t="s">
        <v>18733</v>
      </c>
      <c r="G5900" s="2" t="str">
        <f>HYPERLINK("https://probpalata.gov.ru/files/ЮЛ490903525600001.jpeg","Скачать индивидуальный QR-код магазина")</f>
        <v>Скачать индивидуальный QR-код магазина</v>
      </c>
    </row>
    <row r="5901" spans="1:7" x14ac:dyDescent="0.25">
      <c r="A5901" t="s">
        <v>18726</v>
      </c>
      <c r="B5901" t="s">
        <v>18734</v>
      </c>
      <c r="C5901" t="s">
        <v>18728</v>
      </c>
      <c r="D5901" t="s">
        <v>18729</v>
      </c>
      <c r="E5901" t="s">
        <v>18730</v>
      </c>
      <c r="F5901" t="s">
        <v>18735</v>
      </c>
      <c r="G5901" s="2" t="str">
        <f>HYPERLINK("https://probpalata.gov.ru/files/ЮЛ490903525600002.jpeg","Скачать индивидуальный QR-код магазина")</f>
        <v>Скачать индивидуальный QR-код магазина</v>
      </c>
    </row>
    <row r="5902" spans="1:7" x14ac:dyDescent="0.25">
      <c r="A5902" t="s">
        <v>18726</v>
      </c>
      <c r="B5902" t="s">
        <v>18736</v>
      </c>
      <c r="C5902" t="s">
        <v>18737</v>
      </c>
      <c r="D5902" t="s">
        <v>18738</v>
      </c>
      <c r="E5902" t="s">
        <v>18739</v>
      </c>
      <c r="F5902" t="s">
        <v>18740</v>
      </c>
      <c r="G5902" s="2" t="str">
        <f>HYPERLINK("https://probpalata.gov.ru/files/ИП490901780000000.jpeg","Скачать индивидуальный QR-код магазина")</f>
        <v>Скачать индивидуальный QR-код магазина</v>
      </c>
    </row>
    <row r="5903" spans="1:7" x14ac:dyDescent="0.25">
      <c r="A5903" t="s">
        <v>18726</v>
      </c>
      <c r="B5903" t="s">
        <v>18741</v>
      </c>
      <c r="C5903" t="s">
        <v>18742</v>
      </c>
      <c r="D5903" t="s">
        <v>18743</v>
      </c>
      <c r="E5903" t="s">
        <v>18744</v>
      </c>
      <c r="F5903" t="s">
        <v>18745</v>
      </c>
      <c r="G5903" s="2" t="str">
        <f>HYPERLINK("https://probpalata.gov.ru/files/ИП490900107100000.jpeg","Скачать индивидуальный QR-код магазина")</f>
        <v>Скачать индивидуальный QR-код магазина</v>
      </c>
    </row>
    <row r="5904" spans="1:7" x14ac:dyDescent="0.25">
      <c r="A5904" t="s">
        <v>18726</v>
      </c>
      <c r="B5904" t="s">
        <v>18746</v>
      </c>
      <c r="C5904" t="s">
        <v>18747</v>
      </c>
      <c r="D5904" t="s">
        <v>18748</v>
      </c>
      <c r="E5904" t="s">
        <v>18749</v>
      </c>
      <c r="F5904" t="s">
        <v>18750</v>
      </c>
      <c r="G5904" s="2" t="str">
        <f>HYPERLINK("https://probpalata.gov.ru/files/ИП490900284800001.jpeg","Скачать индивидуальный QR-код магазина")</f>
        <v>Скачать индивидуальный QR-код магазина</v>
      </c>
    </row>
    <row r="5905" spans="1:7" x14ac:dyDescent="0.25">
      <c r="A5905" t="s">
        <v>18726</v>
      </c>
      <c r="B5905" t="s">
        <v>18751</v>
      </c>
      <c r="C5905" t="s">
        <v>18747</v>
      </c>
      <c r="D5905" t="s">
        <v>18748</v>
      </c>
      <c r="E5905" t="s">
        <v>18749</v>
      </c>
      <c r="F5905" t="s">
        <v>18752</v>
      </c>
      <c r="G5905" s="2" t="str">
        <f>HYPERLINK("https://probpalata.gov.ru/files/ИП490900284800002.jpeg","Скачать индивидуальный QR-код магазина")</f>
        <v>Скачать индивидуальный QR-код магазина</v>
      </c>
    </row>
    <row r="5906" spans="1:7" x14ac:dyDescent="0.25">
      <c r="A5906" t="s">
        <v>18726</v>
      </c>
      <c r="B5906" t="s">
        <v>18753</v>
      </c>
      <c r="C5906" t="s">
        <v>18754</v>
      </c>
      <c r="D5906" t="s">
        <v>18755</v>
      </c>
      <c r="E5906" t="s">
        <v>18756</v>
      </c>
      <c r="F5906" t="s">
        <v>18757</v>
      </c>
      <c r="G5906" s="2" t="str">
        <f>HYPERLINK("https://probpalata.gov.ru/files/ЮЛ490900289300001.jpeg","Скачать индивидуальный QR-код магазина")</f>
        <v>Скачать индивидуальный QR-код магазина</v>
      </c>
    </row>
    <row r="5907" spans="1:7" x14ac:dyDescent="0.25">
      <c r="A5907" t="s">
        <v>18726</v>
      </c>
      <c r="B5907" t="s">
        <v>18758</v>
      </c>
      <c r="C5907" t="s">
        <v>18754</v>
      </c>
      <c r="D5907" t="s">
        <v>18755</v>
      </c>
      <c r="E5907" t="s">
        <v>18756</v>
      </c>
      <c r="F5907" t="s">
        <v>18759</v>
      </c>
      <c r="G5907" s="2" t="str">
        <f>HYPERLINK("https://probpalata.gov.ru/files/ЮЛ490900289300002.jpeg","Скачать индивидуальный QR-код магазина")</f>
        <v>Скачать индивидуальный QR-код магазина</v>
      </c>
    </row>
    <row r="5908" spans="1:7" x14ac:dyDescent="0.25">
      <c r="A5908" t="s">
        <v>18726</v>
      </c>
      <c r="B5908" t="s">
        <v>18760</v>
      </c>
      <c r="C5908" t="s">
        <v>18754</v>
      </c>
      <c r="D5908" t="s">
        <v>18755</v>
      </c>
      <c r="E5908" t="s">
        <v>18756</v>
      </c>
      <c r="F5908" t="s">
        <v>18761</v>
      </c>
      <c r="G5908" s="2" t="str">
        <f>HYPERLINK("https://probpalata.gov.ru/files/ЮЛ490900289300003.jpeg","Скачать индивидуальный QR-код магазина")</f>
        <v>Скачать индивидуальный QR-код магазина</v>
      </c>
    </row>
    <row r="5909" spans="1:7" x14ac:dyDescent="0.25">
      <c r="A5909" t="s">
        <v>18726</v>
      </c>
      <c r="B5909" t="s">
        <v>18762</v>
      </c>
      <c r="C5909" t="s">
        <v>18754</v>
      </c>
      <c r="D5909" t="s">
        <v>18755</v>
      </c>
      <c r="E5909" t="s">
        <v>18756</v>
      </c>
      <c r="F5909" t="s">
        <v>18763</v>
      </c>
      <c r="G5909" s="2" t="str">
        <f>HYPERLINK("https://probpalata.gov.ru/files/ЮЛ490900289300004.jpeg","Скачать индивидуальный QR-код магазина")</f>
        <v>Скачать индивидуальный QR-код магазина</v>
      </c>
    </row>
    <row r="5910" spans="1:7" x14ac:dyDescent="0.25">
      <c r="A5910" t="s">
        <v>18726</v>
      </c>
      <c r="B5910" t="s">
        <v>18764</v>
      </c>
      <c r="C5910" t="s">
        <v>18754</v>
      </c>
      <c r="D5910" t="s">
        <v>18755</v>
      </c>
      <c r="E5910" t="s">
        <v>18756</v>
      </c>
      <c r="F5910" t="s">
        <v>18765</v>
      </c>
      <c r="G5910" s="2" t="str">
        <f>HYPERLINK("https://probpalata.gov.ru/files/ЮЛ490900289300005.jpeg","Скачать индивидуальный QR-код магазина")</f>
        <v>Скачать индивидуальный QR-код магазина</v>
      </c>
    </row>
    <row r="5911" spans="1:7" x14ac:dyDescent="0.25">
      <c r="A5911" t="s">
        <v>18726</v>
      </c>
      <c r="B5911" t="s">
        <v>18766</v>
      </c>
      <c r="C5911" t="s">
        <v>18754</v>
      </c>
      <c r="D5911" t="s">
        <v>18755</v>
      </c>
      <c r="E5911" t="s">
        <v>18756</v>
      </c>
      <c r="F5911" t="s">
        <v>18767</v>
      </c>
      <c r="G5911" s="2" t="str">
        <f>HYPERLINK("https://probpalata.gov.ru/files/ЮЛ490900289300006.jpeg","Скачать индивидуальный QR-код магазина")</f>
        <v>Скачать индивидуальный QR-код магазина</v>
      </c>
    </row>
    <row r="5912" spans="1:7" x14ac:dyDescent="0.25">
      <c r="A5912" t="s">
        <v>18726</v>
      </c>
      <c r="B5912" t="s">
        <v>18768</v>
      </c>
      <c r="C5912" t="s">
        <v>18754</v>
      </c>
      <c r="D5912" t="s">
        <v>18755</v>
      </c>
      <c r="E5912" t="s">
        <v>18756</v>
      </c>
      <c r="F5912" t="s">
        <v>18769</v>
      </c>
      <c r="G5912" s="2" t="str">
        <f>HYPERLINK("https://probpalata.gov.ru/files/ЮЛ490900289300007.jpeg","Скачать индивидуальный QR-код магазина")</f>
        <v>Скачать индивидуальный QR-код магазина</v>
      </c>
    </row>
    <row r="5913" spans="1:7" x14ac:dyDescent="0.25">
      <c r="A5913" t="s">
        <v>18726</v>
      </c>
      <c r="B5913" t="s">
        <v>18770</v>
      </c>
      <c r="C5913" t="s">
        <v>18754</v>
      </c>
      <c r="D5913" t="s">
        <v>18755</v>
      </c>
      <c r="E5913" t="s">
        <v>18756</v>
      </c>
      <c r="F5913" t="s">
        <v>18771</v>
      </c>
      <c r="G5913" s="2" t="str">
        <f>HYPERLINK("https://probpalata.gov.ru/files/ЮЛ490900289300008.jpeg","Скачать индивидуальный QR-код магазина")</f>
        <v>Скачать индивидуальный QR-код магазина</v>
      </c>
    </row>
    <row r="5914" spans="1:7" x14ac:dyDescent="0.25">
      <c r="A5914" t="s">
        <v>18726</v>
      </c>
      <c r="B5914" t="s">
        <v>18772</v>
      </c>
      <c r="C5914" t="s">
        <v>18754</v>
      </c>
      <c r="D5914" t="s">
        <v>18755</v>
      </c>
      <c r="E5914" t="s">
        <v>18756</v>
      </c>
      <c r="F5914" t="s">
        <v>18773</v>
      </c>
      <c r="G5914" s="2" t="str">
        <f>HYPERLINK("https://probpalata.gov.ru/files/ЮЛ490900289300009.jpeg","Скачать индивидуальный QR-код магазина")</f>
        <v>Скачать индивидуальный QR-код магазина</v>
      </c>
    </row>
    <row r="5915" spans="1:7" x14ac:dyDescent="0.25">
      <c r="A5915" t="s">
        <v>18726</v>
      </c>
      <c r="B5915" t="s">
        <v>18774</v>
      </c>
      <c r="C5915" t="s">
        <v>6606</v>
      </c>
      <c r="D5915" t="s">
        <v>18775</v>
      </c>
      <c r="E5915" t="s">
        <v>18776</v>
      </c>
      <c r="F5915" t="s">
        <v>18777</v>
      </c>
      <c r="G5915" s="2" t="str">
        <f>HYPERLINK("https://probpalata.gov.ru/files/ЮЛ490900031800000.jpeg","Скачать индивидуальный QR-код магазина")</f>
        <v>Скачать индивидуальный QR-код магазина</v>
      </c>
    </row>
    <row r="5916" spans="1:7" x14ac:dyDescent="0.25">
      <c r="A5916" t="s">
        <v>18726</v>
      </c>
      <c r="B5916" t="s">
        <v>18778</v>
      </c>
      <c r="C5916" t="s">
        <v>18779</v>
      </c>
      <c r="D5916" t="s">
        <v>18780</v>
      </c>
      <c r="E5916" t="s">
        <v>18781</v>
      </c>
      <c r="F5916" t="s">
        <v>18782</v>
      </c>
      <c r="G5916" s="2" t="str">
        <f>HYPERLINK("https://probpalata.gov.ru/files/ЮЛ490901106200000.jpeg","Скачать индивидуальный QR-код магазина")</f>
        <v>Скачать индивидуальный QR-код магазина</v>
      </c>
    </row>
    <row r="5917" spans="1:7" x14ac:dyDescent="0.25">
      <c r="A5917" t="s">
        <v>18726</v>
      </c>
      <c r="B5917" t="s">
        <v>18783</v>
      </c>
      <c r="C5917" t="s">
        <v>18779</v>
      </c>
      <c r="D5917" t="s">
        <v>18780</v>
      </c>
      <c r="E5917" t="s">
        <v>18781</v>
      </c>
      <c r="F5917" t="s">
        <v>18784</v>
      </c>
      <c r="G5917" s="2" t="str">
        <f>HYPERLINK("https://probpalata.gov.ru/files/ЮЛ490901106200001.jpeg","Скачать индивидуальный QR-код магазина")</f>
        <v>Скачать индивидуальный QR-код магазина</v>
      </c>
    </row>
    <row r="5918" spans="1:7" x14ac:dyDescent="0.25">
      <c r="A5918" t="s">
        <v>18726</v>
      </c>
      <c r="B5918" t="s">
        <v>18785</v>
      </c>
      <c r="C5918" t="s">
        <v>18786</v>
      </c>
      <c r="D5918" t="s">
        <v>18787</v>
      </c>
      <c r="E5918" t="s">
        <v>18788</v>
      </c>
      <c r="F5918" t="s">
        <v>18789</v>
      </c>
      <c r="G5918" s="2" t="str">
        <f>HYPERLINK("https://probpalata.gov.ru/files/ЮЛ490901354300000.jpeg","Скачать индивидуальный QR-код магазина")</f>
        <v>Скачать индивидуальный QR-код магазина</v>
      </c>
    </row>
    <row r="5919" spans="1:7" x14ac:dyDescent="0.25">
      <c r="A5919" t="s">
        <v>18726</v>
      </c>
      <c r="B5919" t="s">
        <v>18790</v>
      </c>
      <c r="C5919" t="s">
        <v>18791</v>
      </c>
      <c r="D5919" t="s">
        <v>18792</v>
      </c>
      <c r="E5919" t="s">
        <v>18793</v>
      </c>
      <c r="F5919" t="s">
        <v>18794</v>
      </c>
      <c r="G5919" s="2" t="str">
        <f>HYPERLINK("https://probpalata.gov.ru/files/ЮЛ490900915200000.jpeg","Скачать индивидуальный QR-код магазина")</f>
        <v>Скачать индивидуальный QR-код магазина</v>
      </c>
    </row>
    <row r="5920" spans="1:7" x14ac:dyDescent="0.25">
      <c r="A5920" t="s">
        <v>18726</v>
      </c>
      <c r="B5920" t="s">
        <v>18795</v>
      </c>
      <c r="C5920" t="s">
        <v>18796</v>
      </c>
      <c r="D5920" t="s">
        <v>18797</v>
      </c>
      <c r="E5920" t="s">
        <v>18798</v>
      </c>
      <c r="F5920" t="s">
        <v>18799</v>
      </c>
      <c r="G5920" s="2" t="str">
        <f>HYPERLINK("https://probpalata.gov.ru/files/ЮЛ490900337200001.jpeg","Скачать индивидуальный QR-код магазина")</f>
        <v>Скачать индивидуальный QR-код магазина</v>
      </c>
    </row>
    <row r="5921" spans="1:7" x14ac:dyDescent="0.25">
      <c r="A5921" t="s">
        <v>18726</v>
      </c>
      <c r="B5921" t="s">
        <v>18800</v>
      </c>
      <c r="C5921" t="s">
        <v>18796</v>
      </c>
      <c r="D5921" t="s">
        <v>18797</v>
      </c>
      <c r="E5921" t="s">
        <v>18798</v>
      </c>
      <c r="F5921" t="s">
        <v>18801</v>
      </c>
      <c r="G5921" s="2" t="str">
        <f>HYPERLINK("https://probpalata.gov.ru/files/ЮЛ490900337200002.jpeg","Скачать индивидуальный QR-код магазина")</f>
        <v>Скачать индивидуальный QR-код магазина</v>
      </c>
    </row>
    <row r="5922" spans="1:7" x14ac:dyDescent="0.25">
      <c r="A5922" t="s">
        <v>18726</v>
      </c>
      <c r="B5922" t="s">
        <v>18802</v>
      </c>
      <c r="C5922" t="s">
        <v>18796</v>
      </c>
      <c r="D5922" t="s">
        <v>18797</v>
      </c>
      <c r="E5922" t="s">
        <v>18798</v>
      </c>
      <c r="F5922" t="s">
        <v>18803</v>
      </c>
      <c r="G5922" s="2" t="str">
        <f>HYPERLINK("https://probpalata.gov.ru/files/ЮЛ490900337200003.jpeg","Скачать индивидуальный QR-код магазина")</f>
        <v>Скачать индивидуальный QR-код магазина</v>
      </c>
    </row>
    <row r="5923" spans="1:7" x14ac:dyDescent="0.25">
      <c r="A5923" t="s">
        <v>18726</v>
      </c>
      <c r="B5923" t="s">
        <v>18804</v>
      </c>
      <c r="C5923" t="s">
        <v>18796</v>
      </c>
      <c r="D5923" t="s">
        <v>18797</v>
      </c>
      <c r="E5923" t="s">
        <v>18798</v>
      </c>
      <c r="F5923" t="s">
        <v>18805</v>
      </c>
      <c r="G5923" s="2" t="str">
        <f>HYPERLINK("https://probpalata.gov.ru/files/ЮЛ490900337200004.jpeg","Скачать индивидуальный QR-код магазина")</f>
        <v>Скачать индивидуальный QR-код магазина</v>
      </c>
    </row>
    <row r="5924" spans="1:7" x14ac:dyDescent="0.25">
      <c r="A5924" t="s">
        <v>18726</v>
      </c>
      <c r="B5924" t="s">
        <v>18806</v>
      </c>
      <c r="C5924" t="s">
        <v>18796</v>
      </c>
      <c r="D5924" t="s">
        <v>18797</v>
      </c>
      <c r="E5924" t="s">
        <v>18798</v>
      </c>
      <c r="F5924" t="s">
        <v>18807</v>
      </c>
      <c r="G5924" s="2" t="str">
        <f>HYPERLINK("https://probpalata.gov.ru/files/ЮЛ490900337200005.jpeg","Скачать индивидуальный QR-код магазина")</f>
        <v>Скачать индивидуальный QR-код магазина</v>
      </c>
    </row>
    <row r="5925" spans="1:7" x14ac:dyDescent="0.25">
      <c r="A5925" t="s">
        <v>18726</v>
      </c>
      <c r="B5925" t="s">
        <v>18808</v>
      </c>
      <c r="C5925" t="s">
        <v>18796</v>
      </c>
      <c r="D5925" t="s">
        <v>18797</v>
      </c>
      <c r="E5925" t="s">
        <v>18798</v>
      </c>
      <c r="F5925" t="s">
        <v>18809</v>
      </c>
      <c r="G5925" s="2" t="str">
        <f>HYPERLINK("https://probpalata.gov.ru/files/ЮЛ490900337200006.jpeg","Скачать индивидуальный QR-код магазина")</f>
        <v>Скачать индивидуальный QR-код магазина</v>
      </c>
    </row>
    <row r="5926" spans="1:7" x14ac:dyDescent="0.25">
      <c r="A5926" t="s">
        <v>18726</v>
      </c>
      <c r="B5926" t="s">
        <v>18810</v>
      </c>
      <c r="C5926" t="s">
        <v>18796</v>
      </c>
      <c r="D5926" t="s">
        <v>18797</v>
      </c>
      <c r="E5926" t="s">
        <v>18798</v>
      </c>
      <c r="F5926" t="s">
        <v>18811</v>
      </c>
      <c r="G5926" s="2" t="str">
        <f>HYPERLINK("https://probpalata.gov.ru/files/ЮЛ490900337200007.jpeg","Скачать индивидуальный QR-код магазина")</f>
        <v>Скачать индивидуальный QR-код магазина</v>
      </c>
    </row>
    <row r="5927" spans="1:7" x14ac:dyDescent="0.25">
      <c r="A5927" t="s">
        <v>18726</v>
      </c>
      <c r="B5927" t="s">
        <v>18812</v>
      </c>
      <c r="C5927" t="s">
        <v>18796</v>
      </c>
      <c r="D5927" t="s">
        <v>18797</v>
      </c>
      <c r="E5927" t="s">
        <v>18798</v>
      </c>
      <c r="F5927" t="s">
        <v>18813</v>
      </c>
      <c r="G5927" s="2" t="str">
        <f>HYPERLINK("https://probpalata.gov.ru/files/ЮЛ490900337200008.jpeg","Скачать индивидуальный QR-код магазина")</f>
        <v>Скачать индивидуальный QR-код магазина</v>
      </c>
    </row>
    <row r="5928" spans="1:7" x14ac:dyDescent="0.25">
      <c r="A5928" t="s">
        <v>18726</v>
      </c>
      <c r="B5928" t="s">
        <v>18814</v>
      </c>
      <c r="C5928" t="s">
        <v>18796</v>
      </c>
      <c r="D5928" t="s">
        <v>18797</v>
      </c>
      <c r="E5928" t="s">
        <v>18798</v>
      </c>
      <c r="F5928" t="s">
        <v>18815</v>
      </c>
      <c r="G5928" s="2" t="str">
        <f>HYPERLINK("https://probpalata.gov.ru/files/ЮЛ490900337200009.jpeg","Скачать индивидуальный QR-код магазина")</f>
        <v>Скачать индивидуальный QR-код магазина</v>
      </c>
    </row>
    <row r="5929" spans="1:7" x14ac:dyDescent="0.25">
      <c r="A5929" t="s">
        <v>18726</v>
      </c>
      <c r="B5929" t="s">
        <v>18816</v>
      </c>
      <c r="C5929" t="s">
        <v>748</v>
      </c>
      <c r="D5929" t="s">
        <v>749</v>
      </c>
      <c r="E5929" t="s">
        <v>750</v>
      </c>
      <c r="F5929" t="s">
        <v>18817</v>
      </c>
      <c r="G5929" s="2" t="str">
        <f>HYPERLINK("https://probpalata.gov.ru/files/ЮЛ770100193500169.jpeg","Скачать индивидуальный QR-код магазина")</f>
        <v>Скачать индивидуальный QR-код магазина</v>
      </c>
    </row>
    <row r="5930" spans="1:7" x14ac:dyDescent="0.25">
      <c r="A5930" t="s">
        <v>18726</v>
      </c>
      <c r="B5930" t="s">
        <v>18818</v>
      </c>
      <c r="C5930" t="s">
        <v>798</v>
      </c>
      <c r="D5930" t="s">
        <v>799</v>
      </c>
      <c r="E5930" t="s">
        <v>800</v>
      </c>
      <c r="F5930" t="s">
        <v>18819</v>
      </c>
      <c r="G5930" s="2" t="str">
        <f>HYPERLINK("https://probpalata.gov.ru/files/ЮЛ780300308201226.jpeg","Скачать индивидуальный QR-код магазина")</f>
        <v>Скачать индивидуальный QR-код магазина</v>
      </c>
    </row>
    <row r="5931" spans="1:7" x14ac:dyDescent="0.25">
      <c r="A5931" t="s">
        <v>18820</v>
      </c>
      <c r="B5931" t="s">
        <v>18821</v>
      </c>
      <c r="C5931" t="s">
        <v>18822</v>
      </c>
      <c r="D5931" t="s">
        <v>18823</v>
      </c>
      <c r="E5931" t="s">
        <v>18824</v>
      </c>
      <c r="F5931" t="s">
        <v>18825</v>
      </c>
      <c r="G5931" s="2" t="str">
        <f>HYPERLINK("https://probpalata.gov.ru/files/ИП770100545700000.jpeg","Скачать индивидуальный QR-код магазина")</f>
        <v>Скачать индивидуальный QR-код магазина</v>
      </c>
    </row>
    <row r="5932" spans="1:7" x14ac:dyDescent="0.25">
      <c r="A5932" t="s">
        <v>18820</v>
      </c>
      <c r="B5932" t="s">
        <v>18826</v>
      </c>
      <c r="C5932" t="s">
        <v>13160</v>
      </c>
      <c r="D5932" t="s">
        <v>13161</v>
      </c>
      <c r="E5932" t="s">
        <v>13162</v>
      </c>
      <c r="F5932" t="s">
        <v>18827</v>
      </c>
      <c r="G5932" s="2" t="str">
        <f>HYPERLINK("https://probpalata.gov.ru/files/ИП780301291200018.jpeg","Скачать индивидуальный QR-код магазина")</f>
        <v>Скачать индивидуальный QR-код магазина</v>
      </c>
    </row>
    <row r="5933" spans="1:7" x14ac:dyDescent="0.25">
      <c r="A5933" t="s">
        <v>18820</v>
      </c>
      <c r="B5933" t="s">
        <v>18828</v>
      </c>
      <c r="C5933" t="s">
        <v>13160</v>
      </c>
      <c r="D5933" t="s">
        <v>13161</v>
      </c>
      <c r="E5933" t="s">
        <v>13162</v>
      </c>
      <c r="F5933" t="s">
        <v>18829</v>
      </c>
      <c r="G5933" s="2" t="str">
        <f>HYPERLINK("https://probpalata.gov.ru/files/ИП780301291200022.jpeg","Скачать индивидуальный QR-код магазина")</f>
        <v>Скачать индивидуальный QR-код магазина</v>
      </c>
    </row>
    <row r="5934" spans="1:7" x14ac:dyDescent="0.25">
      <c r="A5934" t="s">
        <v>18820</v>
      </c>
      <c r="B5934" t="s">
        <v>18830</v>
      </c>
      <c r="C5934" t="s">
        <v>13160</v>
      </c>
      <c r="D5934" t="s">
        <v>13161</v>
      </c>
      <c r="E5934" t="s">
        <v>13162</v>
      </c>
      <c r="F5934" t="s">
        <v>18831</v>
      </c>
      <c r="G5934" s="2" t="str">
        <f>HYPERLINK("https://probpalata.gov.ru/files/ИП780301291200024.jpeg","Скачать индивидуальный QR-код магазина")</f>
        <v>Скачать индивидуальный QR-код магазина</v>
      </c>
    </row>
    <row r="5935" spans="1:7" x14ac:dyDescent="0.25">
      <c r="A5935" t="s">
        <v>18820</v>
      </c>
      <c r="B5935" t="s">
        <v>18832</v>
      </c>
      <c r="C5935" t="s">
        <v>13160</v>
      </c>
      <c r="D5935" t="s">
        <v>13161</v>
      </c>
      <c r="E5935" t="s">
        <v>13162</v>
      </c>
      <c r="F5935" t="s">
        <v>18833</v>
      </c>
      <c r="G5935" s="2" t="str">
        <f>HYPERLINK("https://probpalata.gov.ru/files/ИП780301291200027.jpeg","Скачать индивидуальный QR-код магазина")</f>
        <v>Скачать индивидуальный QR-код магазина</v>
      </c>
    </row>
    <row r="5936" spans="1:7" x14ac:dyDescent="0.25">
      <c r="A5936" t="s">
        <v>18820</v>
      </c>
      <c r="B5936" t="s">
        <v>18834</v>
      </c>
      <c r="C5936" t="s">
        <v>18835</v>
      </c>
      <c r="D5936" t="s">
        <v>18836</v>
      </c>
      <c r="E5936" t="s">
        <v>18837</v>
      </c>
      <c r="F5936" t="s">
        <v>18838</v>
      </c>
      <c r="G5936" s="2" t="str">
        <f>HYPERLINK("https://probpalata.gov.ru/files/ИП770103639800000.jpeg","Скачать индивидуальный QR-код магазина")</f>
        <v>Скачать индивидуальный QR-код магазина</v>
      </c>
    </row>
    <row r="5937" spans="1:7" x14ac:dyDescent="0.25">
      <c r="A5937" t="s">
        <v>18820</v>
      </c>
      <c r="B5937" t="s">
        <v>18839</v>
      </c>
      <c r="C5937" t="s">
        <v>18840</v>
      </c>
      <c r="D5937" t="s">
        <v>18841</v>
      </c>
      <c r="E5937" t="s">
        <v>18842</v>
      </c>
      <c r="F5937" t="s">
        <v>18843</v>
      </c>
      <c r="G5937" s="2" t="str">
        <f>HYPERLINK("https://probpalata.gov.ru/files/ИП500101285400000.jpeg","Скачать индивидуальный QR-код магазина")</f>
        <v>Скачать индивидуальный QR-код магазина</v>
      </c>
    </row>
    <row r="5938" spans="1:7" x14ac:dyDescent="0.25">
      <c r="A5938" t="s">
        <v>18820</v>
      </c>
      <c r="B5938" t="s">
        <v>18844</v>
      </c>
      <c r="C5938" t="s">
        <v>18845</v>
      </c>
      <c r="D5938" t="s">
        <v>18846</v>
      </c>
      <c r="E5938" t="s">
        <v>18847</v>
      </c>
      <c r="F5938" t="s">
        <v>18848</v>
      </c>
      <c r="G5938" s="2" t="str">
        <f>HYPERLINK("https://probpalata.gov.ru/files/ИП770101519400000.jpeg","Скачать индивидуальный QR-код магазина")</f>
        <v>Скачать индивидуальный QR-код магазина</v>
      </c>
    </row>
    <row r="5939" spans="1:7" x14ac:dyDescent="0.25">
      <c r="A5939" t="s">
        <v>18820</v>
      </c>
      <c r="B5939" t="s">
        <v>18849</v>
      </c>
      <c r="C5939" t="s">
        <v>18850</v>
      </c>
      <c r="D5939" t="s">
        <v>18851</v>
      </c>
      <c r="E5939" t="s">
        <v>18852</v>
      </c>
      <c r="F5939" t="s">
        <v>18853</v>
      </c>
      <c r="G5939" s="2" t="str">
        <f>HYPERLINK("https://probpalata.gov.ru/files/ИП770100466300000.jpeg","Скачать индивидуальный QR-код магазина")</f>
        <v>Скачать индивидуальный QR-код магазина</v>
      </c>
    </row>
    <row r="5940" spans="1:7" x14ac:dyDescent="0.25">
      <c r="A5940" t="s">
        <v>18820</v>
      </c>
      <c r="B5940" t="s">
        <v>18854</v>
      </c>
      <c r="C5940" t="s">
        <v>9495</v>
      </c>
      <c r="D5940" t="s">
        <v>9496</v>
      </c>
      <c r="E5940" t="s">
        <v>9497</v>
      </c>
      <c r="F5940" t="s">
        <v>18855</v>
      </c>
      <c r="G5940" s="2" t="str">
        <f>HYPERLINK("https://probpalata.gov.ru/files/ЮЛ020603117700066.jpeg","Скачать индивидуальный QR-код магазина")</f>
        <v>Скачать индивидуальный QR-код магазина</v>
      </c>
    </row>
    <row r="5941" spans="1:7" x14ac:dyDescent="0.25">
      <c r="A5941" t="s">
        <v>18820</v>
      </c>
      <c r="B5941" t="s">
        <v>18856</v>
      </c>
      <c r="C5941" t="s">
        <v>9495</v>
      </c>
      <c r="D5941" t="s">
        <v>9496</v>
      </c>
      <c r="E5941" t="s">
        <v>9497</v>
      </c>
      <c r="F5941" t="s">
        <v>18857</v>
      </c>
      <c r="G5941" s="2" t="str">
        <f>HYPERLINK("https://probpalata.gov.ru/files/ЮЛ020603117700095.jpeg","Скачать индивидуальный QR-код магазина")</f>
        <v>Скачать индивидуальный QR-код магазина</v>
      </c>
    </row>
    <row r="5942" spans="1:7" x14ac:dyDescent="0.25">
      <c r="A5942" t="s">
        <v>18820</v>
      </c>
      <c r="B5942" t="s">
        <v>18858</v>
      </c>
      <c r="C5942" t="s">
        <v>18859</v>
      </c>
      <c r="D5942" t="s">
        <v>18860</v>
      </c>
      <c r="E5942" t="s">
        <v>18861</v>
      </c>
      <c r="F5942" t="s">
        <v>18862</v>
      </c>
      <c r="G5942" s="2" t="str">
        <f>HYPERLINK("https://probpalata.gov.ru/files/ИП030903932900001.jpeg","Скачать индивидуальный QR-код магазина")</f>
        <v>Скачать индивидуальный QR-код магазина</v>
      </c>
    </row>
    <row r="5943" spans="1:7" x14ac:dyDescent="0.25">
      <c r="A5943" t="s">
        <v>18820</v>
      </c>
      <c r="B5943" t="s">
        <v>18863</v>
      </c>
      <c r="C5943" t="s">
        <v>18864</v>
      </c>
      <c r="D5943" t="s">
        <v>18865</v>
      </c>
      <c r="E5943" t="s">
        <v>18866</v>
      </c>
      <c r="F5943" t="s">
        <v>18867</v>
      </c>
      <c r="G5943" s="2" t="str">
        <f>HYPERLINK("https://probpalata.gov.ru/files/ЮЛ030900839800003.jpeg","Скачать индивидуальный QR-код магазина")</f>
        <v>Скачать индивидуальный QR-код магазина</v>
      </c>
    </row>
    <row r="5944" spans="1:7" x14ac:dyDescent="0.25">
      <c r="A5944" t="s">
        <v>18820</v>
      </c>
      <c r="B5944" t="s">
        <v>18868</v>
      </c>
      <c r="C5944" t="s">
        <v>18869</v>
      </c>
      <c r="D5944" t="s">
        <v>18870</v>
      </c>
      <c r="E5944" t="s">
        <v>18871</v>
      </c>
      <c r="F5944" t="s">
        <v>18872</v>
      </c>
      <c r="G5944" s="2" t="str">
        <f>HYPERLINK("https://probpalata.gov.ru/files/ИП050501728300000.jpeg","Скачать индивидуальный QR-код магазина")</f>
        <v>Скачать индивидуальный QR-код магазина</v>
      </c>
    </row>
    <row r="5945" spans="1:7" x14ac:dyDescent="0.25">
      <c r="A5945" t="s">
        <v>18820</v>
      </c>
      <c r="B5945" t="s">
        <v>18873</v>
      </c>
      <c r="C5945" t="s">
        <v>18874</v>
      </c>
      <c r="D5945" t="s">
        <v>18875</v>
      </c>
      <c r="E5945" t="s">
        <v>18876</v>
      </c>
      <c r="F5945" t="s">
        <v>18877</v>
      </c>
      <c r="G5945" s="2" t="str">
        <f>HYPERLINK("https://probpalata.gov.ru/files/ЮЛ050500827400003.jpeg","Скачать индивидуальный QR-код магазина")</f>
        <v>Скачать индивидуальный QR-код магазина</v>
      </c>
    </row>
    <row r="5946" spans="1:7" x14ac:dyDescent="0.25">
      <c r="A5946" t="s">
        <v>18820</v>
      </c>
      <c r="B5946" t="s">
        <v>18878</v>
      </c>
      <c r="C5946" t="s">
        <v>18874</v>
      </c>
      <c r="D5946" t="s">
        <v>18875</v>
      </c>
      <c r="E5946" t="s">
        <v>18876</v>
      </c>
      <c r="F5946" t="s">
        <v>18879</v>
      </c>
      <c r="G5946" s="2" t="str">
        <f>HYPERLINK("https://probpalata.gov.ru/files/ЮЛ050500827400005.jpeg","Скачать индивидуальный QR-код магазина")</f>
        <v>Скачать индивидуальный QR-код магазина</v>
      </c>
    </row>
    <row r="5947" spans="1:7" x14ac:dyDescent="0.25">
      <c r="A5947" t="s">
        <v>18820</v>
      </c>
      <c r="B5947" t="s">
        <v>18880</v>
      </c>
      <c r="C5947" t="s">
        <v>18881</v>
      </c>
      <c r="D5947" t="s">
        <v>18882</v>
      </c>
      <c r="E5947" t="s">
        <v>18883</v>
      </c>
      <c r="F5947" t="s">
        <v>18884</v>
      </c>
      <c r="G5947" s="2" t="str">
        <f>HYPERLINK("https://probpalata.gov.ru/files/ИП050501367500000.jpeg","Скачать индивидуальный QR-код магазина")</f>
        <v>Скачать индивидуальный QR-код магазина</v>
      </c>
    </row>
    <row r="5948" spans="1:7" x14ac:dyDescent="0.25">
      <c r="A5948" t="s">
        <v>18820</v>
      </c>
      <c r="B5948" t="s">
        <v>18885</v>
      </c>
      <c r="C5948" t="s">
        <v>18881</v>
      </c>
      <c r="D5948" t="s">
        <v>18882</v>
      </c>
      <c r="E5948" t="s">
        <v>18883</v>
      </c>
      <c r="F5948" t="s">
        <v>18886</v>
      </c>
      <c r="G5948" s="2" t="str">
        <f>HYPERLINK("https://probpalata.gov.ru/files/ИП050501367500001.jpeg","Скачать индивидуальный QR-код магазина")</f>
        <v>Скачать индивидуальный QR-код магазина</v>
      </c>
    </row>
    <row r="5949" spans="1:7" x14ac:dyDescent="0.25">
      <c r="A5949" t="s">
        <v>18820</v>
      </c>
      <c r="B5949" t="s">
        <v>18887</v>
      </c>
      <c r="C5949" t="s">
        <v>18888</v>
      </c>
      <c r="D5949" t="s">
        <v>18889</v>
      </c>
      <c r="E5949" t="s">
        <v>18890</v>
      </c>
      <c r="F5949" t="s">
        <v>18891</v>
      </c>
      <c r="G5949" s="2" t="str">
        <f>HYPERLINK("https://probpalata.gov.ru/files/ИП770101823600000.jpeg","Скачать индивидуальный QR-код магазина")</f>
        <v>Скачать индивидуальный QR-код магазина</v>
      </c>
    </row>
    <row r="5950" spans="1:7" x14ac:dyDescent="0.25">
      <c r="A5950" t="s">
        <v>18820</v>
      </c>
      <c r="B5950" t="s">
        <v>18892</v>
      </c>
      <c r="C5950" t="s">
        <v>18893</v>
      </c>
      <c r="D5950" t="s">
        <v>18894</v>
      </c>
      <c r="E5950" t="s">
        <v>18895</v>
      </c>
      <c r="F5950" t="s">
        <v>18896</v>
      </c>
      <c r="G5950" s="2" t="str">
        <f>HYPERLINK("https://probpalata.gov.ru/files/ИП770103373500000.jpeg","Скачать индивидуальный QR-код магазина")</f>
        <v>Скачать индивидуальный QR-код магазина</v>
      </c>
    </row>
    <row r="5951" spans="1:7" x14ac:dyDescent="0.25">
      <c r="A5951" t="s">
        <v>18820</v>
      </c>
      <c r="B5951" t="s">
        <v>18897</v>
      </c>
      <c r="C5951" t="s">
        <v>18898</v>
      </c>
      <c r="D5951" t="s">
        <v>18899</v>
      </c>
      <c r="E5951" t="s">
        <v>18900</v>
      </c>
      <c r="F5951" t="s">
        <v>18901</v>
      </c>
      <c r="G5951" s="2" t="str">
        <f>HYPERLINK("https://probpalata.gov.ru/files/ИП770100206100000.jpeg","Скачать индивидуальный QR-код магазина")</f>
        <v>Скачать индивидуальный QR-код магазина</v>
      </c>
    </row>
    <row r="5952" spans="1:7" x14ac:dyDescent="0.25">
      <c r="A5952" t="s">
        <v>18820</v>
      </c>
      <c r="B5952" t="s">
        <v>18902</v>
      </c>
      <c r="C5952" t="s">
        <v>18903</v>
      </c>
      <c r="D5952" t="s">
        <v>18904</v>
      </c>
      <c r="E5952" t="s">
        <v>18905</v>
      </c>
      <c r="F5952" t="s">
        <v>18906</v>
      </c>
      <c r="G5952" s="2" t="str">
        <f>HYPERLINK("https://probpalata.gov.ru/files/ИП770101723600000.jpeg","Скачать индивидуальный QR-код магазина")</f>
        <v>Скачать индивидуальный QR-код магазина</v>
      </c>
    </row>
    <row r="5953" spans="1:7" x14ac:dyDescent="0.25">
      <c r="A5953" t="s">
        <v>18820</v>
      </c>
      <c r="B5953" t="s">
        <v>18907</v>
      </c>
      <c r="C5953" t="s">
        <v>18908</v>
      </c>
      <c r="D5953" t="s">
        <v>18909</v>
      </c>
      <c r="E5953" t="s">
        <v>18910</v>
      </c>
      <c r="F5953" t="s">
        <v>18911</v>
      </c>
      <c r="G5953" s="2" t="str">
        <f>HYPERLINK("https://probpalata.gov.ru/files/ИП050501248600000.jpeg","Скачать индивидуальный QR-код магазина")</f>
        <v>Скачать индивидуальный QR-код магазина</v>
      </c>
    </row>
    <row r="5954" spans="1:7" x14ac:dyDescent="0.25">
      <c r="A5954" t="s">
        <v>18820</v>
      </c>
      <c r="B5954" t="s">
        <v>18912</v>
      </c>
      <c r="C5954" t="s">
        <v>18913</v>
      </c>
      <c r="D5954" t="s">
        <v>18914</v>
      </c>
      <c r="E5954" t="s">
        <v>18915</v>
      </c>
      <c r="F5954" t="s">
        <v>18916</v>
      </c>
      <c r="G5954" s="2" t="str">
        <f>HYPERLINK("https://probpalata.gov.ru/files/ИП500103174200000.jpeg","Скачать индивидуальный QR-код магазина")</f>
        <v>Скачать индивидуальный QR-код магазина</v>
      </c>
    </row>
    <row r="5955" spans="1:7" x14ac:dyDescent="0.25">
      <c r="A5955" t="s">
        <v>18820</v>
      </c>
      <c r="B5955" t="s">
        <v>18917</v>
      </c>
      <c r="C5955" t="s">
        <v>18918</v>
      </c>
      <c r="D5955" t="s">
        <v>18919</v>
      </c>
      <c r="E5955" t="s">
        <v>18920</v>
      </c>
      <c r="F5955" t="s">
        <v>18921</v>
      </c>
      <c r="G5955" s="2" t="str">
        <f>HYPERLINK("https://probpalata.gov.ru/files/ИП570101074100000.jpeg","Скачать индивидуальный QR-код магазина")</f>
        <v>Скачать индивидуальный QR-код магазина</v>
      </c>
    </row>
    <row r="5956" spans="1:7" x14ac:dyDescent="0.25">
      <c r="A5956" t="s">
        <v>18820</v>
      </c>
      <c r="B5956" t="s">
        <v>18922</v>
      </c>
      <c r="C5956" t="s">
        <v>18923</v>
      </c>
      <c r="D5956" t="s">
        <v>18924</v>
      </c>
      <c r="E5956" t="s">
        <v>18925</v>
      </c>
      <c r="F5956" t="s">
        <v>18926</v>
      </c>
      <c r="G5956" s="2" t="str">
        <f>HYPERLINK("https://probpalata.gov.ru/files/ИП770100897600000.jpeg","Скачать индивидуальный QR-код магазина")</f>
        <v>Скачать индивидуальный QR-код магазина</v>
      </c>
    </row>
    <row r="5957" spans="1:7" x14ac:dyDescent="0.25">
      <c r="A5957" t="s">
        <v>18820</v>
      </c>
      <c r="B5957" t="s">
        <v>18927</v>
      </c>
      <c r="C5957" t="s">
        <v>163</v>
      </c>
      <c r="D5957" t="s">
        <v>18928</v>
      </c>
      <c r="E5957" t="s">
        <v>18929</v>
      </c>
      <c r="F5957" t="s">
        <v>18930</v>
      </c>
      <c r="G5957" s="2" t="str">
        <f>HYPERLINK("https://probpalata.gov.ru/files/ЮЛ080403945500000.jpeg","Скачать индивидуальный QR-код магазина")</f>
        <v>Скачать индивидуальный QR-код магазина</v>
      </c>
    </row>
    <row r="5958" spans="1:7" x14ac:dyDescent="0.25">
      <c r="A5958" t="s">
        <v>18820</v>
      </c>
      <c r="B5958" t="s">
        <v>18931</v>
      </c>
      <c r="C5958" t="s">
        <v>18932</v>
      </c>
      <c r="D5958" t="s">
        <v>18933</v>
      </c>
      <c r="E5958" t="s">
        <v>18934</v>
      </c>
      <c r="F5958" t="s">
        <v>18935</v>
      </c>
      <c r="G5958" s="2" t="str">
        <f>HYPERLINK("https://probpalata.gov.ru/files/ИП500100665500000.jpeg","Скачать индивидуальный QR-код магазина")</f>
        <v>Скачать индивидуальный QR-код магазина</v>
      </c>
    </row>
    <row r="5959" spans="1:7" x14ac:dyDescent="0.25">
      <c r="A5959" t="s">
        <v>18820</v>
      </c>
      <c r="B5959" t="s">
        <v>18936</v>
      </c>
      <c r="C5959" t="s">
        <v>18937</v>
      </c>
      <c r="D5959" t="s">
        <v>18938</v>
      </c>
      <c r="E5959" t="s">
        <v>18939</v>
      </c>
      <c r="F5959" t="s">
        <v>18940</v>
      </c>
      <c r="G5959" s="2" t="str">
        <f>HYPERLINK("https://probpalata.gov.ru/files/ИП770101876300000.jpeg","Скачать индивидуальный QR-код магазина")</f>
        <v>Скачать индивидуальный QR-код магазина</v>
      </c>
    </row>
    <row r="5960" spans="1:7" x14ac:dyDescent="0.25">
      <c r="A5960" t="s">
        <v>18820</v>
      </c>
      <c r="B5960" t="s">
        <v>18941</v>
      </c>
      <c r="C5960" t="s">
        <v>18942</v>
      </c>
      <c r="D5960" t="s">
        <v>18943</v>
      </c>
      <c r="E5960" t="s">
        <v>18944</v>
      </c>
      <c r="F5960" t="s">
        <v>18945</v>
      </c>
      <c r="G5960" s="2" t="str">
        <f>HYPERLINK("https://probpalata.gov.ru/files/ИП100303804400002.jpeg","Скачать индивидуальный QR-код магазина")</f>
        <v>Скачать индивидуальный QR-код магазина</v>
      </c>
    </row>
    <row r="5961" spans="1:7" x14ac:dyDescent="0.25">
      <c r="A5961" t="s">
        <v>18820</v>
      </c>
      <c r="B5961" t="s">
        <v>18946</v>
      </c>
      <c r="C5961" t="s">
        <v>18942</v>
      </c>
      <c r="D5961" t="s">
        <v>18943</v>
      </c>
      <c r="E5961" t="s">
        <v>18944</v>
      </c>
      <c r="F5961" t="s">
        <v>18947</v>
      </c>
      <c r="G5961" s="2" t="str">
        <f>HYPERLINK("https://probpalata.gov.ru/files/ИП100303804400003.jpeg","Скачать индивидуальный QR-код магазина")</f>
        <v>Скачать индивидуальный QR-код магазина</v>
      </c>
    </row>
    <row r="5962" spans="1:7" x14ac:dyDescent="0.25">
      <c r="A5962" t="s">
        <v>18820</v>
      </c>
      <c r="B5962" t="s">
        <v>18948</v>
      </c>
      <c r="C5962" t="s">
        <v>18949</v>
      </c>
      <c r="D5962" t="s">
        <v>18950</v>
      </c>
      <c r="E5962" t="s">
        <v>18951</v>
      </c>
      <c r="F5962" t="s">
        <v>18952</v>
      </c>
      <c r="G5962" s="2" t="str">
        <f>HYPERLINK("https://probpalata.gov.ru/files/ИП500101684900000.jpeg","Скачать индивидуальный QR-код магазина")</f>
        <v>Скачать индивидуальный QR-код магазина</v>
      </c>
    </row>
    <row r="5963" spans="1:7" x14ac:dyDescent="0.25">
      <c r="A5963" t="s">
        <v>18820</v>
      </c>
      <c r="B5963" t="s">
        <v>18953</v>
      </c>
      <c r="C5963" t="s">
        <v>18954</v>
      </c>
      <c r="D5963" t="s">
        <v>18955</v>
      </c>
      <c r="E5963" t="s">
        <v>18956</v>
      </c>
      <c r="F5963" t="s">
        <v>18957</v>
      </c>
      <c r="G5963" s="2" t="str">
        <f>HYPERLINK("https://probpalata.gov.ru/files/ИП500101488700000.jpeg","Скачать индивидуальный QR-код магазина")</f>
        <v>Скачать индивидуальный QR-код магазина</v>
      </c>
    </row>
    <row r="5964" spans="1:7" x14ac:dyDescent="0.25">
      <c r="A5964" t="s">
        <v>18820</v>
      </c>
      <c r="B5964" t="s">
        <v>18958</v>
      </c>
      <c r="C5964" t="s">
        <v>18959</v>
      </c>
      <c r="D5964" t="s">
        <v>18960</v>
      </c>
      <c r="E5964" t="s">
        <v>18961</v>
      </c>
      <c r="F5964" t="s">
        <v>18962</v>
      </c>
      <c r="G5964" s="2" t="str">
        <f>HYPERLINK("https://probpalata.gov.ru/files/ИП500103478800000.jpeg","Скачать индивидуальный QR-код магазина")</f>
        <v>Скачать индивидуальный QR-код магазина</v>
      </c>
    </row>
    <row r="5965" spans="1:7" x14ac:dyDescent="0.25">
      <c r="A5965" t="s">
        <v>18820</v>
      </c>
      <c r="B5965" t="s">
        <v>18963</v>
      </c>
      <c r="C5965" t="s">
        <v>18964</v>
      </c>
      <c r="D5965" t="s">
        <v>18965</v>
      </c>
      <c r="E5965" t="s">
        <v>18966</v>
      </c>
      <c r="F5965" t="s">
        <v>18967</v>
      </c>
      <c r="G5965" s="2" t="str">
        <f>HYPERLINK("https://probpalata.gov.ru/files/ИП770101814600000.jpeg","Скачать индивидуальный QR-код магазина")</f>
        <v>Скачать индивидуальный QR-код магазина</v>
      </c>
    </row>
    <row r="5966" spans="1:7" x14ac:dyDescent="0.25">
      <c r="A5966" t="s">
        <v>18820</v>
      </c>
      <c r="B5966" t="s">
        <v>18968</v>
      </c>
      <c r="C5966" t="s">
        <v>18969</v>
      </c>
      <c r="D5966" t="s">
        <v>18970</v>
      </c>
      <c r="E5966" t="s">
        <v>18971</v>
      </c>
      <c r="F5966" t="s">
        <v>18972</v>
      </c>
      <c r="G5966" s="2" t="str">
        <f>HYPERLINK("https://probpalata.gov.ru/files/ИП770100670800000.jpeg","Скачать индивидуальный QR-код магазина")</f>
        <v>Скачать индивидуальный QR-код магазина</v>
      </c>
    </row>
    <row r="5967" spans="1:7" x14ac:dyDescent="0.25">
      <c r="A5967" t="s">
        <v>18820</v>
      </c>
      <c r="B5967" t="s">
        <v>18973</v>
      </c>
      <c r="C5967" t="s">
        <v>18969</v>
      </c>
      <c r="D5967" t="s">
        <v>18970</v>
      </c>
      <c r="E5967" t="s">
        <v>18971</v>
      </c>
      <c r="F5967" t="s">
        <v>18974</v>
      </c>
      <c r="G5967" s="2" t="str">
        <f>HYPERLINK("https://probpalata.gov.ru/files/ИП770100670800001.jpeg","Скачать индивидуальный QR-код магазина")</f>
        <v>Скачать индивидуальный QR-код магазина</v>
      </c>
    </row>
    <row r="5968" spans="1:7" x14ac:dyDescent="0.25">
      <c r="A5968" t="s">
        <v>18820</v>
      </c>
      <c r="B5968" t="s">
        <v>18975</v>
      </c>
      <c r="C5968" t="s">
        <v>18976</v>
      </c>
      <c r="D5968" t="s">
        <v>18977</v>
      </c>
      <c r="E5968" t="s">
        <v>18978</v>
      </c>
      <c r="F5968" t="s">
        <v>18979</v>
      </c>
      <c r="G5968" s="2" t="str">
        <f>HYPERLINK("https://probpalata.gov.ru/files/ИП500101221300000.jpeg","Скачать индивидуальный QR-код магазина")</f>
        <v>Скачать индивидуальный QR-код магазина</v>
      </c>
    </row>
    <row r="5969" spans="1:7" x14ac:dyDescent="0.25">
      <c r="A5969" t="s">
        <v>18820</v>
      </c>
      <c r="B5969" t="s">
        <v>18980</v>
      </c>
      <c r="C5969" t="s">
        <v>18981</v>
      </c>
      <c r="D5969" t="s">
        <v>18982</v>
      </c>
      <c r="E5969" t="s">
        <v>18983</v>
      </c>
      <c r="F5969" t="s">
        <v>18984</v>
      </c>
      <c r="G5969" s="2" t="str">
        <f>HYPERLINK("https://probpalata.gov.ru/files/ЮЛ140903552200002.jpeg","Скачать индивидуальный QR-код магазина")</f>
        <v>Скачать индивидуальный QR-код магазина</v>
      </c>
    </row>
    <row r="5970" spans="1:7" x14ac:dyDescent="0.25">
      <c r="A5970" t="s">
        <v>18820</v>
      </c>
      <c r="B5970" t="s">
        <v>18985</v>
      </c>
      <c r="C5970" t="s">
        <v>18986</v>
      </c>
      <c r="D5970" t="s">
        <v>18987</v>
      </c>
      <c r="E5970" t="s">
        <v>18988</v>
      </c>
      <c r="F5970" t="s">
        <v>18989</v>
      </c>
      <c r="G5970" s="2" t="str">
        <f>HYPERLINK("https://probpalata.gov.ru/files/ЮЛ140903739600000.jpeg","Скачать индивидуальный QR-код магазина")</f>
        <v>Скачать индивидуальный QR-код магазина</v>
      </c>
    </row>
    <row r="5971" spans="1:7" x14ac:dyDescent="0.25">
      <c r="A5971" t="s">
        <v>18820</v>
      </c>
      <c r="B5971" t="s">
        <v>18990</v>
      </c>
      <c r="C5971" t="s">
        <v>18991</v>
      </c>
      <c r="D5971" t="s">
        <v>18992</v>
      </c>
      <c r="E5971" t="s">
        <v>18993</v>
      </c>
      <c r="F5971" t="s">
        <v>18994</v>
      </c>
      <c r="G5971" s="2" t="str">
        <f>HYPERLINK("https://probpalata.gov.ru/files/ЮЛ140900909900002.jpeg","Скачать индивидуальный QR-код магазина")</f>
        <v>Скачать индивидуальный QR-код магазина</v>
      </c>
    </row>
    <row r="5972" spans="1:7" x14ac:dyDescent="0.25">
      <c r="A5972" t="s">
        <v>18820</v>
      </c>
      <c r="B5972" t="s">
        <v>18995</v>
      </c>
      <c r="C5972" t="s">
        <v>18996</v>
      </c>
      <c r="D5972" t="s">
        <v>18997</v>
      </c>
      <c r="E5972" t="s">
        <v>18998</v>
      </c>
      <c r="F5972" t="s">
        <v>18999</v>
      </c>
      <c r="G5972" s="2" t="str">
        <f>HYPERLINK("https://probpalata.gov.ru/files/ИП770100210500000.jpeg","Скачать индивидуальный QR-код магазина")</f>
        <v>Скачать индивидуальный QR-код магазина</v>
      </c>
    </row>
    <row r="5973" spans="1:7" x14ac:dyDescent="0.25">
      <c r="A5973" t="s">
        <v>18820</v>
      </c>
      <c r="B5973" t="s">
        <v>19000</v>
      </c>
      <c r="C5973" t="s">
        <v>19001</v>
      </c>
      <c r="D5973" t="s">
        <v>19002</v>
      </c>
      <c r="E5973" t="s">
        <v>19003</v>
      </c>
      <c r="F5973" t="s">
        <v>19004</v>
      </c>
      <c r="G5973" s="2" t="str">
        <f>HYPERLINK("https://probpalata.gov.ru/files/ИП140900057800000.jpeg","Скачать индивидуальный QR-код магазина")</f>
        <v>Скачать индивидуальный QR-код магазина</v>
      </c>
    </row>
    <row r="5974" spans="1:7" x14ac:dyDescent="0.25">
      <c r="A5974" t="s">
        <v>18820</v>
      </c>
      <c r="B5974" t="s">
        <v>19005</v>
      </c>
      <c r="C5974" t="s">
        <v>19006</v>
      </c>
      <c r="D5974" t="s">
        <v>19007</v>
      </c>
      <c r="E5974" t="s">
        <v>19008</v>
      </c>
      <c r="F5974" t="s">
        <v>19009</v>
      </c>
      <c r="G5974" s="2" t="str">
        <f>HYPERLINK("https://probpalata.gov.ru/files/ЮЛ140900843100001.jpeg","Скачать индивидуальный QR-код магазина")</f>
        <v>Скачать индивидуальный QR-код магазина</v>
      </c>
    </row>
    <row r="5975" spans="1:7" x14ac:dyDescent="0.25">
      <c r="A5975" t="s">
        <v>18820</v>
      </c>
      <c r="B5975" t="s">
        <v>19010</v>
      </c>
      <c r="C5975" t="s">
        <v>19011</v>
      </c>
      <c r="D5975" t="s">
        <v>19012</v>
      </c>
      <c r="E5975" t="s">
        <v>19013</v>
      </c>
      <c r="F5975" t="s">
        <v>19014</v>
      </c>
      <c r="G5975" s="2" t="str">
        <f>HYPERLINK("https://probpalata.gov.ru/files/ИП770100641000000.jpeg","Скачать индивидуальный QR-код магазина")</f>
        <v>Скачать индивидуальный QR-код магазина</v>
      </c>
    </row>
    <row r="5976" spans="1:7" x14ac:dyDescent="0.25">
      <c r="A5976" t="s">
        <v>18820</v>
      </c>
      <c r="B5976" t="s">
        <v>19015</v>
      </c>
      <c r="C5976" t="s">
        <v>19016</v>
      </c>
      <c r="D5976" t="s">
        <v>19017</v>
      </c>
      <c r="E5976" t="s">
        <v>19018</v>
      </c>
      <c r="F5976" t="s">
        <v>19019</v>
      </c>
      <c r="G5976" s="2" t="str">
        <f>HYPERLINK("https://probpalata.gov.ru/files/ИП140900912400000.jpeg","Скачать индивидуальный QR-код магазина")</f>
        <v>Скачать индивидуальный QR-код магазина</v>
      </c>
    </row>
    <row r="5977" spans="1:7" x14ac:dyDescent="0.25">
      <c r="A5977" t="s">
        <v>18820</v>
      </c>
      <c r="B5977" t="s">
        <v>19020</v>
      </c>
      <c r="C5977" t="s">
        <v>19021</v>
      </c>
      <c r="D5977" t="s">
        <v>19022</v>
      </c>
      <c r="E5977" t="s">
        <v>19023</v>
      </c>
      <c r="F5977" t="s">
        <v>19024</v>
      </c>
      <c r="G5977" s="2" t="str">
        <f>HYPERLINK("https://probpalata.gov.ru/files/ИП770101649500000.jpeg","Скачать индивидуальный QR-код магазина")</f>
        <v>Скачать индивидуальный QR-код магазина</v>
      </c>
    </row>
    <row r="5978" spans="1:7" x14ac:dyDescent="0.25">
      <c r="A5978" t="s">
        <v>18820</v>
      </c>
      <c r="B5978" t="s">
        <v>19025</v>
      </c>
      <c r="C5978" t="s">
        <v>19021</v>
      </c>
      <c r="D5978" t="s">
        <v>19022</v>
      </c>
      <c r="E5978" t="s">
        <v>19023</v>
      </c>
      <c r="F5978" t="s">
        <v>19026</v>
      </c>
      <c r="G5978" s="2" t="str">
        <f>HYPERLINK("https://probpalata.gov.ru/files/ИП770101649500001.jpeg","Скачать индивидуальный QR-код магазина")</f>
        <v>Скачать индивидуальный QR-код магазина</v>
      </c>
    </row>
    <row r="5979" spans="1:7" x14ac:dyDescent="0.25">
      <c r="A5979" t="s">
        <v>18820</v>
      </c>
      <c r="B5979" t="s">
        <v>19027</v>
      </c>
      <c r="C5979" t="s">
        <v>19021</v>
      </c>
      <c r="D5979" t="s">
        <v>19022</v>
      </c>
      <c r="E5979" t="s">
        <v>19023</v>
      </c>
      <c r="F5979" t="s">
        <v>19028</v>
      </c>
      <c r="G5979" s="2" t="str">
        <f>HYPERLINK("https://probpalata.gov.ru/files/ИП770101649500002.jpeg","Скачать индивидуальный QR-код магазина")</f>
        <v>Скачать индивидуальный QR-код магазина</v>
      </c>
    </row>
    <row r="5980" spans="1:7" x14ac:dyDescent="0.25">
      <c r="A5980" t="s">
        <v>18820</v>
      </c>
      <c r="B5980" t="s">
        <v>19029</v>
      </c>
      <c r="C5980" t="s">
        <v>19030</v>
      </c>
      <c r="D5980" t="s">
        <v>19031</v>
      </c>
      <c r="E5980" t="s">
        <v>19032</v>
      </c>
      <c r="F5980" t="s">
        <v>19033</v>
      </c>
      <c r="G5980" s="2" t="str">
        <f>HYPERLINK("https://probpalata.gov.ru/files/ИП500100390400000.jpeg","Скачать индивидуальный QR-код магазина")</f>
        <v>Скачать индивидуальный QR-код магазина</v>
      </c>
    </row>
    <row r="5981" spans="1:7" x14ac:dyDescent="0.25">
      <c r="A5981" t="s">
        <v>18820</v>
      </c>
      <c r="B5981" t="s">
        <v>19034</v>
      </c>
      <c r="C5981" t="s">
        <v>19035</v>
      </c>
      <c r="D5981" t="s">
        <v>19036</v>
      </c>
      <c r="E5981" t="s">
        <v>19037</v>
      </c>
      <c r="F5981" t="s">
        <v>19038</v>
      </c>
      <c r="G5981" s="2" t="str">
        <f>HYPERLINK("https://probpalata.gov.ru/files/ЮЛ140900291100009.jpeg","Скачать индивидуальный QR-код магазина")</f>
        <v>Скачать индивидуальный QR-код магазина</v>
      </c>
    </row>
    <row r="5982" spans="1:7" x14ac:dyDescent="0.25">
      <c r="A5982" t="s">
        <v>18820</v>
      </c>
      <c r="B5982" t="s">
        <v>19039</v>
      </c>
      <c r="C5982" t="s">
        <v>2204</v>
      </c>
      <c r="D5982" t="s">
        <v>19040</v>
      </c>
      <c r="E5982" t="s">
        <v>19041</v>
      </c>
      <c r="F5982" t="s">
        <v>19042</v>
      </c>
      <c r="G5982" s="2" t="str">
        <f>HYPERLINK("https://probpalata.gov.ru/files/ЮЛ770103717400000.jpeg","Скачать индивидуальный QR-код магазина")</f>
        <v>Скачать индивидуальный QR-код магазина</v>
      </c>
    </row>
    <row r="5983" spans="1:7" x14ac:dyDescent="0.25">
      <c r="A5983" t="s">
        <v>18820</v>
      </c>
      <c r="B5983" t="s">
        <v>19043</v>
      </c>
      <c r="C5983" t="s">
        <v>19044</v>
      </c>
      <c r="D5983" t="s">
        <v>19045</v>
      </c>
      <c r="E5983" t="s">
        <v>19046</v>
      </c>
      <c r="F5983" t="s">
        <v>19047</v>
      </c>
      <c r="G5983" s="2" t="str">
        <f>HYPERLINK("https://probpalata.gov.ru/files/ИП770103776100000.jpeg","Скачать индивидуальный QR-код магазина")</f>
        <v>Скачать индивидуальный QR-код магазина</v>
      </c>
    </row>
    <row r="5984" spans="1:7" x14ac:dyDescent="0.25">
      <c r="A5984" t="s">
        <v>18820</v>
      </c>
      <c r="B5984" t="s">
        <v>19048</v>
      </c>
      <c r="C5984" t="s">
        <v>19049</v>
      </c>
      <c r="D5984" t="s">
        <v>19050</v>
      </c>
      <c r="E5984" t="s">
        <v>19051</v>
      </c>
      <c r="F5984" t="s">
        <v>19052</v>
      </c>
      <c r="G5984" s="2" t="str">
        <f>HYPERLINK("https://probpalata.gov.ru/files/ИП150500938800000.jpeg","Скачать индивидуальный QR-код магазина")</f>
        <v>Скачать индивидуальный QR-код магазина</v>
      </c>
    </row>
    <row r="5985" spans="1:7" x14ac:dyDescent="0.25">
      <c r="A5985" t="s">
        <v>18820</v>
      </c>
      <c r="B5985" t="s">
        <v>19053</v>
      </c>
      <c r="C5985" t="s">
        <v>19054</v>
      </c>
      <c r="D5985" t="s">
        <v>19055</v>
      </c>
      <c r="E5985" t="s">
        <v>19056</v>
      </c>
      <c r="F5985" t="s">
        <v>19057</v>
      </c>
      <c r="G5985" s="2" t="str">
        <f>HYPERLINK("https://probpalata.gov.ru/files/ИП780301140600003.jpeg","Скачать индивидуальный QR-код магазина")</f>
        <v>Скачать индивидуальный QR-код магазина</v>
      </c>
    </row>
    <row r="5986" spans="1:7" x14ac:dyDescent="0.25">
      <c r="A5986" t="s">
        <v>18820</v>
      </c>
      <c r="B5986" t="s">
        <v>19058</v>
      </c>
      <c r="C5986" t="s">
        <v>19059</v>
      </c>
      <c r="D5986" t="s">
        <v>19060</v>
      </c>
      <c r="E5986" t="s">
        <v>19061</v>
      </c>
      <c r="F5986" t="s">
        <v>19062</v>
      </c>
      <c r="G5986" s="2" t="str">
        <f>HYPERLINK("https://probpalata.gov.ru/files/ИП160603161800000.jpeg","Скачать индивидуальный QR-код магазина")</f>
        <v>Скачать индивидуальный QR-код магазина</v>
      </c>
    </row>
    <row r="5987" spans="1:7" x14ac:dyDescent="0.25">
      <c r="A5987" t="s">
        <v>18820</v>
      </c>
      <c r="B5987" t="s">
        <v>19063</v>
      </c>
      <c r="C5987" t="s">
        <v>19064</v>
      </c>
      <c r="D5987" t="s">
        <v>19065</v>
      </c>
      <c r="E5987" t="s">
        <v>19066</v>
      </c>
      <c r="F5987" t="s">
        <v>19067</v>
      </c>
      <c r="G5987" s="2" t="str">
        <f>HYPERLINK("https://probpalata.gov.ru/files/ИП500100565700000.jpeg","Скачать индивидуальный QR-код магазина")</f>
        <v>Скачать индивидуальный QR-код магазина</v>
      </c>
    </row>
    <row r="5988" spans="1:7" x14ac:dyDescent="0.25">
      <c r="A5988" t="s">
        <v>18820</v>
      </c>
      <c r="B5988" t="s">
        <v>19068</v>
      </c>
      <c r="C5988" t="s">
        <v>19069</v>
      </c>
      <c r="D5988" t="s">
        <v>19070</v>
      </c>
      <c r="E5988" t="s">
        <v>19071</v>
      </c>
      <c r="F5988" t="s">
        <v>19072</v>
      </c>
      <c r="G5988" s="2" t="str">
        <f>HYPERLINK("https://probpalata.gov.ru/files/ЮЛ160600260300010.jpeg","Скачать индивидуальный QR-код магазина")</f>
        <v>Скачать индивидуальный QR-код магазина</v>
      </c>
    </row>
    <row r="5989" spans="1:7" x14ac:dyDescent="0.25">
      <c r="A5989" t="s">
        <v>18820</v>
      </c>
      <c r="B5989" t="s">
        <v>19073</v>
      </c>
      <c r="C5989" t="s">
        <v>19074</v>
      </c>
      <c r="D5989" t="s">
        <v>19075</v>
      </c>
      <c r="E5989" t="s">
        <v>19076</v>
      </c>
      <c r="F5989" t="s">
        <v>19077</v>
      </c>
      <c r="G5989" s="2" t="str">
        <f>HYPERLINK("https://probpalata.gov.ru/files/ИП770103210300000.jpeg","Скачать индивидуальный QR-код магазина")</f>
        <v>Скачать индивидуальный QR-код магазина</v>
      </c>
    </row>
    <row r="5990" spans="1:7" x14ac:dyDescent="0.25">
      <c r="A5990" t="s">
        <v>18820</v>
      </c>
      <c r="B5990" t="s">
        <v>19078</v>
      </c>
      <c r="C5990" t="s">
        <v>19079</v>
      </c>
      <c r="D5990" t="s">
        <v>19080</v>
      </c>
      <c r="E5990" t="s">
        <v>19081</v>
      </c>
      <c r="F5990" t="s">
        <v>19082</v>
      </c>
      <c r="G5990" s="2" t="str">
        <f>HYPERLINK("https://probpalata.gov.ru/files/ИП160603680700000.jpeg","Скачать индивидуальный QR-код магазина")</f>
        <v>Скачать индивидуальный QR-код магазина</v>
      </c>
    </row>
    <row r="5991" spans="1:7" x14ac:dyDescent="0.25">
      <c r="A5991" t="s">
        <v>18820</v>
      </c>
      <c r="B5991" t="s">
        <v>19083</v>
      </c>
      <c r="C5991" t="s">
        <v>19084</v>
      </c>
      <c r="D5991" t="s">
        <v>19085</v>
      </c>
      <c r="E5991" t="s">
        <v>19086</v>
      </c>
      <c r="F5991" t="s">
        <v>19087</v>
      </c>
      <c r="G5991" s="2" t="str">
        <f>HYPERLINK("https://probpalata.gov.ru/files/ИП160603202400000.jpeg","Скачать индивидуальный QR-код магазина")</f>
        <v>Скачать индивидуальный QR-код магазина</v>
      </c>
    </row>
    <row r="5992" spans="1:7" x14ac:dyDescent="0.25">
      <c r="A5992" t="s">
        <v>18820</v>
      </c>
      <c r="B5992" t="s">
        <v>19088</v>
      </c>
      <c r="C5992" t="s">
        <v>13224</v>
      </c>
      <c r="D5992" t="s">
        <v>13225</v>
      </c>
      <c r="E5992" t="s">
        <v>13226</v>
      </c>
      <c r="F5992" t="s">
        <v>19089</v>
      </c>
      <c r="G5992" s="2" t="str">
        <f>HYPERLINK("https://probpalata.gov.ru/files/ИП160603156900004.jpeg","Скачать индивидуальный QR-код магазина")</f>
        <v>Скачать индивидуальный QR-код магазина</v>
      </c>
    </row>
    <row r="5993" spans="1:7" x14ac:dyDescent="0.25">
      <c r="A5993" t="s">
        <v>18820</v>
      </c>
      <c r="B5993" t="s">
        <v>19090</v>
      </c>
      <c r="C5993" t="s">
        <v>13224</v>
      </c>
      <c r="D5993" t="s">
        <v>13225</v>
      </c>
      <c r="E5993" t="s">
        <v>13226</v>
      </c>
      <c r="F5993" t="s">
        <v>19091</v>
      </c>
      <c r="G5993" s="2" t="str">
        <f>HYPERLINK("https://probpalata.gov.ru/files/ИП160603156900005.jpeg","Скачать индивидуальный QR-код магазина")</f>
        <v>Скачать индивидуальный QR-код магазина</v>
      </c>
    </row>
    <row r="5994" spans="1:7" x14ac:dyDescent="0.25">
      <c r="A5994" t="s">
        <v>18820</v>
      </c>
      <c r="B5994" t="s">
        <v>19092</v>
      </c>
      <c r="C5994" t="s">
        <v>19093</v>
      </c>
      <c r="D5994" t="s">
        <v>19094</v>
      </c>
      <c r="E5994" t="s">
        <v>19095</v>
      </c>
      <c r="F5994" t="s">
        <v>19096</v>
      </c>
      <c r="G5994" s="2" t="str">
        <f>HYPERLINK("https://probpalata.gov.ru/files/ИП500100479300000.jpeg","Скачать индивидуальный QR-код магазина")</f>
        <v>Скачать индивидуальный QR-код магазина</v>
      </c>
    </row>
    <row r="5995" spans="1:7" x14ac:dyDescent="0.25">
      <c r="A5995" t="s">
        <v>18820</v>
      </c>
      <c r="B5995" t="s">
        <v>19097</v>
      </c>
      <c r="C5995" t="s">
        <v>19098</v>
      </c>
      <c r="D5995" t="s">
        <v>19099</v>
      </c>
      <c r="E5995" t="s">
        <v>19100</v>
      </c>
      <c r="F5995" t="s">
        <v>19101</v>
      </c>
      <c r="G5995" s="2" t="str">
        <f>HYPERLINK("https://probpalata.gov.ru/files/ИП500101607500000.jpeg","Скачать индивидуальный QR-код магазина")</f>
        <v>Скачать индивидуальный QR-код магазина</v>
      </c>
    </row>
    <row r="5996" spans="1:7" x14ac:dyDescent="0.25">
      <c r="A5996" t="s">
        <v>18820</v>
      </c>
      <c r="B5996" t="s">
        <v>19102</v>
      </c>
      <c r="C5996" t="s">
        <v>19103</v>
      </c>
      <c r="D5996" t="s">
        <v>19104</v>
      </c>
      <c r="E5996" t="s">
        <v>19105</v>
      </c>
      <c r="F5996" t="s">
        <v>19106</v>
      </c>
      <c r="G5996" s="2" t="str">
        <f>HYPERLINK("https://probpalata.gov.ru/files/ИП180600106400008.jpeg","Скачать индивидуальный QR-код магазина")</f>
        <v>Скачать индивидуальный QR-код магазина</v>
      </c>
    </row>
    <row r="5997" spans="1:7" x14ac:dyDescent="0.25">
      <c r="A5997" t="s">
        <v>18820</v>
      </c>
      <c r="B5997" t="s">
        <v>19107</v>
      </c>
      <c r="C5997" t="s">
        <v>19108</v>
      </c>
      <c r="D5997" t="s">
        <v>19109</v>
      </c>
      <c r="E5997" t="s">
        <v>19110</v>
      </c>
      <c r="F5997" t="s">
        <v>19111</v>
      </c>
      <c r="G5997" s="2" t="str">
        <f>HYPERLINK("https://probpalata.gov.ru/files/ИП770100659100000.jpeg","Скачать индивидуальный QR-код магазина")</f>
        <v>Скачать индивидуальный QR-код магазина</v>
      </c>
    </row>
    <row r="5998" spans="1:7" x14ac:dyDescent="0.25">
      <c r="A5998" t="s">
        <v>18820</v>
      </c>
      <c r="B5998" t="s">
        <v>19112</v>
      </c>
      <c r="C5998" t="s">
        <v>19113</v>
      </c>
      <c r="D5998" t="s">
        <v>19114</v>
      </c>
      <c r="E5998" t="s">
        <v>19115</v>
      </c>
      <c r="F5998" t="s">
        <v>19116</v>
      </c>
      <c r="G5998" s="2" t="str">
        <f>HYPERLINK("https://probpalata.gov.ru/files/ИП770103477800000.jpeg","Скачать индивидуальный QR-код магазина")</f>
        <v>Скачать индивидуальный QR-код магазина</v>
      </c>
    </row>
    <row r="5999" spans="1:7" x14ac:dyDescent="0.25">
      <c r="A5999" t="s">
        <v>18820</v>
      </c>
      <c r="B5999" t="s">
        <v>19117</v>
      </c>
      <c r="C5999" t="s">
        <v>19118</v>
      </c>
      <c r="D5999" t="s">
        <v>19119</v>
      </c>
      <c r="E5999" t="s">
        <v>19120</v>
      </c>
      <c r="F5999" t="s">
        <v>19121</v>
      </c>
      <c r="G5999" s="2" t="str">
        <f>HYPERLINK("https://probpalata.gov.ru/files/ИП220801336000007.jpeg","Скачать индивидуальный QR-код магазина")</f>
        <v>Скачать индивидуальный QR-код магазина</v>
      </c>
    </row>
    <row r="6000" spans="1:7" x14ac:dyDescent="0.25">
      <c r="A6000" t="s">
        <v>18820</v>
      </c>
      <c r="B6000" t="s">
        <v>19122</v>
      </c>
      <c r="C6000" t="s">
        <v>452</v>
      </c>
      <c r="D6000" t="s">
        <v>453</v>
      </c>
      <c r="E6000" t="s">
        <v>454</v>
      </c>
      <c r="F6000" t="s">
        <v>19123</v>
      </c>
      <c r="G6000" s="2" t="str">
        <f>HYPERLINK("https://probpalata.gov.ru/files/ИП220801106500006.jpeg","Скачать индивидуальный QR-код магазина")</f>
        <v>Скачать индивидуальный QR-код магазина</v>
      </c>
    </row>
    <row r="6001" spans="1:7" x14ac:dyDescent="0.25">
      <c r="A6001" t="s">
        <v>18820</v>
      </c>
      <c r="B6001" t="s">
        <v>19124</v>
      </c>
      <c r="C6001" t="s">
        <v>2647</v>
      </c>
      <c r="D6001" t="s">
        <v>2648</v>
      </c>
      <c r="E6001" t="s">
        <v>2649</v>
      </c>
      <c r="F6001" t="s">
        <v>19125</v>
      </c>
      <c r="G6001" s="2" t="str">
        <f>HYPERLINK("https://probpalata.gov.ru/files/ИП610400007100019.jpeg","Скачать индивидуальный QR-код магазина")</f>
        <v>Скачать индивидуальный QR-код магазина</v>
      </c>
    </row>
    <row r="6002" spans="1:7" x14ac:dyDescent="0.25">
      <c r="A6002" t="s">
        <v>18820</v>
      </c>
      <c r="B6002" t="s">
        <v>19126</v>
      </c>
      <c r="C6002" t="s">
        <v>19127</v>
      </c>
      <c r="D6002" t="s">
        <v>19128</v>
      </c>
      <c r="E6002" t="s">
        <v>19129</v>
      </c>
      <c r="F6002" t="s">
        <v>19130</v>
      </c>
      <c r="G6002" s="2" t="str">
        <f>HYPERLINK("https://probpalata.gov.ru/files/ИП770101816500000.jpeg","Скачать индивидуальный QR-код магазина")</f>
        <v>Скачать индивидуальный QR-код магазина</v>
      </c>
    </row>
    <row r="6003" spans="1:7" x14ac:dyDescent="0.25">
      <c r="A6003" t="s">
        <v>18820</v>
      </c>
      <c r="B6003" t="s">
        <v>19131</v>
      </c>
      <c r="C6003" t="s">
        <v>13607</v>
      </c>
      <c r="D6003" t="s">
        <v>13608</v>
      </c>
      <c r="E6003" t="s">
        <v>13609</v>
      </c>
      <c r="F6003" t="s">
        <v>19132</v>
      </c>
      <c r="G6003" s="2" t="str">
        <f>HYPERLINK("https://probpalata.gov.ru/files/ЮЛ230403107400019.jpeg","Скачать индивидуальный QR-код магазина")</f>
        <v>Скачать индивидуальный QR-код магазина</v>
      </c>
    </row>
    <row r="6004" spans="1:7" x14ac:dyDescent="0.25">
      <c r="A6004" t="s">
        <v>18820</v>
      </c>
      <c r="B6004" t="s">
        <v>19133</v>
      </c>
      <c r="C6004" t="s">
        <v>13607</v>
      </c>
      <c r="D6004" t="s">
        <v>13608</v>
      </c>
      <c r="E6004" t="s">
        <v>13609</v>
      </c>
      <c r="F6004" t="s">
        <v>19134</v>
      </c>
      <c r="G6004" s="2" t="str">
        <f>HYPERLINK("https://probpalata.gov.ru/files/ЮЛ230403107400027.jpeg","Скачать индивидуальный QR-код магазина")</f>
        <v>Скачать индивидуальный QR-код магазина</v>
      </c>
    </row>
    <row r="6005" spans="1:7" x14ac:dyDescent="0.25">
      <c r="A6005" t="s">
        <v>18820</v>
      </c>
      <c r="B6005" t="s">
        <v>19135</v>
      </c>
      <c r="C6005" t="s">
        <v>19136</v>
      </c>
      <c r="D6005" t="s">
        <v>19137</v>
      </c>
      <c r="E6005" t="s">
        <v>19138</v>
      </c>
      <c r="F6005" t="s">
        <v>19139</v>
      </c>
      <c r="G6005" s="2" t="str">
        <f>HYPERLINK("https://probpalata.gov.ru/files/ИП770103971500000.jpeg","Скачать индивидуальный QR-код магазина")</f>
        <v>Скачать индивидуальный QR-код магазина</v>
      </c>
    </row>
    <row r="6006" spans="1:7" x14ac:dyDescent="0.25">
      <c r="A6006" t="s">
        <v>18820</v>
      </c>
      <c r="B6006" t="s">
        <v>19140</v>
      </c>
      <c r="C6006" t="s">
        <v>19141</v>
      </c>
      <c r="D6006" t="s">
        <v>19142</v>
      </c>
      <c r="E6006" t="s">
        <v>19143</v>
      </c>
      <c r="F6006" t="s">
        <v>19144</v>
      </c>
      <c r="G6006" s="2" t="str">
        <f>HYPERLINK("https://probpalata.gov.ru/files/ИП770101971000000.jpeg","Скачать индивидуальный QR-код магазина")</f>
        <v>Скачать индивидуальный QR-код магазина</v>
      </c>
    </row>
    <row r="6007" spans="1:7" x14ac:dyDescent="0.25">
      <c r="A6007" t="s">
        <v>18820</v>
      </c>
      <c r="B6007" t="s">
        <v>19145</v>
      </c>
      <c r="C6007" t="s">
        <v>19146</v>
      </c>
      <c r="D6007" t="s">
        <v>19147</v>
      </c>
      <c r="E6007" t="s">
        <v>19148</v>
      </c>
      <c r="F6007" t="s">
        <v>19149</v>
      </c>
      <c r="G6007" s="2" t="str">
        <f>HYPERLINK("https://probpalata.gov.ru/files/ИП230401852400000.jpeg","Скачать индивидуальный QR-код магазина")</f>
        <v>Скачать индивидуальный QR-код магазина</v>
      </c>
    </row>
    <row r="6008" spans="1:7" x14ac:dyDescent="0.25">
      <c r="A6008" t="s">
        <v>18820</v>
      </c>
      <c r="B6008" t="s">
        <v>19150</v>
      </c>
      <c r="C6008" t="s">
        <v>19151</v>
      </c>
      <c r="D6008" t="s">
        <v>19152</v>
      </c>
      <c r="E6008" t="s">
        <v>19153</v>
      </c>
      <c r="F6008" t="s">
        <v>19154</v>
      </c>
      <c r="G6008" s="2" t="str">
        <f>HYPERLINK("https://probpalata.gov.ru/files/ИП230403168500000.jpeg","Скачать индивидуальный QR-код магазина")</f>
        <v>Скачать индивидуальный QR-код магазина</v>
      </c>
    </row>
    <row r="6009" spans="1:7" x14ac:dyDescent="0.25">
      <c r="A6009" t="s">
        <v>18820</v>
      </c>
      <c r="B6009" t="s">
        <v>19155</v>
      </c>
      <c r="C6009" t="s">
        <v>19156</v>
      </c>
      <c r="D6009" t="s">
        <v>19157</v>
      </c>
      <c r="E6009" t="s">
        <v>19158</v>
      </c>
      <c r="F6009" t="s">
        <v>19159</v>
      </c>
      <c r="G6009" s="2" t="str">
        <f>HYPERLINK("https://probpalata.gov.ru/files/ИП230400653900000.jpeg","Скачать индивидуальный QR-код магазина")</f>
        <v>Скачать индивидуальный QR-код магазина</v>
      </c>
    </row>
    <row r="6010" spans="1:7" x14ac:dyDescent="0.25">
      <c r="A6010" t="s">
        <v>18820</v>
      </c>
      <c r="B6010" t="s">
        <v>19160</v>
      </c>
      <c r="C6010" t="s">
        <v>19161</v>
      </c>
      <c r="D6010" t="s">
        <v>19162</v>
      </c>
      <c r="E6010" t="s">
        <v>19163</v>
      </c>
      <c r="F6010" t="s">
        <v>19164</v>
      </c>
      <c r="G6010" s="2" t="str">
        <f>HYPERLINK("https://probpalata.gov.ru/files/ИП770104084500000.jpeg","Скачать индивидуальный QR-код магазина")</f>
        <v>Скачать индивидуальный QR-код магазина</v>
      </c>
    </row>
    <row r="6011" spans="1:7" x14ac:dyDescent="0.25">
      <c r="A6011" t="s">
        <v>18820</v>
      </c>
      <c r="B6011" t="s">
        <v>19165</v>
      </c>
      <c r="C6011" t="s">
        <v>19166</v>
      </c>
      <c r="D6011" t="s">
        <v>19167</v>
      </c>
      <c r="E6011" t="s">
        <v>19168</v>
      </c>
      <c r="F6011" t="s">
        <v>19169</v>
      </c>
      <c r="G6011" s="2" t="str">
        <f>HYPERLINK("https://probpalata.gov.ru/files/ЮЛ230403149800000.jpeg","Скачать индивидуальный QR-код магазина")</f>
        <v>Скачать индивидуальный QR-код магазина</v>
      </c>
    </row>
    <row r="6012" spans="1:7" x14ac:dyDescent="0.25">
      <c r="A6012" t="s">
        <v>18820</v>
      </c>
      <c r="B6012" t="s">
        <v>19170</v>
      </c>
      <c r="C6012" t="s">
        <v>19166</v>
      </c>
      <c r="D6012" t="s">
        <v>19167</v>
      </c>
      <c r="E6012" t="s">
        <v>19168</v>
      </c>
      <c r="F6012" t="s">
        <v>19171</v>
      </c>
      <c r="G6012" s="2" t="str">
        <f>HYPERLINK("https://probpalata.gov.ru/files/ЮЛ230403149800007.jpeg","Скачать индивидуальный QR-код магазина")</f>
        <v>Скачать индивидуальный QR-код магазина</v>
      </c>
    </row>
    <row r="6013" spans="1:7" x14ac:dyDescent="0.25">
      <c r="A6013" t="s">
        <v>18820</v>
      </c>
      <c r="B6013" t="s">
        <v>19172</v>
      </c>
      <c r="C6013" t="s">
        <v>19166</v>
      </c>
      <c r="D6013" t="s">
        <v>19167</v>
      </c>
      <c r="E6013" t="s">
        <v>19168</v>
      </c>
      <c r="F6013" t="s">
        <v>19173</v>
      </c>
      <c r="G6013" s="2" t="str">
        <f>HYPERLINK("https://probpalata.gov.ru/files/ЮЛ230403149800010.jpeg","Скачать индивидуальный QR-код магазина")</f>
        <v>Скачать индивидуальный QR-код магазина</v>
      </c>
    </row>
    <row r="6014" spans="1:7" x14ac:dyDescent="0.25">
      <c r="A6014" t="s">
        <v>18820</v>
      </c>
      <c r="B6014" t="s">
        <v>19174</v>
      </c>
      <c r="C6014" t="s">
        <v>19166</v>
      </c>
      <c r="D6014" t="s">
        <v>19167</v>
      </c>
      <c r="E6014" t="s">
        <v>19168</v>
      </c>
      <c r="F6014" t="s">
        <v>19175</v>
      </c>
      <c r="G6014" s="2" t="str">
        <f>HYPERLINK("https://probpalata.gov.ru/files/ЮЛ230403149800012.jpeg","Скачать индивидуальный QR-код магазина")</f>
        <v>Скачать индивидуальный QR-код магазина</v>
      </c>
    </row>
    <row r="6015" spans="1:7" x14ac:dyDescent="0.25">
      <c r="A6015" t="s">
        <v>18820</v>
      </c>
      <c r="B6015" t="s">
        <v>19176</v>
      </c>
      <c r="C6015" t="s">
        <v>19166</v>
      </c>
      <c r="D6015" t="s">
        <v>19167</v>
      </c>
      <c r="E6015" t="s">
        <v>19168</v>
      </c>
      <c r="F6015" t="s">
        <v>19177</v>
      </c>
      <c r="G6015" s="2" t="str">
        <f>HYPERLINK("https://probpalata.gov.ru/files/ЮЛ230403149800013.jpeg","Скачать индивидуальный QR-код магазина")</f>
        <v>Скачать индивидуальный QR-код магазина</v>
      </c>
    </row>
    <row r="6016" spans="1:7" x14ac:dyDescent="0.25">
      <c r="A6016" t="s">
        <v>18820</v>
      </c>
      <c r="B6016" t="s">
        <v>19178</v>
      </c>
      <c r="C6016" t="s">
        <v>19166</v>
      </c>
      <c r="D6016" t="s">
        <v>19167</v>
      </c>
      <c r="E6016" t="s">
        <v>19168</v>
      </c>
      <c r="F6016" t="s">
        <v>19179</v>
      </c>
      <c r="G6016" s="2" t="str">
        <f>HYPERLINK("https://probpalata.gov.ru/files/ЮЛ230403149800015.jpeg","Скачать индивидуальный QR-код магазина")</f>
        <v>Скачать индивидуальный QR-код магазина</v>
      </c>
    </row>
    <row r="6017" spans="1:7" x14ac:dyDescent="0.25">
      <c r="A6017" t="s">
        <v>18820</v>
      </c>
      <c r="B6017" t="s">
        <v>19180</v>
      </c>
      <c r="C6017" t="s">
        <v>19166</v>
      </c>
      <c r="D6017" t="s">
        <v>19167</v>
      </c>
      <c r="E6017" t="s">
        <v>19168</v>
      </c>
      <c r="F6017" t="s">
        <v>19181</v>
      </c>
      <c r="G6017" s="2" t="str">
        <f>HYPERLINK("https://probpalata.gov.ru/files/ЮЛ230403149800018.jpeg","Скачать индивидуальный QR-код магазина")</f>
        <v>Скачать индивидуальный QR-код магазина</v>
      </c>
    </row>
    <row r="6018" spans="1:7" x14ac:dyDescent="0.25">
      <c r="A6018" t="s">
        <v>18820</v>
      </c>
      <c r="B6018" t="s">
        <v>19182</v>
      </c>
      <c r="C6018" t="s">
        <v>19183</v>
      </c>
      <c r="D6018" t="s">
        <v>19184</v>
      </c>
      <c r="E6018" t="s">
        <v>19185</v>
      </c>
      <c r="F6018" t="s">
        <v>19186</v>
      </c>
      <c r="G6018" s="2" t="str">
        <f>HYPERLINK("https://probpalata.gov.ru/files/ИП770100221900000.jpeg","Скачать индивидуальный QR-код магазина")</f>
        <v>Скачать индивидуальный QR-код магазина</v>
      </c>
    </row>
    <row r="6019" spans="1:7" x14ac:dyDescent="0.25">
      <c r="A6019" t="s">
        <v>18820</v>
      </c>
      <c r="B6019" t="s">
        <v>19187</v>
      </c>
      <c r="C6019" t="s">
        <v>19188</v>
      </c>
      <c r="D6019" t="s">
        <v>19189</v>
      </c>
      <c r="E6019" t="s">
        <v>19190</v>
      </c>
      <c r="F6019" t="s">
        <v>19191</v>
      </c>
      <c r="G6019" s="2" t="str">
        <f>HYPERLINK("https://probpalata.gov.ru/files/ИП500101671600000.jpeg","Скачать индивидуальный QR-код магазина")</f>
        <v>Скачать индивидуальный QR-код магазина</v>
      </c>
    </row>
    <row r="6020" spans="1:7" x14ac:dyDescent="0.25">
      <c r="A6020" t="s">
        <v>18820</v>
      </c>
      <c r="B6020" t="s">
        <v>19192</v>
      </c>
      <c r="C6020" t="s">
        <v>19193</v>
      </c>
      <c r="D6020" t="s">
        <v>19194</v>
      </c>
      <c r="E6020" t="s">
        <v>19195</v>
      </c>
      <c r="F6020" t="s">
        <v>19196</v>
      </c>
      <c r="G6020" s="2" t="str">
        <f>HYPERLINK("https://probpalata.gov.ru/files/ИП470303958300000.jpeg","Скачать индивидуальный QR-код магазина")</f>
        <v>Скачать индивидуальный QR-код магазина</v>
      </c>
    </row>
    <row r="6021" spans="1:7" x14ac:dyDescent="0.25">
      <c r="A6021" t="s">
        <v>18820</v>
      </c>
      <c r="B6021" t="s">
        <v>19197</v>
      </c>
      <c r="C6021" t="s">
        <v>19198</v>
      </c>
      <c r="D6021" t="s">
        <v>19199</v>
      </c>
      <c r="E6021" t="s">
        <v>19200</v>
      </c>
      <c r="F6021" t="s">
        <v>19201</v>
      </c>
      <c r="G6021" s="2" t="str">
        <f>HYPERLINK("https://probpalata.gov.ru/files/ИП500101651700001.jpeg","Скачать индивидуальный QR-код магазина")</f>
        <v>Скачать индивидуальный QR-код магазина</v>
      </c>
    </row>
    <row r="6022" spans="1:7" x14ac:dyDescent="0.25">
      <c r="A6022" t="s">
        <v>18820</v>
      </c>
      <c r="B6022" t="s">
        <v>19202</v>
      </c>
      <c r="C6022" t="s">
        <v>19203</v>
      </c>
      <c r="D6022" t="s">
        <v>19204</v>
      </c>
      <c r="E6022" t="s">
        <v>19205</v>
      </c>
      <c r="F6022" t="s">
        <v>19206</v>
      </c>
      <c r="G6022" s="2" t="str">
        <f>HYPERLINK("https://probpalata.gov.ru/files/ЮЛ240800402400004.jpeg","Скачать индивидуальный QR-код магазина")</f>
        <v>Скачать индивидуальный QR-код магазина</v>
      </c>
    </row>
    <row r="6023" spans="1:7" x14ac:dyDescent="0.25">
      <c r="A6023" t="s">
        <v>18820</v>
      </c>
      <c r="B6023" t="s">
        <v>19207</v>
      </c>
      <c r="C6023" t="s">
        <v>19203</v>
      </c>
      <c r="D6023" t="s">
        <v>19204</v>
      </c>
      <c r="E6023" t="s">
        <v>19205</v>
      </c>
      <c r="F6023" t="s">
        <v>19208</v>
      </c>
      <c r="G6023" s="2" t="str">
        <f>HYPERLINK("https://probpalata.gov.ru/files/ЮЛ240800402400005.jpeg","Скачать индивидуальный QR-код магазина")</f>
        <v>Скачать индивидуальный QR-код магазина</v>
      </c>
    </row>
    <row r="6024" spans="1:7" x14ac:dyDescent="0.25">
      <c r="A6024" t="s">
        <v>18820</v>
      </c>
      <c r="B6024" t="s">
        <v>19209</v>
      </c>
      <c r="C6024" t="s">
        <v>19203</v>
      </c>
      <c r="D6024" t="s">
        <v>19204</v>
      </c>
      <c r="E6024" t="s">
        <v>19205</v>
      </c>
      <c r="F6024" t="s">
        <v>19210</v>
      </c>
      <c r="G6024" s="2" t="str">
        <f>HYPERLINK("https://probpalata.gov.ru/files/ЮЛ240800402400006.jpeg","Скачать индивидуальный QR-код магазина")</f>
        <v>Скачать индивидуальный QR-код магазина</v>
      </c>
    </row>
    <row r="6025" spans="1:7" x14ac:dyDescent="0.25">
      <c r="A6025" t="s">
        <v>18820</v>
      </c>
      <c r="B6025" t="s">
        <v>19211</v>
      </c>
      <c r="C6025" t="s">
        <v>19203</v>
      </c>
      <c r="D6025" t="s">
        <v>19204</v>
      </c>
      <c r="E6025" t="s">
        <v>19205</v>
      </c>
      <c r="F6025" t="s">
        <v>19212</v>
      </c>
      <c r="G6025" s="2" t="str">
        <f>HYPERLINK("https://probpalata.gov.ru/files/ЮЛ240800402400007.jpeg","Скачать индивидуальный QR-код магазина")</f>
        <v>Скачать индивидуальный QR-код магазина</v>
      </c>
    </row>
    <row r="6026" spans="1:7" x14ac:dyDescent="0.25">
      <c r="A6026" t="s">
        <v>18820</v>
      </c>
      <c r="B6026" t="s">
        <v>19213</v>
      </c>
      <c r="C6026" t="s">
        <v>19203</v>
      </c>
      <c r="D6026" t="s">
        <v>19204</v>
      </c>
      <c r="E6026" t="s">
        <v>19205</v>
      </c>
      <c r="F6026" t="s">
        <v>19214</v>
      </c>
      <c r="G6026" s="2" t="str">
        <f>HYPERLINK("https://probpalata.gov.ru/files/ЮЛ240800402400008.jpeg","Скачать индивидуальный QR-код магазина")</f>
        <v>Скачать индивидуальный QR-код магазина</v>
      </c>
    </row>
    <row r="6027" spans="1:7" x14ac:dyDescent="0.25">
      <c r="A6027" t="s">
        <v>18820</v>
      </c>
      <c r="B6027" t="s">
        <v>19215</v>
      </c>
      <c r="C6027" t="s">
        <v>19203</v>
      </c>
      <c r="D6027" t="s">
        <v>19204</v>
      </c>
      <c r="E6027" t="s">
        <v>19205</v>
      </c>
      <c r="F6027" t="s">
        <v>19216</v>
      </c>
      <c r="G6027" s="2" t="str">
        <f>HYPERLINK("https://probpalata.gov.ru/files/ЮЛ240800402400009.jpeg","Скачать индивидуальный QR-код магазина")</f>
        <v>Скачать индивидуальный QR-код магазина</v>
      </c>
    </row>
    <row r="6028" spans="1:7" x14ac:dyDescent="0.25">
      <c r="A6028" t="s">
        <v>18820</v>
      </c>
      <c r="B6028" t="s">
        <v>19217</v>
      </c>
      <c r="C6028" t="s">
        <v>19203</v>
      </c>
      <c r="D6028" t="s">
        <v>19204</v>
      </c>
      <c r="E6028" t="s">
        <v>19205</v>
      </c>
      <c r="F6028" t="s">
        <v>19218</v>
      </c>
      <c r="G6028" s="2" t="str">
        <f>HYPERLINK("https://probpalata.gov.ru/files/ЮЛ240800402400011.jpeg","Скачать индивидуальный QR-код магазина")</f>
        <v>Скачать индивидуальный QR-код магазина</v>
      </c>
    </row>
    <row r="6029" spans="1:7" x14ac:dyDescent="0.25">
      <c r="A6029" t="s">
        <v>18820</v>
      </c>
      <c r="B6029" t="s">
        <v>19219</v>
      </c>
      <c r="C6029" t="s">
        <v>19203</v>
      </c>
      <c r="D6029" t="s">
        <v>19204</v>
      </c>
      <c r="E6029" t="s">
        <v>19205</v>
      </c>
      <c r="F6029" t="s">
        <v>19220</v>
      </c>
      <c r="G6029" s="2" t="str">
        <f>HYPERLINK("https://probpalata.gov.ru/files/ЮЛ240800402400012.jpeg","Скачать индивидуальный QR-код магазина")</f>
        <v>Скачать индивидуальный QR-код магазина</v>
      </c>
    </row>
    <row r="6030" spans="1:7" x14ac:dyDescent="0.25">
      <c r="A6030" t="s">
        <v>18820</v>
      </c>
      <c r="B6030" t="s">
        <v>19221</v>
      </c>
      <c r="C6030" t="s">
        <v>19203</v>
      </c>
      <c r="D6030" t="s">
        <v>19204</v>
      </c>
      <c r="E6030" t="s">
        <v>19205</v>
      </c>
      <c r="F6030" t="s">
        <v>19222</v>
      </c>
      <c r="G6030" s="2" t="str">
        <f>HYPERLINK("https://probpalata.gov.ru/files/ЮЛ240800402400013.jpeg","Скачать индивидуальный QR-код магазина")</f>
        <v>Скачать индивидуальный QR-код магазина</v>
      </c>
    </row>
    <row r="6031" spans="1:7" x14ac:dyDescent="0.25">
      <c r="A6031" t="s">
        <v>18820</v>
      </c>
      <c r="B6031" t="s">
        <v>19131</v>
      </c>
      <c r="C6031" t="s">
        <v>19203</v>
      </c>
      <c r="D6031" t="s">
        <v>19204</v>
      </c>
      <c r="E6031" t="s">
        <v>19205</v>
      </c>
      <c r="F6031" t="s">
        <v>19223</v>
      </c>
      <c r="G6031" s="2" t="str">
        <f>HYPERLINK("https://probpalata.gov.ru/files/ЮЛ240800402400014.jpeg","Скачать индивидуальный QR-код магазина")</f>
        <v>Скачать индивидуальный QR-код магазина</v>
      </c>
    </row>
    <row r="6032" spans="1:7" x14ac:dyDescent="0.25">
      <c r="A6032" t="s">
        <v>18820</v>
      </c>
      <c r="B6032" t="s">
        <v>19224</v>
      </c>
      <c r="C6032" t="s">
        <v>19203</v>
      </c>
      <c r="D6032" t="s">
        <v>19204</v>
      </c>
      <c r="E6032" t="s">
        <v>19205</v>
      </c>
      <c r="F6032" t="s">
        <v>19225</v>
      </c>
      <c r="G6032" s="2" t="str">
        <f>HYPERLINK("https://probpalata.gov.ru/files/ЮЛ240800402400015.jpeg","Скачать индивидуальный QR-код магазина")</f>
        <v>Скачать индивидуальный QR-код магазина</v>
      </c>
    </row>
    <row r="6033" spans="1:7" x14ac:dyDescent="0.25">
      <c r="A6033" t="s">
        <v>18820</v>
      </c>
      <c r="B6033" t="s">
        <v>19226</v>
      </c>
      <c r="C6033" t="s">
        <v>19203</v>
      </c>
      <c r="D6033" t="s">
        <v>19204</v>
      </c>
      <c r="E6033" t="s">
        <v>19205</v>
      </c>
      <c r="F6033" t="s">
        <v>19227</v>
      </c>
      <c r="G6033" s="2" t="str">
        <f>HYPERLINK("https://probpalata.gov.ru/files/ЮЛ240800402400016.jpeg","Скачать индивидуальный QR-код магазина")</f>
        <v>Скачать индивидуальный QR-код магазина</v>
      </c>
    </row>
    <row r="6034" spans="1:7" x14ac:dyDescent="0.25">
      <c r="A6034" t="s">
        <v>18820</v>
      </c>
      <c r="B6034" t="s">
        <v>19228</v>
      </c>
      <c r="C6034" t="s">
        <v>19229</v>
      </c>
      <c r="D6034" t="s">
        <v>19230</v>
      </c>
      <c r="E6034" t="s">
        <v>19231</v>
      </c>
      <c r="F6034" t="s">
        <v>19232</v>
      </c>
      <c r="G6034" s="2" t="str">
        <f>HYPERLINK("https://probpalata.gov.ru/files/ИП500101683900000.jpeg","Скачать индивидуальный QR-код магазина")</f>
        <v>Скачать индивидуальный QR-код магазина</v>
      </c>
    </row>
    <row r="6035" spans="1:7" x14ac:dyDescent="0.25">
      <c r="A6035" t="s">
        <v>18820</v>
      </c>
      <c r="B6035" t="s">
        <v>19233</v>
      </c>
      <c r="C6035" t="s">
        <v>19234</v>
      </c>
      <c r="D6035" t="s">
        <v>19235</v>
      </c>
      <c r="E6035" t="s">
        <v>19236</v>
      </c>
      <c r="F6035" t="s">
        <v>19237</v>
      </c>
      <c r="G6035" s="2" t="str">
        <f>HYPERLINK("https://probpalata.gov.ru/files/ЮЛ770100052400000.jpeg","Скачать индивидуальный QR-код магазина")</f>
        <v>Скачать индивидуальный QR-код магазина</v>
      </c>
    </row>
    <row r="6036" spans="1:7" x14ac:dyDescent="0.25">
      <c r="A6036" t="s">
        <v>18820</v>
      </c>
      <c r="B6036" t="s">
        <v>19238</v>
      </c>
      <c r="C6036" t="s">
        <v>19234</v>
      </c>
      <c r="D6036" t="s">
        <v>19235</v>
      </c>
      <c r="E6036" t="s">
        <v>19236</v>
      </c>
      <c r="F6036" t="s">
        <v>19239</v>
      </c>
      <c r="G6036" s="2" t="str">
        <f>HYPERLINK("https://probpalata.gov.ru/files/ЮЛ770100052400001.jpeg","Скачать индивидуальный QR-код магазина")</f>
        <v>Скачать индивидуальный QR-код магазина</v>
      </c>
    </row>
    <row r="6037" spans="1:7" x14ac:dyDescent="0.25">
      <c r="A6037" t="s">
        <v>18820</v>
      </c>
      <c r="B6037" t="s">
        <v>19240</v>
      </c>
      <c r="C6037" t="s">
        <v>19234</v>
      </c>
      <c r="D6037" t="s">
        <v>19235</v>
      </c>
      <c r="E6037" t="s">
        <v>19236</v>
      </c>
      <c r="F6037" t="s">
        <v>19241</v>
      </c>
      <c r="G6037" s="2" t="str">
        <f>HYPERLINK("https://probpalata.gov.ru/files/ЮЛ770100052400002.jpeg","Скачать индивидуальный QR-код магазина")</f>
        <v>Скачать индивидуальный QR-код магазина</v>
      </c>
    </row>
    <row r="6038" spans="1:7" x14ac:dyDescent="0.25">
      <c r="A6038" t="s">
        <v>18820</v>
      </c>
      <c r="B6038" t="s">
        <v>19242</v>
      </c>
      <c r="C6038" t="s">
        <v>19234</v>
      </c>
      <c r="D6038" t="s">
        <v>19235</v>
      </c>
      <c r="E6038" t="s">
        <v>19236</v>
      </c>
      <c r="F6038" t="s">
        <v>19243</v>
      </c>
      <c r="G6038" s="2" t="str">
        <f>HYPERLINK("https://probpalata.gov.ru/files/ЮЛ770100052400005.jpeg","Скачать индивидуальный QR-код магазина")</f>
        <v>Скачать индивидуальный QR-код магазина</v>
      </c>
    </row>
    <row r="6039" spans="1:7" x14ac:dyDescent="0.25">
      <c r="A6039" t="s">
        <v>18820</v>
      </c>
      <c r="B6039" t="s">
        <v>19244</v>
      </c>
      <c r="C6039" t="s">
        <v>19245</v>
      </c>
      <c r="D6039" t="s">
        <v>19246</v>
      </c>
      <c r="E6039" t="s">
        <v>19247</v>
      </c>
      <c r="F6039" t="s">
        <v>19248</v>
      </c>
      <c r="G6039" s="2" t="str">
        <f>HYPERLINK("https://probpalata.gov.ru/files/ИП500103912800000.jpeg","Скачать индивидуальный QR-код магазина")</f>
        <v>Скачать индивидуальный QR-код магазина</v>
      </c>
    </row>
    <row r="6040" spans="1:7" x14ac:dyDescent="0.25">
      <c r="A6040" t="s">
        <v>18820</v>
      </c>
      <c r="B6040" t="s">
        <v>19249</v>
      </c>
      <c r="C6040" t="s">
        <v>19250</v>
      </c>
      <c r="D6040" t="s">
        <v>19251</v>
      </c>
      <c r="E6040" t="s">
        <v>19252</v>
      </c>
      <c r="F6040" t="s">
        <v>19253</v>
      </c>
      <c r="G6040" s="2" t="str">
        <f>HYPERLINK("https://probpalata.gov.ru/files/ЮЛ260501309700001.jpeg","Скачать индивидуальный QR-код магазина")</f>
        <v>Скачать индивидуальный QR-код магазина</v>
      </c>
    </row>
    <row r="6041" spans="1:7" x14ac:dyDescent="0.25">
      <c r="A6041" t="s">
        <v>18820</v>
      </c>
      <c r="B6041" t="s">
        <v>19254</v>
      </c>
      <c r="C6041" t="s">
        <v>19250</v>
      </c>
      <c r="D6041" t="s">
        <v>19251</v>
      </c>
      <c r="E6041" t="s">
        <v>19252</v>
      </c>
      <c r="F6041" t="s">
        <v>19255</v>
      </c>
      <c r="G6041" s="2" t="str">
        <f>HYPERLINK("https://probpalata.gov.ru/files/ЮЛ260501309700009.jpeg","Скачать индивидуальный QR-код магазина")</f>
        <v>Скачать индивидуальный QR-код магазина</v>
      </c>
    </row>
    <row r="6042" spans="1:7" x14ac:dyDescent="0.25">
      <c r="A6042" t="s">
        <v>18820</v>
      </c>
      <c r="B6042" t="s">
        <v>19256</v>
      </c>
      <c r="C6042" t="s">
        <v>19257</v>
      </c>
      <c r="D6042" t="s">
        <v>19258</v>
      </c>
      <c r="E6042" t="s">
        <v>19259</v>
      </c>
      <c r="F6042" t="s">
        <v>19260</v>
      </c>
      <c r="G6042" s="2" t="str">
        <f>HYPERLINK("https://probpalata.gov.ru/files/ИП770101536200000.jpeg","Скачать индивидуальный QR-код магазина")</f>
        <v>Скачать индивидуальный QR-код магазина</v>
      </c>
    </row>
    <row r="6043" spans="1:7" x14ac:dyDescent="0.25">
      <c r="A6043" t="s">
        <v>18820</v>
      </c>
      <c r="B6043" t="s">
        <v>19261</v>
      </c>
      <c r="C6043" t="s">
        <v>19262</v>
      </c>
      <c r="D6043" t="s">
        <v>19263</v>
      </c>
      <c r="E6043" t="s">
        <v>19264</v>
      </c>
      <c r="F6043" t="s">
        <v>19265</v>
      </c>
      <c r="G6043" s="2" t="str">
        <f>HYPERLINK("https://probpalata.gov.ru/files/ИП500101012100000.jpeg","Скачать индивидуальный QR-код магазина")</f>
        <v>Скачать индивидуальный QR-код магазина</v>
      </c>
    </row>
    <row r="6044" spans="1:7" x14ac:dyDescent="0.25">
      <c r="A6044" t="s">
        <v>18820</v>
      </c>
      <c r="B6044" t="s">
        <v>19266</v>
      </c>
      <c r="C6044" t="s">
        <v>19267</v>
      </c>
      <c r="D6044" t="s">
        <v>19268</v>
      </c>
      <c r="E6044" t="s">
        <v>19269</v>
      </c>
      <c r="F6044" t="s">
        <v>19270</v>
      </c>
      <c r="G6044" s="2" t="str">
        <f>HYPERLINK("https://probpalata.gov.ru/files/ИП770103497200000.jpeg","Скачать индивидуальный QR-код магазина")</f>
        <v>Скачать индивидуальный QR-код магазина</v>
      </c>
    </row>
    <row r="6045" spans="1:7" x14ac:dyDescent="0.25">
      <c r="A6045" t="s">
        <v>18820</v>
      </c>
      <c r="B6045" t="s">
        <v>19271</v>
      </c>
      <c r="C6045" t="s">
        <v>19272</v>
      </c>
      <c r="D6045" t="s">
        <v>19273</v>
      </c>
      <c r="E6045" t="s">
        <v>19274</v>
      </c>
      <c r="F6045" t="s">
        <v>19275</v>
      </c>
      <c r="G6045" s="2" t="str">
        <f>HYPERLINK("https://probpalata.gov.ru/files/ИП260503427700000.jpeg","Скачать индивидуальный QR-код магазина")</f>
        <v>Скачать индивидуальный QR-код магазина</v>
      </c>
    </row>
    <row r="6046" spans="1:7" x14ac:dyDescent="0.25">
      <c r="A6046" t="s">
        <v>18820</v>
      </c>
      <c r="B6046" t="s">
        <v>19276</v>
      </c>
      <c r="C6046" t="s">
        <v>19277</v>
      </c>
      <c r="D6046" t="s">
        <v>19278</v>
      </c>
      <c r="E6046" t="s">
        <v>19279</v>
      </c>
      <c r="F6046" t="s">
        <v>19280</v>
      </c>
      <c r="G6046" s="2" t="str">
        <f>HYPERLINK("https://probpalata.gov.ru/files/ИП770100234500000.jpeg","Скачать индивидуальный QR-код магазина")</f>
        <v>Скачать индивидуальный QR-код магазина</v>
      </c>
    </row>
    <row r="6047" spans="1:7" x14ac:dyDescent="0.25">
      <c r="A6047" t="s">
        <v>18820</v>
      </c>
      <c r="B6047" t="s">
        <v>19281</v>
      </c>
      <c r="C6047" t="s">
        <v>19282</v>
      </c>
      <c r="D6047" t="s">
        <v>19283</v>
      </c>
      <c r="E6047" t="s">
        <v>19284</v>
      </c>
      <c r="F6047" t="s">
        <v>19285</v>
      </c>
      <c r="G6047" s="2" t="str">
        <f>HYPERLINK("https://probpalata.gov.ru/files/ИП770103449700000.jpeg","Скачать индивидуальный QR-код магазина")</f>
        <v>Скачать индивидуальный QR-код магазина</v>
      </c>
    </row>
    <row r="6048" spans="1:7" x14ac:dyDescent="0.25">
      <c r="A6048" t="s">
        <v>18820</v>
      </c>
      <c r="B6048" t="s">
        <v>19286</v>
      </c>
      <c r="C6048" t="s">
        <v>19287</v>
      </c>
      <c r="D6048" t="s">
        <v>19288</v>
      </c>
      <c r="E6048" t="s">
        <v>19289</v>
      </c>
      <c r="F6048" t="s">
        <v>19290</v>
      </c>
      <c r="G6048" s="2" t="str">
        <f>HYPERLINK("https://probpalata.gov.ru/files/ИП500100302800000.jpeg","Скачать индивидуальный QR-код магазина")</f>
        <v>Скачать индивидуальный QR-код магазина</v>
      </c>
    </row>
    <row r="6049" spans="1:7" x14ac:dyDescent="0.25">
      <c r="A6049" t="s">
        <v>18820</v>
      </c>
      <c r="B6049" t="s">
        <v>19291</v>
      </c>
      <c r="C6049" t="s">
        <v>19292</v>
      </c>
      <c r="D6049" t="s">
        <v>19293</v>
      </c>
      <c r="E6049" t="s">
        <v>19294</v>
      </c>
      <c r="F6049" t="s">
        <v>19295</v>
      </c>
      <c r="G6049" s="2" t="str">
        <f>HYPERLINK("https://probpalata.gov.ru/files/ИП770100216500000.jpeg","Скачать индивидуальный QR-код магазина")</f>
        <v>Скачать индивидуальный QR-код магазина</v>
      </c>
    </row>
    <row r="6050" spans="1:7" x14ac:dyDescent="0.25">
      <c r="A6050" t="s">
        <v>18820</v>
      </c>
      <c r="B6050" t="s">
        <v>19296</v>
      </c>
      <c r="C6050" t="s">
        <v>19297</v>
      </c>
      <c r="D6050" t="s">
        <v>19298</v>
      </c>
      <c r="E6050" t="s">
        <v>19299</v>
      </c>
      <c r="F6050" t="s">
        <v>19300</v>
      </c>
      <c r="G6050" s="2" t="str">
        <f>HYPERLINK("https://probpalata.gov.ru/files/ИП770101588900000.jpeg","Скачать индивидуальный QR-код магазина")</f>
        <v>Скачать индивидуальный QR-код магазина</v>
      </c>
    </row>
    <row r="6051" spans="1:7" x14ac:dyDescent="0.25">
      <c r="A6051" t="s">
        <v>18820</v>
      </c>
      <c r="B6051" t="s">
        <v>19301</v>
      </c>
      <c r="C6051" t="s">
        <v>19302</v>
      </c>
      <c r="D6051" t="s">
        <v>19303</v>
      </c>
      <c r="E6051" t="s">
        <v>19304</v>
      </c>
      <c r="F6051" t="s">
        <v>19305</v>
      </c>
      <c r="G6051" s="2" t="str">
        <f>HYPERLINK("https://probpalata.gov.ru/files/ИП770100706000000.jpeg","Скачать индивидуальный QR-код магазина")</f>
        <v>Скачать индивидуальный QR-код магазина</v>
      </c>
    </row>
    <row r="6052" spans="1:7" x14ac:dyDescent="0.25">
      <c r="A6052" t="s">
        <v>18820</v>
      </c>
      <c r="B6052" t="s">
        <v>19306</v>
      </c>
      <c r="C6052" t="s">
        <v>19307</v>
      </c>
      <c r="D6052" t="s">
        <v>19308</v>
      </c>
      <c r="E6052" t="s">
        <v>19309</v>
      </c>
      <c r="F6052" t="s">
        <v>19310</v>
      </c>
      <c r="G6052" s="2" t="str">
        <f>HYPERLINK("https://probpalata.gov.ru/files/ИП330103783400001.jpeg","Скачать индивидуальный QR-код магазина")</f>
        <v>Скачать индивидуальный QR-код магазина</v>
      </c>
    </row>
    <row r="6053" spans="1:7" x14ac:dyDescent="0.25">
      <c r="A6053" t="s">
        <v>18820</v>
      </c>
      <c r="B6053" t="s">
        <v>19311</v>
      </c>
      <c r="C6053" t="s">
        <v>19312</v>
      </c>
      <c r="D6053" t="s">
        <v>19313</v>
      </c>
      <c r="E6053" t="s">
        <v>19314</v>
      </c>
      <c r="F6053" t="s">
        <v>19315</v>
      </c>
      <c r="G6053" s="2" t="str">
        <f>HYPERLINK("https://probpalata.gov.ru/files/ИП500103865400000.jpeg","Скачать индивидуальный QR-код магазина")</f>
        <v>Скачать индивидуальный QR-код магазина</v>
      </c>
    </row>
    <row r="6054" spans="1:7" x14ac:dyDescent="0.25">
      <c r="A6054" t="s">
        <v>18820</v>
      </c>
      <c r="B6054" t="s">
        <v>19316</v>
      </c>
      <c r="C6054" t="s">
        <v>19317</v>
      </c>
      <c r="D6054" t="s">
        <v>19318</v>
      </c>
      <c r="E6054" t="s">
        <v>19319</v>
      </c>
      <c r="F6054" t="s">
        <v>19320</v>
      </c>
      <c r="G6054" s="2" t="str">
        <f>HYPERLINK("https://probpalata.gov.ru/files/ИП500101138300000.jpeg","Скачать индивидуальный QR-код магазина")</f>
        <v>Скачать индивидуальный QR-код магазина</v>
      </c>
    </row>
    <row r="6055" spans="1:7" x14ac:dyDescent="0.25">
      <c r="A6055" t="s">
        <v>18820</v>
      </c>
      <c r="B6055" t="s">
        <v>19321</v>
      </c>
      <c r="C6055" t="s">
        <v>19322</v>
      </c>
      <c r="D6055" t="s">
        <v>19323</v>
      </c>
      <c r="E6055" t="s">
        <v>19324</v>
      </c>
      <c r="F6055" t="s">
        <v>19325</v>
      </c>
      <c r="G6055" s="2" t="str">
        <f>HYPERLINK("https://probpalata.gov.ru/files/ИП330100416100000.jpeg","Скачать индивидуальный QR-код магазина")</f>
        <v>Скачать индивидуальный QR-код магазина</v>
      </c>
    </row>
    <row r="6056" spans="1:7" x14ac:dyDescent="0.25">
      <c r="A6056" t="s">
        <v>18820</v>
      </c>
      <c r="B6056" t="s">
        <v>19326</v>
      </c>
      <c r="C6056" t="s">
        <v>19327</v>
      </c>
      <c r="D6056" t="s">
        <v>19328</v>
      </c>
      <c r="E6056" t="s">
        <v>19329</v>
      </c>
      <c r="F6056" t="s">
        <v>19330</v>
      </c>
      <c r="G6056" s="2" t="str">
        <f>HYPERLINK("https://probpalata.gov.ru/files/ИП330103688100000.jpeg","Скачать индивидуальный QR-код магазина")</f>
        <v>Скачать индивидуальный QR-код магазина</v>
      </c>
    </row>
    <row r="6057" spans="1:7" x14ac:dyDescent="0.25">
      <c r="A6057" t="s">
        <v>18820</v>
      </c>
      <c r="B6057" t="s">
        <v>19331</v>
      </c>
      <c r="C6057" t="s">
        <v>1721</v>
      </c>
      <c r="D6057" t="s">
        <v>1722</v>
      </c>
      <c r="E6057" t="s">
        <v>1723</v>
      </c>
      <c r="F6057" t="s">
        <v>19332</v>
      </c>
      <c r="G6057" s="2" t="str">
        <f>HYPERLINK("https://probpalata.gov.ru/files/ИП340400993200028.jpeg","Скачать индивидуальный QR-код магазина")</f>
        <v>Скачать индивидуальный QR-код магазина</v>
      </c>
    </row>
    <row r="6058" spans="1:7" x14ac:dyDescent="0.25">
      <c r="A6058" t="s">
        <v>18820</v>
      </c>
      <c r="B6058" t="s">
        <v>19333</v>
      </c>
      <c r="C6058" t="s">
        <v>19334</v>
      </c>
      <c r="D6058" t="s">
        <v>19335</v>
      </c>
      <c r="E6058" t="s">
        <v>19336</v>
      </c>
      <c r="F6058" t="s">
        <v>19337</v>
      </c>
      <c r="G6058" s="2" t="str">
        <f>HYPERLINK("https://probpalata.gov.ru/files/ИП340403149700000.jpeg","Скачать индивидуальный QR-код магазина")</f>
        <v>Скачать индивидуальный QR-код магазина</v>
      </c>
    </row>
    <row r="6059" spans="1:7" x14ac:dyDescent="0.25">
      <c r="A6059" t="s">
        <v>18820</v>
      </c>
      <c r="B6059" t="s">
        <v>19338</v>
      </c>
      <c r="C6059" t="s">
        <v>19339</v>
      </c>
      <c r="D6059" t="s">
        <v>19340</v>
      </c>
      <c r="E6059" t="s">
        <v>19341</v>
      </c>
      <c r="F6059" t="s">
        <v>19342</v>
      </c>
      <c r="G6059" s="2" t="str">
        <f>HYPERLINK("https://probpalata.gov.ru/files/ИП340401291600000.jpeg","Скачать индивидуальный QR-код магазина")</f>
        <v>Скачать индивидуальный QR-код магазина</v>
      </c>
    </row>
    <row r="6060" spans="1:7" x14ac:dyDescent="0.25">
      <c r="A6060" t="s">
        <v>18820</v>
      </c>
      <c r="B6060" t="s">
        <v>19343</v>
      </c>
      <c r="C6060" t="s">
        <v>19344</v>
      </c>
      <c r="D6060" t="s">
        <v>19345</v>
      </c>
      <c r="E6060" t="s">
        <v>19346</v>
      </c>
      <c r="F6060" t="s">
        <v>19347</v>
      </c>
      <c r="G6060" s="2" t="str">
        <f>HYPERLINK("https://probpalata.gov.ru/files/ИП770100624500000.jpeg","Скачать индивидуальный QR-код магазина")</f>
        <v>Скачать индивидуальный QR-код магазина</v>
      </c>
    </row>
    <row r="6061" spans="1:7" x14ac:dyDescent="0.25">
      <c r="A6061" t="s">
        <v>18820</v>
      </c>
      <c r="B6061" t="s">
        <v>19348</v>
      </c>
      <c r="C6061" t="s">
        <v>19344</v>
      </c>
      <c r="D6061" t="s">
        <v>19345</v>
      </c>
      <c r="E6061" t="s">
        <v>19346</v>
      </c>
      <c r="F6061" t="s">
        <v>19349</v>
      </c>
      <c r="G6061" s="2" t="str">
        <f>HYPERLINK("https://probpalata.gov.ru/files/ИП770100624500001.jpeg","Скачать индивидуальный QR-код магазина")</f>
        <v>Скачать индивидуальный QR-код магазина</v>
      </c>
    </row>
    <row r="6062" spans="1:7" x14ac:dyDescent="0.25">
      <c r="A6062" t="s">
        <v>18820</v>
      </c>
      <c r="B6062" t="s">
        <v>19350</v>
      </c>
      <c r="C6062" t="s">
        <v>1727</v>
      </c>
      <c r="D6062" t="s">
        <v>1728</v>
      </c>
      <c r="E6062" t="s">
        <v>1729</v>
      </c>
      <c r="F6062" t="s">
        <v>19351</v>
      </c>
      <c r="G6062" s="2" t="str">
        <f>HYPERLINK("https://probpalata.gov.ru/files/ЮЛ340400964300029.jpeg","Скачать индивидуальный QR-код магазина")</f>
        <v>Скачать индивидуальный QR-код магазина</v>
      </c>
    </row>
    <row r="6063" spans="1:7" x14ac:dyDescent="0.25">
      <c r="A6063" t="s">
        <v>18820</v>
      </c>
      <c r="B6063" t="s">
        <v>19352</v>
      </c>
      <c r="C6063" t="s">
        <v>19353</v>
      </c>
      <c r="D6063" t="s">
        <v>19354</v>
      </c>
      <c r="E6063" t="s">
        <v>19355</v>
      </c>
      <c r="F6063" t="s">
        <v>19356</v>
      </c>
      <c r="G6063" s="2" t="str">
        <f>HYPERLINK("https://probpalata.gov.ru/files/ИП350303718200000.jpeg","Скачать индивидуальный QR-код магазина")</f>
        <v>Скачать индивидуальный QR-код магазина</v>
      </c>
    </row>
    <row r="6064" spans="1:7" x14ac:dyDescent="0.25">
      <c r="A6064" t="s">
        <v>18820</v>
      </c>
      <c r="B6064" t="s">
        <v>19357</v>
      </c>
      <c r="C6064" t="s">
        <v>4444</v>
      </c>
      <c r="D6064" t="s">
        <v>4445</v>
      </c>
      <c r="E6064" t="s">
        <v>4446</v>
      </c>
      <c r="F6064" t="s">
        <v>19358</v>
      </c>
      <c r="G6064" s="2" t="str">
        <f>HYPERLINK("https://probpalata.gov.ru/files/ЮЛ350300010000003.jpeg","Скачать индивидуальный QR-код магазина")</f>
        <v>Скачать индивидуальный QR-код магазина</v>
      </c>
    </row>
    <row r="6065" spans="1:7" x14ac:dyDescent="0.25">
      <c r="A6065" t="s">
        <v>18820</v>
      </c>
      <c r="B6065" t="s">
        <v>19359</v>
      </c>
      <c r="C6065" t="s">
        <v>19360</v>
      </c>
      <c r="D6065" t="s">
        <v>19361</v>
      </c>
      <c r="E6065" t="s">
        <v>19362</v>
      </c>
      <c r="F6065" t="s">
        <v>19363</v>
      </c>
      <c r="G6065" s="2" t="str">
        <f>HYPERLINK("https://probpalata.gov.ru/files/ИП770100583500000.jpeg","Скачать индивидуальный QR-код магазина")</f>
        <v>Скачать индивидуальный QR-код магазина</v>
      </c>
    </row>
    <row r="6066" spans="1:7" x14ac:dyDescent="0.25">
      <c r="A6066" t="s">
        <v>18820</v>
      </c>
      <c r="B6066" t="s">
        <v>19364</v>
      </c>
      <c r="C6066" t="s">
        <v>19360</v>
      </c>
      <c r="D6066" t="s">
        <v>19361</v>
      </c>
      <c r="E6066" t="s">
        <v>19362</v>
      </c>
      <c r="F6066" t="s">
        <v>19365</v>
      </c>
      <c r="G6066" s="2" t="str">
        <f>HYPERLINK("https://probpalata.gov.ru/files/ИП770100583500002.jpeg","Скачать индивидуальный QR-код магазина")</f>
        <v>Скачать индивидуальный QR-код магазина</v>
      </c>
    </row>
    <row r="6067" spans="1:7" x14ac:dyDescent="0.25">
      <c r="A6067" t="s">
        <v>18820</v>
      </c>
      <c r="B6067" t="s">
        <v>19366</v>
      </c>
      <c r="C6067" t="s">
        <v>19367</v>
      </c>
      <c r="D6067" t="s">
        <v>19368</v>
      </c>
      <c r="E6067" t="s">
        <v>19369</v>
      </c>
      <c r="F6067" t="s">
        <v>19370</v>
      </c>
      <c r="G6067" s="2" t="str">
        <f>HYPERLINK("https://probpalata.gov.ru/files/ИП360101170800000.jpeg","Скачать индивидуальный QR-код магазина")</f>
        <v>Скачать индивидуальный QR-код магазина</v>
      </c>
    </row>
    <row r="6068" spans="1:7" x14ac:dyDescent="0.25">
      <c r="A6068" t="s">
        <v>18820</v>
      </c>
      <c r="B6068" t="s">
        <v>19371</v>
      </c>
      <c r="C6068" t="s">
        <v>19367</v>
      </c>
      <c r="D6068" t="s">
        <v>19368</v>
      </c>
      <c r="E6068" t="s">
        <v>19369</v>
      </c>
      <c r="F6068" t="s">
        <v>19372</v>
      </c>
      <c r="G6068" s="2" t="str">
        <f>HYPERLINK("https://probpalata.gov.ru/files/ИП360101170800007.jpeg","Скачать индивидуальный QR-код магазина")</f>
        <v>Скачать индивидуальный QR-код магазина</v>
      </c>
    </row>
    <row r="6069" spans="1:7" x14ac:dyDescent="0.25">
      <c r="A6069" t="s">
        <v>18820</v>
      </c>
      <c r="B6069" t="s">
        <v>19373</v>
      </c>
      <c r="C6069" t="s">
        <v>19374</v>
      </c>
      <c r="D6069" t="s">
        <v>19375</v>
      </c>
      <c r="E6069" t="s">
        <v>19376</v>
      </c>
      <c r="F6069" t="s">
        <v>19377</v>
      </c>
      <c r="G6069" s="2" t="str">
        <f>HYPERLINK("https://probpalata.gov.ru/files/ИП360100647900000.jpeg","Скачать индивидуальный QR-код магазина")</f>
        <v>Скачать индивидуальный QR-код магазина</v>
      </c>
    </row>
    <row r="6070" spans="1:7" x14ac:dyDescent="0.25">
      <c r="A6070" t="s">
        <v>18820</v>
      </c>
      <c r="B6070" t="s">
        <v>19378</v>
      </c>
      <c r="C6070" t="s">
        <v>19379</v>
      </c>
      <c r="D6070" t="s">
        <v>19380</v>
      </c>
      <c r="E6070" t="s">
        <v>19381</v>
      </c>
      <c r="F6070" t="s">
        <v>19382</v>
      </c>
      <c r="G6070" s="2" t="str">
        <f>HYPERLINK("https://probpalata.gov.ru/files/ЮЛ370203603300001.jpeg","Скачать индивидуальный QR-код магазина")</f>
        <v>Скачать индивидуальный QR-код магазина</v>
      </c>
    </row>
    <row r="6071" spans="1:7" x14ac:dyDescent="0.25">
      <c r="A6071" t="s">
        <v>18820</v>
      </c>
      <c r="B6071" t="s">
        <v>19383</v>
      </c>
      <c r="C6071" t="s">
        <v>19379</v>
      </c>
      <c r="D6071" t="s">
        <v>19380</v>
      </c>
      <c r="E6071" t="s">
        <v>19381</v>
      </c>
      <c r="F6071" t="s">
        <v>19384</v>
      </c>
      <c r="G6071" s="2" t="str">
        <f>HYPERLINK("https://probpalata.gov.ru/files/ЮЛ370203603300002.jpeg","Скачать индивидуальный QR-код магазина")</f>
        <v>Скачать индивидуальный QR-код магазина</v>
      </c>
    </row>
    <row r="6072" spans="1:7" x14ac:dyDescent="0.25">
      <c r="A6072" t="s">
        <v>18820</v>
      </c>
      <c r="B6072" t="s">
        <v>19385</v>
      </c>
      <c r="C6072" t="s">
        <v>6505</v>
      </c>
      <c r="D6072" t="s">
        <v>6506</v>
      </c>
      <c r="E6072" t="s">
        <v>6507</v>
      </c>
      <c r="F6072" t="s">
        <v>19386</v>
      </c>
      <c r="G6072" s="2" t="str">
        <f>HYPERLINK("https://probpalata.gov.ru/files/ИП370200427400009.jpeg","Скачать индивидуальный QR-код магазина")</f>
        <v>Скачать индивидуальный QR-код магазина</v>
      </c>
    </row>
    <row r="6073" spans="1:7" x14ac:dyDescent="0.25">
      <c r="A6073" t="s">
        <v>18820</v>
      </c>
      <c r="B6073" t="s">
        <v>19387</v>
      </c>
      <c r="C6073" t="s">
        <v>19388</v>
      </c>
      <c r="D6073" t="s">
        <v>19389</v>
      </c>
      <c r="E6073" t="s">
        <v>19390</v>
      </c>
      <c r="F6073" t="s">
        <v>19391</v>
      </c>
      <c r="G6073" s="2" t="str">
        <f>HYPERLINK("https://probpalata.gov.ru/files/ИП500101402400000.jpeg","Скачать индивидуальный QR-код магазина")</f>
        <v>Скачать индивидуальный QR-код магазина</v>
      </c>
    </row>
    <row r="6074" spans="1:7" x14ac:dyDescent="0.25">
      <c r="A6074" t="s">
        <v>18820</v>
      </c>
      <c r="B6074" t="s">
        <v>19392</v>
      </c>
      <c r="C6074" t="s">
        <v>7095</v>
      </c>
      <c r="D6074" t="s">
        <v>7096</v>
      </c>
      <c r="E6074" t="s">
        <v>7097</v>
      </c>
      <c r="F6074" t="s">
        <v>19393</v>
      </c>
      <c r="G6074" s="2" t="str">
        <f>HYPERLINK("https://probpalata.gov.ru/files/ИП380800789000005.jpeg","Скачать индивидуальный QR-код магазина")</f>
        <v>Скачать индивидуальный QR-код магазина</v>
      </c>
    </row>
    <row r="6075" spans="1:7" x14ac:dyDescent="0.25">
      <c r="A6075" t="s">
        <v>18820</v>
      </c>
      <c r="B6075" t="s">
        <v>19394</v>
      </c>
      <c r="C6075" t="s">
        <v>19395</v>
      </c>
      <c r="D6075" t="s">
        <v>19396</v>
      </c>
      <c r="E6075" t="s">
        <v>19397</v>
      </c>
      <c r="F6075" t="s">
        <v>19398</v>
      </c>
      <c r="G6075" s="2" t="str">
        <f>HYPERLINK("https://probpalata.gov.ru/files/ЮЛ380801496400000.jpeg","Скачать индивидуальный QR-код магазина")</f>
        <v>Скачать индивидуальный QR-код магазина</v>
      </c>
    </row>
    <row r="6076" spans="1:7" x14ac:dyDescent="0.25">
      <c r="A6076" t="s">
        <v>18820</v>
      </c>
      <c r="B6076" t="s">
        <v>19122</v>
      </c>
      <c r="C6076" t="s">
        <v>19399</v>
      </c>
      <c r="D6076" t="s">
        <v>19400</v>
      </c>
      <c r="E6076" t="s">
        <v>19401</v>
      </c>
      <c r="F6076" t="s">
        <v>19402</v>
      </c>
      <c r="G6076" s="2" t="str">
        <f>HYPERLINK("https://probpalata.gov.ru/files/ЮЛ380800085000001.jpeg","Скачать индивидуальный QR-код магазина")</f>
        <v>Скачать индивидуальный QR-код магазина</v>
      </c>
    </row>
    <row r="6077" spans="1:7" x14ac:dyDescent="0.25">
      <c r="A6077" t="s">
        <v>18820</v>
      </c>
      <c r="B6077" t="s">
        <v>19403</v>
      </c>
      <c r="C6077" t="s">
        <v>19404</v>
      </c>
      <c r="D6077" t="s">
        <v>19405</v>
      </c>
      <c r="E6077" t="s">
        <v>19406</v>
      </c>
      <c r="F6077" t="s">
        <v>19407</v>
      </c>
      <c r="G6077" s="2" t="str">
        <f>HYPERLINK("https://probpalata.gov.ru/files/ИП390300904300000.jpeg","Скачать индивидуальный QR-код магазина")</f>
        <v>Скачать индивидуальный QR-код магазина</v>
      </c>
    </row>
    <row r="6078" spans="1:7" x14ac:dyDescent="0.25">
      <c r="A6078" t="s">
        <v>18820</v>
      </c>
      <c r="B6078" t="s">
        <v>19408</v>
      </c>
      <c r="C6078" t="s">
        <v>8327</v>
      </c>
      <c r="D6078" t="s">
        <v>8328</v>
      </c>
      <c r="E6078" t="s">
        <v>8329</v>
      </c>
      <c r="F6078" t="s">
        <v>19409</v>
      </c>
      <c r="G6078" s="2" t="str">
        <f>HYPERLINK("https://probpalata.gov.ru/files/ЮЛ390300208200001.jpeg","Скачать индивидуальный QR-код магазина")</f>
        <v>Скачать индивидуальный QR-код магазина</v>
      </c>
    </row>
    <row r="6079" spans="1:7" x14ac:dyDescent="0.25">
      <c r="A6079" t="s">
        <v>18820</v>
      </c>
      <c r="B6079" t="s">
        <v>19410</v>
      </c>
      <c r="C6079" t="s">
        <v>19411</v>
      </c>
      <c r="D6079" t="s">
        <v>19412</v>
      </c>
      <c r="E6079" t="s">
        <v>19413</v>
      </c>
      <c r="F6079" t="s">
        <v>19414</v>
      </c>
      <c r="G6079" s="2" t="str">
        <f>HYPERLINK("https://probpalata.gov.ru/files/ИП390301034800000.jpeg","Скачать индивидуальный QR-код магазина")</f>
        <v>Скачать индивидуальный QR-код магазина</v>
      </c>
    </row>
    <row r="6080" spans="1:7" x14ac:dyDescent="0.25">
      <c r="A6080" t="s">
        <v>18820</v>
      </c>
      <c r="B6080" t="s">
        <v>19415</v>
      </c>
      <c r="C6080" t="s">
        <v>19416</v>
      </c>
      <c r="D6080" t="s">
        <v>19417</v>
      </c>
      <c r="E6080" t="s">
        <v>19418</v>
      </c>
      <c r="F6080" t="s">
        <v>19419</v>
      </c>
      <c r="G6080" s="2" t="str">
        <f>HYPERLINK("https://probpalata.gov.ru/files/ЮЛ390300882900000.jpeg","Скачать индивидуальный QR-код магазина")</f>
        <v>Скачать индивидуальный QR-код магазина</v>
      </c>
    </row>
    <row r="6081" spans="1:7" x14ac:dyDescent="0.25">
      <c r="A6081" t="s">
        <v>18820</v>
      </c>
      <c r="B6081" t="s">
        <v>19420</v>
      </c>
      <c r="C6081" t="s">
        <v>19421</v>
      </c>
      <c r="D6081" t="s">
        <v>19422</v>
      </c>
      <c r="E6081" t="s">
        <v>19423</v>
      </c>
      <c r="F6081" t="s">
        <v>19424</v>
      </c>
      <c r="G6081" s="2" t="str">
        <f>HYPERLINK("https://probpalata.gov.ru/files/ИП390301523200000.jpeg","Скачать индивидуальный QR-код магазина")</f>
        <v>Скачать индивидуальный QR-код магазина</v>
      </c>
    </row>
    <row r="6082" spans="1:7" x14ac:dyDescent="0.25">
      <c r="A6082" t="s">
        <v>18820</v>
      </c>
      <c r="B6082" t="s">
        <v>19425</v>
      </c>
      <c r="C6082" t="s">
        <v>8922</v>
      </c>
      <c r="D6082" t="s">
        <v>8923</v>
      </c>
      <c r="E6082" t="s">
        <v>8924</v>
      </c>
      <c r="F6082" t="s">
        <v>19426</v>
      </c>
      <c r="G6082" s="2" t="str">
        <f>HYPERLINK("https://probpalata.gov.ru/files/ИП390300762100003.jpeg","Скачать индивидуальный QR-код магазина")</f>
        <v>Скачать индивидуальный QR-код магазина</v>
      </c>
    </row>
    <row r="6083" spans="1:7" x14ac:dyDescent="0.25">
      <c r="A6083" t="s">
        <v>18820</v>
      </c>
      <c r="B6083" t="s">
        <v>19427</v>
      </c>
      <c r="C6083" t="s">
        <v>8993</v>
      </c>
      <c r="D6083" t="s">
        <v>8994</v>
      </c>
      <c r="E6083" t="s">
        <v>8995</v>
      </c>
      <c r="F6083" t="s">
        <v>19428</v>
      </c>
      <c r="G6083" s="2" t="str">
        <f>HYPERLINK("https://probpalata.gov.ru/files/ЮЛ390300814700006.jpeg","Скачать индивидуальный QR-код магазина")</f>
        <v>Скачать индивидуальный QR-код магазина</v>
      </c>
    </row>
    <row r="6084" spans="1:7" x14ac:dyDescent="0.25">
      <c r="A6084" t="s">
        <v>18820</v>
      </c>
      <c r="B6084" t="s">
        <v>19429</v>
      </c>
      <c r="C6084" t="s">
        <v>9060</v>
      </c>
      <c r="D6084" t="s">
        <v>9061</v>
      </c>
      <c r="E6084" t="s">
        <v>9062</v>
      </c>
      <c r="F6084" t="s">
        <v>19430</v>
      </c>
      <c r="G6084" s="2" t="str">
        <f>HYPERLINK("https://probpalata.gov.ru/files/ИП770103325500003.jpeg","Скачать индивидуальный QR-код магазина")</f>
        <v>Скачать индивидуальный QR-код магазина</v>
      </c>
    </row>
    <row r="6085" spans="1:7" x14ac:dyDescent="0.25">
      <c r="A6085" t="s">
        <v>18820</v>
      </c>
      <c r="B6085" t="s">
        <v>19431</v>
      </c>
      <c r="C6085" t="s">
        <v>19432</v>
      </c>
      <c r="D6085" t="s">
        <v>19433</v>
      </c>
      <c r="E6085" t="s">
        <v>19434</v>
      </c>
      <c r="F6085" t="s">
        <v>19435</v>
      </c>
      <c r="G6085" s="2" t="str">
        <f>HYPERLINK("https://probpalata.gov.ru/files/ИП390303698700000.jpeg","Скачать индивидуальный QR-код магазина")</f>
        <v>Скачать индивидуальный QR-код магазина</v>
      </c>
    </row>
    <row r="6086" spans="1:7" x14ac:dyDescent="0.25">
      <c r="A6086" t="s">
        <v>18820</v>
      </c>
      <c r="B6086" t="s">
        <v>19436</v>
      </c>
      <c r="C6086" t="s">
        <v>19432</v>
      </c>
      <c r="D6086" t="s">
        <v>19433</v>
      </c>
      <c r="E6086" t="s">
        <v>19434</v>
      </c>
      <c r="F6086" t="s">
        <v>19437</v>
      </c>
      <c r="G6086" s="2" t="str">
        <f>HYPERLINK("https://probpalata.gov.ru/files/ИП390303698700001.jpeg","Скачать индивидуальный QR-код магазина")</f>
        <v>Скачать индивидуальный QR-код магазина</v>
      </c>
    </row>
    <row r="6087" spans="1:7" x14ac:dyDescent="0.25">
      <c r="A6087" t="s">
        <v>18820</v>
      </c>
      <c r="B6087" t="s">
        <v>19438</v>
      </c>
      <c r="C6087" t="s">
        <v>9210</v>
      </c>
      <c r="D6087" t="s">
        <v>9211</v>
      </c>
      <c r="E6087" t="s">
        <v>9212</v>
      </c>
      <c r="F6087" t="s">
        <v>19439</v>
      </c>
      <c r="G6087" s="2" t="str">
        <f>HYPERLINK("https://probpalata.gov.ru/files/ИП390301170700005.jpeg","Скачать индивидуальный QR-код магазина")</f>
        <v>Скачать индивидуальный QR-код магазина</v>
      </c>
    </row>
    <row r="6088" spans="1:7" x14ac:dyDescent="0.25">
      <c r="A6088" t="s">
        <v>18820</v>
      </c>
      <c r="B6088" t="s">
        <v>19440</v>
      </c>
      <c r="C6088" t="s">
        <v>19441</v>
      </c>
      <c r="D6088" t="s">
        <v>19442</v>
      </c>
      <c r="E6088" t="s">
        <v>19443</v>
      </c>
      <c r="F6088" t="s">
        <v>19444</v>
      </c>
      <c r="G6088" s="2" t="str">
        <f>HYPERLINK("https://probpalata.gov.ru/files/ИП770103230100000.jpeg","Скачать индивидуальный QR-код магазина")</f>
        <v>Скачать индивидуальный QR-код магазина</v>
      </c>
    </row>
    <row r="6089" spans="1:7" x14ac:dyDescent="0.25">
      <c r="A6089" t="s">
        <v>18820</v>
      </c>
      <c r="B6089" t="s">
        <v>19445</v>
      </c>
      <c r="C6089" t="s">
        <v>19446</v>
      </c>
      <c r="D6089" t="s">
        <v>19447</v>
      </c>
      <c r="E6089" t="s">
        <v>19448</v>
      </c>
      <c r="F6089" t="s">
        <v>19449</v>
      </c>
      <c r="G6089" s="2" t="str">
        <f>HYPERLINK("https://probpalata.gov.ru/files/ИП770100760500000.jpeg","Скачать индивидуальный QR-код магазина")</f>
        <v>Скачать индивидуальный QR-код магазина</v>
      </c>
    </row>
    <row r="6090" spans="1:7" x14ac:dyDescent="0.25">
      <c r="A6090" t="s">
        <v>18820</v>
      </c>
      <c r="B6090" t="s">
        <v>19450</v>
      </c>
      <c r="C6090" t="s">
        <v>19451</v>
      </c>
      <c r="D6090" t="s">
        <v>19452</v>
      </c>
      <c r="E6090" t="s">
        <v>19453</v>
      </c>
      <c r="F6090" t="s">
        <v>19454</v>
      </c>
      <c r="G6090" s="2" t="str">
        <f>HYPERLINK("https://probpalata.gov.ru/files/ИП730600805700000.jpeg","Скачать индивидуальный QR-код магазина")</f>
        <v>Скачать индивидуальный QR-код магазина</v>
      </c>
    </row>
    <row r="6091" spans="1:7" x14ac:dyDescent="0.25">
      <c r="A6091" t="s">
        <v>18820</v>
      </c>
      <c r="B6091" t="s">
        <v>19455</v>
      </c>
      <c r="C6091" t="s">
        <v>19456</v>
      </c>
      <c r="D6091" t="s">
        <v>19457</v>
      </c>
      <c r="E6091" t="s">
        <v>19458</v>
      </c>
      <c r="F6091" t="s">
        <v>19459</v>
      </c>
      <c r="G6091" s="2" t="str">
        <f>HYPERLINK("https://probpalata.gov.ru/files/ИП400100162300000.jpeg","Скачать индивидуальный QR-код магазина")</f>
        <v>Скачать индивидуальный QR-код магазина</v>
      </c>
    </row>
    <row r="6092" spans="1:7" x14ac:dyDescent="0.25">
      <c r="A6092" t="s">
        <v>18820</v>
      </c>
      <c r="B6092" t="s">
        <v>19460</v>
      </c>
      <c r="C6092" t="s">
        <v>19461</v>
      </c>
      <c r="D6092" t="s">
        <v>19462</v>
      </c>
      <c r="E6092" t="s">
        <v>19463</v>
      </c>
      <c r="F6092" t="s">
        <v>19464</v>
      </c>
      <c r="G6092" s="2" t="str">
        <f>HYPERLINK("https://probpalata.gov.ru/files/ИП400101631000000.jpeg","Скачать индивидуальный QR-код магазина")</f>
        <v>Скачать индивидуальный QR-код магазина</v>
      </c>
    </row>
    <row r="6093" spans="1:7" x14ac:dyDescent="0.25">
      <c r="A6093" t="s">
        <v>18820</v>
      </c>
      <c r="B6093" t="s">
        <v>19465</v>
      </c>
      <c r="C6093" t="s">
        <v>19461</v>
      </c>
      <c r="D6093" t="s">
        <v>19462</v>
      </c>
      <c r="E6093" t="s">
        <v>19463</v>
      </c>
      <c r="F6093" t="s">
        <v>19466</v>
      </c>
      <c r="G6093" s="2" t="str">
        <f>HYPERLINK("https://probpalata.gov.ru/files/ИП400101631000006.jpeg","Скачать индивидуальный QR-код магазина")</f>
        <v>Скачать индивидуальный QR-код магазина</v>
      </c>
    </row>
    <row r="6094" spans="1:7" x14ac:dyDescent="0.25">
      <c r="A6094" t="s">
        <v>18820</v>
      </c>
      <c r="B6094" t="s">
        <v>19467</v>
      </c>
      <c r="C6094" t="s">
        <v>19461</v>
      </c>
      <c r="D6094" t="s">
        <v>19462</v>
      </c>
      <c r="E6094" t="s">
        <v>19463</v>
      </c>
      <c r="F6094" t="s">
        <v>19468</v>
      </c>
      <c r="G6094" s="2" t="str">
        <f>HYPERLINK("https://probpalata.gov.ru/files/ИП400101631000009.jpeg","Скачать индивидуальный QR-код магазина")</f>
        <v>Скачать индивидуальный QR-код магазина</v>
      </c>
    </row>
    <row r="6095" spans="1:7" x14ac:dyDescent="0.25">
      <c r="A6095" t="s">
        <v>18820</v>
      </c>
      <c r="B6095" t="s">
        <v>19469</v>
      </c>
      <c r="C6095" t="s">
        <v>9573</v>
      </c>
      <c r="D6095" t="s">
        <v>9574</v>
      </c>
      <c r="E6095" t="s">
        <v>9575</v>
      </c>
      <c r="F6095" t="s">
        <v>19470</v>
      </c>
      <c r="G6095" s="2" t="str">
        <f>HYPERLINK("https://probpalata.gov.ru/files/ЮЛ400100976800001.jpeg","Скачать индивидуальный QR-код магазина")</f>
        <v>Скачать индивидуальный QR-код магазина</v>
      </c>
    </row>
    <row r="6096" spans="1:7" x14ac:dyDescent="0.25">
      <c r="A6096" t="s">
        <v>18820</v>
      </c>
      <c r="B6096" t="s">
        <v>19471</v>
      </c>
      <c r="C6096" t="s">
        <v>9573</v>
      </c>
      <c r="D6096" t="s">
        <v>9574</v>
      </c>
      <c r="E6096" t="s">
        <v>9575</v>
      </c>
      <c r="F6096" t="s">
        <v>19472</v>
      </c>
      <c r="G6096" s="2" t="str">
        <f>HYPERLINK("https://probpalata.gov.ru/files/ЮЛ400100976800002.jpeg","Скачать индивидуальный QR-код магазина")</f>
        <v>Скачать индивидуальный QR-код магазина</v>
      </c>
    </row>
    <row r="6097" spans="1:7" x14ac:dyDescent="0.25">
      <c r="A6097" t="s">
        <v>18820</v>
      </c>
      <c r="B6097" t="s">
        <v>19473</v>
      </c>
      <c r="C6097" t="s">
        <v>9573</v>
      </c>
      <c r="D6097" t="s">
        <v>9574</v>
      </c>
      <c r="E6097" t="s">
        <v>9575</v>
      </c>
      <c r="F6097" t="s">
        <v>19474</v>
      </c>
      <c r="G6097" s="2" t="str">
        <f>HYPERLINK("https://probpalata.gov.ru/files/ЮЛ400100976800003.jpeg","Скачать индивидуальный QR-код магазина")</f>
        <v>Скачать индивидуальный QR-код магазина</v>
      </c>
    </row>
    <row r="6098" spans="1:7" x14ac:dyDescent="0.25">
      <c r="A6098" t="s">
        <v>18820</v>
      </c>
      <c r="B6098" t="s">
        <v>19475</v>
      </c>
      <c r="C6098" t="s">
        <v>19476</v>
      </c>
      <c r="D6098" t="s">
        <v>19477</v>
      </c>
      <c r="E6098" t="s">
        <v>19478</v>
      </c>
      <c r="F6098" t="s">
        <v>19479</v>
      </c>
      <c r="G6098" s="2" t="str">
        <f>HYPERLINK("https://probpalata.gov.ru/files/ИП400104009000000.jpeg","Скачать индивидуальный QR-код магазина")</f>
        <v>Скачать индивидуальный QR-код магазина</v>
      </c>
    </row>
    <row r="6099" spans="1:7" x14ac:dyDescent="0.25">
      <c r="A6099" t="s">
        <v>18820</v>
      </c>
      <c r="B6099" t="s">
        <v>19480</v>
      </c>
      <c r="C6099" t="s">
        <v>19481</v>
      </c>
      <c r="D6099" t="s">
        <v>19482</v>
      </c>
      <c r="E6099" t="s">
        <v>19483</v>
      </c>
      <c r="F6099" t="s">
        <v>19484</v>
      </c>
      <c r="G6099" s="2" t="str">
        <f>HYPERLINK("https://probpalata.gov.ru/files/ИП690100333300000.jpeg","Скачать индивидуальный QR-код магазина")</f>
        <v>Скачать индивидуальный QR-код магазина</v>
      </c>
    </row>
    <row r="6100" spans="1:7" x14ac:dyDescent="0.25">
      <c r="A6100" t="s">
        <v>18820</v>
      </c>
      <c r="B6100" t="s">
        <v>19485</v>
      </c>
      <c r="C6100" t="s">
        <v>19486</v>
      </c>
      <c r="D6100" t="s">
        <v>19487</v>
      </c>
      <c r="E6100" t="s">
        <v>19488</v>
      </c>
      <c r="F6100" t="s">
        <v>19489</v>
      </c>
      <c r="G6100" s="2" t="str">
        <f>HYPERLINK("https://probpalata.gov.ru/files/ИП770100895400000.jpeg","Скачать индивидуальный QR-код магазина")</f>
        <v>Скачать индивидуальный QR-код магазина</v>
      </c>
    </row>
    <row r="6101" spans="1:7" x14ac:dyDescent="0.25">
      <c r="A6101" t="s">
        <v>18820</v>
      </c>
      <c r="B6101" t="s">
        <v>19490</v>
      </c>
      <c r="C6101" t="s">
        <v>19491</v>
      </c>
      <c r="D6101" t="s">
        <v>19492</v>
      </c>
      <c r="E6101" t="s">
        <v>19493</v>
      </c>
      <c r="F6101" t="s">
        <v>19494</v>
      </c>
      <c r="G6101" s="2" t="str">
        <f>HYPERLINK("https://probpalata.gov.ru/files/ИП770100951200000.jpeg","Скачать индивидуальный QR-код магазина")</f>
        <v>Скачать индивидуальный QR-код магазина</v>
      </c>
    </row>
    <row r="6102" spans="1:7" x14ac:dyDescent="0.25">
      <c r="A6102" t="s">
        <v>18820</v>
      </c>
      <c r="B6102" t="s">
        <v>19495</v>
      </c>
      <c r="C6102" t="s">
        <v>19496</v>
      </c>
      <c r="D6102" t="s">
        <v>19497</v>
      </c>
      <c r="E6102" t="s">
        <v>19498</v>
      </c>
      <c r="F6102" t="s">
        <v>19499</v>
      </c>
      <c r="G6102" s="2" t="str">
        <f>HYPERLINK("https://probpalata.gov.ru/files/ИП210600048700007.jpeg","Скачать индивидуальный QR-код магазина")</f>
        <v>Скачать индивидуальный QR-код магазина</v>
      </c>
    </row>
    <row r="6103" spans="1:7" x14ac:dyDescent="0.25">
      <c r="A6103" t="s">
        <v>18820</v>
      </c>
      <c r="B6103" t="s">
        <v>19500</v>
      </c>
      <c r="C6103" t="s">
        <v>19501</v>
      </c>
      <c r="D6103" t="s">
        <v>19502</v>
      </c>
      <c r="E6103" t="s">
        <v>19503</v>
      </c>
      <c r="F6103" t="s">
        <v>19504</v>
      </c>
      <c r="G6103" s="2" t="str">
        <f>HYPERLINK("https://probpalata.gov.ru/files/ИП160600113700011.jpeg","Скачать индивидуальный QR-код магазина")</f>
        <v>Скачать индивидуальный QR-код магазина</v>
      </c>
    </row>
    <row r="6104" spans="1:7" x14ac:dyDescent="0.25">
      <c r="A6104" t="s">
        <v>18820</v>
      </c>
      <c r="B6104" t="s">
        <v>19505</v>
      </c>
      <c r="C6104" t="s">
        <v>19506</v>
      </c>
      <c r="D6104" t="s">
        <v>19507</v>
      </c>
      <c r="E6104" t="s">
        <v>19508</v>
      </c>
      <c r="F6104" t="s">
        <v>19509</v>
      </c>
      <c r="G6104" s="2" t="str">
        <f>HYPERLINK("https://probpalata.gov.ru/files/ИП430603660600000.jpeg","Скачать индивидуальный QR-код магазина")</f>
        <v>Скачать индивидуальный QR-код магазина</v>
      </c>
    </row>
    <row r="6105" spans="1:7" x14ac:dyDescent="0.25">
      <c r="A6105" t="s">
        <v>18820</v>
      </c>
      <c r="B6105" t="s">
        <v>19510</v>
      </c>
      <c r="C6105" t="s">
        <v>19511</v>
      </c>
      <c r="D6105" t="s">
        <v>19512</v>
      </c>
      <c r="E6105" t="s">
        <v>19513</v>
      </c>
      <c r="F6105" t="s">
        <v>19514</v>
      </c>
      <c r="G6105" s="2" t="str">
        <f>HYPERLINK("https://probpalata.gov.ru/files/ИП770101179000000.jpeg","Скачать индивидуальный QR-код магазина")</f>
        <v>Скачать индивидуальный QR-код магазина</v>
      </c>
    </row>
    <row r="6106" spans="1:7" x14ac:dyDescent="0.25">
      <c r="A6106" t="s">
        <v>18820</v>
      </c>
      <c r="B6106" t="s">
        <v>19515</v>
      </c>
      <c r="C6106" t="s">
        <v>11595</v>
      </c>
      <c r="D6106" t="s">
        <v>11596</v>
      </c>
      <c r="E6106" t="s">
        <v>11597</v>
      </c>
      <c r="F6106" t="s">
        <v>19516</v>
      </c>
      <c r="G6106" s="2" t="str">
        <f>HYPERLINK("https://probpalata.gov.ru/files/ЮЛ440200001100000.jpeg","Скачать индивидуальный QR-код магазина")</f>
        <v>Скачать индивидуальный QR-код магазина</v>
      </c>
    </row>
    <row r="6107" spans="1:7" x14ac:dyDescent="0.25">
      <c r="A6107" t="s">
        <v>18820</v>
      </c>
      <c r="B6107" t="s">
        <v>19517</v>
      </c>
      <c r="C6107" t="s">
        <v>2171</v>
      </c>
      <c r="D6107" t="s">
        <v>2172</v>
      </c>
      <c r="E6107" t="s">
        <v>2173</v>
      </c>
      <c r="F6107" t="s">
        <v>19518</v>
      </c>
      <c r="G6107" s="2" t="str">
        <f>HYPERLINK("https://probpalata.gov.ru/files/ЮЛ500100602500017.jpeg","Скачать индивидуальный QR-код магазина")</f>
        <v>Скачать индивидуальный QR-код магазина</v>
      </c>
    </row>
    <row r="6108" spans="1:7" x14ac:dyDescent="0.25">
      <c r="A6108" t="s">
        <v>18820</v>
      </c>
      <c r="B6108" t="s">
        <v>19519</v>
      </c>
      <c r="C6108" t="s">
        <v>19520</v>
      </c>
      <c r="D6108" t="s">
        <v>19521</v>
      </c>
      <c r="E6108" t="s">
        <v>19522</v>
      </c>
      <c r="F6108" t="s">
        <v>19523</v>
      </c>
      <c r="G6108" s="2" t="str">
        <f>HYPERLINK("https://probpalata.gov.ru/files/ЮЛ440200274000003.jpeg","Скачать индивидуальный QR-код магазина")</f>
        <v>Скачать индивидуальный QR-код магазина</v>
      </c>
    </row>
    <row r="6109" spans="1:7" x14ac:dyDescent="0.25">
      <c r="A6109" t="s">
        <v>18820</v>
      </c>
      <c r="B6109" t="s">
        <v>19524</v>
      </c>
      <c r="C6109" t="s">
        <v>19525</v>
      </c>
      <c r="D6109" t="s">
        <v>19526</v>
      </c>
      <c r="E6109" t="s">
        <v>19527</v>
      </c>
      <c r="F6109" t="s">
        <v>19528</v>
      </c>
      <c r="G6109" s="2" t="str">
        <f>HYPERLINK("https://probpalata.gov.ru/files/ИП580600055900000.jpeg","Скачать индивидуальный QR-код магазина")</f>
        <v>Скачать индивидуальный QR-код магазина</v>
      </c>
    </row>
    <row r="6110" spans="1:7" x14ac:dyDescent="0.25">
      <c r="A6110" t="s">
        <v>18820</v>
      </c>
      <c r="B6110" t="s">
        <v>19529</v>
      </c>
      <c r="C6110" t="s">
        <v>11946</v>
      </c>
      <c r="D6110" t="s">
        <v>11947</v>
      </c>
      <c r="E6110" t="s">
        <v>11948</v>
      </c>
      <c r="F6110" t="s">
        <v>19530</v>
      </c>
      <c r="G6110" s="2" t="str">
        <f>HYPERLINK("https://probpalata.gov.ru/files/ИП770101182200001.jpeg","Скачать индивидуальный QR-код магазина")</f>
        <v>Скачать индивидуальный QR-код магазина</v>
      </c>
    </row>
    <row r="6111" spans="1:7" x14ac:dyDescent="0.25">
      <c r="A6111" t="s">
        <v>18820</v>
      </c>
      <c r="B6111" t="s">
        <v>19531</v>
      </c>
      <c r="C6111" t="s">
        <v>4559</v>
      </c>
      <c r="D6111" t="s">
        <v>4560</v>
      </c>
      <c r="E6111" t="s">
        <v>4561</v>
      </c>
      <c r="F6111" t="s">
        <v>19532</v>
      </c>
      <c r="G6111" s="2" t="str">
        <f>HYPERLINK("https://probpalata.gov.ru/files/ИП440200822300012.jpeg","Скачать индивидуальный QR-код магазина")</f>
        <v>Скачать индивидуальный QR-код магазина</v>
      </c>
    </row>
    <row r="6112" spans="1:7" x14ac:dyDescent="0.25">
      <c r="A6112" t="s">
        <v>18820</v>
      </c>
      <c r="B6112" t="s">
        <v>19533</v>
      </c>
      <c r="C6112" t="s">
        <v>19534</v>
      </c>
      <c r="D6112" t="s">
        <v>19535</v>
      </c>
      <c r="E6112" t="s">
        <v>19536</v>
      </c>
      <c r="F6112" t="s">
        <v>19537</v>
      </c>
      <c r="G6112" s="2" t="str">
        <f>HYPERLINK("https://probpalata.gov.ru/files/ИП770103732500000.jpeg","Скачать индивидуальный QR-код магазина")</f>
        <v>Скачать индивидуальный QR-код магазина</v>
      </c>
    </row>
    <row r="6113" spans="1:7" x14ac:dyDescent="0.25">
      <c r="A6113" t="s">
        <v>18820</v>
      </c>
      <c r="B6113" t="s">
        <v>19538</v>
      </c>
      <c r="C6113" t="s">
        <v>19539</v>
      </c>
      <c r="D6113" t="s">
        <v>19540</v>
      </c>
      <c r="E6113" t="s">
        <v>19541</v>
      </c>
      <c r="F6113" t="s">
        <v>19542</v>
      </c>
      <c r="G6113" s="2" t="str">
        <f>HYPERLINK("https://probpalata.gov.ru/files/ИП440201415400000.jpeg","Скачать индивидуальный QR-код магазина")</f>
        <v>Скачать индивидуальный QR-код магазина</v>
      </c>
    </row>
    <row r="6114" spans="1:7" x14ac:dyDescent="0.25">
      <c r="A6114" t="s">
        <v>18820</v>
      </c>
      <c r="B6114" t="s">
        <v>19543</v>
      </c>
      <c r="C6114" t="s">
        <v>19544</v>
      </c>
      <c r="D6114" t="s">
        <v>19545</v>
      </c>
      <c r="E6114" t="s">
        <v>19546</v>
      </c>
      <c r="F6114" t="s">
        <v>19547</v>
      </c>
      <c r="G6114" s="2" t="str">
        <f>HYPERLINK("https://probpalata.gov.ru/files/ИП500101247400000.jpeg","Скачать индивидуальный QR-код магазина")</f>
        <v>Скачать индивидуальный QR-код магазина</v>
      </c>
    </row>
    <row r="6115" spans="1:7" x14ac:dyDescent="0.25">
      <c r="A6115" t="s">
        <v>18820</v>
      </c>
      <c r="B6115" t="s">
        <v>19548</v>
      </c>
      <c r="C6115" t="s">
        <v>19549</v>
      </c>
      <c r="D6115" t="s">
        <v>19550</v>
      </c>
      <c r="E6115" t="s">
        <v>19551</v>
      </c>
      <c r="F6115" t="s">
        <v>19552</v>
      </c>
      <c r="G6115" s="2" t="str">
        <f>HYPERLINK("https://probpalata.gov.ru/files/ИП440201287700000.jpeg","Скачать индивидуальный QR-код магазина")</f>
        <v>Скачать индивидуальный QR-код магазина</v>
      </c>
    </row>
    <row r="6116" spans="1:7" x14ac:dyDescent="0.25">
      <c r="A6116" t="s">
        <v>18820</v>
      </c>
      <c r="B6116" t="s">
        <v>19553</v>
      </c>
      <c r="C6116" t="s">
        <v>12441</v>
      </c>
      <c r="D6116" t="s">
        <v>12442</v>
      </c>
      <c r="E6116" t="s">
        <v>12443</v>
      </c>
      <c r="F6116" t="s">
        <v>19554</v>
      </c>
      <c r="G6116" s="2" t="str">
        <f>HYPERLINK("https://probpalata.gov.ru/files/ЮЛ440200095500001.jpeg","Скачать индивидуальный QR-код магазина")</f>
        <v>Скачать индивидуальный QR-код магазина</v>
      </c>
    </row>
    <row r="6117" spans="1:7" x14ac:dyDescent="0.25">
      <c r="A6117" t="s">
        <v>18820</v>
      </c>
      <c r="B6117" t="s">
        <v>19555</v>
      </c>
      <c r="C6117" t="s">
        <v>12456</v>
      </c>
      <c r="D6117" t="s">
        <v>12457</v>
      </c>
      <c r="E6117" t="s">
        <v>12458</v>
      </c>
      <c r="F6117" t="s">
        <v>19556</v>
      </c>
      <c r="G6117" s="2" t="str">
        <f>HYPERLINK("https://probpalata.gov.ru/files/ИП440200263100001.jpeg","Скачать индивидуальный QR-код магазина")</f>
        <v>Скачать индивидуальный QR-код магазина</v>
      </c>
    </row>
    <row r="6118" spans="1:7" x14ac:dyDescent="0.25">
      <c r="A6118" t="s">
        <v>18820</v>
      </c>
      <c r="B6118" t="s">
        <v>19557</v>
      </c>
      <c r="C6118" t="s">
        <v>12558</v>
      </c>
      <c r="D6118" t="s">
        <v>12559</v>
      </c>
      <c r="E6118" t="s">
        <v>12560</v>
      </c>
      <c r="F6118" t="s">
        <v>19558</v>
      </c>
      <c r="G6118" s="2" t="str">
        <f>HYPERLINK("https://probpalata.gov.ru/files/ЮЛ440200000800003.jpeg","Скачать индивидуальный QR-код магазина")</f>
        <v>Скачать индивидуальный QR-код магазина</v>
      </c>
    </row>
    <row r="6119" spans="1:7" x14ac:dyDescent="0.25">
      <c r="A6119" t="s">
        <v>18820</v>
      </c>
      <c r="B6119" t="s">
        <v>19559</v>
      </c>
      <c r="C6119" t="s">
        <v>12558</v>
      </c>
      <c r="D6119" t="s">
        <v>12559</v>
      </c>
      <c r="E6119" t="s">
        <v>12560</v>
      </c>
      <c r="F6119" t="s">
        <v>19560</v>
      </c>
      <c r="G6119" s="2" t="str">
        <f>HYPERLINK("https://probpalata.gov.ru/files/ЮЛ440200000800005.jpeg","Скачать индивидуальный QR-код магазина")</f>
        <v>Скачать индивидуальный QR-код магазина</v>
      </c>
    </row>
    <row r="6120" spans="1:7" x14ac:dyDescent="0.25">
      <c r="A6120" t="s">
        <v>18820</v>
      </c>
      <c r="B6120" t="s">
        <v>19561</v>
      </c>
      <c r="C6120" t="s">
        <v>12558</v>
      </c>
      <c r="D6120" t="s">
        <v>12559</v>
      </c>
      <c r="E6120" t="s">
        <v>12560</v>
      </c>
      <c r="F6120" t="s">
        <v>19562</v>
      </c>
      <c r="G6120" s="2" t="str">
        <f>HYPERLINK("https://probpalata.gov.ru/files/ЮЛ440200000800006.jpeg","Скачать индивидуальный QR-код магазина")</f>
        <v>Скачать индивидуальный QR-код магазина</v>
      </c>
    </row>
    <row r="6121" spans="1:7" x14ac:dyDescent="0.25">
      <c r="A6121" t="s">
        <v>18820</v>
      </c>
      <c r="B6121" t="s">
        <v>19563</v>
      </c>
      <c r="C6121" t="s">
        <v>19564</v>
      </c>
      <c r="D6121" t="s">
        <v>19565</v>
      </c>
      <c r="E6121" t="s">
        <v>19566</v>
      </c>
      <c r="F6121" t="s">
        <v>19567</v>
      </c>
      <c r="G6121" s="2" t="str">
        <f>HYPERLINK("https://probpalata.gov.ru/files/ИП450700535900002.jpeg","Скачать индивидуальный QR-код магазина")</f>
        <v>Скачать индивидуальный QR-код магазина</v>
      </c>
    </row>
    <row r="6122" spans="1:7" x14ac:dyDescent="0.25">
      <c r="A6122" t="s">
        <v>18820</v>
      </c>
      <c r="B6122" t="s">
        <v>19568</v>
      </c>
      <c r="C6122" t="s">
        <v>19569</v>
      </c>
      <c r="D6122" t="s">
        <v>19570</v>
      </c>
      <c r="E6122" t="s">
        <v>19571</v>
      </c>
      <c r="F6122" t="s">
        <v>19572</v>
      </c>
      <c r="G6122" s="2" t="str">
        <f>HYPERLINK("https://probpalata.gov.ru/files/ИП470301507200002.jpeg","Скачать индивидуальный QR-код магазина")</f>
        <v>Скачать индивидуальный QR-код магазина</v>
      </c>
    </row>
    <row r="6123" spans="1:7" x14ac:dyDescent="0.25">
      <c r="A6123" t="s">
        <v>18820</v>
      </c>
      <c r="B6123" t="s">
        <v>19573</v>
      </c>
      <c r="C6123" t="s">
        <v>19574</v>
      </c>
      <c r="D6123" t="s">
        <v>19575</v>
      </c>
      <c r="E6123" t="s">
        <v>19576</v>
      </c>
      <c r="F6123" t="s">
        <v>19577</v>
      </c>
      <c r="G6123" s="2" t="str">
        <f>HYPERLINK("https://probpalata.gov.ru/files/ИП770101035200000.jpeg","Скачать индивидуальный QR-код магазина")</f>
        <v>Скачать индивидуальный QR-код магазина</v>
      </c>
    </row>
    <row r="6124" spans="1:7" x14ac:dyDescent="0.25">
      <c r="A6124" t="s">
        <v>18820</v>
      </c>
      <c r="B6124" t="s">
        <v>19578</v>
      </c>
      <c r="C6124" t="s">
        <v>19579</v>
      </c>
      <c r="D6124" t="s">
        <v>19580</v>
      </c>
      <c r="E6124" t="s">
        <v>19581</v>
      </c>
      <c r="F6124" t="s">
        <v>19582</v>
      </c>
      <c r="G6124" s="2" t="str">
        <f>HYPERLINK("https://probpalata.gov.ru/files/ИП770103697300000.jpeg","Скачать индивидуальный QR-код магазина")</f>
        <v>Скачать индивидуальный QR-код магазина</v>
      </c>
    </row>
    <row r="6125" spans="1:7" x14ac:dyDescent="0.25">
      <c r="A6125" t="s">
        <v>18820</v>
      </c>
      <c r="B6125" t="s">
        <v>19583</v>
      </c>
      <c r="C6125" t="s">
        <v>3761</v>
      </c>
      <c r="D6125" t="s">
        <v>3762</v>
      </c>
      <c r="E6125" t="s">
        <v>3763</v>
      </c>
      <c r="F6125" t="s">
        <v>19584</v>
      </c>
      <c r="G6125" s="2" t="str">
        <f>HYPERLINK("https://probpalata.gov.ru/files/ЮЛ470300219500002.jpeg","Скачать индивидуальный QR-код магазина")</f>
        <v>Скачать индивидуальный QR-код магазина</v>
      </c>
    </row>
    <row r="6126" spans="1:7" x14ac:dyDescent="0.25">
      <c r="A6126" t="s">
        <v>18820</v>
      </c>
      <c r="B6126" t="s">
        <v>19585</v>
      </c>
      <c r="C6126" t="s">
        <v>19586</v>
      </c>
      <c r="D6126" t="s">
        <v>19587</v>
      </c>
      <c r="E6126" t="s">
        <v>19588</v>
      </c>
      <c r="F6126" t="s">
        <v>19589</v>
      </c>
      <c r="G6126" s="2" t="str">
        <f>HYPERLINK("https://probpalata.gov.ru/files/ИП500100130500000.jpeg","Скачать индивидуальный QR-код магазина")</f>
        <v>Скачать индивидуальный QR-код магазина</v>
      </c>
    </row>
    <row r="6127" spans="1:7" x14ac:dyDescent="0.25">
      <c r="A6127" t="s">
        <v>18820</v>
      </c>
      <c r="B6127" t="s">
        <v>19590</v>
      </c>
      <c r="C6127" t="s">
        <v>19591</v>
      </c>
      <c r="D6127" t="s">
        <v>19592</v>
      </c>
      <c r="E6127" t="s">
        <v>19593</v>
      </c>
      <c r="F6127" t="s">
        <v>19594</v>
      </c>
      <c r="G6127" s="2" t="str">
        <f>HYPERLINK("https://probpalata.gov.ru/files/ЮЛ500100408700003.jpeg","Скачать индивидуальный QR-код магазина")</f>
        <v>Скачать индивидуальный QR-код магазина</v>
      </c>
    </row>
    <row r="6128" spans="1:7" x14ac:dyDescent="0.25">
      <c r="A6128" t="s">
        <v>18820</v>
      </c>
      <c r="B6128" t="s">
        <v>19595</v>
      </c>
      <c r="C6128" t="s">
        <v>19596</v>
      </c>
      <c r="D6128" t="s">
        <v>19597</v>
      </c>
      <c r="E6128" t="s">
        <v>19598</v>
      </c>
      <c r="F6128" t="s">
        <v>19599</v>
      </c>
      <c r="G6128" s="2" t="str">
        <f>HYPERLINK("https://probpalata.gov.ru/files/ИП500100639700000.jpeg","Скачать индивидуальный QR-код магазина")</f>
        <v>Скачать индивидуальный QR-код магазина</v>
      </c>
    </row>
    <row r="6129" spans="1:7" x14ac:dyDescent="0.25">
      <c r="A6129" t="s">
        <v>18820</v>
      </c>
      <c r="B6129" t="s">
        <v>19600</v>
      </c>
      <c r="C6129" t="s">
        <v>19601</v>
      </c>
      <c r="D6129" t="s">
        <v>19602</v>
      </c>
      <c r="E6129" t="s">
        <v>19603</v>
      </c>
      <c r="F6129" t="s">
        <v>19604</v>
      </c>
      <c r="G6129" s="2" t="str">
        <f>HYPERLINK("https://probpalata.gov.ru/files/ИП500103772300000.jpeg","Скачать индивидуальный QR-код магазина")</f>
        <v>Скачать индивидуальный QR-код магазина</v>
      </c>
    </row>
    <row r="6130" spans="1:7" x14ac:dyDescent="0.25">
      <c r="A6130" t="s">
        <v>18820</v>
      </c>
      <c r="B6130" t="s">
        <v>19605</v>
      </c>
      <c r="C6130" t="s">
        <v>19606</v>
      </c>
      <c r="D6130" t="s">
        <v>19607</v>
      </c>
      <c r="E6130" t="s">
        <v>19608</v>
      </c>
      <c r="F6130" t="s">
        <v>19609</v>
      </c>
      <c r="G6130" s="2" t="str">
        <f>HYPERLINK("https://probpalata.gov.ru/files/ИП500103162200000.jpeg","Скачать индивидуальный QR-код магазина")</f>
        <v>Скачать индивидуальный QR-код магазина</v>
      </c>
    </row>
    <row r="6131" spans="1:7" x14ac:dyDescent="0.25">
      <c r="A6131" t="s">
        <v>18820</v>
      </c>
      <c r="B6131" t="s">
        <v>19610</v>
      </c>
      <c r="C6131" t="s">
        <v>19611</v>
      </c>
      <c r="D6131" t="s">
        <v>19612</v>
      </c>
      <c r="E6131" t="s">
        <v>19613</v>
      </c>
      <c r="F6131" t="s">
        <v>19614</v>
      </c>
      <c r="G6131" s="2" t="str">
        <f>HYPERLINK("https://probpalata.gov.ru/files/ИП500100355200001.jpeg","Скачать индивидуальный QR-код магазина")</f>
        <v>Скачать индивидуальный QR-код магазина</v>
      </c>
    </row>
    <row r="6132" spans="1:7" x14ac:dyDescent="0.25">
      <c r="A6132" t="s">
        <v>18820</v>
      </c>
      <c r="B6132" t="s">
        <v>19615</v>
      </c>
      <c r="C6132" t="s">
        <v>19611</v>
      </c>
      <c r="D6132" t="s">
        <v>19612</v>
      </c>
      <c r="E6132" t="s">
        <v>19613</v>
      </c>
      <c r="F6132" t="s">
        <v>19616</v>
      </c>
      <c r="G6132" s="2" t="str">
        <f>HYPERLINK("https://probpalata.gov.ru/files/ИП500100355200003.jpeg","Скачать индивидуальный QR-код магазина")</f>
        <v>Скачать индивидуальный QR-код магазина</v>
      </c>
    </row>
    <row r="6133" spans="1:7" x14ac:dyDescent="0.25">
      <c r="A6133" t="s">
        <v>18820</v>
      </c>
      <c r="B6133" t="s">
        <v>19617</v>
      </c>
      <c r="C6133" t="s">
        <v>19611</v>
      </c>
      <c r="D6133" t="s">
        <v>19612</v>
      </c>
      <c r="E6133" t="s">
        <v>19613</v>
      </c>
      <c r="F6133" t="s">
        <v>19618</v>
      </c>
      <c r="G6133" s="2" t="str">
        <f>HYPERLINK("https://probpalata.gov.ru/files/ИП500100355200015.jpeg","Скачать индивидуальный QR-код магазина")</f>
        <v>Скачать индивидуальный QR-код магазина</v>
      </c>
    </row>
    <row r="6134" spans="1:7" x14ac:dyDescent="0.25">
      <c r="A6134" t="s">
        <v>18820</v>
      </c>
      <c r="B6134" t="s">
        <v>19619</v>
      </c>
      <c r="C6134" t="s">
        <v>14736</v>
      </c>
      <c r="D6134" t="s">
        <v>14737</v>
      </c>
      <c r="E6134" t="s">
        <v>14738</v>
      </c>
      <c r="F6134" t="s">
        <v>19620</v>
      </c>
      <c r="G6134" s="2" t="str">
        <f>HYPERLINK("https://probpalata.gov.ru/files/ЮЛ500100649400003.jpeg","Скачать индивидуальный QR-код магазина")</f>
        <v>Скачать индивидуальный QR-код магазина</v>
      </c>
    </row>
    <row r="6135" spans="1:7" x14ac:dyDescent="0.25">
      <c r="A6135" t="s">
        <v>18820</v>
      </c>
      <c r="B6135" t="s">
        <v>19621</v>
      </c>
      <c r="C6135" t="s">
        <v>14736</v>
      </c>
      <c r="D6135" t="s">
        <v>14737</v>
      </c>
      <c r="E6135" t="s">
        <v>14738</v>
      </c>
      <c r="F6135" t="s">
        <v>19622</v>
      </c>
      <c r="G6135" s="2" t="str">
        <f>HYPERLINK("https://probpalata.gov.ru/files/ЮЛ500100649400004.jpeg","Скачать индивидуальный QR-код магазина")</f>
        <v>Скачать индивидуальный QR-код магазина</v>
      </c>
    </row>
    <row r="6136" spans="1:7" x14ac:dyDescent="0.25">
      <c r="A6136" t="s">
        <v>18820</v>
      </c>
      <c r="B6136" t="s">
        <v>19623</v>
      </c>
      <c r="C6136" t="s">
        <v>14736</v>
      </c>
      <c r="D6136" t="s">
        <v>14737</v>
      </c>
      <c r="E6136" t="s">
        <v>14738</v>
      </c>
      <c r="F6136" t="s">
        <v>19624</v>
      </c>
      <c r="G6136" s="2" t="str">
        <f>HYPERLINK("https://probpalata.gov.ru/files/ЮЛ500100649400006.jpeg","Скачать индивидуальный QR-код магазина")</f>
        <v>Скачать индивидуальный QR-код магазина</v>
      </c>
    </row>
    <row r="6137" spans="1:7" x14ac:dyDescent="0.25">
      <c r="A6137" t="s">
        <v>18820</v>
      </c>
      <c r="B6137" t="s">
        <v>19625</v>
      </c>
      <c r="C6137" t="s">
        <v>14736</v>
      </c>
      <c r="D6137" t="s">
        <v>14737</v>
      </c>
      <c r="E6137" t="s">
        <v>14738</v>
      </c>
      <c r="F6137" t="s">
        <v>19626</v>
      </c>
      <c r="G6137" s="2" t="str">
        <f>HYPERLINK("https://probpalata.gov.ru/files/ЮЛ500100649400008.jpeg","Скачать индивидуальный QR-код магазина")</f>
        <v>Скачать индивидуальный QR-код магазина</v>
      </c>
    </row>
    <row r="6138" spans="1:7" x14ac:dyDescent="0.25">
      <c r="A6138" t="s">
        <v>18820</v>
      </c>
      <c r="B6138" t="s">
        <v>19627</v>
      </c>
      <c r="C6138" t="s">
        <v>14736</v>
      </c>
      <c r="D6138" t="s">
        <v>14737</v>
      </c>
      <c r="E6138" t="s">
        <v>14738</v>
      </c>
      <c r="F6138" t="s">
        <v>19628</v>
      </c>
      <c r="G6138" s="2" t="str">
        <f>HYPERLINK("https://probpalata.gov.ru/files/ЮЛ500100649400010.jpeg","Скачать индивидуальный QR-код магазина")</f>
        <v>Скачать индивидуальный QR-код магазина</v>
      </c>
    </row>
    <row r="6139" spans="1:7" x14ac:dyDescent="0.25">
      <c r="A6139" t="s">
        <v>18820</v>
      </c>
      <c r="B6139" t="s">
        <v>19629</v>
      </c>
      <c r="C6139" t="s">
        <v>14736</v>
      </c>
      <c r="D6139" t="s">
        <v>14737</v>
      </c>
      <c r="E6139" t="s">
        <v>14738</v>
      </c>
      <c r="F6139" t="s">
        <v>19630</v>
      </c>
      <c r="G6139" s="2" t="str">
        <f>HYPERLINK("https://probpalata.gov.ru/files/ЮЛ500100649400011.jpeg","Скачать индивидуальный QR-код магазина")</f>
        <v>Скачать индивидуальный QR-код магазина</v>
      </c>
    </row>
    <row r="6140" spans="1:7" x14ac:dyDescent="0.25">
      <c r="A6140" t="s">
        <v>18820</v>
      </c>
      <c r="B6140" t="s">
        <v>19631</v>
      </c>
      <c r="C6140" t="s">
        <v>14736</v>
      </c>
      <c r="D6140" t="s">
        <v>14737</v>
      </c>
      <c r="E6140" t="s">
        <v>14738</v>
      </c>
      <c r="F6140" t="s">
        <v>19632</v>
      </c>
      <c r="G6140" s="2" t="str">
        <f>HYPERLINK("https://probpalata.gov.ru/files/ЮЛ500100649400013.jpeg","Скачать индивидуальный QR-код магазина")</f>
        <v>Скачать индивидуальный QR-код магазина</v>
      </c>
    </row>
    <row r="6141" spans="1:7" x14ac:dyDescent="0.25">
      <c r="A6141" t="s">
        <v>18820</v>
      </c>
      <c r="B6141" t="s">
        <v>19633</v>
      </c>
      <c r="C6141" t="s">
        <v>14736</v>
      </c>
      <c r="D6141" t="s">
        <v>14737</v>
      </c>
      <c r="E6141" t="s">
        <v>14738</v>
      </c>
      <c r="F6141" t="s">
        <v>19634</v>
      </c>
      <c r="G6141" s="2" t="str">
        <f>HYPERLINK("https://probpalata.gov.ru/files/ЮЛ500100649400020.jpeg","Скачать индивидуальный QR-код магазина")</f>
        <v>Скачать индивидуальный QR-код магазина</v>
      </c>
    </row>
    <row r="6142" spans="1:7" x14ac:dyDescent="0.25">
      <c r="A6142" t="s">
        <v>18820</v>
      </c>
      <c r="B6142" t="s">
        <v>19635</v>
      </c>
      <c r="C6142" t="s">
        <v>14736</v>
      </c>
      <c r="D6142" t="s">
        <v>14737</v>
      </c>
      <c r="E6142" t="s">
        <v>14738</v>
      </c>
      <c r="F6142" t="s">
        <v>19636</v>
      </c>
      <c r="G6142" s="2" t="str">
        <f>HYPERLINK("https://probpalata.gov.ru/files/ЮЛ500100649400021.jpeg","Скачать индивидуальный QR-код магазина")</f>
        <v>Скачать индивидуальный QR-код магазина</v>
      </c>
    </row>
    <row r="6143" spans="1:7" x14ac:dyDescent="0.25">
      <c r="A6143" t="s">
        <v>18820</v>
      </c>
      <c r="B6143" t="s">
        <v>19637</v>
      </c>
      <c r="C6143" t="s">
        <v>14736</v>
      </c>
      <c r="D6143" t="s">
        <v>14737</v>
      </c>
      <c r="E6143" t="s">
        <v>14738</v>
      </c>
      <c r="F6143" t="s">
        <v>19638</v>
      </c>
      <c r="G6143" s="2" t="str">
        <f>HYPERLINK("https://probpalata.gov.ru/files/ЮЛ500100649400022.jpeg","Скачать индивидуальный QR-код магазина")</f>
        <v>Скачать индивидуальный QR-код магазина</v>
      </c>
    </row>
    <row r="6144" spans="1:7" x14ac:dyDescent="0.25">
      <c r="A6144" t="s">
        <v>18820</v>
      </c>
      <c r="B6144" t="s">
        <v>19639</v>
      </c>
      <c r="C6144" t="s">
        <v>14736</v>
      </c>
      <c r="D6144" t="s">
        <v>14737</v>
      </c>
      <c r="E6144" t="s">
        <v>14738</v>
      </c>
      <c r="F6144" t="s">
        <v>19640</v>
      </c>
      <c r="G6144" s="2" t="str">
        <f>HYPERLINK("https://probpalata.gov.ru/files/ЮЛ500100649400024.jpeg","Скачать индивидуальный QR-код магазина")</f>
        <v>Скачать индивидуальный QR-код магазина</v>
      </c>
    </row>
    <row r="6145" spans="1:7" x14ac:dyDescent="0.25">
      <c r="A6145" t="s">
        <v>18820</v>
      </c>
      <c r="B6145" t="s">
        <v>19641</v>
      </c>
      <c r="C6145" t="s">
        <v>14736</v>
      </c>
      <c r="D6145" t="s">
        <v>14737</v>
      </c>
      <c r="E6145" t="s">
        <v>14738</v>
      </c>
      <c r="F6145" t="s">
        <v>19642</v>
      </c>
      <c r="G6145" s="2" t="str">
        <f>HYPERLINK("https://probpalata.gov.ru/files/ЮЛ500100649400028.jpeg","Скачать индивидуальный QR-код магазина")</f>
        <v>Скачать индивидуальный QR-код магазина</v>
      </c>
    </row>
    <row r="6146" spans="1:7" x14ac:dyDescent="0.25">
      <c r="A6146" t="s">
        <v>18820</v>
      </c>
      <c r="B6146" t="s">
        <v>19643</v>
      </c>
      <c r="C6146" t="s">
        <v>14736</v>
      </c>
      <c r="D6146" t="s">
        <v>14737</v>
      </c>
      <c r="E6146" t="s">
        <v>14738</v>
      </c>
      <c r="F6146" t="s">
        <v>19644</v>
      </c>
      <c r="G6146" s="2" t="str">
        <f>HYPERLINK("https://probpalata.gov.ru/files/ЮЛ500100649400030.jpeg","Скачать индивидуальный QR-код магазина")</f>
        <v>Скачать индивидуальный QR-код магазина</v>
      </c>
    </row>
    <row r="6147" spans="1:7" x14ac:dyDescent="0.25">
      <c r="A6147" t="s">
        <v>18820</v>
      </c>
      <c r="B6147" t="s">
        <v>19645</v>
      </c>
      <c r="C6147" t="s">
        <v>14736</v>
      </c>
      <c r="D6147" t="s">
        <v>14737</v>
      </c>
      <c r="E6147" t="s">
        <v>14738</v>
      </c>
      <c r="F6147" t="s">
        <v>19646</v>
      </c>
      <c r="G6147" s="2" t="str">
        <f>HYPERLINK("https://probpalata.gov.ru/files/ЮЛ500100649400032.jpeg","Скачать индивидуальный QR-код магазина")</f>
        <v>Скачать индивидуальный QR-код магазина</v>
      </c>
    </row>
    <row r="6148" spans="1:7" x14ac:dyDescent="0.25">
      <c r="A6148" t="s">
        <v>18820</v>
      </c>
      <c r="B6148" t="s">
        <v>19647</v>
      </c>
      <c r="C6148" t="s">
        <v>14736</v>
      </c>
      <c r="D6148" t="s">
        <v>14737</v>
      </c>
      <c r="E6148" t="s">
        <v>14738</v>
      </c>
      <c r="F6148" t="s">
        <v>19648</v>
      </c>
      <c r="G6148" s="2" t="str">
        <f>HYPERLINK("https://probpalata.gov.ru/files/ЮЛ500100649400033.jpeg","Скачать индивидуальный QR-код магазина")</f>
        <v>Скачать индивидуальный QR-код магазина</v>
      </c>
    </row>
    <row r="6149" spans="1:7" x14ac:dyDescent="0.25">
      <c r="A6149" t="s">
        <v>18820</v>
      </c>
      <c r="B6149" t="s">
        <v>19649</v>
      </c>
      <c r="C6149" t="s">
        <v>14736</v>
      </c>
      <c r="D6149" t="s">
        <v>14737</v>
      </c>
      <c r="E6149" t="s">
        <v>14738</v>
      </c>
      <c r="F6149" t="s">
        <v>19650</v>
      </c>
      <c r="G6149" s="2" t="str">
        <f>HYPERLINK("https://probpalata.gov.ru/files/ЮЛ500100649400034.jpeg","Скачать индивидуальный QR-код магазина")</f>
        <v>Скачать индивидуальный QR-код магазина</v>
      </c>
    </row>
    <row r="6150" spans="1:7" x14ac:dyDescent="0.25">
      <c r="A6150" t="s">
        <v>18820</v>
      </c>
      <c r="B6150" t="s">
        <v>19651</v>
      </c>
      <c r="C6150" t="s">
        <v>14736</v>
      </c>
      <c r="D6150" t="s">
        <v>14737</v>
      </c>
      <c r="E6150" t="s">
        <v>14738</v>
      </c>
      <c r="F6150" t="s">
        <v>19652</v>
      </c>
      <c r="G6150" s="2" t="str">
        <f>HYPERLINK("https://probpalata.gov.ru/files/ЮЛ500100649400036.jpeg","Скачать индивидуальный QR-код магазина")</f>
        <v>Скачать индивидуальный QR-код магазина</v>
      </c>
    </row>
    <row r="6151" spans="1:7" x14ac:dyDescent="0.25">
      <c r="A6151" t="s">
        <v>18820</v>
      </c>
      <c r="B6151" t="s">
        <v>19653</v>
      </c>
      <c r="C6151" t="s">
        <v>14736</v>
      </c>
      <c r="D6151" t="s">
        <v>14737</v>
      </c>
      <c r="E6151" t="s">
        <v>14738</v>
      </c>
      <c r="F6151" t="s">
        <v>19654</v>
      </c>
      <c r="G6151" s="2" t="str">
        <f>HYPERLINK("https://probpalata.gov.ru/files/ЮЛ500100649400037.jpeg","Скачать индивидуальный QR-код магазина")</f>
        <v>Скачать индивидуальный QR-код магазина</v>
      </c>
    </row>
    <row r="6152" spans="1:7" x14ac:dyDescent="0.25">
      <c r="A6152" t="s">
        <v>18820</v>
      </c>
      <c r="B6152" t="s">
        <v>19655</v>
      </c>
      <c r="C6152" t="s">
        <v>14736</v>
      </c>
      <c r="D6152" t="s">
        <v>14737</v>
      </c>
      <c r="E6152" t="s">
        <v>14738</v>
      </c>
      <c r="F6152" t="s">
        <v>19656</v>
      </c>
      <c r="G6152" s="2" t="str">
        <f>HYPERLINK("https://probpalata.gov.ru/files/ЮЛ500100649400039.jpeg","Скачать индивидуальный QR-код магазина")</f>
        <v>Скачать индивидуальный QR-код магазина</v>
      </c>
    </row>
    <row r="6153" spans="1:7" x14ac:dyDescent="0.25">
      <c r="A6153" t="s">
        <v>18820</v>
      </c>
      <c r="B6153" t="s">
        <v>19657</v>
      </c>
      <c r="C6153" t="s">
        <v>14736</v>
      </c>
      <c r="D6153" t="s">
        <v>14737</v>
      </c>
      <c r="E6153" t="s">
        <v>14738</v>
      </c>
      <c r="F6153" t="s">
        <v>19658</v>
      </c>
      <c r="G6153" s="2" t="str">
        <f>HYPERLINK("https://probpalata.gov.ru/files/ЮЛ500100649400040.jpeg","Скачать индивидуальный QR-код магазина")</f>
        <v>Скачать индивидуальный QR-код магазина</v>
      </c>
    </row>
    <row r="6154" spans="1:7" x14ac:dyDescent="0.25">
      <c r="A6154" t="s">
        <v>18820</v>
      </c>
      <c r="B6154" t="s">
        <v>19659</v>
      </c>
      <c r="C6154" t="s">
        <v>14736</v>
      </c>
      <c r="D6154" t="s">
        <v>14737</v>
      </c>
      <c r="E6154" t="s">
        <v>14738</v>
      </c>
      <c r="F6154" t="s">
        <v>19660</v>
      </c>
      <c r="G6154" s="2" t="str">
        <f>HYPERLINK("https://probpalata.gov.ru/files/ЮЛ500100649400041.jpeg","Скачать индивидуальный QR-код магазина")</f>
        <v>Скачать индивидуальный QR-код магазина</v>
      </c>
    </row>
    <row r="6155" spans="1:7" x14ac:dyDescent="0.25">
      <c r="A6155" t="s">
        <v>18820</v>
      </c>
      <c r="B6155" t="s">
        <v>19661</v>
      </c>
      <c r="C6155" t="s">
        <v>14736</v>
      </c>
      <c r="D6155" t="s">
        <v>14737</v>
      </c>
      <c r="E6155" t="s">
        <v>14738</v>
      </c>
      <c r="F6155" t="s">
        <v>19662</v>
      </c>
      <c r="G6155" s="2" t="str">
        <f>HYPERLINK("https://probpalata.gov.ru/files/ЮЛ500100649400043.jpeg","Скачать индивидуальный QR-код магазина")</f>
        <v>Скачать индивидуальный QR-код магазина</v>
      </c>
    </row>
    <row r="6156" spans="1:7" x14ac:dyDescent="0.25">
      <c r="A6156" t="s">
        <v>18820</v>
      </c>
      <c r="B6156" t="s">
        <v>19663</v>
      </c>
      <c r="C6156" t="s">
        <v>14736</v>
      </c>
      <c r="D6156" t="s">
        <v>14737</v>
      </c>
      <c r="E6156" t="s">
        <v>14738</v>
      </c>
      <c r="F6156" t="s">
        <v>19664</v>
      </c>
      <c r="G6156" s="2" t="str">
        <f>HYPERLINK("https://probpalata.gov.ru/files/ЮЛ500100649400044.jpeg","Скачать индивидуальный QR-код магазина")</f>
        <v>Скачать индивидуальный QR-код магазина</v>
      </c>
    </row>
    <row r="6157" spans="1:7" x14ac:dyDescent="0.25">
      <c r="A6157" t="s">
        <v>18820</v>
      </c>
      <c r="B6157" t="s">
        <v>19665</v>
      </c>
      <c r="C6157" t="s">
        <v>14736</v>
      </c>
      <c r="D6157" t="s">
        <v>14737</v>
      </c>
      <c r="E6157" t="s">
        <v>14738</v>
      </c>
      <c r="F6157" t="s">
        <v>19666</v>
      </c>
      <c r="G6157" s="2" t="str">
        <f>HYPERLINK("https://probpalata.gov.ru/files/ЮЛ500100649400046.jpeg","Скачать индивидуальный QR-код магазина")</f>
        <v>Скачать индивидуальный QR-код магазина</v>
      </c>
    </row>
    <row r="6158" spans="1:7" x14ac:dyDescent="0.25">
      <c r="A6158" t="s">
        <v>18820</v>
      </c>
      <c r="B6158" t="s">
        <v>19667</v>
      </c>
      <c r="C6158" t="s">
        <v>14736</v>
      </c>
      <c r="D6158" t="s">
        <v>14737</v>
      </c>
      <c r="E6158" t="s">
        <v>14738</v>
      </c>
      <c r="F6158" t="s">
        <v>19668</v>
      </c>
      <c r="G6158" s="2" t="str">
        <f>HYPERLINK("https://probpalata.gov.ru/files/ЮЛ500100649400048.jpeg","Скачать индивидуальный QR-код магазина")</f>
        <v>Скачать индивидуальный QR-код магазина</v>
      </c>
    </row>
    <row r="6159" spans="1:7" x14ac:dyDescent="0.25">
      <c r="A6159" t="s">
        <v>18820</v>
      </c>
      <c r="B6159" t="s">
        <v>19669</v>
      </c>
      <c r="C6159" t="s">
        <v>14736</v>
      </c>
      <c r="D6159" t="s">
        <v>14737</v>
      </c>
      <c r="E6159" t="s">
        <v>14738</v>
      </c>
      <c r="F6159" t="s">
        <v>19670</v>
      </c>
      <c r="G6159" s="2" t="str">
        <f>HYPERLINK("https://probpalata.gov.ru/files/ЮЛ500100649400050.jpeg","Скачать индивидуальный QR-код магазина")</f>
        <v>Скачать индивидуальный QR-код магазина</v>
      </c>
    </row>
    <row r="6160" spans="1:7" x14ac:dyDescent="0.25">
      <c r="A6160" t="s">
        <v>18820</v>
      </c>
      <c r="B6160" t="s">
        <v>19671</v>
      </c>
      <c r="C6160" t="s">
        <v>14736</v>
      </c>
      <c r="D6160" t="s">
        <v>14737</v>
      </c>
      <c r="E6160" t="s">
        <v>14738</v>
      </c>
      <c r="F6160" t="s">
        <v>19672</v>
      </c>
      <c r="G6160" s="2" t="str">
        <f>HYPERLINK("https://probpalata.gov.ru/files/ЮЛ500100649400052.jpeg","Скачать индивидуальный QR-код магазина")</f>
        <v>Скачать индивидуальный QR-код магазина</v>
      </c>
    </row>
    <row r="6161" spans="1:7" x14ac:dyDescent="0.25">
      <c r="A6161" t="s">
        <v>18820</v>
      </c>
      <c r="B6161" t="s">
        <v>19673</v>
      </c>
      <c r="C6161" t="s">
        <v>14736</v>
      </c>
      <c r="D6161" t="s">
        <v>14737</v>
      </c>
      <c r="E6161" t="s">
        <v>14738</v>
      </c>
      <c r="F6161" t="s">
        <v>19674</v>
      </c>
      <c r="G6161" s="2" t="str">
        <f>HYPERLINK("https://probpalata.gov.ru/files/ЮЛ500100649400053.jpeg","Скачать индивидуальный QR-код магазина")</f>
        <v>Скачать индивидуальный QR-код магазина</v>
      </c>
    </row>
    <row r="6162" spans="1:7" x14ac:dyDescent="0.25">
      <c r="A6162" t="s">
        <v>18820</v>
      </c>
      <c r="B6162" t="s">
        <v>19675</v>
      </c>
      <c r="C6162" t="s">
        <v>14736</v>
      </c>
      <c r="D6162" t="s">
        <v>14737</v>
      </c>
      <c r="E6162" t="s">
        <v>14738</v>
      </c>
      <c r="F6162" t="s">
        <v>19676</v>
      </c>
      <c r="G6162" s="2" t="str">
        <f>HYPERLINK("https://probpalata.gov.ru/files/ЮЛ500100649400054.jpeg","Скачать индивидуальный QR-код магазина")</f>
        <v>Скачать индивидуальный QR-код магазина</v>
      </c>
    </row>
    <row r="6163" spans="1:7" x14ac:dyDescent="0.25">
      <c r="A6163" t="s">
        <v>18820</v>
      </c>
      <c r="B6163" t="s">
        <v>19677</v>
      </c>
      <c r="C6163" t="s">
        <v>14736</v>
      </c>
      <c r="D6163" t="s">
        <v>14737</v>
      </c>
      <c r="E6163" t="s">
        <v>14738</v>
      </c>
      <c r="F6163" t="s">
        <v>19678</v>
      </c>
      <c r="G6163" s="2" t="str">
        <f>HYPERLINK("https://probpalata.gov.ru/files/ЮЛ500100649400056.jpeg","Скачать индивидуальный QR-код магазина")</f>
        <v>Скачать индивидуальный QR-код магазина</v>
      </c>
    </row>
    <row r="6164" spans="1:7" x14ac:dyDescent="0.25">
      <c r="A6164" t="s">
        <v>18820</v>
      </c>
      <c r="B6164" t="s">
        <v>19679</v>
      </c>
      <c r="C6164" t="s">
        <v>14736</v>
      </c>
      <c r="D6164" t="s">
        <v>14737</v>
      </c>
      <c r="E6164" t="s">
        <v>14738</v>
      </c>
      <c r="F6164" t="s">
        <v>19680</v>
      </c>
      <c r="G6164" s="2" t="str">
        <f>HYPERLINK("https://probpalata.gov.ru/files/ЮЛ500100649400059.jpeg","Скачать индивидуальный QR-код магазина")</f>
        <v>Скачать индивидуальный QR-код магазина</v>
      </c>
    </row>
    <row r="6165" spans="1:7" x14ac:dyDescent="0.25">
      <c r="A6165" t="s">
        <v>18820</v>
      </c>
      <c r="B6165" t="s">
        <v>19681</v>
      </c>
      <c r="C6165" t="s">
        <v>14736</v>
      </c>
      <c r="D6165" t="s">
        <v>14737</v>
      </c>
      <c r="E6165" t="s">
        <v>14738</v>
      </c>
      <c r="F6165" t="s">
        <v>19682</v>
      </c>
      <c r="G6165" s="2" t="str">
        <f>HYPERLINK("https://probpalata.gov.ru/files/ЮЛ500100649400060.jpeg","Скачать индивидуальный QR-код магазина")</f>
        <v>Скачать индивидуальный QR-код магазина</v>
      </c>
    </row>
    <row r="6166" spans="1:7" x14ac:dyDescent="0.25">
      <c r="A6166" t="s">
        <v>18820</v>
      </c>
      <c r="B6166" t="s">
        <v>19683</v>
      </c>
      <c r="C6166" t="s">
        <v>14736</v>
      </c>
      <c r="D6166" t="s">
        <v>14737</v>
      </c>
      <c r="E6166" t="s">
        <v>14738</v>
      </c>
      <c r="F6166" t="s">
        <v>19684</v>
      </c>
      <c r="G6166" s="2" t="str">
        <f>HYPERLINK("https://probpalata.gov.ru/files/ЮЛ500100649400061.jpeg","Скачать индивидуальный QR-код магазина")</f>
        <v>Скачать индивидуальный QR-код магазина</v>
      </c>
    </row>
    <row r="6167" spans="1:7" x14ac:dyDescent="0.25">
      <c r="A6167" t="s">
        <v>18820</v>
      </c>
      <c r="B6167" t="s">
        <v>19685</v>
      </c>
      <c r="C6167" t="s">
        <v>14736</v>
      </c>
      <c r="D6167" t="s">
        <v>14737</v>
      </c>
      <c r="E6167" t="s">
        <v>14738</v>
      </c>
      <c r="F6167" t="s">
        <v>19686</v>
      </c>
      <c r="G6167" s="2" t="str">
        <f>HYPERLINK("https://probpalata.gov.ru/files/ЮЛ500100649400062.jpeg","Скачать индивидуальный QR-код магазина")</f>
        <v>Скачать индивидуальный QR-код магазина</v>
      </c>
    </row>
    <row r="6168" spans="1:7" x14ac:dyDescent="0.25">
      <c r="A6168" t="s">
        <v>18820</v>
      </c>
      <c r="B6168" t="s">
        <v>19687</v>
      </c>
      <c r="C6168" t="s">
        <v>14736</v>
      </c>
      <c r="D6168" t="s">
        <v>14737</v>
      </c>
      <c r="E6168" t="s">
        <v>14738</v>
      </c>
      <c r="F6168" t="s">
        <v>19688</v>
      </c>
      <c r="G6168" s="2" t="str">
        <f>HYPERLINK("https://probpalata.gov.ru/files/ЮЛ500100649400063.jpeg","Скачать индивидуальный QR-код магазина")</f>
        <v>Скачать индивидуальный QR-код магазина</v>
      </c>
    </row>
    <row r="6169" spans="1:7" x14ac:dyDescent="0.25">
      <c r="A6169" t="s">
        <v>18820</v>
      </c>
      <c r="B6169" t="s">
        <v>19689</v>
      </c>
      <c r="C6169" t="s">
        <v>14736</v>
      </c>
      <c r="D6169" t="s">
        <v>14737</v>
      </c>
      <c r="E6169" t="s">
        <v>14738</v>
      </c>
      <c r="F6169" t="s">
        <v>19690</v>
      </c>
      <c r="G6169" s="2" t="str">
        <f>HYPERLINK("https://probpalata.gov.ru/files/ЮЛ500100649400067.jpeg","Скачать индивидуальный QR-код магазина")</f>
        <v>Скачать индивидуальный QR-код магазина</v>
      </c>
    </row>
    <row r="6170" spans="1:7" x14ac:dyDescent="0.25">
      <c r="A6170" t="s">
        <v>18820</v>
      </c>
      <c r="B6170" t="s">
        <v>19691</v>
      </c>
      <c r="C6170" t="s">
        <v>14736</v>
      </c>
      <c r="D6170" t="s">
        <v>14737</v>
      </c>
      <c r="E6170" t="s">
        <v>14738</v>
      </c>
      <c r="F6170" t="s">
        <v>19692</v>
      </c>
      <c r="G6170" s="2" t="str">
        <f>HYPERLINK("https://probpalata.gov.ru/files/ЮЛ500100649400069.jpeg","Скачать индивидуальный QR-код магазина")</f>
        <v>Скачать индивидуальный QR-код магазина</v>
      </c>
    </row>
    <row r="6171" spans="1:7" x14ac:dyDescent="0.25">
      <c r="A6171" t="s">
        <v>18820</v>
      </c>
      <c r="B6171" t="s">
        <v>19693</v>
      </c>
      <c r="C6171" t="s">
        <v>14736</v>
      </c>
      <c r="D6171" t="s">
        <v>14737</v>
      </c>
      <c r="E6171" t="s">
        <v>14738</v>
      </c>
      <c r="F6171" t="s">
        <v>19694</v>
      </c>
      <c r="G6171" s="2" t="str">
        <f>HYPERLINK("https://probpalata.gov.ru/files/ЮЛ500100649400070.jpeg","Скачать индивидуальный QR-код магазина")</f>
        <v>Скачать индивидуальный QR-код магазина</v>
      </c>
    </row>
    <row r="6172" spans="1:7" x14ac:dyDescent="0.25">
      <c r="A6172" t="s">
        <v>18820</v>
      </c>
      <c r="B6172" t="s">
        <v>19695</v>
      </c>
      <c r="C6172" t="s">
        <v>14736</v>
      </c>
      <c r="D6172" t="s">
        <v>14737</v>
      </c>
      <c r="E6172" t="s">
        <v>14738</v>
      </c>
      <c r="F6172" t="s">
        <v>19696</v>
      </c>
      <c r="G6172" s="2" t="str">
        <f>HYPERLINK("https://probpalata.gov.ru/files/ЮЛ500100649400071.jpeg","Скачать индивидуальный QR-код магазина")</f>
        <v>Скачать индивидуальный QR-код магазина</v>
      </c>
    </row>
    <row r="6173" spans="1:7" x14ac:dyDescent="0.25">
      <c r="A6173" t="s">
        <v>18820</v>
      </c>
      <c r="B6173" t="s">
        <v>19697</v>
      </c>
      <c r="C6173" t="s">
        <v>14736</v>
      </c>
      <c r="D6173" t="s">
        <v>14737</v>
      </c>
      <c r="E6173" t="s">
        <v>14738</v>
      </c>
      <c r="F6173" t="s">
        <v>19698</v>
      </c>
      <c r="G6173" s="2" t="str">
        <f>HYPERLINK("https://probpalata.gov.ru/files/ЮЛ500100649400073.jpeg","Скачать индивидуальный QR-код магазина")</f>
        <v>Скачать индивидуальный QR-код магазина</v>
      </c>
    </row>
    <row r="6174" spans="1:7" x14ac:dyDescent="0.25">
      <c r="A6174" t="s">
        <v>18820</v>
      </c>
      <c r="B6174" t="s">
        <v>19699</v>
      </c>
      <c r="C6174" t="s">
        <v>19700</v>
      </c>
      <c r="D6174" t="s">
        <v>19701</v>
      </c>
      <c r="E6174" t="s">
        <v>19702</v>
      </c>
      <c r="F6174" t="s">
        <v>19703</v>
      </c>
      <c r="G6174" s="2" t="str">
        <f>HYPERLINK("https://probpalata.gov.ru/files/ИП500101855200000.jpeg","Скачать индивидуальный QR-код магазина")</f>
        <v>Скачать индивидуальный QR-код магазина</v>
      </c>
    </row>
    <row r="6175" spans="1:7" x14ac:dyDescent="0.25">
      <c r="A6175" t="s">
        <v>18820</v>
      </c>
      <c r="B6175" t="s">
        <v>19704</v>
      </c>
      <c r="C6175" t="s">
        <v>19705</v>
      </c>
      <c r="D6175" t="s">
        <v>19706</v>
      </c>
      <c r="E6175" t="s">
        <v>19707</v>
      </c>
      <c r="F6175" t="s">
        <v>19708</v>
      </c>
      <c r="G6175" s="2" t="str">
        <f>HYPERLINK("https://probpalata.gov.ru/files/ЮЛ500100477300001.jpeg","Скачать индивидуальный QR-код магазина")</f>
        <v>Скачать индивидуальный QR-код магазина</v>
      </c>
    </row>
    <row r="6176" spans="1:7" x14ac:dyDescent="0.25">
      <c r="A6176" t="s">
        <v>18820</v>
      </c>
      <c r="B6176" t="s">
        <v>19709</v>
      </c>
      <c r="C6176" t="s">
        <v>19710</v>
      </c>
      <c r="D6176" t="s">
        <v>19711</v>
      </c>
      <c r="E6176" t="s">
        <v>19712</v>
      </c>
      <c r="F6176" t="s">
        <v>19713</v>
      </c>
      <c r="G6176" s="2" t="str">
        <f>HYPERLINK("https://probpalata.gov.ru/files/ИП500100464400000.jpeg","Скачать индивидуальный QR-код магазина")</f>
        <v>Скачать индивидуальный QR-код магазина</v>
      </c>
    </row>
    <row r="6177" spans="1:7" x14ac:dyDescent="0.25">
      <c r="A6177" t="s">
        <v>18820</v>
      </c>
      <c r="B6177" t="s">
        <v>19714</v>
      </c>
      <c r="C6177" t="s">
        <v>19715</v>
      </c>
      <c r="D6177" t="s">
        <v>19716</v>
      </c>
      <c r="E6177" t="s">
        <v>19717</v>
      </c>
      <c r="F6177" t="s">
        <v>19718</v>
      </c>
      <c r="G6177" s="2" t="str">
        <f>HYPERLINK("https://probpalata.gov.ru/files/ИП500103925300000.jpeg","Скачать индивидуальный QR-код магазина")</f>
        <v>Скачать индивидуальный QR-код магазина</v>
      </c>
    </row>
    <row r="6178" spans="1:7" x14ac:dyDescent="0.25">
      <c r="A6178" t="s">
        <v>18820</v>
      </c>
      <c r="B6178" t="s">
        <v>19719</v>
      </c>
      <c r="C6178" t="s">
        <v>19720</v>
      </c>
      <c r="D6178" t="s">
        <v>19721</v>
      </c>
      <c r="E6178" t="s">
        <v>19722</v>
      </c>
      <c r="F6178" t="s">
        <v>19723</v>
      </c>
      <c r="G6178" s="2" t="str">
        <f>HYPERLINK("https://probpalata.gov.ru/files/ИП770100331000000.jpeg","Скачать индивидуальный QR-код магазина")</f>
        <v>Скачать индивидуальный QR-код магазина</v>
      </c>
    </row>
    <row r="6179" spans="1:7" x14ac:dyDescent="0.25">
      <c r="A6179" t="s">
        <v>18820</v>
      </c>
      <c r="B6179" t="s">
        <v>19724</v>
      </c>
      <c r="C6179" t="s">
        <v>19725</v>
      </c>
      <c r="D6179" t="s">
        <v>19726</v>
      </c>
      <c r="E6179" t="s">
        <v>19727</v>
      </c>
      <c r="F6179" t="s">
        <v>19728</v>
      </c>
      <c r="G6179" s="2" t="str">
        <f>HYPERLINK("https://probpalata.gov.ru/files/ИП500100410200000.jpeg","Скачать индивидуальный QR-код магазина")</f>
        <v>Скачать индивидуальный QR-код магазина</v>
      </c>
    </row>
    <row r="6180" spans="1:7" x14ac:dyDescent="0.25">
      <c r="A6180" t="s">
        <v>18820</v>
      </c>
      <c r="B6180" t="s">
        <v>19729</v>
      </c>
      <c r="C6180" t="s">
        <v>19730</v>
      </c>
      <c r="D6180" t="s">
        <v>19731</v>
      </c>
      <c r="E6180" t="s">
        <v>19732</v>
      </c>
      <c r="F6180" t="s">
        <v>19733</v>
      </c>
      <c r="G6180" s="2" t="str">
        <f>HYPERLINK("https://probpalata.gov.ru/files/ИП770100717100000.jpeg","Скачать индивидуальный QR-код магазина")</f>
        <v>Скачать индивидуальный QR-код магазина</v>
      </c>
    </row>
    <row r="6181" spans="1:7" x14ac:dyDescent="0.25">
      <c r="A6181" t="s">
        <v>18820</v>
      </c>
      <c r="B6181" t="s">
        <v>19734</v>
      </c>
      <c r="C6181" t="s">
        <v>19735</v>
      </c>
      <c r="D6181" t="s">
        <v>19736</v>
      </c>
      <c r="E6181" t="s">
        <v>19737</v>
      </c>
      <c r="F6181" t="s">
        <v>19738</v>
      </c>
      <c r="G6181" s="2" t="str">
        <f>HYPERLINK("https://probpalata.gov.ru/files/ИП770103630400000.jpeg","Скачать индивидуальный QR-код магазина")</f>
        <v>Скачать индивидуальный QR-код магазина</v>
      </c>
    </row>
    <row r="6182" spans="1:7" x14ac:dyDescent="0.25">
      <c r="A6182" t="s">
        <v>18820</v>
      </c>
      <c r="B6182" t="s">
        <v>19739</v>
      </c>
      <c r="C6182" t="s">
        <v>19740</v>
      </c>
      <c r="D6182" t="s">
        <v>19741</v>
      </c>
      <c r="E6182" t="s">
        <v>19742</v>
      </c>
      <c r="F6182" t="s">
        <v>19743</v>
      </c>
      <c r="G6182" s="2" t="str">
        <f>HYPERLINK("https://probpalata.gov.ru/files/ЮЛ770100733600000.jpeg","Скачать индивидуальный QR-код магазина")</f>
        <v>Скачать индивидуальный QR-код магазина</v>
      </c>
    </row>
    <row r="6183" spans="1:7" x14ac:dyDescent="0.25">
      <c r="A6183" t="s">
        <v>18820</v>
      </c>
      <c r="B6183" t="s">
        <v>19744</v>
      </c>
      <c r="C6183" t="s">
        <v>19745</v>
      </c>
      <c r="D6183" t="s">
        <v>19746</v>
      </c>
      <c r="E6183" t="s">
        <v>19747</v>
      </c>
      <c r="F6183" t="s">
        <v>19748</v>
      </c>
      <c r="G6183" s="2" t="str">
        <f>HYPERLINK("https://probpalata.gov.ru/files/ИП500100519800000.jpeg","Скачать индивидуальный QR-код магазина")</f>
        <v>Скачать индивидуальный QR-код магазина</v>
      </c>
    </row>
    <row r="6184" spans="1:7" x14ac:dyDescent="0.25">
      <c r="A6184" t="s">
        <v>18820</v>
      </c>
      <c r="B6184" t="s">
        <v>19749</v>
      </c>
      <c r="C6184" t="s">
        <v>19750</v>
      </c>
      <c r="D6184" t="s">
        <v>19751</v>
      </c>
      <c r="E6184" t="s">
        <v>19752</v>
      </c>
      <c r="F6184" t="s">
        <v>19753</v>
      </c>
      <c r="G6184" s="2" t="str">
        <f>HYPERLINK("https://probpalata.gov.ru/files/ЮЛ500103186600000.jpeg","Скачать индивидуальный QR-код магазина")</f>
        <v>Скачать индивидуальный QR-код магазина</v>
      </c>
    </row>
    <row r="6185" spans="1:7" x14ac:dyDescent="0.25">
      <c r="A6185" t="s">
        <v>18820</v>
      </c>
      <c r="B6185" t="s">
        <v>19754</v>
      </c>
      <c r="C6185" t="s">
        <v>19755</v>
      </c>
      <c r="D6185" t="s">
        <v>19756</v>
      </c>
      <c r="E6185" t="s">
        <v>19757</v>
      </c>
      <c r="F6185" t="s">
        <v>19758</v>
      </c>
      <c r="G6185" s="2" t="str">
        <f>HYPERLINK("https://probpalata.gov.ru/files/ЮЛ500103925800000.jpeg","Скачать индивидуальный QR-код магазина")</f>
        <v>Скачать индивидуальный QR-код магазина</v>
      </c>
    </row>
    <row r="6186" spans="1:7" x14ac:dyDescent="0.25">
      <c r="A6186" t="s">
        <v>18820</v>
      </c>
      <c r="B6186" t="s">
        <v>19759</v>
      </c>
      <c r="C6186" t="s">
        <v>671</v>
      </c>
      <c r="D6186" t="s">
        <v>672</v>
      </c>
      <c r="E6186" t="s">
        <v>673</v>
      </c>
      <c r="F6186" t="s">
        <v>19760</v>
      </c>
      <c r="G6186" s="2" t="str">
        <f>HYPERLINK("https://probpalata.gov.ru/files/ИП500100445500000.jpeg","Скачать индивидуальный QR-код магазина")</f>
        <v>Скачать индивидуальный QR-код магазина</v>
      </c>
    </row>
    <row r="6187" spans="1:7" x14ac:dyDescent="0.25">
      <c r="A6187" t="s">
        <v>18820</v>
      </c>
      <c r="B6187" t="s">
        <v>19761</v>
      </c>
      <c r="C6187" t="s">
        <v>671</v>
      </c>
      <c r="D6187" t="s">
        <v>672</v>
      </c>
      <c r="E6187" t="s">
        <v>673</v>
      </c>
      <c r="F6187" t="s">
        <v>19762</v>
      </c>
      <c r="G6187" s="2" t="str">
        <f>HYPERLINK("https://probpalata.gov.ru/files/ИП500100445500010.jpeg","Скачать индивидуальный QR-код магазина")</f>
        <v>Скачать индивидуальный QR-код магазина</v>
      </c>
    </row>
    <row r="6188" spans="1:7" x14ac:dyDescent="0.25">
      <c r="A6188" t="s">
        <v>18820</v>
      </c>
      <c r="B6188" t="s">
        <v>19763</v>
      </c>
      <c r="C6188" t="s">
        <v>671</v>
      </c>
      <c r="D6188" t="s">
        <v>672</v>
      </c>
      <c r="E6188" t="s">
        <v>673</v>
      </c>
      <c r="F6188" t="s">
        <v>19764</v>
      </c>
      <c r="G6188" s="2" t="str">
        <f>HYPERLINK("https://probpalata.gov.ru/files/ИП500100445500013.jpeg","Скачать индивидуальный QR-код магазина")</f>
        <v>Скачать индивидуальный QR-код магазина</v>
      </c>
    </row>
    <row r="6189" spans="1:7" x14ac:dyDescent="0.25">
      <c r="A6189" t="s">
        <v>18820</v>
      </c>
      <c r="B6189" t="s">
        <v>19765</v>
      </c>
      <c r="C6189" t="s">
        <v>671</v>
      </c>
      <c r="D6189" t="s">
        <v>672</v>
      </c>
      <c r="E6189" t="s">
        <v>673</v>
      </c>
      <c r="F6189" t="s">
        <v>19766</v>
      </c>
      <c r="G6189" s="2" t="str">
        <f>HYPERLINK("https://probpalata.gov.ru/files/ИП500100445500024.jpeg","Скачать индивидуальный QR-код магазина")</f>
        <v>Скачать индивидуальный QR-код магазина</v>
      </c>
    </row>
    <row r="6190" spans="1:7" x14ac:dyDescent="0.25">
      <c r="A6190" t="s">
        <v>18820</v>
      </c>
      <c r="B6190" t="s">
        <v>19767</v>
      </c>
      <c r="C6190" t="s">
        <v>671</v>
      </c>
      <c r="D6190" t="s">
        <v>672</v>
      </c>
      <c r="E6190" t="s">
        <v>673</v>
      </c>
      <c r="F6190" t="s">
        <v>19768</v>
      </c>
      <c r="G6190" s="2" t="str">
        <f>HYPERLINK("https://probpalata.gov.ru/files/ИП500100445500025.jpeg","Скачать индивидуальный QR-код магазина")</f>
        <v>Скачать индивидуальный QR-код магазина</v>
      </c>
    </row>
    <row r="6191" spans="1:7" x14ac:dyDescent="0.25">
      <c r="A6191" t="s">
        <v>18820</v>
      </c>
      <c r="B6191" t="s">
        <v>19769</v>
      </c>
      <c r="C6191" t="s">
        <v>671</v>
      </c>
      <c r="D6191" t="s">
        <v>672</v>
      </c>
      <c r="E6191" t="s">
        <v>673</v>
      </c>
      <c r="F6191" t="s">
        <v>19770</v>
      </c>
      <c r="G6191" s="2" t="str">
        <f>HYPERLINK("https://probpalata.gov.ru/files/ИП500100445500029.jpeg","Скачать индивидуальный QR-код магазина")</f>
        <v>Скачать индивидуальный QR-код магазина</v>
      </c>
    </row>
    <row r="6192" spans="1:7" x14ac:dyDescent="0.25">
      <c r="A6192" t="s">
        <v>18820</v>
      </c>
      <c r="B6192" t="s">
        <v>19771</v>
      </c>
      <c r="C6192" t="s">
        <v>671</v>
      </c>
      <c r="D6192" t="s">
        <v>672</v>
      </c>
      <c r="E6192" t="s">
        <v>673</v>
      </c>
      <c r="F6192" t="s">
        <v>19772</v>
      </c>
      <c r="G6192" s="2" t="str">
        <f>HYPERLINK("https://probpalata.gov.ru/files/ИП500100445500030.jpeg","Скачать индивидуальный QR-код магазина")</f>
        <v>Скачать индивидуальный QR-код магазина</v>
      </c>
    </row>
    <row r="6193" spans="1:7" x14ac:dyDescent="0.25">
      <c r="A6193" t="s">
        <v>18820</v>
      </c>
      <c r="B6193" t="s">
        <v>19773</v>
      </c>
      <c r="C6193" t="s">
        <v>671</v>
      </c>
      <c r="D6193" t="s">
        <v>672</v>
      </c>
      <c r="E6193" t="s">
        <v>673</v>
      </c>
      <c r="F6193" t="s">
        <v>19774</v>
      </c>
      <c r="G6193" s="2" t="str">
        <f>HYPERLINK("https://probpalata.gov.ru/files/ИП500100445500046.jpeg","Скачать индивидуальный QR-код магазина")</f>
        <v>Скачать индивидуальный QR-код магазина</v>
      </c>
    </row>
    <row r="6194" spans="1:7" x14ac:dyDescent="0.25">
      <c r="A6194" t="s">
        <v>18820</v>
      </c>
      <c r="B6194" t="s">
        <v>19348</v>
      </c>
      <c r="C6194" t="s">
        <v>671</v>
      </c>
      <c r="D6194" t="s">
        <v>672</v>
      </c>
      <c r="E6194" t="s">
        <v>673</v>
      </c>
      <c r="F6194" t="s">
        <v>19775</v>
      </c>
      <c r="G6194" s="2" t="str">
        <f>HYPERLINK("https://probpalata.gov.ru/files/ИП500100445500050.jpeg","Скачать индивидуальный QR-код магазина")</f>
        <v>Скачать индивидуальный QR-код магазина</v>
      </c>
    </row>
    <row r="6195" spans="1:7" x14ac:dyDescent="0.25">
      <c r="A6195" t="s">
        <v>18820</v>
      </c>
      <c r="B6195" t="s">
        <v>19776</v>
      </c>
      <c r="C6195" t="s">
        <v>671</v>
      </c>
      <c r="D6195" t="s">
        <v>672</v>
      </c>
      <c r="E6195" t="s">
        <v>673</v>
      </c>
      <c r="F6195" t="s">
        <v>19777</v>
      </c>
      <c r="G6195" s="2" t="str">
        <f>HYPERLINK("https://probpalata.gov.ru/files/ИП500100445500052.jpeg","Скачать индивидуальный QR-код магазина")</f>
        <v>Скачать индивидуальный QR-код магазина</v>
      </c>
    </row>
    <row r="6196" spans="1:7" x14ac:dyDescent="0.25">
      <c r="A6196" t="s">
        <v>18820</v>
      </c>
      <c r="B6196" t="s">
        <v>19778</v>
      </c>
      <c r="C6196" t="s">
        <v>671</v>
      </c>
      <c r="D6196" t="s">
        <v>672</v>
      </c>
      <c r="E6196" t="s">
        <v>673</v>
      </c>
      <c r="F6196" t="s">
        <v>19779</v>
      </c>
      <c r="G6196" s="2" t="str">
        <f>HYPERLINK("https://probpalata.gov.ru/files/ИП500100445500053.jpeg","Скачать индивидуальный QR-код магазина")</f>
        <v>Скачать индивидуальный QR-код магазина</v>
      </c>
    </row>
    <row r="6197" spans="1:7" x14ac:dyDescent="0.25">
      <c r="A6197" t="s">
        <v>18820</v>
      </c>
      <c r="B6197" t="s">
        <v>19780</v>
      </c>
      <c r="C6197" t="s">
        <v>671</v>
      </c>
      <c r="D6197" t="s">
        <v>672</v>
      </c>
      <c r="E6197" t="s">
        <v>673</v>
      </c>
      <c r="F6197" t="s">
        <v>19781</v>
      </c>
      <c r="G6197" s="2" t="str">
        <f>HYPERLINK("https://probpalata.gov.ru/files/ИП500100445500056.jpeg","Скачать индивидуальный QR-код магазина")</f>
        <v>Скачать индивидуальный QR-код магазина</v>
      </c>
    </row>
    <row r="6198" spans="1:7" x14ac:dyDescent="0.25">
      <c r="A6198" t="s">
        <v>18820</v>
      </c>
      <c r="B6198" t="s">
        <v>19782</v>
      </c>
      <c r="C6198" t="s">
        <v>671</v>
      </c>
      <c r="D6198" t="s">
        <v>672</v>
      </c>
      <c r="E6198" t="s">
        <v>673</v>
      </c>
      <c r="F6198" t="s">
        <v>19783</v>
      </c>
      <c r="G6198" s="2" t="str">
        <f>HYPERLINK("https://probpalata.gov.ru/files/ИП500100445500064.jpeg","Скачать индивидуальный QR-код магазина")</f>
        <v>Скачать индивидуальный QR-код магазина</v>
      </c>
    </row>
    <row r="6199" spans="1:7" x14ac:dyDescent="0.25">
      <c r="A6199" t="s">
        <v>18820</v>
      </c>
      <c r="B6199" t="s">
        <v>19784</v>
      </c>
      <c r="C6199" t="s">
        <v>671</v>
      </c>
      <c r="D6199" t="s">
        <v>672</v>
      </c>
      <c r="E6199" t="s">
        <v>673</v>
      </c>
      <c r="F6199" t="s">
        <v>19785</v>
      </c>
      <c r="G6199" s="2" t="str">
        <f>HYPERLINK("https://probpalata.gov.ru/files/ИП500100445500077.jpeg","Скачать индивидуальный QR-код магазина")</f>
        <v>Скачать индивидуальный QR-код магазина</v>
      </c>
    </row>
    <row r="6200" spans="1:7" x14ac:dyDescent="0.25">
      <c r="A6200" t="s">
        <v>18820</v>
      </c>
      <c r="B6200" t="s">
        <v>19786</v>
      </c>
      <c r="C6200" t="s">
        <v>671</v>
      </c>
      <c r="D6200" t="s">
        <v>672</v>
      </c>
      <c r="E6200" t="s">
        <v>673</v>
      </c>
      <c r="F6200" t="s">
        <v>19787</v>
      </c>
      <c r="G6200" s="2" t="str">
        <f>HYPERLINK("https://probpalata.gov.ru/files/ИП500100445500079.jpeg","Скачать индивидуальный QR-код магазина")</f>
        <v>Скачать индивидуальный QR-код магазина</v>
      </c>
    </row>
    <row r="6201" spans="1:7" x14ac:dyDescent="0.25">
      <c r="A6201" t="s">
        <v>18820</v>
      </c>
      <c r="B6201" t="s">
        <v>19788</v>
      </c>
      <c r="C6201" t="s">
        <v>671</v>
      </c>
      <c r="D6201" t="s">
        <v>672</v>
      </c>
      <c r="E6201" t="s">
        <v>673</v>
      </c>
      <c r="F6201" t="s">
        <v>19789</v>
      </c>
      <c r="G6201" s="2" t="str">
        <f>HYPERLINK("https://probpalata.gov.ru/files/ИП500100445500080.jpeg","Скачать индивидуальный QR-код магазина")</f>
        <v>Скачать индивидуальный QR-код магазина</v>
      </c>
    </row>
    <row r="6202" spans="1:7" x14ac:dyDescent="0.25">
      <c r="A6202" t="s">
        <v>18820</v>
      </c>
      <c r="B6202" t="s">
        <v>19790</v>
      </c>
      <c r="C6202" t="s">
        <v>671</v>
      </c>
      <c r="D6202" t="s">
        <v>672</v>
      </c>
      <c r="E6202" t="s">
        <v>673</v>
      </c>
      <c r="F6202" t="s">
        <v>19791</v>
      </c>
      <c r="G6202" s="2" t="str">
        <f>HYPERLINK("https://probpalata.gov.ru/files/ИП500100445500091.jpeg","Скачать индивидуальный QR-код магазина")</f>
        <v>Скачать индивидуальный QR-код магазина</v>
      </c>
    </row>
    <row r="6203" spans="1:7" x14ac:dyDescent="0.25">
      <c r="A6203" t="s">
        <v>18820</v>
      </c>
      <c r="B6203" t="s">
        <v>19792</v>
      </c>
      <c r="C6203" t="s">
        <v>671</v>
      </c>
      <c r="D6203" t="s">
        <v>672</v>
      </c>
      <c r="E6203" t="s">
        <v>673</v>
      </c>
      <c r="F6203" t="s">
        <v>19793</v>
      </c>
      <c r="G6203" s="2" t="str">
        <f>HYPERLINK("https://probpalata.gov.ru/files/ИП500100445500094.jpeg","Скачать индивидуальный QR-код магазина")</f>
        <v>Скачать индивидуальный QR-код магазина</v>
      </c>
    </row>
    <row r="6204" spans="1:7" x14ac:dyDescent="0.25">
      <c r="A6204" t="s">
        <v>18820</v>
      </c>
      <c r="B6204" t="s">
        <v>19794</v>
      </c>
      <c r="C6204" t="s">
        <v>671</v>
      </c>
      <c r="D6204" t="s">
        <v>672</v>
      </c>
      <c r="E6204" t="s">
        <v>673</v>
      </c>
      <c r="F6204" t="s">
        <v>19795</v>
      </c>
      <c r="G6204" s="2" t="str">
        <f>HYPERLINK("https://probpalata.gov.ru/files/ИП500100445500100.jpeg","Скачать индивидуальный QR-код магазина")</f>
        <v>Скачать индивидуальный QR-код магазина</v>
      </c>
    </row>
    <row r="6205" spans="1:7" x14ac:dyDescent="0.25">
      <c r="A6205" t="s">
        <v>18820</v>
      </c>
      <c r="B6205" t="s">
        <v>19796</v>
      </c>
      <c r="C6205" t="s">
        <v>671</v>
      </c>
      <c r="D6205" t="s">
        <v>672</v>
      </c>
      <c r="E6205" t="s">
        <v>673</v>
      </c>
      <c r="F6205" t="s">
        <v>19797</v>
      </c>
      <c r="G6205" s="2" t="str">
        <f>HYPERLINK("https://probpalata.gov.ru/files/ИП500100445500103.jpeg","Скачать индивидуальный QR-код магазина")</f>
        <v>Скачать индивидуальный QR-код магазина</v>
      </c>
    </row>
    <row r="6206" spans="1:7" x14ac:dyDescent="0.25">
      <c r="A6206" t="s">
        <v>18820</v>
      </c>
      <c r="B6206" t="s">
        <v>19798</v>
      </c>
      <c r="C6206" t="s">
        <v>671</v>
      </c>
      <c r="D6206" t="s">
        <v>672</v>
      </c>
      <c r="E6206" t="s">
        <v>673</v>
      </c>
      <c r="F6206" t="s">
        <v>19799</v>
      </c>
      <c r="G6206" s="2" t="str">
        <f>HYPERLINK("https://probpalata.gov.ru/files/ИП500100445500112.jpeg","Скачать индивидуальный QR-код магазина")</f>
        <v>Скачать индивидуальный QR-код магазина</v>
      </c>
    </row>
    <row r="6207" spans="1:7" x14ac:dyDescent="0.25">
      <c r="A6207" t="s">
        <v>18820</v>
      </c>
      <c r="B6207" t="s">
        <v>19800</v>
      </c>
      <c r="C6207" t="s">
        <v>671</v>
      </c>
      <c r="D6207" t="s">
        <v>672</v>
      </c>
      <c r="E6207" t="s">
        <v>673</v>
      </c>
      <c r="F6207" t="s">
        <v>19801</v>
      </c>
      <c r="G6207" s="2" t="str">
        <f>HYPERLINK("https://probpalata.gov.ru/files/ИП500100445500118.jpeg","Скачать индивидуальный QR-код магазина")</f>
        <v>Скачать индивидуальный QR-код магазина</v>
      </c>
    </row>
    <row r="6208" spans="1:7" x14ac:dyDescent="0.25">
      <c r="A6208" t="s">
        <v>18820</v>
      </c>
      <c r="B6208" t="s">
        <v>19802</v>
      </c>
      <c r="C6208" t="s">
        <v>671</v>
      </c>
      <c r="D6208" t="s">
        <v>672</v>
      </c>
      <c r="E6208" t="s">
        <v>673</v>
      </c>
      <c r="F6208" t="s">
        <v>19803</v>
      </c>
      <c r="G6208" s="2" t="str">
        <f>HYPERLINK("https://probpalata.gov.ru/files/ИП500100445500124.jpeg","Скачать индивидуальный QR-код магазина")</f>
        <v>Скачать индивидуальный QR-код магазина</v>
      </c>
    </row>
    <row r="6209" spans="1:7" x14ac:dyDescent="0.25">
      <c r="A6209" t="s">
        <v>18820</v>
      </c>
      <c r="B6209" t="s">
        <v>19804</v>
      </c>
      <c r="C6209" t="s">
        <v>19805</v>
      </c>
      <c r="D6209" t="s">
        <v>19806</v>
      </c>
      <c r="E6209" t="s">
        <v>19807</v>
      </c>
      <c r="F6209" t="s">
        <v>19808</v>
      </c>
      <c r="G6209" s="2" t="str">
        <f>HYPERLINK("https://probpalata.gov.ru/files/ИП500104068800000.jpeg","Скачать индивидуальный QR-код магазина")</f>
        <v>Скачать индивидуальный QR-код магазина</v>
      </c>
    </row>
    <row r="6210" spans="1:7" x14ac:dyDescent="0.25">
      <c r="A6210" t="s">
        <v>18820</v>
      </c>
      <c r="B6210" t="s">
        <v>19809</v>
      </c>
      <c r="C6210" t="s">
        <v>19810</v>
      </c>
      <c r="D6210" t="s">
        <v>19811</v>
      </c>
      <c r="E6210" t="s">
        <v>19812</v>
      </c>
      <c r="F6210" t="s">
        <v>19813</v>
      </c>
      <c r="G6210" s="2" t="str">
        <f>HYPERLINK("https://probpalata.gov.ru/files/ИП770103103700000.jpeg","Скачать индивидуальный QR-код магазина")</f>
        <v>Скачать индивидуальный QR-код магазина</v>
      </c>
    </row>
    <row r="6211" spans="1:7" x14ac:dyDescent="0.25">
      <c r="A6211" t="s">
        <v>18820</v>
      </c>
      <c r="B6211" t="s">
        <v>19814</v>
      </c>
      <c r="C6211" t="s">
        <v>19815</v>
      </c>
      <c r="D6211" t="s">
        <v>19816</v>
      </c>
      <c r="E6211" t="s">
        <v>19817</v>
      </c>
      <c r="F6211" t="s">
        <v>19818</v>
      </c>
      <c r="G6211" s="2" t="str">
        <f>HYPERLINK("https://probpalata.gov.ru/files/ИП500101068700001.jpeg","Скачать индивидуальный QR-код магазина")</f>
        <v>Скачать индивидуальный QR-код магазина</v>
      </c>
    </row>
    <row r="6212" spans="1:7" x14ac:dyDescent="0.25">
      <c r="A6212" t="s">
        <v>18820</v>
      </c>
      <c r="B6212" t="s">
        <v>19819</v>
      </c>
      <c r="C6212" t="s">
        <v>19820</v>
      </c>
      <c r="D6212" t="s">
        <v>19821</v>
      </c>
      <c r="E6212" t="s">
        <v>19822</v>
      </c>
      <c r="F6212" t="s">
        <v>19823</v>
      </c>
      <c r="G6212" s="2" t="str">
        <f>HYPERLINK("https://probpalata.gov.ru/files/ИП770100816200000.jpeg","Скачать индивидуальный QR-код магазина")</f>
        <v>Скачать индивидуальный QR-код магазина</v>
      </c>
    </row>
    <row r="6213" spans="1:7" x14ac:dyDescent="0.25">
      <c r="A6213" t="s">
        <v>18820</v>
      </c>
      <c r="B6213" t="s">
        <v>19824</v>
      </c>
      <c r="C6213" t="s">
        <v>19825</v>
      </c>
      <c r="D6213" t="s">
        <v>19826</v>
      </c>
      <c r="E6213" t="s">
        <v>19827</v>
      </c>
      <c r="F6213" t="s">
        <v>19828</v>
      </c>
      <c r="G6213" s="2" t="str">
        <f>HYPERLINK("https://probpalata.gov.ru/files/ИП500100009000000.jpeg","Скачать индивидуальный QR-код магазина")</f>
        <v>Скачать индивидуальный QR-код магазина</v>
      </c>
    </row>
    <row r="6214" spans="1:7" x14ac:dyDescent="0.25">
      <c r="A6214" t="s">
        <v>18820</v>
      </c>
      <c r="B6214" t="s">
        <v>19829</v>
      </c>
      <c r="C6214" t="s">
        <v>19830</v>
      </c>
      <c r="D6214" t="s">
        <v>19831</v>
      </c>
      <c r="E6214" t="s">
        <v>19832</v>
      </c>
      <c r="F6214" t="s">
        <v>19833</v>
      </c>
      <c r="G6214" s="2" t="str">
        <f>HYPERLINK("https://probpalata.gov.ru/files/ИП500100468300021.jpeg","Скачать индивидуальный QR-код магазина")</f>
        <v>Скачать индивидуальный QR-код магазина</v>
      </c>
    </row>
    <row r="6215" spans="1:7" x14ac:dyDescent="0.25">
      <c r="A6215" t="s">
        <v>18820</v>
      </c>
      <c r="B6215" t="s">
        <v>19834</v>
      </c>
      <c r="C6215" t="s">
        <v>19830</v>
      </c>
      <c r="D6215" t="s">
        <v>19831</v>
      </c>
      <c r="E6215" t="s">
        <v>19832</v>
      </c>
      <c r="F6215" t="s">
        <v>19835</v>
      </c>
      <c r="G6215" s="2" t="str">
        <f>HYPERLINK("https://probpalata.gov.ru/files/ИП500100468300024.jpeg","Скачать индивидуальный QR-код магазина")</f>
        <v>Скачать индивидуальный QR-код магазина</v>
      </c>
    </row>
    <row r="6216" spans="1:7" x14ac:dyDescent="0.25">
      <c r="A6216" t="s">
        <v>18820</v>
      </c>
      <c r="B6216" t="s">
        <v>19836</v>
      </c>
      <c r="C6216" t="s">
        <v>19837</v>
      </c>
      <c r="D6216" t="s">
        <v>19838</v>
      </c>
      <c r="E6216" t="s">
        <v>19839</v>
      </c>
      <c r="F6216" t="s">
        <v>19840</v>
      </c>
      <c r="G6216" s="2" t="str">
        <f>HYPERLINK("https://probpalata.gov.ru/files/ИП770100900100001.jpeg","Скачать индивидуальный QR-код магазина")</f>
        <v>Скачать индивидуальный QR-код магазина</v>
      </c>
    </row>
    <row r="6217" spans="1:7" x14ac:dyDescent="0.25">
      <c r="A6217" t="s">
        <v>18820</v>
      </c>
      <c r="B6217" t="s">
        <v>19841</v>
      </c>
      <c r="C6217" t="s">
        <v>19842</v>
      </c>
      <c r="D6217" t="s">
        <v>19843</v>
      </c>
      <c r="E6217" t="s">
        <v>19844</v>
      </c>
      <c r="F6217" t="s">
        <v>19845</v>
      </c>
      <c r="G6217" s="2" t="str">
        <f>HYPERLINK("https://probpalata.gov.ru/files/ИП500103729300000.jpeg","Скачать индивидуальный QR-код магазина")</f>
        <v>Скачать индивидуальный QR-код магазина</v>
      </c>
    </row>
    <row r="6218" spans="1:7" x14ac:dyDescent="0.25">
      <c r="A6218" t="s">
        <v>18820</v>
      </c>
      <c r="B6218" t="s">
        <v>19846</v>
      </c>
      <c r="C6218" t="s">
        <v>19847</v>
      </c>
      <c r="D6218" t="s">
        <v>19848</v>
      </c>
      <c r="E6218" t="s">
        <v>19849</v>
      </c>
      <c r="F6218" t="s">
        <v>19850</v>
      </c>
      <c r="G6218" s="2" t="str">
        <f>HYPERLINK("https://probpalata.gov.ru/files/ИП500103705000000.jpeg","Скачать индивидуальный QR-код магазина")</f>
        <v>Скачать индивидуальный QR-код магазина</v>
      </c>
    </row>
    <row r="6219" spans="1:7" x14ac:dyDescent="0.25">
      <c r="A6219" t="s">
        <v>18820</v>
      </c>
      <c r="B6219" t="s">
        <v>19851</v>
      </c>
      <c r="C6219" t="s">
        <v>19852</v>
      </c>
      <c r="D6219" t="s">
        <v>19853</v>
      </c>
      <c r="E6219" t="s">
        <v>19854</v>
      </c>
      <c r="F6219" t="s">
        <v>19855</v>
      </c>
      <c r="G6219" s="2" t="str">
        <f>HYPERLINK("https://probpalata.gov.ru/files/ИП500103825600000.jpeg","Скачать индивидуальный QR-код магазина")</f>
        <v>Скачать индивидуальный QR-код магазина</v>
      </c>
    </row>
    <row r="6220" spans="1:7" x14ac:dyDescent="0.25">
      <c r="A6220" t="s">
        <v>18820</v>
      </c>
      <c r="B6220" t="s">
        <v>19856</v>
      </c>
      <c r="C6220" t="s">
        <v>19857</v>
      </c>
      <c r="D6220" t="s">
        <v>19858</v>
      </c>
      <c r="E6220" t="s">
        <v>19859</v>
      </c>
      <c r="F6220" t="s">
        <v>19860</v>
      </c>
      <c r="G6220" s="2" t="str">
        <f>HYPERLINK("https://probpalata.gov.ru/files/ИП500103753000000.jpeg","Скачать индивидуальный QR-код магазина")</f>
        <v>Скачать индивидуальный QR-код магазина</v>
      </c>
    </row>
    <row r="6221" spans="1:7" x14ac:dyDescent="0.25">
      <c r="A6221" t="s">
        <v>18820</v>
      </c>
      <c r="B6221" t="s">
        <v>19861</v>
      </c>
      <c r="C6221" t="s">
        <v>19862</v>
      </c>
      <c r="D6221" t="s">
        <v>19863</v>
      </c>
      <c r="E6221" t="s">
        <v>19864</v>
      </c>
      <c r="F6221" t="s">
        <v>19865</v>
      </c>
      <c r="G6221" s="2" t="str">
        <f>HYPERLINK("https://probpalata.gov.ru/files/ИП500101884900002.jpeg","Скачать индивидуальный QR-код магазина")</f>
        <v>Скачать индивидуальный QR-код магазина</v>
      </c>
    </row>
    <row r="6222" spans="1:7" x14ac:dyDescent="0.25">
      <c r="A6222" t="s">
        <v>18820</v>
      </c>
      <c r="B6222" t="s">
        <v>19866</v>
      </c>
      <c r="C6222" t="s">
        <v>19867</v>
      </c>
      <c r="D6222" t="s">
        <v>19868</v>
      </c>
      <c r="E6222" t="s">
        <v>19869</v>
      </c>
      <c r="F6222" t="s">
        <v>19870</v>
      </c>
      <c r="G6222" s="2" t="str">
        <f>HYPERLINK("https://probpalata.gov.ru/files/ИП770101770400000.jpeg","Скачать индивидуальный QR-код магазина")</f>
        <v>Скачать индивидуальный QR-код магазина</v>
      </c>
    </row>
    <row r="6223" spans="1:7" x14ac:dyDescent="0.25">
      <c r="A6223" t="s">
        <v>18820</v>
      </c>
      <c r="B6223" t="s">
        <v>19871</v>
      </c>
      <c r="C6223" t="s">
        <v>19872</v>
      </c>
      <c r="D6223" t="s">
        <v>19873</v>
      </c>
      <c r="E6223" t="s">
        <v>19874</v>
      </c>
      <c r="F6223" t="s">
        <v>19875</v>
      </c>
      <c r="G6223" s="2" t="str">
        <f>HYPERLINK("https://probpalata.gov.ru/files/ИП500100863100000.jpeg","Скачать индивидуальный QR-код магазина")</f>
        <v>Скачать индивидуальный QR-код магазина</v>
      </c>
    </row>
    <row r="6224" spans="1:7" x14ac:dyDescent="0.25">
      <c r="A6224" t="s">
        <v>18820</v>
      </c>
      <c r="B6224" t="s">
        <v>19876</v>
      </c>
      <c r="C6224" t="s">
        <v>19872</v>
      </c>
      <c r="D6224" t="s">
        <v>19873</v>
      </c>
      <c r="E6224" t="s">
        <v>19874</v>
      </c>
      <c r="F6224" t="s">
        <v>19877</v>
      </c>
      <c r="G6224" s="2" t="str">
        <f>HYPERLINK("https://probpalata.gov.ru/files/ИП500100863100002.jpeg","Скачать индивидуальный QR-код магазина")</f>
        <v>Скачать индивидуальный QR-код магазина</v>
      </c>
    </row>
    <row r="6225" spans="1:7" x14ac:dyDescent="0.25">
      <c r="A6225" t="s">
        <v>18820</v>
      </c>
      <c r="B6225" t="s">
        <v>19878</v>
      </c>
      <c r="C6225" t="s">
        <v>19879</v>
      </c>
      <c r="D6225" t="s">
        <v>19880</v>
      </c>
      <c r="E6225" t="s">
        <v>19881</v>
      </c>
      <c r="F6225" t="s">
        <v>19882</v>
      </c>
      <c r="G6225" s="2" t="str">
        <f>HYPERLINK("https://probpalata.gov.ru/files/ИП770100454500000.jpeg","Скачать индивидуальный QR-код магазина")</f>
        <v>Скачать индивидуальный QR-код магазина</v>
      </c>
    </row>
    <row r="6226" spans="1:7" x14ac:dyDescent="0.25">
      <c r="A6226" t="s">
        <v>18820</v>
      </c>
      <c r="B6226" t="s">
        <v>19883</v>
      </c>
      <c r="C6226" t="s">
        <v>19884</v>
      </c>
      <c r="D6226" t="s">
        <v>19885</v>
      </c>
      <c r="E6226" t="s">
        <v>19886</v>
      </c>
      <c r="F6226" t="s">
        <v>19887</v>
      </c>
      <c r="G6226" s="2" t="str">
        <f>HYPERLINK("https://probpalata.gov.ru/files/ИП500103573200000.jpeg","Скачать индивидуальный QR-код магазина")</f>
        <v>Скачать индивидуальный QR-код магазина</v>
      </c>
    </row>
    <row r="6227" spans="1:7" x14ac:dyDescent="0.25">
      <c r="A6227" t="s">
        <v>18820</v>
      </c>
      <c r="B6227" t="s">
        <v>19888</v>
      </c>
      <c r="C6227" t="s">
        <v>19889</v>
      </c>
      <c r="D6227" t="s">
        <v>19890</v>
      </c>
      <c r="E6227" t="s">
        <v>19891</v>
      </c>
      <c r="F6227" t="s">
        <v>19892</v>
      </c>
      <c r="G6227" s="2" t="str">
        <f>HYPERLINK("https://probpalata.gov.ru/files/ИП500103992700000.jpeg","Скачать индивидуальный QR-код магазина")</f>
        <v>Скачать индивидуальный QR-код магазина</v>
      </c>
    </row>
    <row r="6228" spans="1:7" x14ac:dyDescent="0.25">
      <c r="A6228" t="s">
        <v>18820</v>
      </c>
      <c r="B6228" t="s">
        <v>19893</v>
      </c>
      <c r="C6228" t="s">
        <v>19894</v>
      </c>
      <c r="D6228" t="s">
        <v>19895</v>
      </c>
      <c r="E6228" t="s">
        <v>19896</v>
      </c>
      <c r="F6228" t="s">
        <v>19897</v>
      </c>
      <c r="G6228" s="2" t="str">
        <f>HYPERLINK("https://probpalata.gov.ru/files/ИП770100304200000.jpeg","Скачать индивидуальный QR-код магазина")</f>
        <v>Скачать индивидуальный QR-код магазина</v>
      </c>
    </row>
    <row r="6229" spans="1:7" x14ac:dyDescent="0.25">
      <c r="A6229" t="s">
        <v>18820</v>
      </c>
      <c r="B6229" t="s">
        <v>19898</v>
      </c>
      <c r="C6229" t="s">
        <v>19894</v>
      </c>
      <c r="D6229" t="s">
        <v>19895</v>
      </c>
      <c r="E6229" t="s">
        <v>19896</v>
      </c>
      <c r="F6229" t="s">
        <v>19899</v>
      </c>
      <c r="G6229" s="2" t="str">
        <f>HYPERLINK("https://probpalata.gov.ru/files/ИП770100304200001.jpeg","Скачать индивидуальный QR-код магазина")</f>
        <v>Скачать индивидуальный QR-код магазина</v>
      </c>
    </row>
    <row r="6230" spans="1:7" x14ac:dyDescent="0.25">
      <c r="A6230" t="s">
        <v>18820</v>
      </c>
      <c r="B6230" t="s">
        <v>19900</v>
      </c>
      <c r="C6230" t="s">
        <v>19901</v>
      </c>
      <c r="D6230" t="s">
        <v>19902</v>
      </c>
      <c r="E6230" t="s">
        <v>19903</v>
      </c>
      <c r="F6230" t="s">
        <v>19904</v>
      </c>
      <c r="G6230" s="2" t="str">
        <f>HYPERLINK("https://probpalata.gov.ru/files/ИП770100224900000.jpeg","Скачать индивидуальный QR-код магазина")</f>
        <v>Скачать индивидуальный QR-код магазина</v>
      </c>
    </row>
    <row r="6231" spans="1:7" x14ac:dyDescent="0.25">
      <c r="A6231" t="s">
        <v>18820</v>
      </c>
      <c r="B6231" t="s">
        <v>19905</v>
      </c>
      <c r="C6231" t="s">
        <v>19906</v>
      </c>
      <c r="D6231" t="s">
        <v>19907</v>
      </c>
      <c r="E6231" t="s">
        <v>19908</v>
      </c>
      <c r="F6231" t="s">
        <v>19909</v>
      </c>
      <c r="G6231" s="2" t="str">
        <f>HYPERLINK("https://probpalata.gov.ru/files/ЮЛ500103771000000.jpeg","Скачать индивидуальный QR-код магазина")</f>
        <v>Скачать индивидуальный QR-код магазина</v>
      </c>
    </row>
    <row r="6232" spans="1:7" x14ac:dyDescent="0.25">
      <c r="A6232" t="s">
        <v>18820</v>
      </c>
      <c r="B6232" t="s">
        <v>19910</v>
      </c>
      <c r="C6232" t="s">
        <v>19911</v>
      </c>
      <c r="D6232" t="s">
        <v>19912</v>
      </c>
      <c r="E6232" t="s">
        <v>19913</v>
      </c>
      <c r="F6232" t="s">
        <v>19914</v>
      </c>
      <c r="G6232" s="2" t="str">
        <f>HYPERLINK("https://probpalata.gov.ru/files/ЮЛ500103876000002.jpeg","Скачать индивидуальный QR-код магазина")</f>
        <v>Скачать индивидуальный QR-код магазина</v>
      </c>
    </row>
    <row r="6233" spans="1:7" x14ac:dyDescent="0.25">
      <c r="A6233" t="s">
        <v>18820</v>
      </c>
      <c r="B6233" t="s">
        <v>19915</v>
      </c>
      <c r="C6233" t="s">
        <v>19916</v>
      </c>
      <c r="D6233" t="s">
        <v>19917</v>
      </c>
      <c r="E6233" t="s">
        <v>19918</v>
      </c>
      <c r="F6233" t="s">
        <v>19919</v>
      </c>
      <c r="G6233" s="2" t="str">
        <f>HYPERLINK("https://probpalata.gov.ru/files/ИП770103776200000.jpeg","Скачать индивидуальный QR-код магазина")</f>
        <v>Скачать индивидуальный QR-код магазина</v>
      </c>
    </row>
    <row r="6234" spans="1:7" x14ac:dyDescent="0.25">
      <c r="A6234" t="s">
        <v>18820</v>
      </c>
      <c r="B6234" t="s">
        <v>19920</v>
      </c>
      <c r="C6234" t="s">
        <v>19921</v>
      </c>
      <c r="D6234" t="s">
        <v>19922</v>
      </c>
      <c r="E6234" t="s">
        <v>19923</v>
      </c>
      <c r="F6234" t="s">
        <v>19924</v>
      </c>
      <c r="G6234" s="2" t="str">
        <f>HYPERLINK("https://probpalata.gov.ru/files/ИП770101346600000.jpeg","Скачать индивидуальный QR-код магазина")</f>
        <v>Скачать индивидуальный QR-код магазина</v>
      </c>
    </row>
    <row r="6235" spans="1:7" x14ac:dyDescent="0.25">
      <c r="A6235" t="s">
        <v>18820</v>
      </c>
      <c r="B6235" t="s">
        <v>19925</v>
      </c>
      <c r="C6235" t="s">
        <v>19926</v>
      </c>
      <c r="D6235" t="s">
        <v>19927</v>
      </c>
      <c r="E6235" t="s">
        <v>19928</v>
      </c>
      <c r="F6235" t="s">
        <v>19929</v>
      </c>
      <c r="G6235" s="2" t="str">
        <f>HYPERLINK("https://probpalata.gov.ru/files/ИП770100951600000.jpeg","Скачать индивидуальный QR-код магазина")</f>
        <v>Скачать индивидуальный QR-код магазина</v>
      </c>
    </row>
    <row r="6236" spans="1:7" x14ac:dyDescent="0.25">
      <c r="A6236" t="s">
        <v>18820</v>
      </c>
      <c r="B6236" t="s">
        <v>19930</v>
      </c>
      <c r="C6236" t="s">
        <v>19931</v>
      </c>
      <c r="D6236" t="s">
        <v>19932</v>
      </c>
      <c r="E6236" t="s">
        <v>19933</v>
      </c>
      <c r="F6236" t="s">
        <v>19934</v>
      </c>
      <c r="G6236" s="2" t="str">
        <f>HYPERLINK("https://probpalata.gov.ru/files/ИП500100222300000.jpeg","Скачать индивидуальный QR-код магазина")</f>
        <v>Скачать индивидуальный QR-код магазина</v>
      </c>
    </row>
    <row r="6237" spans="1:7" x14ac:dyDescent="0.25">
      <c r="A6237" t="s">
        <v>18820</v>
      </c>
      <c r="B6237" t="s">
        <v>19935</v>
      </c>
      <c r="C6237" t="s">
        <v>19936</v>
      </c>
      <c r="D6237" t="s">
        <v>19937</v>
      </c>
      <c r="E6237" t="s">
        <v>19938</v>
      </c>
      <c r="F6237" t="s">
        <v>19939</v>
      </c>
      <c r="G6237" s="2" t="str">
        <f>HYPERLINK("https://probpalata.gov.ru/files/ИП770103029500000.jpeg","Скачать индивидуальный QR-код магазина")</f>
        <v>Скачать индивидуальный QR-код магазина</v>
      </c>
    </row>
    <row r="6238" spans="1:7" x14ac:dyDescent="0.25">
      <c r="A6238" t="s">
        <v>18820</v>
      </c>
      <c r="B6238" t="s">
        <v>19940</v>
      </c>
      <c r="C6238" t="s">
        <v>19941</v>
      </c>
      <c r="D6238" t="s">
        <v>19942</v>
      </c>
      <c r="E6238" t="s">
        <v>19943</v>
      </c>
      <c r="F6238" t="s">
        <v>19944</v>
      </c>
      <c r="G6238" s="2" t="str">
        <f>HYPERLINK("https://probpalata.gov.ru/files/ИП500100518000000.jpeg","Скачать индивидуальный QR-код магазина")</f>
        <v>Скачать индивидуальный QR-код магазина</v>
      </c>
    </row>
    <row r="6239" spans="1:7" x14ac:dyDescent="0.25">
      <c r="A6239" t="s">
        <v>18820</v>
      </c>
      <c r="B6239" t="s">
        <v>19945</v>
      </c>
      <c r="C6239" t="s">
        <v>19946</v>
      </c>
      <c r="D6239" t="s">
        <v>19947</v>
      </c>
      <c r="E6239" t="s">
        <v>19948</v>
      </c>
      <c r="F6239" t="s">
        <v>19949</v>
      </c>
      <c r="G6239" s="2" t="str">
        <f>HYPERLINK("https://probpalata.gov.ru/files/ИП770102036600000.jpeg","Скачать индивидуальный QR-код магазина")</f>
        <v>Скачать индивидуальный QR-код магазина</v>
      </c>
    </row>
    <row r="6240" spans="1:7" x14ac:dyDescent="0.25">
      <c r="A6240" t="s">
        <v>18820</v>
      </c>
      <c r="B6240" t="s">
        <v>19950</v>
      </c>
      <c r="C6240" t="s">
        <v>19951</v>
      </c>
      <c r="D6240" t="s">
        <v>19952</v>
      </c>
      <c r="E6240" t="s">
        <v>19953</v>
      </c>
      <c r="F6240" t="s">
        <v>19954</v>
      </c>
      <c r="G6240" s="2" t="str">
        <f>HYPERLINK("https://probpalata.gov.ru/files/ИП500101554300000.jpeg","Скачать индивидуальный QR-код магазина")</f>
        <v>Скачать индивидуальный QR-код магазина</v>
      </c>
    </row>
    <row r="6241" spans="1:7" x14ac:dyDescent="0.25">
      <c r="A6241" t="s">
        <v>18820</v>
      </c>
      <c r="B6241" t="s">
        <v>19955</v>
      </c>
      <c r="C6241" t="s">
        <v>19956</v>
      </c>
      <c r="D6241" t="s">
        <v>19957</v>
      </c>
      <c r="E6241" t="s">
        <v>19958</v>
      </c>
      <c r="F6241" t="s">
        <v>19959</v>
      </c>
      <c r="G6241" s="2" t="str">
        <f>HYPERLINK("https://probpalata.gov.ru/files/ИП500101489800000.jpeg","Скачать индивидуальный QR-код магазина")</f>
        <v>Скачать индивидуальный QR-код магазина</v>
      </c>
    </row>
    <row r="6242" spans="1:7" x14ac:dyDescent="0.25">
      <c r="A6242" t="s">
        <v>18820</v>
      </c>
      <c r="B6242" t="s">
        <v>19960</v>
      </c>
      <c r="C6242" t="s">
        <v>19961</v>
      </c>
      <c r="D6242" t="s">
        <v>19962</v>
      </c>
      <c r="E6242" t="s">
        <v>19963</v>
      </c>
      <c r="F6242" t="s">
        <v>19964</v>
      </c>
      <c r="G6242" s="2" t="str">
        <f>HYPERLINK("https://probpalata.gov.ru/files/ЮЛ500100318800007.jpeg","Скачать индивидуальный QR-код магазина")</f>
        <v>Скачать индивидуальный QR-код магазина</v>
      </c>
    </row>
    <row r="6243" spans="1:7" x14ac:dyDescent="0.25">
      <c r="A6243" t="s">
        <v>18820</v>
      </c>
      <c r="B6243" t="s">
        <v>19960</v>
      </c>
      <c r="C6243" t="s">
        <v>19965</v>
      </c>
      <c r="D6243" t="s">
        <v>19966</v>
      </c>
      <c r="E6243" t="s">
        <v>19967</v>
      </c>
      <c r="F6243" t="s">
        <v>19968</v>
      </c>
      <c r="G6243" s="2" t="str">
        <f>HYPERLINK("https://probpalata.gov.ru/files/ЮЛ500103584300004.jpeg","Скачать индивидуальный QR-код магазина")</f>
        <v>Скачать индивидуальный QR-код магазина</v>
      </c>
    </row>
    <row r="6244" spans="1:7" x14ac:dyDescent="0.25">
      <c r="A6244" t="s">
        <v>18820</v>
      </c>
      <c r="B6244" t="s">
        <v>19969</v>
      </c>
      <c r="C6244" t="s">
        <v>19970</v>
      </c>
      <c r="D6244" t="s">
        <v>19971</v>
      </c>
      <c r="E6244" t="s">
        <v>19972</v>
      </c>
      <c r="F6244" t="s">
        <v>19973</v>
      </c>
      <c r="G6244" s="2" t="str">
        <f>HYPERLINK("https://probpalata.gov.ru/files/ИП500103931300000.jpeg","Скачать индивидуальный QR-код магазина")</f>
        <v>Скачать индивидуальный QR-код магазина</v>
      </c>
    </row>
    <row r="6245" spans="1:7" x14ac:dyDescent="0.25">
      <c r="A6245" t="s">
        <v>18820</v>
      </c>
      <c r="B6245" t="s">
        <v>19974</v>
      </c>
      <c r="C6245" t="s">
        <v>19975</v>
      </c>
      <c r="D6245" t="s">
        <v>19976</v>
      </c>
      <c r="E6245" t="s">
        <v>19977</v>
      </c>
      <c r="F6245" t="s">
        <v>19978</v>
      </c>
      <c r="G6245" s="2" t="str">
        <f>HYPERLINK("https://probpalata.gov.ru/files/ИП500101694200000.jpeg","Скачать индивидуальный QR-код магазина")</f>
        <v>Скачать индивидуальный QR-код магазина</v>
      </c>
    </row>
    <row r="6246" spans="1:7" x14ac:dyDescent="0.25">
      <c r="A6246" t="s">
        <v>18820</v>
      </c>
      <c r="B6246" t="s">
        <v>19974</v>
      </c>
      <c r="C6246" t="s">
        <v>19975</v>
      </c>
      <c r="D6246" t="s">
        <v>19976</v>
      </c>
      <c r="E6246" t="s">
        <v>19977</v>
      </c>
      <c r="F6246" t="s">
        <v>19979</v>
      </c>
      <c r="G6246" s="2" t="str">
        <f>HYPERLINK("https://probpalata.gov.ru/files/ИП500101694200002.jpeg","Скачать индивидуальный QR-код магазина")</f>
        <v>Скачать индивидуальный QR-код магазина</v>
      </c>
    </row>
    <row r="6247" spans="1:7" x14ac:dyDescent="0.25">
      <c r="A6247" t="s">
        <v>18820</v>
      </c>
      <c r="B6247" t="s">
        <v>19980</v>
      </c>
      <c r="C6247" t="s">
        <v>19981</v>
      </c>
      <c r="D6247" t="s">
        <v>19982</v>
      </c>
      <c r="E6247" t="s">
        <v>19983</v>
      </c>
      <c r="F6247" t="s">
        <v>19984</v>
      </c>
      <c r="G6247" s="2" t="str">
        <f>HYPERLINK("https://probpalata.gov.ru/files/ЮЛ500103853500000.jpeg","Скачать индивидуальный QR-код магазина")</f>
        <v>Скачать индивидуальный QR-код магазина</v>
      </c>
    </row>
    <row r="6248" spans="1:7" x14ac:dyDescent="0.25">
      <c r="A6248" t="s">
        <v>18820</v>
      </c>
      <c r="B6248" t="s">
        <v>19985</v>
      </c>
      <c r="C6248" t="s">
        <v>19986</v>
      </c>
      <c r="D6248" t="s">
        <v>19987</v>
      </c>
      <c r="E6248" t="s">
        <v>19988</v>
      </c>
      <c r="F6248" t="s">
        <v>19989</v>
      </c>
      <c r="G6248" s="2" t="str">
        <f>HYPERLINK("https://probpalata.gov.ru/files/ИП500103230200000.jpeg","Скачать индивидуальный QR-код магазина")</f>
        <v>Скачать индивидуальный QR-код магазина</v>
      </c>
    </row>
    <row r="6249" spans="1:7" x14ac:dyDescent="0.25">
      <c r="A6249" t="s">
        <v>18820</v>
      </c>
      <c r="B6249" t="s">
        <v>19990</v>
      </c>
      <c r="C6249" t="s">
        <v>19991</v>
      </c>
      <c r="D6249" t="s">
        <v>19992</v>
      </c>
      <c r="E6249" t="s">
        <v>19993</v>
      </c>
      <c r="F6249" t="s">
        <v>19994</v>
      </c>
      <c r="G6249" s="2" t="str">
        <f>HYPERLINK("https://probpalata.gov.ru/files/ИП500101561200000.jpeg","Скачать индивидуальный QR-код магазина")</f>
        <v>Скачать индивидуальный QR-код магазина</v>
      </c>
    </row>
    <row r="6250" spans="1:7" x14ac:dyDescent="0.25">
      <c r="A6250" t="s">
        <v>18820</v>
      </c>
      <c r="B6250" t="s">
        <v>19995</v>
      </c>
      <c r="C6250" t="s">
        <v>19996</v>
      </c>
      <c r="D6250" t="s">
        <v>19997</v>
      </c>
      <c r="E6250" t="s">
        <v>19998</v>
      </c>
      <c r="F6250" t="s">
        <v>19999</v>
      </c>
      <c r="G6250" s="2" t="str">
        <f>HYPERLINK("https://probpalata.gov.ru/files/ИП500104022100000.jpeg","Скачать индивидуальный QR-код магазина")</f>
        <v>Скачать индивидуальный QR-код магазина</v>
      </c>
    </row>
    <row r="6251" spans="1:7" x14ac:dyDescent="0.25">
      <c r="A6251" t="s">
        <v>18820</v>
      </c>
      <c r="B6251" t="s">
        <v>20000</v>
      </c>
      <c r="C6251" t="s">
        <v>20001</v>
      </c>
      <c r="D6251" t="s">
        <v>20002</v>
      </c>
      <c r="E6251" t="s">
        <v>20003</v>
      </c>
      <c r="F6251" t="s">
        <v>20004</v>
      </c>
      <c r="G6251" s="2" t="str">
        <f>HYPERLINK("https://probpalata.gov.ru/files/ИП500101055000000.jpeg","Скачать индивидуальный QR-код магазина")</f>
        <v>Скачать индивидуальный QR-код магазина</v>
      </c>
    </row>
    <row r="6252" spans="1:7" x14ac:dyDescent="0.25">
      <c r="A6252" t="s">
        <v>18820</v>
      </c>
      <c r="B6252" t="s">
        <v>20005</v>
      </c>
      <c r="C6252" t="s">
        <v>20006</v>
      </c>
      <c r="D6252" t="s">
        <v>20007</v>
      </c>
      <c r="E6252" t="s">
        <v>20008</v>
      </c>
      <c r="F6252" t="s">
        <v>20009</v>
      </c>
      <c r="G6252" s="2" t="str">
        <f>HYPERLINK("https://probpalata.gov.ru/files/ИП500100251200000.jpeg","Скачать индивидуальный QR-код магазина")</f>
        <v>Скачать индивидуальный QR-код магазина</v>
      </c>
    </row>
    <row r="6253" spans="1:7" x14ac:dyDescent="0.25">
      <c r="A6253" t="s">
        <v>18820</v>
      </c>
      <c r="B6253" t="s">
        <v>20010</v>
      </c>
      <c r="C6253" t="s">
        <v>20011</v>
      </c>
      <c r="D6253" t="s">
        <v>20012</v>
      </c>
      <c r="E6253" t="s">
        <v>20013</v>
      </c>
      <c r="F6253" t="s">
        <v>20014</v>
      </c>
      <c r="G6253" s="2" t="str">
        <f>HYPERLINK("https://probpalata.gov.ru/files/ИП500101539000000.jpeg","Скачать индивидуальный QR-код магазина")</f>
        <v>Скачать индивидуальный QR-код магазина</v>
      </c>
    </row>
    <row r="6254" spans="1:7" x14ac:dyDescent="0.25">
      <c r="A6254" t="s">
        <v>18820</v>
      </c>
      <c r="B6254" t="s">
        <v>20015</v>
      </c>
      <c r="C6254" t="s">
        <v>14765</v>
      </c>
      <c r="D6254" t="s">
        <v>14766</v>
      </c>
      <c r="E6254" t="s">
        <v>14767</v>
      </c>
      <c r="F6254" t="s">
        <v>20016</v>
      </c>
      <c r="G6254" s="2" t="str">
        <f>HYPERLINK("https://probpalata.gov.ru/files/ЮЛ500100279300001.jpeg","Скачать индивидуальный QR-код магазина")</f>
        <v>Скачать индивидуальный QR-код магазина</v>
      </c>
    </row>
    <row r="6255" spans="1:7" x14ac:dyDescent="0.25">
      <c r="A6255" t="s">
        <v>18820</v>
      </c>
      <c r="B6255" t="s">
        <v>20017</v>
      </c>
      <c r="C6255" t="s">
        <v>14765</v>
      </c>
      <c r="D6255" t="s">
        <v>14766</v>
      </c>
      <c r="E6255" t="s">
        <v>14767</v>
      </c>
      <c r="F6255" t="s">
        <v>20018</v>
      </c>
      <c r="G6255" s="2" t="str">
        <f>HYPERLINK("https://probpalata.gov.ru/files/ЮЛ500100279300002.jpeg","Скачать индивидуальный QR-код магазина")</f>
        <v>Скачать индивидуальный QR-код магазина</v>
      </c>
    </row>
    <row r="6256" spans="1:7" x14ac:dyDescent="0.25">
      <c r="A6256" t="s">
        <v>18820</v>
      </c>
      <c r="B6256" t="s">
        <v>20019</v>
      </c>
      <c r="C6256" t="s">
        <v>14765</v>
      </c>
      <c r="D6256" t="s">
        <v>14766</v>
      </c>
      <c r="E6256" t="s">
        <v>14767</v>
      </c>
      <c r="F6256" t="s">
        <v>20020</v>
      </c>
      <c r="G6256" s="2" t="str">
        <f>HYPERLINK("https://probpalata.gov.ru/files/ЮЛ500100279300003.jpeg","Скачать индивидуальный QR-код магазина")</f>
        <v>Скачать индивидуальный QR-код магазина</v>
      </c>
    </row>
    <row r="6257" spans="1:7" x14ac:dyDescent="0.25">
      <c r="A6257" t="s">
        <v>18820</v>
      </c>
      <c r="B6257" t="s">
        <v>20021</v>
      </c>
      <c r="C6257" t="s">
        <v>14765</v>
      </c>
      <c r="D6257" t="s">
        <v>14766</v>
      </c>
      <c r="E6257" t="s">
        <v>14767</v>
      </c>
      <c r="F6257" t="s">
        <v>20022</v>
      </c>
      <c r="G6257" s="2" t="str">
        <f>HYPERLINK("https://probpalata.gov.ru/files/ЮЛ500100279300012.jpeg","Скачать индивидуальный QR-код магазина")</f>
        <v>Скачать индивидуальный QR-код магазина</v>
      </c>
    </row>
    <row r="6258" spans="1:7" x14ac:dyDescent="0.25">
      <c r="A6258" t="s">
        <v>18820</v>
      </c>
      <c r="B6258" t="s">
        <v>20023</v>
      </c>
      <c r="C6258" t="s">
        <v>14765</v>
      </c>
      <c r="D6258" t="s">
        <v>14766</v>
      </c>
      <c r="E6258" t="s">
        <v>14767</v>
      </c>
      <c r="F6258" t="s">
        <v>20024</v>
      </c>
      <c r="G6258" s="2" t="str">
        <f>HYPERLINK("https://probpalata.gov.ru/files/ЮЛ500100279300013.jpeg","Скачать индивидуальный QR-код магазина")</f>
        <v>Скачать индивидуальный QR-код магазина</v>
      </c>
    </row>
    <row r="6259" spans="1:7" x14ac:dyDescent="0.25">
      <c r="A6259" t="s">
        <v>18820</v>
      </c>
      <c r="B6259" t="s">
        <v>20025</v>
      </c>
      <c r="C6259" t="s">
        <v>14765</v>
      </c>
      <c r="D6259" t="s">
        <v>14766</v>
      </c>
      <c r="E6259" t="s">
        <v>14767</v>
      </c>
      <c r="F6259" t="s">
        <v>20026</v>
      </c>
      <c r="G6259" s="2" t="str">
        <f>HYPERLINK("https://probpalata.gov.ru/files/ЮЛ500100279300014.jpeg","Скачать индивидуальный QR-код магазина")</f>
        <v>Скачать индивидуальный QR-код магазина</v>
      </c>
    </row>
    <row r="6260" spans="1:7" x14ac:dyDescent="0.25">
      <c r="A6260" t="s">
        <v>18820</v>
      </c>
      <c r="B6260" t="s">
        <v>20027</v>
      </c>
      <c r="C6260" t="s">
        <v>14765</v>
      </c>
      <c r="D6260" t="s">
        <v>14766</v>
      </c>
      <c r="E6260" t="s">
        <v>14767</v>
      </c>
      <c r="F6260" t="s">
        <v>20028</v>
      </c>
      <c r="G6260" s="2" t="str">
        <f>HYPERLINK("https://probpalata.gov.ru/files/ЮЛ500100279300015.jpeg","Скачать индивидуальный QR-код магазина")</f>
        <v>Скачать индивидуальный QR-код магазина</v>
      </c>
    </row>
    <row r="6261" spans="1:7" x14ac:dyDescent="0.25">
      <c r="A6261" t="s">
        <v>18820</v>
      </c>
      <c r="B6261" t="s">
        <v>20029</v>
      </c>
      <c r="C6261" t="s">
        <v>14765</v>
      </c>
      <c r="D6261" t="s">
        <v>14766</v>
      </c>
      <c r="E6261" t="s">
        <v>14767</v>
      </c>
      <c r="F6261" t="s">
        <v>20030</v>
      </c>
      <c r="G6261" s="2" t="str">
        <f>HYPERLINK("https://probpalata.gov.ru/files/ЮЛ500100279300016.jpeg","Скачать индивидуальный QR-код магазина")</f>
        <v>Скачать индивидуальный QR-код магазина</v>
      </c>
    </row>
    <row r="6262" spans="1:7" x14ac:dyDescent="0.25">
      <c r="A6262" t="s">
        <v>18820</v>
      </c>
      <c r="B6262" t="s">
        <v>20031</v>
      </c>
      <c r="C6262" t="s">
        <v>14765</v>
      </c>
      <c r="D6262" t="s">
        <v>14766</v>
      </c>
      <c r="E6262" t="s">
        <v>14767</v>
      </c>
      <c r="F6262" t="s">
        <v>20032</v>
      </c>
      <c r="G6262" s="2" t="str">
        <f>HYPERLINK("https://probpalata.gov.ru/files/ЮЛ500100279300017.jpeg","Скачать индивидуальный QR-код магазина")</f>
        <v>Скачать индивидуальный QR-код магазина</v>
      </c>
    </row>
    <row r="6263" spans="1:7" x14ac:dyDescent="0.25">
      <c r="A6263" t="s">
        <v>18820</v>
      </c>
      <c r="B6263" t="s">
        <v>20033</v>
      </c>
      <c r="C6263" t="s">
        <v>14765</v>
      </c>
      <c r="D6263" t="s">
        <v>14766</v>
      </c>
      <c r="E6263" t="s">
        <v>14767</v>
      </c>
      <c r="F6263" t="s">
        <v>20034</v>
      </c>
      <c r="G6263" s="2" t="str">
        <f>HYPERLINK("https://probpalata.gov.ru/files/ЮЛ500100279300020.jpeg","Скачать индивидуальный QR-код магазина")</f>
        <v>Скачать индивидуальный QR-код магазина</v>
      </c>
    </row>
    <row r="6264" spans="1:7" x14ac:dyDescent="0.25">
      <c r="A6264" t="s">
        <v>18820</v>
      </c>
      <c r="B6264" t="s">
        <v>20035</v>
      </c>
      <c r="C6264" t="s">
        <v>20036</v>
      </c>
      <c r="D6264" t="s">
        <v>20037</v>
      </c>
      <c r="E6264" t="s">
        <v>20038</v>
      </c>
      <c r="F6264" t="s">
        <v>20039</v>
      </c>
      <c r="G6264" s="2" t="str">
        <f>HYPERLINK("https://probpalata.gov.ru/files/ЮЛ500100990300002.jpeg","Скачать индивидуальный QR-код магазина")</f>
        <v>Скачать индивидуальный QR-код магазина</v>
      </c>
    </row>
    <row r="6265" spans="1:7" x14ac:dyDescent="0.25">
      <c r="A6265" t="s">
        <v>18820</v>
      </c>
      <c r="B6265" t="s">
        <v>20040</v>
      </c>
      <c r="C6265" t="s">
        <v>20041</v>
      </c>
      <c r="D6265" t="s">
        <v>20042</v>
      </c>
      <c r="E6265" t="s">
        <v>20043</v>
      </c>
      <c r="F6265" t="s">
        <v>20044</v>
      </c>
      <c r="G6265" s="2" t="str">
        <f>HYPERLINK("https://probpalata.gov.ru/files/ИП500100398600000.jpeg","Скачать индивидуальный QR-код магазина")</f>
        <v>Скачать индивидуальный QR-код магазина</v>
      </c>
    </row>
    <row r="6266" spans="1:7" x14ac:dyDescent="0.25">
      <c r="A6266" t="s">
        <v>18820</v>
      </c>
      <c r="B6266" t="s">
        <v>20045</v>
      </c>
      <c r="C6266" t="s">
        <v>20046</v>
      </c>
      <c r="D6266" t="s">
        <v>20047</v>
      </c>
      <c r="E6266" t="s">
        <v>20048</v>
      </c>
      <c r="F6266" t="s">
        <v>20049</v>
      </c>
      <c r="G6266" s="2" t="str">
        <f>HYPERLINK("https://probpalata.gov.ru/files/ИП500103641300000.jpeg","Скачать индивидуальный QR-код магазина")</f>
        <v>Скачать индивидуальный QR-код магазина</v>
      </c>
    </row>
    <row r="6267" spans="1:7" x14ac:dyDescent="0.25">
      <c r="A6267" t="s">
        <v>18820</v>
      </c>
      <c r="B6267" t="s">
        <v>20050</v>
      </c>
      <c r="C6267" t="s">
        <v>20051</v>
      </c>
      <c r="D6267" t="s">
        <v>20052</v>
      </c>
      <c r="E6267" t="s">
        <v>20053</v>
      </c>
      <c r="F6267" t="s">
        <v>20054</v>
      </c>
      <c r="G6267" s="2" t="str">
        <f>HYPERLINK("https://probpalata.gov.ru/files/ИП770103870800000.jpeg","Скачать индивидуальный QR-код магазина")</f>
        <v>Скачать индивидуальный QR-код магазина</v>
      </c>
    </row>
    <row r="6268" spans="1:7" x14ac:dyDescent="0.25">
      <c r="A6268" t="s">
        <v>18820</v>
      </c>
      <c r="B6268" t="s">
        <v>20055</v>
      </c>
      <c r="C6268" t="s">
        <v>20056</v>
      </c>
      <c r="D6268" t="s">
        <v>20057</v>
      </c>
      <c r="E6268" t="s">
        <v>20058</v>
      </c>
      <c r="F6268" t="s">
        <v>20059</v>
      </c>
      <c r="G6268" s="2" t="str">
        <f>HYPERLINK("https://probpalata.gov.ru/files/ИП500100595700003.jpeg","Скачать индивидуальный QR-код магазина")</f>
        <v>Скачать индивидуальный QR-код магазина</v>
      </c>
    </row>
    <row r="6269" spans="1:7" x14ac:dyDescent="0.25">
      <c r="A6269" t="s">
        <v>18820</v>
      </c>
      <c r="B6269" t="s">
        <v>20060</v>
      </c>
      <c r="C6269" t="s">
        <v>20061</v>
      </c>
      <c r="D6269" t="s">
        <v>20062</v>
      </c>
      <c r="E6269" t="s">
        <v>20063</v>
      </c>
      <c r="F6269" t="s">
        <v>20064</v>
      </c>
      <c r="G6269" s="2" t="str">
        <f>HYPERLINK("https://probpalata.gov.ru/files/ИП500101146300000.jpeg","Скачать индивидуальный QR-код магазина")</f>
        <v>Скачать индивидуальный QR-код магазина</v>
      </c>
    </row>
    <row r="6270" spans="1:7" x14ac:dyDescent="0.25">
      <c r="A6270" t="s">
        <v>18820</v>
      </c>
      <c r="B6270" t="s">
        <v>20065</v>
      </c>
      <c r="C6270" t="s">
        <v>20066</v>
      </c>
      <c r="D6270" t="s">
        <v>20067</v>
      </c>
      <c r="E6270" t="s">
        <v>20068</v>
      </c>
      <c r="F6270" t="s">
        <v>20069</v>
      </c>
      <c r="G6270" s="2" t="str">
        <f>HYPERLINK("https://probpalata.gov.ru/files/ИП770103860000000.jpeg","Скачать индивидуальный QR-код магазина")</f>
        <v>Скачать индивидуальный QR-код магазина</v>
      </c>
    </row>
    <row r="6271" spans="1:7" x14ac:dyDescent="0.25">
      <c r="A6271" t="s">
        <v>18820</v>
      </c>
      <c r="B6271" t="s">
        <v>20070</v>
      </c>
      <c r="C6271" t="s">
        <v>20071</v>
      </c>
      <c r="D6271" t="s">
        <v>20072</v>
      </c>
      <c r="E6271" t="s">
        <v>20073</v>
      </c>
      <c r="F6271" t="s">
        <v>20074</v>
      </c>
      <c r="G6271" s="2" t="str">
        <f>HYPERLINK("https://probpalata.gov.ru/files/ЮЛ500100052700003.jpeg","Скачать индивидуальный QR-код магазина")</f>
        <v>Скачать индивидуальный QR-код магазина</v>
      </c>
    </row>
    <row r="6272" spans="1:7" x14ac:dyDescent="0.25">
      <c r="A6272" t="s">
        <v>18820</v>
      </c>
      <c r="B6272" t="s">
        <v>20075</v>
      </c>
      <c r="C6272" t="s">
        <v>20071</v>
      </c>
      <c r="D6272" t="s">
        <v>20072</v>
      </c>
      <c r="E6272" t="s">
        <v>20073</v>
      </c>
      <c r="F6272" t="s">
        <v>20076</v>
      </c>
      <c r="G6272" s="2" t="str">
        <f>HYPERLINK("https://probpalata.gov.ru/files/ЮЛ500100052700004.jpeg","Скачать индивидуальный QR-код магазина")</f>
        <v>Скачать индивидуальный QR-код магазина</v>
      </c>
    </row>
    <row r="6273" spans="1:7" x14ac:dyDescent="0.25">
      <c r="A6273" t="s">
        <v>18820</v>
      </c>
      <c r="B6273" t="s">
        <v>20077</v>
      </c>
      <c r="C6273" t="s">
        <v>20071</v>
      </c>
      <c r="D6273" t="s">
        <v>20072</v>
      </c>
      <c r="E6273" t="s">
        <v>20073</v>
      </c>
      <c r="F6273" t="s">
        <v>20078</v>
      </c>
      <c r="G6273" s="2" t="str">
        <f>HYPERLINK("https://probpalata.gov.ru/files/ЮЛ500100052700005.jpeg","Скачать индивидуальный QR-код магазина")</f>
        <v>Скачать индивидуальный QR-код магазина</v>
      </c>
    </row>
    <row r="6274" spans="1:7" x14ac:dyDescent="0.25">
      <c r="A6274" t="s">
        <v>18820</v>
      </c>
      <c r="B6274" t="s">
        <v>20079</v>
      </c>
      <c r="C6274" t="s">
        <v>20071</v>
      </c>
      <c r="D6274" t="s">
        <v>20072</v>
      </c>
      <c r="E6274" t="s">
        <v>20073</v>
      </c>
      <c r="F6274" t="s">
        <v>20080</v>
      </c>
      <c r="G6274" s="2" t="str">
        <f>HYPERLINK("https://probpalata.gov.ru/files/ЮЛ500100052700008.jpeg","Скачать индивидуальный QR-код магазина")</f>
        <v>Скачать индивидуальный QR-код магазина</v>
      </c>
    </row>
    <row r="6275" spans="1:7" x14ac:dyDescent="0.25">
      <c r="A6275" t="s">
        <v>18820</v>
      </c>
      <c r="B6275" t="s">
        <v>20081</v>
      </c>
      <c r="C6275" t="s">
        <v>20082</v>
      </c>
      <c r="D6275" t="s">
        <v>20083</v>
      </c>
      <c r="E6275" t="s">
        <v>20084</v>
      </c>
      <c r="F6275" t="s">
        <v>20085</v>
      </c>
      <c r="G6275" s="2" t="str">
        <f>HYPERLINK("https://probpalata.gov.ru/files/ИП500102007100000.jpeg","Скачать индивидуальный QR-код магазина")</f>
        <v>Скачать индивидуальный QR-код магазина</v>
      </c>
    </row>
    <row r="6276" spans="1:7" x14ac:dyDescent="0.25">
      <c r="A6276" t="s">
        <v>18820</v>
      </c>
      <c r="B6276" t="s">
        <v>20086</v>
      </c>
      <c r="C6276" t="s">
        <v>20087</v>
      </c>
      <c r="D6276" t="s">
        <v>20088</v>
      </c>
      <c r="E6276" t="s">
        <v>20089</v>
      </c>
      <c r="F6276" t="s">
        <v>20090</v>
      </c>
      <c r="G6276" s="2" t="str">
        <f>HYPERLINK("https://probpalata.gov.ru/files/ИП500100734600000.jpeg","Скачать индивидуальный QR-код магазина")</f>
        <v>Скачать индивидуальный QR-код магазина</v>
      </c>
    </row>
    <row r="6277" spans="1:7" x14ac:dyDescent="0.25">
      <c r="A6277" t="s">
        <v>18820</v>
      </c>
      <c r="B6277" t="s">
        <v>20091</v>
      </c>
      <c r="C6277" t="s">
        <v>20092</v>
      </c>
      <c r="D6277" t="s">
        <v>20093</v>
      </c>
      <c r="E6277" t="s">
        <v>20094</v>
      </c>
      <c r="F6277" t="s">
        <v>20095</v>
      </c>
      <c r="G6277" s="2" t="str">
        <f>HYPERLINK("https://probpalata.gov.ru/files/ЮЛ500101580700001.jpeg","Скачать индивидуальный QR-код магазина")</f>
        <v>Скачать индивидуальный QR-код магазина</v>
      </c>
    </row>
    <row r="6278" spans="1:7" x14ac:dyDescent="0.25">
      <c r="A6278" t="s">
        <v>18820</v>
      </c>
      <c r="B6278" t="s">
        <v>20096</v>
      </c>
      <c r="C6278" t="s">
        <v>20092</v>
      </c>
      <c r="D6278" t="s">
        <v>20093</v>
      </c>
      <c r="E6278" t="s">
        <v>20094</v>
      </c>
      <c r="F6278" t="s">
        <v>20097</v>
      </c>
      <c r="G6278" s="2" t="str">
        <f>HYPERLINK("https://probpalata.gov.ru/files/ЮЛ500101580700005.jpeg","Скачать индивидуальный QR-код магазина")</f>
        <v>Скачать индивидуальный QR-код магазина</v>
      </c>
    </row>
    <row r="6279" spans="1:7" x14ac:dyDescent="0.25">
      <c r="A6279" t="s">
        <v>18820</v>
      </c>
      <c r="B6279" t="s">
        <v>20098</v>
      </c>
      <c r="C6279" t="s">
        <v>14773</v>
      </c>
      <c r="D6279" t="s">
        <v>14774</v>
      </c>
      <c r="E6279" t="s">
        <v>14775</v>
      </c>
      <c r="F6279" t="s">
        <v>20099</v>
      </c>
      <c r="G6279" s="2" t="str">
        <f>HYPERLINK("https://probpalata.gov.ru/files/ИП770104078500002.jpeg","Скачать индивидуальный QR-код магазина")</f>
        <v>Скачать индивидуальный QR-код магазина</v>
      </c>
    </row>
    <row r="6280" spans="1:7" x14ac:dyDescent="0.25">
      <c r="A6280" t="s">
        <v>18820</v>
      </c>
      <c r="B6280" t="s">
        <v>20100</v>
      </c>
      <c r="C6280" t="s">
        <v>20101</v>
      </c>
      <c r="D6280" t="s">
        <v>20102</v>
      </c>
      <c r="E6280" t="s">
        <v>20103</v>
      </c>
      <c r="F6280" t="s">
        <v>20104</v>
      </c>
      <c r="G6280" s="2" t="str">
        <f>HYPERLINK("https://probpalata.gov.ru/files/ИП500101404200001.jpeg","Скачать индивидуальный QR-код магазина")</f>
        <v>Скачать индивидуальный QR-код магазина</v>
      </c>
    </row>
    <row r="6281" spans="1:7" x14ac:dyDescent="0.25">
      <c r="A6281" t="s">
        <v>18820</v>
      </c>
      <c r="B6281" t="s">
        <v>20105</v>
      </c>
      <c r="C6281" t="s">
        <v>20101</v>
      </c>
      <c r="D6281" t="s">
        <v>20102</v>
      </c>
      <c r="E6281" t="s">
        <v>20103</v>
      </c>
      <c r="F6281" t="s">
        <v>20106</v>
      </c>
      <c r="G6281" s="2" t="str">
        <f>HYPERLINK("https://probpalata.gov.ru/files/ИП500101404200002.jpeg","Скачать индивидуальный QR-код магазина")</f>
        <v>Скачать индивидуальный QR-код магазина</v>
      </c>
    </row>
    <row r="6282" spans="1:7" x14ac:dyDescent="0.25">
      <c r="A6282" t="s">
        <v>18820</v>
      </c>
      <c r="B6282" t="s">
        <v>20107</v>
      </c>
      <c r="C6282" t="s">
        <v>20108</v>
      </c>
      <c r="D6282" t="s">
        <v>20109</v>
      </c>
      <c r="E6282" t="s">
        <v>20110</v>
      </c>
      <c r="F6282" t="s">
        <v>20111</v>
      </c>
      <c r="G6282" s="2" t="str">
        <f>HYPERLINK("https://probpalata.gov.ru/files/ИП500100276300000.jpeg","Скачать индивидуальный QR-код магазина")</f>
        <v>Скачать индивидуальный QR-код магазина</v>
      </c>
    </row>
    <row r="6283" spans="1:7" x14ac:dyDescent="0.25">
      <c r="A6283" t="s">
        <v>18820</v>
      </c>
      <c r="B6283" t="s">
        <v>20112</v>
      </c>
      <c r="C6283" t="s">
        <v>20113</v>
      </c>
      <c r="D6283" t="s">
        <v>20114</v>
      </c>
      <c r="E6283" t="s">
        <v>20115</v>
      </c>
      <c r="F6283" t="s">
        <v>20116</v>
      </c>
      <c r="G6283" s="2" t="str">
        <f>HYPERLINK("https://probpalata.gov.ru/files/ИП500103456600000.jpeg","Скачать индивидуальный QR-код магазина")</f>
        <v>Скачать индивидуальный QR-код магазина</v>
      </c>
    </row>
    <row r="6284" spans="1:7" x14ac:dyDescent="0.25">
      <c r="A6284" t="s">
        <v>18820</v>
      </c>
      <c r="B6284" t="s">
        <v>20117</v>
      </c>
      <c r="C6284" t="s">
        <v>20118</v>
      </c>
      <c r="D6284" t="s">
        <v>20119</v>
      </c>
      <c r="E6284" t="s">
        <v>20120</v>
      </c>
      <c r="F6284" t="s">
        <v>20121</v>
      </c>
      <c r="G6284" s="2" t="str">
        <f>HYPERLINK("https://probpalata.gov.ru/files/ИП770100538300000.jpeg","Скачать индивидуальный QR-код магазина")</f>
        <v>Скачать индивидуальный QR-код магазина</v>
      </c>
    </row>
    <row r="6285" spans="1:7" x14ac:dyDescent="0.25">
      <c r="A6285" t="s">
        <v>18820</v>
      </c>
      <c r="B6285" t="s">
        <v>20122</v>
      </c>
      <c r="C6285" t="s">
        <v>20123</v>
      </c>
      <c r="D6285" t="s">
        <v>20124</v>
      </c>
      <c r="E6285" t="s">
        <v>20125</v>
      </c>
      <c r="F6285" t="s">
        <v>20126</v>
      </c>
      <c r="G6285" s="2" t="str">
        <f>HYPERLINK("https://probpalata.gov.ru/files/ИП770101681800000.jpeg","Скачать индивидуальный QR-код магазина")</f>
        <v>Скачать индивидуальный QR-код магазина</v>
      </c>
    </row>
    <row r="6286" spans="1:7" x14ac:dyDescent="0.25">
      <c r="A6286" t="s">
        <v>18820</v>
      </c>
      <c r="B6286" t="s">
        <v>20127</v>
      </c>
      <c r="C6286" t="s">
        <v>20123</v>
      </c>
      <c r="D6286" t="s">
        <v>20124</v>
      </c>
      <c r="E6286" t="s">
        <v>20125</v>
      </c>
      <c r="F6286" t="s">
        <v>20128</v>
      </c>
      <c r="G6286" s="2" t="str">
        <f>HYPERLINK("https://probpalata.gov.ru/files/ИП770101681800002.jpeg","Скачать индивидуальный QR-код магазина")</f>
        <v>Скачать индивидуальный QR-код магазина</v>
      </c>
    </row>
    <row r="6287" spans="1:7" x14ac:dyDescent="0.25">
      <c r="A6287" t="s">
        <v>18820</v>
      </c>
      <c r="B6287" t="s">
        <v>20129</v>
      </c>
      <c r="C6287" t="s">
        <v>17781</v>
      </c>
      <c r="D6287" t="s">
        <v>17782</v>
      </c>
      <c r="E6287" t="s">
        <v>17783</v>
      </c>
      <c r="F6287" t="s">
        <v>20130</v>
      </c>
      <c r="G6287" s="2" t="str">
        <f>HYPERLINK("https://probpalata.gov.ru/files/ИП770103269300003.jpeg","Скачать индивидуальный QR-код магазина")</f>
        <v>Скачать индивидуальный QR-код магазина</v>
      </c>
    </row>
    <row r="6288" spans="1:7" x14ac:dyDescent="0.25">
      <c r="A6288" t="s">
        <v>18820</v>
      </c>
      <c r="B6288" t="s">
        <v>20131</v>
      </c>
      <c r="C6288" t="s">
        <v>20132</v>
      </c>
      <c r="D6288" t="s">
        <v>20133</v>
      </c>
      <c r="E6288" t="s">
        <v>20134</v>
      </c>
      <c r="F6288" t="s">
        <v>20135</v>
      </c>
      <c r="G6288" s="2" t="str">
        <f>HYPERLINK("https://probpalata.gov.ru/files/ИП770103639000000.jpeg","Скачать индивидуальный QR-код магазина")</f>
        <v>Скачать индивидуальный QR-код магазина</v>
      </c>
    </row>
    <row r="6289" spans="1:7" x14ac:dyDescent="0.25">
      <c r="A6289" t="s">
        <v>18820</v>
      </c>
      <c r="B6289" t="s">
        <v>20136</v>
      </c>
      <c r="C6289" t="s">
        <v>20137</v>
      </c>
      <c r="D6289" t="s">
        <v>20138</v>
      </c>
      <c r="E6289" t="s">
        <v>20139</v>
      </c>
      <c r="F6289" t="s">
        <v>20140</v>
      </c>
      <c r="G6289" s="2" t="str">
        <f>HYPERLINK("https://probpalata.gov.ru/files/ИП500103648900000.jpeg","Скачать индивидуальный QR-код магазина")</f>
        <v>Скачать индивидуальный QR-код магазина</v>
      </c>
    </row>
    <row r="6290" spans="1:7" x14ac:dyDescent="0.25">
      <c r="A6290" t="s">
        <v>18820</v>
      </c>
      <c r="B6290" t="s">
        <v>20141</v>
      </c>
      <c r="C6290" t="s">
        <v>20142</v>
      </c>
      <c r="D6290" t="s">
        <v>20143</v>
      </c>
      <c r="E6290" t="s">
        <v>20144</v>
      </c>
      <c r="F6290" t="s">
        <v>20145</v>
      </c>
      <c r="G6290" s="2" t="str">
        <f>HYPERLINK("https://probpalata.gov.ru/files/ИП500101672100000.jpeg","Скачать индивидуальный QR-код магазина")</f>
        <v>Скачать индивидуальный QR-код магазина</v>
      </c>
    </row>
    <row r="6291" spans="1:7" x14ac:dyDescent="0.25">
      <c r="A6291" t="s">
        <v>18820</v>
      </c>
      <c r="B6291" t="s">
        <v>20146</v>
      </c>
      <c r="C6291" t="s">
        <v>20147</v>
      </c>
      <c r="D6291" t="s">
        <v>20148</v>
      </c>
      <c r="E6291" t="s">
        <v>20149</v>
      </c>
      <c r="F6291" t="s">
        <v>20150</v>
      </c>
      <c r="G6291" s="2" t="str">
        <f>HYPERLINK("https://probpalata.gov.ru/files/ЮЛ500102004100000.jpeg","Скачать индивидуальный QR-код магазина")</f>
        <v>Скачать индивидуальный QR-код магазина</v>
      </c>
    </row>
    <row r="6292" spans="1:7" x14ac:dyDescent="0.25">
      <c r="A6292" t="s">
        <v>18820</v>
      </c>
      <c r="B6292" t="s">
        <v>20151</v>
      </c>
      <c r="C6292" t="s">
        <v>20152</v>
      </c>
      <c r="D6292" t="s">
        <v>20153</v>
      </c>
      <c r="E6292" t="s">
        <v>20154</v>
      </c>
      <c r="F6292" t="s">
        <v>20155</v>
      </c>
      <c r="G6292" s="2" t="str">
        <f>HYPERLINK("https://probpalata.gov.ru/files/ИП500100691100000.jpeg","Скачать индивидуальный QR-код магазина")</f>
        <v>Скачать индивидуальный QR-код магазина</v>
      </c>
    </row>
    <row r="6293" spans="1:7" x14ac:dyDescent="0.25">
      <c r="A6293" t="s">
        <v>18820</v>
      </c>
      <c r="B6293" t="s">
        <v>20156</v>
      </c>
      <c r="C6293" t="s">
        <v>20157</v>
      </c>
      <c r="D6293" t="s">
        <v>20158</v>
      </c>
      <c r="E6293" t="s">
        <v>20159</v>
      </c>
      <c r="F6293" t="s">
        <v>20160</v>
      </c>
      <c r="G6293" s="2" t="str">
        <f>HYPERLINK("https://probpalata.gov.ru/files/ИП500100712100000.jpeg","Скачать индивидуальный QR-код магазина")</f>
        <v>Скачать индивидуальный QR-код магазина</v>
      </c>
    </row>
    <row r="6294" spans="1:7" x14ac:dyDescent="0.25">
      <c r="A6294" t="s">
        <v>18820</v>
      </c>
      <c r="B6294" t="s">
        <v>20161</v>
      </c>
      <c r="C6294" t="s">
        <v>20162</v>
      </c>
      <c r="D6294" t="s">
        <v>20163</v>
      </c>
      <c r="E6294" t="s">
        <v>20164</v>
      </c>
      <c r="F6294" t="s">
        <v>20165</v>
      </c>
      <c r="G6294" s="2" t="str">
        <f>HYPERLINK("https://probpalata.gov.ru/files/ИП500103962600000.jpeg","Скачать индивидуальный QR-код магазина")</f>
        <v>Скачать индивидуальный QR-код магазина</v>
      </c>
    </row>
    <row r="6295" spans="1:7" x14ac:dyDescent="0.25">
      <c r="A6295" t="s">
        <v>18820</v>
      </c>
      <c r="B6295" t="s">
        <v>20166</v>
      </c>
      <c r="C6295" t="s">
        <v>20167</v>
      </c>
      <c r="D6295" t="s">
        <v>20168</v>
      </c>
      <c r="E6295" t="s">
        <v>20169</v>
      </c>
      <c r="F6295" t="s">
        <v>20170</v>
      </c>
      <c r="G6295" s="2" t="str">
        <f>HYPERLINK("https://probpalata.gov.ru/files/ИП770103147000000.jpeg","Скачать индивидуальный QR-код магазина")</f>
        <v>Скачать индивидуальный QR-код магазина</v>
      </c>
    </row>
    <row r="6296" spans="1:7" x14ac:dyDescent="0.25">
      <c r="A6296" t="s">
        <v>18820</v>
      </c>
      <c r="B6296" t="s">
        <v>20171</v>
      </c>
      <c r="C6296" t="s">
        <v>20172</v>
      </c>
      <c r="D6296" t="s">
        <v>20173</v>
      </c>
      <c r="E6296" t="s">
        <v>20174</v>
      </c>
      <c r="F6296" t="s">
        <v>20175</v>
      </c>
      <c r="G6296" s="2" t="str">
        <f>HYPERLINK("https://probpalata.gov.ru/files/ЮЛ770100728100000.jpeg","Скачать индивидуальный QR-код магазина")</f>
        <v>Скачать индивидуальный QR-код магазина</v>
      </c>
    </row>
    <row r="6297" spans="1:7" x14ac:dyDescent="0.25">
      <c r="A6297" t="s">
        <v>18820</v>
      </c>
      <c r="B6297" t="s">
        <v>20176</v>
      </c>
      <c r="C6297" t="s">
        <v>20177</v>
      </c>
      <c r="D6297" t="s">
        <v>20178</v>
      </c>
      <c r="E6297" t="s">
        <v>20179</v>
      </c>
      <c r="F6297" t="s">
        <v>20180</v>
      </c>
      <c r="G6297" s="2" t="str">
        <f>HYPERLINK("https://probpalata.gov.ru/files/ИП500100401900000.jpeg","Скачать индивидуальный QR-код магазина")</f>
        <v>Скачать индивидуальный QR-код магазина</v>
      </c>
    </row>
    <row r="6298" spans="1:7" x14ac:dyDescent="0.25">
      <c r="A6298" t="s">
        <v>18820</v>
      </c>
      <c r="B6298" t="s">
        <v>20181</v>
      </c>
      <c r="C6298" t="s">
        <v>20182</v>
      </c>
      <c r="D6298" t="s">
        <v>20183</v>
      </c>
      <c r="E6298" t="s">
        <v>20184</v>
      </c>
      <c r="F6298" t="s">
        <v>20185</v>
      </c>
      <c r="G6298" s="2" t="str">
        <f>HYPERLINK("https://probpalata.gov.ru/files/ЮЛ500100467200000.jpeg","Скачать индивидуальный QR-код магазина")</f>
        <v>Скачать индивидуальный QR-код магазина</v>
      </c>
    </row>
    <row r="6299" spans="1:7" x14ac:dyDescent="0.25">
      <c r="A6299" t="s">
        <v>18820</v>
      </c>
      <c r="B6299" t="s">
        <v>20186</v>
      </c>
      <c r="C6299" t="s">
        <v>20187</v>
      </c>
      <c r="D6299" t="s">
        <v>20188</v>
      </c>
      <c r="E6299" t="s">
        <v>20189</v>
      </c>
      <c r="F6299" t="s">
        <v>20190</v>
      </c>
      <c r="G6299" s="2" t="str">
        <f>HYPERLINK("https://probpalata.gov.ru/files/ИП770103774600000.jpeg","Скачать индивидуальный QR-код магазина")</f>
        <v>Скачать индивидуальный QR-код магазина</v>
      </c>
    </row>
    <row r="6300" spans="1:7" x14ac:dyDescent="0.25">
      <c r="A6300" t="s">
        <v>18820</v>
      </c>
      <c r="B6300" t="s">
        <v>20191</v>
      </c>
      <c r="C6300" t="s">
        <v>20192</v>
      </c>
      <c r="D6300" t="s">
        <v>20193</v>
      </c>
      <c r="E6300" t="s">
        <v>20194</v>
      </c>
      <c r="F6300" t="s">
        <v>20195</v>
      </c>
      <c r="G6300" s="2" t="str">
        <f>HYPERLINK("https://probpalata.gov.ru/files/ИП770101401000003.jpeg","Скачать индивидуальный QR-код магазина")</f>
        <v>Скачать индивидуальный QR-код магазина</v>
      </c>
    </row>
    <row r="6301" spans="1:7" x14ac:dyDescent="0.25">
      <c r="A6301" t="s">
        <v>18820</v>
      </c>
      <c r="B6301" t="s">
        <v>20196</v>
      </c>
      <c r="C6301" t="s">
        <v>20197</v>
      </c>
      <c r="D6301" t="s">
        <v>20198</v>
      </c>
      <c r="E6301" t="s">
        <v>20199</v>
      </c>
      <c r="F6301" t="s">
        <v>20200</v>
      </c>
      <c r="G6301" s="2" t="str">
        <f>HYPERLINK("https://probpalata.gov.ru/files/ИП500101368300000.jpeg","Скачать индивидуальный QR-код магазина")</f>
        <v>Скачать индивидуальный QR-код магазина</v>
      </c>
    </row>
    <row r="6302" spans="1:7" x14ac:dyDescent="0.25">
      <c r="A6302" t="s">
        <v>18820</v>
      </c>
      <c r="B6302" t="s">
        <v>20201</v>
      </c>
      <c r="C6302" t="s">
        <v>20197</v>
      </c>
      <c r="D6302" t="s">
        <v>20198</v>
      </c>
      <c r="E6302" t="s">
        <v>20199</v>
      </c>
      <c r="F6302" t="s">
        <v>20202</v>
      </c>
      <c r="G6302" s="2" t="str">
        <f>HYPERLINK("https://probpalata.gov.ru/files/ИП500101368300003.jpeg","Скачать индивидуальный QR-код магазина")</f>
        <v>Скачать индивидуальный QR-код магазина</v>
      </c>
    </row>
    <row r="6303" spans="1:7" x14ac:dyDescent="0.25">
      <c r="A6303" t="s">
        <v>18820</v>
      </c>
      <c r="B6303" t="s">
        <v>20203</v>
      </c>
      <c r="C6303" t="s">
        <v>20197</v>
      </c>
      <c r="D6303" t="s">
        <v>20198</v>
      </c>
      <c r="E6303" t="s">
        <v>20199</v>
      </c>
      <c r="F6303" t="s">
        <v>20204</v>
      </c>
      <c r="G6303" s="2" t="str">
        <f>HYPERLINK("https://probpalata.gov.ru/files/ИП500101368300004.jpeg","Скачать индивидуальный QR-код магазина")</f>
        <v>Скачать индивидуальный QR-код магазина</v>
      </c>
    </row>
    <row r="6304" spans="1:7" x14ac:dyDescent="0.25">
      <c r="A6304" t="s">
        <v>18820</v>
      </c>
      <c r="B6304" t="s">
        <v>20205</v>
      </c>
      <c r="C6304" t="s">
        <v>20197</v>
      </c>
      <c r="D6304" t="s">
        <v>20198</v>
      </c>
      <c r="E6304" t="s">
        <v>20199</v>
      </c>
      <c r="F6304" t="s">
        <v>20206</v>
      </c>
      <c r="G6304" s="2" t="str">
        <f>HYPERLINK("https://probpalata.gov.ru/files/ИП500101368300005.jpeg","Скачать индивидуальный QR-код магазина")</f>
        <v>Скачать индивидуальный QR-код магазина</v>
      </c>
    </row>
    <row r="6305" spans="1:7" x14ac:dyDescent="0.25">
      <c r="A6305" t="s">
        <v>18820</v>
      </c>
      <c r="B6305" t="s">
        <v>20207</v>
      </c>
      <c r="C6305" t="s">
        <v>20197</v>
      </c>
      <c r="D6305" t="s">
        <v>20198</v>
      </c>
      <c r="E6305" t="s">
        <v>20199</v>
      </c>
      <c r="F6305" t="s">
        <v>20208</v>
      </c>
      <c r="G6305" s="2" t="str">
        <f>HYPERLINK("https://probpalata.gov.ru/files/ИП500101368300006.jpeg","Скачать индивидуальный QR-код магазина")</f>
        <v>Скачать индивидуальный QR-код магазина</v>
      </c>
    </row>
    <row r="6306" spans="1:7" x14ac:dyDescent="0.25">
      <c r="A6306" t="s">
        <v>18820</v>
      </c>
      <c r="B6306" t="s">
        <v>20209</v>
      </c>
      <c r="C6306" t="s">
        <v>20197</v>
      </c>
      <c r="D6306" t="s">
        <v>20198</v>
      </c>
      <c r="E6306" t="s">
        <v>20199</v>
      </c>
      <c r="F6306" t="s">
        <v>20210</v>
      </c>
      <c r="G6306" s="2" t="str">
        <f>HYPERLINK("https://probpalata.gov.ru/files/ИП500101368300007.jpeg","Скачать индивидуальный QR-код магазина")</f>
        <v>Скачать индивидуальный QR-код магазина</v>
      </c>
    </row>
    <row r="6307" spans="1:7" x14ac:dyDescent="0.25">
      <c r="A6307" t="s">
        <v>18820</v>
      </c>
      <c r="B6307" t="s">
        <v>20211</v>
      </c>
      <c r="C6307" t="s">
        <v>20212</v>
      </c>
      <c r="D6307" t="s">
        <v>20213</v>
      </c>
      <c r="E6307" t="s">
        <v>20214</v>
      </c>
      <c r="F6307" t="s">
        <v>20215</v>
      </c>
      <c r="G6307" s="2" t="str">
        <f>HYPERLINK("https://probpalata.gov.ru/files/ИП080400673400000.jpeg","Скачать индивидуальный QR-код магазина")</f>
        <v>Скачать индивидуальный QR-код магазина</v>
      </c>
    </row>
    <row r="6308" spans="1:7" x14ac:dyDescent="0.25">
      <c r="A6308" t="s">
        <v>18820</v>
      </c>
      <c r="B6308" t="s">
        <v>20216</v>
      </c>
      <c r="C6308" t="s">
        <v>20217</v>
      </c>
      <c r="D6308" t="s">
        <v>20218</v>
      </c>
      <c r="E6308" t="s">
        <v>20219</v>
      </c>
      <c r="F6308" t="s">
        <v>20220</v>
      </c>
      <c r="G6308" s="2" t="str">
        <f>HYPERLINK("https://probpalata.gov.ru/files/ИП470300104000000.jpeg","Скачать индивидуальный QR-код магазина")</f>
        <v>Скачать индивидуальный QR-код магазина</v>
      </c>
    </row>
    <row r="6309" spans="1:7" x14ac:dyDescent="0.25">
      <c r="A6309" t="s">
        <v>18820</v>
      </c>
      <c r="B6309" t="s">
        <v>20221</v>
      </c>
      <c r="C6309" t="s">
        <v>20217</v>
      </c>
      <c r="D6309" t="s">
        <v>20218</v>
      </c>
      <c r="E6309" t="s">
        <v>20219</v>
      </c>
      <c r="F6309" t="s">
        <v>20222</v>
      </c>
      <c r="G6309" s="2" t="str">
        <f>HYPERLINK("https://probpalata.gov.ru/files/ИП470300104000001.jpeg","Скачать индивидуальный QR-код магазина")</f>
        <v>Скачать индивидуальный QR-код магазина</v>
      </c>
    </row>
    <row r="6310" spans="1:7" x14ac:dyDescent="0.25">
      <c r="A6310" t="s">
        <v>18820</v>
      </c>
      <c r="B6310" t="s">
        <v>20223</v>
      </c>
      <c r="C6310" t="s">
        <v>20217</v>
      </c>
      <c r="D6310" t="s">
        <v>20218</v>
      </c>
      <c r="E6310" t="s">
        <v>20219</v>
      </c>
      <c r="F6310" t="s">
        <v>20224</v>
      </c>
      <c r="G6310" s="2" t="str">
        <f>HYPERLINK("https://probpalata.gov.ru/files/ИП470300104000003.jpeg","Скачать индивидуальный QR-код магазина")</f>
        <v>Скачать индивидуальный QR-код магазина</v>
      </c>
    </row>
    <row r="6311" spans="1:7" x14ac:dyDescent="0.25">
      <c r="A6311" t="s">
        <v>18820</v>
      </c>
      <c r="B6311" t="s">
        <v>20225</v>
      </c>
      <c r="C6311" t="s">
        <v>20217</v>
      </c>
      <c r="D6311" t="s">
        <v>20218</v>
      </c>
      <c r="E6311" t="s">
        <v>20219</v>
      </c>
      <c r="F6311" t="s">
        <v>20226</v>
      </c>
      <c r="G6311" s="2" t="str">
        <f>HYPERLINK("https://probpalata.gov.ru/files/ИП470300104000004.jpeg","Скачать индивидуальный QR-код магазина")</f>
        <v>Скачать индивидуальный QR-код магазина</v>
      </c>
    </row>
    <row r="6312" spans="1:7" x14ac:dyDescent="0.25">
      <c r="A6312" t="s">
        <v>18820</v>
      </c>
      <c r="B6312" t="s">
        <v>20227</v>
      </c>
      <c r="C6312" t="s">
        <v>20217</v>
      </c>
      <c r="D6312" t="s">
        <v>20218</v>
      </c>
      <c r="E6312" t="s">
        <v>20219</v>
      </c>
      <c r="F6312" t="s">
        <v>20228</v>
      </c>
      <c r="G6312" s="2" t="str">
        <f>HYPERLINK("https://probpalata.gov.ru/files/ИП470300104000006.jpeg","Скачать индивидуальный QR-код магазина")</f>
        <v>Скачать индивидуальный QR-код магазина</v>
      </c>
    </row>
    <row r="6313" spans="1:7" x14ac:dyDescent="0.25">
      <c r="A6313" t="s">
        <v>18820</v>
      </c>
      <c r="B6313" t="s">
        <v>20229</v>
      </c>
      <c r="C6313" t="s">
        <v>20217</v>
      </c>
      <c r="D6313" t="s">
        <v>20218</v>
      </c>
      <c r="E6313" t="s">
        <v>20219</v>
      </c>
      <c r="F6313" t="s">
        <v>20230</v>
      </c>
      <c r="G6313" s="2" t="str">
        <f>HYPERLINK("https://probpalata.gov.ru/files/ИП470300104000007.jpeg","Скачать индивидуальный QR-код магазина")</f>
        <v>Скачать индивидуальный QR-код магазина</v>
      </c>
    </row>
    <row r="6314" spans="1:7" x14ac:dyDescent="0.25">
      <c r="A6314" t="s">
        <v>18820</v>
      </c>
      <c r="B6314" t="s">
        <v>20231</v>
      </c>
      <c r="C6314" t="s">
        <v>20217</v>
      </c>
      <c r="D6314" t="s">
        <v>20218</v>
      </c>
      <c r="E6314" t="s">
        <v>20219</v>
      </c>
      <c r="F6314" t="s">
        <v>20232</v>
      </c>
      <c r="G6314" s="2" t="str">
        <f>HYPERLINK("https://probpalata.gov.ru/files/ИП470300104000008.jpeg","Скачать индивидуальный QR-код магазина")</f>
        <v>Скачать индивидуальный QR-код магазина</v>
      </c>
    </row>
    <row r="6315" spans="1:7" x14ac:dyDescent="0.25">
      <c r="A6315" t="s">
        <v>18820</v>
      </c>
      <c r="B6315" t="s">
        <v>20233</v>
      </c>
      <c r="C6315" t="s">
        <v>20217</v>
      </c>
      <c r="D6315" t="s">
        <v>20218</v>
      </c>
      <c r="E6315" t="s">
        <v>20219</v>
      </c>
      <c r="F6315" t="s">
        <v>20234</v>
      </c>
      <c r="G6315" s="2" t="str">
        <f>HYPERLINK("https://probpalata.gov.ru/files/ИП470300104000009.jpeg","Скачать индивидуальный QR-код магазина")</f>
        <v>Скачать индивидуальный QR-код магазина</v>
      </c>
    </row>
    <row r="6316" spans="1:7" x14ac:dyDescent="0.25">
      <c r="A6316" t="s">
        <v>18820</v>
      </c>
      <c r="B6316" t="s">
        <v>20235</v>
      </c>
      <c r="C6316" t="s">
        <v>20217</v>
      </c>
      <c r="D6316" t="s">
        <v>20218</v>
      </c>
      <c r="E6316" t="s">
        <v>20219</v>
      </c>
      <c r="F6316" t="s">
        <v>20236</v>
      </c>
      <c r="G6316" s="2" t="str">
        <f>HYPERLINK("https://probpalata.gov.ru/files/ИП470300104000010.jpeg","Скачать индивидуальный QR-код магазина")</f>
        <v>Скачать индивидуальный QR-код магазина</v>
      </c>
    </row>
    <row r="6317" spans="1:7" x14ac:dyDescent="0.25">
      <c r="A6317" t="s">
        <v>18820</v>
      </c>
      <c r="B6317" t="s">
        <v>20237</v>
      </c>
      <c r="C6317" t="s">
        <v>20217</v>
      </c>
      <c r="D6317" t="s">
        <v>20218</v>
      </c>
      <c r="E6317" t="s">
        <v>20219</v>
      </c>
      <c r="F6317" t="s">
        <v>20238</v>
      </c>
      <c r="G6317" s="2" t="str">
        <f>HYPERLINK("https://probpalata.gov.ru/files/ИП470300104000011.jpeg","Скачать индивидуальный QR-код магазина")</f>
        <v>Скачать индивидуальный QR-код магазина</v>
      </c>
    </row>
    <row r="6318" spans="1:7" x14ac:dyDescent="0.25">
      <c r="A6318" t="s">
        <v>18820</v>
      </c>
      <c r="B6318" t="s">
        <v>20239</v>
      </c>
      <c r="C6318" t="s">
        <v>20240</v>
      </c>
      <c r="D6318" t="s">
        <v>20241</v>
      </c>
      <c r="E6318" t="s">
        <v>20242</v>
      </c>
      <c r="F6318" t="s">
        <v>20243</v>
      </c>
      <c r="G6318" s="2" t="str">
        <f>HYPERLINK("https://probpalata.gov.ru/files/ИП500100620900000.jpeg","Скачать индивидуальный QR-код магазина")</f>
        <v>Скачать индивидуальный QR-код магазина</v>
      </c>
    </row>
    <row r="6319" spans="1:7" x14ac:dyDescent="0.25">
      <c r="A6319" t="s">
        <v>18820</v>
      </c>
      <c r="B6319" t="s">
        <v>20244</v>
      </c>
      <c r="C6319" t="s">
        <v>20240</v>
      </c>
      <c r="D6319" t="s">
        <v>20241</v>
      </c>
      <c r="E6319" t="s">
        <v>20242</v>
      </c>
      <c r="F6319" t="s">
        <v>20245</v>
      </c>
      <c r="G6319" s="2" t="str">
        <f>HYPERLINK("https://probpalata.gov.ru/files/ИП500100620900001.jpeg","Скачать индивидуальный QR-код магазина")</f>
        <v>Скачать индивидуальный QR-код магазина</v>
      </c>
    </row>
    <row r="6320" spans="1:7" x14ac:dyDescent="0.25">
      <c r="A6320" t="s">
        <v>18820</v>
      </c>
      <c r="B6320" t="s">
        <v>20246</v>
      </c>
      <c r="C6320" t="s">
        <v>20247</v>
      </c>
      <c r="D6320" t="s">
        <v>20248</v>
      </c>
      <c r="E6320" t="s">
        <v>20249</v>
      </c>
      <c r="F6320" t="s">
        <v>20250</v>
      </c>
      <c r="G6320" s="2" t="str">
        <f>HYPERLINK("https://probpalata.gov.ru/files/ИП500100708800000.jpeg","Скачать индивидуальный QR-код магазина")</f>
        <v>Скачать индивидуальный QR-код магазина</v>
      </c>
    </row>
    <row r="6321" spans="1:7" x14ac:dyDescent="0.25">
      <c r="A6321" t="s">
        <v>18820</v>
      </c>
      <c r="B6321" t="s">
        <v>20251</v>
      </c>
      <c r="C6321" t="s">
        <v>20252</v>
      </c>
      <c r="D6321" t="s">
        <v>20253</v>
      </c>
      <c r="E6321" t="s">
        <v>20254</v>
      </c>
      <c r="F6321" t="s">
        <v>20255</v>
      </c>
      <c r="G6321" s="2" t="str">
        <f>HYPERLINK("https://probpalata.gov.ru/files/ИП500103934100000.jpeg","Скачать индивидуальный QR-код магазина")</f>
        <v>Скачать индивидуальный QR-код магазина</v>
      </c>
    </row>
    <row r="6322" spans="1:7" x14ac:dyDescent="0.25">
      <c r="A6322" t="s">
        <v>18820</v>
      </c>
      <c r="B6322" t="s">
        <v>20256</v>
      </c>
      <c r="C6322" t="s">
        <v>20257</v>
      </c>
      <c r="D6322" t="s">
        <v>20258</v>
      </c>
      <c r="E6322" t="s">
        <v>20259</v>
      </c>
      <c r="F6322" t="s">
        <v>20260</v>
      </c>
      <c r="G6322" s="2" t="str">
        <f>HYPERLINK("https://probpalata.gov.ru/files/ИП500101633700000.jpeg","Скачать индивидуальный QR-код магазина")</f>
        <v>Скачать индивидуальный QR-код магазина</v>
      </c>
    </row>
    <row r="6323" spans="1:7" x14ac:dyDescent="0.25">
      <c r="A6323" t="s">
        <v>18820</v>
      </c>
      <c r="B6323" t="s">
        <v>20261</v>
      </c>
      <c r="C6323" t="s">
        <v>20257</v>
      </c>
      <c r="D6323" t="s">
        <v>20258</v>
      </c>
      <c r="E6323" t="s">
        <v>20259</v>
      </c>
      <c r="F6323" t="s">
        <v>20262</v>
      </c>
      <c r="G6323" s="2" t="str">
        <f>HYPERLINK("https://probpalata.gov.ru/files/ИП500101633700001.jpeg","Скачать индивидуальный QR-код магазина")</f>
        <v>Скачать индивидуальный QR-код магазина</v>
      </c>
    </row>
    <row r="6324" spans="1:7" x14ac:dyDescent="0.25">
      <c r="A6324" t="s">
        <v>18820</v>
      </c>
      <c r="B6324" t="s">
        <v>20263</v>
      </c>
      <c r="C6324" t="s">
        <v>20264</v>
      </c>
      <c r="D6324" t="s">
        <v>20265</v>
      </c>
      <c r="E6324" t="s">
        <v>20266</v>
      </c>
      <c r="F6324" t="s">
        <v>20267</v>
      </c>
      <c r="G6324" s="2" t="str">
        <f>HYPERLINK("https://probpalata.gov.ru/files/ИП770101140000000.jpeg","Скачать индивидуальный QR-код магазина")</f>
        <v>Скачать индивидуальный QR-код магазина</v>
      </c>
    </row>
    <row r="6325" spans="1:7" x14ac:dyDescent="0.25">
      <c r="A6325" t="s">
        <v>18820</v>
      </c>
      <c r="B6325" t="s">
        <v>20268</v>
      </c>
      <c r="C6325" t="s">
        <v>20269</v>
      </c>
      <c r="D6325" t="s">
        <v>20270</v>
      </c>
      <c r="E6325" t="s">
        <v>20271</v>
      </c>
      <c r="F6325" t="s">
        <v>20272</v>
      </c>
      <c r="G6325" s="2" t="str">
        <f>HYPERLINK("https://probpalata.gov.ru/files/ИП500100637400000.jpeg","Скачать индивидуальный QR-код магазина")</f>
        <v>Скачать индивидуальный QR-код магазина</v>
      </c>
    </row>
    <row r="6326" spans="1:7" x14ac:dyDescent="0.25">
      <c r="A6326" t="s">
        <v>18820</v>
      </c>
      <c r="B6326" t="s">
        <v>20273</v>
      </c>
      <c r="C6326" t="s">
        <v>20274</v>
      </c>
      <c r="D6326" t="s">
        <v>20275</v>
      </c>
      <c r="E6326" t="s">
        <v>20276</v>
      </c>
      <c r="F6326" t="s">
        <v>20277</v>
      </c>
      <c r="G6326" s="2" t="str">
        <f>HYPERLINK("https://probpalata.gov.ru/files/ИП500103289200000.jpeg","Скачать индивидуальный QR-код магазина")</f>
        <v>Скачать индивидуальный QR-код магазина</v>
      </c>
    </row>
    <row r="6327" spans="1:7" x14ac:dyDescent="0.25">
      <c r="A6327" t="s">
        <v>18820</v>
      </c>
      <c r="B6327" t="s">
        <v>20278</v>
      </c>
      <c r="C6327" t="s">
        <v>20279</v>
      </c>
      <c r="D6327" t="s">
        <v>20280</v>
      </c>
      <c r="E6327" t="s">
        <v>20281</v>
      </c>
      <c r="F6327" t="s">
        <v>20282</v>
      </c>
      <c r="G6327" s="2" t="str">
        <f>HYPERLINK("https://probpalata.gov.ru/files/ИП500100352900001.jpeg","Скачать индивидуальный QR-код магазина")</f>
        <v>Скачать индивидуальный QR-код магазина</v>
      </c>
    </row>
    <row r="6328" spans="1:7" x14ac:dyDescent="0.25">
      <c r="A6328" t="s">
        <v>18820</v>
      </c>
      <c r="B6328" t="s">
        <v>20283</v>
      </c>
      <c r="C6328" t="s">
        <v>20279</v>
      </c>
      <c r="D6328" t="s">
        <v>20280</v>
      </c>
      <c r="E6328" t="s">
        <v>20281</v>
      </c>
      <c r="F6328" t="s">
        <v>20284</v>
      </c>
      <c r="G6328" s="2" t="str">
        <f>HYPERLINK("https://probpalata.gov.ru/files/ИП500100352900002.jpeg","Скачать индивидуальный QR-код магазина")</f>
        <v>Скачать индивидуальный QR-код магазина</v>
      </c>
    </row>
    <row r="6329" spans="1:7" x14ac:dyDescent="0.25">
      <c r="A6329" t="s">
        <v>18820</v>
      </c>
      <c r="B6329" t="s">
        <v>20285</v>
      </c>
      <c r="C6329" t="s">
        <v>20286</v>
      </c>
      <c r="D6329" t="s">
        <v>20287</v>
      </c>
      <c r="E6329" t="s">
        <v>20288</v>
      </c>
      <c r="F6329" t="s">
        <v>20289</v>
      </c>
      <c r="G6329" s="2" t="str">
        <f>HYPERLINK("https://probpalata.gov.ru/files/ИП500100990200000.jpeg","Скачать индивидуальный QR-код магазина")</f>
        <v>Скачать индивидуальный QR-код магазина</v>
      </c>
    </row>
    <row r="6330" spans="1:7" x14ac:dyDescent="0.25">
      <c r="A6330" t="s">
        <v>18820</v>
      </c>
      <c r="B6330" t="s">
        <v>20290</v>
      </c>
      <c r="C6330" t="s">
        <v>20291</v>
      </c>
      <c r="D6330" t="s">
        <v>20292</v>
      </c>
      <c r="E6330" t="s">
        <v>20293</v>
      </c>
      <c r="F6330" t="s">
        <v>20294</v>
      </c>
      <c r="G6330" s="2" t="str">
        <f>HYPERLINK("https://probpalata.gov.ru/files/ИП770100228100000.jpeg","Скачать индивидуальный QR-код магазина")</f>
        <v>Скачать индивидуальный QR-код магазина</v>
      </c>
    </row>
    <row r="6331" spans="1:7" x14ac:dyDescent="0.25">
      <c r="A6331" t="s">
        <v>18820</v>
      </c>
      <c r="B6331" t="s">
        <v>20295</v>
      </c>
      <c r="C6331" t="s">
        <v>20296</v>
      </c>
      <c r="D6331" t="s">
        <v>20297</v>
      </c>
      <c r="E6331" t="s">
        <v>20298</v>
      </c>
      <c r="F6331" t="s">
        <v>20299</v>
      </c>
      <c r="G6331" s="2" t="str">
        <f>HYPERLINK("https://probpalata.gov.ru/files/ИП500100173100000.jpeg","Скачать индивидуальный QR-код магазина")</f>
        <v>Скачать индивидуальный QR-код магазина</v>
      </c>
    </row>
    <row r="6332" spans="1:7" x14ac:dyDescent="0.25">
      <c r="A6332" t="s">
        <v>18820</v>
      </c>
      <c r="B6332" t="s">
        <v>20300</v>
      </c>
      <c r="C6332" t="s">
        <v>20301</v>
      </c>
      <c r="D6332" t="s">
        <v>20302</v>
      </c>
      <c r="E6332" t="s">
        <v>20303</v>
      </c>
      <c r="F6332" t="s">
        <v>20304</v>
      </c>
      <c r="G6332" s="2" t="str">
        <f>HYPERLINK("https://probpalata.gov.ru/files/ЮЛ500103836500002.jpeg","Скачать индивидуальный QR-код магазина")</f>
        <v>Скачать индивидуальный QR-код магазина</v>
      </c>
    </row>
    <row r="6333" spans="1:7" x14ac:dyDescent="0.25">
      <c r="A6333" t="s">
        <v>18820</v>
      </c>
      <c r="B6333" t="s">
        <v>19025</v>
      </c>
      <c r="C6333" t="s">
        <v>20301</v>
      </c>
      <c r="D6333" t="s">
        <v>20302</v>
      </c>
      <c r="E6333" t="s">
        <v>20303</v>
      </c>
      <c r="F6333" t="s">
        <v>20305</v>
      </c>
      <c r="G6333" s="2" t="str">
        <f>HYPERLINK("https://probpalata.gov.ru/files/ЮЛ500103836500003.jpeg","Скачать индивидуальный QR-код магазина")</f>
        <v>Скачать индивидуальный QR-код магазина</v>
      </c>
    </row>
    <row r="6334" spans="1:7" x14ac:dyDescent="0.25">
      <c r="A6334" t="s">
        <v>18820</v>
      </c>
      <c r="B6334" t="s">
        <v>20306</v>
      </c>
      <c r="C6334" t="s">
        <v>20307</v>
      </c>
      <c r="D6334" t="s">
        <v>20308</v>
      </c>
      <c r="E6334" t="s">
        <v>20309</v>
      </c>
      <c r="F6334" t="s">
        <v>20310</v>
      </c>
      <c r="G6334" s="2" t="str">
        <f>HYPERLINK("https://probpalata.gov.ru/files/ИП770101144000000.jpeg","Скачать индивидуальный QR-код магазина")</f>
        <v>Скачать индивидуальный QR-код магазина</v>
      </c>
    </row>
    <row r="6335" spans="1:7" x14ac:dyDescent="0.25">
      <c r="A6335" t="s">
        <v>18820</v>
      </c>
      <c r="B6335" t="s">
        <v>20311</v>
      </c>
      <c r="C6335" t="s">
        <v>20312</v>
      </c>
      <c r="D6335" t="s">
        <v>20313</v>
      </c>
      <c r="E6335" t="s">
        <v>20314</v>
      </c>
      <c r="F6335" t="s">
        <v>20315</v>
      </c>
      <c r="G6335" s="2" t="str">
        <f>HYPERLINK("https://probpalata.gov.ru/files/ИП510303871700000.jpeg","Скачать индивидуальный QR-код магазина")</f>
        <v>Скачать индивидуальный QR-код магазина</v>
      </c>
    </row>
    <row r="6336" spans="1:7" x14ac:dyDescent="0.25">
      <c r="A6336" t="s">
        <v>18820</v>
      </c>
      <c r="B6336" t="s">
        <v>20316</v>
      </c>
      <c r="C6336" t="s">
        <v>20317</v>
      </c>
      <c r="D6336" t="s">
        <v>20318</v>
      </c>
      <c r="E6336" t="s">
        <v>20319</v>
      </c>
      <c r="F6336" t="s">
        <v>20320</v>
      </c>
      <c r="G6336" s="2" t="str">
        <f>HYPERLINK("https://probpalata.gov.ru/files/ЮЛ520603778100000.jpeg","Скачать индивидуальный QR-код магазина")</f>
        <v>Скачать индивидуальный QR-код магазина</v>
      </c>
    </row>
    <row r="6337" spans="1:7" x14ac:dyDescent="0.25">
      <c r="A6337" t="s">
        <v>18820</v>
      </c>
      <c r="B6337" t="s">
        <v>20321</v>
      </c>
      <c r="C6337" t="s">
        <v>20322</v>
      </c>
      <c r="D6337" t="s">
        <v>20323</v>
      </c>
      <c r="E6337" t="s">
        <v>20324</v>
      </c>
      <c r="F6337" t="s">
        <v>20325</v>
      </c>
      <c r="G6337" s="2" t="str">
        <f>HYPERLINK("https://probpalata.gov.ru/files/ЮЛ520604054400000.jpeg","Скачать индивидуальный QR-код магазина")</f>
        <v>Скачать индивидуальный QR-код магазина</v>
      </c>
    </row>
    <row r="6338" spans="1:7" x14ac:dyDescent="0.25">
      <c r="A6338" t="s">
        <v>18820</v>
      </c>
      <c r="B6338" t="s">
        <v>20326</v>
      </c>
      <c r="C6338" t="s">
        <v>20327</v>
      </c>
      <c r="D6338" t="s">
        <v>20328</v>
      </c>
      <c r="E6338" t="s">
        <v>20329</v>
      </c>
      <c r="F6338" t="s">
        <v>20330</v>
      </c>
      <c r="G6338" s="2" t="str">
        <f>HYPERLINK("https://probpalata.gov.ru/files/ИП520603775300000.jpeg","Скачать индивидуальный QR-код магазина")</f>
        <v>Скачать индивидуальный QR-код магазина</v>
      </c>
    </row>
    <row r="6339" spans="1:7" x14ac:dyDescent="0.25">
      <c r="A6339" t="s">
        <v>18820</v>
      </c>
      <c r="B6339" t="s">
        <v>20331</v>
      </c>
      <c r="C6339" t="s">
        <v>1735</v>
      </c>
      <c r="D6339" t="s">
        <v>1736</v>
      </c>
      <c r="E6339" t="s">
        <v>1737</v>
      </c>
      <c r="F6339" t="s">
        <v>20332</v>
      </c>
      <c r="G6339" s="2" t="str">
        <f>HYPERLINK("https://probpalata.gov.ru/files/ЮЛ520603376600090.jpeg","Скачать индивидуальный QR-код магазина")</f>
        <v>Скачать индивидуальный QR-код магазина</v>
      </c>
    </row>
    <row r="6340" spans="1:7" x14ac:dyDescent="0.25">
      <c r="A6340" t="s">
        <v>18820</v>
      </c>
      <c r="B6340" t="s">
        <v>20333</v>
      </c>
      <c r="C6340" t="s">
        <v>1735</v>
      </c>
      <c r="D6340" t="s">
        <v>1736</v>
      </c>
      <c r="E6340" t="s">
        <v>1737</v>
      </c>
      <c r="F6340" t="s">
        <v>20334</v>
      </c>
      <c r="G6340" s="2" t="str">
        <f>HYPERLINK("https://probpalata.gov.ru/files/ЮЛ520603376600101.jpeg","Скачать индивидуальный QR-код магазина")</f>
        <v>Скачать индивидуальный QR-код магазина</v>
      </c>
    </row>
    <row r="6341" spans="1:7" x14ac:dyDescent="0.25">
      <c r="A6341" t="s">
        <v>18820</v>
      </c>
      <c r="B6341" t="s">
        <v>20335</v>
      </c>
      <c r="C6341" t="s">
        <v>1735</v>
      </c>
      <c r="D6341" t="s">
        <v>1736</v>
      </c>
      <c r="E6341" t="s">
        <v>1737</v>
      </c>
      <c r="F6341" t="s">
        <v>20336</v>
      </c>
      <c r="G6341" s="2" t="str">
        <f>HYPERLINK("https://probpalata.gov.ru/files/ЮЛ520603376600109.jpeg","Скачать индивидуальный QR-код магазина")</f>
        <v>Скачать индивидуальный QR-код магазина</v>
      </c>
    </row>
    <row r="6342" spans="1:7" x14ac:dyDescent="0.25">
      <c r="A6342" t="s">
        <v>18820</v>
      </c>
      <c r="B6342" t="s">
        <v>20337</v>
      </c>
      <c r="C6342" t="s">
        <v>1735</v>
      </c>
      <c r="D6342" t="s">
        <v>1736</v>
      </c>
      <c r="E6342" t="s">
        <v>1737</v>
      </c>
      <c r="F6342" t="s">
        <v>20338</v>
      </c>
      <c r="G6342" s="2" t="str">
        <f>HYPERLINK("https://probpalata.gov.ru/files/ЮЛ520603376600120.jpeg","Скачать индивидуальный QR-код магазина")</f>
        <v>Скачать индивидуальный QR-код магазина</v>
      </c>
    </row>
    <row r="6343" spans="1:7" x14ac:dyDescent="0.25">
      <c r="A6343" t="s">
        <v>18820</v>
      </c>
      <c r="B6343" t="s">
        <v>20339</v>
      </c>
      <c r="C6343" t="s">
        <v>1735</v>
      </c>
      <c r="D6343" t="s">
        <v>1736</v>
      </c>
      <c r="E6343" t="s">
        <v>1737</v>
      </c>
      <c r="F6343" t="s">
        <v>20340</v>
      </c>
      <c r="G6343" s="2" t="str">
        <f>HYPERLINK("https://probpalata.gov.ru/files/ЮЛ520603376600133.jpeg","Скачать индивидуальный QR-код магазина")</f>
        <v>Скачать индивидуальный QR-код магазина</v>
      </c>
    </row>
    <row r="6344" spans="1:7" x14ac:dyDescent="0.25">
      <c r="A6344" t="s">
        <v>18820</v>
      </c>
      <c r="B6344" t="s">
        <v>20341</v>
      </c>
      <c r="C6344" t="s">
        <v>1735</v>
      </c>
      <c r="D6344" t="s">
        <v>1736</v>
      </c>
      <c r="E6344" t="s">
        <v>1737</v>
      </c>
      <c r="F6344" t="s">
        <v>20342</v>
      </c>
      <c r="G6344" s="2" t="str">
        <f>HYPERLINK("https://probpalata.gov.ru/files/ЮЛ520603376600141.jpeg","Скачать индивидуальный QR-код магазина")</f>
        <v>Скачать индивидуальный QR-код магазина</v>
      </c>
    </row>
    <row r="6345" spans="1:7" x14ac:dyDescent="0.25">
      <c r="A6345" t="s">
        <v>18820</v>
      </c>
      <c r="B6345" t="s">
        <v>20343</v>
      </c>
      <c r="C6345" t="s">
        <v>1735</v>
      </c>
      <c r="D6345" t="s">
        <v>1736</v>
      </c>
      <c r="E6345" t="s">
        <v>1737</v>
      </c>
      <c r="F6345" t="s">
        <v>20344</v>
      </c>
      <c r="G6345" s="2" t="str">
        <f>HYPERLINK("https://probpalata.gov.ru/files/ЮЛ520603376600146.jpeg","Скачать индивидуальный QR-код магазина")</f>
        <v>Скачать индивидуальный QR-код магазина</v>
      </c>
    </row>
    <row r="6346" spans="1:7" x14ac:dyDescent="0.25">
      <c r="A6346" t="s">
        <v>18820</v>
      </c>
      <c r="B6346" t="s">
        <v>20345</v>
      </c>
      <c r="C6346" t="s">
        <v>1735</v>
      </c>
      <c r="D6346" t="s">
        <v>1736</v>
      </c>
      <c r="E6346" t="s">
        <v>1737</v>
      </c>
      <c r="F6346" t="s">
        <v>20346</v>
      </c>
      <c r="G6346" s="2" t="str">
        <f>HYPERLINK("https://probpalata.gov.ru/files/ЮЛ520603376600162.jpeg","Скачать индивидуальный QR-код магазина")</f>
        <v>Скачать индивидуальный QR-код магазина</v>
      </c>
    </row>
    <row r="6347" spans="1:7" x14ac:dyDescent="0.25">
      <c r="A6347" t="s">
        <v>18820</v>
      </c>
      <c r="B6347" t="s">
        <v>20347</v>
      </c>
      <c r="C6347" t="s">
        <v>1735</v>
      </c>
      <c r="D6347" t="s">
        <v>1736</v>
      </c>
      <c r="E6347" t="s">
        <v>1737</v>
      </c>
      <c r="F6347" t="s">
        <v>20348</v>
      </c>
      <c r="G6347" s="2" t="str">
        <f>HYPERLINK("https://probpalata.gov.ru/files/ЮЛ520603376600165.jpeg","Скачать индивидуальный QR-код магазина")</f>
        <v>Скачать индивидуальный QR-код магазина</v>
      </c>
    </row>
    <row r="6348" spans="1:7" x14ac:dyDescent="0.25">
      <c r="A6348" t="s">
        <v>18820</v>
      </c>
      <c r="B6348" t="s">
        <v>20349</v>
      </c>
      <c r="C6348" t="s">
        <v>20350</v>
      </c>
      <c r="D6348" t="s">
        <v>20351</v>
      </c>
      <c r="E6348" t="s">
        <v>20352</v>
      </c>
      <c r="F6348" t="s">
        <v>20353</v>
      </c>
      <c r="G6348" s="2" t="str">
        <f>HYPERLINK("https://probpalata.gov.ru/files/ЮЛ520601352600017.jpeg","Скачать индивидуальный QR-код магазина")</f>
        <v>Скачать индивидуальный QR-код магазина</v>
      </c>
    </row>
    <row r="6349" spans="1:7" x14ac:dyDescent="0.25">
      <c r="A6349" t="s">
        <v>18820</v>
      </c>
      <c r="B6349" t="s">
        <v>20354</v>
      </c>
      <c r="C6349" t="s">
        <v>20350</v>
      </c>
      <c r="D6349" t="s">
        <v>20351</v>
      </c>
      <c r="E6349" t="s">
        <v>20352</v>
      </c>
      <c r="F6349" t="s">
        <v>20355</v>
      </c>
      <c r="G6349" s="2" t="str">
        <f>HYPERLINK("https://probpalata.gov.ru/files/ЮЛ520601352600030.jpeg","Скачать индивидуальный QR-код магазина")</f>
        <v>Скачать индивидуальный QR-код магазина</v>
      </c>
    </row>
    <row r="6350" spans="1:7" x14ac:dyDescent="0.25">
      <c r="A6350" t="s">
        <v>18820</v>
      </c>
      <c r="B6350" t="s">
        <v>20354</v>
      </c>
      <c r="C6350" t="s">
        <v>20350</v>
      </c>
      <c r="D6350" t="s">
        <v>20351</v>
      </c>
      <c r="E6350" t="s">
        <v>20352</v>
      </c>
      <c r="F6350" t="s">
        <v>20356</v>
      </c>
      <c r="G6350" s="2" t="str">
        <f>HYPERLINK("https://probpalata.gov.ru/files/ЮЛ520601352600032.jpeg","Скачать индивидуальный QR-код магазина")</f>
        <v>Скачать индивидуальный QR-код магазина</v>
      </c>
    </row>
    <row r="6351" spans="1:7" x14ac:dyDescent="0.25">
      <c r="A6351" t="s">
        <v>18820</v>
      </c>
      <c r="B6351" t="s">
        <v>20357</v>
      </c>
      <c r="C6351" t="s">
        <v>20350</v>
      </c>
      <c r="D6351" t="s">
        <v>20351</v>
      </c>
      <c r="E6351" t="s">
        <v>20352</v>
      </c>
      <c r="F6351" t="s">
        <v>20358</v>
      </c>
      <c r="G6351" s="2" t="str">
        <f>HYPERLINK("https://probpalata.gov.ru/files/ЮЛ520601352600034.jpeg","Скачать индивидуальный QR-код магазина")</f>
        <v>Скачать индивидуальный QR-код магазина</v>
      </c>
    </row>
    <row r="6352" spans="1:7" x14ac:dyDescent="0.25">
      <c r="A6352" t="s">
        <v>18820</v>
      </c>
      <c r="B6352" t="s">
        <v>20359</v>
      </c>
      <c r="C6352" t="s">
        <v>20360</v>
      </c>
      <c r="D6352" t="s">
        <v>20361</v>
      </c>
      <c r="E6352" t="s">
        <v>20362</v>
      </c>
      <c r="F6352" t="s">
        <v>20363</v>
      </c>
      <c r="G6352" s="2" t="str">
        <f>HYPERLINK("https://probpalata.gov.ru/files/ИП530300758000000.jpeg","Скачать индивидуальный QR-код магазина")</f>
        <v>Скачать индивидуальный QR-код магазина</v>
      </c>
    </row>
    <row r="6353" spans="1:7" x14ac:dyDescent="0.25">
      <c r="A6353" t="s">
        <v>18820</v>
      </c>
      <c r="B6353" t="s">
        <v>20364</v>
      </c>
      <c r="C6353" t="s">
        <v>20365</v>
      </c>
      <c r="D6353" t="s">
        <v>20366</v>
      </c>
      <c r="E6353" t="s">
        <v>20367</v>
      </c>
      <c r="F6353" t="s">
        <v>20368</v>
      </c>
      <c r="G6353" s="2" t="str">
        <f>HYPERLINK("https://probpalata.gov.ru/files/ИП770103145900000.jpeg","Скачать индивидуальный QR-код магазина")</f>
        <v>Скачать индивидуальный QR-код магазина</v>
      </c>
    </row>
    <row r="6354" spans="1:7" x14ac:dyDescent="0.25">
      <c r="A6354" t="s">
        <v>18820</v>
      </c>
      <c r="B6354" t="s">
        <v>20369</v>
      </c>
      <c r="C6354" t="s">
        <v>20370</v>
      </c>
      <c r="D6354" t="s">
        <v>20371</v>
      </c>
      <c r="E6354" t="s">
        <v>20372</v>
      </c>
      <c r="F6354" t="s">
        <v>20373</v>
      </c>
      <c r="G6354" s="2" t="str">
        <f>HYPERLINK("https://probpalata.gov.ru/files/ИП770103743000000.jpeg","Скачать индивидуальный QR-код магазина")</f>
        <v>Скачать индивидуальный QR-код магазина</v>
      </c>
    </row>
    <row r="6355" spans="1:7" x14ac:dyDescent="0.25">
      <c r="A6355" t="s">
        <v>18820</v>
      </c>
      <c r="B6355" t="s">
        <v>20374</v>
      </c>
      <c r="C6355" t="s">
        <v>20375</v>
      </c>
      <c r="D6355" t="s">
        <v>20376</v>
      </c>
      <c r="E6355" t="s">
        <v>20377</v>
      </c>
      <c r="F6355" t="s">
        <v>20378</v>
      </c>
      <c r="G6355" s="2" t="str">
        <f>HYPERLINK("https://probpalata.gov.ru/files/ИП770103887200000.jpeg","Скачать индивидуальный QR-код магазина")</f>
        <v>Скачать индивидуальный QR-код магазина</v>
      </c>
    </row>
    <row r="6356" spans="1:7" x14ac:dyDescent="0.25">
      <c r="A6356" t="s">
        <v>18820</v>
      </c>
      <c r="B6356" t="s">
        <v>20379</v>
      </c>
      <c r="C6356" t="s">
        <v>20380</v>
      </c>
      <c r="D6356" t="s">
        <v>20381</v>
      </c>
      <c r="E6356" t="s">
        <v>20382</v>
      </c>
      <c r="F6356" t="s">
        <v>20383</v>
      </c>
      <c r="G6356" s="2" t="str">
        <f>HYPERLINK("https://probpalata.gov.ru/files/ИП770103426100000.jpeg","Скачать индивидуальный QR-код магазина")</f>
        <v>Скачать индивидуальный QR-код магазина</v>
      </c>
    </row>
    <row r="6357" spans="1:7" x14ac:dyDescent="0.25">
      <c r="A6357" t="s">
        <v>18820</v>
      </c>
      <c r="B6357" t="s">
        <v>20384</v>
      </c>
      <c r="C6357" t="s">
        <v>20385</v>
      </c>
      <c r="D6357" t="s">
        <v>20386</v>
      </c>
      <c r="E6357" t="s">
        <v>20387</v>
      </c>
      <c r="F6357" t="s">
        <v>20388</v>
      </c>
      <c r="G6357" s="2" t="str">
        <f>HYPERLINK("https://probpalata.gov.ru/files/ЮЛ540800121900001.jpeg","Скачать индивидуальный QR-код магазина")</f>
        <v>Скачать индивидуальный QR-код магазина</v>
      </c>
    </row>
    <row r="6358" spans="1:7" x14ac:dyDescent="0.25">
      <c r="A6358" t="s">
        <v>18820</v>
      </c>
      <c r="B6358" t="s">
        <v>20389</v>
      </c>
      <c r="C6358" t="s">
        <v>20390</v>
      </c>
      <c r="D6358" t="s">
        <v>20391</v>
      </c>
      <c r="E6358" t="s">
        <v>20392</v>
      </c>
      <c r="F6358" t="s">
        <v>20393</v>
      </c>
      <c r="G6358" s="2" t="str">
        <f>HYPERLINK("https://probpalata.gov.ru/files/ИП470301213500000.jpeg","Скачать индивидуальный QR-код магазина")</f>
        <v>Скачать индивидуальный QR-код магазина</v>
      </c>
    </row>
    <row r="6359" spans="1:7" x14ac:dyDescent="0.25">
      <c r="A6359" t="s">
        <v>18820</v>
      </c>
      <c r="B6359" t="s">
        <v>20394</v>
      </c>
      <c r="C6359" t="s">
        <v>20395</v>
      </c>
      <c r="D6359" t="s">
        <v>20396</v>
      </c>
      <c r="E6359" t="s">
        <v>20397</v>
      </c>
      <c r="F6359" t="s">
        <v>20398</v>
      </c>
      <c r="G6359" s="2" t="str">
        <f>HYPERLINK("https://probpalata.gov.ru/files/ИП500101562100000.jpeg","Скачать индивидуальный QR-код магазина")</f>
        <v>Скачать индивидуальный QR-код магазина</v>
      </c>
    </row>
    <row r="6360" spans="1:7" x14ac:dyDescent="0.25">
      <c r="A6360" t="s">
        <v>18820</v>
      </c>
      <c r="B6360" t="s">
        <v>20399</v>
      </c>
      <c r="C6360" t="s">
        <v>20400</v>
      </c>
      <c r="D6360" t="s">
        <v>20401</v>
      </c>
      <c r="E6360" t="s">
        <v>20402</v>
      </c>
      <c r="F6360" t="s">
        <v>20403</v>
      </c>
      <c r="G6360" s="2" t="str">
        <f>HYPERLINK("https://probpalata.gov.ru/files/ИП540803783200000.jpeg","Скачать индивидуальный QR-код магазина")</f>
        <v>Скачать индивидуальный QR-код магазина</v>
      </c>
    </row>
    <row r="6361" spans="1:7" x14ac:dyDescent="0.25">
      <c r="A6361" t="s">
        <v>18820</v>
      </c>
      <c r="B6361" t="s">
        <v>20404</v>
      </c>
      <c r="C6361" t="s">
        <v>20405</v>
      </c>
      <c r="D6361" t="s">
        <v>20406</v>
      </c>
      <c r="E6361" t="s">
        <v>20407</v>
      </c>
      <c r="F6361" t="s">
        <v>20408</v>
      </c>
      <c r="G6361" s="2" t="str">
        <f>HYPERLINK("https://probpalata.gov.ru/files/ИП550801380900000.jpeg","Скачать индивидуальный QR-код магазина")</f>
        <v>Скачать индивидуальный QR-код магазина</v>
      </c>
    </row>
    <row r="6362" spans="1:7" x14ac:dyDescent="0.25">
      <c r="A6362" t="s">
        <v>18820</v>
      </c>
      <c r="B6362" t="s">
        <v>20409</v>
      </c>
      <c r="C6362" t="s">
        <v>20410</v>
      </c>
      <c r="D6362" t="s">
        <v>20411</v>
      </c>
      <c r="E6362" t="s">
        <v>20412</v>
      </c>
      <c r="F6362" t="s">
        <v>20413</v>
      </c>
      <c r="G6362" s="2" t="str">
        <f>HYPERLINK("https://probpalata.gov.ru/files/ИП760201352800000.jpeg","Скачать индивидуальный QR-код магазина")</f>
        <v>Скачать индивидуальный QR-код магазина</v>
      </c>
    </row>
    <row r="6363" spans="1:7" x14ac:dyDescent="0.25">
      <c r="A6363" t="s">
        <v>18820</v>
      </c>
      <c r="B6363" t="s">
        <v>20414</v>
      </c>
      <c r="C6363" t="s">
        <v>20410</v>
      </c>
      <c r="D6363" t="s">
        <v>20411</v>
      </c>
      <c r="E6363" t="s">
        <v>20412</v>
      </c>
      <c r="F6363" t="s">
        <v>20415</v>
      </c>
      <c r="G6363" s="2" t="str">
        <f>HYPERLINK("https://probpalata.gov.ru/files/ИП760201352800001.jpeg","Скачать индивидуальный QR-код магазина")</f>
        <v>Скачать индивидуальный QR-код магазина</v>
      </c>
    </row>
    <row r="6364" spans="1:7" x14ac:dyDescent="0.25">
      <c r="A6364" t="s">
        <v>18820</v>
      </c>
      <c r="B6364" t="s">
        <v>20416</v>
      </c>
      <c r="C6364" t="s">
        <v>20417</v>
      </c>
      <c r="D6364" t="s">
        <v>20418</v>
      </c>
      <c r="E6364" t="s">
        <v>20419</v>
      </c>
      <c r="F6364" t="s">
        <v>20420</v>
      </c>
      <c r="G6364" s="2" t="str">
        <f>HYPERLINK("https://probpalata.gov.ru/files/ИП770101553600000.jpeg","Скачать индивидуальный QR-код магазина")</f>
        <v>Скачать индивидуальный QR-код магазина</v>
      </c>
    </row>
    <row r="6365" spans="1:7" x14ac:dyDescent="0.25">
      <c r="A6365" t="s">
        <v>18820</v>
      </c>
      <c r="B6365" t="s">
        <v>20421</v>
      </c>
      <c r="C6365" t="s">
        <v>20422</v>
      </c>
      <c r="D6365" t="s">
        <v>20423</v>
      </c>
      <c r="E6365" t="s">
        <v>20424</v>
      </c>
      <c r="F6365" t="s">
        <v>20425</v>
      </c>
      <c r="G6365" s="2" t="str">
        <f>HYPERLINK("https://probpalata.gov.ru/files/ИП770103412800000.jpeg","Скачать индивидуальный QR-код магазина")</f>
        <v>Скачать индивидуальный QR-код магазина</v>
      </c>
    </row>
    <row r="6366" spans="1:7" x14ac:dyDescent="0.25">
      <c r="A6366" t="s">
        <v>18820</v>
      </c>
      <c r="B6366" t="s">
        <v>20426</v>
      </c>
      <c r="C6366" t="s">
        <v>20427</v>
      </c>
      <c r="D6366" t="s">
        <v>20428</v>
      </c>
      <c r="E6366" t="s">
        <v>20429</v>
      </c>
      <c r="F6366" t="s">
        <v>20430</v>
      </c>
      <c r="G6366" s="2" t="str">
        <f>HYPERLINK("https://probpalata.gov.ru/files/ИП780301608400000.jpeg","Скачать индивидуальный QR-код магазина")</f>
        <v>Скачать индивидуальный QR-код магазина</v>
      </c>
    </row>
    <row r="6367" spans="1:7" x14ac:dyDescent="0.25">
      <c r="A6367" t="s">
        <v>18820</v>
      </c>
      <c r="B6367" t="s">
        <v>20431</v>
      </c>
      <c r="C6367" t="s">
        <v>20432</v>
      </c>
      <c r="D6367" t="s">
        <v>20433</v>
      </c>
      <c r="E6367" t="s">
        <v>20434</v>
      </c>
      <c r="F6367" t="s">
        <v>20435</v>
      </c>
      <c r="G6367" s="2" t="str">
        <f>HYPERLINK("https://probpalata.gov.ru/files/ИП770100604800000.jpeg","Скачать индивидуальный QR-код магазина")</f>
        <v>Скачать индивидуальный QR-код магазина</v>
      </c>
    </row>
    <row r="6368" spans="1:7" x14ac:dyDescent="0.25">
      <c r="A6368" t="s">
        <v>18820</v>
      </c>
      <c r="B6368" t="s">
        <v>20436</v>
      </c>
      <c r="C6368" t="s">
        <v>20437</v>
      </c>
      <c r="D6368" t="s">
        <v>20438</v>
      </c>
      <c r="E6368" t="s">
        <v>20439</v>
      </c>
      <c r="F6368" t="s">
        <v>20440</v>
      </c>
      <c r="G6368" s="2" t="str">
        <f>HYPERLINK("https://probpalata.gov.ru/files/ИП770103107300001.jpeg","Скачать индивидуальный QR-код магазина")</f>
        <v>Скачать индивидуальный QR-код магазина</v>
      </c>
    </row>
    <row r="6369" spans="1:7" x14ac:dyDescent="0.25">
      <c r="A6369" t="s">
        <v>18820</v>
      </c>
      <c r="B6369" t="s">
        <v>20441</v>
      </c>
      <c r="C6369" t="s">
        <v>20437</v>
      </c>
      <c r="D6369" t="s">
        <v>20438</v>
      </c>
      <c r="E6369" t="s">
        <v>20439</v>
      </c>
      <c r="F6369" t="s">
        <v>20442</v>
      </c>
      <c r="G6369" s="2" t="str">
        <f>HYPERLINK("https://probpalata.gov.ru/files/ИП770103107300002.jpeg","Скачать индивидуальный QR-код магазина")</f>
        <v>Скачать индивидуальный QR-код магазина</v>
      </c>
    </row>
    <row r="6370" spans="1:7" x14ac:dyDescent="0.25">
      <c r="A6370" t="s">
        <v>18820</v>
      </c>
      <c r="B6370" t="s">
        <v>20443</v>
      </c>
      <c r="C6370" t="s">
        <v>20437</v>
      </c>
      <c r="D6370" t="s">
        <v>20438</v>
      </c>
      <c r="E6370" t="s">
        <v>20439</v>
      </c>
      <c r="F6370" t="s">
        <v>20444</v>
      </c>
      <c r="G6370" s="2" t="str">
        <f>HYPERLINK("https://probpalata.gov.ru/files/ИП770103107300003.jpeg","Скачать индивидуальный QR-код магазина")</f>
        <v>Скачать индивидуальный QR-код магазина</v>
      </c>
    </row>
    <row r="6371" spans="1:7" x14ac:dyDescent="0.25">
      <c r="A6371" t="s">
        <v>18820</v>
      </c>
      <c r="B6371" t="s">
        <v>20445</v>
      </c>
      <c r="C6371" t="s">
        <v>20437</v>
      </c>
      <c r="D6371" t="s">
        <v>20438</v>
      </c>
      <c r="E6371" t="s">
        <v>20439</v>
      </c>
      <c r="F6371" t="s">
        <v>20446</v>
      </c>
      <c r="G6371" s="2" t="str">
        <f>HYPERLINK("https://probpalata.gov.ru/files/ИП770103107300006.jpeg","Скачать индивидуальный QR-код магазина")</f>
        <v>Скачать индивидуальный QR-код магазина</v>
      </c>
    </row>
    <row r="6372" spans="1:7" x14ac:dyDescent="0.25">
      <c r="A6372" t="s">
        <v>18820</v>
      </c>
      <c r="B6372" t="s">
        <v>20447</v>
      </c>
      <c r="C6372" t="s">
        <v>20437</v>
      </c>
      <c r="D6372" t="s">
        <v>20438</v>
      </c>
      <c r="E6372" t="s">
        <v>20439</v>
      </c>
      <c r="F6372" t="s">
        <v>20448</v>
      </c>
      <c r="G6372" s="2" t="str">
        <f>HYPERLINK("https://probpalata.gov.ru/files/ИП770103107300007.jpeg","Скачать индивидуальный QR-код магазина")</f>
        <v>Скачать индивидуальный QR-код магазина</v>
      </c>
    </row>
    <row r="6373" spans="1:7" x14ac:dyDescent="0.25">
      <c r="A6373" t="s">
        <v>18820</v>
      </c>
      <c r="B6373" t="s">
        <v>20449</v>
      </c>
      <c r="C6373" t="s">
        <v>20437</v>
      </c>
      <c r="D6373" t="s">
        <v>20438</v>
      </c>
      <c r="E6373" t="s">
        <v>20439</v>
      </c>
      <c r="F6373" t="s">
        <v>20450</v>
      </c>
      <c r="G6373" s="2" t="str">
        <f>HYPERLINK("https://probpalata.gov.ru/files/ИП770103107300008.jpeg","Скачать индивидуальный QR-код магазина")</f>
        <v>Скачать индивидуальный QR-код магазина</v>
      </c>
    </row>
    <row r="6374" spans="1:7" x14ac:dyDescent="0.25">
      <c r="A6374" t="s">
        <v>18820</v>
      </c>
      <c r="B6374" t="s">
        <v>20451</v>
      </c>
      <c r="C6374" t="s">
        <v>20437</v>
      </c>
      <c r="D6374" t="s">
        <v>20438</v>
      </c>
      <c r="E6374" t="s">
        <v>20439</v>
      </c>
      <c r="F6374" t="s">
        <v>20452</v>
      </c>
      <c r="G6374" s="2" t="str">
        <f>HYPERLINK("https://probpalata.gov.ru/files/ИП770103107300009.jpeg","Скачать индивидуальный QR-код магазина")</f>
        <v>Скачать индивидуальный QR-код магазина</v>
      </c>
    </row>
    <row r="6375" spans="1:7" x14ac:dyDescent="0.25">
      <c r="A6375" t="s">
        <v>18820</v>
      </c>
      <c r="B6375" t="s">
        <v>20453</v>
      </c>
      <c r="C6375" t="s">
        <v>20437</v>
      </c>
      <c r="D6375" t="s">
        <v>20438</v>
      </c>
      <c r="E6375" t="s">
        <v>20439</v>
      </c>
      <c r="F6375" t="s">
        <v>20454</v>
      </c>
      <c r="G6375" s="2" t="str">
        <f>HYPERLINK("https://probpalata.gov.ru/files/ИП770103107300010.jpeg","Скачать индивидуальный QR-код магазина")</f>
        <v>Скачать индивидуальный QR-код магазина</v>
      </c>
    </row>
    <row r="6376" spans="1:7" x14ac:dyDescent="0.25">
      <c r="A6376" t="s">
        <v>18820</v>
      </c>
      <c r="B6376" t="s">
        <v>20455</v>
      </c>
      <c r="C6376" t="s">
        <v>20437</v>
      </c>
      <c r="D6376" t="s">
        <v>20438</v>
      </c>
      <c r="E6376" t="s">
        <v>20439</v>
      </c>
      <c r="F6376" t="s">
        <v>20456</v>
      </c>
      <c r="G6376" s="2" t="str">
        <f>HYPERLINK("https://probpalata.gov.ru/files/ИП770103107300011.jpeg","Скачать индивидуальный QR-код магазина")</f>
        <v>Скачать индивидуальный QR-код магазина</v>
      </c>
    </row>
    <row r="6377" spans="1:7" x14ac:dyDescent="0.25">
      <c r="A6377" t="s">
        <v>18820</v>
      </c>
      <c r="B6377" t="s">
        <v>20457</v>
      </c>
      <c r="C6377" t="s">
        <v>20437</v>
      </c>
      <c r="D6377" t="s">
        <v>20438</v>
      </c>
      <c r="E6377" t="s">
        <v>20439</v>
      </c>
      <c r="F6377" t="s">
        <v>20458</v>
      </c>
      <c r="G6377" s="2" t="str">
        <f>HYPERLINK("https://probpalata.gov.ru/files/ИП770103107300013.jpeg","Скачать индивидуальный QR-код магазина")</f>
        <v>Скачать индивидуальный QR-код магазина</v>
      </c>
    </row>
    <row r="6378" spans="1:7" x14ac:dyDescent="0.25">
      <c r="A6378" t="s">
        <v>18820</v>
      </c>
      <c r="B6378" t="s">
        <v>20459</v>
      </c>
      <c r="C6378" t="s">
        <v>20460</v>
      </c>
      <c r="D6378" t="s">
        <v>20461</v>
      </c>
      <c r="E6378" t="s">
        <v>20462</v>
      </c>
      <c r="F6378" t="s">
        <v>20463</v>
      </c>
      <c r="G6378" s="2" t="str">
        <f>HYPERLINK("https://probpalata.gov.ru/files/ИП580604115900000.jpeg","Скачать индивидуальный QR-код магазина")</f>
        <v>Скачать индивидуальный QR-код магазина</v>
      </c>
    </row>
    <row r="6379" spans="1:7" x14ac:dyDescent="0.25">
      <c r="A6379" t="s">
        <v>18820</v>
      </c>
      <c r="B6379" t="s">
        <v>20464</v>
      </c>
      <c r="C6379" t="s">
        <v>20465</v>
      </c>
      <c r="D6379" t="s">
        <v>20466</v>
      </c>
      <c r="E6379" t="s">
        <v>20467</v>
      </c>
      <c r="F6379" t="s">
        <v>20468</v>
      </c>
      <c r="G6379" s="2" t="str">
        <f>HYPERLINK("https://probpalata.gov.ru/files/ИП500101125700000.jpeg","Скачать индивидуальный QR-код магазина")</f>
        <v>Скачать индивидуальный QR-код магазина</v>
      </c>
    </row>
    <row r="6380" spans="1:7" x14ac:dyDescent="0.25">
      <c r="A6380" t="s">
        <v>18820</v>
      </c>
      <c r="B6380" t="s">
        <v>20469</v>
      </c>
      <c r="C6380" t="s">
        <v>20470</v>
      </c>
      <c r="D6380" t="s">
        <v>20471</v>
      </c>
      <c r="E6380" t="s">
        <v>20472</v>
      </c>
      <c r="F6380" t="s">
        <v>20473</v>
      </c>
      <c r="G6380" s="2" t="str">
        <f>HYPERLINK("https://probpalata.gov.ru/files/ИП500100809300001.jpeg","Скачать индивидуальный QR-код магазина")</f>
        <v>Скачать индивидуальный QR-код магазина</v>
      </c>
    </row>
    <row r="6381" spans="1:7" x14ac:dyDescent="0.25">
      <c r="A6381" t="s">
        <v>18820</v>
      </c>
      <c r="B6381" t="s">
        <v>20474</v>
      </c>
      <c r="C6381" t="s">
        <v>20475</v>
      </c>
      <c r="D6381" t="s">
        <v>20476</v>
      </c>
      <c r="E6381" t="s">
        <v>20477</v>
      </c>
      <c r="F6381" t="s">
        <v>20478</v>
      </c>
      <c r="G6381" s="2" t="str">
        <f>HYPERLINK("https://probpalata.gov.ru/files/ИП590600044200004.jpeg","Скачать индивидуальный QR-код магазина")</f>
        <v>Скачать индивидуальный QR-код магазина</v>
      </c>
    </row>
    <row r="6382" spans="1:7" x14ac:dyDescent="0.25">
      <c r="A6382" t="s">
        <v>18820</v>
      </c>
      <c r="B6382" t="s">
        <v>20479</v>
      </c>
      <c r="C6382" t="s">
        <v>20480</v>
      </c>
      <c r="D6382" t="s">
        <v>20481</v>
      </c>
      <c r="E6382" t="s">
        <v>20482</v>
      </c>
      <c r="F6382" t="s">
        <v>20483</v>
      </c>
      <c r="G6382" s="2" t="str">
        <f>HYPERLINK("https://probpalata.gov.ru/files/ИП590600196200000.jpeg","Скачать индивидуальный QR-код магазина")</f>
        <v>Скачать индивидуальный QR-код магазина</v>
      </c>
    </row>
    <row r="6383" spans="1:7" x14ac:dyDescent="0.25">
      <c r="A6383" t="s">
        <v>18820</v>
      </c>
      <c r="B6383" t="s">
        <v>20484</v>
      </c>
      <c r="C6383" t="s">
        <v>703</v>
      </c>
      <c r="D6383" t="s">
        <v>704</v>
      </c>
      <c r="E6383" t="s">
        <v>705</v>
      </c>
      <c r="F6383" t="s">
        <v>20485</v>
      </c>
      <c r="G6383" s="2" t="str">
        <f>HYPERLINK("https://probpalata.gov.ru/files/ИП610400426600029.jpeg","Скачать индивидуальный QR-код магазина")</f>
        <v>Скачать индивидуальный QR-код магазина</v>
      </c>
    </row>
    <row r="6384" spans="1:7" x14ac:dyDescent="0.25">
      <c r="A6384" t="s">
        <v>18820</v>
      </c>
      <c r="B6384" t="s">
        <v>20486</v>
      </c>
      <c r="C6384" t="s">
        <v>703</v>
      </c>
      <c r="D6384" t="s">
        <v>704</v>
      </c>
      <c r="E6384" t="s">
        <v>705</v>
      </c>
      <c r="F6384" t="s">
        <v>20487</v>
      </c>
      <c r="G6384" s="2" t="str">
        <f>HYPERLINK("https://probpalata.gov.ru/files/ИП610400426600032.jpeg","Скачать индивидуальный QR-код магазина")</f>
        <v>Скачать индивидуальный QR-код магазина</v>
      </c>
    </row>
    <row r="6385" spans="1:7" x14ac:dyDescent="0.25">
      <c r="A6385" t="s">
        <v>18820</v>
      </c>
      <c r="B6385" t="s">
        <v>19122</v>
      </c>
      <c r="C6385" t="s">
        <v>20488</v>
      </c>
      <c r="D6385" t="s">
        <v>20489</v>
      </c>
      <c r="E6385" t="s">
        <v>20490</v>
      </c>
      <c r="F6385" t="s">
        <v>20491</v>
      </c>
      <c r="G6385" s="2" t="str">
        <f>HYPERLINK("https://probpalata.gov.ru/files/ИП610403806600000.jpeg","Скачать индивидуальный QR-код магазина")</f>
        <v>Скачать индивидуальный QR-код магазина</v>
      </c>
    </row>
    <row r="6386" spans="1:7" x14ac:dyDescent="0.25">
      <c r="A6386" t="s">
        <v>18820</v>
      </c>
      <c r="B6386" t="s">
        <v>20492</v>
      </c>
      <c r="C6386" t="s">
        <v>20493</v>
      </c>
      <c r="D6386" t="s">
        <v>20494</v>
      </c>
      <c r="E6386" t="s">
        <v>20495</v>
      </c>
      <c r="F6386" t="s">
        <v>20496</v>
      </c>
      <c r="G6386" s="2" t="str">
        <f>HYPERLINK("https://probpalata.gov.ru/files/ИП610400156000000.jpeg","Скачать индивидуальный QR-код магазина")</f>
        <v>Скачать индивидуальный QR-код магазина</v>
      </c>
    </row>
    <row r="6387" spans="1:7" x14ac:dyDescent="0.25">
      <c r="A6387" t="s">
        <v>18820</v>
      </c>
      <c r="B6387" t="s">
        <v>20497</v>
      </c>
      <c r="C6387" t="s">
        <v>20498</v>
      </c>
      <c r="D6387" t="s">
        <v>20499</v>
      </c>
      <c r="E6387" t="s">
        <v>20500</v>
      </c>
      <c r="F6387" t="s">
        <v>20501</v>
      </c>
      <c r="G6387" s="2" t="str">
        <f>HYPERLINK("https://probpalata.gov.ru/files/ИП610400976300000.jpeg","Скачать индивидуальный QR-код магазина")</f>
        <v>Скачать индивидуальный QR-код магазина</v>
      </c>
    </row>
    <row r="6388" spans="1:7" x14ac:dyDescent="0.25">
      <c r="A6388" t="s">
        <v>18820</v>
      </c>
      <c r="B6388" t="s">
        <v>20502</v>
      </c>
      <c r="C6388" t="s">
        <v>20503</v>
      </c>
      <c r="D6388" t="s">
        <v>20504</v>
      </c>
      <c r="E6388" t="s">
        <v>20505</v>
      </c>
      <c r="F6388" t="s">
        <v>20506</v>
      </c>
      <c r="G6388" s="2" t="str">
        <f>HYPERLINK("https://probpalata.gov.ru/files/ИП610400070400005.jpeg","Скачать индивидуальный QR-код магазина")</f>
        <v>Скачать индивидуальный QR-код магазина</v>
      </c>
    </row>
    <row r="6389" spans="1:7" x14ac:dyDescent="0.25">
      <c r="A6389" t="s">
        <v>18820</v>
      </c>
      <c r="B6389" t="s">
        <v>20507</v>
      </c>
      <c r="C6389" t="s">
        <v>20508</v>
      </c>
      <c r="D6389" t="s">
        <v>20509</v>
      </c>
      <c r="E6389" t="s">
        <v>20510</v>
      </c>
      <c r="F6389" t="s">
        <v>20511</v>
      </c>
      <c r="G6389" s="2" t="str">
        <f>HYPERLINK("https://probpalata.gov.ru/files/ИП770101730500000.jpeg","Скачать индивидуальный QR-код магазина")</f>
        <v>Скачать индивидуальный QR-код магазина</v>
      </c>
    </row>
    <row r="6390" spans="1:7" x14ac:dyDescent="0.25">
      <c r="A6390" t="s">
        <v>18820</v>
      </c>
      <c r="B6390" t="s">
        <v>20512</v>
      </c>
      <c r="C6390" t="s">
        <v>20508</v>
      </c>
      <c r="D6390" t="s">
        <v>20509</v>
      </c>
      <c r="E6390" t="s">
        <v>20510</v>
      </c>
      <c r="F6390" t="s">
        <v>20513</v>
      </c>
      <c r="G6390" s="2" t="str">
        <f>HYPERLINK("https://probpalata.gov.ru/files/ИП770101730500003.jpeg","Скачать индивидуальный QR-код магазина")</f>
        <v>Скачать индивидуальный QR-код магазина</v>
      </c>
    </row>
    <row r="6391" spans="1:7" x14ac:dyDescent="0.25">
      <c r="A6391" t="s">
        <v>18820</v>
      </c>
      <c r="B6391" t="s">
        <v>20514</v>
      </c>
      <c r="C6391" t="s">
        <v>20515</v>
      </c>
      <c r="D6391" t="s">
        <v>20516</v>
      </c>
      <c r="E6391" t="s">
        <v>20517</v>
      </c>
      <c r="F6391" t="s">
        <v>20518</v>
      </c>
      <c r="G6391" s="2" t="str">
        <f>HYPERLINK("https://probpalata.gov.ru/files/ИП610400043700005.jpeg","Скачать индивидуальный QR-код магазина")</f>
        <v>Скачать индивидуальный QR-код магазина</v>
      </c>
    </row>
    <row r="6392" spans="1:7" x14ac:dyDescent="0.25">
      <c r="A6392" t="s">
        <v>18820</v>
      </c>
      <c r="B6392" t="s">
        <v>20519</v>
      </c>
      <c r="C6392" t="s">
        <v>20515</v>
      </c>
      <c r="D6392" t="s">
        <v>20516</v>
      </c>
      <c r="E6392" t="s">
        <v>20517</v>
      </c>
      <c r="F6392" t="s">
        <v>20520</v>
      </c>
      <c r="G6392" s="2" t="str">
        <f>HYPERLINK("https://probpalata.gov.ru/files/ИП610400043700006.jpeg","Скачать индивидуальный QR-код магазина")</f>
        <v>Скачать индивидуальный QR-код магазина</v>
      </c>
    </row>
    <row r="6393" spans="1:7" x14ac:dyDescent="0.25">
      <c r="A6393" t="s">
        <v>18820</v>
      </c>
      <c r="B6393" t="s">
        <v>20521</v>
      </c>
      <c r="C6393" t="s">
        <v>20515</v>
      </c>
      <c r="D6393" t="s">
        <v>20516</v>
      </c>
      <c r="E6393" t="s">
        <v>20517</v>
      </c>
      <c r="F6393" t="s">
        <v>20522</v>
      </c>
      <c r="G6393" s="2" t="str">
        <f>HYPERLINK("https://probpalata.gov.ru/files/ИП610400043700007.jpeg","Скачать индивидуальный QR-код магазина")</f>
        <v>Скачать индивидуальный QR-код магазина</v>
      </c>
    </row>
    <row r="6394" spans="1:7" x14ac:dyDescent="0.25">
      <c r="A6394" t="s">
        <v>18820</v>
      </c>
      <c r="B6394" t="s">
        <v>20523</v>
      </c>
      <c r="C6394" t="s">
        <v>20524</v>
      </c>
      <c r="D6394" t="s">
        <v>20525</v>
      </c>
      <c r="E6394" t="s">
        <v>20526</v>
      </c>
      <c r="F6394" t="s">
        <v>20527</v>
      </c>
      <c r="G6394" s="2" t="str">
        <f>HYPERLINK("https://probpalata.gov.ru/files/ИП610403475200000.jpeg","Скачать индивидуальный QR-код магазина")</f>
        <v>Скачать индивидуальный QR-код магазина</v>
      </c>
    </row>
    <row r="6395" spans="1:7" x14ac:dyDescent="0.25">
      <c r="A6395" t="s">
        <v>18820</v>
      </c>
      <c r="B6395" t="s">
        <v>20528</v>
      </c>
      <c r="C6395" t="s">
        <v>20529</v>
      </c>
      <c r="D6395" t="s">
        <v>20530</v>
      </c>
      <c r="E6395" t="s">
        <v>20531</v>
      </c>
      <c r="F6395" t="s">
        <v>20532</v>
      </c>
      <c r="G6395" s="2" t="str">
        <f>HYPERLINK("https://probpalata.gov.ru/files/ИП770103927900000.jpeg","Скачать индивидуальный QR-код магазина")</f>
        <v>Скачать индивидуальный QR-код магазина</v>
      </c>
    </row>
    <row r="6396" spans="1:7" x14ac:dyDescent="0.25">
      <c r="A6396" t="s">
        <v>18820</v>
      </c>
      <c r="B6396" t="s">
        <v>20533</v>
      </c>
      <c r="C6396" t="s">
        <v>20534</v>
      </c>
      <c r="D6396" t="s">
        <v>20535</v>
      </c>
      <c r="E6396" t="s">
        <v>20536</v>
      </c>
      <c r="F6396" t="s">
        <v>20537</v>
      </c>
      <c r="G6396" s="2" t="str">
        <f>HYPERLINK("https://probpalata.gov.ru/files/ИП770103808400000.jpeg","Скачать индивидуальный QR-код магазина")</f>
        <v>Скачать индивидуальный QR-код магазина</v>
      </c>
    </row>
    <row r="6397" spans="1:7" x14ac:dyDescent="0.25">
      <c r="A6397" t="s">
        <v>18820</v>
      </c>
      <c r="B6397" t="s">
        <v>20538</v>
      </c>
      <c r="C6397" t="s">
        <v>20539</v>
      </c>
      <c r="D6397" t="s">
        <v>20540</v>
      </c>
      <c r="E6397" t="s">
        <v>20541</v>
      </c>
      <c r="F6397" t="s">
        <v>20542</v>
      </c>
      <c r="G6397" s="2" t="str">
        <f>HYPERLINK("https://probpalata.gov.ru/files/ИП500101113700000.jpeg","Скачать индивидуальный QR-код магазина")</f>
        <v>Скачать индивидуальный QR-код магазина</v>
      </c>
    </row>
    <row r="6398" spans="1:7" x14ac:dyDescent="0.25">
      <c r="A6398" t="s">
        <v>18820</v>
      </c>
      <c r="B6398" t="s">
        <v>20543</v>
      </c>
      <c r="C6398" t="s">
        <v>20544</v>
      </c>
      <c r="D6398" t="s">
        <v>20545</v>
      </c>
      <c r="E6398" t="s">
        <v>20546</v>
      </c>
      <c r="F6398" t="s">
        <v>20547</v>
      </c>
      <c r="G6398" s="2" t="str">
        <f>HYPERLINK("https://probpalata.gov.ru/files/ИП620100530500013.jpeg","Скачать индивидуальный QR-код магазина")</f>
        <v>Скачать индивидуальный QR-код магазина</v>
      </c>
    </row>
    <row r="6399" spans="1:7" x14ac:dyDescent="0.25">
      <c r="A6399" t="s">
        <v>18820</v>
      </c>
      <c r="B6399" t="s">
        <v>20548</v>
      </c>
      <c r="C6399" t="s">
        <v>20549</v>
      </c>
      <c r="D6399" t="s">
        <v>20550</v>
      </c>
      <c r="E6399" t="s">
        <v>20551</v>
      </c>
      <c r="F6399" t="s">
        <v>20552</v>
      </c>
      <c r="G6399" s="2" t="str">
        <f>HYPERLINK("https://probpalata.gov.ru/files/ИП770100482600000.jpeg","Скачать индивидуальный QR-код магазина")</f>
        <v>Скачать индивидуальный QR-код магазина</v>
      </c>
    </row>
    <row r="6400" spans="1:7" x14ac:dyDescent="0.25">
      <c r="A6400" t="s">
        <v>18820</v>
      </c>
      <c r="B6400" t="s">
        <v>20553</v>
      </c>
      <c r="C6400" t="s">
        <v>20554</v>
      </c>
      <c r="D6400" t="s">
        <v>20555</v>
      </c>
      <c r="E6400" t="s">
        <v>20556</v>
      </c>
      <c r="F6400" t="s">
        <v>20557</v>
      </c>
      <c r="G6400" s="2" t="str">
        <f>HYPERLINK("https://probpalata.gov.ru/files/ИП630603234000000.jpeg","Скачать индивидуальный QR-код магазина")</f>
        <v>Скачать индивидуальный QR-код магазина</v>
      </c>
    </row>
    <row r="6401" spans="1:7" x14ac:dyDescent="0.25">
      <c r="A6401" t="s">
        <v>18820</v>
      </c>
      <c r="B6401" t="s">
        <v>20558</v>
      </c>
      <c r="C6401" t="s">
        <v>20559</v>
      </c>
      <c r="D6401" t="s">
        <v>20560</v>
      </c>
      <c r="E6401" t="s">
        <v>20561</v>
      </c>
      <c r="F6401" t="s">
        <v>20562</v>
      </c>
      <c r="G6401" s="2" t="str">
        <f>HYPERLINK("https://probpalata.gov.ru/files/ИП630600994200001.jpeg","Скачать индивидуальный QR-код магазина")</f>
        <v>Скачать индивидуальный QR-код магазина</v>
      </c>
    </row>
    <row r="6402" spans="1:7" x14ac:dyDescent="0.25">
      <c r="A6402" t="s">
        <v>18820</v>
      </c>
      <c r="B6402" t="s">
        <v>20563</v>
      </c>
      <c r="C6402" t="s">
        <v>20559</v>
      </c>
      <c r="D6402" t="s">
        <v>20560</v>
      </c>
      <c r="E6402" t="s">
        <v>20561</v>
      </c>
      <c r="F6402" t="s">
        <v>20564</v>
      </c>
      <c r="G6402" s="2" t="str">
        <f>HYPERLINK("https://probpalata.gov.ru/files/ИП630600994200002.jpeg","Скачать индивидуальный QR-код магазина")</f>
        <v>Скачать индивидуальный QR-код магазина</v>
      </c>
    </row>
    <row r="6403" spans="1:7" x14ac:dyDescent="0.25">
      <c r="A6403" t="s">
        <v>18820</v>
      </c>
      <c r="B6403" t="s">
        <v>20565</v>
      </c>
      <c r="C6403" t="s">
        <v>20559</v>
      </c>
      <c r="D6403" t="s">
        <v>20560</v>
      </c>
      <c r="E6403" t="s">
        <v>20561</v>
      </c>
      <c r="F6403" t="s">
        <v>20566</v>
      </c>
      <c r="G6403" s="2" t="str">
        <f>HYPERLINK("https://probpalata.gov.ru/files/ИП630600994200003.jpeg","Скачать индивидуальный QR-код магазина")</f>
        <v>Скачать индивидуальный QR-код магазина</v>
      </c>
    </row>
    <row r="6404" spans="1:7" x14ac:dyDescent="0.25">
      <c r="A6404" t="s">
        <v>18820</v>
      </c>
      <c r="B6404" t="s">
        <v>20567</v>
      </c>
      <c r="C6404" t="s">
        <v>20568</v>
      </c>
      <c r="D6404" t="s">
        <v>20569</v>
      </c>
      <c r="E6404" t="s">
        <v>20570</v>
      </c>
      <c r="F6404" t="s">
        <v>20571</v>
      </c>
      <c r="G6404" s="2" t="str">
        <f>HYPERLINK("https://probpalata.gov.ru/files/ИП630600877000000.jpeg","Скачать индивидуальный QR-код магазина")</f>
        <v>Скачать индивидуальный QR-код магазина</v>
      </c>
    </row>
    <row r="6405" spans="1:7" x14ac:dyDescent="0.25">
      <c r="A6405" t="s">
        <v>18820</v>
      </c>
      <c r="B6405" t="s">
        <v>20572</v>
      </c>
      <c r="C6405" t="s">
        <v>2197</v>
      </c>
      <c r="D6405" t="s">
        <v>2198</v>
      </c>
      <c r="E6405" t="s">
        <v>2199</v>
      </c>
      <c r="F6405" t="s">
        <v>20573</v>
      </c>
      <c r="G6405" s="2" t="str">
        <f>HYPERLINK("https://probpalata.gov.ru/files/ИП630601425400031.jpeg","Скачать индивидуальный QR-код магазина")</f>
        <v>Скачать индивидуальный QR-код магазина</v>
      </c>
    </row>
    <row r="6406" spans="1:7" x14ac:dyDescent="0.25">
      <c r="A6406" t="s">
        <v>18820</v>
      </c>
      <c r="B6406" t="s">
        <v>20574</v>
      </c>
      <c r="C6406" t="s">
        <v>20575</v>
      </c>
      <c r="D6406" t="s">
        <v>20576</v>
      </c>
      <c r="E6406" t="s">
        <v>20577</v>
      </c>
      <c r="F6406" t="s">
        <v>20578</v>
      </c>
      <c r="G6406" s="2" t="str">
        <f>HYPERLINK("https://probpalata.gov.ru/files/ЮЛ630600190100010.jpeg","Скачать индивидуальный QR-код магазина")</f>
        <v>Скачать индивидуальный QR-код магазина</v>
      </c>
    </row>
    <row r="6407" spans="1:7" x14ac:dyDescent="0.25">
      <c r="A6407" t="s">
        <v>18820</v>
      </c>
      <c r="B6407" t="s">
        <v>20579</v>
      </c>
      <c r="C6407" t="s">
        <v>20575</v>
      </c>
      <c r="D6407" t="s">
        <v>20576</v>
      </c>
      <c r="E6407" t="s">
        <v>20577</v>
      </c>
      <c r="F6407" t="s">
        <v>20580</v>
      </c>
      <c r="G6407" s="2" t="str">
        <f>HYPERLINK("https://probpalata.gov.ru/files/ЮЛ630600190100013.jpeg","Скачать индивидуальный QR-код магазина")</f>
        <v>Скачать индивидуальный QR-код магазина</v>
      </c>
    </row>
    <row r="6408" spans="1:7" x14ac:dyDescent="0.25">
      <c r="A6408" t="s">
        <v>18820</v>
      </c>
      <c r="B6408" t="s">
        <v>20581</v>
      </c>
      <c r="C6408" t="s">
        <v>20575</v>
      </c>
      <c r="D6408" t="s">
        <v>20576</v>
      </c>
      <c r="E6408" t="s">
        <v>20577</v>
      </c>
      <c r="F6408" t="s">
        <v>20582</v>
      </c>
      <c r="G6408" s="2" t="str">
        <f>HYPERLINK("https://probpalata.gov.ru/files/ЮЛ630600190100016.jpeg","Скачать индивидуальный QR-код магазина")</f>
        <v>Скачать индивидуальный QR-код магазина</v>
      </c>
    </row>
    <row r="6409" spans="1:7" x14ac:dyDescent="0.25">
      <c r="A6409" t="s">
        <v>18820</v>
      </c>
      <c r="B6409" t="s">
        <v>20583</v>
      </c>
      <c r="C6409" t="s">
        <v>20575</v>
      </c>
      <c r="D6409" t="s">
        <v>20576</v>
      </c>
      <c r="E6409" t="s">
        <v>20577</v>
      </c>
      <c r="F6409" t="s">
        <v>20584</v>
      </c>
      <c r="G6409" s="2" t="str">
        <f>HYPERLINK("https://probpalata.gov.ru/files/ЮЛ630600190100017.jpeg","Скачать индивидуальный QR-код магазина")</f>
        <v>Скачать индивидуальный QR-код магазина</v>
      </c>
    </row>
    <row r="6410" spans="1:7" x14ac:dyDescent="0.25">
      <c r="A6410" t="s">
        <v>18820</v>
      </c>
      <c r="B6410" t="s">
        <v>20585</v>
      </c>
      <c r="C6410" t="s">
        <v>2204</v>
      </c>
      <c r="D6410" t="s">
        <v>2205</v>
      </c>
      <c r="E6410" t="s">
        <v>2206</v>
      </c>
      <c r="F6410" t="s">
        <v>20586</v>
      </c>
      <c r="G6410" s="2" t="str">
        <f>HYPERLINK("https://probpalata.gov.ru/files/ЮЛ630603037200080.jpeg","Скачать индивидуальный QR-код магазина")</f>
        <v>Скачать индивидуальный QR-код магазина</v>
      </c>
    </row>
    <row r="6411" spans="1:7" x14ac:dyDescent="0.25">
      <c r="A6411" t="s">
        <v>18820</v>
      </c>
      <c r="B6411" t="s">
        <v>20587</v>
      </c>
      <c r="C6411" t="s">
        <v>2204</v>
      </c>
      <c r="D6411" t="s">
        <v>2205</v>
      </c>
      <c r="E6411" t="s">
        <v>2206</v>
      </c>
      <c r="F6411" t="s">
        <v>20588</v>
      </c>
      <c r="G6411" s="2" t="str">
        <f>HYPERLINK("https://probpalata.gov.ru/files/ЮЛ630603037200088.jpeg","Скачать индивидуальный QR-код магазина")</f>
        <v>Скачать индивидуальный QR-код магазина</v>
      </c>
    </row>
    <row r="6412" spans="1:7" x14ac:dyDescent="0.25">
      <c r="A6412" t="s">
        <v>18820</v>
      </c>
      <c r="B6412" t="s">
        <v>20589</v>
      </c>
      <c r="C6412" t="s">
        <v>2204</v>
      </c>
      <c r="D6412" t="s">
        <v>2205</v>
      </c>
      <c r="E6412" t="s">
        <v>2206</v>
      </c>
      <c r="F6412" t="s">
        <v>20590</v>
      </c>
      <c r="G6412" s="2" t="str">
        <f>HYPERLINK("https://probpalata.gov.ru/files/ЮЛ630603037200090.jpeg","Скачать индивидуальный QR-код магазина")</f>
        <v>Скачать индивидуальный QR-код магазина</v>
      </c>
    </row>
    <row r="6413" spans="1:7" x14ac:dyDescent="0.25">
      <c r="A6413" t="s">
        <v>18820</v>
      </c>
      <c r="B6413" t="s">
        <v>20591</v>
      </c>
      <c r="C6413" t="s">
        <v>2204</v>
      </c>
      <c r="D6413" t="s">
        <v>2205</v>
      </c>
      <c r="E6413" t="s">
        <v>2206</v>
      </c>
      <c r="F6413" t="s">
        <v>20592</v>
      </c>
      <c r="G6413" s="2" t="str">
        <f>HYPERLINK("https://probpalata.gov.ru/files/ЮЛ630603037200102.jpeg","Скачать индивидуальный QR-код магазина")</f>
        <v>Скачать индивидуальный QR-код магазина</v>
      </c>
    </row>
    <row r="6414" spans="1:7" x14ac:dyDescent="0.25">
      <c r="A6414" t="s">
        <v>18820</v>
      </c>
      <c r="B6414" t="s">
        <v>20593</v>
      </c>
      <c r="C6414" t="s">
        <v>20594</v>
      </c>
      <c r="D6414" t="s">
        <v>20595</v>
      </c>
      <c r="E6414" t="s">
        <v>20596</v>
      </c>
      <c r="F6414" t="s">
        <v>20597</v>
      </c>
      <c r="G6414" s="2" t="str">
        <f>HYPERLINK("https://probpalata.gov.ru/files/ИП770103270600000.jpeg","Скачать индивидуальный QR-код магазина")</f>
        <v>Скачать индивидуальный QR-код магазина</v>
      </c>
    </row>
    <row r="6415" spans="1:7" x14ac:dyDescent="0.25">
      <c r="A6415" t="s">
        <v>18820</v>
      </c>
      <c r="B6415" t="s">
        <v>20598</v>
      </c>
      <c r="C6415" t="s">
        <v>20599</v>
      </c>
      <c r="D6415" t="s">
        <v>20600</v>
      </c>
      <c r="E6415" t="s">
        <v>20601</v>
      </c>
      <c r="F6415" t="s">
        <v>20602</v>
      </c>
      <c r="G6415" s="2" t="str">
        <f>HYPERLINK("https://probpalata.gov.ru/files/ИП630603224000000.jpeg","Скачать индивидуальный QR-код магазина")</f>
        <v>Скачать индивидуальный QR-код магазина</v>
      </c>
    </row>
    <row r="6416" spans="1:7" x14ac:dyDescent="0.25">
      <c r="A6416" t="s">
        <v>18820</v>
      </c>
      <c r="B6416" t="s">
        <v>20603</v>
      </c>
      <c r="C6416" t="s">
        <v>20599</v>
      </c>
      <c r="D6416" t="s">
        <v>20600</v>
      </c>
      <c r="E6416" t="s">
        <v>20601</v>
      </c>
      <c r="F6416" t="s">
        <v>20604</v>
      </c>
      <c r="G6416" s="2" t="str">
        <f>HYPERLINK("https://probpalata.gov.ru/files/ИП630603224000001.jpeg","Скачать индивидуальный QR-код магазина")</f>
        <v>Скачать индивидуальный QR-код магазина</v>
      </c>
    </row>
    <row r="6417" spans="1:7" x14ac:dyDescent="0.25">
      <c r="A6417" t="s">
        <v>18820</v>
      </c>
      <c r="B6417" t="s">
        <v>20605</v>
      </c>
      <c r="C6417" t="s">
        <v>20606</v>
      </c>
      <c r="D6417" t="s">
        <v>20607</v>
      </c>
      <c r="E6417" t="s">
        <v>20608</v>
      </c>
      <c r="F6417" t="s">
        <v>20609</v>
      </c>
      <c r="G6417" s="2" t="str">
        <f>HYPERLINK("https://probpalata.gov.ru/files/ИП630603991500000.jpeg","Скачать индивидуальный QR-код магазина")</f>
        <v>Скачать индивидуальный QR-код магазина</v>
      </c>
    </row>
    <row r="6418" spans="1:7" x14ac:dyDescent="0.25">
      <c r="A6418" t="s">
        <v>18820</v>
      </c>
      <c r="B6418" t="s">
        <v>20610</v>
      </c>
      <c r="C6418" t="s">
        <v>20611</v>
      </c>
      <c r="D6418" t="s">
        <v>20612</v>
      </c>
      <c r="E6418" t="s">
        <v>20613</v>
      </c>
      <c r="F6418" t="s">
        <v>20614</v>
      </c>
      <c r="G6418" s="2" t="str">
        <f>HYPERLINK("https://probpalata.gov.ru/files/ЮЛ630603318500000.jpeg","Скачать индивидуальный QR-код магазина")</f>
        <v>Скачать индивидуальный QR-код магазина</v>
      </c>
    </row>
    <row r="6419" spans="1:7" x14ac:dyDescent="0.25">
      <c r="A6419" t="s">
        <v>18820</v>
      </c>
      <c r="B6419" t="s">
        <v>20615</v>
      </c>
      <c r="C6419" t="s">
        <v>20611</v>
      </c>
      <c r="D6419" t="s">
        <v>20612</v>
      </c>
      <c r="E6419" t="s">
        <v>20613</v>
      </c>
      <c r="F6419" t="s">
        <v>20616</v>
      </c>
      <c r="G6419" s="2" t="str">
        <f>HYPERLINK("https://probpalata.gov.ru/files/ЮЛ630603318500001.jpeg","Скачать индивидуальный QR-код магазина")</f>
        <v>Скачать индивидуальный QR-код магазина</v>
      </c>
    </row>
    <row r="6420" spans="1:7" x14ac:dyDescent="0.25">
      <c r="A6420" t="s">
        <v>18820</v>
      </c>
      <c r="B6420" t="s">
        <v>20617</v>
      </c>
      <c r="C6420" t="s">
        <v>20611</v>
      </c>
      <c r="D6420" t="s">
        <v>20612</v>
      </c>
      <c r="E6420" t="s">
        <v>20613</v>
      </c>
      <c r="F6420" t="s">
        <v>20618</v>
      </c>
      <c r="G6420" s="2" t="str">
        <f>HYPERLINK("https://probpalata.gov.ru/files/ЮЛ630603318500002.jpeg","Скачать индивидуальный QR-код магазина")</f>
        <v>Скачать индивидуальный QR-код магазина</v>
      </c>
    </row>
    <row r="6421" spans="1:7" x14ac:dyDescent="0.25">
      <c r="A6421" t="s">
        <v>18820</v>
      </c>
      <c r="B6421" t="s">
        <v>20619</v>
      </c>
      <c r="C6421" t="s">
        <v>20611</v>
      </c>
      <c r="D6421" t="s">
        <v>20612</v>
      </c>
      <c r="E6421" t="s">
        <v>20613</v>
      </c>
      <c r="F6421" t="s">
        <v>20620</v>
      </c>
      <c r="G6421" s="2" t="str">
        <f>HYPERLINK("https://probpalata.gov.ru/files/ЮЛ630603318500003.jpeg","Скачать индивидуальный QR-код магазина")</f>
        <v>Скачать индивидуальный QR-код магазина</v>
      </c>
    </row>
    <row r="6422" spans="1:7" x14ac:dyDescent="0.25">
      <c r="A6422" t="s">
        <v>18820</v>
      </c>
      <c r="B6422" t="s">
        <v>20621</v>
      </c>
      <c r="C6422" t="s">
        <v>20611</v>
      </c>
      <c r="D6422" t="s">
        <v>20612</v>
      </c>
      <c r="E6422" t="s">
        <v>20613</v>
      </c>
      <c r="F6422" t="s">
        <v>20622</v>
      </c>
      <c r="G6422" s="2" t="str">
        <f>HYPERLINK("https://probpalata.gov.ru/files/ЮЛ630603318500004.jpeg","Скачать индивидуальный QR-код магазина")</f>
        <v>Скачать индивидуальный QR-код магазина</v>
      </c>
    </row>
    <row r="6423" spans="1:7" x14ac:dyDescent="0.25">
      <c r="A6423" t="s">
        <v>18820</v>
      </c>
      <c r="B6423" t="s">
        <v>20623</v>
      </c>
      <c r="C6423" t="s">
        <v>20611</v>
      </c>
      <c r="D6423" t="s">
        <v>20612</v>
      </c>
      <c r="E6423" t="s">
        <v>20613</v>
      </c>
      <c r="F6423" t="s">
        <v>20624</v>
      </c>
      <c r="G6423" s="2" t="str">
        <f>HYPERLINK("https://probpalata.gov.ru/files/ЮЛ630603318500005.jpeg","Скачать индивидуальный QR-код магазина")</f>
        <v>Скачать индивидуальный QR-код магазина</v>
      </c>
    </row>
    <row r="6424" spans="1:7" x14ac:dyDescent="0.25">
      <c r="A6424" t="s">
        <v>18820</v>
      </c>
      <c r="B6424" t="s">
        <v>20625</v>
      </c>
      <c r="C6424" t="s">
        <v>20611</v>
      </c>
      <c r="D6424" t="s">
        <v>20612</v>
      </c>
      <c r="E6424" t="s">
        <v>20613</v>
      </c>
      <c r="F6424" t="s">
        <v>20626</v>
      </c>
      <c r="G6424" s="2" t="str">
        <f>HYPERLINK("https://probpalata.gov.ru/files/ЮЛ630603318500006.jpeg","Скачать индивидуальный QR-код магазина")</f>
        <v>Скачать индивидуальный QR-код магазина</v>
      </c>
    </row>
    <row r="6425" spans="1:7" x14ac:dyDescent="0.25">
      <c r="A6425" t="s">
        <v>18820</v>
      </c>
      <c r="B6425" t="s">
        <v>20627</v>
      </c>
      <c r="C6425" t="s">
        <v>20611</v>
      </c>
      <c r="D6425" t="s">
        <v>20612</v>
      </c>
      <c r="E6425" t="s">
        <v>20613</v>
      </c>
      <c r="F6425" t="s">
        <v>20628</v>
      </c>
      <c r="G6425" s="2" t="str">
        <f>HYPERLINK("https://probpalata.gov.ru/files/ЮЛ630603318500007.jpeg","Скачать индивидуальный QR-код магазина")</f>
        <v>Скачать индивидуальный QR-код магазина</v>
      </c>
    </row>
    <row r="6426" spans="1:7" x14ac:dyDescent="0.25">
      <c r="A6426" t="s">
        <v>18820</v>
      </c>
      <c r="B6426" t="s">
        <v>20629</v>
      </c>
      <c r="C6426" t="s">
        <v>20611</v>
      </c>
      <c r="D6426" t="s">
        <v>20612</v>
      </c>
      <c r="E6426" t="s">
        <v>20613</v>
      </c>
      <c r="F6426" t="s">
        <v>20630</v>
      </c>
      <c r="G6426" s="2" t="str">
        <f>HYPERLINK("https://probpalata.gov.ru/files/ЮЛ630603318500008.jpeg","Скачать индивидуальный QR-код магазина")</f>
        <v>Скачать индивидуальный QR-код магазина</v>
      </c>
    </row>
    <row r="6427" spans="1:7" x14ac:dyDescent="0.25">
      <c r="A6427" t="s">
        <v>18820</v>
      </c>
      <c r="B6427" t="s">
        <v>20631</v>
      </c>
      <c r="C6427" t="s">
        <v>20611</v>
      </c>
      <c r="D6427" t="s">
        <v>20612</v>
      </c>
      <c r="E6427" t="s">
        <v>20613</v>
      </c>
      <c r="F6427" t="s">
        <v>20632</v>
      </c>
      <c r="G6427" s="2" t="str">
        <f>HYPERLINK("https://probpalata.gov.ru/files/ЮЛ630603318500009.jpeg","Скачать индивидуальный QR-код магазина")</f>
        <v>Скачать индивидуальный QR-код магазина</v>
      </c>
    </row>
    <row r="6428" spans="1:7" x14ac:dyDescent="0.25">
      <c r="A6428" t="s">
        <v>18820</v>
      </c>
      <c r="B6428" t="s">
        <v>20633</v>
      </c>
      <c r="C6428" t="s">
        <v>20611</v>
      </c>
      <c r="D6428" t="s">
        <v>20612</v>
      </c>
      <c r="E6428" t="s">
        <v>20613</v>
      </c>
      <c r="F6428" t="s">
        <v>20634</v>
      </c>
      <c r="G6428" s="2" t="str">
        <f>HYPERLINK("https://probpalata.gov.ru/files/ЮЛ630603318500010.jpeg","Скачать индивидуальный QR-код магазина")</f>
        <v>Скачать индивидуальный QR-код магазина</v>
      </c>
    </row>
    <row r="6429" spans="1:7" x14ac:dyDescent="0.25">
      <c r="A6429" t="s">
        <v>18820</v>
      </c>
      <c r="B6429" t="s">
        <v>20635</v>
      </c>
      <c r="C6429" t="s">
        <v>20611</v>
      </c>
      <c r="D6429" t="s">
        <v>20612</v>
      </c>
      <c r="E6429" t="s">
        <v>20613</v>
      </c>
      <c r="F6429" t="s">
        <v>20636</v>
      </c>
      <c r="G6429" s="2" t="str">
        <f>HYPERLINK("https://probpalata.gov.ru/files/ЮЛ630603318500011.jpeg","Скачать индивидуальный QR-код магазина")</f>
        <v>Скачать индивидуальный QR-код магазина</v>
      </c>
    </row>
    <row r="6430" spans="1:7" x14ac:dyDescent="0.25">
      <c r="A6430" t="s">
        <v>18820</v>
      </c>
      <c r="B6430" t="s">
        <v>20637</v>
      </c>
      <c r="C6430" t="s">
        <v>20611</v>
      </c>
      <c r="D6430" t="s">
        <v>20612</v>
      </c>
      <c r="E6430" t="s">
        <v>20613</v>
      </c>
      <c r="F6430" t="s">
        <v>20638</v>
      </c>
      <c r="G6430" s="2" t="str">
        <f>HYPERLINK("https://probpalata.gov.ru/files/ЮЛ630603318500012.jpeg","Скачать индивидуальный QR-код магазина")</f>
        <v>Скачать индивидуальный QR-код магазина</v>
      </c>
    </row>
    <row r="6431" spans="1:7" x14ac:dyDescent="0.25">
      <c r="A6431" t="s">
        <v>18820</v>
      </c>
      <c r="B6431" t="s">
        <v>20639</v>
      </c>
      <c r="C6431" t="s">
        <v>20611</v>
      </c>
      <c r="D6431" t="s">
        <v>20612</v>
      </c>
      <c r="E6431" t="s">
        <v>20613</v>
      </c>
      <c r="F6431" t="s">
        <v>20640</v>
      </c>
      <c r="G6431" s="2" t="str">
        <f>HYPERLINK("https://probpalata.gov.ru/files/ЮЛ630603318500013.jpeg","Скачать индивидуальный QR-код магазина")</f>
        <v>Скачать индивидуальный QR-код магазина</v>
      </c>
    </row>
    <row r="6432" spans="1:7" x14ac:dyDescent="0.25">
      <c r="A6432" t="s">
        <v>18820</v>
      </c>
      <c r="B6432" t="s">
        <v>20641</v>
      </c>
      <c r="C6432" t="s">
        <v>20611</v>
      </c>
      <c r="D6432" t="s">
        <v>20612</v>
      </c>
      <c r="E6432" t="s">
        <v>20613</v>
      </c>
      <c r="F6432" t="s">
        <v>20642</v>
      </c>
      <c r="G6432" s="2" t="str">
        <f>HYPERLINK("https://probpalata.gov.ru/files/ЮЛ630603318500014.jpeg","Скачать индивидуальный QR-код магазина")</f>
        <v>Скачать индивидуальный QR-код магазина</v>
      </c>
    </row>
    <row r="6433" spans="1:7" x14ac:dyDescent="0.25">
      <c r="A6433" t="s">
        <v>18820</v>
      </c>
      <c r="B6433" t="s">
        <v>20643</v>
      </c>
      <c r="C6433" t="s">
        <v>20611</v>
      </c>
      <c r="D6433" t="s">
        <v>20612</v>
      </c>
      <c r="E6433" t="s">
        <v>20613</v>
      </c>
      <c r="F6433" t="s">
        <v>20644</v>
      </c>
      <c r="G6433" s="2" t="str">
        <f>HYPERLINK("https://probpalata.gov.ru/files/ЮЛ630603318500015.jpeg","Скачать индивидуальный QR-код магазина")</f>
        <v>Скачать индивидуальный QR-код магазина</v>
      </c>
    </row>
    <row r="6434" spans="1:7" x14ac:dyDescent="0.25">
      <c r="A6434" t="s">
        <v>18820</v>
      </c>
      <c r="B6434" t="s">
        <v>20645</v>
      </c>
      <c r="C6434" t="s">
        <v>20611</v>
      </c>
      <c r="D6434" t="s">
        <v>20612</v>
      </c>
      <c r="E6434" t="s">
        <v>20613</v>
      </c>
      <c r="F6434" t="s">
        <v>20646</v>
      </c>
      <c r="G6434" s="2" t="str">
        <f>HYPERLINK("https://probpalata.gov.ru/files/ЮЛ630603318500016.jpeg","Скачать индивидуальный QR-код магазина")</f>
        <v>Скачать индивидуальный QR-код магазина</v>
      </c>
    </row>
    <row r="6435" spans="1:7" x14ac:dyDescent="0.25">
      <c r="A6435" t="s">
        <v>18820</v>
      </c>
      <c r="B6435" t="s">
        <v>20647</v>
      </c>
      <c r="C6435" t="s">
        <v>20611</v>
      </c>
      <c r="D6435" t="s">
        <v>20612</v>
      </c>
      <c r="E6435" t="s">
        <v>20613</v>
      </c>
      <c r="F6435" t="s">
        <v>20648</v>
      </c>
      <c r="G6435" s="2" t="str">
        <f>HYPERLINK("https://probpalata.gov.ru/files/ЮЛ630603318500018.jpeg","Скачать индивидуальный QR-код магазина")</f>
        <v>Скачать индивидуальный QR-код магазина</v>
      </c>
    </row>
    <row r="6436" spans="1:7" x14ac:dyDescent="0.25">
      <c r="A6436" t="s">
        <v>18820</v>
      </c>
      <c r="B6436" t="s">
        <v>20649</v>
      </c>
      <c r="C6436" t="s">
        <v>20611</v>
      </c>
      <c r="D6436" t="s">
        <v>20612</v>
      </c>
      <c r="E6436" t="s">
        <v>20613</v>
      </c>
      <c r="F6436" t="s">
        <v>20650</v>
      </c>
      <c r="G6436" s="2" t="str">
        <f>HYPERLINK("https://probpalata.gov.ru/files/ЮЛ630603318500020.jpeg","Скачать индивидуальный QR-код магазина")</f>
        <v>Скачать индивидуальный QR-код магазина</v>
      </c>
    </row>
    <row r="6437" spans="1:7" x14ac:dyDescent="0.25">
      <c r="A6437" t="s">
        <v>18820</v>
      </c>
      <c r="B6437" t="s">
        <v>20651</v>
      </c>
      <c r="C6437" t="s">
        <v>20652</v>
      </c>
      <c r="D6437" t="s">
        <v>20653</v>
      </c>
      <c r="E6437" t="s">
        <v>20654</v>
      </c>
      <c r="F6437" t="s">
        <v>20655</v>
      </c>
      <c r="G6437" s="2" t="str">
        <f>HYPERLINK("https://probpalata.gov.ru/files/ИП500101292500000.jpeg","Скачать индивидуальный QR-код магазина")</f>
        <v>Скачать индивидуальный QR-код магазина</v>
      </c>
    </row>
    <row r="6438" spans="1:7" x14ac:dyDescent="0.25">
      <c r="A6438" t="s">
        <v>18820</v>
      </c>
      <c r="B6438" t="s">
        <v>20656</v>
      </c>
      <c r="C6438" t="s">
        <v>20657</v>
      </c>
      <c r="D6438" t="s">
        <v>20658</v>
      </c>
      <c r="E6438" t="s">
        <v>20659</v>
      </c>
      <c r="F6438" t="s">
        <v>20660</v>
      </c>
      <c r="G6438" s="2" t="str">
        <f>HYPERLINK("https://probpalata.gov.ru/files/ИП770100537300000.jpeg","Скачать индивидуальный QR-код магазина")</f>
        <v>Скачать индивидуальный QR-код магазина</v>
      </c>
    </row>
    <row r="6439" spans="1:7" x14ac:dyDescent="0.25">
      <c r="A6439" t="s">
        <v>18820</v>
      </c>
      <c r="B6439" t="s">
        <v>20661</v>
      </c>
      <c r="C6439" t="s">
        <v>20657</v>
      </c>
      <c r="D6439" t="s">
        <v>20658</v>
      </c>
      <c r="E6439" t="s">
        <v>20659</v>
      </c>
      <c r="F6439" t="s">
        <v>20662</v>
      </c>
      <c r="G6439" s="2" t="str">
        <f>HYPERLINK("https://probpalata.gov.ru/files/ИП770100537300001.jpeg","Скачать индивидуальный QR-код магазина")</f>
        <v>Скачать индивидуальный QR-код магазина</v>
      </c>
    </row>
    <row r="6440" spans="1:7" x14ac:dyDescent="0.25">
      <c r="A6440" t="s">
        <v>18820</v>
      </c>
      <c r="B6440" t="s">
        <v>20663</v>
      </c>
      <c r="C6440" t="s">
        <v>20657</v>
      </c>
      <c r="D6440" t="s">
        <v>20658</v>
      </c>
      <c r="E6440" t="s">
        <v>20659</v>
      </c>
      <c r="F6440" t="s">
        <v>20664</v>
      </c>
      <c r="G6440" s="2" t="str">
        <f>HYPERLINK("https://probpalata.gov.ru/files/ИП770100537300003.jpeg","Скачать индивидуальный QR-код магазина")</f>
        <v>Скачать индивидуальный QR-код магазина</v>
      </c>
    </row>
    <row r="6441" spans="1:7" x14ac:dyDescent="0.25">
      <c r="A6441" t="s">
        <v>18820</v>
      </c>
      <c r="B6441" t="s">
        <v>20665</v>
      </c>
      <c r="C6441" t="s">
        <v>20666</v>
      </c>
      <c r="D6441" t="s">
        <v>20667</v>
      </c>
      <c r="E6441" t="s">
        <v>20668</v>
      </c>
      <c r="F6441" t="s">
        <v>20669</v>
      </c>
      <c r="G6441" s="2" t="str">
        <f>HYPERLINK("https://probpalata.gov.ru/files/ИП640600381100003.jpeg","Скачать индивидуальный QR-код магазина")</f>
        <v>Скачать индивидуальный QR-код магазина</v>
      </c>
    </row>
    <row r="6442" spans="1:7" x14ac:dyDescent="0.25">
      <c r="A6442" t="s">
        <v>18820</v>
      </c>
      <c r="B6442" t="s">
        <v>20670</v>
      </c>
      <c r="C6442" t="s">
        <v>20671</v>
      </c>
      <c r="D6442" t="s">
        <v>20672</v>
      </c>
      <c r="E6442" t="s">
        <v>20673</v>
      </c>
      <c r="F6442" t="s">
        <v>20674</v>
      </c>
      <c r="G6442" s="2" t="str">
        <f>HYPERLINK("https://probpalata.gov.ru/files/ИП640600464600005.jpeg","Скачать индивидуальный QR-код магазина")</f>
        <v>Скачать индивидуальный QR-код магазина</v>
      </c>
    </row>
    <row r="6443" spans="1:7" x14ac:dyDescent="0.25">
      <c r="A6443" t="s">
        <v>18820</v>
      </c>
      <c r="B6443" t="s">
        <v>20675</v>
      </c>
      <c r="C6443" t="s">
        <v>20671</v>
      </c>
      <c r="D6443" t="s">
        <v>20672</v>
      </c>
      <c r="E6443" t="s">
        <v>20673</v>
      </c>
      <c r="F6443" t="s">
        <v>20676</v>
      </c>
      <c r="G6443" s="2" t="str">
        <f>HYPERLINK("https://probpalata.gov.ru/files/ИП640600464600006.jpeg","Скачать индивидуальный QR-код магазина")</f>
        <v>Скачать индивидуальный QR-код магазина</v>
      </c>
    </row>
    <row r="6444" spans="1:7" x14ac:dyDescent="0.25">
      <c r="A6444" t="s">
        <v>18820</v>
      </c>
      <c r="B6444" t="s">
        <v>20677</v>
      </c>
      <c r="C6444" t="s">
        <v>20671</v>
      </c>
      <c r="D6444" t="s">
        <v>20672</v>
      </c>
      <c r="E6444" t="s">
        <v>20673</v>
      </c>
      <c r="F6444" t="s">
        <v>20678</v>
      </c>
      <c r="G6444" s="2" t="str">
        <f>HYPERLINK("https://probpalata.gov.ru/files/ИП640600464600008.jpeg","Скачать индивидуальный QR-код магазина")</f>
        <v>Скачать индивидуальный QR-код магазина</v>
      </c>
    </row>
    <row r="6445" spans="1:7" x14ac:dyDescent="0.25">
      <c r="A6445" t="s">
        <v>18820</v>
      </c>
      <c r="B6445" t="s">
        <v>20679</v>
      </c>
      <c r="C6445" t="s">
        <v>20680</v>
      </c>
      <c r="D6445" t="s">
        <v>20681</v>
      </c>
      <c r="E6445" t="s">
        <v>20682</v>
      </c>
      <c r="F6445" t="s">
        <v>20683</v>
      </c>
      <c r="G6445" s="2" t="str">
        <f>HYPERLINK("https://probpalata.gov.ru/files/ИП500101321600000.jpeg","Скачать индивидуальный QR-код магазина")</f>
        <v>Скачать индивидуальный QR-код магазина</v>
      </c>
    </row>
    <row r="6446" spans="1:7" x14ac:dyDescent="0.25">
      <c r="A6446" t="s">
        <v>18820</v>
      </c>
      <c r="B6446" t="s">
        <v>20684</v>
      </c>
      <c r="C6446" t="s">
        <v>20685</v>
      </c>
      <c r="D6446" t="s">
        <v>20686</v>
      </c>
      <c r="E6446" t="s">
        <v>20687</v>
      </c>
      <c r="F6446" t="s">
        <v>20688</v>
      </c>
      <c r="G6446" s="2" t="str">
        <f>HYPERLINK("https://probpalata.gov.ru/files/ИП280904004800000.jpeg","Скачать индивидуальный QR-код магазина")</f>
        <v>Скачать индивидуальный QR-код магазина</v>
      </c>
    </row>
    <row r="6447" spans="1:7" x14ac:dyDescent="0.25">
      <c r="A6447" t="s">
        <v>18820</v>
      </c>
      <c r="B6447" t="s">
        <v>20689</v>
      </c>
      <c r="C6447" t="s">
        <v>20690</v>
      </c>
      <c r="D6447" t="s">
        <v>20691</v>
      </c>
      <c r="E6447" t="s">
        <v>20692</v>
      </c>
      <c r="F6447" t="s">
        <v>20693</v>
      </c>
      <c r="G6447" s="2" t="str">
        <f>HYPERLINK("https://probpalata.gov.ru/files/ИП500101724600000.jpeg","Скачать индивидуальный QR-код магазина")</f>
        <v>Скачать индивидуальный QR-код магазина</v>
      </c>
    </row>
    <row r="6448" spans="1:7" x14ac:dyDescent="0.25">
      <c r="A6448" t="s">
        <v>18820</v>
      </c>
      <c r="B6448" t="s">
        <v>20694</v>
      </c>
      <c r="C6448" t="s">
        <v>6039</v>
      </c>
      <c r="D6448" t="s">
        <v>6040</v>
      </c>
      <c r="E6448" t="s">
        <v>6041</v>
      </c>
      <c r="F6448" t="s">
        <v>20695</v>
      </c>
      <c r="G6448" s="2" t="str">
        <f>HYPERLINK("https://probpalata.gov.ru/files/ИП770101425100019.jpeg","Скачать индивидуальный QR-код магазина")</f>
        <v>Скачать индивидуальный QR-код магазина</v>
      </c>
    </row>
    <row r="6449" spans="1:7" x14ac:dyDescent="0.25">
      <c r="A6449" t="s">
        <v>18820</v>
      </c>
      <c r="B6449" t="s">
        <v>20696</v>
      </c>
      <c r="C6449" t="s">
        <v>6039</v>
      </c>
      <c r="D6449" t="s">
        <v>6040</v>
      </c>
      <c r="E6449" t="s">
        <v>6041</v>
      </c>
      <c r="F6449" t="s">
        <v>20697</v>
      </c>
      <c r="G6449" s="2" t="str">
        <f>HYPERLINK("https://probpalata.gov.ru/files/ИП770101425100038.jpeg","Скачать индивидуальный QR-код магазина")</f>
        <v>Скачать индивидуальный QR-код магазина</v>
      </c>
    </row>
    <row r="6450" spans="1:7" x14ac:dyDescent="0.25">
      <c r="A6450" t="s">
        <v>18820</v>
      </c>
      <c r="B6450" t="s">
        <v>20698</v>
      </c>
      <c r="C6450" t="s">
        <v>20699</v>
      </c>
      <c r="D6450" t="s">
        <v>20700</v>
      </c>
      <c r="E6450" t="s">
        <v>20701</v>
      </c>
      <c r="F6450" t="s">
        <v>20702</v>
      </c>
      <c r="G6450" s="2" t="str">
        <f>HYPERLINK("https://probpalata.gov.ru/files/ИП660700053100002.jpeg","Скачать индивидуальный QR-код магазина")</f>
        <v>Скачать индивидуальный QR-код магазина</v>
      </c>
    </row>
    <row r="6451" spans="1:7" x14ac:dyDescent="0.25">
      <c r="A6451" t="s">
        <v>18820</v>
      </c>
      <c r="B6451" t="s">
        <v>20703</v>
      </c>
      <c r="C6451" t="s">
        <v>20699</v>
      </c>
      <c r="D6451" t="s">
        <v>20700</v>
      </c>
      <c r="E6451" t="s">
        <v>20701</v>
      </c>
      <c r="F6451" t="s">
        <v>20704</v>
      </c>
      <c r="G6451" s="2" t="str">
        <f>HYPERLINK("https://probpalata.gov.ru/files/ИП660700053100003.jpeg","Скачать индивидуальный QR-код магазина")</f>
        <v>Скачать индивидуальный QR-код магазина</v>
      </c>
    </row>
    <row r="6452" spans="1:7" x14ac:dyDescent="0.25">
      <c r="A6452" t="s">
        <v>18820</v>
      </c>
      <c r="B6452" t="s">
        <v>20705</v>
      </c>
      <c r="C6452" t="s">
        <v>20706</v>
      </c>
      <c r="D6452" t="s">
        <v>20707</v>
      </c>
      <c r="E6452" t="s">
        <v>20708</v>
      </c>
      <c r="F6452" t="s">
        <v>20709</v>
      </c>
      <c r="G6452" s="2" t="str">
        <f>HYPERLINK("https://probpalata.gov.ru/files/ИП780304073000000.jpeg","Скачать индивидуальный QR-код магазина")</f>
        <v>Скачать индивидуальный QR-код магазина</v>
      </c>
    </row>
    <row r="6453" spans="1:7" x14ac:dyDescent="0.25">
      <c r="A6453" t="s">
        <v>18820</v>
      </c>
      <c r="B6453" t="s">
        <v>20710</v>
      </c>
      <c r="C6453" t="s">
        <v>20706</v>
      </c>
      <c r="D6453" t="s">
        <v>20707</v>
      </c>
      <c r="E6453" t="s">
        <v>20708</v>
      </c>
      <c r="F6453" t="s">
        <v>20711</v>
      </c>
      <c r="G6453" s="2" t="str">
        <f>HYPERLINK("https://probpalata.gov.ru/files/ИП780304073000001.jpeg","Скачать индивидуальный QR-код магазина")</f>
        <v>Скачать индивидуальный QR-код магазина</v>
      </c>
    </row>
    <row r="6454" spans="1:7" x14ac:dyDescent="0.25">
      <c r="A6454" t="s">
        <v>18820</v>
      </c>
      <c r="B6454" t="s">
        <v>20712</v>
      </c>
      <c r="C6454" t="s">
        <v>20706</v>
      </c>
      <c r="D6454" t="s">
        <v>20707</v>
      </c>
      <c r="E6454" t="s">
        <v>20708</v>
      </c>
      <c r="F6454" t="s">
        <v>20713</v>
      </c>
      <c r="G6454" s="2" t="str">
        <f>HYPERLINK("https://probpalata.gov.ru/files/ИП780304073000002.jpeg","Скачать индивидуальный QR-код магазина")</f>
        <v>Скачать индивидуальный QR-код магазина</v>
      </c>
    </row>
    <row r="6455" spans="1:7" x14ac:dyDescent="0.25">
      <c r="A6455" t="s">
        <v>18820</v>
      </c>
      <c r="B6455" t="s">
        <v>20714</v>
      </c>
      <c r="C6455" t="s">
        <v>20715</v>
      </c>
      <c r="D6455" t="s">
        <v>20716</v>
      </c>
      <c r="E6455" t="s">
        <v>20717</v>
      </c>
      <c r="F6455" t="s">
        <v>20718</v>
      </c>
      <c r="G6455" s="2" t="str">
        <f>HYPERLINK("https://probpalata.gov.ru/files/ИП660703869600000.jpeg","Скачать индивидуальный QR-код магазина")</f>
        <v>Скачать индивидуальный QR-код магазина</v>
      </c>
    </row>
    <row r="6456" spans="1:7" x14ac:dyDescent="0.25">
      <c r="A6456" t="s">
        <v>18820</v>
      </c>
      <c r="B6456" t="s">
        <v>20719</v>
      </c>
      <c r="C6456" t="s">
        <v>20720</v>
      </c>
      <c r="D6456" t="s">
        <v>20721</v>
      </c>
      <c r="E6456" t="s">
        <v>20722</v>
      </c>
      <c r="F6456" t="s">
        <v>20723</v>
      </c>
      <c r="G6456" s="2" t="str">
        <f>HYPERLINK("https://probpalata.gov.ru/files/ИП660701126500000.jpeg","Скачать индивидуальный QR-код магазина")</f>
        <v>Скачать индивидуальный QR-код магазина</v>
      </c>
    </row>
    <row r="6457" spans="1:7" x14ac:dyDescent="0.25">
      <c r="A6457" t="s">
        <v>18820</v>
      </c>
      <c r="B6457" t="s">
        <v>20724</v>
      </c>
      <c r="C6457" t="s">
        <v>20725</v>
      </c>
      <c r="D6457" t="s">
        <v>20726</v>
      </c>
      <c r="E6457" t="s">
        <v>20727</v>
      </c>
      <c r="F6457" t="s">
        <v>20728</v>
      </c>
      <c r="G6457" s="2" t="str">
        <f>HYPERLINK("https://probpalata.gov.ru/files/ИП660700007600000.jpeg","Скачать индивидуальный QR-код магазина")</f>
        <v>Скачать индивидуальный QR-код магазина</v>
      </c>
    </row>
    <row r="6458" spans="1:7" x14ac:dyDescent="0.25">
      <c r="A6458" t="s">
        <v>18820</v>
      </c>
      <c r="B6458" t="s">
        <v>20729</v>
      </c>
      <c r="C6458" t="s">
        <v>20730</v>
      </c>
      <c r="D6458" t="s">
        <v>20731</v>
      </c>
      <c r="E6458" t="s">
        <v>20732</v>
      </c>
      <c r="F6458" t="s">
        <v>20733</v>
      </c>
      <c r="G6458" s="2" t="str">
        <f>HYPERLINK("https://probpalata.gov.ru/files/ЮЛ660700213800003.jpeg","Скачать индивидуальный QR-код магазина")</f>
        <v>Скачать индивидуальный QR-код магазина</v>
      </c>
    </row>
    <row r="6459" spans="1:7" x14ac:dyDescent="0.25">
      <c r="A6459" t="s">
        <v>18820</v>
      </c>
      <c r="B6459" t="s">
        <v>18830</v>
      </c>
      <c r="C6459" t="s">
        <v>20730</v>
      </c>
      <c r="D6459" t="s">
        <v>20731</v>
      </c>
      <c r="E6459" t="s">
        <v>20732</v>
      </c>
      <c r="F6459" t="s">
        <v>20734</v>
      </c>
      <c r="G6459" s="2" t="str">
        <f>HYPERLINK("https://probpalata.gov.ru/files/ЮЛ660700213800006.jpeg","Скачать индивидуальный QR-код магазина")</f>
        <v>Скачать индивидуальный QR-код магазина</v>
      </c>
    </row>
    <row r="6460" spans="1:7" x14ac:dyDescent="0.25">
      <c r="A6460" t="s">
        <v>18820</v>
      </c>
      <c r="B6460" t="s">
        <v>20735</v>
      </c>
      <c r="C6460" t="s">
        <v>20730</v>
      </c>
      <c r="D6460" t="s">
        <v>20731</v>
      </c>
      <c r="E6460" t="s">
        <v>20732</v>
      </c>
      <c r="F6460" t="s">
        <v>20736</v>
      </c>
      <c r="G6460" s="2" t="str">
        <f>HYPERLINK("https://probpalata.gov.ru/files/ЮЛ660700213800009.jpeg","Скачать индивидуальный QR-код магазина")</f>
        <v>Скачать индивидуальный QR-код магазина</v>
      </c>
    </row>
    <row r="6461" spans="1:7" x14ac:dyDescent="0.25">
      <c r="A6461" t="s">
        <v>18820</v>
      </c>
      <c r="B6461" t="s">
        <v>20737</v>
      </c>
      <c r="C6461" t="s">
        <v>20738</v>
      </c>
      <c r="D6461" t="s">
        <v>20739</v>
      </c>
      <c r="E6461" t="s">
        <v>20740</v>
      </c>
      <c r="F6461" t="s">
        <v>20741</v>
      </c>
      <c r="G6461" s="2" t="str">
        <f>HYPERLINK("https://probpalata.gov.ru/files/ИП660700681200004.jpeg","Скачать индивидуальный QR-код магазина")</f>
        <v>Скачать индивидуальный QR-код магазина</v>
      </c>
    </row>
    <row r="6462" spans="1:7" x14ac:dyDescent="0.25">
      <c r="A6462" t="s">
        <v>18820</v>
      </c>
      <c r="B6462" t="s">
        <v>20742</v>
      </c>
      <c r="C6462" t="s">
        <v>20743</v>
      </c>
      <c r="D6462" t="s">
        <v>20744</v>
      </c>
      <c r="E6462" t="s">
        <v>20745</v>
      </c>
      <c r="F6462" t="s">
        <v>20746</v>
      </c>
      <c r="G6462" s="2" t="str">
        <f>HYPERLINK("https://probpalata.gov.ru/files/ЮЛ660701346900003.jpeg","Скачать индивидуальный QR-код магазина")</f>
        <v>Скачать индивидуальный QR-код магазина</v>
      </c>
    </row>
    <row r="6463" spans="1:7" x14ac:dyDescent="0.25">
      <c r="A6463" t="s">
        <v>18820</v>
      </c>
      <c r="B6463" t="s">
        <v>20747</v>
      </c>
      <c r="C6463" t="s">
        <v>20748</v>
      </c>
      <c r="D6463" t="s">
        <v>20749</v>
      </c>
      <c r="E6463" t="s">
        <v>20750</v>
      </c>
      <c r="F6463" t="s">
        <v>20751</v>
      </c>
      <c r="G6463" s="2" t="str">
        <f>HYPERLINK("https://probpalata.gov.ru/files/ИП660701894200000.jpeg","Скачать индивидуальный QR-код магазина")</f>
        <v>Скачать индивидуальный QR-код магазина</v>
      </c>
    </row>
    <row r="6464" spans="1:7" x14ac:dyDescent="0.25">
      <c r="A6464" t="s">
        <v>18820</v>
      </c>
      <c r="B6464" t="s">
        <v>20752</v>
      </c>
      <c r="C6464" t="s">
        <v>14967</v>
      </c>
      <c r="D6464" t="s">
        <v>14968</v>
      </c>
      <c r="E6464" t="s">
        <v>14969</v>
      </c>
      <c r="F6464" t="s">
        <v>20753</v>
      </c>
      <c r="G6464" s="2" t="str">
        <f>HYPERLINK("https://probpalata.gov.ru/files/ЮЛ660701304200008.jpeg","Скачать индивидуальный QR-код магазина")</f>
        <v>Скачать индивидуальный QR-код магазина</v>
      </c>
    </row>
    <row r="6465" spans="1:7" x14ac:dyDescent="0.25">
      <c r="A6465" t="s">
        <v>18820</v>
      </c>
      <c r="B6465" t="s">
        <v>20754</v>
      </c>
      <c r="C6465" t="s">
        <v>3489</v>
      </c>
      <c r="D6465" t="s">
        <v>20755</v>
      </c>
      <c r="E6465" t="s">
        <v>20756</v>
      </c>
      <c r="F6465" t="s">
        <v>20757</v>
      </c>
      <c r="G6465" s="2" t="str">
        <f>HYPERLINK("https://probpalata.gov.ru/files/ЮЛ660700620600001.jpeg","Скачать индивидуальный QR-код магазина")</f>
        <v>Скачать индивидуальный QR-код магазина</v>
      </c>
    </row>
    <row r="6466" spans="1:7" x14ac:dyDescent="0.25">
      <c r="A6466" t="s">
        <v>18820</v>
      </c>
      <c r="B6466" t="s">
        <v>20758</v>
      </c>
      <c r="C6466" t="s">
        <v>12991</v>
      </c>
      <c r="D6466" t="s">
        <v>12992</v>
      </c>
      <c r="E6466" t="s">
        <v>12993</v>
      </c>
      <c r="F6466" t="s">
        <v>20759</v>
      </c>
      <c r="G6466" s="2" t="str">
        <f>HYPERLINK("https://probpalata.gov.ru/files/ЮЛ660700186100002.jpeg","Скачать индивидуальный QR-код магазина")</f>
        <v>Скачать индивидуальный QR-код магазина</v>
      </c>
    </row>
    <row r="6467" spans="1:7" x14ac:dyDescent="0.25">
      <c r="A6467" t="s">
        <v>18820</v>
      </c>
      <c r="B6467" t="s">
        <v>20760</v>
      </c>
      <c r="C6467" t="s">
        <v>20761</v>
      </c>
      <c r="D6467" t="s">
        <v>20762</v>
      </c>
      <c r="E6467" t="s">
        <v>20763</v>
      </c>
      <c r="F6467" t="s">
        <v>20764</v>
      </c>
      <c r="G6467" s="2" t="str">
        <f>HYPERLINK("https://probpalata.gov.ru/files/ИП770103777800000.jpeg","Скачать индивидуальный QR-код магазина")</f>
        <v>Скачать индивидуальный QR-код магазина</v>
      </c>
    </row>
    <row r="6468" spans="1:7" x14ac:dyDescent="0.25">
      <c r="A6468" t="s">
        <v>18820</v>
      </c>
      <c r="B6468" t="s">
        <v>20765</v>
      </c>
      <c r="C6468" t="s">
        <v>20766</v>
      </c>
      <c r="D6468" t="s">
        <v>20767</v>
      </c>
      <c r="E6468" t="s">
        <v>20768</v>
      </c>
      <c r="F6468" t="s">
        <v>20769</v>
      </c>
      <c r="G6468" s="2" t="str">
        <f>HYPERLINK("https://probpalata.gov.ru/files/ИП500100741900000.jpeg","Скачать индивидуальный QR-код магазина")</f>
        <v>Скачать индивидуальный QR-код магазина</v>
      </c>
    </row>
    <row r="6469" spans="1:7" x14ac:dyDescent="0.25">
      <c r="A6469" t="s">
        <v>18820</v>
      </c>
      <c r="B6469" t="s">
        <v>20770</v>
      </c>
      <c r="C6469" t="s">
        <v>5122</v>
      </c>
      <c r="D6469" t="s">
        <v>5123</v>
      </c>
      <c r="E6469" t="s">
        <v>5124</v>
      </c>
      <c r="F6469" t="s">
        <v>20771</v>
      </c>
      <c r="G6469" s="2" t="str">
        <f>HYPERLINK("https://probpalata.gov.ru/files/ЮЛ670100207100004.jpeg","Скачать индивидуальный QR-код магазина")</f>
        <v>Скачать индивидуальный QR-код магазина</v>
      </c>
    </row>
    <row r="6470" spans="1:7" x14ac:dyDescent="0.25">
      <c r="A6470" t="s">
        <v>18820</v>
      </c>
      <c r="B6470" t="s">
        <v>20772</v>
      </c>
      <c r="C6470" t="s">
        <v>5122</v>
      </c>
      <c r="D6470" t="s">
        <v>5123</v>
      </c>
      <c r="E6470" t="s">
        <v>5124</v>
      </c>
      <c r="F6470" t="s">
        <v>20773</v>
      </c>
      <c r="G6470" s="2" t="str">
        <f>HYPERLINK("https://probpalata.gov.ru/files/ЮЛ670100207100007.jpeg","Скачать индивидуальный QR-код магазина")</f>
        <v>Скачать индивидуальный QR-код магазина</v>
      </c>
    </row>
    <row r="6471" spans="1:7" x14ac:dyDescent="0.25">
      <c r="A6471" t="s">
        <v>18820</v>
      </c>
      <c r="B6471" t="s">
        <v>20774</v>
      </c>
      <c r="C6471" t="s">
        <v>5122</v>
      </c>
      <c r="D6471" t="s">
        <v>5123</v>
      </c>
      <c r="E6471" t="s">
        <v>5124</v>
      </c>
      <c r="F6471" t="s">
        <v>20775</v>
      </c>
      <c r="G6471" s="2" t="str">
        <f>HYPERLINK("https://probpalata.gov.ru/files/ЮЛ670100207100008.jpeg","Скачать индивидуальный QR-код магазина")</f>
        <v>Скачать индивидуальный QR-код магазина</v>
      </c>
    </row>
    <row r="6472" spans="1:7" x14ac:dyDescent="0.25">
      <c r="A6472" t="s">
        <v>18820</v>
      </c>
      <c r="B6472" t="s">
        <v>20776</v>
      </c>
      <c r="C6472" t="s">
        <v>5122</v>
      </c>
      <c r="D6472" t="s">
        <v>5123</v>
      </c>
      <c r="E6472" t="s">
        <v>5124</v>
      </c>
      <c r="F6472" t="s">
        <v>20777</v>
      </c>
      <c r="G6472" s="2" t="str">
        <f>HYPERLINK("https://probpalata.gov.ru/files/ЮЛ670100207100009.jpeg","Скачать индивидуальный QR-код магазина")</f>
        <v>Скачать индивидуальный QR-код магазина</v>
      </c>
    </row>
    <row r="6473" spans="1:7" x14ac:dyDescent="0.25">
      <c r="A6473" t="s">
        <v>18820</v>
      </c>
      <c r="B6473" t="s">
        <v>20778</v>
      </c>
      <c r="C6473" t="s">
        <v>20779</v>
      </c>
      <c r="D6473" t="s">
        <v>20780</v>
      </c>
      <c r="E6473" t="s">
        <v>20781</v>
      </c>
      <c r="F6473" t="s">
        <v>20782</v>
      </c>
      <c r="G6473" s="2" t="str">
        <f>HYPERLINK("https://probpalata.gov.ru/files/ИП770103845500000.jpeg","Скачать индивидуальный QR-код магазина")</f>
        <v>Скачать индивидуальный QR-код магазина</v>
      </c>
    </row>
    <row r="6474" spans="1:7" x14ac:dyDescent="0.25">
      <c r="A6474" t="s">
        <v>18820</v>
      </c>
      <c r="B6474" t="s">
        <v>20783</v>
      </c>
      <c r="C6474" t="s">
        <v>20784</v>
      </c>
      <c r="D6474" t="s">
        <v>20785</v>
      </c>
      <c r="E6474" t="s">
        <v>20786</v>
      </c>
      <c r="F6474" t="s">
        <v>20787</v>
      </c>
      <c r="G6474" s="2" t="str">
        <f>HYPERLINK("https://probpalata.gov.ru/files/ИП770101189500000.jpeg","Скачать индивидуальный QR-код магазина")</f>
        <v>Скачать индивидуальный QR-код магазина</v>
      </c>
    </row>
    <row r="6475" spans="1:7" x14ac:dyDescent="0.25">
      <c r="A6475" t="s">
        <v>18820</v>
      </c>
      <c r="B6475" t="s">
        <v>20788</v>
      </c>
      <c r="C6475" t="s">
        <v>20789</v>
      </c>
      <c r="D6475" t="s">
        <v>20790</v>
      </c>
      <c r="E6475" t="s">
        <v>20791</v>
      </c>
      <c r="F6475" t="s">
        <v>20792</v>
      </c>
      <c r="G6475" s="2" t="str">
        <f>HYPERLINK("https://probpalata.gov.ru/files/ИП500101680500000.jpeg","Скачать индивидуальный QR-код магазина")</f>
        <v>Скачать индивидуальный QR-код магазина</v>
      </c>
    </row>
    <row r="6476" spans="1:7" x14ac:dyDescent="0.25">
      <c r="A6476" t="s">
        <v>18820</v>
      </c>
      <c r="B6476" t="s">
        <v>20793</v>
      </c>
      <c r="C6476" t="s">
        <v>20794</v>
      </c>
      <c r="D6476" t="s">
        <v>20795</v>
      </c>
      <c r="E6476" t="s">
        <v>20796</v>
      </c>
      <c r="F6476" t="s">
        <v>20797</v>
      </c>
      <c r="G6476" s="2" t="str">
        <f>HYPERLINK("https://probpalata.gov.ru/files/ИП770101078500000.jpeg","Скачать индивидуальный QR-код магазина")</f>
        <v>Скачать индивидуальный QR-код магазина</v>
      </c>
    </row>
    <row r="6477" spans="1:7" x14ac:dyDescent="0.25">
      <c r="A6477" t="s">
        <v>18820</v>
      </c>
      <c r="B6477" t="s">
        <v>20798</v>
      </c>
      <c r="C6477" t="s">
        <v>20799</v>
      </c>
      <c r="D6477" t="s">
        <v>20800</v>
      </c>
      <c r="E6477" t="s">
        <v>20801</v>
      </c>
      <c r="F6477" t="s">
        <v>20802</v>
      </c>
      <c r="G6477" s="2" t="str">
        <f>HYPERLINK("https://probpalata.gov.ru/files/ИП770103674400000.jpeg","Скачать индивидуальный QR-код магазина")</f>
        <v>Скачать индивидуальный QR-код магазина</v>
      </c>
    </row>
    <row r="6478" spans="1:7" x14ac:dyDescent="0.25">
      <c r="A6478" t="s">
        <v>18820</v>
      </c>
      <c r="B6478" t="s">
        <v>20803</v>
      </c>
      <c r="C6478" t="s">
        <v>20804</v>
      </c>
      <c r="D6478" t="s">
        <v>20805</v>
      </c>
      <c r="E6478" t="s">
        <v>20806</v>
      </c>
      <c r="F6478" t="s">
        <v>20807</v>
      </c>
      <c r="G6478" s="2" t="str">
        <f>HYPERLINK("https://probpalata.gov.ru/files/ИП690103723500000.jpeg","Скачать индивидуальный QR-код магазина")</f>
        <v>Скачать индивидуальный QR-код магазина</v>
      </c>
    </row>
    <row r="6479" spans="1:7" x14ac:dyDescent="0.25">
      <c r="A6479" t="s">
        <v>18820</v>
      </c>
      <c r="B6479" t="s">
        <v>20808</v>
      </c>
      <c r="C6479" t="s">
        <v>20809</v>
      </c>
      <c r="D6479" t="s">
        <v>20810</v>
      </c>
      <c r="E6479" t="s">
        <v>20811</v>
      </c>
      <c r="F6479" t="s">
        <v>20812</v>
      </c>
      <c r="G6479" s="2" t="str">
        <f>HYPERLINK("https://probpalata.gov.ru/files/ИП500100893100000.jpeg","Скачать индивидуальный QR-код магазина")</f>
        <v>Скачать индивидуальный QR-код магазина</v>
      </c>
    </row>
    <row r="6480" spans="1:7" x14ac:dyDescent="0.25">
      <c r="A6480" t="s">
        <v>18820</v>
      </c>
      <c r="B6480" t="s">
        <v>20813</v>
      </c>
      <c r="C6480" t="s">
        <v>20814</v>
      </c>
      <c r="D6480" t="s">
        <v>20815</v>
      </c>
      <c r="E6480" t="s">
        <v>20816</v>
      </c>
      <c r="F6480" t="s">
        <v>20817</v>
      </c>
      <c r="G6480" s="2" t="str">
        <f>HYPERLINK("https://probpalata.gov.ru/files/ИП770101205500000.jpeg","Скачать индивидуальный QR-код магазина")</f>
        <v>Скачать индивидуальный QR-код магазина</v>
      </c>
    </row>
    <row r="6481" spans="1:7" x14ac:dyDescent="0.25">
      <c r="A6481" t="s">
        <v>18820</v>
      </c>
      <c r="B6481" t="s">
        <v>20818</v>
      </c>
      <c r="C6481" t="s">
        <v>20819</v>
      </c>
      <c r="D6481" t="s">
        <v>20820</v>
      </c>
      <c r="E6481" t="s">
        <v>20821</v>
      </c>
      <c r="F6481" t="s">
        <v>20822</v>
      </c>
      <c r="G6481" s="2" t="str">
        <f>HYPERLINK("https://probpalata.gov.ru/files/ИП690100666200000.jpeg","Скачать индивидуальный QR-код магазина")</f>
        <v>Скачать индивидуальный QR-код магазина</v>
      </c>
    </row>
    <row r="6482" spans="1:7" x14ac:dyDescent="0.25">
      <c r="A6482" t="s">
        <v>18820</v>
      </c>
      <c r="B6482" t="s">
        <v>20823</v>
      </c>
      <c r="C6482" t="s">
        <v>20824</v>
      </c>
      <c r="D6482" t="s">
        <v>20825</v>
      </c>
      <c r="E6482" t="s">
        <v>20826</v>
      </c>
      <c r="F6482" t="s">
        <v>20827</v>
      </c>
      <c r="G6482" s="2" t="str">
        <f>HYPERLINK("https://probpalata.gov.ru/files/ИП700800195600000.jpeg","Скачать индивидуальный QR-код магазина")</f>
        <v>Скачать индивидуальный QR-код магазина</v>
      </c>
    </row>
    <row r="6483" spans="1:7" x14ac:dyDescent="0.25">
      <c r="A6483" t="s">
        <v>18820</v>
      </c>
      <c r="B6483" t="s">
        <v>20828</v>
      </c>
      <c r="C6483" t="s">
        <v>20829</v>
      </c>
      <c r="D6483" t="s">
        <v>20830</v>
      </c>
      <c r="E6483" t="s">
        <v>20831</v>
      </c>
      <c r="F6483" t="s">
        <v>20832</v>
      </c>
      <c r="G6483" s="2" t="str">
        <f>HYPERLINK("https://probpalata.gov.ru/files/ИП080403797600001.jpeg","Скачать индивидуальный QR-код магазина")</f>
        <v>Скачать индивидуальный QR-код магазина</v>
      </c>
    </row>
    <row r="6484" spans="1:7" x14ac:dyDescent="0.25">
      <c r="A6484" t="s">
        <v>18820</v>
      </c>
      <c r="B6484" t="s">
        <v>20833</v>
      </c>
      <c r="C6484" t="s">
        <v>20834</v>
      </c>
      <c r="D6484" t="s">
        <v>20835</v>
      </c>
      <c r="E6484" t="s">
        <v>20836</v>
      </c>
      <c r="F6484" t="s">
        <v>20837</v>
      </c>
      <c r="G6484" s="2" t="str">
        <f>HYPERLINK("https://probpalata.gov.ru/files/ЮЛ770100650500000.jpeg","Скачать индивидуальный QR-код магазина")</f>
        <v>Скачать индивидуальный QR-код магазина</v>
      </c>
    </row>
    <row r="6485" spans="1:7" x14ac:dyDescent="0.25">
      <c r="A6485" t="s">
        <v>18820</v>
      </c>
      <c r="B6485" t="s">
        <v>20838</v>
      </c>
      <c r="C6485" t="s">
        <v>20839</v>
      </c>
      <c r="D6485" t="s">
        <v>20840</v>
      </c>
      <c r="E6485" t="s">
        <v>20841</v>
      </c>
      <c r="F6485" t="s">
        <v>20842</v>
      </c>
      <c r="G6485" s="2" t="str">
        <f>HYPERLINK("https://probpalata.gov.ru/files/ИП710103778500000.jpeg","Скачать индивидуальный QR-код магазина")</f>
        <v>Скачать индивидуальный QR-код магазина</v>
      </c>
    </row>
    <row r="6486" spans="1:7" x14ac:dyDescent="0.25">
      <c r="A6486" t="s">
        <v>18820</v>
      </c>
      <c r="B6486" t="s">
        <v>20843</v>
      </c>
      <c r="C6486" t="s">
        <v>20844</v>
      </c>
      <c r="D6486" t="s">
        <v>20845</v>
      </c>
      <c r="E6486" t="s">
        <v>20846</v>
      </c>
      <c r="F6486" t="s">
        <v>20847</v>
      </c>
      <c r="G6486" s="2" t="str">
        <f>HYPERLINK("https://probpalata.gov.ru/files/ИП500103671900000.jpeg","Скачать индивидуальный QR-код магазина")</f>
        <v>Скачать индивидуальный QR-код магазина</v>
      </c>
    </row>
    <row r="6487" spans="1:7" x14ac:dyDescent="0.25">
      <c r="A6487" t="s">
        <v>18820</v>
      </c>
      <c r="B6487" t="s">
        <v>20848</v>
      </c>
      <c r="C6487" t="s">
        <v>5136</v>
      </c>
      <c r="D6487" t="s">
        <v>5137</v>
      </c>
      <c r="E6487" t="s">
        <v>5138</v>
      </c>
      <c r="F6487" t="s">
        <v>20849</v>
      </c>
      <c r="G6487" s="2" t="str">
        <f>HYPERLINK("https://probpalata.gov.ru/files/ИП500101079300000.jpeg","Скачать индивидуальный QR-код магазина")</f>
        <v>Скачать индивидуальный QR-код магазина</v>
      </c>
    </row>
    <row r="6488" spans="1:7" x14ac:dyDescent="0.25">
      <c r="A6488" t="s">
        <v>18820</v>
      </c>
      <c r="B6488" t="s">
        <v>20850</v>
      </c>
      <c r="C6488" t="s">
        <v>20851</v>
      </c>
      <c r="D6488" t="s">
        <v>20852</v>
      </c>
      <c r="E6488" t="s">
        <v>20853</v>
      </c>
      <c r="F6488" t="s">
        <v>20854</v>
      </c>
      <c r="G6488" s="2" t="str">
        <f>HYPERLINK("https://probpalata.gov.ru/files/ИП780303947400001.jpeg","Скачать индивидуальный QR-код магазина")</f>
        <v>Скачать индивидуальный QR-код магазина</v>
      </c>
    </row>
    <row r="6489" spans="1:7" x14ac:dyDescent="0.25">
      <c r="A6489" t="s">
        <v>18820</v>
      </c>
      <c r="B6489" t="s">
        <v>19192</v>
      </c>
      <c r="C6489" t="s">
        <v>20855</v>
      </c>
      <c r="D6489" t="s">
        <v>20856</v>
      </c>
      <c r="E6489" t="s">
        <v>20857</v>
      </c>
      <c r="F6489" t="s">
        <v>20858</v>
      </c>
      <c r="G6489" s="2" t="str">
        <f>HYPERLINK("https://probpalata.gov.ru/files/ИП720703977700000.jpeg","Скачать индивидуальный QR-код магазина")</f>
        <v>Скачать индивидуальный QR-код магазина</v>
      </c>
    </row>
    <row r="6490" spans="1:7" x14ac:dyDescent="0.25">
      <c r="A6490" t="s">
        <v>18820</v>
      </c>
      <c r="B6490" t="s">
        <v>20859</v>
      </c>
      <c r="C6490" t="s">
        <v>20860</v>
      </c>
      <c r="D6490" t="s">
        <v>20861</v>
      </c>
      <c r="E6490" t="s">
        <v>20862</v>
      </c>
      <c r="F6490" t="s">
        <v>20863</v>
      </c>
      <c r="G6490" s="2" t="str">
        <f>HYPERLINK("https://probpalata.gov.ru/files/ИП770101217100000.jpeg","Скачать индивидуальный QR-код магазина")</f>
        <v>Скачать индивидуальный QR-код магазина</v>
      </c>
    </row>
    <row r="6491" spans="1:7" x14ac:dyDescent="0.25">
      <c r="A6491" t="s">
        <v>18820</v>
      </c>
      <c r="B6491" t="s">
        <v>20864</v>
      </c>
      <c r="C6491" t="s">
        <v>20865</v>
      </c>
      <c r="D6491" t="s">
        <v>20866</v>
      </c>
      <c r="E6491" t="s">
        <v>20867</v>
      </c>
      <c r="F6491" t="s">
        <v>20868</v>
      </c>
      <c r="G6491" s="2" t="str">
        <f>HYPERLINK("https://probpalata.gov.ru/files/ИП770101974800000.jpeg","Скачать индивидуальный QR-код магазина")</f>
        <v>Скачать индивидуальный QR-код магазина</v>
      </c>
    </row>
    <row r="6492" spans="1:7" x14ac:dyDescent="0.25">
      <c r="A6492" t="s">
        <v>18820</v>
      </c>
      <c r="B6492" t="s">
        <v>20869</v>
      </c>
      <c r="C6492" t="s">
        <v>20870</v>
      </c>
      <c r="D6492" t="s">
        <v>20871</v>
      </c>
      <c r="E6492" t="s">
        <v>20872</v>
      </c>
      <c r="F6492" t="s">
        <v>20873</v>
      </c>
      <c r="G6492" s="2" t="str">
        <f>HYPERLINK("https://probpalata.gov.ru/files/ИП770100886000000.jpeg","Скачать индивидуальный QR-код магазина")</f>
        <v>Скачать индивидуальный QR-код магазина</v>
      </c>
    </row>
    <row r="6493" spans="1:7" x14ac:dyDescent="0.25">
      <c r="A6493" t="s">
        <v>18820</v>
      </c>
      <c r="B6493" t="s">
        <v>20874</v>
      </c>
      <c r="C6493" t="s">
        <v>20870</v>
      </c>
      <c r="D6493" t="s">
        <v>20871</v>
      </c>
      <c r="E6493" t="s">
        <v>20872</v>
      </c>
      <c r="F6493" t="s">
        <v>20875</v>
      </c>
      <c r="G6493" s="2" t="str">
        <f>HYPERLINK("https://probpalata.gov.ru/files/ИП770100886000002.jpeg","Скачать индивидуальный QR-код магазина")</f>
        <v>Скачать индивидуальный QR-код магазина</v>
      </c>
    </row>
    <row r="6494" spans="1:7" x14ac:dyDescent="0.25">
      <c r="A6494" t="s">
        <v>18820</v>
      </c>
      <c r="B6494" t="s">
        <v>20876</v>
      </c>
      <c r="C6494" t="s">
        <v>20877</v>
      </c>
      <c r="D6494" t="s">
        <v>20878</v>
      </c>
      <c r="E6494" t="s">
        <v>20879</v>
      </c>
      <c r="F6494" t="s">
        <v>20880</v>
      </c>
      <c r="G6494" s="2" t="str">
        <f>HYPERLINK("https://probpalata.gov.ru/files/ИП770103806000000.jpeg","Скачать индивидуальный QR-код магазина")</f>
        <v>Скачать индивидуальный QR-код магазина</v>
      </c>
    </row>
    <row r="6495" spans="1:7" x14ac:dyDescent="0.25">
      <c r="A6495" t="s">
        <v>18820</v>
      </c>
      <c r="B6495" t="s">
        <v>20881</v>
      </c>
      <c r="C6495" t="s">
        <v>20882</v>
      </c>
      <c r="D6495" t="s">
        <v>20883</v>
      </c>
      <c r="E6495" t="s">
        <v>20884</v>
      </c>
      <c r="F6495" t="s">
        <v>20885</v>
      </c>
      <c r="G6495" s="2" t="str">
        <f>HYPERLINK("https://probpalata.gov.ru/files/ИП740700186900000.jpeg","Скачать индивидуальный QR-код магазина")</f>
        <v>Скачать индивидуальный QR-код магазина</v>
      </c>
    </row>
    <row r="6496" spans="1:7" x14ac:dyDescent="0.25">
      <c r="A6496" t="s">
        <v>18820</v>
      </c>
      <c r="B6496" t="s">
        <v>20886</v>
      </c>
      <c r="C6496" t="s">
        <v>20887</v>
      </c>
      <c r="D6496" t="s">
        <v>20888</v>
      </c>
      <c r="E6496" t="s">
        <v>20889</v>
      </c>
      <c r="F6496" t="s">
        <v>20890</v>
      </c>
      <c r="G6496" s="2" t="str">
        <f>HYPERLINK("https://probpalata.gov.ru/files/ИП740701273300000.jpeg","Скачать индивидуальный QR-код магазина")</f>
        <v>Скачать индивидуальный QR-код магазина</v>
      </c>
    </row>
    <row r="6497" spans="1:7" x14ac:dyDescent="0.25">
      <c r="A6497" t="s">
        <v>18820</v>
      </c>
      <c r="B6497" t="s">
        <v>20891</v>
      </c>
      <c r="C6497" t="s">
        <v>20892</v>
      </c>
      <c r="D6497" t="s">
        <v>20893</v>
      </c>
      <c r="E6497" t="s">
        <v>20894</v>
      </c>
      <c r="F6497" t="s">
        <v>20895</v>
      </c>
      <c r="G6497" s="2" t="str">
        <f>HYPERLINK("https://probpalata.gov.ru/files/ИП740700078100000.jpeg","Скачать индивидуальный QR-код магазина")</f>
        <v>Скачать индивидуальный QR-код магазина</v>
      </c>
    </row>
    <row r="6498" spans="1:7" x14ac:dyDescent="0.25">
      <c r="A6498" t="s">
        <v>18820</v>
      </c>
      <c r="B6498" t="s">
        <v>20896</v>
      </c>
      <c r="C6498" t="s">
        <v>20897</v>
      </c>
      <c r="D6498" t="s">
        <v>20898</v>
      </c>
      <c r="E6498" t="s">
        <v>20899</v>
      </c>
      <c r="F6498" t="s">
        <v>20900</v>
      </c>
      <c r="G6498" s="2" t="str">
        <f>HYPERLINK("https://probpalata.gov.ru/files/ИП770103671300001.jpeg","Скачать индивидуальный QR-код магазина")</f>
        <v>Скачать индивидуальный QR-код магазина</v>
      </c>
    </row>
    <row r="6499" spans="1:7" x14ac:dyDescent="0.25">
      <c r="A6499" t="s">
        <v>18820</v>
      </c>
      <c r="B6499" t="s">
        <v>20901</v>
      </c>
      <c r="C6499" t="s">
        <v>20897</v>
      </c>
      <c r="D6499" t="s">
        <v>20898</v>
      </c>
      <c r="E6499" t="s">
        <v>20899</v>
      </c>
      <c r="F6499" t="s">
        <v>20902</v>
      </c>
      <c r="G6499" s="2" t="str">
        <f>HYPERLINK("https://probpalata.gov.ru/files/ИП770103671300002.jpeg","Скачать индивидуальный QR-код магазина")</f>
        <v>Скачать индивидуальный QR-код магазина</v>
      </c>
    </row>
    <row r="6500" spans="1:7" x14ac:dyDescent="0.25">
      <c r="A6500" t="s">
        <v>18820</v>
      </c>
      <c r="B6500" t="s">
        <v>20903</v>
      </c>
      <c r="C6500" t="s">
        <v>20904</v>
      </c>
      <c r="D6500" t="s">
        <v>20905</v>
      </c>
      <c r="E6500" t="s">
        <v>20906</v>
      </c>
      <c r="F6500" t="s">
        <v>20907</v>
      </c>
      <c r="G6500" s="2" t="str">
        <f>HYPERLINK("https://probpalata.gov.ru/files/ЮЛ760201041800024.jpeg","Скачать индивидуальный QR-код магазина")</f>
        <v>Скачать индивидуальный QR-код магазина</v>
      </c>
    </row>
    <row r="6501" spans="1:7" x14ac:dyDescent="0.25">
      <c r="A6501" t="s">
        <v>18820</v>
      </c>
      <c r="B6501" t="s">
        <v>20908</v>
      </c>
      <c r="C6501" t="s">
        <v>11936</v>
      </c>
      <c r="D6501" t="s">
        <v>20909</v>
      </c>
      <c r="E6501" t="s">
        <v>20910</v>
      </c>
      <c r="F6501" t="s">
        <v>20911</v>
      </c>
      <c r="G6501" s="2" t="str">
        <f>HYPERLINK("https://probpalata.gov.ru/files/ЮЛ760201260000000.jpeg","Скачать индивидуальный QR-код магазина")</f>
        <v>Скачать индивидуальный QR-код магазина</v>
      </c>
    </row>
    <row r="6502" spans="1:7" x14ac:dyDescent="0.25">
      <c r="A6502" t="s">
        <v>18820</v>
      </c>
      <c r="B6502" t="s">
        <v>19160</v>
      </c>
      <c r="C6502" t="s">
        <v>20912</v>
      </c>
      <c r="D6502" t="s">
        <v>20913</v>
      </c>
      <c r="E6502" t="s">
        <v>20914</v>
      </c>
      <c r="F6502" t="s">
        <v>20915</v>
      </c>
      <c r="G6502" s="2" t="str">
        <f>HYPERLINK("https://probpalata.gov.ru/files/ЮЛ770100308300000.jpeg","Скачать индивидуальный QR-код магазина")</f>
        <v>Скачать индивидуальный QR-код магазина</v>
      </c>
    </row>
    <row r="6503" spans="1:7" x14ac:dyDescent="0.25">
      <c r="A6503" t="s">
        <v>18820</v>
      </c>
      <c r="B6503" t="s">
        <v>20916</v>
      </c>
      <c r="C6503" t="s">
        <v>20917</v>
      </c>
      <c r="D6503" t="s">
        <v>20918</v>
      </c>
      <c r="E6503" t="s">
        <v>20919</v>
      </c>
      <c r="F6503" t="s">
        <v>20920</v>
      </c>
      <c r="G6503" s="2" t="str">
        <f>HYPERLINK("https://probpalata.gov.ru/files/ЮЛ770103679500000.jpeg","Скачать индивидуальный QR-код магазина")</f>
        <v>Скачать индивидуальный QR-код магазина</v>
      </c>
    </row>
    <row r="6504" spans="1:7" x14ac:dyDescent="0.25">
      <c r="A6504" t="s">
        <v>18820</v>
      </c>
      <c r="B6504" t="s">
        <v>20921</v>
      </c>
      <c r="C6504" t="s">
        <v>20922</v>
      </c>
      <c r="D6504" t="s">
        <v>20923</v>
      </c>
      <c r="E6504" t="s">
        <v>20924</v>
      </c>
      <c r="F6504" t="s">
        <v>20925</v>
      </c>
      <c r="G6504" s="2" t="str">
        <f>HYPERLINK("https://probpalata.gov.ru/files/ЮЛ770100250000000.jpeg","Скачать индивидуальный QR-код магазина")</f>
        <v>Скачать индивидуальный QR-код магазина</v>
      </c>
    </row>
    <row r="6505" spans="1:7" x14ac:dyDescent="0.25">
      <c r="A6505" t="s">
        <v>18820</v>
      </c>
      <c r="B6505" t="s">
        <v>20926</v>
      </c>
      <c r="C6505" t="s">
        <v>20922</v>
      </c>
      <c r="D6505" t="s">
        <v>20923</v>
      </c>
      <c r="E6505" t="s">
        <v>20924</v>
      </c>
      <c r="F6505" t="s">
        <v>20927</v>
      </c>
      <c r="G6505" s="2" t="str">
        <f>HYPERLINK("https://probpalata.gov.ru/files/ЮЛ770100250000001.jpeg","Скачать индивидуальный QR-код магазина")</f>
        <v>Скачать индивидуальный QR-код магазина</v>
      </c>
    </row>
    <row r="6506" spans="1:7" x14ac:dyDescent="0.25">
      <c r="A6506" t="s">
        <v>18820</v>
      </c>
      <c r="B6506" t="s">
        <v>20928</v>
      </c>
      <c r="C6506" t="s">
        <v>20922</v>
      </c>
      <c r="D6506" t="s">
        <v>20923</v>
      </c>
      <c r="E6506" t="s">
        <v>20924</v>
      </c>
      <c r="F6506" t="s">
        <v>20929</v>
      </c>
      <c r="G6506" s="2" t="str">
        <f>HYPERLINK("https://probpalata.gov.ru/files/ЮЛ770100250000002.jpeg","Скачать индивидуальный QR-код магазина")</f>
        <v>Скачать индивидуальный QR-код магазина</v>
      </c>
    </row>
    <row r="6507" spans="1:7" x14ac:dyDescent="0.25">
      <c r="A6507" t="s">
        <v>18820</v>
      </c>
      <c r="B6507" t="s">
        <v>20930</v>
      </c>
      <c r="C6507" t="s">
        <v>20931</v>
      </c>
      <c r="D6507" t="s">
        <v>20932</v>
      </c>
      <c r="E6507" t="s">
        <v>20933</v>
      </c>
      <c r="F6507" t="s">
        <v>20934</v>
      </c>
      <c r="G6507" s="2" t="str">
        <f>HYPERLINK("https://probpalata.gov.ru/files/ЮЛ770100484800000.jpeg","Скачать индивидуальный QR-код магазина")</f>
        <v>Скачать индивидуальный QR-код магазина</v>
      </c>
    </row>
    <row r="6508" spans="1:7" x14ac:dyDescent="0.25">
      <c r="A6508" t="s">
        <v>18820</v>
      </c>
      <c r="B6508" t="s">
        <v>20935</v>
      </c>
      <c r="C6508" t="s">
        <v>20936</v>
      </c>
      <c r="D6508" t="s">
        <v>20937</v>
      </c>
      <c r="E6508" t="s">
        <v>20938</v>
      </c>
      <c r="F6508" t="s">
        <v>20939</v>
      </c>
      <c r="G6508" s="2" t="str">
        <f>HYPERLINK("https://probpalata.gov.ru/files/ЮЛ770101344600000.jpeg","Скачать индивидуальный QR-код магазина")</f>
        <v>Скачать индивидуальный QR-код магазина</v>
      </c>
    </row>
    <row r="6509" spans="1:7" x14ac:dyDescent="0.25">
      <c r="A6509" t="s">
        <v>18820</v>
      </c>
      <c r="B6509" t="s">
        <v>20940</v>
      </c>
      <c r="C6509" t="s">
        <v>20941</v>
      </c>
      <c r="D6509" t="s">
        <v>20942</v>
      </c>
      <c r="E6509" t="s">
        <v>20943</v>
      </c>
      <c r="F6509" t="s">
        <v>20944</v>
      </c>
      <c r="G6509" s="2" t="str">
        <f>HYPERLINK("https://probpalata.gov.ru/files/ИП770101973600003.jpeg","Скачать индивидуальный QR-код магазина")</f>
        <v>Скачать индивидуальный QR-код магазина</v>
      </c>
    </row>
    <row r="6510" spans="1:7" x14ac:dyDescent="0.25">
      <c r="A6510" t="s">
        <v>18820</v>
      </c>
      <c r="B6510" t="s">
        <v>20945</v>
      </c>
      <c r="C6510" t="s">
        <v>20941</v>
      </c>
      <c r="D6510" t="s">
        <v>20942</v>
      </c>
      <c r="E6510" t="s">
        <v>20943</v>
      </c>
      <c r="F6510" t="s">
        <v>20946</v>
      </c>
      <c r="G6510" s="2" t="str">
        <f>HYPERLINK("https://probpalata.gov.ru/files/ИП770101973600004.jpeg","Скачать индивидуальный QR-код магазина")</f>
        <v>Скачать индивидуальный QR-код магазина</v>
      </c>
    </row>
    <row r="6511" spans="1:7" x14ac:dyDescent="0.25">
      <c r="A6511" t="s">
        <v>18820</v>
      </c>
      <c r="B6511" t="s">
        <v>20947</v>
      </c>
      <c r="C6511" t="s">
        <v>20948</v>
      </c>
      <c r="D6511" t="s">
        <v>20949</v>
      </c>
      <c r="E6511" t="s">
        <v>20950</v>
      </c>
      <c r="F6511" t="s">
        <v>20951</v>
      </c>
      <c r="G6511" s="2" t="str">
        <f>HYPERLINK("https://probpalata.gov.ru/files/ИП770100371000000.jpeg","Скачать индивидуальный QR-код магазина")</f>
        <v>Скачать индивидуальный QR-код магазина</v>
      </c>
    </row>
    <row r="6512" spans="1:7" x14ac:dyDescent="0.25">
      <c r="A6512" t="s">
        <v>18820</v>
      </c>
      <c r="B6512" t="s">
        <v>20952</v>
      </c>
      <c r="C6512" t="s">
        <v>20948</v>
      </c>
      <c r="D6512" t="s">
        <v>20949</v>
      </c>
      <c r="E6512" t="s">
        <v>20950</v>
      </c>
      <c r="F6512" t="s">
        <v>20953</v>
      </c>
      <c r="G6512" s="2" t="str">
        <f>HYPERLINK("https://probpalata.gov.ru/files/ИП770100371000002.jpeg","Скачать индивидуальный QR-код магазина")</f>
        <v>Скачать индивидуальный QR-код магазина</v>
      </c>
    </row>
    <row r="6513" spans="1:7" x14ac:dyDescent="0.25">
      <c r="A6513" t="s">
        <v>18820</v>
      </c>
      <c r="B6513" t="s">
        <v>20954</v>
      </c>
      <c r="C6513" t="s">
        <v>20948</v>
      </c>
      <c r="D6513" t="s">
        <v>20949</v>
      </c>
      <c r="E6513" t="s">
        <v>20950</v>
      </c>
      <c r="F6513" t="s">
        <v>20955</v>
      </c>
      <c r="G6513" s="2" t="str">
        <f>HYPERLINK("https://probpalata.gov.ru/files/ИП770100371000003.jpeg","Скачать индивидуальный QR-код магазина")</f>
        <v>Скачать индивидуальный QR-код магазина</v>
      </c>
    </row>
    <row r="6514" spans="1:7" x14ac:dyDescent="0.25">
      <c r="A6514" t="s">
        <v>18820</v>
      </c>
      <c r="B6514" t="s">
        <v>20956</v>
      </c>
      <c r="C6514" t="s">
        <v>20948</v>
      </c>
      <c r="D6514" t="s">
        <v>20949</v>
      </c>
      <c r="E6514" t="s">
        <v>20950</v>
      </c>
      <c r="F6514" t="s">
        <v>20957</v>
      </c>
      <c r="G6514" s="2" t="str">
        <f>HYPERLINK("https://probpalata.gov.ru/files/ИП770100371000004.jpeg","Скачать индивидуальный QR-код магазина")</f>
        <v>Скачать индивидуальный QR-код магазина</v>
      </c>
    </row>
    <row r="6515" spans="1:7" x14ac:dyDescent="0.25">
      <c r="A6515" t="s">
        <v>18820</v>
      </c>
      <c r="B6515" t="s">
        <v>20958</v>
      </c>
      <c r="C6515" t="s">
        <v>20948</v>
      </c>
      <c r="D6515" t="s">
        <v>20949</v>
      </c>
      <c r="E6515" t="s">
        <v>20950</v>
      </c>
      <c r="F6515" t="s">
        <v>20959</v>
      </c>
      <c r="G6515" s="2" t="str">
        <f>HYPERLINK("https://probpalata.gov.ru/files/ИП770100371000005.jpeg","Скачать индивидуальный QR-код магазина")</f>
        <v>Скачать индивидуальный QR-код магазина</v>
      </c>
    </row>
    <row r="6516" spans="1:7" x14ac:dyDescent="0.25">
      <c r="A6516" t="s">
        <v>18820</v>
      </c>
      <c r="B6516" t="s">
        <v>20960</v>
      </c>
      <c r="C6516" t="s">
        <v>20948</v>
      </c>
      <c r="D6516" t="s">
        <v>20949</v>
      </c>
      <c r="E6516" t="s">
        <v>20950</v>
      </c>
      <c r="F6516" t="s">
        <v>20961</v>
      </c>
      <c r="G6516" s="2" t="str">
        <f>HYPERLINK("https://probpalata.gov.ru/files/ИП770100371000007.jpeg","Скачать индивидуальный QR-код магазина")</f>
        <v>Скачать индивидуальный QR-код магазина</v>
      </c>
    </row>
    <row r="6517" spans="1:7" x14ac:dyDescent="0.25">
      <c r="A6517" t="s">
        <v>18820</v>
      </c>
      <c r="B6517" t="s">
        <v>20962</v>
      </c>
      <c r="C6517" t="s">
        <v>20948</v>
      </c>
      <c r="D6517" t="s">
        <v>20949</v>
      </c>
      <c r="E6517" t="s">
        <v>20950</v>
      </c>
      <c r="F6517" t="s">
        <v>20963</v>
      </c>
      <c r="G6517" s="2" t="str">
        <f>HYPERLINK("https://probpalata.gov.ru/files/ИП770100371000010.jpeg","Скачать индивидуальный QR-код магазина")</f>
        <v>Скачать индивидуальный QR-код магазина</v>
      </c>
    </row>
    <row r="6518" spans="1:7" x14ac:dyDescent="0.25">
      <c r="A6518" t="s">
        <v>18820</v>
      </c>
      <c r="B6518" t="s">
        <v>20964</v>
      </c>
      <c r="C6518" t="s">
        <v>20948</v>
      </c>
      <c r="D6518" t="s">
        <v>20949</v>
      </c>
      <c r="E6518" t="s">
        <v>20950</v>
      </c>
      <c r="F6518" t="s">
        <v>20965</v>
      </c>
      <c r="G6518" s="2" t="str">
        <f>HYPERLINK("https://probpalata.gov.ru/files/ИП770100371000011.jpeg","Скачать индивидуальный QR-код магазина")</f>
        <v>Скачать индивидуальный QR-код магазина</v>
      </c>
    </row>
    <row r="6519" spans="1:7" x14ac:dyDescent="0.25">
      <c r="A6519" t="s">
        <v>18820</v>
      </c>
      <c r="B6519" t="s">
        <v>20966</v>
      </c>
      <c r="C6519" t="s">
        <v>20948</v>
      </c>
      <c r="D6519" t="s">
        <v>20949</v>
      </c>
      <c r="E6519" t="s">
        <v>20950</v>
      </c>
      <c r="F6519" t="s">
        <v>20967</v>
      </c>
      <c r="G6519" s="2" t="str">
        <f>HYPERLINK("https://probpalata.gov.ru/files/ИП770100371000012.jpeg","Скачать индивидуальный QR-код магазина")</f>
        <v>Скачать индивидуальный QR-код магазина</v>
      </c>
    </row>
    <row r="6520" spans="1:7" x14ac:dyDescent="0.25">
      <c r="A6520" t="s">
        <v>18820</v>
      </c>
      <c r="B6520" t="s">
        <v>20968</v>
      </c>
      <c r="C6520" t="s">
        <v>20948</v>
      </c>
      <c r="D6520" t="s">
        <v>20949</v>
      </c>
      <c r="E6520" t="s">
        <v>20950</v>
      </c>
      <c r="F6520" t="s">
        <v>20969</v>
      </c>
      <c r="G6520" s="2" t="str">
        <f>HYPERLINK("https://probpalata.gov.ru/files/ИП770100371000013.jpeg","Скачать индивидуальный QR-код магазина")</f>
        <v>Скачать индивидуальный QR-код магазина</v>
      </c>
    </row>
    <row r="6521" spans="1:7" x14ac:dyDescent="0.25">
      <c r="A6521" t="s">
        <v>18820</v>
      </c>
      <c r="B6521" t="s">
        <v>20970</v>
      </c>
      <c r="C6521" t="s">
        <v>20948</v>
      </c>
      <c r="D6521" t="s">
        <v>20949</v>
      </c>
      <c r="E6521" t="s">
        <v>20950</v>
      </c>
      <c r="F6521" t="s">
        <v>20971</v>
      </c>
      <c r="G6521" s="2" t="str">
        <f>HYPERLINK("https://probpalata.gov.ru/files/ИП770100371000015.jpeg","Скачать индивидуальный QR-код магазина")</f>
        <v>Скачать индивидуальный QR-код магазина</v>
      </c>
    </row>
    <row r="6522" spans="1:7" x14ac:dyDescent="0.25">
      <c r="A6522" t="s">
        <v>18820</v>
      </c>
      <c r="B6522" t="s">
        <v>20972</v>
      </c>
      <c r="C6522" t="s">
        <v>20973</v>
      </c>
      <c r="D6522" t="s">
        <v>20974</v>
      </c>
      <c r="E6522" t="s">
        <v>20975</v>
      </c>
      <c r="F6522" t="s">
        <v>20976</v>
      </c>
      <c r="G6522" s="2" t="str">
        <f>HYPERLINK("https://probpalata.gov.ru/files/ЮЛ770101165800000.jpeg","Скачать индивидуальный QR-код магазина")</f>
        <v>Скачать индивидуальный QR-код магазина</v>
      </c>
    </row>
    <row r="6523" spans="1:7" x14ac:dyDescent="0.25">
      <c r="A6523" t="s">
        <v>18820</v>
      </c>
      <c r="B6523" t="s">
        <v>20977</v>
      </c>
      <c r="C6523" t="s">
        <v>20978</v>
      </c>
      <c r="D6523" t="s">
        <v>20979</v>
      </c>
      <c r="E6523" t="s">
        <v>20980</v>
      </c>
      <c r="F6523" t="s">
        <v>20981</v>
      </c>
      <c r="G6523" s="2" t="str">
        <f>HYPERLINK("https://probpalata.gov.ru/files/ЮЛ770100598500000.jpeg","Скачать индивидуальный QR-код магазина")</f>
        <v>Скачать индивидуальный QR-код магазина</v>
      </c>
    </row>
    <row r="6524" spans="1:7" x14ac:dyDescent="0.25">
      <c r="A6524" t="s">
        <v>18820</v>
      </c>
      <c r="B6524" t="s">
        <v>20982</v>
      </c>
      <c r="C6524" t="s">
        <v>20983</v>
      </c>
      <c r="D6524" t="s">
        <v>20984</v>
      </c>
      <c r="E6524" t="s">
        <v>20985</v>
      </c>
      <c r="F6524" t="s">
        <v>20986</v>
      </c>
      <c r="G6524" s="2" t="str">
        <f>HYPERLINK("https://probpalata.gov.ru/files/ИП770101271600000.jpeg","Скачать индивидуальный QR-код магазина")</f>
        <v>Скачать индивидуальный QR-код магазина</v>
      </c>
    </row>
    <row r="6525" spans="1:7" x14ac:dyDescent="0.25">
      <c r="A6525" t="s">
        <v>18820</v>
      </c>
      <c r="B6525" t="s">
        <v>20987</v>
      </c>
      <c r="C6525" t="s">
        <v>20983</v>
      </c>
      <c r="D6525" t="s">
        <v>20984</v>
      </c>
      <c r="E6525" t="s">
        <v>20985</v>
      </c>
      <c r="F6525" t="s">
        <v>20988</v>
      </c>
      <c r="G6525" s="2" t="str">
        <f>HYPERLINK("https://probpalata.gov.ru/files/ИП770101271600007.jpeg","Скачать индивидуальный QR-код магазина")</f>
        <v>Скачать индивидуальный QR-код магазина</v>
      </c>
    </row>
    <row r="6526" spans="1:7" x14ac:dyDescent="0.25">
      <c r="A6526" t="s">
        <v>18820</v>
      </c>
      <c r="B6526" t="s">
        <v>20989</v>
      </c>
      <c r="C6526" t="s">
        <v>20990</v>
      </c>
      <c r="D6526" t="s">
        <v>20991</v>
      </c>
      <c r="E6526" t="s">
        <v>20992</v>
      </c>
      <c r="F6526" t="s">
        <v>20993</v>
      </c>
      <c r="G6526" s="2" t="str">
        <f>HYPERLINK("https://probpalata.gov.ru/files/ИП770103567900000.jpeg","Скачать индивидуальный QR-код магазина")</f>
        <v>Скачать индивидуальный QR-код магазина</v>
      </c>
    </row>
    <row r="6527" spans="1:7" x14ac:dyDescent="0.25">
      <c r="A6527" t="s">
        <v>18820</v>
      </c>
      <c r="B6527" t="s">
        <v>20994</v>
      </c>
      <c r="C6527" t="s">
        <v>20995</v>
      </c>
      <c r="D6527" t="s">
        <v>20996</v>
      </c>
      <c r="E6527" t="s">
        <v>20997</v>
      </c>
      <c r="F6527" t="s">
        <v>20998</v>
      </c>
      <c r="G6527" s="2" t="str">
        <f>HYPERLINK("https://probpalata.gov.ru/files/ЮЛ770100719200000.jpeg","Скачать индивидуальный QR-код магазина")</f>
        <v>Скачать индивидуальный QR-код магазина</v>
      </c>
    </row>
    <row r="6528" spans="1:7" x14ac:dyDescent="0.25">
      <c r="A6528" t="s">
        <v>18820</v>
      </c>
      <c r="B6528" t="s">
        <v>20999</v>
      </c>
      <c r="C6528" t="s">
        <v>21000</v>
      </c>
      <c r="D6528" t="s">
        <v>21001</v>
      </c>
      <c r="E6528" t="s">
        <v>21002</v>
      </c>
      <c r="F6528" t="s">
        <v>21003</v>
      </c>
      <c r="G6528" s="2" t="str">
        <f>HYPERLINK("https://probpalata.gov.ru/files/ЮЛ770101122600000.jpeg","Скачать индивидуальный QR-код магазина")</f>
        <v>Скачать индивидуальный QR-код магазина</v>
      </c>
    </row>
    <row r="6529" spans="1:7" x14ac:dyDescent="0.25">
      <c r="A6529" t="s">
        <v>18820</v>
      </c>
      <c r="B6529" t="s">
        <v>21004</v>
      </c>
      <c r="C6529" t="s">
        <v>21005</v>
      </c>
      <c r="D6529" t="s">
        <v>21006</v>
      </c>
      <c r="E6529" t="s">
        <v>21007</v>
      </c>
      <c r="F6529" t="s">
        <v>21008</v>
      </c>
      <c r="G6529" s="2" t="str">
        <f>HYPERLINK("https://probpalata.gov.ru/files/ИП770103657400000.jpeg","Скачать индивидуальный QR-код магазина")</f>
        <v>Скачать индивидуальный QR-код магазина</v>
      </c>
    </row>
    <row r="6530" spans="1:7" x14ac:dyDescent="0.25">
      <c r="A6530" t="s">
        <v>18820</v>
      </c>
      <c r="B6530" t="s">
        <v>21009</v>
      </c>
      <c r="C6530" t="s">
        <v>21010</v>
      </c>
      <c r="D6530" t="s">
        <v>21011</v>
      </c>
      <c r="E6530" t="s">
        <v>21012</v>
      </c>
      <c r="F6530" t="s">
        <v>21013</v>
      </c>
      <c r="G6530" s="2" t="str">
        <f>HYPERLINK("https://probpalata.gov.ru/files/ИП770101040100000.jpeg","Скачать индивидуальный QR-код магазина")</f>
        <v>Скачать индивидуальный QR-код магазина</v>
      </c>
    </row>
    <row r="6531" spans="1:7" x14ac:dyDescent="0.25">
      <c r="A6531" t="s">
        <v>18820</v>
      </c>
      <c r="B6531" t="s">
        <v>21014</v>
      </c>
      <c r="C6531" t="s">
        <v>21015</v>
      </c>
      <c r="D6531" t="s">
        <v>21016</v>
      </c>
      <c r="E6531" t="s">
        <v>21017</v>
      </c>
      <c r="F6531" t="s">
        <v>21018</v>
      </c>
      <c r="G6531" s="2" t="str">
        <f>HYPERLINK("https://probpalata.gov.ru/files/ИП770103925500000.jpeg","Скачать индивидуальный QR-код магазина")</f>
        <v>Скачать индивидуальный QR-код магазина</v>
      </c>
    </row>
    <row r="6532" spans="1:7" x14ac:dyDescent="0.25">
      <c r="A6532" t="s">
        <v>18820</v>
      </c>
      <c r="B6532" t="s">
        <v>21019</v>
      </c>
      <c r="C6532" t="s">
        <v>21020</v>
      </c>
      <c r="D6532" t="s">
        <v>21021</v>
      </c>
      <c r="E6532" t="s">
        <v>21022</v>
      </c>
      <c r="F6532" t="s">
        <v>21023</v>
      </c>
      <c r="G6532" s="2" t="str">
        <f>HYPERLINK("https://probpalata.gov.ru/files/ЮЛ770100758300000.jpeg","Скачать индивидуальный QR-код магазина")</f>
        <v>Скачать индивидуальный QR-код магазина</v>
      </c>
    </row>
    <row r="6533" spans="1:7" x14ac:dyDescent="0.25">
      <c r="A6533" t="s">
        <v>18820</v>
      </c>
      <c r="B6533" t="s">
        <v>21024</v>
      </c>
      <c r="C6533" t="s">
        <v>21025</v>
      </c>
      <c r="D6533" t="s">
        <v>21026</v>
      </c>
      <c r="E6533" t="s">
        <v>21027</v>
      </c>
      <c r="F6533" t="s">
        <v>21028</v>
      </c>
      <c r="G6533" s="2" t="str">
        <f>HYPERLINK("https://probpalata.gov.ru/files/ЮЛ770101024900000.jpeg","Скачать индивидуальный QR-код магазина")</f>
        <v>Скачать индивидуальный QR-код магазина</v>
      </c>
    </row>
    <row r="6534" spans="1:7" x14ac:dyDescent="0.25">
      <c r="A6534" t="s">
        <v>18820</v>
      </c>
      <c r="B6534" t="s">
        <v>21029</v>
      </c>
      <c r="C6534" t="s">
        <v>21030</v>
      </c>
      <c r="D6534" t="s">
        <v>21031</v>
      </c>
      <c r="E6534" t="s">
        <v>21032</v>
      </c>
      <c r="F6534" t="s">
        <v>21033</v>
      </c>
      <c r="G6534" s="2" t="str">
        <f>HYPERLINK("https://probpalata.gov.ru/files/ЮЛ770100722600000.jpeg","Скачать индивидуальный QR-код магазина")</f>
        <v>Скачать индивидуальный QR-код магазина</v>
      </c>
    </row>
    <row r="6535" spans="1:7" x14ac:dyDescent="0.25">
      <c r="A6535" t="s">
        <v>18820</v>
      </c>
      <c r="B6535" t="s">
        <v>21034</v>
      </c>
      <c r="C6535" t="s">
        <v>21035</v>
      </c>
      <c r="D6535" t="s">
        <v>21036</v>
      </c>
      <c r="E6535" t="s">
        <v>21037</v>
      </c>
      <c r="F6535" t="s">
        <v>21038</v>
      </c>
      <c r="G6535" s="2" t="str">
        <f>HYPERLINK("https://probpalata.gov.ru/files/ЮЛ770100218500000.jpeg","Скачать индивидуальный QR-код магазина")</f>
        <v>Скачать индивидуальный QR-код магазина</v>
      </c>
    </row>
    <row r="6536" spans="1:7" x14ac:dyDescent="0.25">
      <c r="A6536" t="s">
        <v>18820</v>
      </c>
      <c r="B6536" t="s">
        <v>21039</v>
      </c>
      <c r="C6536" t="s">
        <v>21040</v>
      </c>
      <c r="D6536" t="s">
        <v>21041</v>
      </c>
      <c r="E6536" t="s">
        <v>21042</v>
      </c>
      <c r="F6536" t="s">
        <v>21043</v>
      </c>
      <c r="G6536" s="2" t="str">
        <f>HYPERLINK("https://probpalata.gov.ru/files/ЮЛ770101311300000.jpeg","Скачать индивидуальный QR-код магазина")</f>
        <v>Скачать индивидуальный QR-код магазина</v>
      </c>
    </row>
    <row r="6537" spans="1:7" x14ac:dyDescent="0.25">
      <c r="A6537" t="s">
        <v>18820</v>
      </c>
      <c r="B6537" t="s">
        <v>21044</v>
      </c>
      <c r="C6537" t="s">
        <v>21045</v>
      </c>
      <c r="D6537" t="s">
        <v>21046</v>
      </c>
      <c r="E6537" t="s">
        <v>21047</v>
      </c>
      <c r="F6537" t="s">
        <v>21048</v>
      </c>
      <c r="G6537" s="2" t="str">
        <f>HYPERLINK("https://probpalata.gov.ru/files/ЮЛ770103277100000.jpeg","Скачать индивидуальный QR-код магазина")</f>
        <v>Скачать индивидуальный QR-код магазина</v>
      </c>
    </row>
    <row r="6538" spans="1:7" x14ac:dyDescent="0.25">
      <c r="A6538" t="s">
        <v>18820</v>
      </c>
      <c r="B6538" t="s">
        <v>21049</v>
      </c>
      <c r="C6538" t="s">
        <v>21050</v>
      </c>
      <c r="D6538" t="s">
        <v>21051</v>
      </c>
      <c r="E6538" t="s">
        <v>21052</v>
      </c>
      <c r="F6538" t="s">
        <v>21053</v>
      </c>
      <c r="G6538" s="2" t="str">
        <f>HYPERLINK("https://probpalata.gov.ru/files/ЮЛ770100936800000.jpeg","Скачать индивидуальный QR-код магазина")</f>
        <v>Скачать индивидуальный QR-код магазина</v>
      </c>
    </row>
    <row r="6539" spans="1:7" x14ac:dyDescent="0.25">
      <c r="A6539" t="s">
        <v>18820</v>
      </c>
      <c r="B6539" t="s">
        <v>21054</v>
      </c>
      <c r="C6539" t="s">
        <v>21055</v>
      </c>
      <c r="D6539" t="s">
        <v>21056</v>
      </c>
      <c r="E6539" t="s">
        <v>21057</v>
      </c>
      <c r="F6539" t="s">
        <v>21058</v>
      </c>
      <c r="G6539" s="2" t="str">
        <f>HYPERLINK("https://probpalata.gov.ru/files/ИП770100259600000.jpeg","Скачать индивидуальный QR-код магазина")</f>
        <v>Скачать индивидуальный QR-код магазина</v>
      </c>
    </row>
    <row r="6540" spans="1:7" x14ac:dyDescent="0.25">
      <c r="A6540" t="s">
        <v>18820</v>
      </c>
      <c r="B6540" t="s">
        <v>21059</v>
      </c>
      <c r="C6540" t="s">
        <v>21060</v>
      </c>
      <c r="D6540" t="s">
        <v>21061</v>
      </c>
      <c r="E6540" t="s">
        <v>21062</v>
      </c>
      <c r="F6540" t="s">
        <v>21063</v>
      </c>
      <c r="G6540" s="2" t="str">
        <f>HYPERLINK("https://probpalata.gov.ru/files/ЮЛ770103995800000.jpeg","Скачать индивидуальный QR-код магазина")</f>
        <v>Скачать индивидуальный QR-код магазина</v>
      </c>
    </row>
    <row r="6541" spans="1:7" x14ac:dyDescent="0.25">
      <c r="A6541" t="s">
        <v>18820</v>
      </c>
      <c r="B6541" t="s">
        <v>21064</v>
      </c>
      <c r="C6541" t="s">
        <v>21065</v>
      </c>
      <c r="D6541" t="s">
        <v>21066</v>
      </c>
      <c r="E6541" t="s">
        <v>21067</v>
      </c>
      <c r="F6541" t="s">
        <v>21068</v>
      </c>
      <c r="G6541" s="2" t="str">
        <f>HYPERLINK("https://probpalata.gov.ru/files/ЮЛ770100826400000.jpeg","Скачать индивидуальный QR-код магазина")</f>
        <v>Скачать индивидуальный QR-код магазина</v>
      </c>
    </row>
    <row r="6542" spans="1:7" x14ac:dyDescent="0.25">
      <c r="A6542" t="s">
        <v>18820</v>
      </c>
      <c r="B6542" t="s">
        <v>21069</v>
      </c>
      <c r="C6542" t="s">
        <v>21070</v>
      </c>
      <c r="D6542" t="s">
        <v>21071</v>
      </c>
      <c r="E6542" t="s">
        <v>21072</v>
      </c>
      <c r="F6542" t="s">
        <v>21073</v>
      </c>
      <c r="G6542" s="2" t="str">
        <f>HYPERLINK("https://probpalata.gov.ru/files/ЮЛ770101148500000.jpeg","Скачать индивидуальный QR-код магазина")</f>
        <v>Скачать индивидуальный QR-код магазина</v>
      </c>
    </row>
    <row r="6543" spans="1:7" x14ac:dyDescent="0.25">
      <c r="A6543" t="s">
        <v>18820</v>
      </c>
      <c r="B6543" t="s">
        <v>21074</v>
      </c>
      <c r="C6543" t="s">
        <v>21075</v>
      </c>
      <c r="D6543" t="s">
        <v>21076</v>
      </c>
      <c r="E6543" t="s">
        <v>21077</v>
      </c>
      <c r="F6543" t="s">
        <v>21078</v>
      </c>
      <c r="G6543" s="2" t="str">
        <f>HYPERLINK("https://probpalata.gov.ru/files/ЮЛ770101151000000.jpeg","Скачать индивидуальный QR-код магазина")</f>
        <v>Скачать индивидуальный QR-код магазина</v>
      </c>
    </row>
    <row r="6544" spans="1:7" x14ac:dyDescent="0.25">
      <c r="A6544" t="s">
        <v>18820</v>
      </c>
      <c r="B6544" t="s">
        <v>21079</v>
      </c>
      <c r="C6544" t="s">
        <v>21080</v>
      </c>
      <c r="D6544" t="s">
        <v>21081</v>
      </c>
      <c r="E6544" t="s">
        <v>21082</v>
      </c>
      <c r="F6544" t="s">
        <v>21083</v>
      </c>
      <c r="G6544" s="2" t="str">
        <f>HYPERLINK("https://probpalata.gov.ru/files/ЮЛ770100798800001.jpeg","Скачать индивидуальный QR-код магазина")</f>
        <v>Скачать индивидуальный QR-код магазина</v>
      </c>
    </row>
    <row r="6545" spans="1:7" x14ac:dyDescent="0.25">
      <c r="A6545" t="s">
        <v>18820</v>
      </c>
      <c r="B6545" t="s">
        <v>21084</v>
      </c>
      <c r="C6545" t="s">
        <v>21080</v>
      </c>
      <c r="D6545" t="s">
        <v>21081</v>
      </c>
      <c r="E6545" t="s">
        <v>21082</v>
      </c>
      <c r="F6545" t="s">
        <v>21085</v>
      </c>
      <c r="G6545" s="2" t="str">
        <f>HYPERLINK("https://probpalata.gov.ru/files/ЮЛ770100798800002.jpeg","Скачать индивидуальный QR-код магазина")</f>
        <v>Скачать индивидуальный QR-код магазина</v>
      </c>
    </row>
    <row r="6546" spans="1:7" x14ac:dyDescent="0.25">
      <c r="A6546" t="s">
        <v>18820</v>
      </c>
      <c r="B6546" t="s">
        <v>21086</v>
      </c>
      <c r="C6546" t="s">
        <v>19069</v>
      </c>
      <c r="D6546" t="s">
        <v>21087</v>
      </c>
      <c r="E6546" t="s">
        <v>21088</v>
      </c>
      <c r="F6546" t="s">
        <v>21089</v>
      </c>
      <c r="G6546" s="2" t="str">
        <f>HYPERLINK("https://probpalata.gov.ru/files/ЮЛ770100645400000.jpeg","Скачать индивидуальный QR-код магазина")</f>
        <v>Скачать индивидуальный QR-код магазина</v>
      </c>
    </row>
    <row r="6547" spans="1:7" x14ac:dyDescent="0.25">
      <c r="A6547" t="s">
        <v>18820</v>
      </c>
      <c r="B6547" t="s">
        <v>21090</v>
      </c>
      <c r="C6547" t="s">
        <v>21091</v>
      </c>
      <c r="D6547" t="s">
        <v>21092</v>
      </c>
      <c r="E6547" t="s">
        <v>21093</v>
      </c>
      <c r="F6547" t="s">
        <v>21094</v>
      </c>
      <c r="G6547" s="2" t="str">
        <f>HYPERLINK("https://probpalata.gov.ru/files/ИП770101233400000.jpeg","Скачать индивидуальный QR-код магазина")</f>
        <v>Скачать индивидуальный QR-код магазина</v>
      </c>
    </row>
    <row r="6548" spans="1:7" x14ac:dyDescent="0.25">
      <c r="A6548" t="s">
        <v>18820</v>
      </c>
      <c r="B6548" t="s">
        <v>21095</v>
      </c>
      <c r="C6548" t="s">
        <v>21096</v>
      </c>
      <c r="D6548" t="s">
        <v>21097</v>
      </c>
      <c r="E6548" t="s">
        <v>21098</v>
      </c>
      <c r="F6548" t="s">
        <v>21099</v>
      </c>
      <c r="G6548" s="2" t="str">
        <f>HYPERLINK("https://probpalata.gov.ru/files/ЮЛ770101888500001.jpeg","Скачать индивидуальный QR-код магазина")</f>
        <v>Скачать индивидуальный QR-код магазина</v>
      </c>
    </row>
    <row r="6549" spans="1:7" x14ac:dyDescent="0.25">
      <c r="A6549" t="s">
        <v>18820</v>
      </c>
      <c r="B6549" t="s">
        <v>21100</v>
      </c>
      <c r="C6549" t="s">
        <v>21096</v>
      </c>
      <c r="D6549" t="s">
        <v>21097</v>
      </c>
      <c r="E6549" t="s">
        <v>21098</v>
      </c>
      <c r="F6549" t="s">
        <v>21101</v>
      </c>
      <c r="G6549" s="2" t="str">
        <f>HYPERLINK("https://probpalata.gov.ru/files/ЮЛ770101888500002.jpeg","Скачать индивидуальный QR-код магазина")</f>
        <v>Скачать индивидуальный QR-код магазина</v>
      </c>
    </row>
    <row r="6550" spans="1:7" x14ac:dyDescent="0.25">
      <c r="A6550" t="s">
        <v>18820</v>
      </c>
      <c r="B6550" t="s">
        <v>21102</v>
      </c>
      <c r="C6550" t="s">
        <v>21096</v>
      </c>
      <c r="D6550" t="s">
        <v>21097</v>
      </c>
      <c r="E6550" t="s">
        <v>21098</v>
      </c>
      <c r="F6550" t="s">
        <v>21103</v>
      </c>
      <c r="G6550" s="2" t="str">
        <f>HYPERLINK("https://probpalata.gov.ru/files/ЮЛ770101888500005.jpeg","Скачать индивидуальный QR-код магазина")</f>
        <v>Скачать индивидуальный QR-код магазина</v>
      </c>
    </row>
    <row r="6551" spans="1:7" x14ac:dyDescent="0.25">
      <c r="A6551" t="s">
        <v>18820</v>
      </c>
      <c r="B6551" t="s">
        <v>21104</v>
      </c>
      <c r="C6551" t="s">
        <v>21105</v>
      </c>
      <c r="D6551" t="s">
        <v>21106</v>
      </c>
      <c r="E6551" t="s">
        <v>21107</v>
      </c>
      <c r="F6551" t="s">
        <v>21108</v>
      </c>
      <c r="G6551" s="2" t="str">
        <f>HYPERLINK("https://probpalata.gov.ru/files/ИП770101635500000.jpeg","Скачать индивидуальный QR-код магазина")</f>
        <v>Скачать индивидуальный QR-код магазина</v>
      </c>
    </row>
    <row r="6552" spans="1:7" x14ac:dyDescent="0.25">
      <c r="A6552" t="s">
        <v>18820</v>
      </c>
      <c r="B6552" t="s">
        <v>21109</v>
      </c>
      <c r="C6552" t="s">
        <v>21110</v>
      </c>
      <c r="D6552" t="s">
        <v>21111</v>
      </c>
      <c r="E6552" t="s">
        <v>21112</v>
      </c>
      <c r="F6552" t="s">
        <v>21113</v>
      </c>
      <c r="G6552" s="2" t="str">
        <f>HYPERLINK("https://probpalata.gov.ru/files/ЮЛ770101686400000.jpeg","Скачать индивидуальный QR-код магазина")</f>
        <v>Скачать индивидуальный QR-код магазина</v>
      </c>
    </row>
    <row r="6553" spans="1:7" x14ac:dyDescent="0.25">
      <c r="A6553" t="s">
        <v>18820</v>
      </c>
      <c r="B6553" t="s">
        <v>21114</v>
      </c>
      <c r="C6553" t="s">
        <v>21115</v>
      </c>
      <c r="D6553" t="s">
        <v>21116</v>
      </c>
      <c r="E6553" t="s">
        <v>21117</v>
      </c>
      <c r="F6553" t="s">
        <v>21118</v>
      </c>
      <c r="G6553" s="2" t="str">
        <f>HYPERLINK("https://probpalata.gov.ru/files/ЮЛ770100466200000.jpeg","Скачать индивидуальный QR-код магазина")</f>
        <v>Скачать индивидуальный QR-код магазина</v>
      </c>
    </row>
    <row r="6554" spans="1:7" x14ac:dyDescent="0.25">
      <c r="A6554" t="s">
        <v>18820</v>
      </c>
      <c r="B6554" t="s">
        <v>21119</v>
      </c>
      <c r="C6554" t="s">
        <v>21120</v>
      </c>
      <c r="D6554" t="s">
        <v>21121</v>
      </c>
      <c r="E6554" t="s">
        <v>21122</v>
      </c>
      <c r="F6554" t="s">
        <v>21123</v>
      </c>
      <c r="G6554" s="2" t="str">
        <f>HYPERLINK("https://probpalata.gov.ru/files/ЮЛ770100492700000.jpeg","Скачать индивидуальный QR-код магазина")</f>
        <v>Скачать индивидуальный QR-код магазина</v>
      </c>
    </row>
    <row r="6555" spans="1:7" x14ac:dyDescent="0.25">
      <c r="A6555" t="s">
        <v>18820</v>
      </c>
      <c r="B6555" t="s">
        <v>21124</v>
      </c>
      <c r="C6555" t="s">
        <v>21120</v>
      </c>
      <c r="D6555" t="s">
        <v>21121</v>
      </c>
      <c r="E6555" t="s">
        <v>21122</v>
      </c>
      <c r="F6555" t="s">
        <v>21125</v>
      </c>
      <c r="G6555" s="2" t="str">
        <f>HYPERLINK("https://probpalata.gov.ru/files/ЮЛ770100492700001.jpeg","Скачать индивидуальный QR-код магазина")</f>
        <v>Скачать индивидуальный QR-код магазина</v>
      </c>
    </row>
    <row r="6556" spans="1:7" x14ac:dyDescent="0.25">
      <c r="A6556" t="s">
        <v>18820</v>
      </c>
      <c r="B6556" t="s">
        <v>21126</v>
      </c>
      <c r="C6556" t="s">
        <v>21127</v>
      </c>
      <c r="D6556" t="s">
        <v>21128</v>
      </c>
      <c r="E6556" t="s">
        <v>21129</v>
      </c>
      <c r="F6556" t="s">
        <v>21130</v>
      </c>
      <c r="G6556" s="2" t="str">
        <f>HYPERLINK("https://probpalata.gov.ru/files/ЮЛ770100363400000.jpeg","Скачать индивидуальный QR-код магазина")</f>
        <v>Скачать индивидуальный QR-код магазина</v>
      </c>
    </row>
    <row r="6557" spans="1:7" x14ac:dyDescent="0.25">
      <c r="A6557" t="s">
        <v>18820</v>
      </c>
      <c r="B6557" t="s">
        <v>21131</v>
      </c>
      <c r="C6557" t="s">
        <v>21132</v>
      </c>
      <c r="D6557" t="s">
        <v>21133</v>
      </c>
      <c r="E6557" t="s">
        <v>21134</v>
      </c>
      <c r="F6557" t="s">
        <v>21135</v>
      </c>
      <c r="G6557" s="2" t="str">
        <f>HYPERLINK("https://probpalata.gov.ru/files/ЮЛ770101986400000.jpeg","Скачать индивидуальный QR-код магазина")</f>
        <v>Скачать индивидуальный QR-код магазина</v>
      </c>
    </row>
    <row r="6558" spans="1:7" x14ac:dyDescent="0.25">
      <c r="A6558" t="s">
        <v>18820</v>
      </c>
      <c r="B6558" t="s">
        <v>21136</v>
      </c>
      <c r="C6558" t="s">
        <v>3181</v>
      </c>
      <c r="D6558" t="s">
        <v>21137</v>
      </c>
      <c r="E6558" t="s">
        <v>21138</v>
      </c>
      <c r="F6558" t="s">
        <v>21139</v>
      </c>
      <c r="G6558" s="2" t="str">
        <f>HYPERLINK("https://probpalata.gov.ru/files/ЮЛ770103958900000.jpeg","Скачать индивидуальный QR-код магазина")</f>
        <v>Скачать индивидуальный QR-код магазина</v>
      </c>
    </row>
    <row r="6559" spans="1:7" x14ac:dyDescent="0.25">
      <c r="A6559" t="s">
        <v>18820</v>
      </c>
      <c r="B6559" t="s">
        <v>21140</v>
      </c>
      <c r="C6559" t="s">
        <v>21141</v>
      </c>
      <c r="D6559" t="s">
        <v>21142</v>
      </c>
      <c r="E6559" t="s">
        <v>21143</v>
      </c>
      <c r="F6559" t="s">
        <v>21144</v>
      </c>
      <c r="G6559" s="2" t="str">
        <f>HYPERLINK("https://probpalata.gov.ru/files/ЮЛ770101743700000.jpeg","Скачать индивидуальный QR-код магазина")</f>
        <v>Скачать индивидуальный QR-код магазина</v>
      </c>
    </row>
    <row r="6560" spans="1:7" x14ac:dyDescent="0.25">
      <c r="A6560" t="s">
        <v>18820</v>
      </c>
      <c r="B6560" t="s">
        <v>21145</v>
      </c>
      <c r="C6560" t="s">
        <v>21146</v>
      </c>
      <c r="D6560" t="s">
        <v>21147</v>
      </c>
      <c r="E6560" t="s">
        <v>21148</v>
      </c>
      <c r="F6560" t="s">
        <v>21149</v>
      </c>
      <c r="G6560" s="2" t="str">
        <f>HYPERLINK("https://probpalata.gov.ru/files/ЮЛ770100645900000.jpeg","Скачать индивидуальный QR-код магазина")</f>
        <v>Скачать индивидуальный QR-код магазина</v>
      </c>
    </row>
    <row r="6561" spans="1:7" x14ac:dyDescent="0.25">
      <c r="A6561" t="s">
        <v>18820</v>
      </c>
      <c r="B6561" t="s">
        <v>21150</v>
      </c>
      <c r="C6561" t="s">
        <v>21151</v>
      </c>
      <c r="D6561" t="s">
        <v>21152</v>
      </c>
      <c r="E6561" t="s">
        <v>21153</v>
      </c>
      <c r="F6561" t="s">
        <v>21154</v>
      </c>
      <c r="G6561" s="2" t="str">
        <f>HYPERLINK("https://probpalata.gov.ru/files/ЮЛ770100224500000.jpeg","Скачать индивидуальный QR-код магазина")</f>
        <v>Скачать индивидуальный QR-код магазина</v>
      </c>
    </row>
    <row r="6562" spans="1:7" x14ac:dyDescent="0.25">
      <c r="A6562" t="s">
        <v>18820</v>
      </c>
      <c r="B6562" t="s">
        <v>21155</v>
      </c>
      <c r="C6562" t="s">
        <v>21156</v>
      </c>
      <c r="D6562" t="s">
        <v>21157</v>
      </c>
      <c r="E6562" t="s">
        <v>21158</v>
      </c>
      <c r="F6562" t="s">
        <v>21159</v>
      </c>
      <c r="G6562" s="2" t="str">
        <f>HYPERLINK("https://probpalata.gov.ru/files/ЮЛ770100330500000.jpeg","Скачать индивидуальный QR-код магазина")</f>
        <v>Скачать индивидуальный QR-код магазина</v>
      </c>
    </row>
    <row r="6563" spans="1:7" x14ac:dyDescent="0.25">
      <c r="A6563" t="s">
        <v>18820</v>
      </c>
      <c r="B6563" t="s">
        <v>21160</v>
      </c>
      <c r="C6563" t="s">
        <v>4754</v>
      </c>
      <c r="D6563" t="s">
        <v>21161</v>
      </c>
      <c r="E6563" t="s">
        <v>21162</v>
      </c>
      <c r="F6563" t="s">
        <v>21163</v>
      </c>
      <c r="G6563" s="2" t="str">
        <f>HYPERLINK("https://probpalata.gov.ru/files/ЮЛ770101419500000.jpeg","Скачать индивидуальный QR-код магазина")</f>
        <v>Скачать индивидуальный QR-код магазина</v>
      </c>
    </row>
    <row r="6564" spans="1:7" x14ac:dyDescent="0.25">
      <c r="A6564" t="s">
        <v>18820</v>
      </c>
      <c r="B6564" t="s">
        <v>21164</v>
      </c>
      <c r="C6564" t="s">
        <v>21165</v>
      </c>
      <c r="D6564" t="s">
        <v>21166</v>
      </c>
      <c r="E6564" t="s">
        <v>21167</v>
      </c>
      <c r="F6564" t="s">
        <v>21168</v>
      </c>
      <c r="G6564" s="2" t="str">
        <f>HYPERLINK("https://probpalata.gov.ru/files/ЮЛ770101078200000.jpeg","Скачать индивидуальный QR-код магазина")</f>
        <v>Скачать индивидуальный QR-код магазина</v>
      </c>
    </row>
    <row r="6565" spans="1:7" x14ac:dyDescent="0.25">
      <c r="A6565" t="s">
        <v>18820</v>
      </c>
      <c r="B6565" t="s">
        <v>21169</v>
      </c>
      <c r="C6565" t="s">
        <v>21170</v>
      </c>
      <c r="D6565" t="s">
        <v>21171</v>
      </c>
      <c r="E6565" t="s">
        <v>21172</v>
      </c>
      <c r="F6565" t="s">
        <v>21173</v>
      </c>
      <c r="G6565" s="2" t="str">
        <f>HYPERLINK("https://probpalata.gov.ru/files/ЮЛ770100068400000.jpeg","Скачать индивидуальный QR-код магазина")</f>
        <v>Скачать индивидуальный QR-код магазина</v>
      </c>
    </row>
    <row r="6566" spans="1:7" x14ac:dyDescent="0.25">
      <c r="A6566" t="s">
        <v>18820</v>
      </c>
      <c r="B6566" t="s">
        <v>21174</v>
      </c>
      <c r="C6566" t="s">
        <v>21175</v>
      </c>
      <c r="D6566" t="s">
        <v>21176</v>
      </c>
      <c r="E6566" t="s">
        <v>21177</v>
      </c>
      <c r="F6566" t="s">
        <v>21178</v>
      </c>
      <c r="G6566" s="2" t="str">
        <f>HYPERLINK("https://probpalata.gov.ru/files/ИП770104059500000.jpeg","Скачать индивидуальный QR-код магазина")</f>
        <v>Скачать индивидуальный QR-код магазина</v>
      </c>
    </row>
    <row r="6567" spans="1:7" x14ac:dyDescent="0.25">
      <c r="A6567" t="s">
        <v>18820</v>
      </c>
      <c r="B6567" t="s">
        <v>21179</v>
      </c>
      <c r="C6567" t="s">
        <v>21180</v>
      </c>
      <c r="D6567" t="s">
        <v>21181</v>
      </c>
      <c r="E6567" t="s">
        <v>21182</v>
      </c>
      <c r="F6567" t="s">
        <v>21183</v>
      </c>
      <c r="G6567" s="2" t="str">
        <f>HYPERLINK("https://probpalata.gov.ru/files/ЮЛ770101833300000.jpeg","Скачать индивидуальный QR-код магазина")</f>
        <v>Скачать индивидуальный QR-код магазина</v>
      </c>
    </row>
    <row r="6568" spans="1:7" x14ac:dyDescent="0.25">
      <c r="A6568" t="s">
        <v>18820</v>
      </c>
      <c r="B6568" t="s">
        <v>21184</v>
      </c>
      <c r="C6568" t="s">
        <v>21185</v>
      </c>
      <c r="D6568" t="s">
        <v>21186</v>
      </c>
      <c r="E6568" t="s">
        <v>21187</v>
      </c>
      <c r="F6568" t="s">
        <v>21188</v>
      </c>
      <c r="G6568" s="2" t="str">
        <f>HYPERLINK("https://probpalata.gov.ru/files/ЮЛ770101760700000.jpeg","Скачать индивидуальный QR-код магазина")</f>
        <v>Скачать индивидуальный QR-код магазина</v>
      </c>
    </row>
    <row r="6569" spans="1:7" x14ac:dyDescent="0.25">
      <c r="A6569" t="s">
        <v>18820</v>
      </c>
      <c r="B6569" t="s">
        <v>21189</v>
      </c>
      <c r="C6569" t="s">
        <v>21190</v>
      </c>
      <c r="D6569" t="s">
        <v>21191</v>
      </c>
      <c r="E6569" t="s">
        <v>21192</v>
      </c>
      <c r="F6569" t="s">
        <v>21193</v>
      </c>
      <c r="G6569" s="2" t="str">
        <f>HYPERLINK("https://probpalata.gov.ru/files/ИП770100766300000.jpeg","Скачать индивидуальный QR-код магазина")</f>
        <v>Скачать индивидуальный QR-код магазина</v>
      </c>
    </row>
    <row r="6570" spans="1:7" x14ac:dyDescent="0.25">
      <c r="A6570" t="s">
        <v>18820</v>
      </c>
      <c r="B6570" t="s">
        <v>21194</v>
      </c>
      <c r="C6570" t="s">
        <v>21190</v>
      </c>
      <c r="D6570" t="s">
        <v>21191</v>
      </c>
      <c r="E6570" t="s">
        <v>21192</v>
      </c>
      <c r="F6570" t="s">
        <v>21195</v>
      </c>
      <c r="G6570" s="2" t="str">
        <f>HYPERLINK("https://probpalata.gov.ru/files/ИП770100766300001.jpeg","Скачать индивидуальный QR-код магазина")</f>
        <v>Скачать индивидуальный QR-код магазина</v>
      </c>
    </row>
    <row r="6571" spans="1:7" x14ac:dyDescent="0.25">
      <c r="A6571" t="s">
        <v>18820</v>
      </c>
      <c r="B6571" t="s">
        <v>21196</v>
      </c>
      <c r="C6571" t="s">
        <v>21197</v>
      </c>
      <c r="D6571" t="s">
        <v>21198</v>
      </c>
      <c r="E6571" t="s">
        <v>21199</v>
      </c>
      <c r="F6571" t="s">
        <v>21200</v>
      </c>
      <c r="G6571" s="2" t="str">
        <f>HYPERLINK("https://probpalata.gov.ru/files/ЮЛ770103332800000.jpeg","Скачать индивидуальный QR-код магазина")</f>
        <v>Скачать индивидуальный QR-код магазина</v>
      </c>
    </row>
    <row r="6572" spans="1:7" x14ac:dyDescent="0.25">
      <c r="A6572" t="s">
        <v>18820</v>
      </c>
      <c r="B6572" t="s">
        <v>21201</v>
      </c>
      <c r="C6572" t="s">
        <v>21202</v>
      </c>
      <c r="D6572" t="s">
        <v>21203</v>
      </c>
      <c r="E6572" t="s">
        <v>21204</v>
      </c>
      <c r="F6572" t="s">
        <v>21205</v>
      </c>
      <c r="G6572" s="2" t="str">
        <f>HYPERLINK("https://probpalata.gov.ru/files/ИП770101441500000.jpeg","Скачать индивидуальный QR-код магазина")</f>
        <v>Скачать индивидуальный QR-код магазина</v>
      </c>
    </row>
    <row r="6573" spans="1:7" x14ac:dyDescent="0.25">
      <c r="A6573" t="s">
        <v>18820</v>
      </c>
      <c r="B6573" t="s">
        <v>21206</v>
      </c>
      <c r="C6573" t="s">
        <v>21207</v>
      </c>
      <c r="D6573" t="s">
        <v>21208</v>
      </c>
      <c r="E6573" t="s">
        <v>21209</v>
      </c>
      <c r="F6573" t="s">
        <v>21210</v>
      </c>
      <c r="G6573" s="2" t="str">
        <f>HYPERLINK("https://probpalata.gov.ru/files/ИП770103783300000.jpeg","Скачать индивидуальный QR-код магазина")</f>
        <v>Скачать индивидуальный QR-код магазина</v>
      </c>
    </row>
    <row r="6574" spans="1:7" x14ac:dyDescent="0.25">
      <c r="A6574" t="s">
        <v>18820</v>
      </c>
      <c r="B6574" t="s">
        <v>21211</v>
      </c>
      <c r="C6574" t="s">
        <v>21212</v>
      </c>
      <c r="D6574" t="s">
        <v>21213</v>
      </c>
      <c r="E6574" t="s">
        <v>21214</v>
      </c>
      <c r="F6574" t="s">
        <v>21215</v>
      </c>
      <c r="G6574" s="2" t="str">
        <f>HYPERLINK("https://probpalata.gov.ru/files/ЮЛ770100237300000.jpeg","Скачать индивидуальный QR-код магазина")</f>
        <v>Скачать индивидуальный QR-код магазина</v>
      </c>
    </row>
    <row r="6575" spans="1:7" x14ac:dyDescent="0.25">
      <c r="A6575" t="s">
        <v>18820</v>
      </c>
      <c r="B6575" t="s">
        <v>21216</v>
      </c>
      <c r="C6575" t="s">
        <v>21217</v>
      </c>
      <c r="D6575" t="s">
        <v>21218</v>
      </c>
      <c r="E6575" t="s">
        <v>21219</v>
      </c>
      <c r="F6575" t="s">
        <v>21220</v>
      </c>
      <c r="G6575" s="2" t="str">
        <f>HYPERLINK("https://probpalata.gov.ru/files/ЮЛ770101451300000.jpeg","Скачать индивидуальный QR-код магазина")</f>
        <v>Скачать индивидуальный QR-код магазина</v>
      </c>
    </row>
    <row r="6576" spans="1:7" x14ac:dyDescent="0.25">
      <c r="A6576" t="s">
        <v>18820</v>
      </c>
      <c r="B6576" t="s">
        <v>21221</v>
      </c>
      <c r="C6576" t="s">
        <v>21222</v>
      </c>
      <c r="D6576" t="s">
        <v>21223</v>
      </c>
      <c r="E6576" t="s">
        <v>21224</v>
      </c>
      <c r="F6576" t="s">
        <v>21225</v>
      </c>
      <c r="G6576" s="2" t="str">
        <f>HYPERLINK("https://probpalata.gov.ru/files/ЮЛ770100034700000.jpeg","Скачать индивидуальный QR-код магазина")</f>
        <v>Скачать индивидуальный QR-код магазина</v>
      </c>
    </row>
    <row r="6577" spans="1:7" x14ac:dyDescent="0.25">
      <c r="A6577" t="s">
        <v>18820</v>
      </c>
      <c r="B6577" t="s">
        <v>21226</v>
      </c>
      <c r="C6577" t="s">
        <v>21227</v>
      </c>
      <c r="D6577" t="s">
        <v>21228</v>
      </c>
      <c r="E6577" t="s">
        <v>21229</v>
      </c>
      <c r="F6577" t="s">
        <v>21230</v>
      </c>
      <c r="G6577" s="2" t="str">
        <f>HYPERLINK("https://probpalata.gov.ru/files/ЮЛ770100628000000.jpeg","Скачать индивидуальный QR-код магазина")</f>
        <v>Скачать индивидуальный QR-код магазина</v>
      </c>
    </row>
    <row r="6578" spans="1:7" x14ac:dyDescent="0.25">
      <c r="A6578" t="s">
        <v>18820</v>
      </c>
      <c r="B6578" t="s">
        <v>21231</v>
      </c>
      <c r="C6578" t="s">
        <v>21232</v>
      </c>
      <c r="D6578" t="s">
        <v>21233</v>
      </c>
      <c r="E6578" t="s">
        <v>21234</v>
      </c>
      <c r="F6578" t="s">
        <v>21235</v>
      </c>
      <c r="G6578" s="2" t="str">
        <f>HYPERLINK("https://probpalata.gov.ru/files/ЮЛ770101893700000.jpeg","Скачать индивидуальный QR-код магазина")</f>
        <v>Скачать индивидуальный QR-код магазина</v>
      </c>
    </row>
    <row r="6579" spans="1:7" x14ac:dyDescent="0.25">
      <c r="A6579" t="s">
        <v>18820</v>
      </c>
      <c r="B6579" t="s">
        <v>21236</v>
      </c>
      <c r="C6579" t="s">
        <v>21237</v>
      </c>
      <c r="D6579" t="s">
        <v>21238</v>
      </c>
      <c r="E6579" t="s">
        <v>21239</v>
      </c>
      <c r="F6579" t="s">
        <v>21240</v>
      </c>
      <c r="G6579" s="2" t="str">
        <f>HYPERLINK("https://probpalata.gov.ru/files/ЮЛ770100649200000.jpeg","Скачать индивидуальный QR-код магазина")</f>
        <v>Скачать индивидуальный QR-код магазина</v>
      </c>
    </row>
    <row r="6580" spans="1:7" x14ac:dyDescent="0.25">
      <c r="A6580" t="s">
        <v>18820</v>
      </c>
      <c r="B6580" t="s">
        <v>21241</v>
      </c>
      <c r="C6580" t="s">
        <v>21242</v>
      </c>
      <c r="D6580" t="s">
        <v>21243</v>
      </c>
      <c r="E6580" t="s">
        <v>21244</v>
      </c>
      <c r="F6580" t="s">
        <v>21245</v>
      </c>
      <c r="G6580" s="2" t="str">
        <f>HYPERLINK("https://probpalata.gov.ru/files/ЮЛ770104078700000.jpeg","Скачать индивидуальный QR-код магазина")</f>
        <v>Скачать индивидуальный QR-код магазина</v>
      </c>
    </row>
    <row r="6581" spans="1:7" x14ac:dyDescent="0.25">
      <c r="A6581" t="s">
        <v>18820</v>
      </c>
      <c r="B6581" t="s">
        <v>21246</v>
      </c>
      <c r="C6581" t="s">
        <v>21247</v>
      </c>
      <c r="D6581" t="s">
        <v>21248</v>
      </c>
      <c r="E6581" t="s">
        <v>21249</v>
      </c>
      <c r="F6581" t="s">
        <v>21250</v>
      </c>
      <c r="G6581" s="2" t="str">
        <f>HYPERLINK("https://probpalata.gov.ru/files/ЮЛ770100591200000.jpeg","Скачать индивидуальный QR-код магазина")</f>
        <v>Скачать индивидуальный QR-код магазина</v>
      </c>
    </row>
    <row r="6582" spans="1:7" x14ac:dyDescent="0.25">
      <c r="A6582" t="s">
        <v>18820</v>
      </c>
      <c r="B6582" t="s">
        <v>21251</v>
      </c>
      <c r="C6582" t="s">
        <v>21252</v>
      </c>
      <c r="D6582" t="s">
        <v>21253</v>
      </c>
      <c r="E6582" t="s">
        <v>21254</v>
      </c>
      <c r="F6582" t="s">
        <v>21255</v>
      </c>
      <c r="G6582" s="2" t="str">
        <f>HYPERLINK("https://probpalata.gov.ru/files/ЮЛ770100961900000.jpeg","Скачать индивидуальный QR-код магазина")</f>
        <v>Скачать индивидуальный QR-код магазина</v>
      </c>
    </row>
    <row r="6583" spans="1:7" x14ac:dyDescent="0.25">
      <c r="A6583" t="s">
        <v>18820</v>
      </c>
      <c r="B6583" t="s">
        <v>21256</v>
      </c>
      <c r="C6583" t="s">
        <v>21257</v>
      </c>
      <c r="D6583" t="s">
        <v>21258</v>
      </c>
      <c r="E6583" t="s">
        <v>21259</v>
      </c>
      <c r="F6583" t="s">
        <v>21260</v>
      </c>
      <c r="G6583" s="2" t="str">
        <f>HYPERLINK("https://probpalata.gov.ru/files/ИП770101847800000.jpeg","Скачать индивидуальный QR-код магазина")</f>
        <v>Скачать индивидуальный QR-код магазина</v>
      </c>
    </row>
    <row r="6584" spans="1:7" x14ac:dyDescent="0.25">
      <c r="A6584" t="s">
        <v>18820</v>
      </c>
      <c r="B6584" t="s">
        <v>21261</v>
      </c>
      <c r="C6584" t="s">
        <v>21262</v>
      </c>
      <c r="D6584" t="s">
        <v>21263</v>
      </c>
      <c r="E6584" t="s">
        <v>21264</v>
      </c>
      <c r="F6584" t="s">
        <v>21265</v>
      </c>
      <c r="G6584" s="2" t="str">
        <f>HYPERLINK("https://probpalata.gov.ru/files/ЮЛ770101067400000.jpeg","Скачать индивидуальный QR-код магазина")</f>
        <v>Скачать индивидуальный QR-код магазина</v>
      </c>
    </row>
    <row r="6585" spans="1:7" x14ac:dyDescent="0.25">
      <c r="A6585" t="s">
        <v>18820</v>
      </c>
      <c r="B6585" t="s">
        <v>21266</v>
      </c>
      <c r="C6585" t="s">
        <v>21267</v>
      </c>
      <c r="D6585" t="s">
        <v>21268</v>
      </c>
      <c r="E6585" t="s">
        <v>21269</v>
      </c>
      <c r="F6585" t="s">
        <v>21270</v>
      </c>
      <c r="G6585" s="2" t="str">
        <f>HYPERLINK("https://probpalata.gov.ru/files/ЮЛ770100554400000.jpeg","Скачать индивидуальный QR-код магазина")</f>
        <v>Скачать индивидуальный QR-код магазина</v>
      </c>
    </row>
    <row r="6586" spans="1:7" x14ac:dyDescent="0.25">
      <c r="A6586" t="s">
        <v>18820</v>
      </c>
      <c r="B6586" t="s">
        <v>21271</v>
      </c>
      <c r="C6586" t="s">
        <v>21272</v>
      </c>
      <c r="D6586" t="s">
        <v>21273</v>
      </c>
      <c r="E6586" t="s">
        <v>21274</v>
      </c>
      <c r="F6586" t="s">
        <v>21275</v>
      </c>
      <c r="G6586" s="2" t="str">
        <f>HYPERLINK("https://probpalata.gov.ru/files/ИП770102031000000.jpeg","Скачать индивидуальный QR-код магазина")</f>
        <v>Скачать индивидуальный QR-код магазина</v>
      </c>
    </row>
    <row r="6587" spans="1:7" x14ac:dyDescent="0.25">
      <c r="A6587" t="s">
        <v>18820</v>
      </c>
      <c r="B6587" t="s">
        <v>21276</v>
      </c>
      <c r="C6587" t="s">
        <v>21277</v>
      </c>
      <c r="D6587" t="s">
        <v>21278</v>
      </c>
      <c r="E6587" t="s">
        <v>21279</v>
      </c>
      <c r="F6587" t="s">
        <v>21280</v>
      </c>
      <c r="G6587" s="2" t="str">
        <f>HYPERLINK("https://probpalata.gov.ru/files/ЮЛ770101662700000.jpeg","Скачать индивидуальный QR-код магазина")</f>
        <v>Скачать индивидуальный QR-код магазина</v>
      </c>
    </row>
    <row r="6588" spans="1:7" x14ac:dyDescent="0.25">
      <c r="A6588" t="s">
        <v>18820</v>
      </c>
      <c r="B6588" t="s">
        <v>21281</v>
      </c>
      <c r="C6588" t="s">
        <v>21282</v>
      </c>
      <c r="D6588" t="s">
        <v>21283</v>
      </c>
      <c r="E6588" t="s">
        <v>21284</v>
      </c>
      <c r="F6588" t="s">
        <v>21285</v>
      </c>
      <c r="G6588" s="2" t="str">
        <f>HYPERLINK("https://probpalata.gov.ru/files/ИП770101789300000.jpeg","Скачать индивидуальный QR-код магазина")</f>
        <v>Скачать индивидуальный QR-код магазина</v>
      </c>
    </row>
    <row r="6589" spans="1:7" x14ac:dyDescent="0.25">
      <c r="A6589" t="s">
        <v>18820</v>
      </c>
      <c r="B6589" t="s">
        <v>21286</v>
      </c>
      <c r="C6589" t="s">
        <v>21282</v>
      </c>
      <c r="D6589" t="s">
        <v>21283</v>
      </c>
      <c r="E6589" t="s">
        <v>21284</v>
      </c>
      <c r="F6589" t="s">
        <v>21287</v>
      </c>
      <c r="G6589" s="2" t="str">
        <f>HYPERLINK("https://probpalata.gov.ru/files/ИП770101789300001.jpeg","Скачать индивидуальный QR-код магазина")</f>
        <v>Скачать индивидуальный QR-код магазина</v>
      </c>
    </row>
    <row r="6590" spans="1:7" x14ac:dyDescent="0.25">
      <c r="A6590" t="s">
        <v>18820</v>
      </c>
      <c r="B6590" t="s">
        <v>21288</v>
      </c>
      <c r="C6590" t="s">
        <v>21289</v>
      </c>
      <c r="D6590" t="s">
        <v>21290</v>
      </c>
      <c r="E6590" t="s">
        <v>21291</v>
      </c>
      <c r="F6590" t="s">
        <v>21292</v>
      </c>
      <c r="G6590" s="2" t="str">
        <f>HYPERLINK("https://probpalata.gov.ru/files/ЮЛ770101247600000.jpeg","Скачать индивидуальный QR-код магазина")</f>
        <v>Скачать индивидуальный QR-код магазина</v>
      </c>
    </row>
    <row r="6591" spans="1:7" x14ac:dyDescent="0.25">
      <c r="A6591" t="s">
        <v>18820</v>
      </c>
      <c r="B6591" t="s">
        <v>21293</v>
      </c>
      <c r="C6591" t="s">
        <v>21294</v>
      </c>
      <c r="D6591" t="s">
        <v>21295</v>
      </c>
      <c r="E6591" t="s">
        <v>21296</v>
      </c>
      <c r="F6591" t="s">
        <v>21297</v>
      </c>
      <c r="G6591" s="2" t="str">
        <f>HYPERLINK("https://probpalata.gov.ru/files/ИП500103880500000.jpeg","Скачать индивидуальный QR-код магазина")</f>
        <v>Скачать индивидуальный QR-код магазина</v>
      </c>
    </row>
    <row r="6592" spans="1:7" x14ac:dyDescent="0.25">
      <c r="A6592" t="s">
        <v>18820</v>
      </c>
      <c r="B6592" t="s">
        <v>21298</v>
      </c>
      <c r="C6592" t="s">
        <v>21299</v>
      </c>
      <c r="D6592" t="s">
        <v>21300</v>
      </c>
      <c r="E6592" t="s">
        <v>21301</v>
      </c>
      <c r="F6592" t="s">
        <v>21302</v>
      </c>
      <c r="G6592" s="2" t="str">
        <f>HYPERLINK("https://probpalata.gov.ru/files/ЮЛ770101122000000.jpeg","Скачать индивидуальный QR-код магазина")</f>
        <v>Скачать индивидуальный QR-код магазина</v>
      </c>
    </row>
    <row r="6593" spans="1:7" x14ac:dyDescent="0.25">
      <c r="A6593" t="s">
        <v>18820</v>
      </c>
      <c r="B6593" t="s">
        <v>21303</v>
      </c>
      <c r="C6593" t="s">
        <v>21299</v>
      </c>
      <c r="D6593" t="s">
        <v>21300</v>
      </c>
      <c r="E6593" t="s">
        <v>21301</v>
      </c>
      <c r="F6593" t="s">
        <v>21304</v>
      </c>
      <c r="G6593" s="2" t="str">
        <f>HYPERLINK("https://probpalata.gov.ru/files/ЮЛ770101122000001.jpeg","Скачать индивидуальный QR-код магазина")</f>
        <v>Скачать индивидуальный QR-код магазина</v>
      </c>
    </row>
    <row r="6594" spans="1:7" x14ac:dyDescent="0.25">
      <c r="A6594" t="s">
        <v>18820</v>
      </c>
      <c r="B6594" t="s">
        <v>21305</v>
      </c>
      <c r="C6594" t="s">
        <v>21306</v>
      </c>
      <c r="D6594" t="s">
        <v>21307</v>
      </c>
      <c r="E6594" t="s">
        <v>21308</v>
      </c>
      <c r="F6594" t="s">
        <v>21309</v>
      </c>
      <c r="G6594" s="2" t="str">
        <f>HYPERLINK("https://probpalata.gov.ru/files/ЮЛ770100466700000.jpeg","Скачать индивидуальный QR-код магазина")</f>
        <v>Скачать индивидуальный QR-код магазина</v>
      </c>
    </row>
    <row r="6595" spans="1:7" x14ac:dyDescent="0.25">
      <c r="A6595" t="s">
        <v>18820</v>
      </c>
      <c r="B6595" t="s">
        <v>21310</v>
      </c>
      <c r="C6595" t="s">
        <v>21306</v>
      </c>
      <c r="D6595" t="s">
        <v>21307</v>
      </c>
      <c r="E6595" t="s">
        <v>21308</v>
      </c>
      <c r="F6595" t="s">
        <v>21311</v>
      </c>
      <c r="G6595" s="2" t="str">
        <f>HYPERLINK("https://probpalata.gov.ru/files/ЮЛ770100466700001.jpeg","Скачать индивидуальный QR-код магазина")</f>
        <v>Скачать индивидуальный QR-код магазина</v>
      </c>
    </row>
    <row r="6596" spans="1:7" x14ac:dyDescent="0.25">
      <c r="A6596" t="s">
        <v>18820</v>
      </c>
      <c r="B6596" t="s">
        <v>21312</v>
      </c>
      <c r="C6596" t="s">
        <v>21306</v>
      </c>
      <c r="D6596" t="s">
        <v>21307</v>
      </c>
      <c r="E6596" t="s">
        <v>21308</v>
      </c>
      <c r="F6596" t="s">
        <v>21313</v>
      </c>
      <c r="G6596" s="2" t="str">
        <f>HYPERLINK("https://probpalata.gov.ru/files/ЮЛ770100466700002.jpeg","Скачать индивидуальный QR-код магазина")</f>
        <v>Скачать индивидуальный QR-код магазина</v>
      </c>
    </row>
    <row r="6597" spans="1:7" x14ac:dyDescent="0.25">
      <c r="A6597" t="s">
        <v>18820</v>
      </c>
      <c r="B6597" t="s">
        <v>21314</v>
      </c>
      <c r="C6597" t="s">
        <v>21306</v>
      </c>
      <c r="D6597" t="s">
        <v>21307</v>
      </c>
      <c r="E6597" t="s">
        <v>21308</v>
      </c>
      <c r="F6597" t="s">
        <v>21315</v>
      </c>
      <c r="G6597" s="2" t="str">
        <f>HYPERLINK("https://probpalata.gov.ru/files/ЮЛ770100466700003.jpeg","Скачать индивидуальный QR-код магазина")</f>
        <v>Скачать индивидуальный QR-код магазина</v>
      </c>
    </row>
    <row r="6598" spans="1:7" x14ac:dyDescent="0.25">
      <c r="A6598" t="s">
        <v>18820</v>
      </c>
      <c r="B6598" t="s">
        <v>21316</v>
      </c>
      <c r="C6598" t="s">
        <v>21306</v>
      </c>
      <c r="D6598" t="s">
        <v>21307</v>
      </c>
      <c r="E6598" t="s">
        <v>21308</v>
      </c>
      <c r="F6598" t="s">
        <v>21317</v>
      </c>
      <c r="G6598" s="2" t="str">
        <f>HYPERLINK("https://probpalata.gov.ru/files/ЮЛ770100466700004.jpeg","Скачать индивидуальный QR-код магазина")</f>
        <v>Скачать индивидуальный QR-код магазина</v>
      </c>
    </row>
    <row r="6599" spans="1:7" x14ac:dyDescent="0.25">
      <c r="A6599" t="s">
        <v>18820</v>
      </c>
      <c r="B6599" t="s">
        <v>21318</v>
      </c>
      <c r="C6599" t="s">
        <v>21306</v>
      </c>
      <c r="D6599" t="s">
        <v>21307</v>
      </c>
      <c r="E6599" t="s">
        <v>21308</v>
      </c>
      <c r="F6599" t="s">
        <v>21319</v>
      </c>
      <c r="G6599" s="2" t="str">
        <f>HYPERLINK("https://probpalata.gov.ru/files/ЮЛ770100466700005.jpeg","Скачать индивидуальный QR-код магазина")</f>
        <v>Скачать индивидуальный QR-код магазина</v>
      </c>
    </row>
    <row r="6600" spans="1:7" x14ac:dyDescent="0.25">
      <c r="A6600" t="s">
        <v>18820</v>
      </c>
      <c r="B6600" t="s">
        <v>21320</v>
      </c>
      <c r="C6600" t="s">
        <v>21306</v>
      </c>
      <c r="D6600" t="s">
        <v>21307</v>
      </c>
      <c r="E6600" t="s">
        <v>21308</v>
      </c>
      <c r="F6600" t="s">
        <v>21321</v>
      </c>
      <c r="G6600" s="2" t="str">
        <f>HYPERLINK("https://probpalata.gov.ru/files/ЮЛ770100466700006.jpeg","Скачать индивидуальный QR-код магазина")</f>
        <v>Скачать индивидуальный QR-код магазина</v>
      </c>
    </row>
    <row r="6601" spans="1:7" x14ac:dyDescent="0.25">
      <c r="A6601" t="s">
        <v>18820</v>
      </c>
      <c r="B6601" t="s">
        <v>21322</v>
      </c>
      <c r="C6601" t="s">
        <v>21306</v>
      </c>
      <c r="D6601" t="s">
        <v>21307</v>
      </c>
      <c r="E6601" t="s">
        <v>21308</v>
      </c>
      <c r="F6601" t="s">
        <v>21323</v>
      </c>
      <c r="G6601" s="2" t="str">
        <f>HYPERLINK("https://probpalata.gov.ru/files/ЮЛ770100466700007.jpeg","Скачать индивидуальный QR-код магазина")</f>
        <v>Скачать индивидуальный QR-код магазина</v>
      </c>
    </row>
    <row r="6602" spans="1:7" x14ac:dyDescent="0.25">
      <c r="A6602" t="s">
        <v>18820</v>
      </c>
      <c r="B6602" t="s">
        <v>21324</v>
      </c>
      <c r="C6602" t="s">
        <v>21306</v>
      </c>
      <c r="D6602" t="s">
        <v>21307</v>
      </c>
      <c r="E6602" t="s">
        <v>21308</v>
      </c>
      <c r="F6602" t="s">
        <v>21325</v>
      </c>
      <c r="G6602" s="2" t="str">
        <f>HYPERLINK("https://probpalata.gov.ru/files/ЮЛ770100466700008.jpeg","Скачать индивидуальный QR-код магазина")</f>
        <v>Скачать индивидуальный QR-код магазина</v>
      </c>
    </row>
    <row r="6603" spans="1:7" x14ac:dyDescent="0.25">
      <c r="A6603" t="s">
        <v>18820</v>
      </c>
      <c r="B6603" t="s">
        <v>21326</v>
      </c>
      <c r="C6603" t="s">
        <v>21306</v>
      </c>
      <c r="D6603" t="s">
        <v>21307</v>
      </c>
      <c r="E6603" t="s">
        <v>21308</v>
      </c>
      <c r="F6603" t="s">
        <v>21327</v>
      </c>
      <c r="G6603" s="2" t="str">
        <f>HYPERLINK("https://probpalata.gov.ru/files/ЮЛ770100466700009.jpeg","Скачать индивидуальный QR-код магазина")</f>
        <v>Скачать индивидуальный QR-код магазина</v>
      </c>
    </row>
    <row r="6604" spans="1:7" x14ac:dyDescent="0.25">
      <c r="A6604" t="s">
        <v>18820</v>
      </c>
      <c r="B6604" t="s">
        <v>21328</v>
      </c>
      <c r="C6604" t="s">
        <v>21306</v>
      </c>
      <c r="D6604" t="s">
        <v>21307</v>
      </c>
      <c r="E6604" t="s">
        <v>21308</v>
      </c>
      <c r="F6604" t="s">
        <v>21329</v>
      </c>
      <c r="G6604" s="2" t="str">
        <f>HYPERLINK("https://probpalata.gov.ru/files/ЮЛ770100466700010.jpeg","Скачать индивидуальный QR-код магазина")</f>
        <v>Скачать индивидуальный QR-код магазина</v>
      </c>
    </row>
    <row r="6605" spans="1:7" x14ac:dyDescent="0.25">
      <c r="A6605" t="s">
        <v>18820</v>
      </c>
      <c r="B6605" t="s">
        <v>21330</v>
      </c>
      <c r="C6605" t="s">
        <v>21306</v>
      </c>
      <c r="D6605" t="s">
        <v>21307</v>
      </c>
      <c r="E6605" t="s">
        <v>21308</v>
      </c>
      <c r="F6605" t="s">
        <v>21331</v>
      </c>
      <c r="G6605" s="2" t="str">
        <f>HYPERLINK("https://probpalata.gov.ru/files/ЮЛ770100466700011.jpeg","Скачать индивидуальный QR-код магазина")</f>
        <v>Скачать индивидуальный QR-код магазина</v>
      </c>
    </row>
    <row r="6606" spans="1:7" x14ac:dyDescent="0.25">
      <c r="A6606" t="s">
        <v>18820</v>
      </c>
      <c r="B6606" t="s">
        <v>21332</v>
      </c>
      <c r="C6606" t="s">
        <v>21306</v>
      </c>
      <c r="D6606" t="s">
        <v>21307</v>
      </c>
      <c r="E6606" t="s">
        <v>21308</v>
      </c>
      <c r="F6606" t="s">
        <v>21333</v>
      </c>
      <c r="G6606" s="2" t="str">
        <f>HYPERLINK("https://probpalata.gov.ru/files/ЮЛ770100466700012.jpeg","Скачать индивидуальный QR-код магазина")</f>
        <v>Скачать индивидуальный QR-код магазина</v>
      </c>
    </row>
    <row r="6607" spans="1:7" x14ac:dyDescent="0.25">
      <c r="A6607" t="s">
        <v>18820</v>
      </c>
      <c r="B6607" t="s">
        <v>21334</v>
      </c>
      <c r="C6607" t="s">
        <v>21306</v>
      </c>
      <c r="D6607" t="s">
        <v>21307</v>
      </c>
      <c r="E6607" t="s">
        <v>21308</v>
      </c>
      <c r="F6607" t="s">
        <v>21335</v>
      </c>
      <c r="G6607" s="2" t="str">
        <f>HYPERLINK("https://probpalata.gov.ru/files/ЮЛ770100466700013.jpeg","Скачать индивидуальный QR-код магазина")</f>
        <v>Скачать индивидуальный QR-код магазина</v>
      </c>
    </row>
    <row r="6608" spans="1:7" x14ac:dyDescent="0.25">
      <c r="A6608" t="s">
        <v>18820</v>
      </c>
      <c r="B6608" t="s">
        <v>21336</v>
      </c>
      <c r="C6608" t="s">
        <v>21306</v>
      </c>
      <c r="D6608" t="s">
        <v>21307</v>
      </c>
      <c r="E6608" t="s">
        <v>21308</v>
      </c>
      <c r="F6608" t="s">
        <v>21337</v>
      </c>
      <c r="G6608" s="2" t="str">
        <f>HYPERLINK("https://probpalata.gov.ru/files/ЮЛ770100466700014.jpeg","Скачать индивидуальный QR-код магазина")</f>
        <v>Скачать индивидуальный QR-код магазина</v>
      </c>
    </row>
    <row r="6609" spans="1:7" x14ac:dyDescent="0.25">
      <c r="A6609" t="s">
        <v>18820</v>
      </c>
      <c r="B6609" t="s">
        <v>21338</v>
      </c>
      <c r="C6609" t="s">
        <v>21306</v>
      </c>
      <c r="D6609" t="s">
        <v>21307</v>
      </c>
      <c r="E6609" t="s">
        <v>21308</v>
      </c>
      <c r="F6609" t="s">
        <v>21339</v>
      </c>
      <c r="G6609" s="2" t="str">
        <f>HYPERLINK("https://probpalata.gov.ru/files/ЮЛ770100466700015.jpeg","Скачать индивидуальный QR-код магазина")</f>
        <v>Скачать индивидуальный QR-код магазина</v>
      </c>
    </row>
    <row r="6610" spans="1:7" x14ac:dyDescent="0.25">
      <c r="A6610" t="s">
        <v>18820</v>
      </c>
      <c r="B6610" t="s">
        <v>21340</v>
      </c>
      <c r="C6610" t="s">
        <v>14993</v>
      </c>
      <c r="D6610" t="s">
        <v>14994</v>
      </c>
      <c r="E6610" t="s">
        <v>14995</v>
      </c>
      <c r="F6610" t="s">
        <v>21341</v>
      </c>
      <c r="G6610" s="2" t="str">
        <f>HYPERLINK("https://probpalata.gov.ru/files/ЮЛ770100278900000.jpeg","Скачать индивидуальный QR-код магазина")</f>
        <v>Скачать индивидуальный QR-код магазина</v>
      </c>
    </row>
    <row r="6611" spans="1:7" x14ac:dyDescent="0.25">
      <c r="A6611" t="s">
        <v>18820</v>
      </c>
      <c r="B6611" t="s">
        <v>21342</v>
      </c>
      <c r="C6611" t="s">
        <v>14993</v>
      </c>
      <c r="D6611" t="s">
        <v>14994</v>
      </c>
      <c r="E6611" t="s">
        <v>14995</v>
      </c>
      <c r="F6611" t="s">
        <v>21343</v>
      </c>
      <c r="G6611" s="2" t="str">
        <f>HYPERLINK("https://probpalata.gov.ru/files/ЮЛ770100278900001.jpeg","Скачать индивидуальный QR-код магазина")</f>
        <v>Скачать индивидуальный QR-код магазина</v>
      </c>
    </row>
    <row r="6612" spans="1:7" x14ac:dyDescent="0.25">
      <c r="A6612" t="s">
        <v>18820</v>
      </c>
      <c r="B6612" t="s">
        <v>21344</v>
      </c>
      <c r="C6612" t="s">
        <v>14993</v>
      </c>
      <c r="D6612" t="s">
        <v>14994</v>
      </c>
      <c r="E6612" t="s">
        <v>14995</v>
      </c>
      <c r="F6612" t="s">
        <v>21345</v>
      </c>
      <c r="G6612" s="2" t="str">
        <f>HYPERLINK("https://probpalata.gov.ru/files/ЮЛ770100278900003.jpeg","Скачать индивидуальный QR-код магазина")</f>
        <v>Скачать индивидуальный QR-код магазина</v>
      </c>
    </row>
    <row r="6613" spans="1:7" x14ac:dyDescent="0.25">
      <c r="A6613" t="s">
        <v>18820</v>
      </c>
      <c r="B6613" t="s">
        <v>21346</v>
      </c>
      <c r="C6613" t="s">
        <v>14993</v>
      </c>
      <c r="D6613" t="s">
        <v>14994</v>
      </c>
      <c r="E6613" t="s">
        <v>14995</v>
      </c>
      <c r="F6613" t="s">
        <v>21347</v>
      </c>
      <c r="G6613" s="2" t="str">
        <f>HYPERLINK("https://probpalata.gov.ru/files/ЮЛ770100278900005.jpeg","Скачать индивидуальный QR-код магазина")</f>
        <v>Скачать индивидуальный QR-код магазина</v>
      </c>
    </row>
    <row r="6614" spans="1:7" x14ac:dyDescent="0.25">
      <c r="A6614" t="s">
        <v>18820</v>
      </c>
      <c r="B6614" t="s">
        <v>21348</v>
      </c>
      <c r="C6614" t="s">
        <v>14993</v>
      </c>
      <c r="D6614" t="s">
        <v>14994</v>
      </c>
      <c r="E6614" t="s">
        <v>14995</v>
      </c>
      <c r="F6614" t="s">
        <v>21349</v>
      </c>
      <c r="G6614" s="2" t="str">
        <f>HYPERLINK("https://probpalata.gov.ru/files/ЮЛ770100278900009.jpeg","Скачать индивидуальный QR-код магазина")</f>
        <v>Скачать индивидуальный QR-код магазина</v>
      </c>
    </row>
    <row r="6615" spans="1:7" x14ac:dyDescent="0.25">
      <c r="A6615" t="s">
        <v>18820</v>
      </c>
      <c r="B6615" t="s">
        <v>21350</v>
      </c>
      <c r="C6615" t="s">
        <v>14993</v>
      </c>
      <c r="D6615" t="s">
        <v>14994</v>
      </c>
      <c r="E6615" t="s">
        <v>14995</v>
      </c>
      <c r="F6615" t="s">
        <v>21351</v>
      </c>
      <c r="G6615" s="2" t="str">
        <f>HYPERLINK("https://probpalata.gov.ru/files/ЮЛ770100278900010.jpeg","Скачать индивидуальный QR-код магазина")</f>
        <v>Скачать индивидуальный QR-код магазина</v>
      </c>
    </row>
    <row r="6616" spans="1:7" x14ac:dyDescent="0.25">
      <c r="A6616" t="s">
        <v>18820</v>
      </c>
      <c r="B6616" t="s">
        <v>21352</v>
      </c>
      <c r="C6616" t="s">
        <v>14993</v>
      </c>
      <c r="D6616" t="s">
        <v>14994</v>
      </c>
      <c r="E6616" t="s">
        <v>14995</v>
      </c>
      <c r="F6616" t="s">
        <v>21353</v>
      </c>
      <c r="G6616" s="2" t="str">
        <f>HYPERLINK("https://probpalata.gov.ru/files/ЮЛ770100278900011.jpeg","Скачать индивидуальный QR-код магазина")</f>
        <v>Скачать индивидуальный QR-код магазина</v>
      </c>
    </row>
    <row r="6617" spans="1:7" x14ac:dyDescent="0.25">
      <c r="A6617" t="s">
        <v>18820</v>
      </c>
      <c r="B6617" t="s">
        <v>21354</v>
      </c>
      <c r="C6617" t="s">
        <v>14993</v>
      </c>
      <c r="D6617" t="s">
        <v>14994</v>
      </c>
      <c r="E6617" t="s">
        <v>14995</v>
      </c>
      <c r="F6617" t="s">
        <v>21355</v>
      </c>
      <c r="G6617" s="2" t="str">
        <f>HYPERLINK("https://probpalata.gov.ru/files/ЮЛ770100278900012.jpeg","Скачать индивидуальный QR-код магазина")</f>
        <v>Скачать индивидуальный QR-код магазина</v>
      </c>
    </row>
    <row r="6618" spans="1:7" x14ac:dyDescent="0.25">
      <c r="A6618" t="s">
        <v>18820</v>
      </c>
      <c r="B6618" t="s">
        <v>21356</v>
      </c>
      <c r="C6618" t="s">
        <v>14993</v>
      </c>
      <c r="D6618" t="s">
        <v>14994</v>
      </c>
      <c r="E6618" t="s">
        <v>14995</v>
      </c>
      <c r="F6618" t="s">
        <v>21357</v>
      </c>
      <c r="G6618" s="2" t="str">
        <f>HYPERLINK("https://probpalata.gov.ru/files/ЮЛ770100278900013.jpeg","Скачать индивидуальный QR-код магазина")</f>
        <v>Скачать индивидуальный QR-код магазина</v>
      </c>
    </row>
    <row r="6619" spans="1:7" x14ac:dyDescent="0.25">
      <c r="A6619" t="s">
        <v>18820</v>
      </c>
      <c r="B6619" t="s">
        <v>21358</v>
      </c>
      <c r="C6619" t="s">
        <v>14998</v>
      </c>
      <c r="D6619" t="s">
        <v>14999</v>
      </c>
      <c r="E6619" t="s">
        <v>15000</v>
      </c>
      <c r="F6619" t="s">
        <v>21359</v>
      </c>
      <c r="G6619" s="2" t="str">
        <f>HYPERLINK("https://probpalata.gov.ru/files/ЮЛ770100623000000.jpeg","Скачать индивидуальный QR-код магазина")</f>
        <v>Скачать индивидуальный QR-код магазина</v>
      </c>
    </row>
    <row r="6620" spans="1:7" x14ac:dyDescent="0.25">
      <c r="A6620" t="s">
        <v>18820</v>
      </c>
      <c r="B6620" t="s">
        <v>21360</v>
      </c>
      <c r="C6620" t="s">
        <v>21361</v>
      </c>
      <c r="D6620" t="s">
        <v>21362</v>
      </c>
      <c r="E6620" t="s">
        <v>21363</v>
      </c>
      <c r="F6620" t="s">
        <v>21364</v>
      </c>
      <c r="G6620" s="2" t="str">
        <f>HYPERLINK("https://probpalata.gov.ru/files/ЮЛ770101839500000.jpeg","Скачать индивидуальный QR-код магазина")</f>
        <v>Скачать индивидуальный QR-код магазина</v>
      </c>
    </row>
    <row r="6621" spans="1:7" x14ac:dyDescent="0.25">
      <c r="A6621" t="s">
        <v>18820</v>
      </c>
      <c r="B6621" t="s">
        <v>21365</v>
      </c>
      <c r="C6621" t="s">
        <v>21366</v>
      </c>
      <c r="D6621" t="s">
        <v>21367</v>
      </c>
      <c r="E6621" t="s">
        <v>21368</v>
      </c>
      <c r="F6621" t="s">
        <v>21369</v>
      </c>
      <c r="G6621" s="2" t="str">
        <f>HYPERLINK("https://probpalata.gov.ru/files/ЮЛ770101671700000.jpeg","Скачать индивидуальный QR-код магазина")</f>
        <v>Скачать индивидуальный QR-код магазина</v>
      </c>
    </row>
    <row r="6622" spans="1:7" x14ac:dyDescent="0.25">
      <c r="A6622" t="s">
        <v>18820</v>
      </c>
      <c r="B6622" t="s">
        <v>21370</v>
      </c>
      <c r="C6622" t="s">
        <v>6274</v>
      </c>
      <c r="D6622" t="s">
        <v>21371</v>
      </c>
      <c r="E6622" t="s">
        <v>21372</v>
      </c>
      <c r="F6622" t="s">
        <v>21373</v>
      </c>
      <c r="G6622" s="2" t="str">
        <f>HYPERLINK("https://probpalata.gov.ru/files/ЮЛ770100736200001.jpeg","Скачать индивидуальный QR-код магазина")</f>
        <v>Скачать индивидуальный QR-код магазина</v>
      </c>
    </row>
    <row r="6623" spans="1:7" x14ac:dyDescent="0.25">
      <c r="A6623" t="s">
        <v>18820</v>
      </c>
      <c r="B6623" t="s">
        <v>21374</v>
      </c>
      <c r="C6623" t="s">
        <v>6274</v>
      </c>
      <c r="D6623" t="s">
        <v>21371</v>
      </c>
      <c r="E6623" t="s">
        <v>21372</v>
      </c>
      <c r="F6623" t="s">
        <v>21375</v>
      </c>
      <c r="G6623" s="2" t="str">
        <f>HYPERLINK("https://probpalata.gov.ru/files/ЮЛ770100736200002.jpeg","Скачать индивидуальный QR-код магазина")</f>
        <v>Скачать индивидуальный QR-код магазина</v>
      </c>
    </row>
    <row r="6624" spans="1:7" x14ac:dyDescent="0.25">
      <c r="A6624" t="s">
        <v>18820</v>
      </c>
      <c r="B6624" t="s">
        <v>21376</v>
      </c>
      <c r="C6624" t="s">
        <v>6274</v>
      </c>
      <c r="D6624" t="s">
        <v>21371</v>
      </c>
      <c r="E6624" t="s">
        <v>21372</v>
      </c>
      <c r="F6624" t="s">
        <v>21377</v>
      </c>
      <c r="G6624" s="2" t="str">
        <f>HYPERLINK("https://probpalata.gov.ru/files/ЮЛ770100736200004.jpeg","Скачать индивидуальный QR-код магазина")</f>
        <v>Скачать индивидуальный QR-код магазина</v>
      </c>
    </row>
    <row r="6625" spans="1:7" x14ac:dyDescent="0.25">
      <c r="A6625" t="s">
        <v>18820</v>
      </c>
      <c r="B6625" t="s">
        <v>21378</v>
      </c>
      <c r="C6625" t="s">
        <v>6274</v>
      </c>
      <c r="D6625" t="s">
        <v>21371</v>
      </c>
      <c r="E6625" t="s">
        <v>21372</v>
      </c>
      <c r="F6625" t="s">
        <v>21379</v>
      </c>
      <c r="G6625" s="2" t="str">
        <f>HYPERLINK("https://probpalata.gov.ru/files/ЮЛ770100736200005.jpeg","Скачать индивидуальный QR-код магазина")</f>
        <v>Скачать индивидуальный QR-код магазина</v>
      </c>
    </row>
    <row r="6626" spans="1:7" x14ac:dyDescent="0.25">
      <c r="A6626" t="s">
        <v>18820</v>
      </c>
      <c r="B6626" t="s">
        <v>21380</v>
      </c>
      <c r="C6626" t="s">
        <v>6274</v>
      </c>
      <c r="D6626" t="s">
        <v>21371</v>
      </c>
      <c r="E6626" t="s">
        <v>21372</v>
      </c>
      <c r="F6626" t="s">
        <v>21381</v>
      </c>
      <c r="G6626" s="2" t="str">
        <f>HYPERLINK("https://probpalata.gov.ru/files/ЮЛ770100736200006.jpeg","Скачать индивидуальный QR-код магазина")</f>
        <v>Скачать индивидуальный QR-код магазина</v>
      </c>
    </row>
    <row r="6627" spans="1:7" x14ac:dyDescent="0.25">
      <c r="A6627" t="s">
        <v>18820</v>
      </c>
      <c r="B6627" t="s">
        <v>21382</v>
      </c>
      <c r="C6627" t="s">
        <v>6274</v>
      </c>
      <c r="D6627" t="s">
        <v>21371</v>
      </c>
      <c r="E6627" t="s">
        <v>21372</v>
      </c>
      <c r="F6627" t="s">
        <v>21383</v>
      </c>
      <c r="G6627" s="2" t="str">
        <f>HYPERLINK("https://probpalata.gov.ru/files/ЮЛ770100736200007.jpeg","Скачать индивидуальный QR-код магазина")</f>
        <v>Скачать индивидуальный QR-код магазина</v>
      </c>
    </row>
    <row r="6628" spans="1:7" x14ac:dyDescent="0.25">
      <c r="A6628" t="s">
        <v>18820</v>
      </c>
      <c r="B6628" t="s">
        <v>21384</v>
      </c>
      <c r="C6628" t="s">
        <v>6274</v>
      </c>
      <c r="D6628" t="s">
        <v>21371</v>
      </c>
      <c r="E6628" t="s">
        <v>21372</v>
      </c>
      <c r="F6628" t="s">
        <v>21385</v>
      </c>
      <c r="G6628" s="2" t="str">
        <f>HYPERLINK("https://probpalata.gov.ru/files/ЮЛ770100736200009.jpeg","Скачать индивидуальный QR-код магазина")</f>
        <v>Скачать индивидуальный QR-код магазина</v>
      </c>
    </row>
    <row r="6629" spans="1:7" x14ac:dyDescent="0.25">
      <c r="A6629" t="s">
        <v>18820</v>
      </c>
      <c r="B6629" t="s">
        <v>21386</v>
      </c>
      <c r="C6629" t="s">
        <v>6274</v>
      </c>
      <c r="D6629" t="s">
        <v>21371</v>
      </c>
      <c r="E6629" t="s">
        <v>21372</v>
      </c>
      <c r="F6629" t="s">
        <v>21387</v>
      </c>
      <c r="G6629" s="2" t="str">
        <f>HYPERLINK("https://probpalata.gov.ru/files/ЮЛ770100736200010.jpeg","Скачать индивидуальный QR-код магазина")</f>
        <v>Скачать индивидуальный QR-код магазина</v>
      </c>
    </row>
    <row r="6630" spans="1:7" x14ac:dyDescent="0.25">
      <c r="A6630" t="s">
        <v>18820</v>
      </c>
      <c r="B6630" t="s">
        <v>21388</v>
      </c>
      <c r="C6630" t="s">
        <v>6274</v>
      </c>
      <c r="D6630" t="s">
        <v>21371</v>
      </c>
      <c r="E6630" t="s">
        <v>21372</v>
      </c>
      <c r="F6630" t="s">
        <v>21389</v>
      </c>
      <c r="G6630" s="2" t="str">
        <f>HYPERLINK("https://probpalata.gov.ru/files/ЮЛ770100736200011.jpeg","Скачать индивидуальный QR-код магазина")</f>
        <v>Скачать индивидуальный QR-код магазина</v>
      </c>
    </row>
    <row r="6631" spans="1:7" x14ac:dyDescent="0.25">
      <c r="A6631" t="s">
        <v>18820</v>
      </c>
      <c r="B6631" t="s">
        <v>21390</v>
      </c>
      <c r="C6631" t="s">
        <v>6274</v>
      </c>
      <c r="D6631" t="s">
        <v>21371</v>
      </c>
      <c r="E6631" t="s">
        <v>21372</v>
      </c>
      <c r="F6631" t="s">
        <v>21391</v>
      </c>
      <c r="G6631" s="2" t="str">
        <f>HYPERLINK("https://probpalata.gov.ru/files/ЮЛ770100736200012.jpeg","Скачать индивидуальный QR-код магазина")</f>
        <v>Скачать индивидуальный QR-код магазина</v>
      </c>
    </row>
    <row r="6632" spans="1:7" x14ac:dyDescent="0.25">
      <c r="A6632" t="s">
        <v>18820</v>
      </c>
      <c r="B6632" t="s">
        <v>21392</v>
      </c>
      <c r="C6632" t="s">
        <v>6274</v>
      </c>
      <c r="D6632" t="s">
        <v>21371</v>
      </c>
      <c r="E6632" t="s">
        <v>21372</v>
      </c>
      <c r="F6632" t="s">
        <v>21393</v>
      </c>
      <c r="G6632" s="2" t="str">
        <f>HYPERLINK("https://probpalata.gov.ru/files/ЮЛ770100736200013.jpeg","Скачать индивидуальный QR-код магазина")</f>
        <v>Скачать индивидуальный QR-код магазина</v>
      </c>
    </row>
    <row r="6633" spans="1:7" x14ac:dyDescent="0.25">
      <c r="A6633" t="s">
        <v>18820</v>
      </c>
      <c r="B6633" t="s">
        <v>21394</v>
      </c>
      <c r="C6633" t="s">
        <v>6274</v>
      </c>
      <c r="D6633" t="s">
        <v>21371</v>
      </c>
      <c r="E6633" t="s">
        <v>21372</v>
      </c>
      <c r="F6633" t="s">
        <v>21395</v>
      </c>
      <c r="G6633" s="2" t="str">
        <f>HYPERLINK("https://probpalata.gov.ru/files/ЮЛ770100736200014.jpeg","Скачать индивидуальный QR-код магазина")</f>
        <v>Скачать индивидуальный QR-код магазина</v>
      </c>
    </row>
    <row r="6634" spans="1:7" x14ac:dyDescent="0.25">
      <c r="A6634" t="s">
        <v>18820</v>
      </c>
      <c r="B6634" t="s">
        <v>21396</v>
      </c>
      <c r="C6634" t="s">
        <v>6274</v>
      </c>
      <c r="D6634" t="s">
        <v>21371</v>
      </c>
      <c r="E6634" t="s">
        <v>21372</v>
      </c>
      <c r="F6634" t="s">
        <v>21397</v>
      </c>
      <c r="G6634" s="2" t="str">
        <f>HYPERLINK("https://probpalata.gov.ru/files/ЮЛ770100736200015.jpeg","Скачать индивидуальный QR-код магазина")</f>
        <v>Скачать индивидуальный QR-код магазина</v>
      </c>
    </row>
    <row r="6635" spans="1:7" x14ac:dyDescent="0.25">
      <c r="A6635" t="s">
        <v>18820</v>
      </c>
      <c r="B6635" t="s">
        <v>21398</v>
      </c>
      <c r="C6635" t="s">
        <v>6274</v>
      </c>
      <c r="D6635" t="s">
        <v>21371</v>
      </c>
      <c r="E6635" t="s">
        <v>21372</v>
      </c>
      <c r="F6635" t="s">
        <v>21399</v>
      </c>
      <c r="G6635" s="2" t="str">
        <f>HYPERLINK("https://probpalata.gov.ru/files/ЮЛ770100736200016.jpeg","Скачать индивидуальный QR-код магазина")</f>
        <v>Скачать индивидуальный QR-код магазина</v>
      </c>
    </row>
    <row r="6636" spans="1:7" x14ac:dyDescent="0.25">
      <c r="A6636" t="s">
        <v>18820</v>
      </c>
      <c r="B6636" t="s">
        <v>21400</v>
      </c>
      <c r="C6636" t="s">
        <v>6274</v>
      </c>
      <c r="D6636" t="s">
        <v>21371</v>
      </c>
      <c r="E6636" t="s">
        <v>21372</v>
      </c>
      <c r="F6636" t="s">
        <v>21401</v>
      </c>
      <c r="G6636" s="2" t="str">
        <f>HYPERLINK("https://probpalata.gov.ru/files/ЮЛ770100736200017.jpeg","Скачать индивидуальный QR-код магазина")</f>
        <v>Скачать индивидуальный QR-код магазина</v>
      </c>
    </row>
    <row r="6637" spans="1:7" x14ac:dyDescent="0.25">
      <c r="A6637" t="s">
        <v>18820</v>
      </c>
      <c r="B6637" t="s">
        <v>21402</v>
      </c>
      <c r="C6637" t="s">
        <v>6274</v>
      </c>
      <c r="D6637" t="s">
        <v>21371</v>
      </c>
      <c r="E6637" t="s">
        <v>21372</v>
      </c>
      <c r="F6637" t="s">
        <v>21403</v>
      </c>
      <c r="G6637" s="2" t="str">
        <f>HYPERLINK("https://probpalata.gov.ru/files/ЮЛ770100736200018.jpeg","Скачать индивидуальный QR-код магазина")</f>
        <v>Скачать индивидуальный QR-код магазина</v>
      </c>
    </row>
    <row r="6638" spans="1:7" x14ac:dyDescent="0.25">
      <c r="A6638" t="s">
        <v>18820</v>
      </c>
      <c r="B6638" t="s">
        <v>21404</v>
      </c>
      <c r="C6638" t="s">
        <v>6274</v>
      </c>
      <c r="D6638" t="s">
        <v>21371</v>
      </c>
      <c r="E6638" t="s">
        <v>21372</v>
      </c>
      <c r="F6638" t="s">
        <v>21405</v>
      </c>
      <c r="G6638" s="2" t="str">
        <f>HYPERLINK("https://probpalata.gov.ru/files/ЮЛ770100736200020.jpeg","Скачать индивидуальный QR-код магазина")</f>
        <v>Скачать индивидуальный QR-код магазина</v>
      </c>
    </row>
    <row r="6639" spans="1:7" x14ac:dyDescent="0.25">
      <c r="A6639" t="s">
        <v>18820</v>
      </c>
      <c r="B6639" t="s">
        <v>21406</v>
      </c>
      <c r="C6639" t="s">
        <v>21407</v>
      </c>
      <c r="D6639" t="s">
        <v>21408</v>
      </c>
      <c r="E6639" t="s">
        <v>21409</v>
      </c>
      <c r="F6639" t="s">
        <v>21410</v>
      </c>
      <c r="G6639" s="2" t="str">
        <f>HYPERLINK("https://probpalata.gov.ru/files/ИП770100821200000.jpeg","Скачать индивидуальный QR-код магазина")</f>
        <v>Скачать индивидуальный QR-код магазина</v>
      </c>
    </row>
    <row r="6640" spans="1:7" x14ac:dyDescent="0.25">
      <c r="A6640" t="s">
        <v>18820</v>
      </c>
      <c r="B6640" t="s">
        <v>21411</v>
      </c>
      <c r="C6640" t="s">
        <v>21412</v>
      </c>
      <c r="D6640" t="s">
        <v>21413</v>
      </c>
      <c r="E6640" t="s">
        <v>21414</v>
      </c>
      <c r="F6640" t="s">
        <v>21415</v>
      </c>
      <c r="G6640" s="2" t="str">
        <f>HYPERLINK("https://probpalata.gov.ru/files/ИП770104091200000.jpeg","Скачать индивидуальный QR-код магазина")</f>
        <v>Скачать индивидуальный QR-код магазина</v>
      </c>
    </row>
    <row r="6641" spans="1:7" x14ac:dyDescent="0.25">
      <c r="A6641" t="s">
        <v>18820</v>
      </c>
      <c r="B6641" t="s">
        <v>21416</v>
      </c>
      <c r="C6641" t="s">
        <v>3147</v>
      </c>
      <c r="D6641" t="s">
        <v>3148</v>
      </c>
      <c r="E6641" t="s">
        <v>3149</v>
      </c>
      <c r="F6641" t="s">
        <v>21417</v>
      </c>
      <c r="G6641" s="2" t="str">
        <f>HYPERLINK("https://probpalata.gov.ru/files/ЮЛ330100492500001.jpeg","Скачать индивидуальный QR-код магазина")</f>
        <v>Скачать индивидуальный QR-код магазина</v>
      </c>
    </row>
    <row r="6642" spans="1:7" x14ac:dyDescent="0.25">
      <c r="A6642" t="s">
        <v>18820</v>
      </c>
      <c r="B6642" t="s">
        <v>21418</v>
      </c>
      <c r="C6642" t="s">
        <v>21419</v>
      </c>
      <c r="D6642" t="s">
        <v>21420</v>
      </c>
      <c r="E6642" t="s">
        <v>21421</v>
      </c>
      <c r="F6642" t="s">
        <v>21422</v>
      </c>
      <c r="G6642" s="2" t="str">
        <f>HYPERLINK("https://probpalata.gov.ru/files/ЮЛ770100213600000.jpeg","Скачать индивидуальный QR-код магазина")</f>
        <v>Скачать индивидуальный QR-код магазина</v>
      </c>
    </row>
    <row r="6643" spans="1:7" x14ac:dyDescent="0.25">
      <c r="A6643" t="s">
        <v>18820</v>
      </c>
      <c r="B6643" t="s">
        <v>21423</v>
      </c>
      <c r="C6643" t="s">
        <v>21424</v>
      </c>
      <c r="D6643" t="s">
        <v>21425</v>
      </c>
      <c r="E6643" t="s">
        <v>21426</v>
      </c>
      <c r="F6643" t="s">
        <v>21427</v>
      </c>
      <c r="G6643" s="2" t="str">
        <f>HYPERLINK("https://probpalata.gov.ru/files/ЮЛ770100130000000.jpeg","Скачать индивидуальный QR-код магазина")</f>
        <v>Скачать индивидуальный QR-код магазина</v>
      </c>
    </row>
    <row r="6644" spans="1:7" x14ac:dyDescent="0.25">
      <c r="A6644" t="s">
        <v>18820</v>
      </c>
      <c r="B6644" t="s">
        <v>21428</v>
      </c>
      <c r="C6644" t="s">
        <v>21429</v>
      </c>
      <c r="D6644" t="s">
        <v>21430</v>
      </c>
      <c r="E6644" t="s">
        <v>21431</v>
      </c>
      <c r="F6644" t="s">
        <v>21432</v>
      </c>
      <c r="G6644" s="2" t="str">
        <f>HYPERLINK("https://probpalata.gov.ru/files/ЮЛ770101386500000.jpeg","Скачать индивидуальный QR-код магазина")</f>
        <v>Скачать индивидуальный QR-код магазина</v>
      </c>
    </row>
    <row r="6645" spans="1:7" x14ac:dyDescent="0.25">
      <c r="A6645" t="s">
        <v>18820</v>
      </c>
      <c r="B6645" t="s">
        <v>21433</v>
      </c>
      <c r="C6645" t="s">
        <v>21434</v>
      </c>
      <c r="D6645" t="s">
        <v>21435</v>
      </c>
      <c r="E6645" t="s">
        <v>21436</v>
      </c>
      <c r="F6645" t="s">
        <v>21437</v>
      </c>
      <c r="G6645" s="2" t="str">
        <f>HYPERLINK("https://probpalata.gov.ru/files/ЮЛ770101561600000.jpeg","Скачать индивидуальный QR-код магазина")</f>
        <v>Скачать индивидуальный QR-код магазина</v>
      </c>
    </row>
    <row r="6646" spans="1:7" x14ac:dyDescent="0.25">
      <c r="A6646" t="s">
        <v>18820</v>
      </c>
      <c r="B6646" t="s">
        <v>21438</v>
      </c>
      <c r="C6646" t="s">
        <v>21439</v>
      </c>
      <c r="D6646" t="s">
        <v>21440</v>
      </c>
      <c r="E6646" t="s">
        <v>21441</v>
      </c>
      <c r="F6646" t="s">
        <v>21442</v>
      </c>
      <c r="G6646" s="2" t="str">
        <f>HYPERLINK("https://probpalata.gov.ru/files/ИП770103794000000.jpeg","Скачать индивидуальный QR-код магазина")</f>
        <v>Скачать индивидуальный QR-код магазина</v>
      </c>
    </row>
    <row r="6647" spans="1:7" x14ac:dyDescent="0.25">
      <c r="A6647" t="s">
        <v>18820</v>
      </c>
      <c r="B6647" t="s">
        <v>21443</v>
      </c>
      <c r="C6647" t="s">
        <v>21444</v>
      </c>
      <c r="D6647" t="s">
        <v>21445</v>
      </c>
      <c r="E6647" t="s">
        <v>21446</v>
      </c>
      <c r="F6647" t="s">
        <v>21447</v>
      </c>
      <c r="G6647" s="2" t="str">
        <f>HYPERLINK("https://probpalata.gov.ru/files/ИП770100293700000.jpeg","Скачать индивидуальный QR-код магазина")</f>
        <v>Скачать индивидуальный QR-код магазина</v>
      </c>
    </row>
    <row r="6648" spans="1:7" x14ac:dyDescent="0.25">
      <c r="A6648" t="s">
        <v>18820</v>
      </c>
      <c r="B6648" t="s">
        <v>21448</v>
      </c>
      <c r="C6648" t="s">
        <v>21449</v>
      </c>
      <c r="D6648" t="s">
        <v>21450</v>
      </c>
      <c r="E6648" t="s">
        <v>21451</v>
      </c>
      <c r="F6648" t="s">
        <v>21452</v>
      </c>
      <c r="G6648" s="2" t="str">
        <f>HYPERLINK("https://probpalata.gov.ru/files/ЮЛ770101890400000.jpeg","Скачать индивидуальный QR-код магазина")</f>
        <v>Скачать индивидуальный QR-код магазина</v>
      </c>
    </row>
    <row r="6649" spans="1:7" x14ac:dyDescent="0.25">
      <c r="A6649" t="s">
        <v>18820</v>
      </c>
      <c r="B6649" t="s">
        <v>21453</v>
      </c>
      <c r="C6649" t="s">
        <v>21454</v>
      </c>
      <c r="D6649" t="s">
        <v>21455</v>
      </c>
      <c r="E6649" t="s">
        <v>21456</v>
      </c>
      <c r="F6649" t="s">
        <v>21457</v>
      </c>
      <c r="G6649" s="2" t="str">
        <f>HYPERLINK("https://probpalata.gov.ru/files/ЮЛ770100303800000.jpeg","Скачать индивидуальный QR-код магазина")</f>
        <v>Скачать индивидуальный QR-код магазина</v>
      </c>
    </row>
    <row r="6650" spans="1:7" x14ac:dyDescent="0.25">
      <c r="A6650" t="s">
        <v>18820</v>
      </c>
      <c r="B6650" t="s">
        <v>21458</v>
      </c>
      <c r="C6650" t="s">
        <v>21454</v>
      </c>
      <c r="D6650" t="s">
        <v>21455</v>
      </c>
      <c r="E6650" t="s">
        <v>21456</v>
      </c>
      <c r="F6650" t="s">
        <v>21459</v>
      </c>
      <c r="G6650" s="2" t="str">
        <f>HYPERLINK("https://probpalata.gov.ru/files/ЮЛ770100303800001.jpeg","Скачать индивидуальный QR-код магазина")</f>
        <v>Скачать индивидуальный QR-код магазина</v>
      </c>
    </row>
    <row r="6651" spans="1:7" x14ac:dyDescent="0.25">
      <c r="A6651" t="s">
        <v>18820</v>
      </c>
      <c r="B6651" t="s">
        <v>21460</v>
      </c>
      <c r="C6651" t="s">
        <v>21454</v>
      </c>
      <c r="D6651" t="s">
        <v>21455</v>
      </c>
      <c r="E6651" t="s">
        <v>21456</v>
      </c>
      <c r="F6651" t="s">
        <v>21461</v>
      </c>
      <c r="G6651" s="2" t="str">
        <f>HYPERLINK("https://probpalata.gov.ru/files/ЮЛ770100303800002.jpeg","Скачать индивидуальный QR-код магазина")</f>
        <v>Скачать индивидуальный QR-код магазина</v>
      </c>
    </row>
    <row r="6652" spans="1:7" x14ac:dyDescent="0.25">
      <c r="A6652" t="s">
        <v>18820</v>
      </c>
      <c r="B6652" t="s">
        <v>21462</v>
      </c>
      <c r="C6652" t="s">
        <v>21454</v>
      </c>
      <c r="D6652" t="s">
        <v>21455</v>
      </c>
      <c r="E6652" t="s">
        <v>21456</v>
      </c>
      <c r="F6652" t="s">
        <v>21463</v>
      </c>
      <c r="G6652" s="2" t="str">
        <f>HYPERLINK("https://probpalata.gov.ru/files/ЮЛ770100303800003.jpeg","Скачать индивидуальный QR-код магазина")</f>
        <v>Скачать индивидуальный QR-код магазина</v>
      </c>
    </row>
    <row r="6653" spans="1:7" x14ac:dyDescent="0.25">
      <c r="A6653" t="s">
        <v>18820</v>
      </c>
      <c r="B6653" t="s">
        <v>21464</v>
      </c>
      <c r="C6653" t="s">
        <v>21454</v>
      </c>
      <c r="D6653" t="s">
        <v>21455</v>
      </c>
      <c r="E6653" t="s">
        <v>21456</v>
      </c>
      <c r="F6653" t="s">
        <v>21465</v>
      </c>
      <c r="G6653" s="2" t="str">
        <f>HYPERLINK("https://probpalata.gov.ru/files/ЮЛ770100303800004.jpeg","Скачать индивидуальный QR-код магазина")</f>
        <v>Скачать индивидуальный QR-код магазина</v>
      </c>
    </row>
    <row r="6654" spans="1:7" x14ac:dyDescent="0.25">
      <c r="A6654" t="s">
        <v>18820</v>
      </c>
      <c r="B6654" t="s">
        <v>21466</v>
      </c>
      <c r="C6654" t="s">
        <v>21454</v>
      </c>
      <c r="D6654" t="s">
        <v>21455</v>
      </c>
      <c r="E6654" t="s">
        <v>21456</v>
      </c>
      <c r="F6654" t="s">
        <v>21467</v>
      </c>
      <c r="G6654" s="2" t="str">
        <f>HYPERLINK("https://probpalata.gov.ru/files/ЮЛ770100303800005.jpeg","Скачать индивидуальный QR-код магазина")</f>
        <v>Скачать индивидуальный QR-код магазина</v>
      </c>
    </row>
    <row r="6655" spans="1:7" x14ac:dyDescent="0.25">
      <c r="A6655" t="s">
        <v>18820</v>
      </c>
      <c r="B6655" t="s">
        <v>21468</v>
      </c>
      <c r="C6655" t="s">
        <v>21454</v>
      </c>
      <c r="D6655" t="s">
        <v>21455</v>
      </c>
      <c r="E6655" t="s">
        <v>21456</v>
      </c>
      <c r="F6655" t="s">
        <v>21469</v>
      </c>
      <c r="G6655" s="2" t="str">
        <f>HYPERLINK("https://probpalata.gov.ru/files/ЮЛ770100303800006.jpeg","Скачать индивидуальный QR-код магазина")</f>
        <v>Скачать индивидуальный QR-код магазина</v>
      </c>
    </row>
    <row r="6656" spans="1:7" x14ac:dyDescent="0.25">
      <c r="A6656" t="s">
        <v>18820</v>
      </c>
      <c r="B6656" t="s">
        <v>21470</v>
      </c>
      <c r="C6656" t="s">
        <v>21454</v>
      </c>
      <c r="D6656" t="s">
        <v>21455</v>
      </c>
      <c r="E6656" t="s">
        <v>21456</v>
      </c>
      <c r="F6656" t="s">
        <v>21471</v>
      </c>
      <c r="G6656" s="2" t="str">
        <f>HYPERLINK("https://probpalata.gov.ru/files/ЮЛ770100303800007.jpeg","Скачать индивидуальный QR-код магазина")</f>
        <v>Скачать индивидуальный QR-код магазина</v>
      </c>
    </row>
    <row r="6657" spans="1:7" x14ac:dyDescent="0.25">
      <c r="A6657" t="s">
        <v>18820</v>
      </c>
      <c r="B6657" t="s">
        <v>21472</v>
      </c>
      <c r="C6657" t="s">
        <v>21454</v>
      </c>
      <c r="D6657" t="s">
        <v>21455</v>
      </c>
      <c r="E6657" t="s">
        <v>21456</v>
      </c>
      <c r="F6657" t="s">
        <v>21473</v>
      </c>
      <c r="G6657" s="2" t="str">
        <f>HYPERLINK("https://probpalata.gov.ru/files/ЮЛ770100303800008.jpeg","Скачать индивидуальный QR-код магазина")</f>
        <v>Скачать индивидуальный QR-код магазина</v>
      </c>
    </row>
    <row r="6658" spans="1:7" x14ac:dyDescent="0.25">
      <c r="A6658" t="s">
        <v>18820</v>
      </c>
      <c r="B6658" t="s">
        <v>21474</v>
      </c>
      <c r="C6658" t="s">
        <v>21454</v>
      </c>
      <c r="D6658" t="s">
        <v>21455</v>
      </c>
      <c r="E6658" t="s">
        <v>21456</v>
      </c>
      <c r="F6658" t="s">
        <v>21475</v>
      </c>
      <c r="G6658" s="2" t="str">
        <f>HYPERLINK("https://probpalata.gov.ru/files/ЮЛ770100303800009.jpeg","Скачать индивидуальный QR-код магазина")</f>
        <v>Скачать индивидуальный QR-код магазина</v>
      </c>
    </row>
    <row r="6659" spans="1:7" x14ac:dyDescent="0.25">
      <c r="A6659" t="s">
        <v>18820</v>
      </c>
      <c r="B6659" t="s">
        <v>21476</v>
      </c>
      <c r="C6659" t="s">
        <v>21454</v>
      </c>
      <c r="D6659" t="s">
        <v>21455</v>
      </c>
      <c r="E6659" t="s">
        <v>21456</v>
      </c>
      <c r="F6659" t="s">
        <v>21477</v>
      </c>
      <c r="G6659" s="2" t="str">
        <f>HYPERLINK("https://probpalata.gov.ru/files/ЮЛ770100303800010.jpeg","Скачать индивидуальный QR-код магазина")</f>
        <v>Скачать индивидуальный QR-код магазина</v>
      </c>
    </row>
    <row r="6660" spans="1:7" x14ac:dyDescent="0.25">
      <c r="A6660" t="s">
        <v>18820</v>
      </c>
      <c r="B6660" t="s">
        <v>21478</v>
      </c>
      <c r="C6660" t="s">
        <v>21454</v>
      </c>
      <c r="D6660" t="s">
        <v>21455</v>
      </c>
      <c r="E6660" t="s">
        <v>21456</v>
      </c>
      <c r="F6660" t="s">
        <v>21479</v>
      </c>
      <c r="G6660" s="2" t="str">
        <f>HYPERLINK("https://probpalata.gov.ru/files/ЮЛ770100303800011.jpeg","Скачать индивидуальный QR-код магазина")</f>
        <v>Скачать индивидуальный QR-код магазина</v>
      </c>
    </row>
    <row r="6661" spans="1:7" x14ac:dyDescent="0.25">
      <c r="A6661" t="s">
        <v>18820</v>
      </c>
      <c r="B6661" t="s">
        <v>21480</v>
      </c>
      <c r="C6661" t="s">
        <v>21454</v>
      </c>
      <c r="D6661" t="s">
        <v>21455</v>
      </c>
      <c r="E6661" t="s">
        <v>21456</v>
      </c>
      <c r="F6661" t="s">
        <v>21481</v>
      </c>
      <c r="G6661" s="2" t="str">
        <f>HYPERLINK("https://probpalata.gov.ru/files/ЮЛ770100303800012.jpeg","Скачать индивидуальный QR-код магазина")</f>
        <v>Скачать индивидуальный QR-код магазина</v>
      </c>
    </row>
    <row r="6662" spans="1:7" x14ac:dyDescent="0.25">
      <c r="A6662" t="s">
        <v>18820</v>
      </c>
      <c r="B6662" t="s">
        <v>21482</v>
      </c>
      <c r="C6662" t="s">
        <v>6274</v>
      </c>
      <c r="D6662" t="s">
        <v>21483</v>
      </c>
      <c r="E6662" t="s">
        <v>21484</v>
      </c>
      <c r="F6662" t="s">
        <v>21485</v>
      </c>
      <c r="G6662" s="2" t="str">
        <f>HYPERLINK("https://probpalata.gov.ru/files/ЮЛ770100717700001.jpeg","Скачать индивидуальный QR-код магазина")</f>
        <v>Скачать индивидуальный QR-код магазина</v>
      </c>
    </row>
    <row r="6663" spans="1:7" x14ac:dyDescent="0.25">
      <c r="A6663" t="s">
        <v>18820</v>
      </c>
      <c r="B6663" t="s">
        <v>21486</v>
      </c>
      <c r="C6663" t="s">
        <v>6274</v>
      </c>
      <c r="D6663" t="s">
        <v>21483</v>
      </c>
      <c r="E6663" t="s">
        <v>21484</v>
      </c>
      <c r="F6663" t="s">
        <v>21487</v>
      </c>
      <c r="G6663" s="2" t="str">
        <f>HYPERLINK("https://probpalata.gov.ru/files/ЮЛ770100717700002.jpeg","Скачать индивидуальный QR-код магазина")</f>
        <v>Скачать индивидуальный QR-код магазина</v>
      </c>
    </row>
    <row r="6664" spans="1:7" x14ac:dyDescent="0.25">
      <c r="A6664" t="s">
        <v>18820</v>
      </c>
      <c r="B6664" t="s">
        <v>21488</v>
      </c>
      <c r="C6664" t="s">
        <v>6274</v>
      </c>
      <c r="D6664" t="s">
        <v>21483</v>
      </c>
      <c r="E6664" t="s">
        <v>21484</v>
      </c>
      <c r="F6664" t="s">
        <v>21489</v>
      </c>
      <c r="G6664" s="2" t="str">
        <f>HYPERLINK("https://probpalata.gov.ru/files/ЮЛ770100717700003.jpeg","Скачать индивидуальный QR-код магазина")</f>
        <v>Скачать индивидуальный QR-код магазина</v>
      </c>
    </row>
    <row r="6665" spans="1:7" x14ac:dyDescent="0.25">
      <c r="A6665" t="s">
        <v>18820</v>
      </c>
      <c r="B6665" t="s">
        <v>21490</v>
      </c>
      <c r="C6665" t="s">
        <v>6274</v>
      </c>
      <c r="D6665" t="s">
        <v>21483</v>
      </c>
      <c r="E6665" t="s">
        <v>21484</v>
      </c>
      <c r="F6665" t="s">
        <v>21491</v>
      </c>
      <c r="G6665" s="2" t="str">
        <f>HYPERLINK("https://probpalata.gov.ru/files/ЮЛ770100717700004.jpeg","Скачать индивидуальный QR-код магазина")</f>
        <v>Скачать индивидуальный QR-код магазина</v>
      </c>
    </row>
    <row r="6666" spans="1:7" x14ac:dyDescent="0.25">
      <c r="A6666" t="s">
        <v>18820</v>
      </c>
      <c r="B6666" t="s">
        <v>21492</v>
      </c>
      <c r="C6666" t="s">
        <v>6274</v>
      </c>
      <c r="D6666" t="s">
        <v>21483</v>
      </c>
      <c r="E6666" t="s">
        <v>21484</v>
      </c>
      <c r="F6666" t="s">
        <v>21493</v>
      </c>
      <c r="G6666" s="2" t="str">
        <f>HYPERLINK("https://probpalata.gov.ru/files/ЮЛ770100717700005.jpeg","Скачать индивидуальный QR-код магазина")</f>
        <v>Скачать индивидуальный QR-код магазина</v>
      </c>
    </row>
    <row r="6667" spans="1:7" x14ac:dyDescent="0.25">
      <c r="A6667" t="s">
        <v>18820</v>
      </c>
      <c r="B6667" t="s">
        <v>21494</v>
      </c>
      <c r="C6667" t="s">
        <v>6274</v>
      </c>
      <c r="D6667" t="s">
        <v>21483</v>
      </c>
      <c r="E6667" t="s">
        <v>21484</v>
      </c>
      <c r="F6667" t="s">
        <v>21495</v>
      </c>
      <c r="G6667" s="2" t="str">
        <f>HYPERLINK("https://probpalata.gov.ru/files/ЮЛ770100717700006.jpeg","Скачать индивидуальный QR-код магазина")</f>
        <v>Скачать индивидуальный QR-код магазина</v>
      </c>
    </row>
    <row r="6668" spans="1:7" x14ac:dyDescent="0.25">
      <c r="A6668" t="s">
        <v>18820</v>
      </c>
      <c r="B6668" t="s">
        <v>21496</v>
      </c>
      <c r="C6668" t="s">
        <v>6274</v>
      </c>
      <c r="D6668" t="s">
        <v>21483</v>
      </c>
      <c r="E6668" t="s">
        <v>21484</v>
      </c>
      <c r="F6668" t="s">
        <v>21497</v>
      </c>
      <c r="G6668" s="2" t="str">
        <f>HYPERLINK("https://probpalata.gov.ru/files/ЮЛ770100717700007.jpeg","Скачать индивидуальный QR-код магазина")</f>
        <v>Скачать индивидуальный QR-код магазина</v>
      </c>
    </row>
    <row r="6669" spans="1:7" x14ac:dyDescent="0.25">
      <c r="A6669" t="s">
        <v>18820</v>
      </c>
      <c r="B6669" t="s">
        <v>21498</v>
      </c>
      <c r="C6669" t="s">
        <v>6274</v>
      </c>
      <c r="D6669" t="s">
        <v>21483</v>
      </c>
      <c r="E6669" t="s">
        <v>21484</v>
      </c>
      <c r="F6669" t="s">
        <v>21499</v>
      </c>
      <c r="G6669" s="2" t="str">
        <f>HYPERLINK("https://probpalata.gov.ru/files/ЮЛ770100717700009.jpeg","Скачать индивидуальный QR-код магазина")</f>
        <v>Скачать индивидуальный QR-код магазина</v>
      </c>
    </row>
    <row r="6670" spans="1:7" x14ac:dyDescent="0.25">
      <c r="A6670" t="s">
        <v>18820</v>
      </c>
      <c r="B6670" t="s">
        <v>21500</v>
      </c>
      <c r="C6670" t="s">
        <v>6274</v>
      </c>
      <c r="D6670" t="s">
        <v>21483</v>
      </c>
      <c r="E6670" t="s">
        <v>21484</v>
      </c>
      <c r="F6670" t="s">
        <v>21501</v>
      </c>
      <c r="G6670" s="2" t="str">
        <f>HYPERLINK("https://probpalata.gov.ru/files/ЮЛ770100717700010.jpeg","Скачать индивидуальный QR-код магазина")</f>
        <v>Скачать индивидуальный QR-код магазина</v>
      </c>
    </row>
    <row r="6671" spans="1:7" x14ac:dyDescent="0.25">
      <c r="A6671" t="s">
        <v>18820</v>
      </c>
      <c r="B6671" t="s">
        <v>21502</v>
      </c>
      <c r="C6671" t="s">
        <v>6274</v>
      </c>
      <c r="D6671" t="s">
        <v>21483</v>
      </c>
      <c r="E6671" t="s">
        <v>21484</v>
      </c>
      <c r="F6671" t="s">
        <v>21503</v>
      </c>
      <c r="G6671" s="2" t="str">
        <f>HYPERLINK("https://probpalata.gov.ru/files/ЮЛ770100717700012.jpeg","Скачать индивидуальный QR-код магазина")</f>
        <v>Скачать индивидуальный QR-код магазина</v>
      </c>
    </row>
    <row r="6672" spans="1:7" x14ac:dyDescent="0.25">
      <c r="A6672" t="s">
        <v>18820</v>
      </c>
      <c r="B6672" t="s">
        <v>21504</v>
      </c>
      <c r="C6672" t="s">
        <v>6274</v>
      </c>
      <c r="D6672" t="s">
        <v>21483</v>
      </c>
      <c r="E6672" t="s">
        <v>21484</v>
      </c>
      <c r="F6672" t="s">
        <v>21505</v>
      </c>
      <c r="G6672" s="2" t="str">
        <f>HYPERLINK("https://probpalata.gov.ru/files/ЮЛ770100717700013.jpeg","Скачать индивидуальный QR-код магазина")</f>
        <v>Скачать индивидуальный QR-код магазина</v>
      </c>
    </row>
    <row r="6673" spans="1:7" x14ac:dyDescent="0.25">
      <c r="A6673" t="s">
        <v>18820</v>
      </c>
      <c r="B6673" t="s">
        <v>21506</v>
      </c>
      <c r="C6673" t="s">
        <v>6274</v>
      </c>
      <c r="D6673" t="s">
        <v>21483</v>
      </c>
      <c r="E6673" t="s">
        <v>21484</v>
      </c>
      <c r="F6673" t="s">
        <v>21507</v>
      </c>
      <c r="G6673" s="2" t="str">
        <f>HYPERLINK("https://probpalata.gov.ru/files/ЮЛ770100717700014.jpeg","Скачать индивидуальный QR-код магазина")</f>
        <v>Скачать индивидуальный QR-код магазина</v>
      </c>
    </row>
    <row r="6674" spans="1:7" x14ac:dyDescent="0.25">
      <c r="A6674" t="s">
        <v>18820</v>
      </c>
      <c r="B6674" t="s">
        <v>21508</v>
      </c>
      <c r="C6674" t="s">
        <v>6274</v>
      </c>
      <c r="D6674" t="s">
        <v>21483</v>
      </c>
      <c r="E6674" t="s">
        <v>21484</v>
      </c>
      <c r="F6674" t="s">
        <v>21509</v>
      </c>
      <c r="G6674" s="2" t="str">
        <f>HYPERLINK("https://probpalata.gov.ru/files/ЮЛ770100717700016.jpeg","Скачать индивидуальный QR-код магазина")</f>
        <v>Скачать индивидуальный QR-код магазина</v>
      </c>
    </row>
    <row r="6675" spans="1:7" x14ac:dyDescent="0.25">
      <c r="A6675" t="s">
        <v>18820</v>
      </c>
      <c r="B6675" t="s">
        <v>21510</v>
      </c>
      <c r="C6675" t="s">
        <v>6274</v>
      </c>
      <c r="D6675" t="s">
        <v>21483</v>
      </c>
      <c r="E6675" t="s">
        <v>21484</v>
      </c>
      <c r="F6675" t="s">
        <v>21511</v>
      </c>
      <c r="G6675" s="2" t="str">
        <f>HYPERLINK("https://probpalata.gov.ru/files/ЮЛ770100717700017.jpeg","Скачать индивидуальный QR-код магазина")</f>
        <v>Скачать индивидуальный QR-код магазина</v>
      </c>
    </row>
    <row r="6676" spans="1:7" x14ac:dyDescent="0.25">
      <c r="A6676" t="s">
        <v>18820</v>
      </c>
      <c r="B6676" t="s">
        <v>21512</v>
      </c>
      <c r="C6676" t="s">
        <v>15003</v>
      </c>
      <c r="D6676" t="s">
        <v>15004</v>
      </c>
      <c r="E6676" t="s">
        <v>15005</v>
      </c>
      <c r="F6676" t="s">
        <v>21513</v>
      </c>
      <c r="G6676" s="2" t="str">
        <f>HYPERLINK("https://probpalata.gov.ru/files/ЮЛ770100264000003.jpeg","Скачать индивидуальный QR-код магазина")</f>
        <v>Скачать индивидуальный QR-код магазина</v>
      </c>
    </row>
    <row r="6677" spans="1:7" x14ac:dyDescent="0.25">
      <c r="A6677" t="s">
        <v>18820</v>
      </c>
      <c r="B6677" t="s">
        <v>21514</v>
      </c>
      <c r="C6677" t="s">
        <v>15003</v>
      </c>
      <c r="D6677" t="s">
        <v>15004</v>
      </c>
      <c r="E6677" t="s">
        <v>15005</v>
      </c>
      <c r="F6677" t="s">
        <v>21515</v>
      </c>
      <c r="G6677" s="2" t="str">
        <f>HYPERLINK("https://probpalata.gov.ru/files/ЮЛ770100264000005.jpeg","Скачать индивидуальный QR-код магазина")</f>
        <v>Скачать индивидуальный QR-код магазина</v>
      </c>
    </row>
    <row r="6678" spans="1:7" x14ac:dyDescent="0.25">
      <c r="A6678" t="s">
        <v>18820</v>
      </c>
      <c r="B6678" t="s">
        <v>21516</v>
      </c>
      <c r="C6678" t="s">
        <v>15003</v>
      </c>
      <c r="D6678" t="s">
        <v>15004</v>
      </c>
      <c r="E6678" t="s">
        <v>15005</v>
      </c>
      <c r="F6678" t="s">
        <v>21517</v>
      </c>
      <c r="G6678" s="2" t="str">
        <f>HYPERLINK("https://probpalata.gov.ru/files/ЮЛ770100264000007.jpeg","Скачать индивидуальный QR-код магазина")</f>
        <v>Скачать индивидуальный QR-код магазина</v>
      </c>
    </row>
    <row r="6679" spans="1:7" x14ac:dyDescent="0.25">
      <c r="A6679" t="s">
        <v>18820</v>
      </c>
      <c r="B6679" t="s">
        <v>21518</v>
      </c>
      <c r="C6679" t="s">
        <v>15003</v>
      </c>
      <c r="D6679" t="s">
        <v>15004</v>
      </c>
      <c r="E6679" t="s">
        <v>15005</v>
      </c>
      <c r="F6679" t="s">
        <v>21519</v>
      </c>
      <c r="G6679" s="2" t="str">
        <f>HYPERLINK("https://probpalata.gov.ru/files/ЮЛ770100264000008.jpeg","Скачать индивидуальный QR-код магазина")</f>
        <v>Скачать индивидуальный QR-код магазина</v>
      </c>
    </row>
    <row r="6680" spans="1:7" x14ac:dyDescent="0.25">
      <c r="A6680" t="s">
        <v>18820</v>
      </c>
      <c r="B6680" t="s">
        <v>21520</v>
      </c>
      <c r="C6680" t="s">
        <v>15003</v>
      </c>
      <c r="D6680" t="s">
        <v>15004</v>
      </c>
      <c r="E6680" t="s">
        <v>15005</v>
      </c>
      <c r="F6680" t="s">
        <v>21521</v>
      </c>
      <c r="G6680" s="2" t="str">
        <f>HYPERLINK("https://probpalata.gov.ru/files/ЮЛ770100264000009.jpeg","Скачать индивидуальный QR-код магазина")</f>
        <v>Скачать индивидуальный QR-код магазина</v>
      </c>
    </row>
    <row r="6681" spans="1:7" x14ac:dyDescent="0.25">
      <c r="A6681" t="s">
        <v>18820</v>
      </c>
      <c r="B6681" t="s">
        <v>21522</v>
      </c>
      <c r="C6681" t="s">
        <v>15003</v>
      </c>
      <c r="D6681" t="s">
        <v>15004</v>
      </c>
      <c r="E6681" t="s">
        <v>15005</v>
      </c>
      <c r="F6681" t="s">
        <v>21523</v>
      </c>
      <c r="G6681" s="2" t="str">
        <f>HYPERLINK("https://probpalata.gov.ru/files/ЮЛ770100264000012.jpeg","Скачать индивидуальный QR-код магазина")</f>
        <v>Скачать индивидуальный QR-код магазина</v>
      </c>
    </row>
    <row r="6682" spans="1:7" x14ac:dyDescent="0.25">
      <c r="A6682" t="s">
        <v>18820</v>
      </c>
      <c r="B6682" t="s">
        <v>21524</v>
      </c>
      <c r="C6682" t="s">
        <v>15003</v>
      </c>
      <c r="D6682" t="s">
        <v>15004</v>
      </c>
      <c r="E6682" t="s">
        <v>15005</v>
      </c>
      <c r="F6682" t="s">
        <v>21525</v>
      </c>
      <c r="G6682" s="2" t="str">
        <f>HYPERLINK("https://probpalata.gov.ru/files/ЮЛ770100264000013.jpeg","Скачать индивидуальный QR-код магазина")</f>
        <v>Скачать индивидуальный QR-код магазина</v>
      </c>
    </row>
    <row r="6683" spans="1:7" x14ac:dyDescent="0.25">
      <c r="A6683" t="s">
        <v>18820</v>
      </c>
      <c r="B6683" t="s">
        <v>21526</v>
      </c>
      <c r="C6683" t="s">
        <v>15003</v>
      </c>
      <c r="D6683" t="s">
        <v>15004</v>
      </c>
      <c r="E6683" t="s">
        <v>15005</v>
      </c>
      <c r="F6683" t="s">
        <v>21527</v>
      </c>
      <c r="G6683" s="2" t="str">
        <f>HYPERLINK("https://probpalata.gov.ru/files/ЮЛ770100264000014.jpeg","Скачать индивидуальный QR-код магазина")</f>
        <v>Скачать индивидуальный QR-код магазина</v>
      </c>
    </row>
    <row r="6684" spans="1:7" x14ac:dyDescent="0.25">
      <c r="A6684" t="s">
        <v>18820</v>
      </c>
      <c r="B6684" t="s">
        <v>21528</v>
      </c>
      <c r="C6684" t="s">
        <v>15003</v>
      </c>
      <c r="D6684" t="s">
        <v>15004</v>
      </c>
      <c r="E6684" t="s">
        <v>15005</v>
      </c>
      <c r="F6684" t="s">
        <v>21529</v>
      </c>
      <c r="G6684" s="2" t="str">
        <f>HYPERLINK("https://probpalata.gov.ru/files/ЮЛ770100264000015.jpeg","Скачать индивидуальный QR-код магазина")</f>
        <v>Скачать индивидуальный QR-код магазина</v>
      </c>
    </row>
    <row r="6685" spans="1:7" x14ac:dyDescent="0.25">
      <c r="A6685" t="s">
        <v>18820</v>
      </c>
      <c r="B6685" t="s">
        <v>21530</v>
      </c>
      <c r="C6685" t="s">
        <v>15003</v>
      </c>
      <c r="D6685" t="s">
        <v>15004</v>
      </c>
      <c r="E6685" t="s">
        <v>15005</v>
      </c>
      <c r="F6685" t="s">
        <v>21531</v>
      </c>
      <c r="G6685" s="2" t="str">
        <f>HYPERLINK("https://probpalata.gov.ru/files/ЮЛ770100264000017.jpeg","Скачать индивидуальный QR-код магазина")</f>
        <v>Скачать индивидуальный QR-код магазина</v>
      </c>
    </row>
    <row r="6686" spans="1:7" x14ac:dyDescent="0.25">
      <c r="A6686" t="s">
        <v>18820</v>
      </c>
      <c r="B6686" t="s">
        <v>21532</v>
      </c>
      <c r="C6686" t="s">
        <v>15003</v>
      </c>
      <c r="D6686" t="s">
        <v>15004</v>
      </c>
      <c r="E6686" t="s">
        <v>15005</v>
      </c>
      <c r="F6686" t="s">
        <v>21533</v>
      </c>
      <c r="G6686" s="2" t="str">
        <f>HYPERLINK("https://probpalata.gov.ru/files/ЮЛ770100264000019.jpeg","Скачать индивидуальный QR-код магазина")</f>
        <v>Скачать индивидуальный QR-код магазина</v>
      </c>
    </row>
    <row r="6687" spans="1:7" x14ac:dyDescent="0.25">
      <c r="A6687" t="s">
        <v>18820</v>
      </c>
      <c r="B6687" t="s">
        <v>21534</v>
      </c>
      <c r="C6687" t="s">
        <v>15003</v>
      </c>
      <c r="D6687" t="s">
        <v>15004</v>
      </c>
      <c r="E6687" t="s">
        <v>15005</v>
      </c>
      <c r="F6687" t="s">
        <v>21535</v>
      </c>
      <c r="G6687" s="2" t="str">
        <f>HYPERLINK("https://probpalata.gov.ru/files/ЮЛ770100264000023.jpeg","Скачать индивидуальный QR-код магазина")</f>
        <v>Скачать индивидуальный QR-код магазина</v>
      </c>
    </row>
    <row r="6688" spans="1:7" x14ac:dyDescent="0.25">
      <c r="A6688" t="s">
        <v>18820</v>
      </c>
      <c r="B6688" t="s">
        <v>21536</v>
      </c>
      <c r="C6688" t="s">
        <v>15003</v>
      </c>
      <c r="D6688" t="s">
        <v>15004</v>
      </c>
      <c r="E6688" t="s">
        <v>15005</v>
      </c>
      <c r="F6688" t="s">
        <v>21537</v>
      </c>
      <c r="G6688" s="2" t="str">
        <f>HYPERLINK("https://probpalata.gov.ru/files/ЮЛ770100264000025.jpeg","Скачать индивидуальный QR-код магазина")</f>
        <v>Скачать индивидуальный QR-код магазина</v>
      </c>
    </row>
    <row r="6689" spans="1:7" x14ac:dyDescent="0.25">
      <c r="A6689" t="s">
        <v>18820</v>
      </c>
      <c r="B6689" t="s">
        <v>21538</v>
      </c>
      <c r="C6689" t="s">
        <v>15003</v>
      </c>
      <c r="D6689" t="s">
        <v>15004</v>
      </c>
      <c r="E6689" t="s">
        <v>15005</v>
      </c>
      <c r="F6689" t="s">
        <v>21539</v>
      </c>
      <c r="G6689" s="2" t="str">
        <f>HYPERLINK("https://probpalata.gov.ru/files/ЮЛ770100264000030.jpeg","Скачать индивидуальный QR-код магазина")</f>
        <v>Скачать индивидуальный QR-код магазина</v>
      </c>
    </row>
    <row r="6690" spans="1:7" x14ac:dyDescent="0.25">
      <c r="A6690" t="s">
        <v>18820</v>
      </c>
      <c r="B6690" t="s">
        <v>21540</v>
      </c>
      <c r="C6690" t="s">
        <v>15003</v>
      </c>
      <c r="D6690" t="s">
        <v>15004</v>
      </c>
      <c r="E6690" t="s">
        <v>15005</v>
      </c>
      <c r="F6690" t="s">
        <v>21541</v>
      </c>
      <c r="G6690" s="2" t="str">
        <f>HYPERLINK("https://probpalata.gov.ru/files/ЮЛ770100264000032.jpeg","Скачать индивидуальный QR-код магазина")</f>
        <v>Скачать индивидуальный QR-код магазина</v>
      </c>
    </row>
    <row r="6691" spans="1:7" x14ac:dyDescent="0.25">
      <c r="A6691" t="s">
        <v>18820</v>
      </c>
      <c r="B6691" t="s">
        <v>21542</v>
      </c>
      <c r="C6691" t="s">
        <v>15003</v>
      </c>
      <c r="D6691" t="s">
        <v>15004</v>
      </c>
      <c r="E6691" t="s">
        <v>15005</v>
      </c>
      <c r="F6691" t="s">
        <v>21543</v>
      </c>
      <c r="G6691" s="2" t="str">
        <f>HYPERLINK("https://probpalata.gov.ru/files/ЮЛ770100264000034.jpeg","Скачать индивидуальный QR-код магазина")</f>
        <v>Скачать индивидуальный QR-код магазина</v>
      </c>
    </row>
    <row r="6692" spans="1:7" x14ac:dyDescent="0.25">
      <c r="A6692" t="s">
        <v>18820</v>
      </c>
      <c r="B6692" t="s">
        <v>21544</v>
      </c>
      <c r="C6692" t="s">
        <v>15003</v>
      </c>
      <c r="D6692" t="s">
        <v>15004</v>
      </c>
      <c r="E6692" t="s">
        <v>15005</v>
      </c>
      <c r="F6692" t="s">
        <v>21545</v>
      </c>
      <c r="G6692" s="2" t="str">
        <f>HYPERLINK("https://probpalata.gov.ru/files/ЮЛ770100264000035.jpeg","Скачать индивидуальный QR-код магазина")</f>
        <v>Скачать индивидуальный QR-код магазина</v>
      </c>
    </row>
    <row r="6693" spans="1:7" x14ac:dyDescent="0.25">
      <c r="A6693" t="s">
        <v>18820</v>
      </c>
      <c r="B6693" t="s">
        <v>21546</v>
      </c>
      <c r="C6693" t="s">
        <v>15003</v>
      </c>
      <c r="D6693" t="s">
        <v>15004</v>
      </c>
      <c r="E6693" t="s">
        <v>15005</v>
      </c>
      <c r="F6693" t="s">
        <v>21547</v>
      </c>
      <c r="G6693" s="2" t="str">
        <f>HYPERLINK("https://probpalata.gov.ru/files/ЮЛ770100264000036.jpeg","Скачать индивидуальный QR-код магазина")</f>
        <v>Скачать индивидуальный QR-код магазина</v>
      </c>
    </row>
    <row r="6694" spans="1:7" x14ac:dyDescent="0.25">
      <c r="A6694" t="s">
        <v>18820</v>
      </c>
      <c r="B6694" t="s">
        <v>21548</v>
      </c>
      <c r="C6694" t="s">
        <v>11996</v>
      </c>
      <c r="D6694" t="s">
        <v>21549</v>
      </c>
      <c r="E6694" t="s">
        <v>21550</v>
      </c>
      <c r="F6694" t="s">
        <v>21551</v>
      </c>
      <c r="G6694" s="2" t="str">
        <f>HYPERLINK("https://probpalata.gov.ru/files/ЮЛ770101704500000.jpeg","Скачать индивидуальный QR-код магазина")</f>
        <v>Скачать индивидуальный QR-код магазина</v>
      </c>
    </row>
    <row r="6695" spans="1:7" x14ac:dyDescent="0.25">
      <c r="A6695" t="s">
        <v>18820</v>
      </c>
      <c r="B6695" t="s">
        <v>21552</v>
      </c>
      <c r="C6695" t="s">
        <v>21553</v>
      </c>
      <c r="D6695" t="s">
        <v>21554</v>
      </c>
      <c r="E6695" t="s">
        <v>21555</v>
      </c>
      <c r="F6695" t="s">
        <v>21556</v>
      </c>
      <c r="G6695" s="2" t="str">
        <f>HYPERLINK("https://probpalata.gov.ru/files/ЮЛ770100302900000.jpeg","Скачать индивидуальный QR-код магазина")</f>
        <v>Скачать индивидуальный QR-код магазина</v>
      </c>
    </row>
    <row r="6696" spans="1:7" x14ac:dyDescent="0.25">
      <c r="A6696" t="s">
        <v>18820</v>
      </c>
      <c r="B6696" t="s">
        <v>21557</v>
      </c>
      <c r="C6696" t="s">
        <v>21558</v>
      </c>
      <c r="D6696" t="s">
        <v>21559</v>
      </c>
      <c r="E6696" t="s">
        <v>21560</v>
      </c>
      <c r="F6696" t="s">
        <v>21561</v>
      </c>
      <c r="G6696" s="2" t="str">
        <f>HYPERLINK("https://probpalata.gov.ru/files/ЮЛ770100325900000.jpeg","Скачать индивидуальный QR-код магазина")</f>
        <v>Скачать индивидуальный QR-код магазина</v>
      </c>
    </row>
    <row r="6697" spans="1:7" x14ac:dyDescent="0.25">
      <c r="A6697" t="s">
        <v>18820</v>
      </c>
      <c r="B6697" t="s">
        <v>21562</v>
      </c>
      <c r="C6697" t="s">
        <v>21563</v>
      </c>
      <c r="D6697" t="s">
        <v>21564</v>
      </c>
      <c r="E6697" t="s">
        <v>21565</v>
      </c>
      <c r="F6697" t="s">
        <v>21566</v>
      </c>
      <c r="G6697" s="2" t="str">
        <f>HYPERLINK("https://probpalata.gov.ru/files/ЮЛ770100822400000.jpeg","Скачать индивидуальный QR-код магазина")</f>
        <v>Скачать индивидуальный QR-код магазина</v>
      </c>
    </row>
    <row r="6698" spans="1:7" x14ac:dyDescent="0.25">
      <c r="A6698" t="s">
        <v>18820</v>
      </c>
      <c r="B6698" t="s">
        <v>21567</v>
      </c>
      <c r="C6698" t="s">
        <v>21568</v>
      </c>
      <c r="D6698" t="s">
        <v>21569</v>
      </c>
      <c r="E6698" t="s">
        <v>21570</v>
      </c>
      <c r="F6698" t="s">
        <v>21571</v>
      </c>
      <c r="G6698" s="2" t="str">
        <f>HYPERLINK("https://probpalata.gov.ru/files/ЮЛ770100197100000.jpeg","Скачать индивидуальный QR-код магазина")</f>
        <v>Скачать индивидуальный QR-код магазина</v>
      </c>
    </row>
    <row r="6699" spans="1:7" x14ac:dyDescent="0.25">
      <c r="A6699" t="s">
        <v>18820</v>
      </c>
      <c r="B6699" t="s">
        <v>21572</v>
      </c>
      <c r="C6699" t="s">
        <v>21573</v>
      </c>
      <c r="D6699" t="s">
        <v>21574</v>
      </c>
      <c r="E6699" t="s">
        <v>21575</v>
      </c>
      <c r="F6699" t="s">
        <v>21576</v>
      </c>
      <c r="G6699" s="2" t="str">
        <f>HYPERLINK("https://probpalata.gov.ru/files/ИП770100547000000.jpeg","Скачать индивидуальный QR-код магазина")</f>
        <v>Скачать индивидуальный QR-код магазина</v>
      </c>
    </row>
    <row r="6700" spans="1:7" x14ac:dyDescent="0.25">
      <c r="A6700" t="s">
        <v>18820</v>
      </c>
      <c r="B6700" t="s">
        <v>21577</v>
      </c>
      <c r="C6700" t="s">
        <v>21578</v>
      </c>
      <c r="D6700" t="s">
        <v>21579</v>
      </c>
      <c r="E6700" t="s">
        <v>21580</v>
      </c>
      <c r="F6700" t="s">
        <v>21581</v>
      </c>
      <c r="G6700" s="2" t="str">
        <f>HYPERLINK("https://probpalata.gov.ru/files/ЮЛ770101142000000.jpeg","Скачать индивидуальный QR-код магазина")</f>
        <v>Скачать индивидуальный QR-код магазина</v>
      </c>
    </row>
    <row r="6701" spans="1:7" x14ac:dyDescent="0.25">
      <c r="A6701" t="s">
        <v>18820</v>
      </c>
      <c r="B6701" t="s">
        <v>21582</v>
      </c>
      <c r="C6701" t="s">
        <v>21583</v>
      </c>
      <c r="D6701" t="s">
        <v>21584</v>
      </c>
      <c r="E6701" t="s">
        <v>21585</v>
      </c>
      <c r="F6701" t="s">
        <v>21586</v>
      </c>
      <c r="G6701" s="2" t="str">
        <f>HYPERLINK("https://probpalata.gov.ru/files/ЮЛ770101222000000.jpeg","Скачать индивидуальный QR-код магазина")</f>
        <v>Скачать индивидуальный QR-код магазина</v>
      </c>
    </row>
    <row r="6702" spans="1:7" x14ac:dyDescent="0.25">
      <c r="A6702" t="s">
        <v>18820</v>
      </c>
      <c r="B6702" t="s">
        <v>21582</v>
      </c>
      <c r="C6702" t="s">
        <v>21583</v>
      </c>
      <c r="D6702" t="s">
        <v>21584</v>
      </c>
      <c r="E6702" t="s">
        <v>21585</v>
      </c>
      <c r="F6702" t="s">
        <v>21587</v>
      </c>
      <c r="G6702" s="2" t="str">
        <f>HYPERLINK("https://probpalata.gov.ru/files/ЮЛ770101222000005.jpeg","Скачать индивидуальный QR-код магазина")</f>
        <v>Скачать индивидуальный QR-код магазина</v>
      </c>
    </row>
    <row r="6703" spans="1:7" x14ac:dyDescent="0.25">
      <c r="A6703" t="s">
        <v>18820</v>
      </c>
      <c r="B6703" t="s">
        <v>21588</v>
      </c>
      <c r="C6703" t="s">
        <v>11996</v>
      </c>
      <c r="D6703" t="s">
        <v>21589</v>
      </c>
      <c r="E6703" t="s">
        <v>21590</v>
      </c>
      <c r="F6703" t="s">
        <v>21591</v>
      </c>
      <c r="G6703" s="2" t="str">
        <f>HYPERLINK("https://probpalata.gov.ru/files/ЮЛ770101391700000.jpeg","Скачать индивидуальный QR-код магазина")</f>
        <v>Скачать индивидуальный QR-код магазина</v>
      </c>
    </row>
    <row r="6704" spans="1:7" x14ac:dyDescent="0.25">
      <c r="A6704" t="s">
        <v>18820</v>
      </c>
      <c r="B6704" t="s">
        <v>21592</v>
      </c>
      <c r="C6704" t="s">
        <v>21593</v>
      </c>
      <c r="D6704" t="s">
        <v>21594</v>
      </c>
      <c r="E6704" t="s">
        <v>21595</v>
      </c>
      <c r="F6704" t="s">
        <v>21596</v>
      </c>
      <c r="G6704" s="2" t="str">
        <f>HYPERLINK("https://probpalata.gov.ru/files/ЮЛ770103339200000.jpeg","Скачать индивидуальный QR-код магазина")</f>
        <v>Скачать индивидуальный QR-код магазина</v>
      </c>
    </row>
    <row r="6705" spans="1:7" x14ac:dyDescent="0.25">
      <c r="A6705" t="s">
        <v>18820</v>
      </c>
      <c r="B6705" t="s">
        <v>21597</v>
      </c>
      <c r="C6705" t="s">
        <v>21593</v>
      </c>
      <c r="D6705" t="s">
        <v>21594</v>
      </c>
      <c r="E6705" t="s">
        <v>21595</v>
      </c>
      <c r="F6705" t="s">
        <v>21598</v>
      </c>
      <c r="G6705" s="2" t="str">
        <f>HYPERLINK("https://probpalata.gov.ru/files/ЮЛ770103339200001.jpeg","Скачать индивидуальный QR-код магазина")</f>
        <v>Скачать индивидуальный QR-код магазина</v>
      </c>
    </row>
    <row r="6706" spans="1:7" x14ac:dyDescent="0.25">
      <c r="A6706" t="s">
        <v>18820</v>
      </c>
      <c r="B6706" t="s">
        <v>21599</v>
      </c>
      <c r="C6706" t="s">
        <v>21600</v>
      </c>
      <c r="D6706" t="s">
        <v>21601</v>
      </c>
      <c r="E6706" t="s">
        <v>21602</v>
      </c>
      <c r="F6706" t="s">
        <v>21603</v>
      </c>
      <c r="G6706" s="2" t="str">
        <f>HYPERLINK("https://probpalata.gov.ru/files/ЮЛ770101459900005.jpeg","Скачать индивидуальный QR-код магазина")</f>
        <v>Скачать индивидуальный QR-код магазина</v>
      </c>
    </row>
    <row r="6707" spans="1:7" x14ac:dyDescent="0.25">
      <c r="A6707" t="s">
        <v>18820</v>
      </c>
      <c r="B6707" t="s">
        <v>21604</v>
      </c>
      <c r="C6707" t="s">
        <v>21600</v>
      </c>
      <c r="D6707" t="s">
        <v>21601</v>
      </c>
      <c r="E6707" t="s">
        <v>21602</v>
      </c>
      <c r="F6707" t="s">
        <v>21605</v>
      </c>
      <c r="G6707" s="2" t="str">
        <f>HYPERLINK("https://probpalata.gov.ru/files/ЮЛ770101459900006.jpeg","Скачать индивидуальный QR-код магазина")</f>
        <v>Скачать индивидуальный QR-код магазина</v>
      </c>
    </row>
    <row r="6708" spans="1:7" x14ac:dyDescent="0.25">
      <c r="A6708" t="s">
        <v>18820</v>
      </c>
      <c r="B6708" t="s">
        <v>21606</v>
      </c>
      <c r="C6708" t="s">
        <v>21600</v>
      </c>
      <c r="D6708" t="s">
        <v>21601</v>
      </c>
      <c r="E6708" t="s">
        <v>21602</v>
      </c>
      <c r="F6708" t="s">
        <v>21607</v>
      </c>
      <c r="G6708" s="2" t="str">
        <f>HYPERLINK("https://probpalata.gov.ru/files/ЮЛ770101459900007.jpeg","Скачать индивидуальный QR-код магазина")</f>
        <v>Скачать индивидуальный QR-код магазина</v>
      </c>
    </row>
    <row r="6709" spans="1:7" x14ac:dyDescent="0.25">
      <c r="A6709" t="s">
        <v>18820</v>
      </c>
      <c r="B6709" t="s">
        <v>21608</v>
      </c>
      <c r="C6709" t="s">
        <v>21609</v>
      </c>
      <c r="D6709" t="s">
        <v>21610</v>
      </c>
      <c r="E6709" t="s">
        <v>21611</v>
      </c>
      <c r="F6709" t="s">
        <v>21612</v>
      </c>
      <c r="G6709" s="2" t="str">
        <f>HYPERLINK("https://probpalata.gov.ru/files/ЮЛ770100650900000.jpeg","Скачать индивидуальный QR-код магазина")</f>
        <v>Скачать индивидуальный QR-код магазина</v>
      </c>
    </row>
    <row r="6710" spans="1:7" x14ac:dyDescent="0.25">
      <c r="A6710" t="s">
        <v>18820</v>
      </c>
      <c r="B6710" t="s">
        <v>21613</v>
      </c>
      <c r="C6710" t="s">
        <v>21614</v>
      </c>
      <c r="D6710" t="s">
        <v>21615</v>
      </c>
      <c r="E6710" t="s">
        <v>21616</v>
      </c>
      <c r="F6710" t="s">
        <v>21617</v>
      </c>
      <c r="G6710" s="2" t="str">
        <f>HYPERLINK("https://probpalata.gov.ru/files/ЮЛ770100491000000.jpeg","Скачать индивидуальный QR-код магазина")</f>
        <v>Скачать индивидуальный QR-код магазина</v>
      </c>
    </row>
    <row r="6711" spans="1:7" x14ac:dyDescent="0.25">
      <c r="A6711" t="s">
        <v>18820</v>
      </c>
      <c r="B6711" t="s">
        <v>21618</v>
      </c>
      <c r="C6711" t="s">
        <v>21619</v>
      </c>
      <c r="D6711" t="s">
        <v>21620</v>
      </c>
      <c r="E6711" t="s">
        <v>21621</v>
      </c>
      <c r="F6711" t="s">
        <v>21622</v>
      </c>
      <c r="G6711" s="2" t="str">
        <f>HYPERLINK("https://probpalata.gov.ru/files/ЮЛ770101563000000.jpeg","Скачать индивидуальный QR-код магазина")</f>
        <v>Скачать индивидуальный QR-код магазина</v>
      </c>
    </row>
    <row r="6712" spans="1:7" x14ac:dyDescent="0.25">
      <c r="A6712" t="s">
        <v>18820</v>
      </c>
      <c r="B6712" t="s">
        <v>21623</v>
      </c>
      <c r="C6712" t="s">
        <v>10096</v>
      </c>
      <c r="D6712" t="s">
        <v>21624</v>
      </c>
      <c r="E6712" t="s">
        <v>21625</v>
      </c>
      <c r="F6712" t="s">
        <v>21626</v>
      </c>
      <c r="G6712" s="2" t="str">
        <f>HYPERLINK("https://probpalata.gov.ru/files/ЮЛ770100485000000.jpeg","Скачать индивидуальный QR-код магазина")</f>
        <v>Скачать индивидуальный QR-код магазина</v>
      </c>
    </row>
    <row r="6713" spans="1:7" x14ac:dyDescent="0.25">
      <c r="A6713" t="s">
        <v>18820</v>
      </c>
      <c r="B6713" t="s">
        <v>18830</v>
      </c>
      <c r="C6713" t="s">
        <v>21627</v>
      </c>
      <c r="D6713" t="s">
        <v>21628</v>
      </c>
      <c r="E6713" t="s">
        <v>21629</v>
      </c>
      <c r="F6713" t="s">
        <v>21630</v>
      </c>
      <c r="G6713" s="2" t="str">
        <f>HYPERLINK("https://probpalata.gov.ru/files/ЮЛ770101072800001.jpeg","Скачать индивидуальный QR-код магазина")</f>
        <v>Скачать индивидуальный QR-код магазина</v>
      </c>
    </row>
    <row r="6714" spans="1:7" x14ac:dyDescent="0.25">
      <c r="A6714" t="s">
        <v>18820</v>
      </c>
      <c r="B6714" t="s">
        <v>21631</v>
      </c>
      <c r="C6714" t="s">
        <v>21632</v>
      </c>
      <c r="D6714" t="s">
        <v>21633</v>
      </c>
      <c r="E6714" t="s">
        <v>21634</v>
      </c>
      <c r="F6714" t="s">
        <v>21635</v>
      </c>
      <c r="G6714" s="2" t="str">
        <f>HYPERLINK("https://probpalata.gov.ru/files/ЮЛ770100102800000.jpeg","Скачать индивидуальный QR-код магазина")</f>
        <v>Скачать индивидуальный QR-код магазина</v>
      </c>
    </row>
    <row r="6715" spans="1:7" x14ac:dyDescent="0.25">
      <c r="A6715" t="s">
        <v>18820</v>
      </c>
      <c r="B6715" t="s">
        <v>21636</v>
      </c>
      <c r="C6715" t="s">
        <v>21637</v>
      </c>
      <c r="D6715" t="s">
        <v>21638</v>
      </c>
      <c r="E6715" t="s">
        <v>21639</v>
      </c>
      <c r="F6715" t="s">
        <v>21640</v>
      </c>
      <c r="G6715" s="2" t="str">
        <f>HYPERLINK("https://probpalata.gov.ru/files/ЮЛ770101731100000.jpeg","Скачать индивидуальный QR-код магазина")</f>
        <v>Скачать индивидуальный QR-код магазина</v>
      </c>
    </row>
    <row r="6716" spans="1:7" x14ac:dyDescent="0.25">
      <c r="A6716" t="s">
        <v>18820</v>
      </c>
      <c r="B6716" t="s">
        <v>21641</v>
      </c>
      <c r="C6716" t="s">
        <v>21642</v>
      </c>
      <c r="D6716" t="s">
        <v>21643</v>
      </c>
      <c r="E6716" t="s">
        <v>21644</v>
      </c>
      <c r="F6716" t="s">
        <v>21645</v>
      </c>
      <c r="G6716" s="2" t="str">
        <f>HYPERLINK("https://probpalata.gov.ru/files/ЮЛ770103138100000.jpeg","Скачать индивидуальный QR-код магазина")</f>
        <v>Скачать индивидуальный QR-код магазина</v>
      </c>
    </row>
    <row r="6717" spans="1:7" x14ac:dyDescent="0.25">
      <c r="A6717" t="s">
        <v>18820</v>
      </c>
      <c r="B6717" t="s">
        <v>21646</v>
      </c>
      <c r="C6717" t="s">
        <v>21647</v>
      </c>
      <c r="D6717" t="s">
        <v>21648</v>
      </c>
      <c r="E6717" t="s">
        <v>21649</v>
      </c>
      <c r="F6717" t="s">
        <v>21650</v>
      </c>
      <c r="G6717" s="2" t="str">
        <f>HYPERLINK("https://probpalata.gov.ru/files/ЮЛ770101618800000.jpeg","Скачать индивидуальный QR-код магазина")</f>
        <v>Скачать индивидуальный QR-код магазина</v>
      </c>
    </row>
    <row r="6718" spans="1:7" x14ac:dyDescent="0.25">
      <c r="A6718" t="s">
        <v>18820</v>
      </c>
      <c r="B6718" t="s">
        <v>21651</v>
      </c>
      <c r="C6718" t="s">
        <v>21652</v>
      </c>
      <c r="D6718" t="s">
        <v>21653</v>
      </c>
      <c r="E6718" t="s">
        <v>21654</v>
      </c>
      <c r="F6718" t="s">
        <v>21655</v>
      </c>
      <c r="G6718" s="2" t="str">
        <f>HYPERLINK("https://probpalata.gov.ru/files/ЮЛ770103783500000.jpeg","Скачать индивидуальный QR-код магазина")</f>
        <v>Скачать индивидуальный QR-код магазина</v>
      </c>
    </row>
    <row r="6719" spans="1:7" x14ac:dyDescent="0.25">
      <c r="A6719" t="s">
        <v>18820</v>
      </c>
      <c r="B6719" t="s">
        <v>21656</v>
      </c>
      <c r="C6719" t="s">
        <v>21657</v>
      </c>
      <c r="D6719" t="s">
        <v>21658</v>
      </c>
      <c r="E6719" t="s">
        <v>21659</v>
      </c>
      <c r="F6719" t="s">
        <v>21660</v>
      </c>
      <c r="G6719" s="2" t="str">
        <f>HYPERLINK("https://probpalata.gov.ru/files/ЮЛ770101185400000.jpeg","Скачать индивидуальный QR-код магазина")</f>
        <v>Скачать индивидуальный QR-код магазина</v>
      </c>
    </row>
    <row r="6720" spans="1:7" x14ac:dyDescent="0.25">
      <c r="A6720" t="s">
        <v>18820</v>
      </c>
      <c r="B6720" t="s">
        <v>21661</v>
      </c>
      <c r="C6720" t="s">
        <v>21657</v>
      </c>
      <c r="D6720" t="s">
        <v>21658</v>
      </c>
      <c r="E6720" t="s">
        <v>21659</v>
      </c>
      <c r="F6720" t="s">
        <v>21662</v>
      </c>
      <c r="G6720" s="2" t="str">
        <f>HYPERLINK("https://probpalata.gov.ru/files/ЮЛ770101185400002.jpeg","Скачать индивидуальный QR-код магазина")</f>
        <v>Скачать индивидуальный QR-код магазина</v>
      </c>
    </row>
    <row r="6721" spans="1:7" x14ac:dyDescent="0.25">
      <c r="A6721" t="s">
        <v>18820</v>
      </c>
      <c r="B6721" t="s">
        <v>21663</v>
      </c>
      <c r="C6721" t="s">
        <v>21664</v>
      </c>
      <c r="D6721" t="s">
        <v>21665</v>
      </c>
      <c r="E6721" t="s">
        <v>21666</v>
      </c>
      <c r="F6721" t="s">
        <v>21667</v>
      </c>
      <c r="G6721" s="2" t="str">
        <f>HYPERLINK("https://probpalata.gov.ru/files/ЮЛ500100549200000.jpeg","Скачать индивидуальный QR-код магазина")</f>
        <v>Скачать индивидуальный QR-код магазина</v>
      </c>
    </row>
    <row r="6722" spans="1:7" x14ac:dyDescent="0.25">
      <c r="A6722" t="s">
        <v>18820</v>
      </c>
      <c r="B6722" t="s">
        <v>21668</v>
      </c>
      <c r="C6722" t="s">
        <v>21669</v>
      </c>
      <c r="D6722" t="s">
        <v>21670</v>
      </c>
      <c r="E6722" t="s">
        <v>21671</v>
      </c>
      <c r="F6722" t="s">
        <v>21672</v>
      </c>
      <c r="G6722" s="2" t="str">
        <f>HYPERLINK("https://probpalata.gov.ru/files/ЮЛ770100976200000.jpeg","Скачать индивидуальный QR-код магазина")</f>
        <v>Скачать индивидуальный QR-код магазина</v>
      </c>
    </row>
    <row r="6723" spans="1:7" x14ac:dyDescent="0.25">
      <c r="A6723" t="s">
        <v>18820</v>
      </c>
      <c r="B6723" t="s">
        <v>21673</v>
      </c>
      <c r="C6723" t="s">
        <v>21674</v>
      </c>
      <c r="D6723" t="s">
        <v>21675</v>
      </c>
      <c r="E6723" t="s">
        <v>21676</v>
      </c>
      <c r="F6723" t="s">
        <v>21677</v>
      </c>
      <c r="G6723" s="2" t="str">
        <f>HYPERLINK("https://probpalata.gov.ru/files/ЮЛ770101652000000.jpeg","Скачать индивидуальный QR-код магазина")</f>
        <v>Скачать индивидуальный QR-код магазина</v>
      </c>
    </row>
    <row r="6724" spans="1:7" x14ac:dyDescent="0.25">
      <c r="A6724" t="s">
        <v>18820</v>
      </c>
      <c r="B6724" t="s">
        <v>21678</v>
      </c>
      <c r="C6724" t="s">
        <v>21679</v>
      </c>
      <c r="D6724" t="s">
        <v>21680</v>
      </c>
      <c r="E6724" t="s">
        <v>21681</v>
      </c>
      <c r="F6724" t="s">
        <v>21682</v>
      </c>
      <c r="G6724" s="2" t="str">
        <f>HYPERLINK("https://probpalata.gov.ru/files/ЮЛ770101352000000.jpeg","Скачать индивидуальный QR-код магазина")</f>
        <v>Скачать индивидуальный QR-код магазина</v>
      </c>
    </row>
    <row r="6725" spans="1:7" x14ac:dyDescent="0.25">
      <c r="A6725" t="s">
        <v>18820</v>
      </c>
      <c r="B6725" t="s">
        <v>21683</v>
      </c>
      <c r="C6725" t="s">
        <v>21684</v>
      </c>
      <c r="D6725" t="s">
        <v>21685</v>
      </c>
      <c r="E6725" t="s">
        <v>21686</v>
      </c>
      <c r="F6725" t="s">
        <v>21687</v>
      </c>
      <c r="G6725" s="2" t="str">
        <f>HYPERLINK("https://probpalata.gov.ru/files/ЮЛ770101673000001.jpeg","Скачать индивидуальный QR-код магазина")</f>
        <v>Скачать индивидуальный QR-код магазина</v>
      </c>
    </row>
    <row r="6726" spans="1:7" x14ac:dyDescent="0.25">
      <c r="A6726" t="s">
        <v>18820</v>
      </c>
      <c r="B6726" t="s">
        <v>21688</v>
      </c>
      <c r="C6726" t="s">
        <v>21689</v>
      </c>
      <c r="D6726" t="s">
        <v>21690</v>
      </c>
      <c r="E6726" t="s">
        <v>21691</v>
      </c>
      <c r="F6726" t="s">
        <v>21692</v>
      </c>
      <c r="G6726" s="2" t="str">
        <f>HYPERLINK("https://probpalata.gov.ru/files/ИП770100865200000.jpeg","Скачать индивидуальный QR-код магазина")</f>
        <v>Скачать индивидуальный QR-код магазина</v>
      </c>
    </row>
    <row r="6727" spans="1:7" x14ac:dyDescent="0.25">
      <c r="A6727" t="s">
        <v>18820</v>
      </c>
      <c r="B6727" t="s">
        <v>19025</v>
      </c>
      <c r="C6727" t="s">
        <v>9662</v>
      </c>
      <c r="D6727" t="s">
        <v>9663</v>
      </c>
      <c r="E6727" t="s">
        <v>9664</v>
      </c>
      <c r="F6727" t="s">
        <v>21693</v>
      </c>
      <c r="G6727" s="2" t="str">
        <f>HYPERLINK("https://probpalata.gov.ru/files/ЮЛ400100866000001.jpeg","Скачать индивидуальный QR-код магазина")</f>
        <v>Скачать индивидуальный QR-код магазина</v>
      </c>
    </row>
    <row r="6728" spans="1:7" x14ac:dyDescent="0.25">
      <c r="A6728" t="s">
        <v>18820</v>
      </c>
      <c r="B6728" t="s">
        <v>21694</v>
      </c>
      <c r="C6728" t="s">
        <v>21695</v>
      </c>
      <c r="D6728" t="s">
        <v>21696</v>
      </c>
      <c r="E6728" t="s">
        <v>21697</v>
      </c>
      <c r="F6728" t="s">
        <v>21698</v>
      </c>
      <c r="G6728" s="2" t="str">
        <f>HYPERLINK("https://probpalata.gov.ru/files/ЮЛ770100476400002.jpeg","Скачать индивидуальный QR-код магазина")</f>
        <v>Скачать индивидуальный QR-код магазина</v>
      </c>
    </row>
    <row r="6729" spans="1:7" x14ac:dyDescent="0.25">
      <c r="A6729" t="s">
        <v>18820</v>
      </c>
      <c r="B6729" t="s">
        <v>21699</v>
      </c>
      <c r="C6729" t="s">
        <v>21700</v>
      </c>
      <c r="D6729" t="s">
        <v>21701</v>
      </c>
      <c r="E6729" t="s">
        <v>21702</v>
      </c>
      <c r="F6729" t="s">
        <v>21703</v>
      </c>
      <c r="G6729" s="2" t="str">
        <f>HYPERLINK("https://probpalata.gov.ru/files/ЮЛ770100387000001.jpeg","Скачать индивидуальный QR-код магазина")</f>
        <v>Скачать индивидуальный QR-код магазина</v>
      </c>
    </row>
    <row r="6730" spans="1:7" x14ac:dyDescent="0.25">
      <c r="A6730" t="s">
        <v>18820</v>
      </c>
      <c r="B6730" t="s">
        <v>21704</v>
      </c>
      <c r="C6730" t="s">
        <v>21700</v>
      </c>
      <c r="D6730" t="s">
        <v>21701</v>
      </c>
      <c r="E6730" t="s">
        <v>21702</v>
      </c>
      <c r="F6730" t="s">
        <v>21705</v>
      </c>
      <c r="G6730" s="2" t="str">
        <f>HYPERLINK("https://probpalata.gov.ru/files/ЮЛ770100387000004.jpeg","Скачать индивидуальный QR-код магазина")</f>
        <v>Скачать индивидуальный QR-код магазина</v>
      </c>
    </row>
    <row r="6731" spans="1:7" x14ac:dyDescent="0.25">
      <c r="A6731" t="s">
        <v>18820</v>
      </c>
      <c r="B6731" t="s">
        <v>21706</v>
      </c>
      <c r="C6731" t="s">
        <v>21700</v>
      </c>
      <c r="D6731" t="s">
        <v>21701</v>
      </c>
      <c r="E6731" t="s">
        <v>21702</v>
      </c>
      <c r="F6731" t="s">
        <v>21707</v>
      </c>
      <c r="G6731" s="2" t="str">
        <f>HYPERLINK("https://probpalata.gov.ru/files/ЮЛ770100387000006.jpeg","Скачать индивидуальный QR-код магазина")</f>
        <v>Скачать индивидуальный QR-код магазина</v>
      </c>
    </row>
    <row r="6732" spans="1:7" x14ac:dyDescent="0.25">
      <c r="A6732" t="s">
        <v>18820</v>
      </c>
      <c r="B6732" t="s">
        <v>21708</v>
      </c>
      <c r="C6732" t="s">
        <v>21709</v>
      </c>
      <c r="D6732" t="s">
        <v>21710</v>
      </c>
      <c r="E6732" t="s">
        <v>21711</v>
      </c>
      <c r="F6732" t="s">
        <v>21712</v>
      </c>
      <c r="G6732" s="2" t="str">
        <f>HYPERLINK("https://probpalata.gov.ru/files/ЮЛ770101030400000.jpeg","Скачать индивидуальный QR-код магазина")</f>
        <v>Скачать индивидуальный QR-код магазина</v>
      </c>
    </row>
    <row r="6733" spans="1:7" x14ac:dyDescent="0.25">
      <c r="A6733" t="s">
        <v>18820</v>
      </c>
      <c r="B6733" t="s">
        <v>21713</v>
      </c>
      <c r="C6733" t="s">
        <v>21714</v>
      </c>
      <c r="D6733" t="s">
        <v>21715</v>
      </c>
      <c r="E6733" t="s">
        <v>21716</v>
      </c>
      <c r="F6733" t="s">
        <v>21717</v>
      </c>
      <c r="G6733" s="2" t="str">
        <f>HYPERLINK("https://probpalata.gov.ru/files/ЮЛ770103582800000.jpeg","Скачать индивидуальный QR-код магазина")</f>
        <v>Скачать индивидуальный QR-код магазина</v>
      </c>
    </row>
    <row r="6734" spans="1:7" x14ac:dyDescent="0.25">
      <c r="A6734" t="s">
        <v>18820</v>
      </c>
      <c r="B6734" t="s">
        <v>21718</v>
      </c>
      <c r="C6734" t="s">
        <v>21719</v>
      </c>
      <c r="D6734" t="s">
        <v>21720</v>
      </c>
      <c r="E6734" t="s">
        <v>21721</v>
      </c>
      <c r="F6734" t="s">
        <v>21722</v>
      </c>
      <c r="G6734" s="2" t="str">
        <f>HYPERLINK("https://probpalata.gov.ru/files/ЮЛ770103631400000.jpeg","Скачать индивидуальный QR-код магазина")</f>
        <v>Скачать индивидуальный QR-код магазина</v>
      </c>
    </row>
    <row r="6735" spans="1:7" x14ac:dyDescent="0.25">
      <c r="A6735" t="s">
        <v>18820</v>
      </c>
      <c r="B6735" t="s">
        <v>21723</v>
      </c>
      <c r="C6735" t="s">
        <v>21719</v>
      </c>
      <c r="D6735" t="s">
        <v>21720</v>
      </c>
      <c r="E6735" t="s">
        <v>21721</v>
      </c>
      <c r="F6735" t="s">
        <v>21724</v>
      </c>
      <c r="G6735" s="2" t="str">
        <f>HYPERLINK("https://probpalata.gov.ru/files/ЮЛ770103631400001.jpeg","Скачать индивидуальный QR-код магазина")</f>
        <v>Скачать индивидуальный QR-код магазина</v>
      </c>
    </row>
    <row r="6736" spans="1:7" x14ac:dyDescent="0.25">
      <c r="A6736" t="s">
        <v>18820</v>
      </c>
      <c r="B6736" t="s">
        <v>21725</v>
      </c>
      <c r="C6736" t="s">
        <v>21726</v>
      </c>
      <c r="D6736" t="s">
        <v>21727</v>
      </c>
      <c r="E6736" t="s">
        <v>21728</v>
      </c>
      <c r="F6736" t="s">
        <v>21729</v>
      </c>
      <c r="G6736" s="2" t="str">
        <f>HYPERLINK("https://probpalata.gov.ru/files/ЮЛ770103713600000.jpeg","Скачать индивидуальный QR-код магазина")</f>
        <v>Скачать индивидуальный QR-код магазина</v>
      </c>
    </row>
    <row r="6737" spans="1:7" x14ac:dyDescent="0.25">
      <c r="A6737" t="s">
        <v>18820</v>
      </c>
      <c r="B6737" t="s">
        <v>21730</v>
      </c>
      <c r="C6737" t="s">
        <v>21731</v>
      </c>
      <c r="D6737" t="s">
        <v>21732</v>
      </c>
      <c r="E6737" t="s">
        <v>21733</v>
      </c>
      <c r="F6737" t="s">
        <v>21734</v>
      </c>
      <c r="G6737" s="2" t="str">
        <f>HYPERLINK("https://probpalata.gov.ru/files/ЮЛ770103888000000.jpeg","Скачать индивидуальный QR-код магазина")</f>
        <v>Скачать индивидуальный QR-код магазина</v>
      </c>
    </row>
    <row r="6738" spans="1:7" x14ac:dyDescent="0.25">
      <c r="A6738" t="s">
        <v>18820</v>
      </c>
      <c r="B6738" t="s">
        <v>21735</v>
      </c>
      <c r="C6738" t="s">
        <v>21736</v>
      </c>
      <c r="D6738" t="s">
        <v>21737</v>
      </c>
      <c r="E6738" t="s">
        <v>21738</v>
      </c>
      <c r="F6738" t="s">
        <v>21739</v>
      </c>
      <c r="G6738" s="2" t="str">
        <f>HYPERLINK("https://probpalata.gov.ru/files/ЮЛ770100445900003.jpeg","Скачать индивидуальный QR-код магазина")</f>
        <v>Скачать индивидуальный QR-код магазина</v>
      </c>
    </row>
    <row r="6739" spans="1:7" x14ac:dyDescent="0.25">
      <c r="A6739" t="s">
        <v>18820</v>
      </c>
      <c r="B6739" t="s">
        <v>21740</v>
      </c>
      <c r="C6739" t="s">
        <v>21741</v>
      </c>
      <c r="D6739" t="s">
        <v>21742</v>
      </c>
      <c r="E6739" t="s">
        <v>21743</v>
      </c>
      <c r="F6739" t="s">
        <v>21744</v>
      </c>
      <c r="G6739" s="2" t="str">
        <f>HYPERLINK("https://probpalata.gov.ru/files/ЮЛ770100551800000.jpeg","Скачать индивидуальный QR-код магазина")</f>
        <v>Скачать индивидуальный QR-код магазина</v>
      </c>
    </row>
    <row r="6740" spans="1:7" x14ac:dyDescent="0.25">
      <c r="A6740" t="s">
        <v>18820</v>
      </c>
      <c r="B6740" t="s">
        <v>21745</v>
      </c>
      <c r="C6740" t="s">
        <v>21746</v>
      </c>
      <c r="D6740" t="s">
        <v>21747</v>
      </c>
      <c r="E6740" t="s">
        <v>21748</v>
      </c>
      <c r="F6740" t="s">
        <v>21749</v>
      </c>
      <c r="G6740" s="2" t="str">
        <f>HYPERLINK("https://probpalata.gov.ru/files/ЮЛ770100150600013.jpeg","Скачать индивидуальный QR-код магазина")</f>
        <v>Скачать индивидуальный QR-код магазина</v>
      </c>
    </row>
    <row r="6741" spans="1:7" x14ac:dyDescent="0.25">
      <c r="A6741" t="s">
        <v>18820</v>
      </c>
      <c r="B6741" t="s">
        <v>21750</v>
      </c>
      <c r="C6741" t="s">
        <v>21746</v>
      </c>
      <c r="D6741" t="s">
        <v>21747</v>
      </c>
      <c r="E6741" t="s">
        <v>21748</v>
      </c>
      <c r="F6741" t="s">
        <v>21751</v>
      </c>
      <c r="G6741" s="2" t="str">
        <f>HYPERLINK("https://probpalata.gov.ru/files/ЮЛ770100150600016.jpeg","Скачать индивидуальный QR-код магазина")</f>
        <v>Скачать индивидуальный QR-код магазина</v>
      </c>
    </row>
    <row r="6742" spans="1:7" x14ac:dyDescent="0.25">
      <c r="A6742" t="s">
        <v>18820</v>
      </c>
      <c r="B6742" t="s">
        <v>21752</v>
      </c>
      <c r="C6742" t="s">
        <v>21746</v>
      </c>
      <c r="D6742" t="s">
        <v>21747</v>
      </c>
      <c r="E6742" t="s">
        <v>21748</v>
      </c>
      <c r="F6742" t="s">
        <v>21753</v>
      </c>
      <c r="G6742" s="2" t="str">
        <f>HYPERLINK("https://probpalata.gov.ru/files/ЮЛ770100150600017.jpeg","Скачать индивидуальный QR-код магазина")</f>
        <v>Скачать индивидуальный QR-код магазина</v>
      </c>
    </row>
    <row r="6743" spans="1:7" x14ac:dyDescent="0.25">
      <c r="A6743" t="s">
        <v>18820</v>
      </c>
      <c r="B6743" t="s">
        <v>21754</v>
      </c>
      <c r="C6743" t="s">
        <v>21746</v>
      </c>
      <c r="D6743" t="s">
        <v>21747</v>
      </c>
      <c r="E6743" t="s">
        <v>21748</v>
      </c>
      <c r="F6743" t="s">
        <v>21755</v>
      </c>
      <c r="G6743" s="2" t="str">
        <f>HYPERLINK("https://probpalata.gov.ru/files/ЮЛ770100150600019.jpeg","Скачать индивидуальный QR-код магазина")</f>
        <v>Скачать индивидуальный QR-код магазина</v>
      </c>
    </row>
    <row r="6744" spans="1:7" x14ac:dyDescent="0.25">
      <c r="A6744" t="s">
        <v>18820</v>
      </c>
      <c r="B6744" t="s">
        <v>21756</v>
      </c>
      <c r="C6744" t="s">
        <v>21757</v>
      </c>
      <c r="D6744" t="s">
        <v>21758</v>
      </c>
      <c r="E6744" t="s">
        <v>21759</v>
      </c>
      <c r="F6744" t="s">
        <v>21760</v>
      </c>
      <c r="G6744" s="2" t="str">
        <f>HYPERLINK("https://probpalata.gov.ru/files/ЮЛ770101259900000.jpeg","Скачать индивидуальный QR-код магазина")</f>
        <v>Скачать индивидуальный QR-код магазина</v>
      </c>
    </row>
    <row r="6745" spans="1:7" x14ac:dyDescent="0.25">
      <c r="A6745" t="s">
        <v>18820</v>
      </c>
      <c r="B6745" t="s">
        <v>21761</v>
      </c>
      <c r="C6745" t="s">
        <v>21762</v>
      </c>
      <c r="D6745" t="s">
        <v>21763</v>
      </c>
      <c r="E6745" t="s">
        <v>21764</v>
      </c>
      <c r="F6745" t="s">
        <v>21765</v>
      </c>
      <c r="G6745" s="2" t="str">
        <f>HYPERLINK("https://probpalata.gov.ru/files/ЮЛ770101057700000.jpeg","Скачать индивидуальный QR-код магазина")</f>
        <v>Скачать индивидуальный QR-код магазина</v>
      </c>
    </row>
    <row r="6746" spans="1:7" x14ac:dyDescent="0.25">
      <c r="A6746" t="s">
        <v>18820</v>
      </c>
      <c r="B6746" t="s">
        <v>21766</v>
      </c>
      <c r="C6746" t="s">
        <v>21767</v>
      </c>
      <c r="D6746" t="s">
        <v>21768</v>
      </c>
      <c r="E6746" t="s">
        <v>21769</v>
      </c>
      <c r="F6746" t="s">
        <v>21770</v>
      </c>
      <c r="G6746" s="2" t="str">
        <f>HYPERLINK("https://probpalata.gov.ru/files/ЮЛ770101145400000.jpeg","Скачать индивидуальный QR-код магазина")</f>
        <v>Скачать индивидуальный QR-код магазина</v>
      </c>
    </row>
    <row r="6747" spans="1:7" x14ac:dyDescent="0.25">
      <c r="A6747" t="s">
        <v>18820</v>
      </c>
      <c r="B6747" t="s">
        <v>21771</v>
      </c>
      <c r="C6747" t="s">
        <v>21772</v>
      </c>
      <c r="D6747" t="s">
        <v>21773</v>
      </c>
      <c r="E6747" t="s">
        <v>21774</v>
      </c>
      <c r="F6747" t="s">
        <v>21775</v>
      </c>
      <c r="G6747" s="2" t="str">
        <f>HYPERLINK("https://probpalata.gov.ru/files/ЮЛ770100524600000.jpeg","Скачать индивидуальный QR-код магазина")</f>
        <v>Скачать индивидуальный QR-код магазина</v>
      </c>
    </row>
    <row r="6748" spans="1:7" x14ac:dyDescent="0.25">
      <c r="A6748" t="s">
        <v>18820</v>
      </c>
      <c r="B6748" t="s">
        <v>21776</v>
      </c>
      <c r="C6748" t="s">
        <v>15012</v>
      </c>
      <c r="D6748" t="s">
        <v>15013</v>
      </c>
      <c r="E6748" t="s">
        <v>15014</v>
      </c>
      <c r="F6748" t="s">
        <v>21777</v>
      </c>
      <c r="G6748" s="2" t="str">
        <f>HYPERLINK("https://probpalata.gov.ru/files/ЮЛ770100301000000.jpeg","Скачать индивидуальный QR-код магазина")</f>
        <v>Скачать индивидуальный QR-код магазина</v>
      </c>
    </row>
    <row r="6749" spans="1:7" x14ac:dyDescent="0.25">
      <c r="A6749" t="s">
        <v>18820</v>
      </c>
      <c r="B6749" t="s">
        <v>21778</v>
      </c>
      <c r="C6749" t="s">
        <v>21779</v>
      </c>
      <c r="D6749" t="s">
        <v>21780</v>
      </c>
      <c r="E6749" t="s">
        <v>21781</v>
      </c>
      <c r="F6749" t="s">
        <v>21782</v>
      </c>
      <c r="G6749" s="2" t="str">
        <f>HYPERLINK("https://probpalata.gov.ru/files/ЮЛ770100754100000.jpeg","Скачать индивидуальный QR-код магазина")</f>
        <v>Скачать индивидуальный QR-код магазина</v>
      </c>
    </row>
    <row r="6750" spans="1:7" x14ac:dyDescent="0.25">
      <c r="A6750" t="s">
        <v>18820</v>
      </c>
      <c r="B6750" t="s">
        <v>21783</v>
      </c>
      <c r="C6750" t="s">
        <v>21779</v>
      </c>
      <c r="D6750" t="s">
        <v>21780</v>
      </c>
      <c r="E6750" t="s">
        <v>21781</v>
      </c>
      <c r="F6750" t="s">
        <v>21784</v>
      </c>
      <c r="G6750" s="2" t="str">
        <f>HYPERLINK("https://probpalata.gov.ru/files/ЮЛ770100754100002.jpeg","Скачать индивидуальный QR-код магазина")</f>
        <v>Скачать индивидуальный QR-код магазина</v>
      </c>
    </row>
    <row r="6751" spans="1:7" x14ac:dyDescent="0.25">
      <c r="A6751" t="s">
        <v>18820</v>
      </c>
      <c r="B6751" t="s">
        <v>21785</v>
      </c>
      <c r="C6751" t="s">
        <v>21786</v>
      </c>
      <c r="D6751" t="s">
        <v>21787</v>
      </c>
      <c r="E6751" t="s">
        <v>21788</v>
      </c>
      <c r="F6751" t="s">
        <v>21789</v>
      </c>
      <c r="G6751" s="2" t="str">
        <f>HYPERLINK("https://probpalata.gov.ru/files/ЮЛ500101751800000.jpeg","Скачать индивидуальный QR-код магазина")</f>
        <v>Скачать индивидуальный QR-код магазина</v>
      </c>
    </row>
    <row r="6752" spans="1:7" x14ac:dyDescent="0.25">
      <c r="A6752" t="s">
        <v>18820</v>
      </c>
      <c r="B6752" t="s">
        <v>21790</v>
      </c>
      <c r="C6752" t="s">
        <v>21791</v>
      </c>
      <c r="D6752" t="s">
        <v>21792</v>
      </c>
      <c r="E6752" t="s">
        <v>21793</v>
      </c>
      <c r="F6752" t="s">
        <v>21794</v>
      </c>
      <c r="G6752" s="2" t="str">
        <f>HYPERLINK("https://probpalata.gov.ru/files/ЮЛ770101246200000.jpeg","Скачать индивидуальный QR-код магазина")</f>
        <v>Скачать индивидуальный QR-код магазина</v>
      </c>
    </row>
    <row r="6753" spans="1:7" x14ac:dyDescent="0.25">
      <c r="A6753" t="s">
        <v>18820</v>
      </c>
      <c r="B6753" t="s">
        <v>21795</v>
      </c>
      <c r="C6753" t="s">
        <v>21796</v>
      </c>
      <c r="D6753" t="s">
        <v>21797</v>
      </c>
      <c r="E6753" t="s">
        <v>21798</v>
      </c>
      <c r="F6753" t="s">
        <v>21799</v>
      </c>
      <c r="G6753" s="2" t="str">
        <f>HYPERLINK("https://probpalata.gov.ru/files/ЮЛ770100484400000.jpeg","Скачать индивидуальный QR-код магазина")</f>
        <v>Скачать индивидуальный QR-код магазина</v>
      </c>
    </row>
    <row r="6754" spans="1:7" x14ac:dyDescent="0.25">
      <c r="A6754" t="s">
        <v>18820</v>
      </c>
      <c r="B6754" t="s">
        <v>21800</v>
      </c>
      <c r="C6754" t="s">
        <v>21801</v>
      </c>
      <c r="D6754" t="s">
        <v>21802</v>
      </c>
      <c r="E6754" t="s">
        <v>21803</v>
      </c>
      <c r="F6754" t="s">
        <v>21804</v>
      </c>
      <c r="G6754" s="2" t="str">
        <f>HYPERLINK("https://probpalata.gov.ru/files/ЮЛ770100557200000.jpeg","Скачать индивидуальный QR-код магазина")</f>
        <v>Скачать индивидуальный QR-код магазина</v>
      </c>
    </row>
    <row r="6755" spans="1:7" x14ac:dyDescent="0.25">
      <c r="A6755" t="s">
        <v>18820</v>
      </c>
      <c r="B6755" t="s">
        <v>21805</v>
      </c>
      <c r="C6755" t="s">
        <v>21806</v>
      </c>
      <c r="D6755" t="s">
        <v>21807</v>
      </c>
      <c r="E6755" t="s">
        <v>21808</v>
      </c>
      <c r="F6755" t="s">
        <v>21809</v>
      </c>
      <c r="G6755" s="2" t="str">
        <f>HYPERLINK("https://probpalata.gov.ru/files/ЮЛ770100561800000.jpeg","Скачать индивидуальный QR-код магазина")</f>
        <v>Скачать индивидуальный QR-код магазина</v>
      </c>
    </row>
    <row r="6756" spans="1:7" x14ac:dyDescent="0.25">
      <c r="A6756" t="s">
        <v>18820</v>
      </c>
      <c r="B6756" t="s">
        <v>21810</v>
      </c>
      <c r="C6756" t="s">
        <v>21806</v>
      </c>
      <c r="D6756" t="s">
        <v>21807</v>
      </c>
      <c r="E6756" t="s">
        <v>21808</v>
      </c>
      <c r="F6756" t="s">
        <v>21811</v>
      </c>
      <c r="G6756" s="2" t="str">
        <f>HYPERLINK("https://probpalata.gov.ru/files/ЮЛ770100561800001.jpeg","Скачать индивидуальный QR-код магазина")</f>
        <v>Скачать индивидуальный QR-код магазина</v>
      </c>
    </row>
    <row r="6757" spans="1:7" x14ac:dyDescent="0.25">
      <c r="A6757" t="s">
        <v>18820</v>
      </c>
      <c r="B6757" t="s">
        <v>21812</v>
      </c>
      <c r="C6757" t="s">
        <v>21806</v>
      </c>
      <c r="D6757" t="s">
        <v>21807</v>
      </c>
      <c r="E6757" t="s">
        <v>21808</v>
      </c>
      <c r="F6757" t="s">
        <v>21813</v>
      </c>
      <c r="G6757" s="2" t="str">
        <f>HYPERLINK("https://probpalata.gov.ru/files/ЮЛ770100561800002.jpeg","Скачать индивидуальный QR-код магазина")</f>
        <v>Скачать индивидуальный QR-код магазина</v>
      </c>
    </row>
    <row r="6758" spans="1:7" x14ac:dyDescent="0.25">
      <c r="A6758" t="s">
        <v>18820</v>
      </c>
      <c r="B6758" t="s">
        <v>21814</v>
      </c>
      <c r="C6758" t="s">
        <v>21815</v>
      </c>
      <c r="D6758" t="s">
        <v>21816</v>
      </c>
      <c r="E6758" t="s">
        <v>21817</v>
      </c>
      <c r="F6758" t="s">
        <v>21818</v>
      </c>
      <c r="G6758" s="2" t="str">
        <f>HYPERLINK("https://probpalata.gov.ru/files/ЮЛ770101653000000.jpeg","Скачать индивидуальный QR-код магазина")</f>
        <v>Скачать индивидуальный QR-код магазина</v>
      </c>
    </row>
    <row r="6759" spans="1:7" x14ac:dyDescent="0.25">
      <c r="A6759" t="s">
        <v>18820</v>
      </c>
      <c r="B6759" t="s">
        <v>21819</v>
      </c>
      <c r="C6759" t="s">
        <v>21820</v>
      </c>
      <c r="D6759" t="s">
        <v>21821</v>
      </c>
      <c r="E6759" t="s">
        <v>21822</v>
      </c>
      <c r="F6759" t="s">
        <v>21823</v>
      </c>
      <c r="G6759" s="2" t="str">
        <f>HYPERLINK("https://probpalata.gov.ru/files/ЮЛ500101457700000.jpeg","Скачать индивидуальный QR-код магазина")</f>
        <v>Скачать индивидуальный QR-код магазина</v>
      </c>
    </row>
    <row r="6760" spans="1:7" x14ac:dyDescent="0.25">
      <c r="A6760" t="s">
        <v>18820</v>
      </c>
      <c r="B6760" t="s">
        <v>21824</v>
      </c>
      <c r="C6760" t="s">
        <v>21825</v>
      </c>
      <c r="D6760" t="s">
        <v>21826</v>
      </c>
      <c r="E6760" t="s">
        <v>21827</v>
      </c>
      <c r="F6760" t="s">
        <v>21828</v>
      </c>
      <c r="G6760" s="2" t="str">
        <f>HYPERLINK("https://probpalata.gov.ru/files/ИП770103396700000.jpeg","Скачать индивидуальный QR-код магазина")</f>
        <v>Скачать индивидуальный QR-код магазина</v>
      </c>
    </row>
    <row r="6761" spans="1:7" x14ac:dyDescent="0.25">
      <c r="A6761" t="s">
        <v>18820</v>
      </c>
      <c r="B6761" t="s">
        <v>21829</v>
      </c>
      <c r="C6761" t="s">
        <v>21830</v>
      </c>
      <c r="D6761" t="s">
        <v>21831</v>
      </c>
      <c r="E6761" t="s">
        <v>21832</v>
      </c>
      <c r="F6761" t="s">
        <v>21833</v>
      </c>
      <c r="G6761" s="2" t="str">
        <f>HYPERLINK("https://probpalata.gov.ru/files/ЮЛ770103917300000.jpeg","Скачать индивидуальный QR-код магазина")</f>
        <v>Скачать индивидуальный QR-код магазина</v>
      </c>
    </row>
    <row r="6762" spans="1:7" x14ac:dyDescent="0.25">
      <c r="A6762" t="s">
        <v>18820</v>
      </c>
      <c r="B6762" t="s">
        <v>21834</v>
      </c>
      <c r="C6762" t="s">
        <v>21835</v>
      </c>
      <c r="D6762" t="s">
        <v>21836</v>
      </c>
      <c r="E6762" t="s">
        <v>21837</v>
      </c>
      <c r="F6762" t="s">
        <v>21838</v>
      </c>
      <c r="G6762" s="2" t="str">
        <f>HYPERLINK("https://probpalata.gov.ru/files/ЮЛ770101399800000.jpeg","Скачать индивидуальный QR-код магазина")</f>
        <v>Скачать индивидуальный QR-код магазина</v>
      </c>
    </row>
    <row r="6763" spans="1:7" x14ac:dyDescent="0.25">
      <c r="A6763" t="s">
        <v>18820</v>
      </c>
      <c r="B6763" t="s">
        <v>21839</v>
      </c>
      <c r="C6763" t="s">
        <v>21840</v>
      </c>
      <c r="D6763" t="s">
        <v>21841</v>
      </c>
      <c r="E6763" t="s">
        <v>21842</v>
      </c>
      <c r="F6763" t="s">
        <v>21843</v>
      </c>
      <c r="G6763" s="2" t="str">
        <f>HYPERLINK("https://probpalata.gov.ru/files/ЮЛ770101280000000.jpeg","Скачать индивидуальный QR-код магазина")</f>
        <v>Скачать индивидуальный QR-код магазина</v>
      </c>
    </row>
    <row r="6764" spans="1:7" x14ac:dyDescent="0.25">
      <c r="A6764" t="s">
        <v>18820</v>
      </c>
      <c r="B6764" t="s">
        <v>21844</v>
      </c>
      <c r="C6764" t="s">
        <v>21845</v>
      </c>
      <c r="D6764" t="s">
        <v>21846</v>
      </c>
      <c r="E6764" t="s">
        <v>21847</v>
      </c>
      <c r="F6764" t="s">
        <v>21848</v>
      </c>
      <c r="G6764" s="2" t="str">
        <f>HYPERLINK("https://probpalata.gov.ru/files/ЮЛ770101449500000.jpeg","Скачать индивидуальный QR-код магазина")</f>
        <v>Скачать индивидуальный QR-код магазина</v>
      </c>
    </row>
    <row r="6765" spans="1:7" x14ac:dyDescent="0.25">
      <c r="A6765" t="s">
        <v>18820</v>
      </c>
      <c r="B6765" t="s">
        <v>21849</v>
      </c>
      <c r="C6765" t="s">
        <v>15017</v>
      </c>
      <c r="D6765" t="s">
        <v>15018</v>
      </c>
      <c r="E6765" t="s">
        <v>15019</v>
      </c>
      <c r="F6765" t="s">
        <v>21850</v>
      </c>
      <c r="G6765" s="2" t="str">
        <f>HYPERLINK("https://probpalata.gov.ru/files/ЮЛ770101500300000.jpeg","Скачать индивидуальный QR-код магазина")</f>
        <v>Скачать индивидуальный QR-код магазина</v>
      </c>
    </row>
    <row r="6766" spans="1:7" x14ac:dyDescent="0.25">
      <c r="A6766" t="s">
        <v>18820</v>
      </c>
      <c r="B6766" t="s">
        <v>21851</v>
      </c>
      <c r="C6766" t="s">
        <v>15017</v>
      </c>
      <c r="D6766" t="s">
        <v>15018</v>
      </c>
      <c r="E6766" t="s">
        <v>15019</v>
      </c>
      <c r="F6766" t="s">
        <v>21852</v>
      </c>
      <c r="G6766" s="2" t="str">
        <f>HYPERLINK("https://probpalata.gov.ru/files/ЮЛ770101500300003.jpeg","Скачать индивидуальный QR-код магазина")</f>
        <v>Скачать индивидуальный QR-код магазина</v>
      </c>
    </row>
    <row r="6767" spans="1:7" x14ac:dyDescent="0.25">
      <c r="A6767" t="s">
        <v>18820</v>
      </c>
      <c r="B6767" t="s">
        <v>21853</v>
      </c>
      <c r="C6767" t="s">
        <v>15017</v>
      </c>
      <c r="D6767" t="s">
        <v>15018</v>
      </c>
      <c r="E6767" t="s">
        <v>15019</v>
      </c>
      <c r="F6767" t="s">
        <v>21854</v>
      </c>
      <c r="G6767" s="2" t="str">
        <f>HYPERLINK("https://probpalata.gov.ru/files/ЮЛ770101500300004.jpeg","Скачать индивидуальный QR-код магазина")</f>
        <v>Скачать индивидуальный QR-код магазина</v>
      </c>
    </row>
    <row r="6768" spans="1:7" x14ac:dyDescent="0.25">
      <c r="A6768" t="s">
        <v>18820</v>
      </c>
      <c r="B6768" t="s">
        <v>21855</v>
      </c>
      <c r="C6768" t="s">
        <v>15017</v>
      </c>
      <c r="D6768" t="s">
        <v>15018</v>
      </c>
      <c r="E6768" t="s">
        <v>15019</v>
      </c>
      <c r="F6768" t="s">
        <v>21856</v>
      </c>
      <c r="G6768" s="2" t="str">
        <f>HYPERLINK("https://probpalata.gov.ru/files/ЮЛ770101500300005.jpeg","Скачать индивидуальный QR-код магазина")</f>
        <v>Скачать индивидуальный QR-код магазина</v>
      </c>
    </row>
    <row r="6769" spans="1:7" x14ac:dyDescent="0.25">
      <c r="A6769" t="s">
        <v>18820</v>
      </c>
      <c r="B6769" t="s">
        <v>21857</v>
      </c>
      <c r="C6769" t="s">
        <v>15017</v>
      </c>
      <c r="D6769" t="s">
        <v>15018</v>
      </c>
      <c r="E6769" t="s">
        <v>15019</v>
      </c>
      <c r="F6769" t="s">
        <v>21858</v>
      </c>
      <c r="G6769" s="2" t="str">
        <f>HYPERLINK("https://probpalata.gov.ru/files/ЮЛ770101500300006.jpeg","Скачать индивидуальный QR-код магазина")</f>
        <v>Скачать индивидуальный QR-код магазина</v>
      </c>
    </row>
    <row r="6770" spans="1:7" x14ac:dyDescent="0.25">
      <c r="A6770" t="s">
        <v>18820</v>
      </c>
      <c r="B6770" t="s">
        <v>21859</v>
      </c>
      <c r="C6770" t="s">
        <v>15017</v>
      </c>
      <c r="D6770" t="s">
        <v>15018</v>
      </c>
      <c r="E6770" t="s">
        <v>15019</v>
      </c>
      <c r="F6770" t="s">
        <v>21860</v>
      </c>
      <c r="G6770" s="2" t="str">
        <f>HYPERLINK("https://probpalata.gov.ru/files/ЮЛ770101500300007.jpeg","Скачать индивидуальный QR-код магазина")</f>
        <v>Скачать индивидуальный QR-код магазина</v>
      </c>
    </row>
    <row r="6771" spans="1:7" x14ac:dyDescent="0.25">
      <c r="A6771" t="s">
        <v>18820</v>
      </c>
      <c r="B6771" t="s">
        <v>21861</v>
      </c>
      <c r="C6771" t="s">
        <v>15017</v>
      </c>
      <c r="D6771" t="s">
        <v>15018</v>
      </c>
      <c r="E6771" t="s">
        <v>15019</v>
      </c>
      <c r="F6771" t="s">
        <v>21862</v>
      </c>
      <c r="G6771" s="2" t="str">
        <f>HYPERLINK("https://probpalata.gov.ru/files/ЮЛ770101500300009.jpeg","Скачать индивидуальный QR-код магазина")</f>
        <v>Скачать индивидуальный QR-код магазина</v>
      </c>
    </row>
    <row r="6772" spans="1:7" x14ac:dyDescent="0.25">
      <c r="A6772" t="s">
        <v>18820</v>
      </c>
      <c r="B6772" t="s">
        <v>21863</v>
      </c>
      <c r="C6772" t="s">
        <v>15024</v>
      </c>
      <c r="D6772" t="s">
        <v>15025</v>
      </c>
      <c r="E6772" t="s">
        <v>15026</v>
      </c>
      <c r="F6772" t="s">
        <v>21864</v>
      </c>
      <c r="G6772" s="2" t="str">
        <f>HYPERLINK("https://probpalata.gov.ru/files/ЮЛ770100794500000.jpeg","Скачать индивидуальный QR-код магазина")</f>
        <v>Скачать индивидуальный QR-код магазина</v>
      </c>
    </row>
    <row r="6773" spans="1:7" x14ac:dyDescent="0.25">
      <c r="A6773" t="s">
        <v>18820</v>
      </c>
      <c r="B6773" t="s">
        <v>21865</v>
      </c>
      <c r="C6773" t="s">
        <v>15024</v>
      </c>
      <c r="D6773" t="s">
        <v>15025</v>
      </c>
      <c r="E6773" t="s">
        <v>15026</v>
      </c>
      <c r="F6773" t="s">
        <v>21866</v>
      </c>
      <c r="G6773" s="2" t="str">
        <f>HYPERLINK("https://probpalata.gov.ru/files/ЮЛ770100794500001.jpeg","Скачать индивидуальный QR-код магазина")</f>
        <v>Скачать индивидуальный QR-код магазина</v>
      </c>
    </row>
    <row r="6774" spans="1:7" x14ac:dyDescent="0.25">
      <c r="A6774" t="s">
        <v>18820</v>
      </c>
      <c r="B6774" t="s">
        <v>21867</v>
      </c>
      <c r="C6774" t="s">
        <v>15024</v>
      </c>
      <c r="D6774" t="s">
        <v>15025</v>
      </c>
      <c r="E6774" t="s">
        <v>15026</v>
      </c>
      <c r="F6774" t="s">
        <v>21868</v>
      </c>
      <c r="G6774" s="2" t="str">
        <f>HYPERLINK("https://probpalata.gov.ru/files/ЮЛ770100794500002.jpeg","Скачать индивидуальный QR-код магазина")</f>
        <v>Скачать индивидуальный QR-код магазина</v>
      </c>
    </row>
    <row r="6775" spans="1:7" x14ac:dyDescent="0.25">
      <c r="A6775" t="s">
        <v>18820</v>
      </c>
      <c r="B6775" t="s">
        <v>21869</v>
      </c>
      <c r="C6775" t="s">
        <v>21870</v>
      </c>
      <c r="D6775" t="s">
        <v>21871</v>
      </c>
      <c r="E6775" t="s">
        <v>21872</v>
      </c>
      <c r="F6775" t="s">
        <v>21873</v>
      </c>
      <c r="G6775" s="2" t="str">
        <f>HYPERLINK("https://probpalata.gov.ru/files/ЮЛ770100232100000.jpeg","Скачать индивидуальный QR-код магазина")</f>
        <v>Скачать индивидуальный QR-код магазина</v>
      </c>
    </row>
    <row r="6776" spans="1:7" x14ac:dyDescent="0.25">
      <c r="A6776" t="s">
        <v>18820</v>
      </c>
      <c r="B6776" t="s">
        <v>21874</v>
      </c>
      <c r="C6776" t="s">
        <v>21875</v>
      </c>
      <c r="D6776" t="s">
        <v>21876</v>
      </c>
      <c r="E6776" t="s">
        <v>21877</v>
      </c>
      <c r="F6776" t="s">
        <v>21878</v>
      </c>
      <c r="G6776" s="2" t="str">
        <f>HYPERLINK("https://probpalata.gov.ru/files/ЮЛ770100956200000.jpeg","Скачать индивидуальный QR-код магазина")</f>
        <v>Скачать индивидуальный QR-код магазина</v>
      </c>
    </row>
    <row r="6777" spans="1:7" x14ac:dyDescent="0.25">
      <c r="A6777" t="s">
        <v>18820</v>
      </c>
      <c r="B6777" t="s">
        <v>21879</v>
      </c>
      <c r="C6777" t="s">
        <v>21880</v>
      </c>
      <c r="D6777" t="s">
        <v>21881</v>
      </c>
      <c r="E6777" t="s">
        <v>21882</v>
      </c>
      <c r="F6777" t="s">
        <v>21883</v>
      </c>
      <c r="G6777" s="2" t="str">
        <f>HYPERLINK("https://probpalata.gov.ru/files/ЮЛ770101391100000.jpeg","Скачать индивидуальный QR-код магазина")</f>
        <v>Скачать индивидуальный QR-код магазина</v>
      </c>
    </row>
    <row r="6778" spans="1:7" x14ac:dyDescent="0.25">
      <c r="A6778" t="s">
        <v>18820</v>
      </c>
      <c r="B6778" t="s">
        <v>21884</v>
      </c>
      <c r="C6778" t="s">
        <v>21880</v>
      </c>
      <c r="D6778" t="s">
        <v>21881</v>
      </c>
      <c r="E6778" t="s">
        <v>21882</v>
      </c>
      <c r="F6778" t="s">
        <v>21885</v>
      </c>
      <c r="G6778" s="2" t="str">
        <f>HYPERLINK("https://probpalata.gov.ru/files/ЮЛ770101391100001.jpeg","Скачать индивидуальный QR-код магазина")</f>
        <v>Скачать индивидуальный QR-код магазина</v>
      </c>
    </row>
    <row r="6779" spans="1:7" x14ac:dyDescent="0.25">
      <c r="A6779" t="s">
        <v>18820</v>
      </c>
      <c r="B6779" t="s">
        <v>21886</v>
      </c>
      <c r="C6779" t="s">
        <v>21880</v>
      </c>
      <c r="D6779" t="s">
        <v>21881</v>
      </c>
      <c r="E6779" t="s">
        <v>21882</v>
      </c>
      <c r="F6779" t="s">
        <v>21887</v>
      </c>
      <c r="G6779" s="2" t="str">
        <f>HYPERLINK("https://probpalata.gov.ru/files/ЮЛ770101391100002.jpeg","Скачать индивидуальный QR-код магазина")</f>
        <v>Скачать индивидуальный QR-код магазина</v>
      </c>
    </row>
    <row r="6780" spans="1:7" x14ac:dyDescent="0.25">
      <c r="A6780" t="s">
        <v>18820</v>
      </c>
      <c r="B6780" t="s">
        <v>21888</v>
      </c>
      <c r="C6780" t="s">
        <v>21889</v>
      </c>
      <c r="D6780" t="s">
        <v>21890</v>
      </c>
      <c r="E6780" t="s">
        <v>21891</v>
      </c>
      <c r="F6780" t="s">
        <v>21892</v>
      </c>
      <c r="G6780" s="2" t="str">
        <f>HYPERLINK("https://probpalata.gov.ru/files/ИП770100821000000.jpeg","Скачать индивидуальный QR-код магазина")</f>
        <v>Скачать индивидуальный QR-код магазина</v>
      </c>
    </row>
    <row r="6781" spans="1:7" x14ac:dyDescent="0.25">
      <c r="A6781" t="s">
        <v>18820</v>
      </c>
      <c r="B6781" t="s">
        <v>21893</v>
      </c>
      <c r="C6781" t="s">
        <v>21889</v>
      </c>
      <c r="D6781" t="s">
        <v>21890</v>
      </c>
      <c r="E6781" t="s">
        <v>21891</v>
      </c>
      <c r="F6781" t="s">
        <v>21894</v>
      </c>
      <c r="G6781" s="2" t="str">
        <f>HYPERLINK("https://probpalata.gov.ru/files/ИП770100821000010.jpeg","Скачать индивидуальный QR-код магазина")</f>
        <v>Скачать индивидуальный QR-код магазина</v>
      </c>
    </row>
    <row r="6782" spans="1:7" x14ac:dyDescent="0.25">
      <c r="A6782" t="s">
        <v>18820</v>
      </c>
      <c r="B6782" t="s">
        <v>21895</v>
      </c>
      <c r="C6782" t="s">
        <v>21889</v>
      </c>
      <c r="D6782" t="s">
        <v>21890</v>
      </c>
      <c r="E6782" t="s">
        <v>21891</v>
      </c>
      <c r="F6782" t="s">
        <v>21896</v>
      </c>
      <c r="G6782" s="2" t="str">
        <f>HYPERLINK("https://probpalata.gov.ru/files/ИП770100821000012.jpeg","Скачать индивидуальный QR-код магазина")</f>
        <v>Скачать индивидуальный QR-код магазина</v>
      </c>
    </row>
    <row r="6783" spans="1:7" x14ac:dyDescent="0.25">
      <c r="A6783" t="s">
        <v>18820</v>
      </c>
      <c r="B6783" t="s">
        <v>21897</v>
      </c>
      <c r="C6783" t="s">
        <v>21889</v>
      </c>
      <c r="D6783" t="s">
        <v>21890</v>
      </c>
      <c r="E6783" t="s">
        <v>21891</v>
      </c>
      <c r="F6783" t="s">
        <v>21898</v>
      </c>
      <c r="G6783" s="2" t="str">
        <f>HYPERLINK("https://probpalata.gov.ru/files/ИП770100821000014.jpeg","Скачать индивидуальный QR-код магазина")</f>
        <v>Скачать индивидуальный QR-код магазина</v>
      </c>
    </row>
    <row r="6784" spans="1:7" x14ac:dyDescent="0.25">
      <c r="A6784" t="s">
        <v>18820</v>
      </c>
      <c r="B6784" t="s">
        <v>21899</v>
      </c>
      <c r="C6784" t="s">
        <v>21889</v>
      </c>
      <c r="D6784" t="s">
        <v>21890</v>
      </c>
      <c r="E6784" t="s">
        <v>21891</v>
      </c>
      <c r="F6784" t="s">
        <v>21900</v>
      </c>
      <c r="G6784" s="2" t="str">
        <f>HYPERLINK("https://probpalata.gov.ru/files/ИП770100821000015.jpeg","Скачать индивидуальный QR-код магазина")</f>
        <v>Скачать индивидуальный QR-код магазина</v>
      </c>
    </row>
    <row r="6785" spans="1:7" x14ac:dyDescent="0.25">
      <c r="A6785" t="s">
        <v>18820</v>
      </c>
      <c r="B6785" t="s">
        <v>21901</v>
      </c>
      <c r="C6785" t="s">
        <v>21889</v>
      </c>
      <c r="D6785" t="s">
        <v>21890</v>
      </c>
      <c r="E6785" t="s">
        <v>21891</v>
      </c>
      <c r="F6785" t="s">
        <v>21902</v>
      </c>
      <c r="G6785" s="2" t="str">
        <f>HYPERLINK("https://probpalata.gov.ru/files/ИП770100821000023.jpeg","Скачать индивидуальный QR-код магазина")</f>
        <v>Скачать индивидуальный QR-код магазина</v>
      </c>
    </row>
    <row r="6786" spans="1:7" x14ac:dyDescent="0.25">
      <c r="A6786" t="s">
        <v>18820</v>
      </c>
      <c r="B6786" t="s">
        <v>21903</v>
      </c>
      <c r="C6786" t="s">
        <v>21889</v>
      </c>
      <c r="D6786" t="s">
        <v>21890</v>
      </c>
      <c r="E6786" t="s">
        <v>21891</v>
      </c>
      <c r="F6786" t="s">
        <v>21904</v>
      </c>
      <c r="G6786" s="2" t="str">
        <f>HYPERLINK("https://probpalata.gov.ru/files/ИП770100821000024.jpeg","Скачать индивидуальный QR-код магазина")</f>
        <v>Скачать индивидуальный QR-код магазина</v>
      </c>
    </row>
    <row r="6787" spans="1:7" x14ac:dyDescent="0.25">
      <c r="A6787" t="s">
        <v>18820</v>
      </c>
      <c r="B6787" t="s">
        <v>21905</v>
      </c>
      <c r="C6787" t="s">
        <v>21889</v>
      </c>
      <c r="D6787" t="s">
        <v>21890</v>
      </c>
      <c r="E6787" t="s">
        <v>21891</v>
      </c>
      <c r="F6787" t="s">
        <v>21906</v>
      </c>
      <c r="G6787" s="2" t="str">
        <f>HYPERLINK("https://probpalata.gov.ru/files/ИП770100821000026.jpeg","Скачать индивидуальный QR-код магазина")</f>
        <v>Скачать индивидуальный QR-код магазина</v>
      </c>
    </row>
    <row r="6788" spans="1:7" x14ac:dyDescent="0.25">
      <c r="A6788" t="s">
        <v>18820</v>
      </c>
      <c r="B6788" t="s">
        <v>21907</v>
      </c>
      <c r="C6788" t="s">
        <v>21889</v>
      </c>
      <c r="D6788" t="s">
        <v>21890</v>
      </c>
      <c r="E6788" t="s">
        <v>21891</v>
      </c>
      <c r="F6788" t="s">
        <v>21908</v>
      </c>
      <c r="G6788" s="2" t="str">
        <f>HYPERLINK("https://probpalata.gov.ru/files/ИП770100821000028.jpeg","Скачать индивидуальный QR-код магазина")</f>
        <v>Скачать индивидуальный QR-код магазина</v>
      </c>
    </row>
    <row r="6789" spans="1:7" x14ac:dyDescent="0.25">
      <c r="A6789" t="s">
        <v>18820</v>
      </c>
      <c r="B6789" t="s">
        <v>21909</v>
      </c>
      <c r="C6789" t="s">
        <v>21889</v>
      </c>
      <c r="D6789" t="s">
        <v>21890</v>
      </c>
      <c r="E6789" t="s">
        <v>21891</v>
      </c>
      <c r="F6789" t="s">
        <v>21910</v>
      </c>
      <c r="G6789" s="2" t="str">
        <f>HYPERLINK("https://probpalata.gov.ru/files/ИП770100821000032.jpeg","Скачать индивидуальный QR-код магазина")</f>
        <v>Скачать индивидуальный QR-код магазина</v>
      </c>
    </row>
    <row r="6790" spans="1:7" x14ac:dyDescent="0.25">
      <c r="A6790" t="s">
        <v>18820</v>
      </c>
      <c r="B6790" t="s">
        <v>21911</v>
      </c>
      <c r="C6790" t="s">
        <v>21889</v>
      </c>
      <c r="D6790" t="s">
        <v>21890</v>
      </c>
      <c r="E6790" t="s">
        <v>21891</v>
      </c>
      <c r="F6790" t="s">
        <v>21912</v>
      </c>
      <c r="G6790" s="2" t="str">
        <f>HYPERLINK("https://probpalata.gov.ru/files/ИП770100821000033.jpeg","Скачать индивидуальный QR-код магазина")</f>
        <v>Скачать индивидуальный QR-код магазина</v>
      </c>
    </row>
    <row r="6791" spans="1:7" x14ac:dyDescent="0.25">
      <c r="A6791" t="s">
        <v>18820</v>
      </c>
      <c r="B6791" t="s">
        <v>21913</v>
      </c>
      <c r="C6791" t="s">
        <v>21889</v>
      </c>
      <c r="D6791" t="s">
        <v>21890</v>
      </c>
      <c r="E6791" t="s">
        <v>21891</v>
      </c>
      <c r="F6791" t="s">
        <v>21914</v>
      </c>
      <c r="G6791" s="2" t="str">
        <f>HYPERLINK("https://probpalata.gov.ru/files/ИП770100821000034.jpeg","Скачать индивидуальный QR-код магазина")</f>
        <v>Скачать индивидуальный QR-код магазина</v>
      </c>
    </row>
    <row r="6792" spans="1:7" x14ac:dyDescent="0.25">
      <c r="A6792" t="s">
        <v>18820</v>
      </c>
      <c r="B6792" t="s">
        <v>21915</v>
      </c>
      <c r="C6792" t="s">
        <v>21889</v>
      </c>
      <c r="D6792" t="s">
        <v>21890</v>
      </c>
      <c r="E6792" t="s">
        <v>21891</v>
      </c>
      <c r="F6792" t="s">
        <v>21916</v>
      </c>
      <c r="G6792" s="2" t="str">
        <f>HYPERLINK("https://probpalata.gov.ru/files/ИП770100821000036.jpeg","Скачать индивидуальный QR-код магазина")</f>
        <v>Скачать индивидуальный QR-код магазина</v>
      </c>
    </row>
    <row r="6793" spans="1:7" x14ac:dyDescent="0.25">
      <c r="A6793" t="s">
        <v>18820</v>
      </c>
      <c r="B6793" t="s">
        <v>21917</v>
      </c>
      <c r="C6793" t="s">
        <v>21889</v>
      </c>
      <c r="D6793" t="s">
        <v>21890</v>
      </c>
      <c r="E6793" t="s">
        <v>21891</v>
      </c>
      <c r="F6793" t="s">
        <v>21918</v>
      </c>
      <c r="G6793" s="2" t="str">
        <f>HYPERLINK("https://probpalata.gov.ru/files/ИП770100821000037.jpeg","Скачать индивидуальный QR-код магазина")</f>
        <v>Скачать индивидуальный QR-код магазина</v>
      </c>
    </row>
    <row r="6794" spans="1:7" x14ac:dyDescent="0.25">
      <c r="A6794" t="s">
        <v>18820</v>
      </c>
      <c r="B6794" t="s">
        <v>21919</v>
      </c>
      <c r="C6794" t="s">
        <v>21889</v>
      </c>
      <c r="D6794" t="s">
        <v>21890</v>
      </c>
      <c r="E6794" t="s">
        <v>21891</v>
      </c>
      <c r="F6794" t="s">
        <v>21920</v>
      </c>
      <c r="G6794" s="2" t="str">
        <f>HYPERLINK("https://probpalata.gov.ru/files/ИП770100821000038.jpeg","Скачать индивидуальный QR-код магазина")</f>
        <v>Скачать индивидуальный QR-код магазина</v>
      </c>
    </row>
    <row r="6795" spans="1:7" x14ac:dyDescent="0.25">
      <c r="A6795" t="s">
        <v>18820</v>
      </c>
      <c r="B6795" t="s">
        <v>21921</v>
      </c>
      <c r="C6795" t="s">
        <v>21889</v>
      </c>
      <c r="D6795" t="s">
        <v>21890</v>
      </c>
      <c r="E6795" t="s">
        <v>21891</v>
      </c>
      <c r="F6795" t="s">
        <v>21922</v>
      </c>
      <c r="G6795" s="2" t="str">
        <f>HYPERLINK("https://probpalata.gov.ru/files/ИП770100821000039.jpeg","Скачать индивидуальный QR-код магазина")</f>
        <v>Скачать индивидуальный QR-код магазина</v>
      </c>
    </row>
    <row r="6796" spans="1:7" x14ac:dyDescent="0.25">
      <c r="A6796" t="s">
        <v>18820</v>
      </c>
      <c r="B6796" t="s">
        <v>21923</v>
      </c>
      <c r="C6796" t="s">
        <v>21889</v>
      </c>
      <c r="D6796" t="s">
        <v>21890</v>
      </c>
      <c r="E6796" t="s">
        <v>21891</v>
      </c>
      <c r="F6796" t="s">
        <v>21924</v>
      </c>
      <c r="G6796" s="2" t="str">
        <f>HYPERLINK("https://probpalata.gov.ru/files/ИП770100821000041.jpeg","Скачать индивидуальный QR-код магазина")</f>
        <v>Скачать индивидуальный QR-код магазина</v>
      </c>
    </row>
    <row r="6797" spans="1:7" x14ac:dyDescent="0.25">
      <c r="A6797" t="s">
        <v>18820</v>
      </c>
      <c r="B6797" t="s">
        <v>21925</v>
      </c>
      <c r="C6797" t="s">
        <v>21926</v>
      </c>
      <c r="D6797" t="s">
        <v>21927</v>
      </c>
      <c r="E6797" t="s">
        <v>21928</v>
      </c>
      <c r="F6797" t="s">
        <v>21929</v>
      </c>
      <c r="G6797" s="2" t="str">
        <f>HYPERLINK("https://probpalata.gov.ru/files/ИП770100959000000.jpeg","Скачать индивидуальный QR-код магазина")</f>
        <v>Скачать индивидуальный QR-код магазина</v>
      </c>
    </row>
    <row r="6798" spans="1:7" x14ac:dyDescent="0.25">
      <c r="A6798" t="s">
        <v>18820</v>
      </c>
      <c r="B6798" t="s">
        <v>21930</v>
      </c>
      <c r="C6798" t="s">
        <v>21931</v>
      </c>
      <c r="D6798" t="s">
        <v>21932</v>
      </c>
      <c r="E6798" t="s">
        <v>21933</v>
      </c>
      <c r="F6798" t="s">
        <v>21934</v>
      </c>
      <c r="G6798" s="2" t="str">
        <f>HYPERLINK("https://probpalata.gov.ru/files/ИП770103832700000.jpeg","Скачать индивидуальный QR-код магазина")</f>
        <v>Скачать индивидуальный QR-код магазина</v>
      </c>
    </row>
    <row r="6799" spans="1:7" x14ac:dyDescent="0.25">
      <c r="A6799" t="s">
        <v>18820</v>
      </c>
      <c r="B6799" t="s">
        <v>21935</v>
      </c>
      <c r="C6799" t="s">
        <v>21936</v>
      </c>
      <c r="D6799" t="s">
        <v>21937</v>
      </c>
      <c r="E6799" t="s">
        <v>21938</v>
      </c>
      <c r="F6799" t="s">
        <v>21939</v>
      </c>
      <c r="G6799" s="2" t="str">
        <f>HYPERLINK("https://probpalata.gov.ru/files/ЮЛ770100204200000.jpeg","Скачать индивидуальный QR-код магазина")</f>
        <v>Скачать индивидуальный QR-код магазина</v>
      </c>
    </row>
    <row r="6800" spans="1:7" x14ac:dyDescent="0.25">
      <c r="A6800" t="s">
        <v>18820</v>
      </c>
      <c r="B6800" t="s">
        <v>21940</v>
      </c>
      <c r="C6800" t="s">
        <v>21936</v>
      </c>
      <c r="D6800" t="s">
        <v>21937</v>
      </c>
      <c r="E6800" t="s">
        <v>21938</v>
      </c>
      <c r="F6800" t="s">
        <v>21941</v>
      </c>
      <c r="G6800" s="2" t="str">
        <f>HYPERLINK("https://probpalata.gov.ru/files/ЮЛ770100204200001.jpeg","Скачать индивидуальный QR-код магазина")</f>
        <v>Скачать индивидуальный QR-код магазина</v>
      </c>
    </row>
    <row r="6801" spans="1:7" x14ac:dyDescent="0.25">
      <c r="A6801" t="s">
        <v>18820</v>
      </c>
      <c r="B6801" t="s">
        <v>21942</v>
      </c>
      <c r="C6801" t="s">
        <v>21936</v>
      </c>
      <c r="D6801" t="s">
        <v>21937</v>
      </c>
      <c r="E6801" t="s">
        <v>21938</v>
      </c>
      <c r="F6801" t="s">
        <v>21943</v>
      </c>
      <c r="G6801" s="2" t="str">
        <f>HYPERLINK("https://probpalata.gov.ru/files/ЮЛ770100204200002.jpeg","Скачать индивидуальный QR-код магазина")</f>
        <v>Скачать индивидуальный QR-код магазина</v>
      </c>
    </row>
    <row r="6802" spans="1:7" x14ac:dyDescent="0.25">
      <c r="A6802" t="s">
        <v>18820</v>
      </c>
      <c r="B6802" t="s">
        <v>21944</v>
      </c>
      <c r="C6802" t="s">
        <v>21945</v>
      </c>
      <c r="D6802" t="s">
        <v>21946</v>
      </c>
      <c r="E6802" t="s">
        <v>21947</v>
      </c>
      <c r="F6802" t="s">
        <v>21948</v>
      </c>
      <c r="G6802" s="2" t="str">
        <f>HYPERLINK("https://probpalata.gov.ru/files/ИП770103623600000.jpeg","Скачать индивидуальный QR-код магазина")</f>
        <v>Скачать индивидуальный QR-код магазина</v>
      </c>
    </row>
    <row r="6803" spans="1:7" x14ac:dyDescent="0.25">
      <c r="A6803" t="s">
        <v>18820</v>
      </c>
      <c r="B6803" t="s">
        <v>21949</v>
      </c>
      <c r="C6803" t="s">
        <v>21950</v>
      </c>
      <c r="D6803" t="s">
        <v>21951</v>
      </c>
      <c r="E6803" t="s">
        <v>21952</v>
      </c>
      <c r="F6803" t="s">
        <v>21953</v>
      </c>
      <c r="G6803" s="2" t="str">
        <f>HYPERLINK("https://probpalata.gov.ru/files/ЮЛ770100191100000.jpeg","Скачать индивидуальный QR-код магазина")</f>
        <v>Скачать индивидуальный QR-код магазина</v>
      </c>
    </row>
    <row r="6804" spans="1:7" x14ac:dyDescent="0.25">
      <c r="A6804" t="s">
        <v>18820</v>
      </c>
      <c r="B6804" t="s">
        <v>21954</v>
      </c>
      <c r="C6804" t="s">
        <v>21950</v>
      </c>
      <c r="D6804" t="s">
        <v>21951</v>
      </c>
      <c r="E6804" t="s">
        <v>21952</v>
      </c>
      <c r="F6804" t="s">
        <v>21955</v>
      </c>
      <c r="G6804" s="2" t="str">
        <f>HYPERLINK("https://probpalata.gov.ru/files/ЮЛ770100191100001.jpeg","Скачать индивидуальный QR-код магазина")</f>
        <v>Скачать индивидуальный QR-код магазина</v>
      </c>
    </row>
    <row r="6805" spans="1:7" x14ac:dyDescent="0.25">
      <c r="A6805" t="s">
        <v>18820</v>
      </c>
      <c r="B6805" t="s">
        <v>21956</v>
      </c>
      <c r="C6805" t="s">
        <v>21950</v>
      </c>
      <c r="D6805" t="s">
        <v>21951</v>
      </c>
      <c r="E6805" t="s">
        <v>21952</v>
      </c>
      <c r="F6805" t="s">
        <v>21957</v>
      </c>
      <c r="G6805" s="2" t="str">
        <f>HYPERLINK("https://probpalata.gov.ru/files/ЮЛ770100191100002.jpeg","Скачать индивидуальный QR-код магазина")</f>
        <v>Скачать индивидуальный QR-код магазина</v>
      </c>
    </row>
    <row r="6806" spans="1:7" x14ac:dyDescent="0.25">
      <c r="A6806" t="s">
        <v>18820</v>
      </c>
      <c r="B6806" t="s">
        <v>21958</v>
      </c>
      <c r="C6806" t="s">
        <v>21950</v>
      </c>
      <c r="D6806" t="s">
        <v>21951</v>
      </c>
      <c r="E6806" t="s">
        <v>21952</v>
      </c>
      <c r="F6806" t="s">
        <v>21959</v>
      </c>
      <c r="G6806" s="2" t="str">
        <f>HYPERLINK("https://probpalata.gov.ru/files/ЮЛ770100191100003.jpeg","Скачать индивидуальный QR-код магазина")</f>
        <v>Скачать индивидуальный QR-код магазина</v>
      </c>
    </row>
    <row r="6807" spans="1:7" x14ac:dyDescent="0.25">
      <c r="A6807" t="s">
        <v>18820</v>
      </c>
      <c r="B6807" t="s">
        <v>21960</v>
      </c>
      <c r="C6807" t="s">
        <v>21950</v>
      </c>
      <c r="D6807" t="s">
        <v>21951</v>
      </c>
      <c r="E6807" t="s">
        <v>21952</v>
      </c>
      <c r="F6807" t="s">
        <v>21961</v>
      </c>
      <c r="G6807" s="2" t="str">
        <f>HYPERLINK("https://probpalata.gov.ru/files/ЮЛ770100191100004.jpeg","Скачать индивидуальный QR-код магазина")</f>
        <v>Скачать индивидуальный QR-код магазина</v>
      </c>
    </row>
    <row r="6808" spans="1:7" x14ac:dyDescent="0.25">
      <c r="A6808" t="s">
        <v>18820</v>
      </c>
      <c r="B6808" t="s">
        <v>21962</v>
      </c>
      <c r="C6808" t="s">
        <v>21950</v>
      </c>
      <c r="D6808" t="s">
        <v>21951</v>
      </c>
      <c r="E6808" t="s">
        <v>21952</v>
      </c>
      <c r="F6808" t="s">
        <v>21963</v>
      </c>
      <c r="G6808" s="2" t="str">
        <f>HYPERLINK("https://probpalata.gov.ru/files/ЮЛ770100191100005.jpeg","Скачать индивидуальный QR-код магазина")</f>
        <v>Скачать индивидуальный QR-код магазина</v>
      </c>
    </row>
    <row r="6809" spans="1:7" x14ac:dyDescent="0.25">
      <c r="A6809" t="s">
        <v>18820</v>
      </c>
      <c r="B6809" t="s">
        <v>21964</v>
      </c>
      <c r="C6809" t="s">
        <v>21950</v>
      </c>
      <c r="D6809" t="s">
        <v>21951</v>
      </c>
      <c r="E6809" t="s">
        <v>21952</v>
      </c>
      <c r="F6809" t="s">
        <v>21965</v>
      </c>
      <c r="G6809" s="2" t="str">
        <f>HYPERLINK("https://probpalata.gov.ru/files/ЮЛ770100191100006.jpeg","Скачать индивидуальный QR-код магазина")</f>
        <v>Скачать индивидуальный QR-код магазина</v>
      </c>
    </row>
    <row r="6810" spans="1:7" x14ac:dyDescent="0.25">
      <c r="A6810" t="s">
        <v>18820</v>
      </c>
      <c r="B6810" t="s">
        <v>21966</v>
      </c>
      <c r="C6810" t="s">
        <v>21950</v>
      </c>
      <c r="D6810" t="s">
        <v>21951</v>
      </c>
      <c r="E6810" t="s">
        <v>21952</v>
      </c>
      <c r="F6810" t="s">
        <v>21967</v>
      </c>
      <c r="G6810" s="2" t="str">
        <f>HYPERLINK("https://probpalata.gov.ru/files/ЮЛ770100191100007.jpeg","Скачать индивидуальный QR-код магазина")</f>
        <v>Скачать индивидуальный QR-код магазина</v>
      </c>
    </row>
    <row r="6811" spans="1:7" x14ac:dyDescent="0.25">
      <c r="A6811" t="s">
        <v>18820</v>
      </c>
      <c r="B6811" t="s">
        <v>21968</v>
      </c>
      <c r="C6811" t="s">
        <v>21950</v>
      </c>
      <c r="D6811" t="s">
        <v>21951</v>
      </c>
      <c r="E6811" t="s">
        <v>21952</v>
      </c>
      <c r="F6811" t="s">
        <v>21969</v>
      </c>
      <c r="G6811" s="2" t="str">
        <f>HYPERLINK("https://probpalata.gov.ru/files/ЮЛ770100191100008.jpeg","Скачать индивидуальный QR-код магазина")</f>
        <v>Скачать индивидуальный QR-код магазина</v>
      </c>
    </row>
    <row r="6812" spans="1:7" x14ac:dyDescent="0.25">
      <c r="A6812" t="s">
        <v>18820</v>
      </c>
      <c r="B6812" t="s">
        <v>21970</v>
      </c>
      <c r="C6812" t="s">
        <v>21950</v>
      </c>
      <c r="D6812" t="s">
        <v>21951</v>
      </c>
      <c r="E6812" t="s">
        <v>21952</v>
      </c>
      <c r="F6812" t="s">
        <v>21971</v>
      </c>
      <c r="G6812" s="2" t="str">
        <f>HYPERLINK("https://probpalata.gov.ru/files/ЮЛ770100191100009.jpeg","Скачать индивидуальный QR-код магазина")</f>
        <v>Скачать индивидуальный QR-код магазина</v>
      </c>
    </row>
    <row r="6813" spans="1:7" x14ac:dyDescent="0.25">
      <c r="A6813" t="s">
        <v>18820</v>
      </c>
      <c r="B6813" t="s">
        <v>21972</v>
      </c>
      <c r="C6813" t="s">
        <v>21950</v>
      </c>
      <c r="D6813" t="s">
        <v>21951</v>
      </c>
      <c r="E6813" t="s">
        <v>21952</v>
      </c>
      <c r="F6813" t="s">
        <v>21973</v>
      </c>
      <c r="G6813" s="2" t="str">
        <f>HYPERLINK("https://probpalata.gov.ru/files/ЮЛ770100191100010.jpeg","Скачать индивидуальный QR-код магазина")</f>
        <v>Скачать индивидуальный QR-код магазина</v>
      </c>
    </row>
    <row r="6814" spans="1:7" x14ac:dyDescent="0.25">
      <c r="A6814" t="s">
        <v>18820</v>
      </c>
      <c r="B6814" t="s">
        <v>21974</v>
      </c>
      <c r="C6814" t="s">
        <v>21950</v>
      </c>
      <c r="D6814" t="s">
        <v>21951</v>
      </c>
      <c r="E6814" t="s">
        <v>21952</v>
      </c>
      <c r="F6814" t="s">
        <v>21975</v>
      </c>
      <c r="G6814" s="2" t="str">
        <f>HYPERLINK("https://probpalata.gov.ru/files/ЮЛ770100191100012.jpeg","Скачать индивидуальный QR-код магазина")</f>
        <v>Скачать индивидуальный QR-код магазина</v>
      </c>
    </row>
    <row r="6815" spans="1:7" x14ac:dyDescent="0.25">
      <c r="A6815" t="s">
        <v>18820</v>
      </c>
      <c r="B6815" t="s">
        <v>21976</v>
      </c>
      <c r="C6815" t="s">
        <v>21950</v>
      </c>
      <c r="D6815" t="s">
        <v>21951</v>
      </c>
      <c r="E6815" t="s">
        <v>21952</v>
      </c>
      <c r="F6815" t="s">
        <v>21977</v>
      </c>
      <c r="G6815" s="2" t="str">
        <f>HYPERLINK("https://probpalata.gov.ru/files/ЮЛ770100191100013.jpeg","Скачать индивидуальный QR-код магазина")</f>
        <v>Скачать индивидуальный QR-код магазина</v>
      </c>
    </row>
    <row r="6816" spans="1:7" x14ac:dyDescent="0.25">
      <c r="A6816" t="s">
        <v>18820</v>
      </c>
      <c r="B6816" t="s">
        <v>21978</v>
      </c>
      <c r="C6816" t="s">
        <v>21979</v>
      </c>
      <c r="D6816" t="s">
        <v>21980</v>
      </c>
      <c r="E6816" t="s">
        <v>21981</v>
      </c>
      <c r="F6816" t="s">
        <v>21982</v>
      </c>
      <c r="G6816" s="2" t="str">
        <f>HYPERLINK("https://probpalata.gov.ru/files/ЮЛ770100159900000.jpeg","Скачать индивидуальный QR-код магазина")</f>
        <v>Скачать индивидуальный QR-код магазина</v>
      </c>
    </row>
    <row r="6817" spans="1:7" x14ac:dyDescent="0.25">
      <c r="A6817" t="s">
        <v>18820</v>
      </c>
      <c r="B6817" t="s">
        <v>21983</v>
      </c>
      <c r="C6817" t="s">
        <v>21984</v>
      </c>
      <c r="D6817" t="s">
        <v>21985</v>
      </c>
      <c r="E6817" t="s">
        <v>21986</v>
      </c>
      <c r="F6817" t="s">
        <v>21987</v>
      </c>
      <c r="G6817" s="2" t="str">
        <f>HYPERLINK("https://probpalata.gov.ru/files/ИП770100962600000.jpeg","Скачать индивидуальный QR-код магазина")</f>
        <v>Скачать индивидуальный QR-код магазина</v>
      </c>
    </row>
    <row r="6818" spans="1:7" x14ac:dyDescent="0.25">
      <c r="A6818" t="s">
        <v>18820</v>
      </c>
      <c r="B6818" t="s">
        <v>21988</v>
      </c>
      <c r="C6818" t="s">
        <v>21989</v>
      </c>
      <c r="D6818" t="s">
        <v>21990</v>
      </c>
      <c r="E6818" t="s">
        <v>21991</v>
      </c>
      <c r="F6818" t="s">
        <v>21992</v>
      </c>
      <c r="G6818" s="2" t="str">
        <f>HYPERLINK("https://probpalata.gov.ru/files/ИП770103690700000.jpeg","Скачать индивидуальный QR-код магазина")</f>
        <v>Скачать индивидуальный QR-код магазина</v>
      </c>
    </row>
    <row r="6819" spans="1:7" x14ac:dyDescent="0.25">
      <c r="A6819" t="s">
        <v>18820</v>
      </c>
      <c r="B6819" t="s">
        <v>21993</v>
      </c>
      <c r="C6819" t="s">
        <v>21994</v>
      </c>
      <c r="D6819" t="s">
        <v>21995</v>
      </c>
      <c r="E6819" t="s">
        <v>21996</v>
      </c>
      <c r="F6819" t="s">
        <v>21997</v>
      </c>
      <c r="G6819" s="2" t="str">
        <f>HYPERLINK("https://probpalata.gov.ru/files/ЮЛ770100492200000.jpeg","Скачать индивидуальный QR-код магазина")</f>
        <v>Скачать индивидуальный QR-код магазина</v>
      </c>
    </row>
    <row r="6820" spans="1:7" x14ac:dyDescent="0.25">
      <c r="A6820" t="s">
        <v>18820</v>
      </c>
      <c r="B6820" t="s">
        <v>21998</v>
      </c>
      <c r="C6820" t="s">
        <v>21999</v>
      </c>
      <c r="D6820" t="s">
        <v>22000</v>
      </c>
      <c r="E6820" t="s">
        <v>22001</v>
      </c>
      <c r="F6820" t="s">
        <v>22002</v>
      </c>
      <c r="G6820" s="2" t="str">
        <f>HYPERLINK("https://probpalata.gov.ru/files/ЮЛ770100410400000.jpeg","Скачать индивидуальный QR-код магазина")</f>
        <v>Скачать индивидуальный QR-код магазина</v>
      </c>
    </row>
    <row r="6821" spans="1:7" x14ac:dyDescent="0.25">
      <c r="A6821" t="s">
        <v>18820</v>
      </c>
      <c r="B6821" t="s">
        <v>22003</v>
      </c>
      <c r="C6821" t="s">
        <v>17607</v>
      </c>
      <c r="D6821" t="s">
        <v>22004</v>
      </c>
      <c r="E6821" t="s">
        <v>22005</v>
      </c>
      <c r="F6821" t="s">
        <v>22006</v>
      </c>
      <c r="G6821" s="2" t="str">
        <f>HYPERLINK("https://probpalata.gov.ru/files/ЮЛ770101537900000.jpeg","Скачать индивидуальный QR-код магазина")</f>
        <v>Скачать индивидуальный QR-код магазина</v>
      </c>
    </row>
    <row r="6822" spans="1:7" x14ac:dyDescent="0.25">
      <c r="A6822" t="s">
        <v>18820</v>
      </c>
      <c r="B6822" t="s">
        <v>22007</v>
      </c>
      <c r="C6822" t="s">
        <v>11670</v>
      </c>
      <c r="D6822" t="s">
        <v>22008</v>
      </c>
      <c r="E6822" t="s">
        <v>22009</v>
      </c>
      <c r="F6822" t="s">
        <v>22010</v>
      </c>
      <c r="G6822" s="2" t="str">
        <f>HYPERLINK("https://probpalata.gov.ru/files/ЮЛ770100404300000.jpeg","Скачать индивидуальный QR-код магазина")</f>
        <v>Скачать индивидуальный QR-код магазина</v>
      </c>
    </row>
    <row r="6823" spans="1:7" x14ac:dyDescent="0.25">
      <c r="A6823" t="s">
        <v>18820</v>
      </c>
      <c r="B6823" t="s">
        <v>22011</v>
      </c>
      <c r="C6823" t="s">
        <v>22012</v>
      </c>
      <c r="D6823" t="s">
        <v>22013</v>
      </c>
      <c r="E6823" t="s">
        <v>22014</v>
      </c>
      <c r="F6823" t="s">
        <v>22015</v>
      </c>
      <c r="G6823" s="2" t="str">
        <f>HYPERLINK("https://probpalata.gov.ru/files/ЮЛ770100219400000.jpeg","Скачать индивидуальный QR-код магазина")</f>
        <v>Скачать индивидуальный QR-код магазина</v>
      </c>
    </row>
    <row r="6824" spans="1:7" x14ac:dyDescent="0.25">
      <c r="A6824" t="s">
        <v>18820</v>
      </c>
      <c r="B6824" t="s">
        <v>22016</v>
      </c>
      <c r="C6824" t="s">
        <v>22017</v>
      </c>
      <c r="D6824" t="s">
        <v>22018</v>
      </c>
      <c r="E6824" t="s">
        <v>22019</v>
      </c>
      <c r="F6824" t="s">
        <v>22020</v>
      </c>
      <c r="G6824" s="2" t="str">
        <f>HYPERLINK("https://probpalata.gov.ru/files/ЮЛ770103185600000.jpeg","Скачать индивидуальный QR-код магазина")</f>
        <v>Скачать индивидуальный QR-код магазина</v>
      </c>
    </row>
    <row r="6825" spans="1:7" x14ac:dyDescent="0.25">
      <c r="A6825" t="s">
        <v>18820</v>
      </c>
      <c r="B6825" t="s">
        <v>22021</v>
      </c>
      <c r="C6825" t="s">
        <v>22022</v>
      </c>
      <c r="D6825" t="s">
        <v>22023</v>
      </c>
      <c r="E6825" t="s">
        <v>22024</v>
      </c>
      <c r="F6825" t="s">
        <v>22025</v>
      </c>
      <c r="G6825" s="2" t="str">
        <f>HYPERLINK("https://probpalata.gov.ru/files/ЮЛ770100723500000.jpeg","Скачать индивидуальный QR-код магазина")</f>
        <v>Скачать индивидуальный QR-код магазина</v>
      </c>
    </row>
    <row r="6826" spans="1:7" x14ac:dyDescent="0.25">
      <c r="A6826" t="s">
        <v>18820</v>
      </c>
      <c r="B6826" t="s">
        <v>22026</v>
      </c>
      <c r="C6826" t="s">
        <v>22027</v>
      </c>
      <c r="D6826" t="s">
        <v>22028</v>
      </c>
      <c r="E6826" t="s">
        <v>22029</v>
      </c>
      <c r="F6826" t="s">
        <v>22030</v>
      </c>
      <c r="G6826" s="2" t="str">
        <f>HYPERLINK("https://probpalata.gov.ru/files/ЮЛ770101146400000.jpeg","Скачать индивидуальный QR-код магазина")</f>
        <v>Скачать индивидуальный QR-код магазина</v>
      </c>
    </row>
    <row r="6827" spans="1:7" x14ac:dyDescent="0.25">
      <c r="A6827" t="s">
        <v>18820</v>
      </c>
      <c r="B6827" t="s">
        <v>22031</v>
      </c>
      <c r="C6827" t="s">
        <v>22032</v>
      </c>
      <c r="D6827" t="s">
        <v>22033</v>
      </c>
      <c r="E6827" t="s">
        <v>22034</v>
      </c>
      <c r="F6827" t="s">
        <v>22035</v>
      </c>
      <c r="G6827" s="2" t="str">
        <f>HYPERLINK("https://probpalata.gov.ru/files/ИП770101620000000.jpeg","Скачать индивидуальный QR-код магазина")</f>
        <v>Скачать индивидуальный QR-код магазина</v>
      </c>
    </row>
    <row r="6828" spans="1:7" x14ac:dyDescent="0.25">
      <c r="A6828" t="s">
        <v>18820</v>
      </c>
      <c r="B6828" t="s">
        <v>22036</v>
      </c>
      <c r="C6828" t="s">
        <v>22037</v>
      </c>
      <c r="D6828" t="s">
        <v>22038</v>
      </c>
      <c r="E6828" t="s">
        <v>22039</v>
      </c>
      <c r="F6828" t="s">
        <v>22040</v>
      </c>
      <c r="G6828" s="2" t="str">
        <f>HYPERLINK("https://probpalata.gov.ru/files/ИП770101177100000.jpeg","Скачать индивидуальный QR-код магазина")</f>
        <v>Скачать индивидуальный QR-код магазина</v>
      </c>
    </row>
    <row r="6829" spans="1:7" x14ac:dyDescent="0.25">
      <c r="A6829" t="s">
        <v>18820</v>
      </c>
      <c r="B6829" t="s">
        <v>22041</v>
      </c>
      <c r="C6829" t="s">
        <v>22042</v>
      </c>
      <c r="D6829" t="s">
        <v>22043</v>
      </c>
      <c r="E6829" t="s">
        <v>22044</v>
      </c>
      <c r="F6829" t="s">
        <v>22045</v>
      </c>
      <c r="G6829" s="2" t="str">
        <f>HYPERLINK("https://probpalata.gov.ru/files/ИП770100598200000.jpeg","Скачать индивидуальный QR-код магазина")</f>
        <v>Скачать индивидуальный QR-код магазина</v>
      </c>
    </row>
    <row r="6830" spans="1:7" x14ac:dyDescent="0.25">
      <c r="A6830" t="s">
        <v>18820</v>
      </c>
      <c r="B6830" t="s">
        <v>22046</v>
      </c>
      <c r="C6830" t="s">
        <v>22047</v>
      </c>
      <c r="D6830" t="s">
        <v>22048</v>
      </c>
      <c r="E6830" t="s">
        <v>22049</v>
      </c>
      <c r="F6830" t="s">
        <v>22050</v>
      </c>
      <c r="G6830" s="2" t="str">
        <f>HYPERLINK("https://probpalata.gov.ru/files/ИП770101597700000.jpeg","Скачать индивидуальный QR-код магазина")</f>
        <v>Скачать индивидуальный QR-код магазина</v>
      </c>
    </row>
    <row r="6831" spans="1:7" x14ac:dyDescent="0.25">
      <c r="A6831" t="s">
        <v>18820</v>
      </c>
      <c r="B6831" t="s">
        <v>22051</v>
      </c>
      <c r="C6831" t="s">
        <v>22052</v>
      </c>
      <c r="D6831" t="s">
        <v>22053</v>
      </c>
      <c r="E6831" t="s">
        <v>22054</v>
      </c>
      <c r="F6831" t="s">
        <v>22055</v>
      </c>
      <c r="G6831" s="2" t="str">
        <f>HYPERLINK("https://probpalata.gov.ru/files/ИП770101712700000.jpeg","Скачать индивидуальный QR-код магазина")</f>
        <v>Скачать индивидуальный QR-код магазина</v>
      </c>
    </row>
    <row r="6832" spans="1:7" x14ac:dyDescent="0.25">
      <c r="A6832" t="s">
        <v>18820</v>
      </c>
      <c r="B6832" t="s">
        <v>22056</v>
      </c>
      <c r="C6832" t="s">
        <v>22057</v>
      </c>
      <c r="D6832" t="s">
        <v>22058</v>
      </c>
      <c r="E6832" t="s">
        <v>22059</v>
      </c>
      <c r="F6832" t="s">
        <v>22060</v>
      </c>
      <c r="G6832" s="2" t="str">
        <f>HYPERLINK("https://probpalata.gov.ru/files/ИП770101320700000.jpeg","Скачать индивидуальный QR-код магазина")</f>
        <v>Скачать индивидуальный QR-код магазина</v>
      </c>
    </row>
    <row r="6833" spans="1:7" x14ac:dyDescent="0.25">
      <c r="A6833" t="s">
        <v>18820</v>
      </c>
      <c r="B6833" t="s">
        <v>22061</v>
      </c>
      <c r="C6833" t="s">
        <v>22062</v>
      </c>
      <c r="D6833" t="s">
        <v>22063</v>
      </c>
      <c r="E6833" t="s">
        <v>22064</v>
      </c>
      <c r="F6833" t="s">
        <v>22065</v>
      </c>
      <c r="G6833" s="2" t="str">
        <f>HYPERLINK("https://probpalata.gov.ru/files/ЮЛ770101280400000.jpeg","Скачать индивидуальный QR-код магазина")</f>
        <v>Скачать индивидуальный QR-код магазина</v>
      </c>
    </row>
    <row r="6834" spans="1:7" x14ac:dyDescent="0.25">
      <c r="A6834" t="s">
        <v>18820</v>
      </c>
      <c r="B6834" t="s">
        <v>22066</v>
      </c>
      <c r="C6834" t="s">
        <v>22067</v>
      </c>
      <c r="D6834" t="s">
        <v>22068</v>
      </c>
      <c r="E6834" t="s">
        <v>22069</v>
      </c>
      <c r="F6834" t="s">
        <v>22070</v>
      </c>
      <c r="G6834" s="2" t="str">
        <f>HYPERLINK("https://probpalata.gov.ru/files/ЮЛ770100202500000.jpeg","Скачать индивидуальный QR-код магазина")</f>
        <v>Скачать индивидуальный QR-код магазина</v>
      </c>
    </row>
    <row r="6835" spans="1:7" x14ac:dyDescent="0.25">
      <c r="A6835" t="s">
        <v>18820</v>
      </c>
      <c r="B6835" t="s">
        <v>22071</v>
      </c>
      <c r="C6835" t="s">
        <v>22067</v>
      </c>
      <c r="D6835" t="s">
        <v>22068</v>
      </c>
      <c r="E6835" t="s">
        <v>22069</v>
      </c>
      <c r="F6835" t="s">
        <v>22072</v>
      </c>
      <c r="G6835" s="2" t="str">
        <f>HYPERLINK("https://probpalata.gov.ru/files/ЮЛ770100202500003.jpeg","Скачать индивидуальный QR-код магазина")</f>
        <v>Скачать индивидуальный QR-код магазина</v>
      </c>
    </row>
    <row r="6836" spans="1:7" x14ac:dyDescent="0.25">
      <c r="A6836" t="s">
        <v>18820</v>
      </c>
      <c r="B6836" t="s">
        <v>22073</v>
      </c>
      <c r="C6836" t="s">
        <v>22067</v>
      </c>
      <c r="D6836" t="s">
        <v>22068</v>
      </c>
      <c r="E6836" t="s">
        <v>22069</v>
      </c>
      <c r="F6836" t="s">
        <v>22074</v>
      </c>
      <c r="G6836" s="2" t="str">
        <f>HYPERLINK("https://probpalata.gov.ru/files/ЮЛ770100202500004.jpeg","Скачать индивидуальный QR-код магазина")</f>
        <v>Скачать индивидуальный QR-код магазина</v>
      </c>
    </row>
    <row r="6837" spans="1:7" x14ac:dyDescent="0.25">
      <c r="A6837" t="s">
        <v>18820</v>
      </c>
      <c r="B6837" t="s">
        <v>22075</v>
      </c>
      <c r="C6837" t="s">
        <v>22067</v>
      </c>
      <c r="D6837" t="s">
        <v>22068</v>
      </c>
      <c r="E6837" t="s">
        <v>22069</v>
      </c>
      <c r="F6837" t="s">
        <v>22076</v>
      </c>
      <c r="G6837" s="2" t="str">
        <f>HYPERLINK("https://probpalata.gov.ru/files/ЮЛ770100202500006.jpeg","Скачать индивидуальный QR-код магазина")</f>
        <v>Скачать индивидуальный QR-код магазина</v>
      </c>
    </row>
    <row r="6838" spans="1:7" x14ac:dyDescent="0.25">
      <c r="A6838" t="s">
        <v>18820</v>
      </c>
      <c r="B6838" t="s">
        <v>22077</v>
      </c>
      <c r="C6838" t="s">
        <v>22067</v>
      </c>
      <c r="D6838" t="s">
        <v>22068</v>
      </c>
      <c r="E6838" t="s">
        <v>22069</v>
      </c>
      <c r="F6838" t="s">
        <v>22078</v>
      </c>
      <c r="G6838" s="2" t="str">
        <f>HYPERLINK("https://probpalata.gov.ru/files/ЮЛ770100202500007.jpeg","Скачать индивидуальный QR-код магазина")</f>
        <v>Скачать индивидуальный QR-код магазина</v>
      </c>
    </row>
    <row r="6839" spans="1:7" x14ac:dyDescent="0.25">
      <c r="A6839" t="s">
        <v>18820</v>
      </c>
      <c r="B6839" t="s">
        <v>22079</v>
      </c>
      <c r="C6839" t="s">
        <v>22067</v>
      </c>
      <c r="D6839" t="s">
        <v>22068</v>
      </c>
      <c r="E6839" t="s">
        <v>22069</v>
      </c>
      <c r="F6839" t="s">
        <v>22080</v>
      </c>
      <c r="G6839" s="2" t="str">
        <f>HYPERLINK("https://probpalata.gov.ru/files/ЮЛ770100202500008.jpeg","Скачать индивидуальный QR-код магазина")</f>
        <v>Скачать индивидуальный QR-код магазина</v>
      </c>
    </row>
    <row r="6840" spans="1:7" x14ac:dyDescent="0.25">
      <c r="A6840" t="s">
        <v>18820</v>
      </c>
      <c r="B6840" t="s">
        <v>22081</v>
      </c>
      <c r="C6840" t="s">
        <v>22067</v>
      </c>
      <c r="D6840" t="s">
        <v>22068</v>
      </c>
      <c r="E6840" t="s">
        <v>22069</v>
      </c>
      <c r="F6840" t="s">
        <v>22082</v>
      </c>
      <c r="G6840" s="2" t="str">
        <f>HYPERLINK("https://probpalata.gov.ru/files/ЮЛ770100202500009.jpeg","Скачать индивидуальный QR-код магазина")</f>
        <v>Скачать индивидуальный QR-код магазина</v>
      </c>
    </row>
    <row r="6841" spans="1:7" x14ac:dyDescent="0.25">
      <c r="A6841" t="s">
        <v>18820</v>
      </c>
      <c r="B6841" t="s">
        <v>22083</v>
      </c>
      <c r="C6841" t="s">
        <v>22067</v>
      </c>
      <c r="D6841" t="s">
        <v>22068</v>
      </c>
      <c r="E6841" t="s">
        <v>22069</v>
      </c>
      <c r="F6841" t="s">
        <v>22084</v>
      </c>
      <c r="G6841" s="2" t="str">
        <f>HYPERLINK("https://probpalata.gov.ru/files/ЮЛ770100202500011.jpeg","Скачать индивидуальный QR-код магазина")</f>
        <v>Скачать индивидуальный QR-код магазина</v>
      </c>
    </row>
    <row r="6842" spans="1:7" x14ac:dyDescent="0.25">
      <c r="A6842" t="s">
        <v>18820</v>
      </c>
      <c r="B6842" t="s">
        <v>22085</v>
      </c>
      <c r="C6842" t="s">
        <v>22067</v>
      </c>
      <c r="D6842" t="s">
        <v>22068</v>
      </c>
      <c r="E6842" t="s">
        <v>22069</v>
      </c>
      <c r="F6842" t="s">
        <v>22086</v>
      </c>
      <c r="G6842" s="2" t="str">
        <f>HYPERLINK("https://probpalata.gov.ru/files/ЮЛ770100202500014.jpeg","Скачать индивидуальный QR-код магазина")</f>
        <v>Скачать индивидуальный QR-код магазина</v>
      </c>
    </row>
    <row r="6843" spans="1:7" x14ac:dyDescent="0.25">
      <c r="A6843" t="s">
        <v>18820</v>
      </c>
      <c r="B6843" t="s">
        <v>22087</v>
      </c>
      <c r="C6843" t="s">
        <v>22067</v>
      </c>
      <c r="D6843" t="s">
        <v>22068</v>
      </c>
      <c r="E6843" t="s">
        <v>22069</v>
      </c>
      <c r="F6843" t="s">
        <v>22088</v>
      </c>
      <c r="G6843" s="2" t="str">
        <f>HYPERLINK("https://probpalata.gov.ru/files/ЮЛ770100202500015.jpeg","Скачать индивидуальный QR-код магазина")</f>
        <v>Скачать индивидуальный QR-код магазина</v>
      </c>
    </row>
    <row r="6844" spans="1:7" x14ac:dyDescent="0.25">
      <c r="A6844" t="s">
        <v>18820</v>
      </c>
      <c r="B6844" t="s">
        <v>22089</v>
      </c>
      <c r="C6844" t="s">
        <v>22067</v>
      </c>
      <c r="D6844" t="s">
        <v>22068</v>
      </c>
      <c r="E6844" t="s">
        <v>22069</v>
      </c>
      <c r="F6844" t="s">
        <v>22090</v>
      </c>
      <c r="G6844" s="2" t="str">
        <f>HYPERLINK("https://probpalata.gov.ru/files/ЮЛ770100202500016.jpeg","Скачать индивидуальный QR-код магазина")</f>
        <v>Скачать индивидуальный QR-код магазина</v>
      </c>
    </row>
    <row r="6845" spans="1:7" x14ac:dyDescent="0.25">
      <c r="A6845" t="s">
        <v>18820</v>
      </c>
      <c r="B6845" t="s">
        <v>20675</v>
      </c>
      <c r="C6845" t="s">
        <v>22067</v>
      </c>
      <c r="D6845" t="s">
        <v>22068</v>
      </c>
      <c r="E6845" t="s">
        <v>22069</v>
      </c>
      <c r="F6845" t="s">
        <v>22091</v>
      </c>
      <c r="G6845" s="2" t="str">
        <f>HYPERLINK("https://probpalata.gov.ru/files/ЮЛ770100202500017.jpeg","Скачать индивидуальный QR-код магазина")</f>
        <v>Скачать индивидуальный QR-код магазина</v>
      </c>
    </row>
    <row r="6846" spans="1:7" x14ac:dyDescent="0.25">
      <c r="A6846" t="s">
        <v>18820</v>
      </c>
      <c r="B6846" t="s">
        <v>22092</v>
      </c>
      <c r="C6846" t="s">
        <v>22093</v>
      </c>
      <c r="D6846" t="s">
        <v>22094</v>
      </c>
      <c r="E6846" t="s">
        <v>22095</v>
      </c>
      <c r="F6846" t="s">
        <v>22096</v>
      </c>
      <c r="G6846" s="2" t="str">
        <f>HYPERLINK("https://probpalata.gov.ru/files/ЮЛ770100417800000.jpeg","Скачать индивидуальный QR-код магазина")</f>
        <v>Скачать индивидуальный QR-код магазина</v>
      </c>
    </row>
    <row r="6847" spans="1:7" x14ac:dyDescent="0.25">
      <c r="A6847" t="s">
        <v>18820</v>
      </c>
      <c r="B6847" t="s">
        <v>22097</v>
      </c>
      <c r="C6847" t="s">
        <v>22098</v>
      </c>
      <c r="D6847" t="s">
        <v>22099</v>
      </c>
      <c r="E6847" t="s">
        <v>22100</v>
      </c>
      <c r="F6847" t="s">
        <v>22101</v>
      </c>
      <c r="G6847" s="2" t="str">
        <f>HYPERLINK("https://probpalata.gov.ru/files/ЮЛ770103468500000.jpeg","Скачать индивидуальный QR-код магазина")</f>
        <v>Скачать индивидуальный QR-код магазина</v>
      </c>
    </row>
    <row r="6848" spans="1:7" x14ac:dyDescent="0.25">
      <c r="A6848" t="s">
        <v>18820</v>
      </c>
      <c r="B6848" t="s">
        <v>22102</v>
      </c>
      <c r="C6848" t="s">
        <v>22098</v>
      </c>
      <c r="D6848" t="s">
        <v>22099</v>
      </c>
      <c r="E6848" t="s">
        <v>22100</v>
      </c>
      <c r="F6848" t="s">
        <v>22103</v>
      </c>
      <c r="G6848" s="2" t="str">
        <f>HYPERLINK("https://probpalata.gov.ru/files/ЮЛ770103468500003.jpeg","Скачать индивидуальный QR-код магазина")</f>
        <v>Скачать индивидуальный QR-код магазина</v>
      </c>
    </row>
    <row r="6849" spans="1:7" x14ac:dyDescent="0.25">
      <c r="A6849" t="s">
        <v>18820</v>
      </c>
      <c r="B6849" t="s">
        <v>22104</v>
      </c>
      <c r="C6849" t="s">
        <v>22105</v>
      </c>
      <c r="D6849" t="s">
        <v>22106</v>
      </c>
      <c r="E6849" t="s">
        <v>22107</v>
      </c>
      <c r="F6849" t="s">
        <v>22108</v>
      </c>
      <c r="G6849" s="2" t="str">
        <f>HYPERLINK("https://probpalata.gov.ru/files/ЮЛ770100455100000.jpeg","Скачать индивидуальный QR-код магазина")</f>
        <v>Скачать индивидуальный QR-код магазина</v>
      </c>
    </row>
    <row r="6850" spans="1:7" x14ac:dyDescent="0.25">
      <c r="A6850" t="s">
        <v>18820</v>
      </c>
      <c r="B6850" t="s">
        <v>22109</v>
      </c>
      <c r="C6850" t="s">
        <v>22110</v>
      </c>
      <c r="D6850" t="s">
        <v>22111</v>
      </c>
      <c r="E6850" t="s">
        <v>22112</v>
      </c>
      <c r="F6850" t="s">
        <v>22113</v>
      </c>
      <c r="G6850" s="2" t="str">
        <f>HYPERLINK("https://probpalata.gov.ru/files/ЮЛ770100551300000.jpeg","Скачать индивидуальный QR-код магазина")</f>
        <v>Скачать индивидуальный QR-код магазина</v>
      </c>
    </row>
    <row r="6851" spans="1:7" x14ac:dyDescent="0.25">
      <c r="A6851" t="s">
        <v>18820</v>
      </c>
      <c r="B6851" t="s">
        <v>22114</v>
      </c>
      <c r="C6851" t="s">
        <v>22110</v>
      </c>
      <c r="D6851" t="s">
        <v>22111</v>
      </c>
      <c r="E6851" t="s">
        <v>22112</v>
      </c>
      <c r="F6851" t="s">
        <v>22115</v>
      </c>
      <c r="G6851" s="2" t="str">
        <f>HYPERLINK("https://probpalata.gov.ru/files/ЮЛ770100551300001.jpeg","Скачать индивидуальный QR-код магазина")</f>
        <v>Скачать индивидуальный QR-код магазина</v>
      </c>
    </row>
    <row r="6852" spans="1:7" x14ac:dyDescent="0.25">
      <c r="A6852" t="s">
        <v>18820</v>
      </c>
      <c r="B6852" t="s">
        <v>22116</v>
      </c>
      <c r="C6852" t="s">
        <v>22117</v>
      </c>
      <c r="D6852" t="s">
        <v>22118</v>
      </c>
      <c r="E6852" t="s">
        <v>22119</v>
      </c>
      <c r="F6852" t="s">
        <v>22120</v>
      </c>
      <c r="G6852" s="2" t="str">
        <f>HYPERLINK("https://probpalata.gov.ru/files/ЮЛ770100726400001.jpeg","Скачать индивидуальный QR-код магазина")</f>
        <v>Скачать индивидуальный QR-код магазина</v>
      </c>
    </row>
    <row r="6853" spans="1:7" x14ac:dyDescent="0.25">
      <c r="A6853" t="s">
        <v>18820</v>
      </c>
      <c r="B6853" t="s">
        <v>22121</v>
      </c>
      <c r="C6853" t="s">
        <v>22122</v>
      </c>
      <c r="D6853" t="s">
        <v>22123</v>
      </c>
      <c r="E6853" t="s">
        <v>22124</v>
      </c>
      <c r="F6853" t="s">
        <v>22125</v>
      </c>
      <c r="G6853" s="2" t="str">
        <f>HYPERLINK("https://probpalata.gov.ru/files/ЮЛ770100514900000.jpeg","Скачать индивидуальный QR-код магазина")</f>
        <v>Скачать индивидуальный QR-код магазина</v>
      </c>
    </row>
    <row r="6854" spans="1:7" x14ac:dyDescent="0.25">
      <c r="A6854" t="s">
        <v>18820</v>
      </c>
      <c r="B6854" t="s">
        <v>22126</v>
      </c>
      <c r="C6854" t="s">
        <v>22127</v>
      </c>
      <c r="D6854" t="s">
        <v>22128</v>
      </c>
      <c r="E6854" t="s">
        <v>22129</v>
      </c>
      <c r="F6854" t="s">
        <v>22130</v>
      </c>
      <c r="G6854" s="2" t="str">
        <f>HYPERLINK("https://probpalata.gov.ru/files/ЮЛ770101921600000.jpeg","Скачать индивидуальный QR-код магазина")</f>
        <v>Скачать индивидуальный QR-код магазина</v>
      </c>
    </row>
    <row r="6855" spans="1:7" x14ac:dyDescent="0.25">
      <c r="A6855" t="s">
        <v>18820</v>
      </c>
      <c r="B6855" t="s">
        <v>22131</v>
      </c>
      <c r="C6855" t="s">
        <v>22132</v>
      </c>
      <c r="D6855" t="s">
        <v>22133</v>
      </c>
      <c r="E6855" t="s">
        <v>22134</v>
      </c>
      <c r="F6855" t="s">
        <v>22135</v>
      </c>
      <c r="G6855" s="2" t="str">
        <f>HYPERLINK("https://probpalata.gov.ru/files/ЮЛ770100114800000.jpeg","Скачать индивидуальный QR-код магазина")</f>
        <v>Скачать индивидуальный QR-код магазина</v>
      </c>
    </row>
    <row r="6856" spans="1:7" x14ac:dyDescent="0.25">
      <c r="A6856" t="s">
        <v>18820</v>
      </c>
      <c r="B6856" t="s">
        <v>22136</v>
      </c>
      <c r="C6856" t="s">
        <v>22137</v>
      </c>
      <c r="D6856" t="s">
        <v>22138</v>
      </c>
      <c r="E6856" t="s">
        <v>22139</v>
      </c>
      <c r="F6856" t="s">
        <v>22140</v>
      </c>
      <c r="G6856" s="2" t="str">
        <f>HYPERLINK("https://probpalata.gov.ru/files/ЮЛ500103069100000.jpeg","Скачать индивидуальный QR-код магазина")</f>
        <v>Скачать индивидуальный QR-код магазина</v>
      </c>
    </row>
    <row r="6857" spans="1:7" x14ac:dyDescent="0.25">
      <c r="A6857" t="s">
        <v>18820</v>
      </c>
      <c r="B6857" t="s">
        <v>22141</v>
      </c>
      <c r="C6857" t="s">
        <v>22142</v>
      </c>
      <c r="D6857" t="s">
        <v>22143</v>
      </c>
      <c r="E6857" t="s">
        <v>22144</v>
      </c>
      <c r="F6857" t="s">
        <v>22145</v>
      </c>
      <c r="G6857" s="2" t="str">
        <f>HYPERLINK("https://probpalata.gov.ru/files/ЮЛ770101405800000.jpeg","Скачать индивидуальный QR-код магазина")</f>
        <v>Скачать индивидуальный QR-код магазина</v>
      </c>
    </row>
    <row r="6858" spans="1:7" x14ac:dyDescent="0.25">
      <c r="A6858" t="s">
        <v>18820</v>
      </c>
      <c r="B6858" t="s">
        <v>22146</v>
      </c>
      <c r="C6858" t="s">
        <v>22147</v>
      </c>
      <c r="D6858" t="s">
        <v>22148</v>
      </c>
      <c r="E6858" t="s">
        <v>22149</v>
      </c>
      <c r="F6858" t="s">
        <v>22150</v>
      </c>
      <c r="G6858" s="2" t="str">
        <f>HYPERLINK("https://probpalata.gov.ru/files/ЮЛ770101877700000.jpeg","Скачать индивидуальный QR-код магазина")</f>
        <v>Скачать индивидуальный QR-код магазина</v>
      </c>
    </row>
    <row r="6859" spans="1:7" x14ac:dyDescent="0.25">
      <c r="A6859" t="s">
        <v>18820</v>
      </c>
      <c r="B6859" t="s">
        <v>22151</v>
      </c>
      <c r="C6859" t="s">
        <v>22152</v>
      </c>
      <c r="D6859" t="s">
        <v>22153</v>
      </c>
      <c r="E6859" t="s">
        <v>22154</v>
      </c>
      <c r="F6859" t="s">
        <v>22155</v>
      </c>
      <c r="G6859" s="2" t="str">
        <f>HYPERLINK("https://probpalata.gov.ru/files/ИП770100491500000.jpeg","Скачать индивидуальный QR-код магазина")</f>
        <v>Скачать индивидуальный QR-код магазина</v>
      </c>
    </row>
    <row r="6860" spans="1:7" x14ac:dyDescent="0.25">
      <c r="A6860" t="s">
        <v>18820</v>
      </c>
      <c r="B6860" t="s">
        <v>22156</v>
      </c>
      <c r="C6860" t="s">
        <v>22157</v>
      </c>
      <c r="D6860" t="s">
        <v>22158</v>
      </c>
      <c r="E6860" t="s">
        <v>22159</v>
      </c>
      <c r="F6860" t="s">
        <v>22160</v>
      </c>
      <c r="G6860" s="2" t="str">
        <f>HYPERLINK("https://probpalata.gov.ru/files/ИП770101749500000.jpeg","Скачать индивидуальный QR-код магазина")</f>
        <v>Скачать индивидуальный QR-код магазина</v>
      </c>
    </row>
    <row r="6861" spans="1:7" x14ac:dyDescent="0.25">
      <c r="A6861" t="s">
        <v>18820</v>
      </c>
      <c r="B6861" t="s">
        <v>22161</v>
      </c>
      <c r="C6861" t="s">
        <v>3157</v>
      </c>
      <c r="D6861" t="s">
        <v>3158</v>
      </c>
      <c r="E6861" t="s">
        <v>3159</v>
      </c>
      <c r="F6861" t="s">
        <v>22162</v>
      </c>
      <c r="G6861" s="2" t="str">
        <f>HYPERLINK("https://probpalata.gov.ru/files/ИП770100417900000.jpeg","Скачать индивидуальный QR-код магазина")</f>
        <v>Скачать индивидуальный QR-код магазина</v>
      </c>
    </row>
    <row r="6862" spans="1:7" x14ac:dyDescent="0.25">
      <c r="A6862" t="s">
        <v>18820</v>
      </c>
      <c r="B6862" t="s">
        <v>22163</v>
      </c>
      <c r="C6862" t="s">
        <v>3157</v>
      </c>
      <c r="D6862" t="s">
        <v>3158</v>
      </c>
      <c r="E6862" t="s">
        <v>3159</v>
      </c>
      <c r="F6862" t="s">
        <v>22164</v>
      </c>
      <c r="G6862" s="2" t="str">
        <f>HYPERLINK("https://probpalata.gov.ru/files/ИП770100417900048.jpeg","Скачать индивидуальный QR-код магазина")</f>
        <v>Скачать индивидуальный QR-код магазина</v>
      </c>
    </row>
    <row r="6863" spans="1:7" x14ac:dyDescent="0.25">
      <c r="A6863" t="s">
        <v>18820</v>
      </c>
      <c r="B6863" t="s">
        <v>22165</v>
      </c>
      <c r="C6863" t="s">
        <v>3157</v>
      </c>
      <c r="D6863" t="s">
        <v>3158</v>
      </c>
      <c r="E6863" t="s">
        <v>3159</v>
      </c>
      <c r="F6863" t="s">
        <v>22166</v>
      </c>
      <c r="G6863" s="2" t="str">
        <f>HYPERLINK("https://probpalata.gov.ru/files/ИП770100417900050.jpeg","Скачать индивидуальный QR-код магазина")</f>
        <v>Скачать индивидуальный QR-код магазина</v>
      </c>
    </row>
    <row r="6864" spans="1:7" x14ac:dyDescent="0.25">
      <c r="A6864" t="s">
        <v>18820</v>
      </c>
      <c r="B6864" t="s">
        <v>22167</v>
      </c>
      <c r="C6864" t="s">
        <v>22168</v>
      </c>
      <c r="D6864" t="s">
        <v>22169</v>
      </c>
      <c r="E6864" t="s">
        <v>22170</v>
      </c>
      <c r="F6864" t="s">
        <v>22171</v>
      </c>
      <c r="G6864" s="2" t="str">
        <f>HYPERLINK("https://probpalata.gov.ru/files/ИП770101824100000.jpeg","Скачать индивидуальный QR-код магазина")</f>
        <v>Скачать индивидуальный QR-код магазина</v>
      </c>
    </row>
    <row r="6865" spans="1:7" x14ac:dyDescent="0.25">
      <c r="A6865" t="s">
        <v>18820</v>
      </c>
      <c r="B6865" t="s">
        <v>22172</v>
      </c>
      <c r="C6865" t="s">
        <v>22173</v>
      </c>
      <c r="D6865" t="s">
        <v>22174</v>
      </c>
      <c r="E6865" t="s">
        <v>22175</v>
      </c>
      <c r="F6865" t="s">
        <v>22176</v>
      </c>
      <c r="G6865" s="2" t="str">
        <f>HYPERLINK("https://probpalata.gov.ru/files/ЮЛ770100583000000.jpeg","Скачать индивидуальный QR-код магазина")</f>
        <v>Скачать индивидуальный QR-код магазина</v>
      </c>
    </row>
    <row r="6866" spans="1:7" x14ac:dyDescent="0.25">
      <c r="A6866" t="s">
        <v>18820</v>
      </c>
      <c r="B6866" t="s">
        <v>22177</v>
      </c>
      <c r="C6866" t="s">
        <v>22178</v>
      </c>
      <c r="D6866" t="s">
        <v>22179</v>
      </c>
      <c r="E6866" t="s">
        <v>22180</v>
      </c>
      <c r="F6866" t="s">
        <v>22181</v>
      </c>
      <c r="G6866" s="2" t="str">
        <f>HYPERLINK("https://probpalata.gov.ru/files/ИП770103767500000.jpeg","Скачать индивидуальный QR-код магазина")</f>
        <v>Скачать индивидуальный QR-код магазина</v>
      </c>
    </row>
    <row r="6867" spans="1:7" x14ac:dyDescent="0.25">
      <c r="A6867" t="s">
        <v>18820</v>
      </c>
      <c r="B6867" t="s">
        <v>22182</v>
      </c>
      <c r="C6867" t="s">
        <v>22183</v>
      </c>
      <c r="D6867" t="s">
        <v>22184</v>
      </c>
      <c r="E6867" t="s">
        <v>22185</v>
      </c>
      <c r="F6867" t="s">
        <v>22186</v>
      </c>
      <c r="G6867" s="2" t="str">
        <f>HYPERLINK("https://probpalata.gov.ru/files/ИП770103243800000.jpeg","Скачать индивидуальный QR-код магазина")</f>
        <v>Скачать индивидуальный QR-код магазина</v>
      </c>
    </row>
    <row r="6868" spans="1:7" x14ac:dyDescent="0.25">
      <c r="A6868" t="s">
        <v>18820</v>
      </c>
      <c r="B6868" t="s">
        <v>22187</v>
      </c>
      <c r="C6868" t="s">
        <v>22188</v>
      </c>
      <c r="D6868" t="s">
        <v>22189</v>
      </c>
      <c r="E6868" t="s">
        <v>22190</v>
      </c>
      <c r="F6868" t="s">
        <v>22191</v>
      </c>
      <c r="G6868" s="2" t="str">
        <f>HYPERLINK("https://probpalata.gov.ru/files/ЮЛ770100640300000.jpeg","Скачать индивидуальный QR-код магазина")</f>
        <v>Скачать индивидуальный QR-код магазина</v>
      </c>
    </row>
    <row r="6869" spans="1:7" x14ac:dyDescent="0.25">
      <c r="A6869" t="s">
        <v>18820</v>
      </c>
      <c r="B6869" t="s">
        <v>22192</v>
      </c>
      <c r="C6869" t="s">
        <v>22193</v>
      </c>
      <c r="D6869" t="s">
        <v>22194</v>
      </c>
      <c r="E6869" t="s">
        <v>22195</v>
      </c>
      <c r="F6869" t="s">
        <v>22196</v>
      </c>
      <c r="G6869" s="2" t="str">
        <f>HYPERLINK("https://probpalata.gov.ru/files/ЮЛ770100251600000.jpeg","Скачать индивидуальный QR-код магазина")</f>
        <v>Скачать индивидуальный QR-код магазина</v>
      </c>
    </row>
    <row r="6870" spans="1:7" x14ac:dyDescent="0.25">
      <c r="A6870" t="s">
        <v>18820</v>
      </c>
      <c r="B6870" t="s">
        <v>22197</v>
      </c>
      <c r="C6870" t="s">
        <v>22198</v>
      </c>
      <c r="D6870" t="s">
        <v>22199</v>
      </c>
      <c r="E6870" t="s">
        <v>22200</v>
      </c>
      <c r="F6870" t="s">
        <v>22201</v>
      </c>
      <c r="G6870" s="2" t="str">
        <f>HYPERLINK("https://probpalata.gov.ru/files/ИП770100526200002.jpeg","Скачать индивидуальный QR-код магазина")</f>
        <v>Скачать индивидуальный QR-код магазина</v>
      </c>
    </row>
    <row r="6871" spans="1:7" x14ac:dyDescent="0.25">
      <c r="A6871" t="s">
        <v>18820</v>
      </c>
      <c r="B6871" t="s">
        <v>22202</v>
      </c>
      <c r="C6871" t="s">
        <v>22203</v>
      </c>
      <c r="D6871" t="s">
        <v>22204</v>
      </c>
      <c r="E6871" t="s">
        <v>22205</v>
      </c>
      <c r="F6871" t="s">
        <v>22206</v>
      </c>
      <c r="G6871" s="2" t="str">
        <f>HYPERLINK("https://probpalata.gov.ru/files/ИП770101268000001.jpeg","Скачать индивидуальный QR-код магазина")</f>
        <v>Скачать индивидуальный QR-код магазина</v>
      </c>
    </row>
    <row r="6872" spans="1:7" x14ac:dyDescent="0.25">
      <c r="A6872" t="s">
        <v>18820</v>
      </c>
      <c r="B6872" t="s">
        <v>22207</v>
      </c>
      <c r="C6872" t="s">
        <v>22208</v>
      </c>
      <c r="D6872" t="s">
        <v>22209</v>
      </c>
      <c r="E6872" t="s">
        <v>22210</v>
      </c>
      <c r="F6872" t="s">
        <v>22211</v>
      </c>
      <c r="G6872" s="2" t="str">
        <f>HYPERLINK("https://probpalata.gov.ru/files/ИП770103657700000.jpeg","Скачать индивидуальный QR-код магазина")</f>
        <v>Скачать индивидуальный QR-код магазина</v>
      </c>
    </row>
    <row r="6873" spans="1:7" x14ac:dyDescent="0.25">
      <c r="A6873" t="s">
        <v>18820</v>
      </c>
      <c r="B6873" t="s">
        <v>22212</v>
      </c>
      <c r="C6873" t="s">
        <v>22213</v>
      </c>
      <c r="D6873" t="s">
        <v>22214</v>
      </c>
      <c r="E6873" t="s">
        <v>22215</v>
      </c>
      <c r="F6873" t="s">
        <v>22216</v>
      </c>
      <c r="G6873" s="2" t="str">
        <f>HYPERLINK("https://probpalata.gov.ru/files/ИП770104043800000.jpeg","Скачать индивидуальный QR-код магазина")</f>
        <v>Скачать индивидуальный QR-код магазина</v>
      </c>
    </row>
    <row r="6874" spans="1:7" x14ac:dyDescent="0.25">
      <c r="A6874" t="s">
        <v>18820</v>
      </c>
      <c r="B6874" t="s">
        <v>22217</v>
      </c>
      <c r="C6874" t="s">
        <v>22218</v>
      </c>
      <c r="D6874" t="s">
        <v>22219</v>
      </c>
      <c r="E6874" t="s">
        <v>22220</v>
      </c>
      <c r="F6874" t="s">
        <v>22221</v>
      </c>
      <c r="G6874" s="2" t="str">
        <f>HYPERLINK("https://probpalata.gov.ru/files/ИП770100923100000.jpeg","Скачать индивидуальный QR-код магазина")</f>
        <v>Скачать индивидуальный QR-код магазина</v>
      </c>
    </row>
    <row r="6875" spans="1:7" x14ac:dyDescent="0.25">
      <c r="A6875" t="s">
        <v>18820</v>
      </c>
      <c r="B6875" t="s">
        <v>22222</v>
      </c>
      <c r="C6875" t="s">
        <v>22223</v>
      </c>
      <c r="D6875" t="s">
        <v>22224</v>
      </c>
      <c r="E6875" t="s">
        <v>22225</v>
      </c>
      <c r="F6875" t="s">
        <v>22226</v>
      </c>
      <c r="G6875" s="2" t="str">
        <f>HYPERLINK("https://probpalata.gov.ru/files/ИП770103886000000.jpeg","Скачать индивидуальный QR-код магазина")</f>
        <v>Скачать индивидуальный QR-код магазина</v>
      </c>
    </row>
    <row r="6876" spans="1:7" x14ac:dyDescent="0.25">
      <c r="A6876" t="s">
        <v>18820</v>
      </c>
      <c r="B6876" t="s">
        <v>22227</v>
      </c>
      <c r="C6876" t="s">
        <v>22228</v>
      </c>
      <c r="D6876" t="s">
        <v>22229</v>
      </c>
      <c r="E6876" t="s">
        <v>22230</v>
      </c>
      <c r="F6876" t="s">
        <v>22231</v>
      </c>
      <c r="G6876" s="2" t="str">
        <f>HYPERLINK("https://probpalata.gov.ru/files/ЮЛ770100253100000.jpeg","Скачать индивидуальный QR-код магазина")</f>
        <v>Скачать индивидуальный QR-код магазина</v>
      </c>
    </row>
    <row r="6877" spans="1:7" x14ac:dyDescent="0.25">
      <c r="A6877" t="s">
        <v>18820</v>
      </c>
      <c r="B6877" t="s">
        <v>22232</v>
      </c>
      <c r="C6877" t="s">
        <v>22233</v>
      </c>
      <c r="D6877" t="s">
        <v>22234</v>
      </c>
      <c r="E6877" t="s">
        <v>22235</v>
      </c>
      <c r="F6877" t="s">
        <v>22236</v>
      </c>
      <c r="G6877" s="2" t="str">
        <f>HYPERLINK("https://probpalata.gov.ru/files/ИП770100664300000.jpeg","Скачать индивидуальный QR-код магазина")</f>
        <v>Скачать индивидуальный QR-код магазина</v>
      </c>
    </row>
    <row r="6878" spans="1:7" x14ac:dyDescent="0.25">
      <c r="A6878" t="s">
        <v>18820</v>
      </c>
      <c r="B6878" t="s">
        <v>22237</v>
      </c>
      <c r="C6878" t="s">
        <v>22238</v>
      </c>
      <c r="D6878" t="s">
        <v>22239</v>
      </c>
      <c r="E6878" t="s">
        <v>22240</v>
      </c>
      <c r="F6878" t="s">
        <v>22241</v>
      </c>
      <c r="G6878" s="2" t="str">
        <f>HYPERLINK("https://probpalata.gov.ru/files/ИП770100482400000.jpeg","Скачать индивидуальный QR-код магазина")</f>
        <v>Скачать индивидуальный QR-код магазина</v>
      </c>
    </row>
    <row r="6879" spans="1:7" x14ac:dyDescent="0.25">
      <c r="A6879" t="s">
        <v>18820</v>
      </c>
      <c r="B6879" t="s">
        <v>22242</v>
      </c>
      <c r="C6879" t="s">
        <v>22243</v>
      </c>
      <c r="D6879" t="s">
        <v>22244</v>
      </c>
      <c r="E6879" t="s">
        <v>22245</v>
      </c>
      <c r="F6879" t="s">
        <v>22246</v>
      </c>
      <c r="G6879" s="2" t="str">
        <f>HYPERLINK("https://probpalata.gov.ru/files/ИП500102011000000.jpeg","Скачать индивидуальный QR-код магазина")</f>
        <v>Скачать индивидуальный QR-код магазина</v>
      </c>
    </row>
    <row r="6880" spans="1:7" x14ac:dyDescent="0.25">
      <c r="A6880" t="s">
        <v>18820</v>
      </c>
      <c r="B6880" t="s">
        <v>22247</v>
      </c>
      <c r="C6880" t="s">
        <v>22243</v>
      </c>
      <c r="D6880" t="s">
        <v>22244</v>
      </c>
      <c r="E6880" t="s">
        <v>22245</v>
      </c>
      <c r="F6880" t="s">
        <v>22248</v>
      </c>
      <c r="G6880" s="2" t="str">
        <f>HYPERLINK("https://probpalata.gov.ru/files/ИП500102011000001.jpeg","Скачать индивидуальный QR-код магазина")</f>
        <v>Скачать индивидуальный QR-код магазина</v>
      </c>
    </row>
    <row r="6881" spans="1:7" x14ac:dyDescent="0.25">
      <c r="A6881" t="s">
        <v>18820</v>
      </c>
      <c r="B6881" t="s">
        <v>22249</v>
      </c>
      <c r="C6881" t="s">
        <v>22250</v>
      </c>
      <c r="D6881" t="s">
        <v>22251</v>
      </c>
      <c r="E6881" t="s">
        <v>22252</v>
      </c>
      <c r="F6881" t="s">
        <v>22253</v>
      </c>
      <c r="G6881" s="2" t="str">
        <f>HYPERLINK("https://probpalata.gov.ru/files/ИП770104114100000.jpeg","Скачать индивидуальный QR-код магазина")</f>
        <v>Скачать индивидуальный QR-код магазина</v>
      </c>
    </row>
    <row r="6882" spans="1:7" x14ac:dyDescent="0.25">
      <c r="A6882" t="s">
        <v>18820</v>
      </c>
      <c r="B6882" t="s">
        <v>22254</v>
      </c>
      <c r="C6882" t="s">
        <v>22255</v>
      </c>
      <c r="D6882" t="s">
        <v>22256</v>
      </c>
      <c r="E6882" t="s">
        <v>22257</v>
      </c>
      <c r="F6882" t="s">
        <v>22258</v>
      </c>
      <c r="G6882" s="2" t="str">
        <f>HYPERLINK("https://probpalata.gov.ru/files/ИП770100705700000.jpeg","Скачать индивидуальный QR-код магазина")</f>
        <v>Скачать индивидуальный QR-код магазина</v>
      </c>
    </row>
    <row r="6883" spans="1:7" x14ac:dyDescent="0.25">
      <c r="A6883" t="s">
        <v>18820</v>
      </c>
      <c r="B6883" t="s">
        <v>22259</v>
      </c>
      <c r="C6883" t="s">
        <v>22260</v>
      </c>
      <c r="D6883" t="s">
        <v>22261</v>
      </c>
      <c r="E6883" t="s">
        <v>22262</v>
      </c>
      <c r="F6883" t="s">
        <v>22263</v>
      </c>
      <c r="G6883" s="2" t="str">
        <f>HYPERLINK("https://probpalata.gov.ru/files/ИП770101640400000.jpeg","Скачать индивидуальный QR-код магазина")</f>
        <v>Скачать индивидуальный QR-код магазина</v>
      </c>
    </row>
    <row r="6884" spans="1:7" x14ac:dyDescent="0.25">
      <c r="A6884" t="s">
        <v>18820</v>
      </c>
      <c r="B6884" t="s">
        <v>22264</v>
      </c>
      <c r="C6884" t="s">
        <v>22265</v>
      </c>
      <c r="D6884" t="s">
        <v>22266</v>
      </c>
      <c r="E6884" t="s">
        <v>22267</v>
      </c>
      <c r="F6884" t="s">
        <v>22268</v>
      </c>
      <c r="G6884" s="2" t="str">
        <f>HYPERLINK("https://probpalata.gov.ru/files/ИП770103008700000.jpeg","Скачать индивидуальный QR-код магазина")</f>
        <v>Скачать индивидуальный QR-код магазина</v>
      </c>
    </row>
    <row r="6885" spans="1:7" x14ac:dyDescent="0.25">
      <c r="A6885" t="s">
        <v>18820</v>
      </c>
      <c r="B6885" t="s">
        <v>22269</v>
      </c>
      <c r="C6885" t="s">
        <v>22270</v>
      </c>
      <c r="D6885" t="s">
        <v>22271</v>
      </c>
      <c r="E6885" t="s">
        <v>22272</v>
      </c>
      <c r="F6885" t="s">
        <v>22273</v>
      </c>
      <c r="G6885" s="2" t="str">
        <f>HYPERLINK("https://probpalata.gov.ru/files/ИП770101285100000.jpeg","Скачать индивидуальный QR-код магазина")</f>
        <v>Скачать индивидуальный QR-код магазина</v>
      </c>
    </row>
    <row r="6886" spans="1:7" x14ac:dyDescent="0.25">
      <c r="A6886" t="s">
        <v>18820</v>
      </c>
      <c r="B6886" t="s">
        <v>22274</v>
      </c>
      <c r="C6886" t="s">
        <v>22270</v>
      </c>
      <c r="D6886" t="s">
        <v>22271</v>
      </c>
      <c r="E6886" t="s">
        <v>22272</v>
      </c>
      <c r="F6886" t="s">
        <v>22275</v>
      </c>
      <c r="G6886" s="2" t="str">
        <f>HYPERLINK("https://probpalata.gov.ru/files/ИП770101285100001.jpeg","Скачать индивидуальный QR-код магазина")</f>
        <v>Скачать индивидуальный QR-код магазина</v>
      </c>
    </row>
    <row r="6887" spans="1:7" x14ac:dyDescent="0.25">
      <c r="A6887" t="s">
        <v>18820</v>
      </c>
      <c r="B6887" t="s">
        <v>22276</v>
      </c>
      <c r="C6887" t="s">
        <v>22270</v>
      </c>
      <c r="D6887" t="s">
        <v>22271</v>
      </c>
      <c r="E6887" t="s">
        <v>22272</v>
      </c>
      <c r="F6887" t="s">
        <v>22277</v>
      </c>
      <c r="G6887" s="2" t="str">
        <f>HYPERLINK("https://probpalata.gov.ru/files/ИП770101285100002.jpeg","Скачать индивидуальный QR-код магазина")</f>
        <v>Скачать индивидуальный QR-код магазина</v>
      </c>
    </row>
    <row r="6888" spans="1:7" x14ac:dyDescent="0.25">
      <c r="A6888" t="s">
        <v>18820</v>
      </c>
      <c r="B6888" t="s">
        <v>22278</v>
      </c>
      <c r="C6888" t="s">
        <v>22279</v>
      </c>
      <c r="D6888" t="s">
        <v>22280</v>
      </c>
      <c r="E6888" t="s">
        <v>22281</v>
      </c>
      <c r="F6888" t="s">
        <v>22282</v>
      </c>
      <c r="G6888" s="2" t="str">
        <f>HYPERLINK("https://probpalata.gov.ru/files/ИП770100890600000.jpeg","Скачать индивидуальный QR-код магазина")</f>
        <v>Скачать индивидуальный QR-код магазина</v>
      </c>
    </row>
    <row r="6889" spans="1:7" x14ac:dyDescent="0.25">
      <c r="A6889" t="s">
        <v>18820</v>
      </c>
      <c r="B6889" t="s">
        <v>22283</v>
      </c>
      <c r="C6889" t="s">
        <v>22284</v>
      </c>
      <c r="D6889" t="s">
        <v>22285</v>
      </c>
      <c r="E6889" t="s">
        <v>22286</v>
      </c>
      <c r="F6889" t="s">
        <v>22287</v>
      </c>
      <c r="G6889" s="2" t="str">
        <f>HYPERLINK("https://probpalata.gov.ru/files/ЮЛ770101704600000.jpeg","Скачать индивидуальный QR-код магазина")</f>
        <v>Скачать индивидуальный QR-код магазина</v>
      </c>
    </row>
    <row r="6890" spans="1:7" x14ac:dyDescent="0.25">
      <c r="A6890" t="s">
        <v>18820</v>
      </c>
      <c r="B6890" t="s">
        <v>22288</v>
      </c>
      <c r="C6890" t="s">
        <v>22289</v>
      </c>
      <c r="D6890" t="s">
        <v>22290</v>
      </c>
      <c r="E6890" t="s">
        <v>22291</v>
      </c>
      <c r="F6890" t="s">
        <v>22292</v>
      </c>
      <c r="G6890" s="2" t="str">
        <f>HYPERLINK("https://probpalata.gov.ru/files/ИП770100458100000.jpeg","Скачать индивидуальный QR-код магазина")</f>
        <v>Скачать индивидуальный QR-код магазина</v>
      </c>
    </row>
    <row r="6891" spans="1:7" x14ac:dyDescent="0.25">
      <c r="A6891" t="s">
        <v>18820</v>
      </c>
      <c r="B6891" t="s">
        <v>22293</v>
      </c>
      <c r="C6891" t="s">
        <v>22289</v>
      </c>
      <c r="D6891" t="s">
        <v>22290</v>
      </c>
      <c r="E6891" t="s">
        <v>22291</v>
      </c>
      <c r="F6891" t="s">
        <v>22294</v>
      </c>
      <c r="G6891" s="2" t="str">
        <f>HYPERLINK("https://probpalata.gov.ru/files/ИП770100458100001.jpeg","Скачать индивидуальный QR-код магазина")</f>
        <v>Скачать индивидуальный QR-код магазина</v>
      </c>
    </row>
    <row r="6892" spans="1:7" x14ac:dyDescent="0.25">
      <c r="A6892" t="s">
        <v>18820</v>
      </c>
      <c r="B6892" t="s">
        <v>22295</v>
      </c>
      <c r="C6892" t="s">
        <v>22289</v>
      </c>
      <c r="D6892" t="s">
        <v>22290</v>
      </c>
      <c r="E6892" t="s">
        <v>22291</v>
      </c>
      <c r="F6892" t="s">
        <v>22296</v>
      </c>
      <c r="G6892" s="2" t="str">
        <f>HYPERLINK("https://probpalata.gov.ru/files/ИП770100458100002.jpeg","Скачать индивидуальный QR-код магазина")</f>
        <v>Скачать индивидуальный QR-код магазина</v>
      </c>
    </row>
    <row r="6893" spans="1:7" x14ac:dyDescent="0.25">
      <c r="A6893" t="s">
        <v>18820</v>
      </c>
      <c r="B6893" t="s">
        <v>22297</v>
      </c>
      <c r="C6893" t="s">
        <v>22289</v>
      </c>
      <c r="D6893" t="s">
        <v>22290</v>
      </c>
      <c r="E6893" t="s">
        <v>22291</v>
      </c>
      <c r="F6893" t="s">
        <v>22298</v>
      </c>
      <c r="G6893" s="2" t="str">
        <f>HYPERLINK("https://probpalata.gov.ru/files/ИП770100458100006.jpeg","Скачать индивидуальный QR-код магазина")</f>
        <v>Скачать индивидуальный QR-код магазина</v>
      </c>
    </row>
    <row r="6894" spans="1:7" x14ac:dyDescent="0.25">
      <c r="A6894" t="s">
        <v>18820</v>
      </c>
      <c r="B6894" t="s">
        <v>22299</v>
      </c>
      <c r="C6894" t="s">
        <v>22289</v>
      </c>
      <c r="D6894" t="s">
        <v>22290</v>
      </c>
      <c r="E6894" t="s">
        <v>22291</v>
      </c>
      <c r="F6894" t="s">
        <v>22300</v>
      </c>
      <c r="G6894" s="2" t="str">
        <f>HYPERLINK("https://probpalata.gov.ru/files/ИП770100458100007.jpeg","Скачать индивидуальный QR-код магазина")</f>
        <v>Скачать индивидуальный QR-код магазина</v>
      </c>
    </row>
    <row r="6895" spans="1:7" x14ac:dyDescent="0.25">
      <c r="A6895" t="s">
        <v>18820</v>
      </c>
      <c r="B6895" t="s">
        <v>22301</v>
      </c>
      <c r="C6895" t="s">
        <v>22289</v>
      </c>
      <c r="D6895" t="s">
        <v>22290</v>
      </c>
      <c r="E6895" t="s">
        <v>22291</v>
      </c>
      <c r="F6895" t="s">
        <v>22302</v>
      </c>
      <c r="G6895" s="2" t="str">
        <f>HYPERLINK("https://probpalata.gov.ru/files/ИП770100458100008.jpeg","Скачать индивидуальный QR-код магазина")</f>
        <v>Скачать индивидуальный QR-код магазина</v>
      </c>
    </row>
    <row r="6896" spans="1:7" x14ac:dyDescent="0.25">
      <c r="A6896" t="s">
        <v>18820</v>
      </c>
      <c r="B6896" t="s">
        <v>22303</v>
      </c>
      <c r="C6896" t="s">
        <v>22304</v>
      </c>
      <c r="D6896" t="s">
        <v>22305</v>
      </c>
      <c r="E6896" t="s">
        <v>22306</v>
      </c>
      <c r="F6896" t="s">
        <v>22307</v>
      </c>
      <c r="G6896" s="2" t="str">
        <f>HYPERLINK("https://probpalata.gov.ru/files/ИП770101340200000.jpeg","Скачать индивидуальный QR-код магазина")</f>
        <v>Скачать индивидуальный QR-код магазина</v>
      </c>
    </row>
    <row r="6897" spans="1:7" x14ac:dyDescent="0.25">
      <c r="A6897" t="s">
        <v>18820</v>
      </c>
      <c r="B6897" t="s">
        <v>22308</v>
      </c>
      <c r="C6897" t="s">
        <v>22309</v>
      </c>
      <c r="D6897" t="s">
        <v>22310</v>
      </c>
      <c r="E6897" t="s">
        <v>22311</v>
      </c>
      <c r="F6897" t="s">
        <v>22312</v>
      </c>
      <c r="G6897" s="2" t="str">
        <f>HYPERLINK("https://probpalata.gov.ru/files/ИП770101886000000.jpeg","Скачать индивидуальный QR-код магазина")</f>
        <v>Скачать индивидуальный QR-код магазина</v>
      </c>
    </row>
    <row r="6898" spans="1:7" x14ac:dyDescent="0.25">
      <c r="A6898" t="s">
        <v>18820</v>
      </c>
      <c r="B6898" t="s">
        <v>22313</v>
      </c>
      <c r="C6898" t="s">
        <v>22314</v>
      </c>
      <c r="D6898" t="s">
        <v>22315</v>
      </c>
      <c r="E6898" t="s">
        <v>22316</v>
      </c>
      <c r="F6898" t="s">
        <v>22317</v>
      </c>
      <c r="G6898" s="2" t="str">
        <f>HYPERLINK("https://probpalata.gov.ru/files/ИП770103951200000.jpeg","Скачать индивидуальный QR-код магазина")</f>
        <v>Скачать индивидуальный QR-код магазина</v>
      </c>
    </row>
    <row r="6899" spans="1:7" x14ac:dyDescent="0.25">
      <c r="A6899" t="s">
        <v>18820</v>
      </c>
      <c r="B6899" t="s">
        <v>22318</v>
      </c>
      <c r="C6899" t="s">
        <v>22319</v>
      </c>
      <c r="D6899" t="s">
        <v>22320</v>
      </c>
      <c r="E6899" t="s">
        <v>22321</v>
      </c>
      <c r="F6899" t="s">
        <v>22322</v>
      </c>
      <c r="G6899" s="2" t="str">
        <f>HYPERLINK("https://probpalata.gov.ru/files/ИП770101324500000.jpeg","Скачать индивидуальный QR-код магазина")</f>
        <v>Скачать индивидуальный QR-код магазина</v>
      </c>
    </row>
    <row r="6900" spans="1:7" x14ac:dyDescent="0.25">
      <c r="A6900" t="s">
        <v>18820</v>
      </c>
      <c r="B6900" t="s">
        <v>22323</v>
      </c>
      <c r="C6900" t="s">
        <v>22324</v>
      </c>
      <c r="D6900" t="s">
        <v>22325</v>
      </c>
      <c r="E6900" t="s">
        <v>22326</v>
      </c>
      <c r="F6900" t="s">
        <v>22327</v>
      </c>
      <c r="G6900" s="2" t="str">
        <f>HYPERLINK("https://probpalata.gov.ru/files/ИП770100898200000.jpeg","Скачать индивидуальный QR-код магазина")</f>
        <v>Скачать индивидуальный QR-код магазина</v>
      </c>
    </row>
    <row r="6901" spans="1:7" x14ac:dyDescent="0.25">
      <c r="A6901" t="s">
        <v>18820</v>
      </c>
      <c r="B6901" t="s">
        <v>22328</v>
      </c>
      <c r="C6901" t="s">
        <v>22329</v>
      </c>
      <c r="D6901" t="s">
        <v>22330</v>
      </c>
      <c r="E6901" t="s">
        <v>22331</v>
      </c>
      <c r="F6901" t="s">
        <v>22332</v>
      </c>
      <c r="G6901" s="2" t="str">
        <f>HYPERLINK("https://probpalata.gov.ru/files/ЮЛ770100465100000.jpeg","Скачать индивидуальный QR-код магазина")</f>
        <v>Скачать индивидуальный QR-код магазина</v>
      </c>
    </row>
    <row r="6902" spans="1:7" x14ac:dyDescent="0.25">
      <c r="A6902" t="s">
        <v>18820</v>
      </c>
      <c r="B6902" t="s">
        <v>22333</v>
      </c>
      <c r="C6902" t="s">
        <v>22334</v>
      </c>
      <c r="D6902" t="s">
        <v>22335</v>
      </c>
      <c r="E6902" t="s">
        <v>22336</v>
      </c>
      <c r="F6902" t="s">
        <v>22337</v>
      </c>
      <c r="G6902" s="2" t="str">
        <f>HYPERLINK("https://probpalata.gov.ru/files/ИП770101389300000.jpeg","Скачать индивидуальный QR-код магазина")</f>
        <v>Скачать индивидуальный QR-код магазина</v>
      </c>
    </row>
    <row r="6903" spans="1:7" x14ac:dyDescent="0.25">
      <c r="A6903" t="s">
        <v>18820</v>
      </c>
      <c r="B6903" t="s">
        <v>22338</v>
      </c>
      <c r="C6903" t="s">
        <v>22339</v>
      </c>
      <c r="D6903" t="s">
        <v>22340</v>
      </c>
      <c r="E6903" t="s">
        <v>22341</v>
      </c>
      <c r="F6903" t="s">
        <v>22342</v>
      </c>
      <c r="G6903" s="2" t="str">
        <f>HYPERLINK("https://probpalata.gov.ru/files/ИП770100276900000.jpeg","Скачать индивидуальный QR-код магазина")</f>
        <v>Скачать индивидуальный QR-код магазина</v>
      </c>
    </row>
    <row r="6904" spans="1:7" x14ac:dyDescent="0.25">
      <c r="A6904" t="s">
        <v>18820</v>
      </c>
      <c r="B6904" t="s">
        <v>22343</v>
      </c>
      <c r="C6904" t="s">
        <v>22344</v>
      </c>
      <c r="D6904" t="s">
        <v>22345</v>
      </c>
      <c r="E6904" t="s">
        <v>22346</v>
      </c>
      <c r="F6904" t="s">
        <v>22347</v>
      </c>
      <c r="G6904" s="2" t="str">
        <f>HYPERLINK("https://probpalata.gov.ru/files/ИП770103404200000.jpeg","Скачать индивидуальный QR-код магазина")</f>
        <v>Скачать индивидуальный QR-код магазина</v>
      </c>
    </row>
    <row r="6905" spans="1:7" x14ac:dyDescent="0.25">
      <c r="A6905" t="s">
        <v>18820</v>
      </c>
      <c r="B6905" t="s">
        <v>22348</v>
      </c>
      <c r="C6905" t="s">
        <v>22349</v>
      </c>
      <c r="D6905" t="s">
        <v>22350</v>
      </c>
      <c r="E6905" t="s">
        <v>22351</v>
      </c>
      <c r="F6905" t="s">
        <v>22352</v>
      </c>
      <c r="G6905" s="2" t="str">
        <f>HYPERLINK("https://probpalata.gov.ru/files/ИП770100734900000.jpeg","Скачать индивидуальный QR-код магазина")</f>
        <v>Скачать индивидуальный QR-код магазина</v>
      </c>
    </row>
    <row r="6906" spans="1:7" x14ac:dyDescent="0.25">
      <c r="A6906" t="s">
        <v>18820</v>
      </c>
      <c r="B6906" t="s">
        <v>22353</v>
      </c>
      <c r="C6906" t="s">
        <v>22354</v>
      </c>
      <c r="D6906" t="s">
        <v>22355</v>
      </c>
      <c r="E6906" t="s">
        <v>22356</v>
      </c>
      <c r="F6906" t="s">
        <v>22357</v>
      </c>
      <c r="G6906" s="2" t="str">
        <f>HYPERLINK("https://probpalata.gov.ru/files/ИП770103603700000.jpeg","Скачать индивидуальный QR-код магазина")</f>
        <v>Скачать индивидуальный QR-код магазина</v>
      </c>
    </row>
    <row r="6907" spans="1:7" x14ac:dyDescent="0.25">
      <c r="A6907" t="s">
        <v>18820</v>
      </c>
      <c r="B6907" t="s">
        <v>22358</v>
      </c>
      <c r="C6907" t="s">
        <v>22359</v>
      </c>
      <c r="D6907" t="s">
        <v>22360</v>
      </c>
      <c r="E6907" t="s">
        <v>22361</v>
      </c>
      <c r="F6907" t="s">
        <v>22362</v>
      </c>
      <c r="G6907" s="2" t="str">
        <f>HYPERLINK("https://probpalata.gov.ru/files/ЮЛ770101330100000.jpeg","Скачать индивидуальный QR-код магазина")</f>
        <v>Скачать индивидуальный QR-код магазина</v>
      </c>
    </row>
    <row r="6908" spans="1:7" x14ac:dyDescent="0.25">
      <c r="A6908" t="s">
        <v>18820</v>
      </c>
      <c r="B6908" t="s">
        <v>22363</v>
      </c>
      <c r="C6908" t="s">
        <v>22364</v>
      </c>
      <c r="D6908" t="s">
        <v>22365</v>
      </c>
      <c r="E6908" t="s">
        <v>22366</v>
      </c>
      <c r="F6908" t="s">
        <v>22367</v>
      </c>
      <c r="G6908" s="2" t="str">
        <f>HYPERLINK("https://probpalata.gov.ru/files/ИП770101215000000.jpeg","Скачать индивидуальный QR-код магазина")</f>
        <v>Скачать индивидуальный QR-код магазина</v>
      </c>
    </row>
    <row r="6909" spans="1:7" x14ac:dyDescent="0.25">
      <c r="A6909" t="s">
        <v>18820</v>
      </c>
      <c r="B6909" t="s">
        <v>22368</v>
      </c>
      <c r="C6909" t="s">
        <v>22369</v>
      </c>
      <c r="D6909" t="s">
        <v>22370</v>
      </c>
      <c r="E6909" t="s">
        <v>22371</v>
      </c>
      <c r="F6909" t="s">
        <v>22372</v>
      </c>
      <c r="G6909" s="2" t="str">
        <f>HYPERLINK("https://probpalata.gov.ru/files/ИП770100402800000.jpeg","Скачать индивидуальный QR-код магазина")</f>
        <v>Скачать индивидуальный QR-код магазина</v>
      </c>
    </row>
    <row r="6910" spans="1:7" x14ac:dyDescent="0.25">
      <c r="A6910" t="s">
        <v>18820</v>
      </c>
      <c r="B6910" t="s">
        <v>22373</v>
      </c>
      <c r="C6910" t="s">
        <v>22374</v>
      </c>
      <c r="D6910" t="s">
        <v>22375</v>
      </c>
      <c r="E6910" t="s">
        <v>22376</v>
      </c>
      <c r="F6910" t="s">
        <v>22377</v>
      </c>
      <c r="G6910" s="2" t="str">
        <f>HYPERLINK("https://probpalata.gov.ru/files/ИП770103617200000.jpeg","Скачать индивидуальный QR-код магазина")</f>
        <v>Скачать индивидуальный QR-код магазина</v>
      </c>
    </row>
    <row r="6911" spans="1:7" x14ac:dyDescent="0.25">
      <c r="A6911" t="s">
        <v>18820</v>
      </c>
      <c r="B6911" t="s">
        <v>20684</v>
      </c>
      <c r="C6911" t="s">
        <v>22378</v>
      </c>
      <c r="D6911" t="s">
        <v>22379</v>
      </c>
      <c r="E6911" t="s">
        <v>22380</v>
      </c>
      <c r="F6911" t="s">
        <v>22381</v>
      </c>
      <c r="G6911" s="2" t="str">
        <f>HYPERLINK("https://probpalata.gov.ru/files/ИП770101730400000.jpeg","Скачать индивидуальный QR-код магазина")</f>
        <v>Скачать индивидуальный QR-код магазина</v>
      </c>
    </row>
    <row r="6912" spans="1:7" x14ac:dyDescent="0.25">
      <c r="A6912" t="s">
        <v>18820</v>
      </c>
      <c r="B6912" t="s">
        <v>22382</v>
      </c>
      <c r="C6912" t="s">
        <v>22383</v>
      </c>
      <c r="D6912" t="s">
        <v>22384</v>
      </c>
      <c r="E6912" t="s">
        <v>22385</v>
      </c>
      <c r="F6912" t="s">
        <v>22386</v>
      </c>
      <c r="G6912" s="2" t="str">
        <f>HYPERLINK("https://probpalata.gov.ru/files/ЮЛ770100195700000.jpeg","Скачать индивидуальный QR-код магазина")</f>
        <v>Скачать индивидуальный QR-код магазина</v>
      </c>
    </row>
    <row r="6913" spans="1:7" x14ac:dyDescent="0.25">
      <c r="A6913" t="s">
        <v>18820</v>
      </c>
      <c r="B6913" t="s">
        <v>22387</v>
      </c>
      <c r="C6913" t="s">
        <v>22388</v>
      </c>
      <c r="D6913" t="s">
        <v>22389</v>
      </c>
      <c r="E6913" t="s">
        <v>22390</v>
      </c>
      <c r="F6913" t="s">
        <v>22391</v>
      </c>
      <c r="G6913" s="2" t="str">
        <f>HYPERLINK("https://probpalata.gov.ru/files/ЮЛ770101316400000.jpeg","Скачать индивидуальный QR-код магазина")</f>
        <v>Скачать индивидуальный QR-код магазина</v>
      </c>
    </row>
    <row r="6914" spans="1:7" x14ac:dyDescent="0.25">
      <c r="A6914" t="s">
        <v>18820</v>
      </c>
      <c r="B6914" t="s">
        <v>22392</v>
      </c>
      <c r="C6914" t="s">
        <v>22393</v>
      </c>
      <c r="D6914" t="s">
        <v>22394</v>
      </c>
      <c r="E6914" t="s">
        <v>22395</v>
      </c>
      <c r="F6914" t="s">
        <v>22396</v>
      </c>
      <c r="G6914" s="2" t="str">
        <f>HYPERLINK("https://probpalata.gov.ru/files/ЮЛ770101559200000.jpeg","Скачать индивидуальный QR-код магазина")</f>
        <v>Скачать индивидуальный QR-код магазина</v>
      </c>
    </row>
    <row r="6915" spans="1:7" x14ac:dyDescent="0.25">
      <c r="A6915" t="s">
        <v>18820</v>
      </c>
      <c r="B6915" t="s">
        <v>22397</v>
      </c>
      <c r="C6915" t="s">
        <v>22398</v>
      </c>
      <c r="D6915" t="s">
        <v>22399</v>
      </c>
      <c r="E6915" t="s">
        <v>22400</v>
      </c>
      <c r="F6915" t="s">
        <v>22401</v>
      </c>
      <c r="G6915" s="2" t="str">
        <f>HYPERLINK("https://probpalata.gov.ru/files/ЮЛ770100746800000.jpeg","Скачать индивидуальный QR-код магазина")</f>
        <v>Скачать индивидуальный QR-код магазина</v>
      </c>
    </row>
    <row r="6916" spans="1:7" x14ac:dyDescent="0.25">
      <c r="A6916" t="s">
        <v>18820</v>
      </c>
      <c r="B6916" t="s">
        <v>22402</v>
      </c>
      <c r="C6916" t="s">
        <v>22403</v>
      </c>
      <c r="D6916" t="s">
        <v>22404</v>
      </c>
      <c r="E6916" t="s">
        <v>22405</v>
      </c>
      <c r="F6916" t="s">
        <v>22406</v>
      </c>
      <c r="G6916" s="2" t="str">
        <f>HYPERLINK("https://probpalata.gov.ru/files/ЮЛ770101376200005.jpeg","Скачать индивидуальный QR-код магазина")</f>
        <v>Скачать индивидуальный QR-код магазина</v>
      </c>
    </row>
    <row r="6917" spans="1:7" x14ac:dyDescent="0.25">
      <c r="A6917" t="s">
        <v>18820</v>
      </c>
      <c r="B6917" t="s">
        <v>22407</v>
      </c>
      <c r="C6917" t="s">
        <v>22408</v>
      </c>
      <c r="D6917" t="s">
        <v>22409</v>
      </c>
      <c r="E6917" t="s">
        <v>22410</v>
      </c>
      <c r="F6917" t="s">
        <v>22411</v>
      </c>
      <c r="G6917" s="2" t="str">
        <f>HYPERLINK("https://probpalata.gov.ru/files/ЮЛ770100615400000.jpeg","Скачать индивидуальный QR-код магазина")</f>
        <v>Скачать индивидуальный QR-код магазина</v>
      </c>
    </row>
    <row r="6918" spans="1:7" x14ac:dyDescent="0.25">
      <c r="A6918" t="s">
        <v>18820</v>
      </c>
      <c r="B6918" t="s">
        <v>22412</v>
      </c>
      <c r="C6918" t="s">
        <v>22413</v>
      </c>
      <c r="D6918" t="s">
        <v>22414</v>
      </c>
      <c r="E6918" t="s">
        <v>22415</v>
      </c>
      <c r="F6918" t="s">
        <v>22416</v>
      </c>
      <c r="G6918" s="2" t="str">
        <f>HYPERLINK("https://probpalata.gov.ru/files/ИП770100266800000.jpeg","Скачать индивидуальный QR-код магазина")</f>
        <v>Скачать индивидуальный QR-код магазина</v>
      </c>
    </row>
    <row r="6919" spans="1:7" x14ac:dyDescent="0.25">
      <c r="A6919" t="s">
        <v>18820</v>
      </c>
      <c r="B6919" t="s">
        <v>22417</v>
      </c>
      <c r="C6919" t="s">
        <v>1740</v>
      </c>
      <c r="D6919" t="s">
        <v>22418</v>
      </c>
      <c r="E6919" t="s">
        <v>22419</v>
      </c>
      <c r="F6919" t="s">
        <v>22420</v>
      </c>
      <c r="G6919" s="2" t="str">
        <f>HYPERLINK("https://probpalata.gov.ru/files/ЮЛ770100590600000.jpeg","Скачать индивидуальный QR-код магазина")</f>
        <v>Скачать индивидуальный QR-код магазина</v>
      </c>
    </row>
    <row r="6920" spans="1:7" x14ac:dyDescent="0.25">
      <c r="A6920" t="s">
        <v>18820</v>
      </c>
      <c r="B6920" t="s">
        <v>22421</v>
      </c>
      <c r="C6920" t="s">
        <v>22422</v>
      </c>
      <c r="D6920" t="s">
        <v>22423</v>
      </c>
      <c r="E6920" t="s">
        <v>22424</v>
      </c>
      <c r="F6920" t="s">
        <v>22425</v>
      </c>
      <c r="G6920" s="2" t="str">
        <f>HYPERLINK("https://probpalata.gov.ru/files/ИП770100242800000.jpeg","Скачать индивидуальный QR-код магазина")</f>
        <v>Скачать индивидуальный QR-код магазина</v>
      </c>
    </row>
    <row r="6921" spans="1:7" x14ac:dyDescent="0.25">
      <c r="A6921" t="s">
        <v>18820</v>
      </c>
      <c r="B6921" t="s">
        <v>22426</v>
      </c>
      <c r="C6921" t="s">
        <v>713</v>
      </c>
      <c r="D6921" t="s">
        <v>714</v>
      </c>
      <c r="E6921" t="s">
        <v>715</v>
      </c>
      <c r="F6921" t="s">
        <v>22427</v>
      </c>
      <c r="G6921" s="2" t="str">
        <f>HYPERLINK("https://probpalata.gov.ru/files/ЮЛ770101216600000.jpeg","Скачать индивидуальный QR-код магазина")</f>
        <v>Скачать индивидуальный QR-код магазина</v>
      </c>
    </row>
    <row r="6922" spans="1:7" x14ac:dyDescent="0.25">
      <c r="A6922" t="s">
        <v>18820</v>
      </c>
      <c r="B6922" t="s">
        <v>22428</v>
      </c>
      <c r="C6922" t="s">
        <v>713</v>
      </c>
      <c r="D6922" t="s">
        <v>714</v>
      </c>
      <c r="E6922" t="s">
        <v>715</v>
      </c>
      <c r="F6922" t="s">
        <v>22429</v>
      </c>
      <c r="G6922" s="2" t="str">
        <f>HYPERLINK("https://probpalata.gov.ru/files/ЮЛ770101216600001.jpeg","Скачать индивидуальный QR-код магазина")</f>
        <v>Скачать индивидуальный QR-код магазина</v>
      </c>
    </row>
    <row r="6923" spans="1:7" x14ac:dyDescent="0.25">
      <c r="A6923" t="s">
        <v>18820</v>
      </c>
      <c r="B6923" t="s">
        <v>22430</v>
      </c>
      <c r="C6923" t="s">
        <v>713</v>
      </c>
      <c r="D6923" t="s">
        <v>714</v>
      </c>
      <c r="E6923" t="s">
        <v>715</v>
      </c>
      <c r="F6923" t="s">
        <v>22431</v>
      </c>
      <c r="G6923" s="2" t="str">
        <f>HYPERLINK("https://probpalata.gov.ru/files/ЮЛ770101216600006.jpeg","Скачать индивидуальный QR-код магазина")</f>
        <v>Скачать индивидуальный QR-код магазина</v>
      </c>
    </row>
    <row r="6924" spans="1:7" x14ac:dyDescent="0.25">
      <c r="A6924" t="s">
        <v>18820</v>
      </c>
      <c r="B6924" t="s">
        <v>22432</v>
      </c>
      <c r="C6924" t="s">
        <v>713</v>
      </c>
      <c r="D6924" t="s">
        <v>714</v>
      </c>
      <c r="E6924" t="s">
        <v>715</v>
      </c>
      <c r="F6924" t="s">
        <v>22433</v>
      </c>
      <c r="G6924" s="2" t="str">
        <f>HYPERLINK("https://probpalata.gov.ru/files/ЮЛ770101216600008.jpeg","Скачать индивидуальный QR-код магазина")</f>
        <v>Скачать индивидуальный QR-код магазина</v>
      </c>
    </row>
    <row r="6925" spans="1:7" x14ac:dyDescent="0.25">
      <c r="A6925" t="s">
        <v>18820</v>
      </c>
      <c r="B6925" t="s">
        <v>22434</v>
      </c>
      <c r="C6925" t="s">
        <v>713</v>
      </c>
      <c r="D6925" t="s">
        <v>714</v>
      </c>
      <c r="E6925" t="s">
        <v>715</v>
      </c>
      <c r="F6925" t="s">
        <v>22435</v>
      </c>
      <c r="G6925" s="2" t="str">
        <f>HYPERLINK("https://probpalata.gov.ru/files/ЮЛ770101216600010.jpeg","Скачать индивидуальный QR-код магазина")</f>
        <v>Скачать индивидуальный QR-код магазина</v>
      </c>
    </row>
    <row r="6926" spans="1:7" x14ac:dyDescent="0.25">
      <c r="A6926" t="s">
        <v>18820</v>
      </c>
      <c r="B6926" t="s">
        <v>22436</v>
      </c>
      <c r="C6926" t="s">
        <v>713</v>
      </c>
      <c r="D6926" t="s">
        <v>714</v>
      </c>
      <c r="E6926" t="s">
        <v>715</v>
      </c>
      <c r="F6926" t="s">
        <v>22437</v>
      </c>
      <c r="G6926" s="2" t="str">
        <f>HYPERLINK("https://probpalata.gov.ru/files/ЮЛ770101216600011.jpeg","Скачать индивидуальный QR-код магазина")</f>
        <v>Скачать индивидуальный QR-код магазина</v>
      </c>
    </row>
    <row r="6927" spans="1:7" x14ac:dyDescent="0.25">
      <c r="A6927" t="s">
        <v>18820</v>
      </c>
      <c r="B6927" t="s">
        <v>22438</v>
      </c>
      <c r="C6927" t="s">
        <v>713</v>
      </c>
      <c r="D6927" t="s">
        <v>714</v>
      </c>
      <c r="E6927" t="s">
        <v>715</v>
      </c>
      <c r="F6927" t="s">
        <v>22439</v>
      </c>
      <c r="G6927" s="2" t="str">
        <f>HYPERLINK("https://probpalata.gov.ru/files/ЮЛ770101216600014.jpeg","Скачать индивидуальный QR-код магазина")</f>
        <v>Скачать индивидуальный QR-код магазина</v>
      </c>
    </row>
    <row r="6928" spans="1:7" x14ac:dyDescent="0.25">
      <c r="A6928" t="s">
        <v>18820</v>
      </c>
      <c r="B6928" t="s">
        <v>22440</v>
      </c>
      <c r="C6928" t="s">
        <v>713</v>
      </c>
      <c r="D6928" t="s">
        <v>714</v>
      </c>
      <c r="E6928" t="s">
        <v>715</v>
      </c>
      <c r="F6928" t="s">
        <v>22441</v>
      </c>
      <c r="G6928" s="2" t="str">
        <f>HYPERLINK("https://probpalata.gov.ru/files/ЮЛ770101216600016.jpeg","Скачать индивидуальный QR-код магазина")</f>
        <v>Скачать индивидуальный QR-код магазина</v>
      </c>
    </row>
    <row r="6929" spans="1:7" x14ac:dyDescent="0.25">
      <c r="A6929" t="s">
        <v>18820</v>
      </c>
      <c r="B6929" t="s">
        <v>22442</v>
      </c>
      <c r="C6929" t="s">
        <v>713</v>
      </c>
      <c r="D6929" t="s">
        <v>714</v>
      </c>
      <c r="E6929" t="s">
        <v>715</v>
      </c>
      <c r="F6929" t="s">
        <v>22443</v>
      </c>
      <c r="G6929" s="2" t="str">
        <f>HYPERLINK("https://probpalata.gov.ru/files/ЮЛ770101216600017.jpeg","Скачать индивидуальный QR-код магазина")</f>
        <v>Скачать индивидуальный QR-код магазина</v>
      </c>
    </row>
    <row r="6930" spans="1:7" x14ac:dyDescent="0.25">
      <c r="A6930" t="s">
        <v>18820</v>
      </c>
      <c r="B6930" t="s">
        <v>22444</v>
      </c>
      <c r="C6930" t="s">
        <v>713</v>
      </c>
      <c r="D6930" t="s">
        <v>714</v>
      </c>
      <c r="E6930" t="s">
        <v>715</v>
      </c>
      <c r="F6930" t="s">
        <v>22445</v>
      </c>
      <c r="G6930" s="2" t="str">
        <f>HYPERLINK("https://probpalata.gov.ru/files/ЮЛ770101216600018.jpeg","Скачать индивидуальный QR-код магазина")</f>
        <v>Скачать индивидуальный QR-код магазина</v>
      </c>
    </row>
    <row r="6931" spans="1:7" x14ac:dyDescent="0.25">
      <c r="A6931" t="s">
        <v>18820</v>
      </c>
      <c r="B6931" t="s">
        <v>22446</v>
      </c>
      <c r="C6931" t="s">
        <v>713</v>
      </c>
      <c r="D6931" t="s">
        <v>714</v>
      </c>
      <c r="E6931" t="s">
        <v>715</v>
      </c>
      <c r="F6931" t="s">
        <v>22447</v>
      </c>
      <c r="G6931" s="2" t="str">
        <f>HYPERLINK("https://probpalata.gov.ru/files/ЮЛ770101216600020.jpeg","Скачать индивидуальный QR-код магазина")</f>
        <v>Скачать индивидуальный QR-код магазина</v>
      </c>
    </row>
    <row r="6932" spans="1:7" x14ac:dyDescent="0.25">
      <c r="A6932" t="s">
        <v>18820</v>
      </c>
      <c r="B6932" t="s">
        <v>22448</v>
      </c>
      <c r="C6932" t="s">
        <v>713</v>
      </c>
      <c r="D6932" t="s">
        <v>714</v>
      </c>
      <c r="E6932" t="s">
        <v>715</v>
      </c>
      <c r="F6932" t="s">
        <v>22449</v>
      </c>
      <c r="G6932" s="2" t="str">
        <f>HYPERLINK("https://probpalata.gov.ru/files/ЮЛ770101216600021.jpeg","Скачать индивидуальный QR-код магазина")</f>
        <v>Скачать индивидуальный QR-код магазина</v>
      </c>
    </row>
    <row r="6933" spans="1:7" x14ac:dyDescent="0.25">
      <c r="A6933" t="s">
        <v>18820</v>
      </c>
      <c r="B6933" t="s">
        <v>22450</v>
      </c>
      <c r="C6933" t="s">
        <v>713</v>
      </c>
      <c r="D6933" t="s">
        <v>714</v>
      </c>
      <c r="E6933" t="s">
        <v>715</v>
      </c>
      <c r="F6933" t="s">
        <v>22451</v>
      </c>
      <c r="G6933" s="2" t="str">
        <f>HYPERLINK("https://probpalata.gov.ru/files/ЮЛ770101216600025.jpeg","Скачать индивидуальный QR-код магазина")</f>
        <v>Скачать индивидуальный QR-код магазина</v>
      </c>
    </row>
    <row r="6934" spans="1:7" x14ac:dyDescent="0.25">
      <c r="A6934" t="s">
        <v>18820</v>
      </c>
      <c r="B6934" t="s">
        <v>22452</v>
      </c>
      <c r="C6934" t="s">
        <v>713</v>
      </c>
      <c r="D6934" t="s">
        <v>714</v>
      </c>
      <c r="E6934" t="s">
        <v>715</v>
      </c>
      <c r="F6934" t="s">
        <v>22453</v>
      </c>
      <c r="G6934" s="2" t="str">
        <f>HYPERLINK("https://probpalata.gov.ru/files/ЮЛ770101216600026.jpeg","Скачать индивидуальный QR-код магазина")</f>
        <v>Скачать индивидуальный QR-код магазина</v>
      </c>
    </row>
    <row r="6935" spans="1:7" x14ac:dyDescent="0.25">
      <c r="A6935" t="s">
        <v>18820</v>
      </c>
      <c r="B6935" t="s">
        <v>22454</v>
      </c>
      <c r="C6935" t="s">
        <v>713</v>
      </c>
      <c r="D6935" t="s">
        <v>714</v>
      </c>
      <c r="E6935" t="s">
        <v>715</v>
      </c>
      <c r="F6935" t="s">
        <v>22455</v>
      </c>
      <c r="G6935" s="2" t="str">
        <f>HYPERLINK("https://probpalata.gov.ru/files/ЮЛ770101216600029.jpeg","Скачать индивидуальный QR-код магазина")</f>
        <v>Скачать индивидуальный QR-код магазина</v>
      </c>
    </row>
    <row r="6936" spans="1:7" x14ac:dyDescent="0.25">
      <c r="A6936" t="s">
        <v>18820</v>
      </c>
      <c r="B6936" t="s">
        <v>22456</v>
      </c>
      <c r="C6936" t="s">
        <v>713</v>
      </c>
      <c r="D6936" t="s">
        <v>714</v>
      </c>
      <c r="E6936" t="s">
        <v>715</v>
      </c>
      <c r="F6936" t="s">
        <v>22457</v>
      </c>
      <c r="G6936" s="2" t="str">
        <f>HYPERLINK("https://probpalata.gov.ru/files/ЮЛ770101216600030.jpeg","Скачать индивидуальный QR-код магазина")</f>
        <v>Скачать индивидуальный QR-код магазина</v>
      </c>
    </row>
    <row r="6937" spans="1:7" x14ac:dyDescent="0.25">
      <c r="A6937" t="s">
        <v>18820</v>
      </c>
      <c r="B6937" t="s">
        <v>22458</v>
      </c>
      <c r="C6937" t="s">
        <v>713</v>
      </c>
      <c r="D6937" t="s">
        <v>714</v>
      </c>
      <c r="E6937" t="s">
        <v>715</v>
      </c>
      <c r="F6937" t="s">
        <v>22459</v>
      </c>
      <c r="G6937" s="2" t="str">
        <f>HYPERLINK("https://probpalata.gov.ru/files/ЮЛ770101216600031.jpeg","Скачать индивидуальный QR-код магазина")</f>
        <v>Скачать индивидуальный QR-код магазина</v>
      </c>
    </row>
    <row r="6938" spans="1:7" x14ac:dyDescent="0.25">
      <c r="A6938" t="s">
        <v>18820</v>
      </c>
      <c r="B6938" t="s">
        <v>22460</v>
      </c>
      <c r="C6938" t="s">
        <v>713</v>
      </c>
      <c r="D6938" t="s">
        <v>714</v>
      </c>
      <c r="E6938" t="s">
        <v>715</v>
      </c>
      <c r="F6938" t="s">
        <v>22461</v>
      </c>
      <c r="G6938" s="2" t="str">
        <f>HYPERLINK("https://probpalata.gov.ru/files/ЮЛ770101216600032.jpeg","Скачать индивидуальный QR-код магазина")</f>
        <v>Скачать индивидуальный QR-код магазина</v>
      </c>
    </row>
    <row r="6939" spans="1:7" x14ac:dyDescent="0.25">
      <c r="A6939" t="s">
        <v>18820</v>
      </c>
      <c r="B6939" t="s">
        <v>22462</v>
      </c>
      <c r="C6939" t="s">
        <v>713</v>
      </c>
      <c r="D6939" t="s">
        <v>714</v>
      </c>
      <c r="E6939" t="s">
        <v>715</v>
      </c>
      <c r="F6939" t="s">
        <v>22463</v>
      </c>
      <c r="G6939" s="2" t="str">
        <f>HYPERLINK("https://probpalata.gov.ru/files/ЮЛ770101216600035.jpeg","Скачать индивидуальный QR-код магазина")</f>
        <v>Скачать индивидуальный QR-код магазина</v>
      </c>
    </row>
    <row r="6940" spans="1:7" x14ac:dyDescent="0.25">
      <c r="A6940" t="s">
        <v>18820</v>
      </c>
      <c r="B6940" t="s">
        <v>22464</v>
      </c>
      <c r="C6940" t="s">
        <v>713</v>
      </c>
      <c r="D6940" t="s">
        <v>714</v>
      </c>
      <c r="E6940" t="s">
        <v>715</v>
      </c>
      <c r="F6940" t="s">
        <v>22465</v>
      </c>
      <c r="G6940" s="2" t="str">
        <f>HYPERLINK("https://probpalata.gov.ru/files/ЮЛ770101216600040.jpeg","Скачать индивидуальный QR-код магазина")</f>
        <v>Скачать индивидуальный QR-код магазина</v>
      </c>
    </row>
    <row r="6941" spans="1:7" x14ac:dyDescent="0.25">
      <c r="A6941" t="s">
        <v>18820</v>
      </c>
      <c r="B6941" t="s">
        <v>22466</v>
      </c>
      <c r="C6941" t="s">
        <v>713</v>
      </c>
      <c r="D6941" t="s">
        <v>714</v>
      </c>
      <c r="E6941" t="s">
        <v>715</v>
      </c>
      <c r="F6941" t="s">
        <v>22467</v>
      </c>
      <c r="G6941" s="2" t="str">
        <f>HYPERLINK("https://probpalata.gov.ru/files/ЮЛ770101216600041.jpeg","Скачать индивидуальный QR-код магазина")</f>
        <v>Скачать индивидуальный QR-код магазина</v>
      </c>
    </row>
    <row r="6942" spans="1:7" x14ac:dyDescent="0.25">
      <c r="A6942" t="s">
        <v>18820</v>
      </c>
      <c r="B6942" t="s">
        <v>22468</v>
      </c>
      <c r="C6942" t="s">
        <v>713</v>
      </c>
      <c r="D6942" t="s">
        <v>714</v>
      </c>
      <c r="E6942" t="s">
        <v>715</v>
      </c>
      <c r="F6942" t="s">
        <v>22469</v>
      </c>
      <c r="G6942" s="2" t="str">
        <f>HYPERLINK("https://probpalata.gov.ru/files/ЮЛ770101216600042.jpeg","Скачать индивидуальный QR-код магазина")</f>
        <v>Скачать индивидуальный QR-код магазина</v>
      </c>
    </row>
    <row r="6943" spans="1:7" x14ac:dyDescent="0.25">
      <c r="A6943" t="s">
        <v>18820</v>
      </c>
      <c r="B6943" t="s">
        <v>22470</v>
      </c>
      <c r="C6943" t="s">
        <v>713</v>
      </c>
      <c r="D6943" t="s">
        <v>714</v>
      </c>
      <c r="E6943" t="s">
        <v>715</v>
      </c>
      <c r="F6943" t="s">
        <v>22471</v>
      </c>
      <c r="G6943" s="2" t="str">
        <f>HYPERLINK("https://probpalata.gov.ru/files/ЮЛ770101216600047.jpeg","Скачать индивидуальный QR-код магазина")</f>
        <v>Скачать индивидуальный QR-код магазина</v>
      </c>
    </row>
    <row r="6944" spans="1:7" x14ac:dyDescent="0.25">
      <c r="A6944" t="s">
        <v>18820</v>
      </c>
      <c r="B6944" t="s">
        <v>22472</v>
      </c>
      <c r="C6944" t="s">
        <v>713</v>
      </c>
      <c r="D6944" t="s">
        <v>714</v>
      </c>
      <c r="E6944" t="s">
        <v>715</v>
      </c>
      <c r="F6944" t="s">
        <v>22473</v>
      </c>
      <c r="G6944" s="2" t="str">
        <f>HYPERLINK("https://probpalata.gov.ru/files/ЮЛ770101216600048.jpeg","Скачать индивидуальный QR-код магазина")</f>
        <v>Скачать индивидуальный QR-код магазина</v>
      </c>
    </row>
    <row r="6945" spans="1:7" x14ac:dyDescent="0.25">
      <c r="A6945" t="s">
        <v>18820</v>
      </c>
      <c r="B6945" t="s">
        <v>19679</v>
      </c>
      <c r="C6945" t="s">
        <v>713</v>
      </c>
      <c r="D6945" t="s">
        <v>714</v>
      </c>
      <c r="E6945" t="s">
        <v>715</v>
      </c>
      <c r="F6945" t="s">
        <v>22474</v>
      </c>
      <c r="G6945" s="2" t="str">
        <f>HYPERLINK("https://probpalata.gov.ru/files/ЮЛ770101216600051.jpeg","Скачать индивидуальный QR-код магазина")</f>
        <v>Скачать индивидуальный QR-код магазина</v>
      </c>
    </row>
    <row r="6946" spans="1:7" x14ac:dyDescent="0.25">
      <c r="A6946" t="s">
        <v>18820</v>
      </c>
      <c r="B6946" t="s">
        <v>22475</v>
      </c>
      <c r="C6946" t="s">
        <v>713</v>
      </c>
      <c r="D6946" t="s">
        <v>714</v>
      </c>
      <c r="E6946" t="s">
        <v>715</v>
      </c>
      <c r="F6946" t="s">
        <v>22476</v>
      </c>
      <c r="G6946" s="2" t="str">
        <f>HYPERLINK("https://probpalata.gov.ru/files/ЮЛ770101216600054.jpeg","Скачать индивидуальный QR-код магазина")</f>
        <v>Скачать индивидуальный QR-код магазина</v>
      </c>
    </row>
    <row r="6947" spans="1:7" x14ac:dyDescent="0.25">
      <c r="A6947" t="s">
        <v>18820</v>
      </c>
      <c r="B6947" t="s">
        <v>22477</v>
      </c>
      <c r="C6947" t="s">
        <v>713</v>
      </c>
      <c r="D6947" t="s">
        <v>714</v>
      </c>
      <c r="E6947" t="s">
        <v>715</v>
      </c>
      <c r="F6947" t="s">
        <v>22478</v>
      </c>
      <c r="G6947" s="2" t="str">
        <f>HYPERLINK("https://probpalata.gov.ru/files/ЮЛ770101216600056.jpeg","Скачать индивидуальный QR-код магазина")</f>
        <v>Скачать индивидуальный QR-код магазина</v>
      </c>
    </row>
    <row r="6948" spans="1:7" x14ac:dyDescent="0.25">
      <c r="A6948" t="s">
        <v>18820</v>
      </c>
      <c r="B6948" t="s">
        <v>22479</v>
      </c>
      <c r="C6948" t="s">
        <v>713</v>
      </c>
      <c r="D6948" t="s">
        <v>714</v>
      </c>
      <c r="E6948" t="s">
        <v>715</v>
      </c>
      <c r="F6948" t="s">
        <v>22480</v>
      </c>
      <c r="G6948" s="2" t="str">
        <f>HYPERLINK("https://probpalata.gov.ru/files/ЮЛ770101216600058.jpeg","Скачать индивидуальный QR-код магазина")</f>
        <v>Скачать индивидуальный QR-код магазина</v>
      </c>
    </row>
    <row r="6949" spans="1:7" x14ac:dyDescent="0.25">
      <c r="A6949" t="s">
        <v>18820</v>
      </c>
      <c r="B6949" t="s">
        <v>22481</v>
      </c>
      <c r="C6949" t="s">
        <v>713</v>
      </c>
      <c r="D6949" t="s">
        <v>714</v>
      </c>
      <c r="E6949" t="s">
        <v>715</v>
      </c>
      <c r="F6949" t="s">
        <v>22482</v>
      </c>
      <c r="G6949" s="2" t="str">
        <f>HYPERLINK("https://probpalata.gov.ru/files/ЮЛ770101216600059.jpeg","Скачать индивидуальный QR-код магазина")</f>
        <v>Скачать индивидуальный QR-код магазина</v>
      </c>
    </row>
    <row r="6950" spans="1:7" x14ac:dyDescent="0.25">
      <c r="A6950" t="s">
        <v>18820</v>
      </c>
      <c r="B6950" t="s">
        <v>22483</v>
      </c>
      <c r="C6950" t="s">
        <v>713</v>
      </c>
      <c r="D6950" t="s">
        <v>714</v>
      </c>
      <c r="E6950" t="s">
        <v>715</v>
      </c>
      <c r="F6950" t="s">
        <v>22484</v>
      </c>
      <c r="G6950" s="2" t="str">
        <f>HYPERLINK("https://probpalata.gov.ru/files/ЮЛ770101216600066.jpeg","Скачать индивидуальный QR-код магазина")</f>
        <v>Скачать индивидуальный QR-код магазина</v>
      </c>
    </row>
    <row r="6951" spans="1:7" x14ac:dyDescent="0.25">
      <c r="A6951" t="s">
        <v>18820</v>
      </c>
      <c r="B6951" t="s">
        <v>22485</v>
      </c>
      <c r="C6951" t="s">
        <v>713</v>
      </c>
      <c r="D6951" t="s">
        <v>714</v>
      </c>
      <c r="E6951" t="s">
        <v>715</v>
      </c>
      <c r="F6951" t="s">
        <v>22486</v>
      </c>
      <c r="G6951" s="2" t="str">
        <f>HYPERLINK("https://probpalata.gov.ru/files/ЮЛ770101216600067.jpeg","Скачать индивидуальный QR-код магазина")</f>
        <v>Скачать индивидуальный QR-код магазина</v>
      </c>
    </row>
    <row r="6952" spans="1:7" x14ac:dyDescent="0.25">
      <c r="A6952" t="s">
        <v>18820</v>
      </c>
      <c r="B6952" t="s">
        <v>22487</v>
      </c>
      <c r="C6952" t="s">
        <v>713</v>
      </c>
      <c r="D6952" t="s">
        <v>714</v>
      </c>
      <c r="E6952" t="s">
        <v>715</v>
      </c>
      <c r="F6952" t="s">
        <v>22488</v>
      </c>
      <c r="G6952" s="2" t="str">
        <f>HYPERLINK("https://probpalata.gov.ru/files/ЮЛ770101216600068.jpeg","Скачать индивидуальный QR-код магазина")</f>
        <v>Скачать индивидуальный QR-код магазина</v>
      </c>
    </row>
    <row r="6953" spans="1:7" x14ac:dyDescent="0.25">
      <c r="A6953" t="s">
        <v>18820</v>
      </c>
      <c r="B6953" t="s">
        <v>22489</v>
      </c>
      <c r="C6953" t="s">
        <v>713</v>
      </c>
      <c r="D6953" t="s">
        <v>714</v>
      </c>
      <c r="E6953" t="s">
        <v>715</v>
      </c>
      <c r="F6953" t="s">
        <v>22490</v>
      </c>
      <c r="G6953" s="2" t="str">
        <f>HYPERLINK("https://probpalata.gov.ru/files/ЮЛ770101216600072.jpeg","Скачать индивидуальный QR-код магазина")</f>
        <v>Скачать индивидуальный QR-код магазина</v>
      </c>
    </row>
    <row r="6954" spans="1:7" x14ac:dyDescent="0.25">
      <c r="A6954" t="s">
        <v>18820</v>
      </c>
      <c r="B6954" t="s">
        <v>22491</v>
      </c>
      <c r="C6954" t="s">
        <v>713</v>
      </c>
      <c r="D6954" t="s">
        <v>714</v>
      </c>
      <c r="E6954" t="s">
        <v>715</v>
      </c>
      <c r="F6954" t="s">
        <v>22492</v>
      </c>
      <c r="G6954" s="2" t="str">
        <f>HYPERLINK("https://probpalata.gov.ru/files/ЮЛ770101216600074.jpeg","Скачать индивидуальный QR-код магазина")</f>
        <v>Скачать индивидуальный QR-код магазина</v>
      </c>
    </row>
    <row r="6955" spans="1:7" x14ac:dyDescent="0.25">
      <c r="A6955" t="s">
        <v>18820</v>
      </c>
      <c r="B6955" t="s">
        <v>22493</v>
      </c>
      <c r="C6955" t="s">
        <v>713</v>
      </c>
      <c r="D6955" t="s">
        <v>714</v>
      </c>
      <c r="E6955" t="s">
        <v>715</v>
      </c>
      <c r="F6955" t="s">
        <v>22494</v>
      </c>
      <c r="G6955" s="2" t="str">
        <f>HYPERLINK("https://probpalata.gov.ru/files/ЮЛ770101216600075.jpeg","Скачать индивидуальный QR-код магазина")</f>
        <v>Скачать индивидуальный QR-код магазина</v>
      </c>
    </row>
    <row r="6956" spans="1:7" x14ac:dyDescent="0.25">
      <c r="A6956" t="s">
        <v>18820</v>
      </c>
      <c r="B6956" t="s">
        <v>22495</v>
      </c>
      <c r="C6956" t="s">
        <v>713</v>
      </c>
      <c r="D6956" t="s">
        <v>714</v>
      </c>
      <c r="E6956" t="s">
        <v>715</v>
      </c>
      <c r="F6956" t="s">
        <v>22496</v>
      </c>
      <c r="G6956" s="2" t="str">
        <f>HYPERLINK("https://probpalata.gov.ru/files/ЮЛ770101216600086.jpeg","Скачать индивидуальный QR-код магазина")</f>
        <v>Скачать индивидуальный QR-код магазина</v>
      </c>
    </row>
    <row r="6957" spans="1:7" x14ac:dyDescent="0.25">
      <c r="A6957" t="s">
        <v>18820</v>
      </c>
      <c r="B6957" t="s">
        <v>22497</v>
      </c>
      <c r="C6957" t="s">
        <v>713</v>
      </c>
      <c r="D6957" t="s">
        <v>714</v>
      </c>
      <c r="E6957" t="s">
        <v>715</v>
      </c>
      <c r="F6957" t="s">
        <v>22498</v>
      </c>
      <c r="G6957" s="2" t="str">
        <f>HYPERLINK("https://probpalata.gov.ru/files/ЮЛ770101216600091.jpeg","Скачать индивидуальный QR-код магазина")</f>
        <v>Скачать индивидуальный QR-код магазина</v>
      </c>
    </row>
    <row r="6958" spans="1:7" x14ac:dyDescent="0.25">
      <c r="A6958" t="s">
        <v>18820</v>
      </c>
      <c r="B6958" t="s">
        <v>22499</v>
      </c>
      <c r="C6958" t="s">
        <v>713</v>
      </c>
      <c r="D6958" t="s">
        <v>714</v>
      </c>
      <c r="E6958" t="s">
        <v>715</v>
      </c>
      <c r="F6958" t="s">
        <v>22500</v>
      </c>
      <c r="G6958" s="2" t="str">
        <f>HYPERLINK("https://probpalata.gov.ru/files/ЮЛ770101216600097.jpeg","Скачать индивидуальный QR-код магазина")</f>
        <v>Скачать индивидуальный QR-код магазина</v>
      </c>
    </row>
    <row r="6959" spans="1:7" x14ac:dyDescent="0.25">
      <c r="A6959" t="s">
        <v>18820</v>
      </c>
      <c r="B6959" t="s">
        <v>22501</v>
      </c>
      <c r="C6959" t="s">
        <v>713</v>
      </c>
      <c r="D6959" t="s">
        <v>714</v>
      </c>
      <c r="E6959" t="s">
        <v>715</v>
      </c>
      <c r="F6959" t="s">
        <v>22502</v>
      </c>
      <c r="G6959" s="2" t="str">
        <f>HYPERLINK("https://probpalata.gov.ru/files/ЮЛ770101216600100.jpeg","Скачать индивидуальный QR-код магазина")</f>
        <v>Скачать индивидуальный QR-код магазина</v>
      </c>
    </row>
    <row r="6960" spans="1:7" x14ac:dyDescent="0.25">
      <c r="A6960" t="s">
        <v>18820</v>
      </c>
      <c r="B6960" t="s">
        <v>22503</v>
      </c>
      <c r="C6960" t="s">
        <v>713</v>
      </c>
      <c r="D6960" t="s">
        <v>714</v>
      </c>
      <c r="E6960" t="s">
        <v>715</v>
      </c>
      <c r="F6960" t="s">
        <v>22504</v>
      </c>
      <c r="G6960" s="2" t="str">
        <f>HYPERLINK("https://probpalata.gov.ru/files/ЮЛ770101216600101.jpeg","Скачать индивидуальный QR-код магазина")</f>
        <v>Скачать индивидуальный QR-код магазина</v>
      </c>
    </row>
    <row r="6961" spans="1:7" x14ac:dyDescent="0.25">
      <c r="A6961" t="s">
        <v>18820</v>
      </c>
      <c r="B6961" t="s">
        <v>22505</v>
      </c>
      <c r="C6961" t="s">
        <v>713</v>
      </c>
      <c r="D6961" t="s">
        <v>714</v>
      </c>
      <c r="E6961" t="s">
        <v>715</v>
      </c>
      <c r="F6961" t="s">
        <v>22506</v>
      </c>
      <c r="G6961" s="2" t="str">
        <f>HYPERLINK("https://probpalata.gov.ru/files/ЮЛ770101216600102.jpeg","Скачать индивидуальный QR-код магазина")</f>
        <v>Скачать индивидуальный QR-код магазина</v>
      </c>
    </row>
    <row r="6962" spans="1:7" x14ac:dyDescent="0.25">
      <c r="A6962" t="s">
        <v>18820</v>
      </c>
      <c r="B6962" t="s">
        <v>22507</v>
      </c>
      <c r="C6962" t="s">
        <v>713</v>
      </c>
      <c r="D6962" t="s">
        <v>714</v>
      </c>
      <c r="E6962" t="s">
        <v>715</v>
      </c>
      <c r="F6962" t="s">
        <v>22508</v>
      </c>
      <c r="G6962" s="2" t="str">
        <f>HYPERLINK("https://probpalata.gov.ru/files/ЮЛ770101216600112.jpeg","Скачать индивидуальный QR-код магазина")</f>
        <v>Скачать индивидуальный QR-код магазина</v>
      </c>
    </row>
    <row r="6963" spans="1:7" x14ac:dyDescent="0.25">
      <c r="A6963" t="s">
        <v>18820</v>
      </c>
      <c r="B6963" t="s">
        <v>22509</v>
      </c>
      <c r="C6963" t="s">
        <v>713</v>
      </c>
      <c r="D6963" t="s">
        <v>714</v>
      </c>
      <c r="E6963" t="s">
        <v>715</v>
      </c>
      <c r="F6963" t="s">
        <v>22510</v>
      </c>
      <c r="G6963" s="2" t="str">
        <f>HYPERLINK("https://probpalata.gov.ru/files/ЮЛ770101216600113.jpeg","Скачать индивидуальный QR-код магазина")</f>
        <v>Скачать индивидуальный QR-код магазина</v>
      </c>
    </row>
    <row r="6964" spans="1:7" x14ac:dyDescent="0.25">
      <c r="A6964" t="s">
        <v>18820</v>
      </c>
      <c r="B6964" t="s">
        <v>22511</v>
      </c>
      <c r="C6964" t="s">
        <v>713</v>
      </c>
      <c r="D6964" t="s">
        <v>714</v>
      </c>
      <c r="E6964" t="s">
        <v>715</v>
      </c>
      <c r="F6964" t="s">
        <v>22512</v>
      </c>
      <c r="G6964" s="2" t="str">
        <f>HYPERLINK("https://probpalata.gov.ru/files/ЮЛ770101216600114.jpeg","Скачать индивидуальный QR-код магазина")</f>
        <v>Скачать индивидуальный QR-код магазина</v>
      </c>
    </row>
    <row r="6965" spans="1:7" x14ac:dyDescent="0.25">
      <c r="A6965" t="s">
        <v>18820</v>
      </c>
      <c r="B6965" t="s">
        <v>22513</v>
      </c>
      <c r="C6965" t="s">
        <v>713</v>
      </c>
      <c r="D6965" t="s">
        <v>714</v>
      </c>
      <c r="E6965" t="s">
        <v>715</v>
      </c>
      <c r="F6965" t="s">
        <v>22514</v>
      </c>
      <c r="G6965" s="2" t="str">
        <f>HYPERLINK("https://probpalata.gov.ru/files/ЮЛ770101216600115.jpeg","Скачать индивидуальный QR-код магазина")</f>
        <v>Скачать индивидуальный QR-код магазина</v>
      </c>
    </row>
    <row r="6966" spans="1:7" x14ac:dyDescent="0.25">
      <c r="A6966" t="s">
        <v>18820</v>
      </c>
      <c r="B6966" t="s">
        <v>22515</v>
      </c>
      <c r="C6966" t="s">
        <v>713</v>
      </c>
      <c r="D6966" t="s">
        <v>714</v>
      </c>
      <c r="E6966" t="s">
        <v>715</v>
      </c>
      <c r="F6966" t="s">
        <v>22516</v>
      </c>
      <c r="G6966" s="2" t="str">
        <f>HYPERLINK("https://probpalata.gov.ru/files/ЮЛ770101216600116.jpeg","Скачать индивидуальный QR-код магазина")</f>
        <v>Скачать индивидуальный QR-код магазина</v>
      </c>
    </row>
    <row r="6967" spans="1:7" x14ac:dyDescent="0.25">
      <c r="A6967" t="s">
        <v>18820</v>
      </c>
      <c r="B6967" t="s">
        <v>22517</v>
      </c>
      <c r="C6967" t="s">
        <v>713</v>
      </c>
      <c r="D6967" t="s">
        <v>714</v>
      </c>
      <c r="E6967" t="s">
        <v>715</v>
      </c>
      <c r="F6967" t="s">
        <v>22518</v>
      </c>
      <c r="G6967" s="2" t="str">
        <f>HYPERLINK("https://probpalata.gov.ru/files/ЮЛ770101216600118.jpeg","Скачать индивидуальный QR-код магазина")</f>
        <v>Скачать индивидуальный QR-код магазина</v>
      </c>
    </row>
    <row r="6968" spans="1:7" x14ac:dyDescent="0.25">
      <c r="A6968" t="s">
        <v>18820</v>
      </c>
      <c r="B6968" t="s">
        <v>22519</v>
      </c>
      <c r="C6968" t="s">
        <v>713</v>
      </c>
      <c r="D6968" t="s">
        <v>714</v>
      </c>
      <c r="E6968" t="s">
        <v>715</v>
      </c>
      <c r="F6968" t="s">
        <v>22520</v>
      </c>
      <c r="G6968" s="2" t="str">
        <f>HYPERLINK("https://probpalata.gov.ru/files/ЮЛ770101216600121.jpeg","Скачать индивидуальный QR-код магазина")</f>
        <v>Скачать индивидуальный QR-код магазина</v>
      </c>
    </row>
    <row r="6969" spans="1:7" x14ac:dyDescent="0.25">
      <c r="A6969" t="s">
        <v>18820</v>
      </c>
      <c r="B6969" t="s">
        <v>22521</v>
      </c>
      <c r="C6969" t="s">
        <v>713</v>
      </c>
      <c r="D6969" t="s">
        <v>714</v>
      </c>
      <c r="E6969" t="s">
        <v>715</v>
      </c>
      <c r="F6969" t="s">
        <v>22522</v>
      </c>
      <c r="G6969" s="2" t="str">
        <f>HYPERLINK("https://probpalata.gov.ru/files/ЮЛ770101216600122.jpeg","Скачать индивидуальный QR-код магазина")</f>
        <v>Скачать индивидуальный QR-код магазина</v>
      </c>
    </row>
    <row r="6970" spans="1:7" x14ac:dyDescent="0.25">
      <c r="A6970" t="s">
        <v>18820</v>
      </c>
      <c r="B6970" t="s">
        <v>22523</v>
      </c>
      <c r="C6970" t="s">
        <v>713</v>
      </c>
      <c r="D6970" t="s">
        <v>714</v>
      </c>
      <c r="E6970" t="s">
        <v>715</v>
      </c>
      <c r="F6970" t="s">
        <v>22524</v>
      </c>
      <c r="G6970" s="2" t="str">
        <f>HYPERLINK("https://probpalata.gov.ru/files/ЮЛ770101216600123.jpeg","Скачать индивидуальный QR-код магазина")</f>
        <v>Скачать индивидуальный QR-код магазина</v>
      </c>
    </row>
    <row r="6971" spans="1:7" x14ac:dyDescent="0.25">
      <c r="A6971" t="s">
        <v>18820</v>
      </c>
      <c r="B6971" t="s">
        <v>22525</v>
      </c>
      <c r="C6971" t="s">
        <v>713</v>
      </c>
      <c r="D6971" t="s">
        <v>714</v>
      </c>
      <c r="E6971" t="s">
        <v>715</v>
      </c>
      <c r="F6971" t="s">
        <v>22526</v>
      </c>
      <c r="G6971" s="2" t="str">
        <f>HYPERLINK("https://probpalata.gov.ru/files/ЮЛ770101216600126.jpeg","Скачать индивидуальный QR-код магазина")</f>
        <v>Скачать индивидуальный QR-код магазина</v>
      </c>
    </row>
    <row r="6972" spans="1:7" x14ac:dyDescent="0.25">
      <c r="A6972" t="s">
        <v>18820</v>
      </c>
      <c r="B6972" t="s">
        <v>22527</v>
      </c>
      <c r="C6972" t="s">
        <v>713</v>
      </c>
      <c r="D6972" t="s">
        <v>714</v>
      </c>
      <c r="E6972" t="s">
        <v>715</v>
      </c>
      <c r="F6972" t="s">
        <v>22528</v>
      </c>
      <c r="G6972" s="2" t="str">
        <f>HYPERLINK("https://probpalata.gov.ru/files/ЮЛ770101216600128.jpeg","Скачать индивидуальный QR-код магазина")</f>
        <v>Скачать индивидуальный QR-код магазина</v>
      </c>
    </row>
    <row r="6973" spans="1:7" x14ac:dyDescent="0.25">
      <c r="A6973" t="s">
        <v>18820</v>
      </c>
      <c r="B6973" t="s">
        <v>22529</v>
      </c>
      <c r="C6973" t="s">
        <v>713</v>
      </c>
      <c r="D6973" t="s">
        <v>714</v>
      </c>
      <c r="E6973" t="s">
        <v>715</v>
      </c>
      <c r="F6973" t="s">
        <v>22530</v>
      </c>
      <c r="G6973" s="2" t="str">
        <f>HYPERLINK("https://probpalata.gov.ru/files/ЮЛ770101216600166.jpeg","Скачать индивидуальный QR-код магазина")</f>
        <v>Скачать индивидуальный QR-код магазина</v>
      </c>
    </row>
    <row r="6974" spans="1:7" x14ac:dyDescent="0.25">
      <c r="A6974" t="s">
        <v>18820</v>
      </c>
      <c r="B6974" t="s">
        <v>22531</v>
      </c>
      <c r="C6974" t="s">
        <v>713</v>
      </c>
      <c r="D6974" t="s">
        <v>714</v>
      </c>
      <c r="E6974" t="s">
        <v>715</v>
      </c>
      <c r="F6974" t="s">
        <v>22532</v>
      </c>
      <c r="G6974" s="2" t="str">
        <f>HYPERLINK("https://probpalata.gov.ru/files/ЮЛ770101216600173.jpeg","Скачать индивидуальный QR-код магазина")</f>
        <v>Скачать индивидуальный QR-код магазина</v>
      </c>
    </row>
    <row r="6975" spans="1:7" x14ac:dyDescent="0.25">
      <c r="A6975" t="s">
        <v>18820</v>
      </c>
      <c r="B6975" t="s">
        <v>22533</v>
      </c>
      <c r="C6975" t="s">
        <v>713</v>
      </c>
      <c r="D6975" t="s">
        <v>714</v>
      </c>
      <c r="E6975" t="s">
        <v>715</v>
      </c>
      <c r="F6975" t="s">
        <v>22534</v>
      </c>
      <c r="G6975" s="2" t="str">
        <f>HYPERLINK("https://probpalata.gov.ru/files/ЮЛ770101216600187.jpeg","Скачать индивидуальный QR-код магазина")</f>
        <v>Скачать индивидуальный QR-код магазина</v>
      </c>
    </row>
    <row r="6976" spans="1:7" x14ac:dyDescent="0.25">
      <c r="A6976" t="s">
        <v>18820</v>
      </c>
      <c r="B6976" t="s">
        <v>22535</v>
      </c>
      <c r="C6976" t="s">
        <v>713</v>
      </c>
      <c r="D6976" t="s">
        <v>714</v>
      </c>
      <c r="E6976" t="s">
        <v>715</v>
      </c>
      <c r="F6976" t="s">
        <v>22536</v>
      </c>
      <c r="G6976" s="2" t="str">
        <f>HYPERLINK("https://probpalata.gov.ru/files/ЮЛ770101216600188.jpeg","Скачать индивидуальный QR-код магазина")</f>
        <v>Скачать индивидуальный QR-код магазина</v>
      </c>
    </row>
    <row r="6977" spans="1:7" x14ac:dyDescent="0.25">
      <c r="A6977" t="s">
        <v>18820</v>
      </c>
      <c r="B6977" t="s">
        <v>22537</v>
      </c>
      <c r="C6977" t="s">
        <v>713</v>
      </c>
      <c r="D6977" t="s">
        <v>714</v>
      </c>
      <c r="E6977" t="s">
        <v>715</v>
      </c>
      <c r="F6977" t="s">
        <v>22538</v>
      </c>
      <c r="G6977" s="2" t="str">
        <f>HYPERLINK("https://probpalata.gov.ru/files/ЮЛ770101216600195.jpeg","Скачать индивидуальный QR-код магазина")</f>
        <v>Скачать индивидуальный QR-код магазина</v>
      </c>
    </row>
    <row r="6978" spans="1:7" x14ac:dyDescent="0.25">
      <c r="A6978" t="s">
        <v>18820</v>
      </c>
      <c r="B6978" t="s">
        <v>22539</v>
      </c>
      <c r="C6978" t="s">
        <v>713</v>
      </c>
      <c r="D6978" t="s">
        <v>714</v>
      </c>
      <c r="E6978" t="s">
        <v>715</v>
      </c>
      <c r="F6978" t="s">
        <v>22540</v>
      </c>
      <c r="G6978" s="2" t="str">
        <f>HYPERLINK("https://probpalata.gov.ru/files/ЮЛ770101216600199.jpeg","Скачать индивидуальный QR-код магазина")</f>
        <v>Скачать индивидуальный QR-код магазина</v>
      </c>
    </row>
    <row r="6979" spans="1:7" x14ac:dyDescent="0.25">
      <c r="A6979" t="s">
        <v>18820</v>
      </c>
      <c r="B6979" t="s">
        <v>22541</v>
      </c>
      <c r="C6979" t="s">
        <v>713</v>
      </c>
      <c r="D6979" t="s">
        <v>714</v>
      </c>
      <c r="E6979" t="s">
        <v>715</v>
      </c>
      <c r="F6979" t="s">
        <v>22542</v>
      </c>
      <c r="G6979" s="2" t="str">
        <f>HYPERLINK("https://probpalata.gov.ru/files/ЮЛ770101216600203.jpeg","Скачать индивидуальный QR-код магазина")</f>
        <v>Скачать индивидуальный QR-код магазина</v>
      </c>
    </row>
    <row r="6980" spans="1:7" x14ac:dyDescent="0.25">
      <c r="A6980" t="s">
        <v>18820</v>
      </c>
      <c r="B6980" t="s">
        <v>22543</v>
      </c>
      <c r="C6980" t="s">
        <v>713</v>
      </c>
      <c r="D6980" t="s">
        <v>714</v>
      </c>
      <c r="E6980" t="s">
        <v>715</v>
      </c>
      <c r="F6980" t="s">
        <v>22544</v>
      </c>
      <c r="G6980" s="2" t="str">
        <f>HYPERLINK("https://probpalata.gov.ru/files/ЮЛ770101216600233.jpeg","Скачать индивидуальный QR-код магазина")</f>
        <v>Скачать индивидуальный QR-код магазина</v>
      </c>
    </row>
    <row r="6981" spans="1:7" x14ac:dyDescent="0.25">
      <c r="A6981" t="s">
        <v>18820</v>
      </c>
      <c r="B6981" t="s">
        <v>22545</v>
      </c>
      <c r="C6981" t="s">
        <v>713</v>
      </c>
      <c r="D6981" t="s">
        <v>714</v>
      </c>
      <c r="E6981" t="s">
        <v>715</v>
      </c>
      <c r="F6981" t="s">
        <v>22546</v>
      </c>
      <c r="G6981" s="2" t="str">
        <f>HYPERLINK("https://probpalata.gov.ru/files/ЮЛ770101216600234.jpeg","Скачать индивидуальный QR-код магазина")</f>
        <v>Скачать индивидуальный QR-код магазина</v>
      </c>
    </row>
    <row r="6982" spans="1:7" x14ac:dyDescent="0.25">
      <c r="A6982" t="s">
        <v>18820</v>
      </c>
      <c r="B6982" t="s">
        <v>22547</v>
      </c>
      <c r="C6982" t="s">
        <v>713</v>
      </c>
      <c r="D6982" t="s">
        <v>714</v>
      </c>
      <c r="E6982" t="s">
        <v>715</v>
      </c>
      <c r="F6982" t="s">
        <v>22548</v>
      </c>
      <c r="G6982" s="2" t="str">
        <f>HYPERLINK("https://probpalata.gov.ru/files/ЮЛ770101216600235.jpeg","Скачать индивидуальный QR-код магазина")</f>
        <v>Скачать индивидуальный QR-код магазина</v>
      </c>
    </row>
    <row r="6983" spans="1:7" x14ac:dyDescent="0.25">
      <c r="A6983" t="s">
        <v>18820</v>
      </c>
      <c r="B6983" t="s">
        <v>22549</v>
      </c>
      <c r="C6983" t="s">
        <v>713</v>
      </c>
      <c r="D6983" t="s">
        <v>714</v>
      </c>
      <c r="E6983" t="s">
        <v>715</v>
      </c>
      <c r="F6983" t="s">
        <v>22550</v>
      </c>
      <c r="G6983" s="2" t="str">
        <f>HYPERLINK("https://probpalata.gov.ru/files/ЮЛ770101216600236.jpeg","Скачать индивидуальный QR-код магазина")</f>
        <v>Скачать индивидуальный QR-код магазина</v>
      </c>
    </row>
    <row r="6984" spans="1:7" x14ac:dyDescent="0.25">
      <c r="A6984" t="s">
        <v>18820</v>
      </c>
      <c r="B6984" t="s">
        <v>22551</v>
      </c>
      <c r="C6984" t="s">
        <v>713</v>
      </c>
      <c r="D6984" t="s">
        <v>714</v>
      </c>
      <c r="E6984" t="s">
        <v>715</v>
      </c>
      <c r="F6984" t="s">
        <v>22552</v>
      </c>
      <c r="G6984" s="2" t="str">
        <f>HYPERLINK("https://probpalata.gov.ru/files/ЮЛ770101216600237.jpeg","Скачать индивидуальный QR-код магазина")</f>
        <v>Скачать индивидуальный QR-код магазина</v>
      </c>
    </row>
    <row r="6985" spans="1:7" x14ac:dyDescent="0.25">
      <c r="A6985" t="s">
        <v>18820</v>
      </c>
      <c r="B6985" t="s">
        <v>22553</v>
      </c>
      <c r="C6985" t="s">
        <v>713</v>
      </c>
      <c r="D6985" t="s">
        <v>714</v>
      </c>
      <c r="E6985" t="s">
        <v>715</v>
      </c>
      <c r="F6985" t="s">
        <v>22554</v>
      </c>
      <c r="G6985" s="2" t="str">
        <f>HYPERLINK("https://probpalata.gov.ru/files/ЮЛ770101216600238.jpeg","Скачать индивидуальный QR-код магазина")</f>
        <v>Скачать индивидуальный QR-код магазина</v>
      </c>
    </row>
    <row r="6986" spans="1:7" x14ac:dyDescent="0.25">
      <c r="A6986" t="s">
        <v>18820</v>
      </c>
      <c r="B6986" t="s">
        <v>22555</v>
      </c>
      <c r="C6986" t="s">
        <v>713</v>
      </c>
      <c r="D6986" t="s">
        <v>714</v>
      </c>
      <c r="E6986" t="s">
        <v>715</v>
      </c>
      <c r="F6986" t="s">
        <v>22556</v>
      </c>
      <c r="G6986" s="2" t="str">
        <f>HYPERLINK("https://probpalata.gov.ru/files/ЮЛ770101216600239.jpeg","Скачать индивидуальный QR-код магазина")</f>
        <v>Скачать индивидуальный QR-код магазина</v>
      </c>
    </row>
    <row r="6987" spans="1:7" x14ac:dyDescent="0.25">
      <c r="A6987" t="s">
        <v>18820</v>
      </c>
      <c r="B6987" t="s">
        <v>22557</v>
      </c>
      <c r="C6987" t="s">
        <v>713</v>
      </c>
      <c r="D6987" t="s">
        <v>714</v>
      </c>
      <c r="E6987" t="s">
        <v>715</v>
      </c>
      <c r="F6987" t="s">
        <v>22558</v>
      </c>
      <c r="G6987" s="2" t="str">
        <f>HYPERLINK("https://probpalata.gov.ru/files/ЮЛ770101216600243.jpeg","Скачать индивидуальный QR-код магазина")</f>
        <v>Скачать индивидуальный QR-код магазина</v>
      </c>
    </row>
    <row r="6988" spans="1:7" x14ac:dyDescent="0.25">
      <c r="A6988" t="s">
        <v>18820</v>
      </c>
      <c r="B6988" t="s">
        <v>22559</v>
      </c>
      <c r="C6988" t="s">
        <v>713</v>
      </c>
      <c r="D6988" t="s">
        <v>714</v>
      </c>
      <c r="E6988" t="s">
        <v>715</v>
      </c>
      <c r="F6988" t="s">
        <v>22560</v>
      </c>
      <c r="G6988" s="2" t="str">
        <f>HYPERLINK("https://probpalata.gov.ru/files/ЮЛ770101216600292.jpeg","Скачать индивидуальный QR-код магазина")</f>
        <v>Скачать индивидуальный QR-код магазина</v>
      </c>
    </row>
    <row r="6989" spans="1:7" x14ac:dyDescent="0.25">
      <c r="A6989" t="s">
        <v>18820</v>
      </c>
      <c r="B6989" t="s">
        <v>22561</v>
      </c>
      <c r="C6989" t="s">
        <v>713</v>
      </c>
      <c r="D6989" t="s">
        <v>714</v>
      </c>
      <c r="E6989" t="s">
        <v>715</v>
      </c>
      <c r="F6989" t="s">
        <v>22562</v>
      </c>
      <c r="G6989" s="2" t="str">
        <f>HYPERLINK("https://probpalata.gov.ru/files/ЮЛ770101216600301.jpeg","Скачать индивидуальный QR-код магазина")</f>
        <v>Скачать индивидуальный QR-код магазина</v>
      </c>
    </row>
    <row r="6990" spans="1:7" x14ac:dyDescent="0.25">
      <c r="A6990" t="s">
        <v>18820</v>
      </c>
      <c r="B6990" t="s">
        <v>22563</v>
      </c>
      <c r="C6990" t="s">
        <v>713</v>
      </c>
      <c r="D6990" t="s">
        <v>714</v>
      </c>
      <c r="E6990" t="s">
        <v>715</v>
      </c>
      <c r="F6990" t="s">
        <v>22564</v>
      </c>
      <c r="G6990" s="2" t="str">
        <f>HYPERLINK("https://probpalata.gov.ru/files/ЮЛ770101216600307.jpeg","Скачать индивидуальный QR-код магазина")</f>
        <v>Скачать индивидуальный QR-код магазина</v>
      </c>
    </row>
    <row r="6991" spans="1:7" x14ac:dyDescent="0.25">
      <c r="A6991" t="s">
        <v>18820</v>
      </c>
      <c r="B6991" t="s">
        <v>22565</v>
      </c>
      <c r="C6991" t="s">
        <v>713</v>
      </c>
      <c r="D6991" t="s">
        <v>714</v>
      </c>
      <c r="E6991" t="s">
        <v>715</v>
      </c>
      <c r="F6991" t="s">
        <v>22566</v>
      </c>
      <c r="G6991" s="2" t="str">
        <f>HYPERLINK("https://probpalata.gov.ru/files/ЮЛ770101216600317.jpeg","Скачать индивидуальный QR-код магазина")</f>
        <v>Скачать индивидуальный QR-код магазина</v>
      </c>
    </row>
    <row r="6992" spans="1:7" x14ac:dyDescent="0.25">
      <c r="A6992" t="s">
        <v>18820</v>
      </c>
      <c r="B6992" t="s">
        <v>22567</v>
      </c>
      <c r="C6992" t="s">
        <v>713</v>
      </c>
      <c r="D6992" t="s">
        <v>714</v>
      </c>
      <c r="E6992" t="s">
        <v>715</v>
      </c>
      <c r="F6992" t="s">
        <v>22568</v>
      </c>
      <c r="G6992" s="2" t="str">
        <f>HYPERLINK("https://probpalata.gov.ru/files/ЮЛ770101216600319.jpeg","Скачать индивидуальный QR-код магазина")</f>
        <v>Скачать индивидуальный QR-код магазина</v>
      </c>
    </row>
    <row r="6993" spans="1:7" x14ac:dyDescent="0.25">
      <c r="A6993" t="s">
        <v>18820</v>
      </c>
      <c r="B6993" t="s">
        <v>22569</v>
      </c>
      <c r="C6993" t="s">
        <v>713</v>
      </c>
      <c r="D6993" t="s">
        <v>714</v>
      </c>
      <c r="E6993" t="s">
        <v>715</v>
      </c>
      <c r="F6993" t="s">
        <v>22570</v>
      </c>
      <c r="G6993" s="2" t="str">
        <f>HYPERLINK("https://probpalata.gov.ru/files/ЮЛ770101216600321.jpeg","Скачать индивидуальный QR-код магазина")</f>
        <v>Скачать индивидуальный QR-код магазина</v>
      </c>
    </row>
    <row r="6994" spans="1:7" x14ac:dyDescent="0.25">
      <c r="A6994" t="s">
        <v>18820</v>
      </c>
      <c r="B6994" t="s">
        <v>22571</v>
      </c>
      <c r="C6994" t="s">
        <v>713</v>
      </c>
      <c r="D6994" t="s">
        <v>714</v>
      </c>
      <c r="E6994" t="s">
        <v>715</v>
      </c>
      <c r="F6994" t="s">
        <v>22572</v>
      </c>
      <c r="G6994" s="2" t="str">
        <f>HYPERLINK("https://probpalata.gov.ru/files/ЮЛ770101216600325.jpeg","Скачать индивидуальный QR-код магазина")</f>
        <v>Скачать индивидуальный QR-код магазина</v>
      </c>
    </row>
    <row r="6995" spans="1:7" x14ac:dyDescent="0.25">
      <c r="A6995" t="s">
        <v>18820</v>
      </c>
      <c r="B6995" t="s">
        <v>22573</v>
      </c>
      <c r="C6995" t="s">
        <v>713</v>
      </c>
      <c r="D6995" t="s">
        <v>714</v>
      </c>
      <c r="E6995" t="s">
        <v>715</v>
      </c>
      <c r="F6995" t="s">
        <v>22574</v>
      </c>
      <c r="G6995" s="2" t="str">
        <f>HYPERLINK("https://probpalata.gov.ru/files/ЮЛ770101216600331.jpeg","Скачать индивидуальный QR-код магазина")</f>
        <v>Скачать индивидуальный QR-код магазина</v>
      </c>
    </row>
    <row r="6996" spans="1:7" x14ac:dyDescent="0.25">
      <c r="A6996" t="s">
        <v>18820</v>
      </c>
      <c r="B6996" t="s">
        <v>22575</v>
      </c>
      <c r="C6996" t="s">
        <v>713</v>
      </c>
      <c r="D6996" t="s">
        <v>714</v>
      </c>
      <c r="E6996" t="s">
        <v>715</v>
      </c>
      <c r="F6996" t="s">
        <v>22576</v>
      </c>
      <c r="G6996" s="2" t="str">
        <f>HYPERLINK("https://probpalata.gov.ru/files/ЮЛ770101216600347.jpeg","Скачать индивидуальный QR-код магазина")</f>
        <v>Скачать индивидуальный QR-код магазина</v>
      </c>
    </row>
    <row r="6997" spans="1:7" x14ac:dyDescent="0.25">
      <c r="A6997" t="s">
        <v>18820</v>
      </c>
      <c r="B6997" t="s">
        <v>22577</v>
      </c>
      <c r="C6997" t="s">
        <v>713</v>
      </c>
      <c r="D6997" t="s">
        <v>714</v>
      </c>
      <c r="E6997" t="s">
        <v>715</v>
      </c>
      <c r="F6997" t="s">
        <v>22578</v>
      </c>
      <c r="G6997" s="2" t="str">
        <f>HYPERLINK("https://probpalata.gov.ru/files/ЮЛ770101216600356.jpeg","Скачать индивидуальный QR-код магазина")</f>
        <v>Скачать индивидуальный QR-код магазина</v>
      </c>
    </row>
    <row r="6998" spans="1:7" x14ac:dyDescent="0.25">
      <c r="A6998" t="s">
        <v>18820</v>
      </c>
      <c r="B6998" t="s">
        <v>22579</v>
      </c>
      <c r="C6998" t="s">
        <v>713</v>
      </c>
      <c r="D6998" t="s">
        <v>714</v>
      </c>
      <c r="E6998" t="s">
        <v>715</v>
      </c>
      <c r="F6998" t="s">
        <v>22580</v>
      </c>
      <c r="G6998" s="2" t="str">
        <f>HYPERLINK("https://probpalata.gov.ru/files/ЮЛ770101216600363.jpeg","Скачать индивидуальный QR-код магазина")</f>
        <v>Скачать индивидуальный QR-код магазина</v>
      </c>
    </row>
    <row r="6999" spans="1:7" x14ac:dyDescent="0.25">
      <c r="A6999" t="s">
        <v>18820</v>
      </c>
      <c r="B6999" t="s">
        <v>22581</v>
      </c>
      <c r="C6999" t="s">
        <v>713</v>
      </c>
      <c r="D6999" t="s">
        <v>714</v>
      </c>
      <c r="E6999" t="s">
        <v>715</v>
      </c>
      <c r="F6999" t="s">
        <v>22582</v>
      </c>
      <c r="G6999" s="2" t="str">
        <f>HYPERLINK("https://probpalata.gov.ru/files/ЮЛ770101216600366.jpeg","Скачать индивидуальный QR-код магазина")</f>
        <v>Скачать индивидуальный QR-код магазина</v>
      </c>
    </row>
    <row r="7000" spans="1:7" x14ac:dyDescent="0.25">
      <c r="A7000" t="s">
        <v>18820</v>
      </c>
      <c r="B7000" t="s">
        <v>22583</v>
      </c>
      <c r="C7000" t="s">
        <v>713</v>
      </c>
      <c r="D7000" t="s">
        <v>714</v>
      </c>
      <c r="E7000" t="s">
        <v>715</v>
      </c>
      <c r="F7000" t="s">
        <v>22584</v>
      </c>
      <c r="G7000" s="2" t="str">
        <f>HYPERLINK("https://probpalata.gov.ru/files/ЮЛ770101216600376.jpeg","Скачать индивидуальный QR-код магазина")</f>
        <v>Скачать индивидуальный QR-код магазина</v>
      </c>
    </row>
    <row r="7001" spans="1:7" x14ac:dyDescent="0.25">
      <c r="A7001" t="s">
        <v>18820</v>
      </c>
      <c r="B7001" t="s">
        <v>22585</v>
      </c>
      <c r="C7001" t="s">
        <v>713</v>
      </c>
      <c r="D7001" t="s">
        <v>714</v>
      </c>
      <c r="E7001" t="s">
        <v>715</v>
      </c>
      <c r="F7001" t="s">
        <v>22586</v>
      </c>
      <c r="G7001" s="2" t="str">
        <f>HYPERLINK("https://probpalata.gov.ru/files/ЮЛ770101216600386.jpeg","Скачать индивидуальный QR-код магазина")</f>
        <v>Скачать индивидуальный QR-код магазина</v>
      </c>
    </row>
    <row r="7002" spans="1:7" x14ac:dyDescent="0.25">
      <c r="A7002" t="s">
        <v>18820</v>
      </c>
      <c r="B7002" t="s">
        <v>22587</v>
      </c>
      <c r="C7002" t="s">
        <v>713</v>
      </c>
      <c r="D7002" t="s">
        <v>714</v>
      </c>
      <c r="E7002" t="s">
        <v>715</v>
      </c>
      <c r="F7002" t="s">
        <v>22588</v>
      </c>
      <c r="G7002" s="2" t="str">
        <f>HYPERLINK("https://probpalata.gov.ru/files/ЮЛ770101216600391.jpeg","Скачать индивидуальный QR-код магазина")</f>
        <v>Скачать индивидуальный QR-код магазина</v>
      </c>
    </row>
    <row r="7003" spans="1:7" x14ac:dyDescent="0.25">
      <c r="A7003" t="s">
        <v>18820</v>
      </c>
      <c r="B7003" t="s">
        <v>22589</v>
      </c>
      <c r="C7003" t="s">
        <v>713</v>
      </c>
      <c r="D7003" t="s">
        <v>714</v>
      </c>
      <c r="E7003" t="s">
        <v>715</v>
      </c>
      <c r="F7003" t="s">
        <v>22590</v>
      </c>
      <c r="G7003" s="2" t="str">
        <f>HYPERLINK("https://probpalata.gov.ru/files/ЮЛ770101216600392.jpeg","Скачать индивидуальный QR-код магазина")</f>
        <v>Скачать индивидуальный QR-код магазина</v>
      </c>
    </row>
    <row r="7004" spans="1:7" x14ac:dyDescent="0.25">
      <c r="A7004" t="s">
        <v>18820</v>
      </c>
      <c r="B7004" t="s">
        <v>22591</v>
      </c>
      <c r="C7004" t="s">
        <v>713</v>
      </c>
      <c r="D7004" t="s">
        <v>714</v>
      </c>
      <c r="E7004" t="s">
        <v>715</v>
      </c>
      <c r="F7004" t="s">
        <v>22592</v>
      </c>
      <c r="G7004" s="2" t="str">
        <f>HYPERLINK("https://probpalata.gov.ru/files/ЮЛ770101216600404.jpeg","Скачать индивидуальный QR-код магазина")</f>
        <v>Скачать индивидуальный QR-код магазина</v>
      </c>
    </row>
    <row r="7005" spans="1:7" x14ac:dyDescent="0.25">
      <c r="A7005" t="s">
        <v>18820</v>
      </c>
      <c r="B7005" t="s">
        <v>22593</v>
      </c>
      <c r="C7005" t="s">
        <v>713</v>
      </c>
      <c r="D7005" t="s">
        <v>714</v>
      </c>
      <c r="E7005" t="s">
        <v>715</v>
      </c>
      <c r="F7005" t="s">
        <v>22594</v>
      </c>
      <c r="G7005" s="2" t="str">
        <f>HYPERLINK("https://probpalata.gov.ru/files/ЮЛ770101216600408.jpeg","Скачать индивидуальный QR-код магазина")</f>
        <v>Скачать индивидуальный QR-код магазина</v>
      </c>
    </row>
    <row r="7006" spans="1:7" x14ac:dyDescent="0.25">
      <c r="A7006" t="s">
        <v>18820</v>
      </c>
      <c r="B7006" t="s">
        <v>22595</v>
      </c>
      <c r="C7006" t="s">
        <v>713</v>
      </c>
      <c r="D7006" t="s">
        <v>714</v>
      </c>
      <c r="E7006" t="s">
        <v>715</v>
      </c>
      <c r="F7006" t="s">
        <v>22596</v>
      </c>
      <c r="G7006" s="2" t="str">
        <f>HYPERLINK("https://probpalata.gov.ru/files/ЮЛ770101216600409.jpeg","Скачать индивидуальный QR-код магазина")</f>
        <v>Скачать индивидуальный QR-код магазина</v>
      </c>
    </row>
    <row r="7007" spans="1:7" x14ac:dyDescent="0.25">
      <c r="A7007" t="s">
        <v>18820</v>
      </c>
      <c r="B7007" t="s">
        <v>22597</v>
      </c>
      <c r="C7007" t="s">
        <v>713</v>
      </c>
      <c r="D7007" t="s">
        <v>714</v>
      </c>
      <c r="E7007" t="s">
        <v>715</v>
      </c>
      <c r="F7007" t="s">
        <v>22598</v>
      </c>
      <c r="G7007" s="2" t="str">
        <f>HYPERLINK("https://probpalata.gov.ru/files/ЮЛ770101216600412.jpeg","Скачать индивидуальный QR-код магазина")</f>
        <v>Скачать индивидуальный QR-код магазина</v>
      </c>
    </row>
    <row r="7008" spans="1:7" x14ac:dyDescent="0.25">
      <c r="A7008" t="s">
        <v>18820</v>
      </c>
      <c r="B7008" t="s">
        <v>22599</v>
      </c>
      <c r="C7008" t="s">
        <v>713</v>
      </c>
      <c r="D7008" t="s">
        <v>714</v>
      </c>
      <c r="E7008" t="s">
        <v>715</v>
      </c>
      <c r="F7008" t="s">
        <v>22600</v>
      </c>
      <c r="G7008" s="2" t="str">
        <f>HYPERLINK("https://probpalata.gov.ru/files/ЮЛ770101216600416.jpeg","Скачать индивидуальный QR-код магазина")</f>
        <v>Скачать индивидуальный QR-код магазина</v>
      </c>
    </row>
    <row r="7009" spans="1:7" x14ac:dyDescent="0.25">
      <c r="A7009" t="s">
        <v>18820</v>
      </c>
      <c r="B7009" t="s">
        <v>22601</v>
      </c>
      <c r="C7009" t="s">
        <v>713</v>
      </c>
      <c r="D7009" t="s">
        <v>714</v>
      </c>
      <c r="E7009" t="s">
        <v>715</v>
      </c>
      <c r="F7009" t="s">
        <v>22602</v>
      </c>
      <c r="G7009" s="2" t="str">
        <f>HYPERLINK("https://probpalata.gov.ru/files/ЮЛ770101216600423.jpeg","Скачать индивидуальный QR-код магазина")</f>
        <v>Скачать индивидуальный QR-код магазина</v>
      </c>
    </row>
    <row r="7010" spans="1:7" x14ac:dyDescent="0.25">
      <c r="A7010" t="s">
        <v>18820</v>
      </c>
      <c r="B7010" t="s">
        <v>22603</v>
      </c>
      <c r="C7010" t="s">
        <v>713</v>
      </c>
      <c r="D7010" t="s">
        <v>714</v>
      </c>
      <c r="E7010" t="s">
        <v>715</v>
      </c>
      <c r="F7010" t="s">
        <v>22604</v>
      </c>
      <c r="G7010" s="2" t="str">
        <f>HYPERLINK("https://probpalata.gov.ru/files/ЮЛ770101216600433.jpeg","Скачать индивидуальный QR-код магазина")</f>
        <v>Скачать индивидуальный QR-код магазина</v>
      </c>
    </row>
    <row r="7011" spans="1:7" x14ac:dyDescent="0.25">
      <c r="A7011" t="s">
        <v>18820</v>
      </c>
      <c r="B7011" t="s">
        <v>22605</v>
      </c>
      <c r="C7011" t="s">
        <v>713</v>
      </c>
      <c r="D7011" t="s">
        <v>714</v>
      </c>
      <c r="E7011" t="s">
        <v>715</v>
      </c>
      <c r="F7011" t="s">
        <v>22606</v>
      </c>
      <c r="G7011" s="2" t="str">
        <f>HYPERLINK("https://probpalata.gov.ru/files/ЮЛ770101216600435.jpeg","Скачать индивидуальный QR-код магазина")</f>
        <v>Скачать индивидуальный QR-код магазина</v>
      </c>
    </row>
    <row r="7012" spans="1:7" x14ac:dyDescent="0.25">
      <c r="A7012" t="s">
        <v>18820</v>
      </c>
      <c r="B7012" t="s">
        <v>22607</v>
      </c>
      <c r="C7012" t="s">
        <v>713</v>
      </c>
      <c r="D7012" t="s">
        <v>714</v>
      </c>
      <c r="E7012" t="s">
        <v>715</v>
      </c>
      <c r="F7012" t="s">
        <v>22608</v>
      </c>
      <c r="G7012" s="2" t="str">
        <f>HYPERLINK("https://probpalata.gov.ru/files/ЮЛ770101216600438.jpeg","Скачать индивидуальный QR-код магазина")</f>
        <v>Скачать индивидуальный QR-код магазина</v>
      </c>
    </row>
    <row r="7013" spans="1:7" x14ac:dyDescent="0.25">
      <c r="A7013" t="s">
        <v>18820</v>
      </c>
      <c r="B7013" t="s">
        <v>22609</v>
      </c>
      <c r="C7013" t="s">
        <v>713</v>
      </c>
      <c r="D7013" t="s">
        <v>714</v>
      </c>
      <c r="E7013" t="s">
        <v>715</v>
      </c>
      <c r="F7013" t="s">
        <v>22610</v>
      </c>
      <c r="G7013" s="2" t="str">
        <f>HYPERLINK("https://probpalata.gov.ru/files/ЮЛ770101216600441.jpeg","Скачать индивидуальный QR-код магазина")</f>
        <v>Скачать индивидуальный QR-код магазина</v>
      </c>
    </row>
    <row r="7014" spans="1:7" x14ac:dyDescent="0.25">
      <c r="A7014" t="s">
        <v>18820</v>
      </c>
      <c r="B7014" t="s">
        <v>22611</v>
      </c>
      <c r="C7014" t="s">
        <v>713</v>
      </c>
      <c r="D7014" t="s">
        <v>714</v>
      </c>
      <c r="E7014" t="s">
        <v>715</v>
      </c>
      <c r="F7014" t="s">
        <v>22612</v>
      </c>
      <c r="G7014" s="2" t="str">
        <f>HYPERLINK("https://probpalata.gov.ru/files/ЮЛ770101216600446.jpeg","Скачать индивидуальный QR-код магазина")</f>
        <v>Скачать индивидуальный QR-код магазина</v>
      </c>
    </row>
    <row r="7015" spans="1:7" x14ac:dyDescent="0.25">
      <c r="A7015" t="s">
        <v>18820</v>
      </c>
      <c r="B7015" t="s">
        <v>22613</v>
      </c>
      <c r="C7015" t="s">
        <v>713</v>
      </c>
      <c r="D7015" t="s">
        <v>714</v>
      </c>
      <c r="E7015" t="s">
        <v>715</v>
      </c>
      <c r="F7015" t="s">
        <v>22614</v>
      </c>
      <c r="G7015" s="2" t="str">
        <f>HYPERLINK("https://probpalata.gov.ru/files/ЮЛ770101216600450.jpeg","Скачать индивидуальный QR-код магазина")</f>
        <v>Скачать индивидуальный QR-код магазина</v>
      </c>
    </row>
    <row r="7016" spans="1:7" x14ac:dyDescent="0.25">
      <c r="A7016" t="s">
        <v>18820</v>
      </c>
      <c r="B7016" t="s">
        <v>22615</v>
      </c>
      <c r="C7016" t="s">
        <v>713</v>
      </c>
      <c r="D7016" t="s">
        <v>714</v>
      </c>
      <c r="E7016" t="s">
        <v>715</v>
      </c>
      <c r="F7016" t="s">
        <v>22616</v>
      </c>
      <c r="G7016" s="2" t="str">
        <f>HYPERLINK("https://probpalata.gov.ru/files/ЮЛ770101216600456.jpeg","Скачать индивидуальный QR-код магазина")</f>
        <v>Скачать индивидуальный QR-код магазина</v>
      </c>
    </row>
    <row r="7017" spans="1:7" x14ac:dyDescent="0.25">
      <c r="A7017" t="s">
        <v>18820</v>
      </c>
      <c r="B7017" t="s">
        <v>22617</v>
      </c>
      <c r="C7017" t="s">
        <v>713</v>
      </c>
      <c r="D7017" t="s">
        <v>714</v>
      </c>
      <c r="E7017" t="s">
        <v>715</v>
      </c>
      <c r="F7017" t="s">
        <v>22618</v>
      </c>
      <c r="G7017" s="2" t="str">
        <f>HYPERLINK("https://probpalata.gov.ru/files/ЮЛ770101216600458.jpeg","Скачать индивидуальный QR-код магазина")</f>
        <v>Скачать индивидуальный QR-код магазина</v>
      </c>
    </row>
    <row r="7018" spans="1:7" x14ac:dyDescent="0.25">
      <c r="A7018" t="s">
        <v>18820</v>
      </c>
      <c r="B7018" t="s">
        <v>22619</v>
      </c>
      <c r="C7018" t="s">
        <v>713</v>
      </c>
      <c r="D7018" t="s">
        <v>714</v>
      </c>
      <c r="E7018" t="s">
        <v>715</v>
      </c>
      <c r="F7018" t="s">
        <v>22620</v>
      </c>
      <c r="G7018" s="2" t="str">
        <f>HYPERLINK("https://probpalata.gov.ru/files/ЮЛ770101216600460.jpeg","Скачать индивидуальный QR-код магазина")</f>
        <v>Скачать индивидуальный QR-код магазина</v>
      </c>
    </row>
    <row r="7019" spans="1:7" x14ac:dyDescent="0.25">
      <c r="A7019" t="s">
        <v>18820</v>
      </c>
      <c r="B7019" t="s">
        <v>22621</v>
      </c>
      <c r="C7019" t="s">
        <v>713</v>
      </c>
      <c r="D7019" t="s">
        <v>714</v>
      </c>
      <c r="E7019" t="s">
        <v>715</v>
      </c>
      <c r="F7019" t="s">
        <v>22622</v>
      </c>
      <c r="G7019" s="2" t="str">
        <f>HYPERLINK("https://probpalata.gov.ru/files/ЮЛ770101216600537.jpeg","Скачать индивидуальный QR-код магазина")</f>
        <v>Скачать индивидуальный QR-код магазина</v>
      </c>
    </row>
    <row r="7020" spans="1:7" x14ac:dyDescent="0.25">
      <c r="A7020" t="s">
        <v>18820</v>
      </c>
      <c r="B7020" t="s">
        <v>22623</v>
      </c>
      <c r="C7020" t="s">
        <v>713</v>
      </c>
      <c r="D7020" t="s">
        <v>714</v>
      </c>
      <c r="E7020" t="s">
        <v>715</v>
      </c>
      <c r="F7020" t="s">
        <v>22624</v>
      </c>
      <c r="G7020" s="2" t="str">
        <f>HYPERLINK("https://probpalata.gov.ru/files/ЮЛ770101216600541.jpeg","Скачать индивидуальный QR-код магазина")</f>
        <v>Скачать индивидуальный QR-код магазина</v>
      </c>
    </row>
    <row r="7021" spans="1:7" x14ac:dyDescent="0.25">
      <c r="A7021" t="s">
        <v>18820</v>
      </c>
      <c r="B7021" t="s">
        <v>22625</v>
      </c>
      <c r="C7021" t="s">
        <v>713</v>
      </c>
      <c r="D7021" t="s">
        <v>714</v>
      </c>
      <c r="E7021" t="s">
        <v>715</v>
      </c>
      <c r="F7021" t="s">
        <v>22626</v>
      </c>
      <c r="G7021" s="2" t="str">
        <f>HYPERLINK("https://probpalata.gov.ru/files/ЮЛ770101216600544.jpeg","Скачать индивидуальный QR-код магазина")</f>
        <v>Скачать индивидуальный QR-код магазина</v>
      </c>
    </row>
    <row r="7022" spans="1:7" x14ac:dyDescent="0.25">
      <c r="A7022" t="s">
        <v>18820</v>
      </c>
      <c r="B7022" t="s">
        <v>22627</v>
      </c>
      <c r="C7022" t="s">
        <v>713</v>
      </c>
      <c r="D7022" t="s">
        <v>714</v>
      </c>
      <c r="E7022" t="s">
        <v>715</v>
      </c>
      <c r="F7022" t="s">
        <v>22628</v>
      </c>
      <c r="G7022" s="2" t="str">
        <f>HYPERLINK("https://probpalata.gov.ru/files/ЮЛ770101216600549.jpeg","Скачать индивидуальный QR-код магазина")</f>
        <v>Скачать индивидуальный QR-код магазина</v>
      </c>
    </row>
    <row r="7023" spans="1:7" x14ac:dyDescent="0.25">
      <c r="A7023" t="s">
        <v>18820</v>
      </c>
      <c r="B7023" t="s">
        <v>22629</v>
      </c>
      <c r="C7023" t="s">
        <v>713</v>
      </c>
      <c r="D7023" t="s">
        <v>714</v>
      </c>
      <c r="E7023" t="s">
        <v>715</v>
      </c>
      <c r="F7023" t="s">
        <v>22630</v>
      </c>
      <c r="G7023" s="2" t="str">
        <f>HYPERLINK("https://probpalata.gov.ru/files/ЮЛ770101216600550.jpeg","Скачать индивидуальный QR-код магазина")</f>
        <v>Скачать индивидуальный QR-код магазина</v>
      </c>
    </row>
    <row r="7024" spans="1:7" x14ac:dyDescent="0.25">
      <c r="A7024" t="s">
        <v>18820</v>
      </c>
      <c r="B7024" t="s">
        <v>22631</v>
      </c>
      <c r="C7024" t="s">
        <v>713</v>
      </c>
      <c r="D7024" t="s">
        <v>714</v>
      </c>
      <c r="E7024" t="s">
        <v>715</v>
      </c>
      <c r="F7024" t="s">
        <v>22632</v>
      </c>
      <c r="G7024" s="2" t="str">
        <f>HYPERLINK("https://probpalata.gov.ru/files/ЮЛ770101216600552.jpeg","Скачать индивидуальный QR-код магазина")</f>
        <v>Скачать индивидуальный QR-код магазина</v>
      </c>
    </row>
    <row r="7025" spans="1:7" x14ac:dyDescent="0.25">
      <c r="A7025" t="s">
        <v>18820</v>
      </c>
      <c r="B7025" t="s">
        <v>22633</v>
      </c>
      <c r="C7025" t="s">
        <v>713</v>
      </c>
      <c r="D7025" t="s">
        <v>714</v>
      </c>
      <c r="E7025" t="s">
        <v>715</v>
      </c>
      <c r="F7025" t="s">
        <v>22634</v>
      </c>
      <c r="G7025" s="2" t="str">
        <f>HYPERLINK("https://probpalata.gov.ru/files/ЮЛ770101216600553.jpeg","Скачать индивидуальный QR-код магазина")</f>
        <v>Скачать индивидуальный QR-код магазина</v>
      </c>
    </row>
    <row r="7026" spans="1:7" x14ac:dyDescent="0.25">
      <c r="A7026" t="s">
        <v>18820</v>
      </c>
      <c r="B7026" t="s">
        <v>22635</v>
      </c>
      <c r="C7026" t="s">
        <v>713</v>
      </c>
      <c r="D7026" t="s">
        <v>714</v>
      </c>
      <c r="E7026" t="s">
        <v>715</v>
      </c>
      <c r="F7026" t="s">
        <v>22636</v>
      </c>
      <c r="G7026" s="2" t="str">
        <f>HYPERLINK("https://probpalata.gov.ru/files/ЮЛ770101216600559.jpeg","Скачать индивидуальный QR-код магазина")</f>
        <v>Скачать индивидуальный QR-код магазина</v>
      </c>
    </row>
    <row r="7027" spans="1:7" x14ac:dyDescent="0.25">
      <c r="A7027" t="s">
        <v>18820</v>
      </c>
      <c r="B7027" t="s">
        <v>22637</v>
      </c>
      <c r="C7027" t="s">
        <v>713</v>
      </c>
      <c r="D7027" t="s">
        <v>714</v>
      </c>
      <c r="E7027" t="s">
        <v>715</v>
      </c>
      <c r="F7027" t="s">
        <v>22638</v>
      </c>
      <c r="G7027" s="2" t="str">
        <f>HYPERLINK("https://probpalata.gov.ru/files/ЮЛ770101216600571.jpeg","Скачать индивидуальный QR-код магазина")</f>
        <v>Скачать индивидуальный QR-код магазина</v>
      </c>
    </row>
    <row r="7028" spans="1:7" x14ac:dyDescent="0.25">
      <c r="A7028" t="s">
        <v>18820</v>
      </c>
      <c r="B7028" t="s">
        <v>22639</v>
      </c>
      <c r="C7028" t="s">
        <v>713</v>
      </c>
      <c r="D7028" t="s">
        <v>714</v>
      </c>
      <c r="E7028" t="s">
        <v>715</v>
      </c>
      <c r="F7028" t="s">
        <v>22640</v>
      </c>
      <c r="G7028" s="2" t="str">
        <f>HYPERLINK("https://probpalata.gov.ru/files/ЮЛ770101216600580.jpeg","Скачать индивидуальный QR-код магазина")</f>
        <v>Скачать индивидуальный QR-код магазина</v>
      </c>
    </row>
    <row r="7029" spans="1:7" x14ac:dyDescent="0.25">
      <c r="A7029" t="s">
        <v>18820</v>
      </c>
      <c r="B7029" t="s">
        <v>22641</v>
      </c>
      <c r="C7029" t="s">
        <v>713</v>
      </c>
      <c r="D7029" t="s">
        <v>714</v>
      </c>
      <c r="E7029" t="s">
        <v>715</v>
      </c>
      <c r="F7029" t="s">
        <v>22642</v>
      </c>
      <c r="G7029" s="2" t="str">
        <f>HYPERLINK("https://probpalata.gov.ru/files/ЮЛ770101216600587.jpeg","Скачать индивидуальный QR-код магазина")</f>
        <v>Скачать индивидуальный QR-код магазина</v>
      </c>
    </row>
    <row r="7030" spans="1:7" x14ac:dyDescent="0.25">
      <c r="A7030" t="s">
        <v>18820</v>
      </c>
      <c r="B7030" t="s">
        <v>22643</v>
      </c>
      <c r="C7030" t="s">
        <v>713</v>
      </c>
      <c r="D7030" t="s">
        <v>714</v>
      </c>
      <c r="E7030" t="s">
        <v>715</v>
      </c>
      <c r="F7030" t="s">
        <v>22644</v>
      </c>
      <c r="G7030" s="2" t="str">
        <f>HYPERLINK("https://probpalata.gov.ru/files/ЮЛ770101216600590.jpeg","Скачать индивидуальный QR-код магазина")</f>
        <v>Скачать индивидуальный QR-код магазина</v>
      </c>
    </row>
    <row r="7031" spans="1:7" x14ac:dyDescent="0.25">
      <c r="A7031" t="s">
        <v>18820</v>
      </c>
      <c r="B7031" t="s">
        <v>22645</v>
      </c>
      <c r="C7031" t="s">
        <v>713</v>
      </c>
      <c r="D7031" t="s">
        <v>714</v>
      </c>
      <c r="E7031" t="s">
        <v>715</v>
      </c>
      <c r="F7031" t="s">
        <v>22646</v>
      </c>
      <c r="G7031" s="2" t="str">
        <f>HYPERLINK("https://probpalata.gov.ru/files/ЮЛ770101216600592.jpeg","Скачать индивидуальный QR-код магазина")</f>
        <v>Скачать индивидуальный QR-код магазина</v>
      </c>
    </row>
    <row r="7032" spans="1:7" x14ac:dyDescent="0.25">
      <c r="A7032" t="s">
        <v>18820</v>
      </c>
      <c r="B7032" t="s">
        <v>22647</v>
      </c>
      <c r="C7032" t="s">
        <v>713</v>
      </c>
      <c r="D7032" t="s">
        <v>714</v>
      </c>
      <c r="E7032" t="s">
        <v>715</v>
      </c>
      <c r="F7032" t="s">
        <v>22648</v>
      </c>
      <c r="G7032" s="2" t="str">
        <f>HYPERLINK("https://probpalata.gov.ru/files/ЮЛ770101216600595.jpeg","Скачать индивидуальный QR-код магазина")</f>
        <v>Скачать индивидуальный QR-код магазина</v>
      </c>
    </row>
    <row r="7033" spans="1:7" x14ac:dyDescent="0.25">
      <c r="A7033" t="s">
        <v>18820</v>
      </c>
      <c r="B7033" t="s">
        <v>22649</v>
      </c>
      <c r="C7033" t="s">
        <v>713</v>
      </c>
      <c r="D7033" t="s">
        <v>714</v>
      </c>
      <c r="E7033" t="s">
        <v>715</v>
      </c>
      <c r="F7033" t="s">
        <v>22650</v>
      </c>
      <c r="G7033" s="2" t="str">
        <f>HYPERLINK("https://probpalata.gov.ru/files/ЮЛ770101216600614.jpeg","Скачать индивидуальный QR-код магазина")</f>
        <v>Скачать индивидуальный QR-код магазина</v>
      </c>
    </row>
    <row r="7034" spans="1:7" x14ac:dyDescent="0.25">
      <c r="A7034" t="s">
        <v>18820</v>
      </c>
      <c r="B7034" t="s">
        <v>22651</v>
      </c>
      <c r="C7034" t="s">
        <v>713</v>
      </c>
      <c r="D7034" t="s">
        <v>714</v>
      </c>
      <c r="E7034" t="s">
        <v>715</v>
      </c>
      <c r="F7034" t="s">
        <v>22652</v>
      </c>
      <c r="G7034" s="2" t="str">
        <f>HYPERLINK("https://probpalata.gov.ru/files/ЮЛ770101216600616.jpeg","Скачать индивидуальный QR-код магазина")</f>
        <v>Скачать индивидуальный QR-код магазина</v>
      </c>
    </row>
    <row r="7035" spans="1:7" x14ac:dyDescent="0.25">
      <c r="A7035" t="s">
        <v>18820</v>
      </c>
      <c r="B7035" t="s">
        <v>22653</v>
      </c>
      <c r="C7035" t="s">
        <v>713</v>
      </c>
      <c r="D7035" t="s">
        <v>714</v>
      </c>
      <c r="E7035" t="s">
        <v>715</v>
      </c>
      <c r="F7035" t="s">
        <v>22654</v>
      </c>
      <c r="G7035" s="2" t="str">
        <f>HYPERLINK("https://probpalata.gov.ru/files/ЮЛ770101216600630.jpeg","Скачать индивидуальный QR-код магазина")</f>
        <v>Скачать индивидуальный QR-код магазина</v>
      </c>
    </row>
    <row r="7036" spans="1:7" x14ac:dyDescent="0.25">
      <c r="A7036" t="s">
        <v>18820</v>
      </c>
      <c r="B7036" t="s">
        <v>22655</v>
      </c>
      <c r="C7036" t="s">
        <v>713</v>
      </c>
      <c r="D7036" t="s">
        <v>714</v>
      </c>
      <c r="E7036" t="s">
        <v>715</v>
      </c>
      <c r="F7036" t="s">
        <v>22656</v>
      </c>
      <c r="G7036" s="2" t="str">
        <f>HYPERLINK("https://probpalata.gov.ru/files/ЮЛ770101216600645.jpeg","Скачать индивидуальный QR-код магазина")</f>
        <v>Скачать индивидуальный QR-код магазина</v>
      </c>
    </row>
    <row r="7037" spans="1:7" x14ac:dyDescent="0.25">
      <c r="A7037" t="s">
        <v>18820</v>
      </c>
      <c r="B7037" t="s">
        <v>22657</v>
      </c>
      <c r="C7037" t="s">
        <v>713</v>
      </c>
      <c r="D7037" t="s">
        <v>714</v>
      </c>
      <c r="E7037" t="s">
        <v>715</v>
      </c>
      <c r="F7037" t="s">
        <v>22658</v>
      </c>
      <c r="G7037" s="2" t="str">
        <f>HYPERLINK("https://probpalata.gov.ru/files/ЮЛ770101216600651.jpeg","Скачать индивидуальный QR-код магазина")</f>
        <v>Скачать индивидуальный QR-код магазина</v>
      </c>
    </row>
    <row r="7038" spans="1:7" x14ac:dyDescent="0.25">
      <c r="A7038" t="s">
        <v>18820</v>
      </c>
      <c r="B7038" t="s">
        <v>22659</v>
      </c>
      <c r="C7038" t="s">
        <v>713</v>
      </c>
      <c r="D7038" t="s">
        <v>714</v>
      </c>
      <c r="E7038" t="s">
        <v>715</v>
      </c>
      <c r="F7038" t="s">
        <v>22660</v>
      </c>
      <c r="G7038" s="2" t="str">
        <f>HYPERLINK("https://probpalata.gov.ru/files/ЮЛ770101216600662.jpeg","Скачать индивидуальный QR-код магазина")</f>
        <v>Скачать индивидуальный QR-код магазина</v>
      </c>
    </row>
    <row r="7039" spans="1:7" x14ac:dyDescent="0.25">
      <c r="A7039" t="s">
        <v>18820</v>
      </c>
      <c r="B7039" t="s">
        <v>22661</v>
      </c>
      <c r="C7039" t="s">
        <v>713</v>
      </c>
      <c r="D7039" t="s">
        <v>714</v>
      </c>
      <c r="E7039" t="s">
        <v>715</v>
      </c>
      <c r="F7039" t="s">
        <v>22662</v>
      </c>
      <c r="G7039" s="2" t="str">
        <f>HYPERLINK("https://probpalata.gov.ru/files/ЮЛ770101216600667.jpeg","Скачать индивидуальный QR-код магазина")</f>
        <v>Скачать индивидуальный QR-код магазина</v>
      </c>
    </row>
    <row r="7040" spans="1:7" x14ac:dyDescent="0.25">
      <c r="A7040" t="s">
        <v>18820</v>
      </c>
      <c r="B7040" t="s">
        <v>22663</v>
      </c>
      <c r="C7040" t="s">
        <v>713</v>
      </c>
      <c r="D7040" t="s">
        <v>714</v>
      </c>
      <c r="E7040" t="s">
        <v>715</v>
      </c>
      <c r="F7040" t="s">
        <v>22664</v>
      </c>
      <c r="G7040" s="2" t="str">
        <f>HYPERLINK("https://probpalata.gov.ru/files/ЮЛ770101216600689.jpeg","Скачать индивидуальный QR-код магазина")</f>
        <v>Скачать индивидуальный QR-код магазина</v>
      </c>
    </row>
    <row r="7041" spans="1:7" x14ac:dyDescent="0.25">
      <c r="A7041" t="s">
        <v>18820</v>
      </c>
      <c r="B7041" t="s">
        <v>22665</v>
      </c>
      <c r="C7041" t="s">
        <v>713</v>
      </c>
      <c r="D7041" t="s">
        <v>714</v>
      </c>
      <c r="E7041" t="s">
        <v>715</v>
      </c>
      <c r="F7041" t="s">
        <v>22666</v>
      </c>
      <c r="G7041" s="2" t="str">
        <f>HYPERLINK("https://probpalata.gov.ru/files/ЮЛ770101216600700.jpeg","Скачать индивидуальный QR-код магазина")</f>
        <v>Скачать индивидуальный QR-код магазина</v>
      </c>
    </row>
    <row r="7042" spans="1:7" x14ac:dyDescent="0.25">
      <c r="A7042" t="s">
        <v>18820</v>
      </c>
      <c r="B7042" t="s">
        <v>22667</v>
      </c>
      <c r="C7042" t="s">
        <v>713</v>
      </c>
      <c r="D7042" t="s">
        <v>714</v>
      </c>
      <c r="E7042" t="s">
        <v>715</v>
      </c>
      <c r="F7042" t="s">
        <v>22668</v>
      </c>
      <c r="G7042" s="2" t="str">
        <f>HYPERLINK("https://probpalata.gov.ru/files/ЮЛ770101216600704.jpeg","Скачать индивидуальный QR-код магазина")</f>
        <v>Скачать индивидуальный QR-код магазина</v>
      </c>
    </row>
    <row r="7043" spans="1:7" x14ac:dyDescent="0.25">
      <c r="A7043" t="s">
        <v>18820</v>
      </c>
      <c r="B7043" t="s">
        <v>22669</v>
      </c>
      <c r="C7043" t="s">
        <v>713</v>
      </c>
      <c r="D7043" t="s">
        <v>714</v>
      </c>
      <c r="E7043" t="s">
        <v>715</v>
      </c>
      <c r="F7043" t="s">
        <v>22670</v>
      </c>
      <c r="G7043" s="2" t="str">
        <f>HYPERLINK("https://probpalata.gov.ru/files/ЮЛ770101216600718.jpeg","Скачать индивидуальный QR-код магазина")</f>
        <v>Скачать индивидуальный QR-код магазина</v>
      </c>
    </row>
    <row r="7044" spans="1:7" x14ac:dyDescent="0.25">
      <c r="A7044" t="s">
        <v>18820</v>
      </c>
      <c r="B7044" t="s">
        <v>22671</v>
      </c>
      <c r="C7044" t="s">
        <v>713</v>
      </c>
      <c r="D7044" t="s">
        <v>714</v>
      </c>
      <c r="E7044" t="s">
        <v>715</v>
      </c>
      <c r="F7044" t="s">
        <v>22672</v>
      </c>
      <c r="G7044" s="2" t="str">
        <f>HYPERLINK("https://probpalata.gov.ru/files/ЮЛ770101216600736.jpeg","Скачать индивидуальный QR-код магазина")</f>
        <v>Скачать индивидуальный QR-код магазина</v>
      </c>
    </row>
    <row r="7045" spans="1:7" x14ac:dyDescent="0.25">
      <c r="A7045" t="s">
        <v>18820</v>
      </c>
      <c r="B7045" t="s">
        <v>22673</v>
      </c>
      <c r="C7045" t="s">
        <v>713</v>
      </c>
      <c r="D7045" t="s">
        <v>714</v>
      </c>
      <c r="E7045" t="s">
        <v>715</v>
      </c>
      <c r="F7045" t="s">
        <v>22674</v>
      </c>
      <c r="G7045" s="2" t="str">
        <f>HYPERLINK("https://probpalata.gov.ru/files/ЮЛ770101216600762.jpeg","Скачать индивидуальный QR-код магазина")</f>
        <v>Скачать индивидуальный QR-код магазина</v>
      </c>
    </row>
    <row r="7046" spans="1:7" x14ac:dyDescent="0.25">
      <c r="A7046" t="s">
        <v>18820</v>
      </c>
      <c r="B7046" t="s">
        <v>22675</v>
      </c>
      <c r="C7046" t="s">
        <v>713</v>
      </c>
      <c r="D7046" t="s">
        <v>714</v>
      </c>
      <c r="E7046" t="s">
        <v>715</v>
      </c>
      <c r="F7046" t="s">
        <v>22676</v>
      </c>
      <c r="G7046" s="2" t="str">
        <f>HYPERLINK("https://probpalata.gov.ru/files/ЮЛ770101216600789.jpeg","Скачать индивидуальный QR-код магазина")</f>
        <v>Скачать индивидуальный QR-код магазина</v>
      </c>
    </row>
    <row r="7047" spans="1:7" x14ac:dyDescent="0.25">
      <c r="A7047" t="s">
        <v>18820</v>
      </c>
      <c r="B7047" t="s">
        <v>22677</v>
      </c>
      <c r="C7047" t="s">
        <v>713</v>
      </c>
      <c r="D7047" t="s">
        <v>714</v>
      </c>
      <c r="E7047" t="s">
        <v>715</v>
      </c>
      <c r="F7047" t="s">
        <v>22678</v>
      </c>
      <c r="G7047" s="2" t="str">
        <f>HYPERLINK("https://probpalata.gov.ru/files/ЮЛ770101216600795.jpeg","Скачать индивидуальный QR-код магазина")</f>
        <v>Скачать индивидуальный QR-код магазина</v>
      </c>
    </row>
    <row r="7048" spans="1:7" x14ac:dyDescent="0.25">
      <c r="A7048" t="s">
        <v>18820</v>
      </c>
      <c r="B7048" t="s">
        <v>22679</v>
      </c>
      <c r="C7048" t="s">
        <v>713</v>
      </c>
      <c r="D7048" t="s">
        <v>714</v>
      </c>
      <c r="E7048" t="s">
        <v>715</v>
      </c>
      <c r="F7048" t="s">
        <v>22680</v>
      </c>
      <c r="G7048" s="2" t="str">
        <f>HYPERLINK("https://probpalata.gov.ru/files/ЮЛ770101216600815.jpeg","Скачать индивидуальный QR-код магазина")</f>
        <v>Скачать индивидуальный QR-код магазина</v>
      </c>
    </row>
    <row r="7049" spans="1:7" x14ac:dyDescent="0.25">
      <c r="A7049" t="s">
        <v>18820</v>
      </c>
      <c r="B7049" t="s">
        <v>22681</v>
      </c>
      <c r="C7049" t="s">
        <v>713</v>
      </c>
      <c r="D7049" t="s">
        <v>714</v>
      </c>
      <c r="E7049" t="s">
        <v>715</v>
      </c>
      <c r="F7049" t="s">
        <v>22682</v>
      </c>
      <c r="G7049" s="2" t="str">
        <f>HYPERLINK("https://probpalata.gov.ru/files/ЮЛ770101216600831.jpeg","Скачать индивидуальный QR-код магазина")</f>
        <v>Скачать индивидуальный QR-код магазина</v>
      </c>
    </row>
    <row r="7050" spans="1:7" x14ac:dyDescent="0.25">
      <c r="A7050" t="s">
        <v>18820</v>
      </c>
      <c r="B7050" t="s">
        <v>22683</v>
      </c>
      <c r="C7050" t="s">
        <v>713</v>
      </c>
      <c r="D7050" t="s">
        <v>714</v>
      </c>
      <c r="E7050" t="s">
        <v>715</v>
      </c>
      <c r="F7050" t="s">
        <v>22684</v>
      </c>
      <c r="G7050" s="2" t="str">
        <f>HYPERLINK("https://probpalata.gov.ru/files/ЮЛ770101216600832.jpeg","Скачать индивидуальный QR-код магазина")</f>
        <v>Скачать индивидуальный QR-код магазина</v>
      </c>
    </row>
    <row r="7051" spans="1:7" x14ac:dyDescent="0.25">
      <c r="A7051" t="s">
        <v>18820</v>
      </c>
      <c r="B7051" t="s">
        <v>22685</v>
      </c>
      <c r="C7051" t="s">
        <v>713</v>
      </c>
      <c r="D7051" t="s">
        <v>714</v>
      </c>
      <c r="E7051" t="s">
        <v>715</v>
      </c>
      <c r="F7051" t="s">
        <v>22686</v>
      </c>
      <c r="G7051" s="2" t="str">
        <f>HYPERLINK("https://probpalata.gov.ru/files/ЮЛ770101216600834.jpeg","Скачать индивидуальный QR-код магазина")</f>
        <v>Скачать индивидуальный QR-код магазина</v>
      </c>
    </row>
    <row r="7052" spans="1:7" x14ac:dyDescent="0.25">
      <c r="A7052" t="s">
        <v>18820</v>
      </c>
      <c r="B7052" t="s">
        <v>22687</v>
      </c>
      <c r="C7052" t="s">
        <v>713</v>
      </c>
      <c r="D7052" t="s">
        <v>714</v>
      </c>
      <c r="E7052" t="s">
        <v>715</v>
      </c>
      <c r="F7052" t="s">
        <v>22688</v>
      </c>
      <c r="G7052" s="2" t="str">
        <f>HYPERLINK("https://probpalata.gov.ru/files/ЮЛ770101216600835.jpeg","Скачать индивидуальный QR-код магазина")</f>
        <v>Скачать индивидуальный QR-код магазина</v>
      </c>
    </row>
    <row r="7053" spans="1:7" x14ac:dyDescent="0.25">
      <c r="A7053" t="s">
        <v>18820</v>
      </c>
      <c r="B7053" t="s">
        <v>22689</v>
      </c>
      <c r="C7053" t="s">
        <v>713</v>
      </c>
      <c r="D7053" t="s">
        <v>714</v>
      </c>
      <c r="E7053" t="s">
        <v>715</v>
      </c>
      <c r="F7053" t="s">
        <v>22690</v>
      </c>
      <c r="G7053" s="2" t="str">
        <f>HYPERLINK("https://probpalata.gov.ru/files/ЮЛ770101216600836.jpeg","Скачать индивидуальный QR-код магазина")</f>
        <v>Скачать индивидуальный QR-код магазина</v>
      </c>
    </row>
    <row r="7054" spans="1:7" x14ac:dyDescent="0.25">
      <c r="A7054" t="s">
        <v>18820</v>
      </c>
      <c r="B7054" t="s">
        <v>22691</v>
      </c>
      <c r="C7054" t="s">
        <v>713</v>
      </c>
      <c r="D7054" t="s">
        <v>714</v>
      </c>
      <c r="E7054" t="s">
        <v>715</v>
      </c>
      <c r="F7054" t="s">
        <v>22692</v>
      </c>
      <c r="G7054" s="2" t="str">
        <f>HYPERLINK("https://probpalata.gov.ru/files/ЮЛ770101216600848.jpeg","Скачать индивидуальный QR-код магазина")</f>
        <v>Скачать индивидуальный QR-код магазина</v>
      </c>
    </row>
    <row r="7055" spans="1:7" x14ac:dyDescent="0.25">
      <c r="A7055" t="s">
        <v>18820</v>
      </c>
      <c r="B7055" t="s">
        <v>22693</v>
      </c>
      <c r="C7055" t="s">
        <v>713</v>
      </c>
      <c r="D7055" t="s">
        <v>714</v>
      </c>
      <c r="E7055" t="s">
        <v>715</v>
      </c>
      <c r="F7055" t="s">
        <v>22694</v>
      </c>
      <c r="G7055" s="2" t="str">
        <f>HYPERLINK("https://probpalata.gov.ru/files/ЮЛ770101216600857.jpeg","Скачать индивидуальный QR-код магазина")</f>
        <v>Скачать индивидуальный QR-код магазина</v>
      </c>
    </row>
    <row r="7056" spans="1:7" x14ac:dyDescent="0.25">
      <c r="A7056" t="s">
        <v>18820</v>
      </c>
      <c r="B7056" t="s">
        <v>22695</v>
      </c>
      <c r="C7056" t="s">
        <v>713</v>
      </c>
      <c r="D7056" t="s">
        <v>714</v>
      </c>
      <c r="E7056" t="s">
        <v>715</v>
      </c>
      <c r="F7056" t="s">
        <v>22696</v>
      </c>
      <c r="G7056" s="2" t="str">
        <f>HYPERLINK("https://probpalata.gov.ru/files/ЮЛ770101216600863.jpeg","Скачать индивидуальный QR-код магазина")</f>
        <v>Скачать индивидуальный QR-код магазина</v>
      </c>
    </row>
    <row r="7057" spans="1:7" x14ac:dyDescent="0.25">
      <c r="A7057" t="s">
        <v>18820</v>
      </c>
      <c r="B7057" t="s">
        <v>22697</v>
      </c>
      <c r="C7057" t="s">
        <v>713</v>
      </c>
      <c r="D7057" t="s">
        <v>714</v>
      </c>
      <c r="E7057" t="s">
        <v>715</v>
      </c>
      <c r="F7057" t="s">
        <v>22698</v>
      </c>
      <c r="G7057" s="2" t="str">
        <f>HYPERLINK("https://probpalata.gov.ru/files/ЮЛ770101216600870.jpeg","Скачать индивидуальный QR-код магазина")</f>
        <v>Скачать индивидуальный QR-код магазина</v>
      </c>
    </row>
    <row r="7058" spans="1:7" x14ac:dyDescent="0.25">
      <c r="A7058" t="s">
        <v>18820</v>
      </c>
      <c r="B7058" t="s">
        <v>22699</v>
      </c>
      <c r="C7058" t="s">
        <v>713</v>
      </c>
      <c r="D7058" t="s">
        <v>714</v>
      </c>
      <c r="E7058" t="s">
        <v>715</v>
      </c>
      <c r="F7058" t="s">
        <v>22700</v>
      </c>
      <c r="G7058" s="2" t="str">
        <f>HYPERLINK("https://probpalata.gov.ru/files/ЮЛ770101216600873.jpeg","Скачать индивидуальный QR-код магазина")</f>
        <v>Скачать индивидуальный QR-код магазина</v>
      </c>
    </row>
    <row r="7059" spans="1:7" x14ac:dyDescent="0.25">
      <c r="A7059" t="s">
        <v>18820</v>
      </c>
      <c r="B7059" t="s">
        <v>22701</v>
      </c>
      <c r="C7059" t="s">
        <v>713</v>
      </c>
      <c r="D7059" t="s">
        <v>714</v>
      </c>
      <c r="E7059" t="s">
        <v>715</v>
      </c>
      <c r="F7059" t="s">
        <v>22702</v>
      </c>
      <c r="G7059" s="2" t="str">
        <f>HYPERLINK("https://probpalata.gov.ru/files/ЮЛ770101216600877.jpeg","Скачать индивидуальный QR-код магазина")</f>
        <v>Скачать индивидуальный QR-код магазина</v>
      </c>
    </row>
    <row r="7060" spans="1:7" x14ac:dyDescent="0.25">
      <c r="A7060" t="s">
        <v>18820</v>
      </c>
      <c r="B7060" t="s">
        <v>22703</v>
      </c>
      <c r="C7060" t="s">
        <v>713</v>
      </c>
      <c r="D7060" t="s">
        <v>714</v>
      </c>
      <c r="E7060" t="s">
        <v>715</v>
      </c>
      <c r="F7060" t="s">
        <v>22704</v>
      </c>
      <c r="G7060" s="2" t="str">
        <f>HYPERLINK("https://probpalata.gov.ru/files/ЮЛ770101216600900.jpeg","Скачать индивидуальный QR-код магазина")</f>
        <v>Скачать индивидуальный QR-код магазина</v>
      </c>
    </row>
    <row r="7061" spans="1:7" x14ac:dyDescent="0.25">
      <c r="A7061" t="s">
        <v>18820</v>
      </c>
      <c r="B7061" t="s">
        <v>22705</v>
      </c>
      <c r="C7061" t="s">
        <v>713</v>
      </c>
      <c r="D7061" t="s">
        <v>714</v>
      </c>
      <c r="E7061" t="s">
        <v>715</v>
      </c>
      <c r="F7061" t="s">
        <v>22706</v>
      </c>
      <c r="G7061" s="2" t="str">
        <f>HYPERLINK("https://probpalata.gov.ru/files/ЮЛ770101216600904.jpeg","Скачать индивидуальный QR-код магазина")</f>
        <v>Скачать индивидуальный QR-код магазина</v>
      </c>
    </row>
    <row r="7062" spans="1:7" x14ac:dyDescent="0.25">
      <c r="A7062" t="s">
        <v>18820</v>
      </c>
      <c r="B7062" t="s">
        <v>22707</v>
      </c>
      <c r="C7062" t="s">
        <v>713</v>
      </c>
      <c r="D7062" t="s">
        <v>714</v>
      </c>
      <c r="E7062" t="s">
        <v>715</v>
      </c>
      <c r="F7062" t="s">
        <v>22708</v>
      </c>
      <c r="G7062" s="2" t="str">
        <f>HYPERLINK("https://probpalata.gov.ru/files/ЮЛ770101216600905.jpeg","Скачать индивидуальный QR-код магазина")</f>
        <v>Скачать индивидуальный QR-код магазина</v>
      </c>
    </row>
    <row r="7063" spans="1:7" x14ac:dyDescent="0.25">
      <c r="A7063" t="s">
        <v>18820</v>
      </c>
      <c r="B7063" t="s">
        <v>22709</v>
      </c>
      <c r="C7063" t="s">
        <v>713</v>
      </c>
      <c r="D7063" t="s">
        <v>714</v>
      </c>
      <c r="E7063" t="s">
        <v>715</v>
      </c>
      <c r="F7063" t="s">
        <v>22710</v>
      </c>
      <c r="G7063" s="2" t="str">
        <f>HYPERLINK("https://probpalata.gov.ru/files/ЮЛ770101216600915.jpeg","Скачать индивидуальный QR-код магазина")</f>
        <v>Скачать индивидуальный QR-код магазина</v>
      </c>
    </row>
    <row r="7064" spans="1:7" x14ac:dyDescent="0.25">
      <c r="A7064" t="s">
        <v>18820</v>
      </c>
      <c r="B7064" t="s">
        <v>22711</v>
      </c>
      <c r="C7064" t="s">
        <v>713</v>
      </c>
      <c r="D7064" t="s">
        <v>714</v>
      </c>
      <c r="E7064" t="s">
        <v>715</v>
      </c>
      <c r="F7064" t="s">
        <v>22712</v>
      </c>
      <c r="G7064" s="2" t="str">
        <f>HYPERLINK("https://probpalata.gov.ru/files/ЮЛ770101216600932.jpeg","Скачать индивидуальный QR-код магазина")</f>
        <v>Скачать индивидуальный QR-код магазина</v>
      </c>
    </row>
    <row r="7065" spans="1:7" x14ac:dyDescent="0.25">
      <c r="A7065" t="s">
        <v>18820</v>
      </c>
      <c r="B7065" t="s">
        <v>22713</v>
      </c>
      <c r="C7065" t="s">
        <v>713</v>
      </c>
      <c r="D7065" t="s">
        <v>714</v>
      </c>
      <c r="E7065" t="s">
        <v>715</v>
      </c>
      <c r="F7065" t="s">
        <v>22714</v>
      </c>
      <c r="G7065" s="2" t="str">
        <f>HYPERLINK("https://probpalata.gov.ru/files/ЮЛ770101216600950.jpeg","Скачать индивидуальный QR-код магазина")</f>
        <v>Скачать индивидуальный QR-код магазина</v>
      </c>
    </row>
    <row r="7066" spans="1:7" x14ac:dyDescent="0.25">
      <c r="A7066" t="s">
        <v>18820</v>
      </c>
      <c r="B7066" t="s">
        <v>22715</v>
      </c>
      <c r="C7066" t="s">
        <v>713</v>
      </c>
      <c r="D7066" t="s">
        <v>714</v>
      </c>
      <c r="E7066" t="s">
        <v>715</v>
      </c>
      <c r="F7066" t="s">
        <v>22716</v>
      </c>
      <c r="G7066" s="2" t="str">
        <f>HYPERLINK("https://probpalata.gov.ru/files/ЮЛ770101216600967.jpeg","Скачать индивидуальный QR-код магазина")</f>
        <v>Скачать индивидуальный QR-код магазина</v>
      </c>
    </row>
    <row r="7067" spans="1:7" x14ac:dyDescent="0.25">
      <c r="A7067" t="s">
        <v>18820</v>
      </c>
      <c r="B7067" t="s">
        <v>22717</v>
      </c>
      <c r="C7067" t="s">
        <v>713</v>
      </c>
      <c r="D7067" t="s">
        <v>714</v>
      </c>
      <c r="E7067" t="s">
        <v>715</v>
      </c>
      <c r="F7067" t="s">
        <v>22718</v>
      </c>
      <c r="G7067" s="2" t="str">
        <f>HYPERLINK("https://probpalata.gov.ru/files/ЮЛ770101216600975.jpeg","Скачать индивидуальный QR-код магазина")</f>
        <v>Скачать индивидуальный QR-код магазина</v>
      </c>
    </row>
    <row r="7068" spans="1:7" x14ac:dyDescent="0.25">
      <c r="A7068" t="s">
        <v>18820</v>
      </c>
      <c r="B7068" t="s">
        <v>22719</v>
      </c>
      <c r="C7068" t="s">
        <v>713</v>
      </c>
      <c r="D7068" t="s">
        <v>714</v>
      </c>
      <c r="E7068" t="s">
        <v>715</v>
      </c>
      <c r="F7068" t="s">
        <v>22720</v>
      </c>
      <c r="G7068" s="2" t="str">
        <f>HYPERLINK("https://probpalata.gov.ru/files/ЮЛ770101216600981.jpeg","Скачать индивидуальный QR-код магазина")</f>
        <v>Скачать индивидуальный QR-код магазина</v>
      </c>
    </row>
    <row r="7069" spans="1:7" x14ac:dyDescent="0.25">
      <c r="A7069" t="s">
        <v>18820</v>
      </c>
      <c r="B7069" t="s">
        <v>22721</v>
      </c>
      <c r="C7069" t="s">
        <v>713</v>
      </c>
      <c r="D7069" t="s">
        <v>714</v>
      </c>
      <c r="E7069" t="s">
        <v>715</v>
      </c>
      <c r="F7069" t="s">
        <v>22722</v>
      </c>
      <c r="G7069" s="2" t="str">
        <f>HYPERLINK("https://probpalata.gov.ru/files/ЮЛ770101216600983.jpeg","Скачать индивидуальный QR-код магазина")</f>
        <v>Скачать индивидуальный QR-код магазина</v>
      </c>
    </row>
    <row r="7070" spans="1:7" x14ac:dyDescent="0.25">
      <c r="A7070" t="s">
        <v>18820</v>
      </c>
      <c r="B7070" t="s">
        <v>22723</v>
      </c>
      <c r="C7070" t="s">
        <v>713</v>
      </c>
      <c r="D7070" t="s">
        <v>714</v>
      </c>
      <c r="E7070" t="s">
        <v>715</v>
      </c>
      <c r="F7070" t="s">
        <v>22724</v>
      </c>
      <c r="G7070" s="2" t="str">
        <f>HYPERLINK("https://probpalata.gov.ru/files/ЮЛ770101216600984.jpeg","Скачать индивидуальный QR-код магазина")</f>
        <v>Скачать индивидуальный QR-код магазина</v>
      </c>
    </row>
    <row r="7071" spans="1:7" x14ac:dyDescent="0.25">
      <c r="A7071" t="s">
        <v>18820</v>
      </c>
      <c r="B7071" t="s">
        <v>22725</v>
      </c>
      <c r="C7071" t="s">
        <v>713</v>
      </c>
      <c r="D7071" t="s">
        <v>714</v>
      </c>
      <c r="E7071" t="s">
        <v>715</v>
      </c>
      <c r="F7071" t="s">
        <v>22726</v>
      </c>
      <c r="G7071" s="2" t="str">
        <f>HYPERLINK("https://probpalata.gov.ru/files/ЮЛ770101216600985.jpeg","Скачать индивидуальный QR-код магазина")</f>
        <v>Скачать индивидуальный QR-код магазина</v>
      </c>
    </row>
    <row r="7072" spans="1:7" x14ac:dyDescent="0.25">
      <c r="A7072" t="s">
        <v>18820</v>
      </c>
      <c r="B7072" t="s">
        <v>22727</v>
      </c>
      <c r="C7072" t="s">
        <v>713</v>
      </c>
      <c r="D7072" t="s">
        <v>714</v>
      </c>
      <c r="E7072" t="s">
        <v>715</v>
      </c>
      <c r="F7072" t="s">
        <v>22728</v>
      </c>
      <c r="G7072" s="2" t="str">
        <f>HYPERLINK("https://probpalata.gov.ru/files/ЮЛ770101216600990.jpeg","Скачать индивидуальный QR-код магазина")</f>
        <v>Скачать индивидуальный QR-код магазина</v>
      </c>
    </row>
    <row r="7073" spans="1:7" x14ac:dyDescent="0.25">
      <c r="A7073" t="s">
        <v>18820</v>
      </c>
      <c r="B7073" t="s">
        <v>22729</v>
      </c>
      <c r="C7073" t="s">
        <v>713</v>
      </c>
      <c r="D7073" t="s">
        <v>714</v>
      </c>
      <c r="E7073" t="s">
        <v>715</v>
      </c>
      <c r="F7073" t="s">
        <v>22730</v>
      </c>
      <c r="G7073" s="2" t="str">
        <f>HYPERLINK("https://probpalata.gov.ru/files/ЮЛ770101216600993.jpeg","Скачать индивидуальный QR-код магазина")</f>
        <v>Скачать индивидуальный QR-код магазина</v>
      </c>
    </row>
    <row r="7074" spans="1:7" x14ac:dyDescent="0.25">
      <c r="A7074" t="s">
        <v>18820</v>
      </c>
      <c r="B7074" t="s">
        <v>22731</v>
      </c>
      <c r="C7074" t="s">
        <v>713</v>
      </c>
      <c r="D7074" t="s">
        <v>714</v>
      </c>
      <c r="E7074" t="s">
        <v>715</v>
      </c>
      <c r="F7074" t="s">
        <v>22732</v>
      </c>
      <c r="G7074" s="2" t="str">
        <f>HYPERLINK("https://probpalata.gov.ru/files/ЮЛ770101216600995.jpeg","Скачать индивидуальный QR-код магазина")</f>
        <v>Скачать индивидуальный QR-код магазина</v>
      </c>
    </row>
    <row r="7075" spans="1:7" x14ac:dyDescent="0.25">
      <c r="A7075" t="s">
        <v>18820</v>
      </c>
      <c r="B7075" t="s">
        <v>22733</v>
      </c>
      <c r="C7075" t="s">
        <v>713</v>
      </c>
      <c r="D7075" t="s">
        <v>714</v>
      </c>
      <c r="E7075" t="s">
        <v>715</v>
      </c>
      <c r="F7075" t="s">
        <v>22734</v>
      </c>
      <c r="G7075" s="2" t="str">
        <f>HYPERLINK("https://probpalata.gov.ru/files/ЮЛ770101216600996.jpeg","Скачать индивидуальный QR-код магазина")</f>
        <v>Скачать индивидуальный QR-код магазина</v>
      </c>
    </row>
    <row r="7076" spans="1:7" x14ac:dyDescent="0.25">
      <c r="A7076" t="s">
        <v>18820</v>
      </c>
      <c r="B7076" t="s">
        <v>22735</v>
      </c>
      <c r="C7076" t="s">
        <v>713</v>
      </c>
      <c r="D7076" t="s">
        <v>714</v>
      </c>
      <c r="E7076" t="s">
        <v>715</v>
      </c>
      <c r="F7076" t="s">
        <v>22736</v>
      </c>
      <c r="G7076" s="2" t="str">
        <f>HYPERLINK("https://probpalata.gov.ru/files/ЮЛ770101216601003.jpeg","Скачать индивидуальный QR-код магазина")</f>
        <v>Скачать индивидуальный QR-код магазина</v>
      </c>
    </row>
    <row r="7077" spans="1:7" x14ac:dyDescent="0.25">
      <c r="A7077" t="s">
        <v>18820</v>
      </c>
      <c r="B7077" t="s">
        <v>22737</v>
      </c>
      <c r="C7077" t="s">
        <v>713</v>
      </c>
      <c r="D7077" t="s">
        <v>714</v>
      </c>
      <c r="E7077" t="s">
        <v>715</v>
      </c>
      <c r="F7077" t="s">
        <v>22738</v>
      </c>
      <c r="G7077" s="2" t="str">
        <f>HYPERLINK("https://probpalata.gov.ru/files/ЮЛ770101216601007.jpeg","Скачать индивидуальный QR-код магазина")</f>
        <v>Скачать индивидуальный QR-код магазина</v>
      </c>
    </row>
    <row r="7078" spans="1:7" x14ac:dyDescent="0.25">
      <c r="A7078" t="s">
        <v>18820</v>
      </c>
      <c r="B7078" t="s">
        <v>22739</v>
      </c>
      <c r="C7078" t="s">
        <v>713</v>
      </c>
      <c r="D7078" t="s">
        <v>714</v>
      </c>
      <c r="E7078" t="s">
        <v>715</v>
      </c>
      <c r="F7078" t="s">
        <v>22740</v>
      </c>
      <c r="G7078" s="2" t="str">
        <f>HYPERLINK("https://probpalata.gov.ru/files/ЮЛ770101216601010.jpeg","Скачать индивидуальный QR-код магазина")</f>
        <v>Скачать индивидуальный QR-код магазина</v>
      </c>
    </row>
    <row r="7079" spans="1:7" x14ac:dyDescent="0.25">
      <c r="A7079" t="s">
        <v>18820</v>
      </c>
      <c r="B7079" t="s">
        <v>22741</v>
      </c>
      <c r="C7079" t="s">
        <v>7727</v>
      </c>
      <c r="D7079" t="s">
        <v>7728</v>
      </c>
      <c r="E7079" t="s">
        <v>7729</v>
      </c>
      <c r="F7079" t="s">
        <v>22742</v>
      </c>
      <c r="G7079" s="2" t="str">
        <f>HYPERLINK("https://probpalata.gov.ru/files/ЮЛ770100167700000.jpeg","Скачать индивидуальный QR-код магазина")</f>
        <v>Скачать индивидуальный QR-код магазина</v>
      </c>
    </row>
    <row r="7080" spans="1:7" x14ac:dyDescent="0.25">
      <c r="A7080" t="s">
        <v>18820</v>
      </c>
      <c r="B7080" t="s">
        <v>22743</v>
      </c>
      <c r="C7080" t="s">
        <v>7727</v>
      </c>
      <c r="D7080" t="s">
        <v>7728</v>
      </c>
      <c r="E7080" t="s">
        <v>7729</v>
      </c>
      <c r="F7080" t="s">
        <v>22744</v>
      </c>
      <c r="G7080" s="2" t="str">
        <f>HYPERLINK("https://probpalata.gov.ru/files/ЮЛ770100167700004.jpeg","Скачать индивидуальный QR-код магазина")</f>
        <v>Скачать индивидуальный QR-код магазина</v>
      </c>
    </row>
    <row r="7081" spans="1:7" x14ac:dyDescent="0.25">
      <c r="A7081" t="s">
        <v>18820</v>
      </c>
      <c r="B7081" t="s">
        <v>22745</v>
      </c>
      <c r="C7081" t="s">
        <v>1745</v>
      </c>
      <c r="D7081" t="s">
        <v>22746</v>
      </c>
      <c r="E7081" t="s">
        <v>22747</v>
      </c>
      <c r="F7081" t="s">
        <v>22748</v>
      </c>
      <c r="G7081" s="2" t="str">
        <f>HYPERLINK("https://probpalata.gov.ru/files/ЮЛ770103145400001.jpeg","Скачать индивидуальный QR-код магазина")</f>
        <v>Скачать индивидуальный QR-код магазина</v>
      </c>
    </row>
    <row r="7082" spans="1:7" x14ac:dyDescent="0.25">
      <c r="A7082" t="s">
        <v>18820</v>
      </c>
      <c r="B7082" t="s">
        <v>22749</v>
      </c>
      <c r="C7082" t="s">
        <v>1745</v>
      </c>
      <c r="D7082" t="s">
        <v>22746</v>
      </c>
      <c r="E7082" t="s">
        <v>22747</v>
      </c>
      <c r="F7082" t="s">
        <v>22750</v>
      </c>
      <c r="G7082" s="2" t="str">
        <f>HYPERLINK("https://probpalata.gov.ru/files/ЮЛ770103145400002.jpeg","Скачать индивидуальный QR-код магазина")</f>
        <v>Скачать индивидуальный QR-код магазина</v>
      </c>
    </row>
    <row r="7083" spans="1:7" x14ac:dyDescent="0.25">
      <c r="A7083" t="s">
        <v>18820</v>
      </c>
      <c r="B7083" t="s">
        <v>22751</v>
      </c>
      <c r="C7083" t="s">
        <v>1745</v>
      </c>
      <c r="D7083" t="s">
        <v>22746</v>
      </c>
      <c r="E7083" t="s">
        <v>22747</v>
      </c>
      <c r="F7083" t="s">
        <v>22752</v>
      </c>
      <c r="G7083" s="2" t="str">
        <f>HYPERLINK("https://probpalata.gov.ru/files/ЮЛ770103145400006.jpeg","Скачать индивидуальный QR-код магазина")</f>
        <v>Скачать индивидуальный QR-код магазина</v>
      </c>
    </row>
    <row r="7084" spans="1:7" x14ac:dyDescent="0.25">
      <c r="A7084" t="s">
        <v>18820</v>
      </c>
      <c r="B7084" t="s">
        <v>22753</v>
      </c>
      <c r="C7084" t="s">
        <v>1745</v>
      </c>
      <c r="D7084" t="s">
        <v>22746</v>
      </c>
      <c r="E7084" t="s">
        <v>22747</v>
      </c>
      <c r="F7084" t="s">
        <v>22754</v>
      </c>
      <c r="G7084" s="2" t="str">
        <f>HYPERLINK("https://probpalata.gov.ru/files/ЮЛ770103145400008.jpeg","Скачать индивидуальный QR-код магазина")</f>
        <v>Скачать индивидуальный QR-код магазина</v>
      </c>
    </row>
    <row r="7085" spans="1:7" x14ac:dyDescent="0.25">
      <c r="A7085" t="s">
        <v>18820</v>
      </c>
      <c r="B7085" t="s">
        <v>22755</v>
      </c>
      <c r="C7085" t="s">
        <v>1745</v>
      </c>
      <c r="D7085" t="s">
        <v>22746</v>
      </c>
      <c r="E7085" t="s">
        <v>22747</v>
      </c>
      <c r="F7085" t="s">
        <v>22756</v>
      </c>
      <c r="G7085" s="2" t="str">
        <f>HYPERLINK("https://probpalata.gov.ru/files/ЮЛ770103145400010.jpeg","Скачать индивидуальный QR-код магазина")</f>
        <v>Скачать индивидуальный QR-код магазина</v>
      </c>
    </row>
    <row r="7086" spans="1:7" x14ac:dyDescent="0.25">
      <c r="A7086" t="s">
        <v>18820</v>
      </c>
      <c r="B7086" t="s">
        <v>22757</v>
      </c>
      <c r="C7086" t="s">
        <v>22758</v>
      </c>
      <c r="D7086" t="s">
        <v>22759</v>
      </c>
      <c r="E7086" t="s">
        <v>22760</v>
      </c>
      <c r="F7086" t="s">
        <v>22761</v>
      </c>
      <c r="G7086" s="2" t="str">
        <f>HYPERLINK("https://probpalata.gov.ru/files/ЮЛ770100112600000.jpeg","Скачать индивидуальный QR-код магазина")</f>
        <v>Скачать индивидуальный QR-код магазина</v>
      </c>
    </row>
    <row r="7087" spans="1:7" x14ac:dyDescent="0.25">
      <c r="A7087" t="s">
        <v>18820</v>
      </c>
      <c r="B7087" t="s">
        <v>22762</v>
      </c>
      <c r="C7087" t="s">
        <v>22763</v>
      </c>
      <c r="D7087" t="s">
        <v>22764</v>
      </c>
      <c r="E7087" t="s">
        <v>22765</v>
      </c>
      <c r="F7087" t="s">
        <v>22766</v>
      </c>
      <c r="G7087" s="2" t="str">
        <f>HYPERLINK("https://probpalata.gov.ru/files/ЮЛ770103390400000.jpeg","Скачать индивидуальный QR-код магазина")</f>
        <v>Скачать индивидуальный QR-код магазина</v>
      </c>
    </row>
    <row r="7088" spans="1:7" x14ac:dyDescent="0.25">
      <c r="A7088" t="s">
        <v>18820</v>
      </c>
      <c r="B7088" t="s">
        <v>22767</v>
      </c>
      <c r="C7088" t="s">
        <v>22768</v>
      </c>
      <c r="D7088" t="s">
        <v>22769</v>
      </c>
      <c r="E7088" t="s">
        <v>22770</v>
      </c>
      <c r="F7088" t="s">
        <v>22771</v>
      </c>
      <c r="G7088" s="2" t="str">
        <f>HYPERLINK("https://probpalata.gov.ru/files/ЮЛ770101181000000.jpeg","Скачать индивидуальный QR-код магазина")</f>
        <v>Скачать индивидуальный QR-код магазина</v>
      </c>
    </row>
    <row r="7089" spans="1:7" x14ac:dyDescent="0.25">
      <c r="A7089" t="s">
        <v>18820</v>
      </c>
      <c r="B7089" t="s">
        <v>22772</v>
      </c>
      <c r="C7089" t="s">
        <v>22768</v>
      </c>
      <c r="D7089" t="s">
        <v>22769</v>
      </c>
      <c r="E7089" t="s">
        <v>22770</v>
      </c>
      <c r="F7089" t="s">
        <v>22773</v>
      </c>
      <c r="G7089" s="2" t="str">
        <f>HYPERLINK("https://probpalata.gov.ru/files/ЮЛ770101181000001.jpeg","Скачать индивидуальный QR-код магазина")</f>
        <v>Скачать индивидуальный QR-код магазина</v>
      </c>
    </row>
    <row r="7090" spans="1:7" x14ac:dyDescent="0.25">
      <c r="A7090" t="s">
        <v>18820</v>
      </c>
      <c r="B7090" t="s">
        <v>22774</v>
      </c>
      <c r="C7090" t="s">
        <v>22775</v>
      </c>
      <c r="D7090" t="s">
        <v>22776</v>
      </c>
      <c r="E7090" t="s">
        <v>22777</v>
      </c>
      <c r="F7090" t="s">
        <v>22778</v>
      </c>
      <c r="G7090" s="2" t="str">
        <f>HYPERLINK("https://probpalata.gov.ru/files/ЮЛ770100201800000.jpeg","Скачать индивидуальный QR-код магазина")</f>
        <v>Скачать индивидуальный QR-код магазина</v>
      </c>
    </row>
    <row r="7091" spans="1:7" x14ac:dyDescent="0.25">
      <c r="A7091" t="s">
        <v>18820</v>
      </c>
      <c r="B7091" t="s">
        <v>22779</v>
      </c>
      <c r="C7091" t="s">
        <v>22780</v>
      </c>
      <c r="D7091" t="s">
        <v>22781</v>
      </c>
      <c r="E7091" t="s">
        <v>22782</v>
      </c>
      <c r="F7091" t="s">
        <v>22783</v>
      </c>
      <c r="G7091" s="2" t="str">
        <f>HYPERLINK("https://probpalata.gov.ru/files/ИП770100544100000.jpeg","Скачать индивидуальный QR-код магазина")</f>
        <v>Скачать индивидуальный QR-код магазина</v>
      </c>
    </row>
    <row r="7092" spans="1:7" x14ac:dyDescent="0.25">
      <c r="A7092" t="s">
        <v>18820</v>
      </c>
      <c r="B7092" t="s">
        <v>22784</v>
      </c>
      <c r="C7092" t="s">
        <v>22780</v>
      </c>
      <c r="D7092" t="s">
        <v>22781</v>
      </c>
      <c r="E7092" t="s">
        <v>22782</v>
      </c>
      <c r="F7092" t="s">
        <v>22785</v>
      </c>
      <c r="G7092" s="2" t="str">
        <f>HYPERLINK("https://probpalata.gov.ru/files/ИП770100544100002.jpeg","Скачать индивидуальный QR-код магазина")</f>
        <v>Скачать индивидуальный QR-код магазина</v>
      </c>
    </row>
    <row r="7093" spans="1:7" x14ac:dyDescent="0.25">
      <c r="A7093" t="s">
        <v>18820</v>
      </c>
      <c r="B7093" t="s">
        <v>22786</v>
      </c>
      <c r="C7093" t="s">
        <v>22787</v>
      </c>
      <c r="D7093" t="s">
        <v>22788</v>
      </c>
      <c r="E7093" t="s">
        <v>22789</v>
      </c>
      <c r="F7093" t="s">
        <v>22790</v>
      </c>
      <c r="G7093" s="2" t="str">
        <f>HYPERLINK("https://probpalata.gov.ru/files/ИП770103740700000.jpeg","Скачать индивидуальный QR-код магазина")</f>
        <v>Скачать индивидуальный QR-код магазина</v>
      </c>
    </row>
    <row r="7094" spans="1:7" x14ac:dyDescent="0.25">
      <c r="A7094" t="s">
        <v>18820</v>
      </c>
      <c r="B7094" t="s">
        <v>22791</v>
      </c>
      <c r="C7094" t="s">
        <v>22792</v>
      </c>
      <c r="D7094" t="s">
        <v>22793</v>
      </c>
      <c r="E7094" t="s">
        <v>22794</v>
      </c>
      <c r="F7094" t="s">
        <v>22795</v>
      </c>
      <c r="G7094" s="2" t="str">
        <f>HYPERLINK("https://probpalata.gov.ru/files/ИП770100642700000.jpeg","Скачать индивидуальный QR-код магазина")</f>
        <v>Скачать индивидуальный QR-код магазина</v>
      </c>
    </row>
    <row r="7095" spans="1:7" x14ac:dyDescent="0.25">
      <c r="A7095" t="s">
        <v>18820</v>
      </c>
      <c r="B7095" t="s">
        <v>22796</v>
      </c>
      <c r="C7095" t="s">
        <v>22797</v>
      </c>
      <c r="D7095" t="s">
        <v>22798</v>
      </c>
      <c r="E7095" t="s">
        <v>22799</v>
      </c>
      <c r="F7095" t="s">
        <v>22800</v>
      </c>
      <c r="G7095" s="2" t="str">
        <f>HYPERLINK("https://probpalata.gov.ru/files/ЮЛ770103803700000.jpeg","Скачать индивидуальный QR-код магазина")</f>
        <v>Скачать индивидуальный QR-код магазина</v>
      </c>
    </row>
    <row r="7096" spans="1:7" x14ac:dyDescent="0.25">
      <c r="A7096" t="s">
        <v>18820</v>
      </c>
      <c r="B7096" t="s">
        <v>22801</v>
      </c>
      <c r="C7096" t="s">
        <v>22802</v>
      </c>
      <c r="D7096" t="s">
        <v>22803</v>
      </c>
      <c r="E7096" t="s">
        <v>22804</v>
      </c>
      <c r="F7096" t="s">
        <v>22805</v>
      </c>
      <c r="G7096" s="2" t="str">
        <f>HYPERLINK("https://probpalata.gov.ru/files/ИП770101431400000.jpeg","Скачать индивидуальный QR-код магазина")</f>
        <v>Скачать индивидуальный QR-код магазина</v>
      </c>
    </row>
    <row r="7097" spans="1:7" x14ac:dyDescent="0.25">
      <c r="A7097" t="s">
        <v>18820</v>
      </c>
      <c r="B7097" t="s">
        <v>22806</v>
      </c>
      <c r="C7097" t="s">
        <v>22802</v>
      </c>
      <c r="D7097" t="s">
        <v>22803</v>
      </c>
      <c r="E7097" t="s">
        <v>22804</v>
      </c>
      <c r="F7097" t="s">
        <v>22807</v>
      </c>
      <c r="G7097" s="2" t="str">
        <f>HYPERLINK("https://probpalata.gov.ru/files/ИП770101431400002.jpeg","Скачать индивидуальный QR-код магазина")</f>
        <v>Скачать индивидуальный QR-код магазина</v>
      </c>
    </row>
    <row r="7098" spans="1:7" x14ac:dyDescent="0.25">
      <c r="A7098" t="s">
        <v>18820</v>
      </c>
      <c r="B7098" t="s">
        <v>22808</v>
      </c>
      <c r="C7098" t="s">
        <v>22809</v>
      </c>
      <c r="D7098" t="s">
        <v>22810</v>
      </c>
      <c r="E7098" t="s">
        <v>22811</v>
      </c>
      <c r="F7098" t="s">
        <v>22812</v>
      </c>
      <c r="G7098" s="2" t="str">
        <f>HYPERLINK("https://probpalata.gov.ru/files/ИП000100889200000.jpeg","Скачать индивидуальный QR-код магазина")</f>
        <v>Скачать индивидуальный QR-код магазина</v>
      </c>
    </row>
    <row r="7099" spans="1:7" x14ac:dyDescent="0.25">
      <c r="A7099" t="s">
        <v>18820</v>
      </c>
      <c r="B7099" t="s">
        <v>22813</v>
      </c>
      <c r="C7099" t="s">
        <v>22814</v>
      </c>
      <c r="D7099" t="s">
        <v>22815</v>
      </c>
      <c r="E7099" t="s">
        <v>22816</v>
      </c>
      <c r="F7099" t="s">
        <v>22817</v>
      </c>
      <c r="G7099" s="2" t="str">
        <f>HYPERLINK("https://probpalata.gov.ru/files/ИП770100354900000.jpeg","Скачать индивидуальный QR-код магазина")</f>
        <v>Скачать индивидуальный QR-код магазина</v>
      </c>
    </row>
    <row r="7100" spans="1:7" x14ac:dyDescent="0.25">
      <c r="A7100" t="s">
        <v>18820</v>
      </c>
      <c r="B7100" t="s">
        <v>22818</v>
      </c>
      <c r="C7100" t="s">
        <v>22814</v>
      </c>
      <c r="D7100" t="s">
        <v>22815</v>
      </c>
      <c r="E7100" t="s">
        <v>22816</v>
      </c>
      <c r="F7100" t="s">
        <v>22819</v>
      </c>
      <c r="G7100" s="2" t="str">
        <f>HYPERLINK("https://probpalata.gov.ru/files/ИП770100354900002.jpeg","Скачать индивидуальный QR-код магазина")</f>
        <v>Скачать индивидуальный QR-код магазина</v>
      </c>
    </row>
    <row r="7101" spans="1:7" x14ac:dyDescent="0.25">
      <c r="A7101" t="s">
        <v>18820</v>
      </c>
      <c r="B7101" t="s">
        <v>20100</v>
      </c>
      <c r="C7101" t="s">
        <v>22820</v>
      </c>
      <c r="D7101" t="s">
        <v>22821</v>
      </c>
      <c r="E7101" t="s">
        <v>22822</v>
      </c>
      <c r="F7101" t="s">
        <v>22823</v>
      </c>
      <c r="G7101" s="2" t="str">
        <f>HYPERLINK("https://probpalata.gov.ru/files/ИП770103449300000.jpeg","Скачать индивидуальный QR-код магазина")</f>
        <v>Скачать индивидуальный QR-код магазина</v>
      </c>
    </row>
    <row r="7102" spans="1:7" x14ac:dyDescent="0.25">
      <c r="A7102" t="s">
        <v>18820</v>
      </c>
      <c r="B7102" t="s">
        <v>22824</v>
      </c>
      <c r="C7102" t="s">
        <v>22820</v>
      </c>
      <c r="D7102" t="s">
        <v>22821</v>
      </c>
      <c r="E7102" t="s">
        <v>22822</v>
      </c>
      <c r="F7102" t="s">
        <v>22825</v>
      </c>
      <c r="G7102" s="2" t="str">
        <f>HYPERLINK("https://probpalata.gov.ru/files/ИП770103449300002.jpeg","Скачать индивидуальный QR-код магазина")</f>
        <v>Скачать индивидуальный QR-код магазина</v>
      </c>
    </row>
    <row r="7103" spans="1:7" x14ac:dyDescent="0.25">
      <c r="A7103" t="s">
        <v>18820</v>
      </c>
      <c r="B7103" t="s">
        <v>22826</v>
      </c>
      <c r="C7103" t="s">
        <v>22827</v>
      </c>
      <c r="D7103" t="s">
        <v>22828</v>
      </c>
      <c r="E7103" t="s">
        <v>22829</v>
      </c>
      <c r="F7103" t="s">
        <v>22830</v>
      </c>
      <c r="G7103" s="2" t="str">
        <f>HYPERLINK("https://probpalata.gov.ru/files/ИП770103833600000.jpeg","Скачать индивидуальный QR-код магазина")</f>
        <v>Скачать индивидуальный QR-код магазина</v>
      </c>
    </row>
    <row r="7104" spans="1:7" x14ac:dyDescent="0.25">
      <c r="A7104" t="s">
        <v>18820</v>
      </c>
      <c r="B7104" t="s">
        <v>22831</v>
      </c>
      <c r="C7104" t="s">
        <v>22832</v>
      </c>
      <c r="D7104" t="s">
        <v>22833</v>
      </c>
      <c r="E7104" t="s">
        <v>22834</v>
      </c>
      <c r="F7104" t="s">
        <v>22835</v>
      </c>
      <c r="G7104" s="2" t="str">
        <f>HYPERLINK("https://probpalata.gov.ru/files/ЮЛ770100511600001.jpeg","Скачать индивидуальный QR-код магазина")</f>
        <v>Скачать индивидуальный QR-код магазина</v>
      </c>
    </row>
    <row r="7105" spans="1:7" x14ac:dyDescent="0.25">
      <c r="A7105" t="s">
        <v>18820</v>
      </c>
      <c r="B7105" t="s">
        <v>22836</v>
      </c>
      <c r="C7105" t="s">
        <v>22837</v>
      </c>
      <c r="D7105" t="s">
        <v>22838</v>
      </c>
      <c r="E7105" t="s">
        <v>22839</v>
      </c>
      <c r="F7105" t="s">
        <v>22840</v>
      </c>
      <c r="G7105" s="2" t="str">
        <f>HYPERLINK("https://probpalata.gov.ru/files/ЮЛ770100324000000.jpeg","Скачать индивидуальный QR-код магазина")</f>
        <v>Скачать индивидуальный QR-код магазина</v>
      </c>
    </row>
    <row r="7106" spans="1:7" x14ac:dyDescent="0.25">
      <c r="A7106" t="s">
        <v>18820</v>
      </c>
      <c r="B7106" t="s">
        <v>22841</v>
      </c>
      <c r="C7106" t="s">
        <v>22842</v>
      </c>
      <c r="D7106" t="s">
        <v>22843</v>
      </c>
      <c r="E7106" t="s">
        <v>22844</v>
      </c>
      <c r="F7106" t="s">
        <v>22845</v>
      </c>
      <c r="G7106" s="2" t="str">
        <f>HYPERLINK("https://probpalata.gov.ru/files/ЮЛ770101333000000.jpeg","Скачать индивидуальный QR-код магазина")</f>
        <v>Скачать индивидуальный QR-код магазина</v>
      </c>
    </row>
    <row r="7107" spans="1:7" x14ac:dyDescent="0.25">
      <c r="A7107" t="s">
        <v>18820</v>
      </c>
      <c r="B7107" t="s">
        <v>22846</v>
      </c>
      <c r="C7107" t="s">
        <v>22847</v>
      </c>
      <c r="D7107" t="s">
        <v>22848</v>
      </c>
      <c r="E7107" t="s">
        <v>22849</v>
      </c>
      <c r="F7107" t="s">
        <v>22850</v>
      </c>
      <c r="G7107" s="2" t="str">
        <f>HYPERLINK("https://probpalata.gov.ru/files/ИП770104001300000.jpeg","Скачать индивидуальный QR-код магазина")</f>
        <v>Скачать индивидуальный QR-код магазина</v>
      </c>
    </row>
    <row r="7108" spans="1:7" x14ac:dyDescent="0.25">
      <c r="A7108" t="s">
        <v>18820</v>
      </c>
      <c r="B7108" t="s">
        <v>22851</v>
      </c>
      <c r="C7108" t="s">
        <v>22852</v>
      </c>
      <c r="D7108" t="s">
        <v>22853</v>
      </c>
      <c r="E7108" t="s">
        <v>22854</v>
      </c>
      <c r="F7108" t="s">
        <v>22855</v>
      </c>
      <c r="G7108" s="2" t="str">
        <f>HYPERLINK("https://probpalata.gov.ru/files/ЮЛ770100443400000.jpeg","Скачать индивидуальный QR-код магазина")</f>
        <v>Скачать индивидуальный QR-код магазина</v>
      </c>
    </row>
    <row r="7109" spans="1:7" x14ac:dyDescent="0.25">
      <c r="A7109" t="s">
        <v>18820</v>
      </c>
      <c r="B7109" t="s">
        <v>22856</v>
      </c>
      <c r="C7109" t="s">
        <v>22857</v>
      </c>
      <c r="D7109" t="s">
        <v>22858</v>
      </c>
      <c r="E7109" t="s">
        <v>22859</v>
      </c>
      <c r="F7109" t="s">
        <v>22860</v>
      </c>
      <c r="G7109" s="2" t="str">
        <f>HYPERLINK("https://probpalata.gov.ru/files/ИП770100322900000.jpeg","Скачать индивидуальный QR-код магазина")</f>
        <v>Скачать индивидуальный QR-код магазина</v>
      </c>
    </row>
    <row r="7110" spans="1:7" x14ac:dyDescent="0.25">
      <c r="A7110" t="s">
        <v>18820</v>
      </c>
      <c r="B7110" t="s">
        <v>22861</v>
      </c>
      <c r="C7110" t="s">
        <v>22857</v>
      </c>
      <c r="D7110" t="s">
        <v>22858</v>
      </c>
      <c r="E7110" t="s">
        <v>22859</v>
      </c>
      <c r="F7110" t="s">
        <v>22862</v>
      </c>
      <c r="G7110" s="2" t="str">
        <f>HYPERLINK("https://probpalata.gov.ru/files/ИП770100322900001.jpeg","Скачать индивидуальный QR-код магазина")</f>
        <v>Скачать индивидуальный QR-код магазина</v>
      </c>
    </row>
    <row r="7111" spans="1:7" x14ac:dyDescent="0.25">
      <c r="A7111" t="s">
        <v>18820</v>
      </c>
      <c r="B7111" t="s">
        <v>22863</v>
      </c>
      <c r="C7111" t="s">
        <v>22864</v>
      </c>
      <c r="D7111" t="s">
        <v>22865</v>
      </c>
      <c r="E7111" t="s">
        <v>22866</v>
      </c>
      <c r="F7111" t="s">
        <v>22867</v>
      </c>
      <c r="G7111" s="2" t="str">
        <f>HYPERLINK("https://probpalata.gov.ru/files/ИП770103474400000.jpeg","Скачать индивидуальный QR-код магазина")</f>
        <v>Скачать индивидуальный QR-код магазина</v>
      </c>
    </row>
    <row r="7112" spans="1:7" x14ac:dyDescent="0.25">
      <c r="A7112" t="s">
        <v>18820</v>
      </c>
      <c r="B7112" t="s">
        <v>22868</v>
      </c>
      <c r="C7112" t="s">
        <v>22869</v>
      </c>
      <c r="D7112" t="s">
        <v>22870</v>
      </c>
      <c r="E7112" t="s">
        <v>22871</v>
      </c>
      <c r="F7112" t="s">
        <v>22872</v>
      </c>
      <c r="G7112" s="2" t="str">
        <f>HYPERLINK("https://probpalata.gov.ru/files/ИП770101270300000.jpeg","Скачать индивидуальный QR-код магазина")</f>
        <v>Скачать индивидуальный QR-код магазина</v>
      </c>
    </row>
    <row r="7113" spans="1:7" x14ac:dyDescent="0.25">
      <c r="A7113" t="s">
        <v>18820</v>
      </c>
      <c r="B7113" t="s">
        <v>22873</v>
      </c>
      <c r="C7113" t="s">
        <v>22869</v>
      </c>
      <c r="D7113" t="s">
        <v>22870</v>
      </c>
      <c r="E7113" t="s">
        <v>22871</v>
      </c>
      <c r="F7113" t="s">
        <v>22874</v>
      </c>
      <c r="G7113" s="2" t="str">
        <f>HYPERLINK("https://probpalata.gov.ru/files/ИП770101270300001.jpeg","Скачать индивидуальный QR-код магазина")</f>
        <v>Скачать индивидуальный QR-код магазина</v>
      </c>
    </row>
    <row r="7114" spans="1:7" x14ac:dyDescent="0.25">
      <c r="A7114" t="s">
        <v>18820</v>
      </c>
      <c r="B7114" t="s">
        <v>22875</v>
      </c>
      <c r="C7114" t="s">
        <v>22876</v>
      </c>
      <c r="D7114" t="s">
        <v>22877</v>
      </c>
      <c r="E7114" t="s">
        <v>22878</v>
      </c>
      <c r="F7114" t="s">
        <v>22879</v>
      </c>
      <c r="G7114" s="2" t="str">
        <f>HYPERLINK("https://probpalata.gov.ru/files/ЮЛ770103458500000.jpeg","Скачать индивидуальный QR-код магазина")</f>
        <v>Скачать индивидуальный QR-код магазина</v>
      </c>
    </row>
    <row r="7115" spans="1:7" x14ac:dyDescent="0.25">
      <c r="A7115" t="s">
        <v>18820</v>
      </c>
      <c r="B7115" t="s">
        <v>22880</v>
      </c>
      <c r="C7115" t="s">
        <v>22881</v>
      </c>
      <c r="D7115" t="s">
        <v>22882</v>
      </c>
      <c r="E7115" t="s">
        <v>22883</v>
      </c>
      <c r="F7115" t="s">
        <v>22884</v>
      </c>
      <c r="G7115" s="2" t="str">
        <f>HYPERLINK("https://probpalata.gov.ru/files/ЮЛ770100587100000.jpeg","Скачать индивидуальный QR-код магазина")</f>
        <v>Скачать индивидуальный QR-код магазина</v>
      </c>
    </row>
    <row r="7116" spans="1:7" x14ac:dyDescent="0.25">
      <c r="A7116" t="s">
        <v>18820</v>
      </c>
      <c r="B7116" t="s">
        <v>22885</v>
      </c>
      <c r="C7116" t="s">
        <v>22886</v>
      </c>
      <c r="D7116" t="s">
        <v>22887</v>
      </c>
      <c r="E7116" t="s">
        <v>22888</v>
      </c>
      <c r="F7116" t="s">
        <v>22889</v>
      </c>
      <c r="G7116" s="2" t="str">
        <f>HYPERLINK("https://probpalata.gov.ru/files/ЮЛ770101531800000.jpeg","Скачать индивидуальный QR-код магазина")</f>
        <v>Скачать индивидуальный QR-код магазина</v>
      </c>
    </row>
    <row r="7117" spans="1:7" x14ac:dyDescent="0.25">
      <c r="A7117" t="s">
        <v>18820</v>
      </c>
      <c r="B7117" t="s">
        <v>22890</v>
      </c>
      <c r="C7117" t="s">
        <v>22886</v>
      </c>
      <c r="D7117" t="s">
        <v>22887</v>
      </c>
      <c r="E7117" t="s">
        <v>22888</v>
      </c>
      <c r="F7117" t="s">
        <v>22891</v>
      </c>
      <c r="G7117" s="2" t="str">
        <f>HYPERLINK("https://probpalata.gov.ru/files/ЮЛ770101531800001.jpeg","Скачать индивидуальный QR-код магазина")</f>
        <v>Скачать индивидуальный QR-код магазина</v>
      </c>
    </row>
    <row r="7118" spans="1:7" x14ac:dyDescent="0.25">
      <c r="A7118" t="s">
        <v>18820</v>
      </c>
      <c r="B7118" t="s">
        <v>22892</v>
      </c>
      <c r="C7118" t="s">
        <v>22893</v>
      </c>
      <c r="D7118" t="s">
        <v>22894</v>
      </c>
      <c r="E7118" t="s">
        <v>22895</v>
      </c>
      <c r="F7118" t="s">
        <v>22896</v>
      </c>
      <c r="G7118" s="2" t="str">
        <f>HYPERLINK("https://probpalata.gov.ru/files/ИП770100587300000.jpeg","Скачать индивидуальный QR-код магазина")</f>
        <v>Скачать индивидуальный QR-код магазина</v>
      </c>
    </row>
    <row r="7119" spans="1:7" x14ac:dyDescent="0.25">
      <c r="A7119" t="s">
        <v>18820</v>
      </c>
      <c r="B7119" t="s">
        <v>22897</v>
      </c>
      <c r="C7119" t="s">
        <v>22898</v>
      </c>
      <c r="D7119" t="s">
        <v>22899</v>
      </c>
      <c r="E7119" t="s">
        <v>22900</v>
      </c>
      <c r="F7119" t="s">
        <v>22901</v>
      </c>
      <c r="G7119" s="2" t="str">
        <f>HYPERLINK("https://probpalata.gov.ru/files/ЮЛ770100602800000.jpeg","Скачать индивидуальный QR-код магазина")</f>
        <v>Скачать индивидуальный QR-код магазина</v>
      </c>
    </row>
    <row r="7120" spans="1:7" x14ac:dyDescent="0.25">
      <c r="A7120" t="s">
        <v>18820</v>
      </c>
      <c r="B7120" t="s">
        <v>22902</v>
      </c>
      <c r="C7120" t="s">
        <v>22903</v>
      </c>
      <c r="D7120" t="s">
        <v>22904</v>
      </c>
      <c r="E7120" t="s">
        <v>22905</v>
      </c>
      <c r="F7120" t="s">
        <v>22906</v>
      </c>
      <c r="G7120" s="2" t="str">
        <f>HYPERLINK("https://probpalata.gov.ru/files/ЮЛ000100438500000.jpeg","Скачать индивидуальный QR-код магазина")</f>
        <v>Скачать индивидуальный QR-код магазина</v>
      </c>
    </row>
    <row r="7121" spans="1:7" x14ac:dyDescent="0.25">
      <c r="A7121" t="s">
        <v>18820</v>
      </c>
      <c r="B7121" t="s">
        <v>22907</v>
      </c>
      <c r="C7121" t="s">
        <v>22908</v>
      </c>
      <c r="D7121" t="s">
        <v>22909</v>
      </c>
      <c r="E7121" t="s">
        <v>22910</v>
      </c>
      <c r="F7121" t="s">
        <v>22911</v>
      </c>
      <c r="G7121" s="2" t="str">
        <f>HYPERLINK("https://probpalata.gov.ru/files/ИП770104008200000.jpeg","Скачать индивидуальный QR-код магазина")</f>
        <v>Скачать индивидуальный QR-код магазина</v>
      </c>
    </row>
    <row r="7122" spans="1:7" x14ac:dyDescent="0.25">
      <c r="A7122" t="s">
        <v>18820</v>
      </c>
      <c r="B7122" t="s">
        <v>22912</v>
      </c>
      <c r="C7122" t="s">
        <v>22913</v>
      </c>
      <c r="D7122" t="s">
        <v>22914</v>
      </c>
      <c r="E7122" t="s">
        <v>22915</v>
      </c>
      <c r="F7122" t="s">
        <v>22916</v>
      </c>
      <c r="G7122" s="2" t="str">
        <f>HYPERLINK("https://probpalata.gov.ru/files/ЮЛ770101306500000.jpeg","Скачать индивидуальный QR-код магазина")</f>
        <v>Скачать индивидуальный QR-код магазина</v>
      </c>
    </row>
    <row r="7123" spans="1:7" x14ac:dyDescent="0.25">
      <c r="A7123" t="s">
        <v>18820</v>
      </c>
      <c r="B7123" t="s">
        <v>22917</v>
      </c>
      <c r="C7123" t="s">
        <v>22918</v>
      </c>
      <c r="D7123" t="s">
        <v>22919</v>
      </c>
      <c r="E7123" t="s">
        <v>22920</v>
      </c>
      <c r="F7123" t="s">
        <v>22921</v>
      </c>
      <c r="G7123" s="2" t="str">
        <f>HYPERLINK("https://probpalata.gov.ru/files/ЮЛ770100699900000.jpeg","Скачать индивидуальный QR-код магазина")</f>
        <v>Скачать индивидуальный QR-код магазина</v>
      </c>
    </row>
    <row r="7124" spans="1:7" x14ac:dyDescent="0.25">
      <c r="A7124" t="s">
        <v>18820</v>
      </c>
      <c r="B7124" t="s">
        <v>22922</v>
      </c>
      <c r="C7124" t="s">
        <v>6274</v>
      </c>
      <c r="D7124" t="s">
        <v>22923</v>
      </c>
      <c r="E7124" t="s">
        <v>22924</v>
      </c>
      <c r="F7124" t="s">
        <v>22925</v>
      </c>
      <c r="G7124" s="2" t="str">
        <f>HYPERLINK("https://probpalata.gov.ru/files/ЮЛ770101323300000.jpeg","Скачать индивидуальный QR-код магазина")</f>
        <v>Скачать индивидуальный QR-код магазина</v>
      </c>
    </row>
    <row r="7125" spans="1:7" x14ac:dyDescent="0.25">
      <c r="A7125" t="s">
        <v>18820</v>
      </c>
      <c r="B7125" t="s">
        <v>22926</v>
      </c>
      <c r="C7125" t="s">
        <v>6274</v>
      </c>
      <c r="D7125" t="s">
        <v>22923</v>
      </c>
      <c r="E7125" t="s">
        <v>22924</v>
      </c>
      <c r="F7125" t="s">
        <v>22927</v>
      </c>
      <c r="G7125" s="2" t="str">
        <f>HYPERLINK("https://probpalata.gov.ru/files/ЮЛ770101323300002.jpeg","Скачать индивидуальный QR-код магазина")</f>
        <v>Скачать индивидуальный QR-код магазина</v>
      </c>
    </row>
    <row r="7126" spans="1:7" x14ac:dyDescent="0.25">
      <c r="A7126" t="s">
        <v>18820</v>
      </c>
      <c r="B7126" t="s">
        <v>22928</v>
      </c>
      <c r="C7126" t="s">
        <v>22929</v>
      </c>
      <c r="D7126" t="s">
        <v>22930</v>
      </c>
      <c r="E7126" t="s">
        <v>22931</v>
      </c>
      <c r="F7126" t="s">
        <v>22932</v>
      </c>
      <c r="G7126" s="2" t="str">
        <f>HYPERLINK("https://probpalata.gov.ru/files/ИП770101781500000.jpeg","Скачать индивидуальный QR-код магазина")</f>
        <v>Скачать индивидуальный QR-код магазина</v>
      </c>
    </row>
    <row r="7127" spans="1:7" x14ac:dyDescent="0.25">
      <c r="A7127" t="s">
        <v>18820</v>
      </c>
      <c r="B7127" t="s">
        <v>22933</v>
      </c>
      <c r="C7127" t="s">
        <v>22934</v>
      </c>
      <c r="D7127" t="s">
        <v>22935</v>
      </c>
      <c r="E7127" t="s">
        <v>22936</v>
      </c>
      <c r="F7127" t="s">
        <v>22937</v>
      </c>
      <c r="G7127" s="2" t="str">
        <f>HYPERLINK("https://probpalata.gov.ru/files/ИП770100620000000.jpeg","Скачать индивидуальный QR-код магазина")</f>
        <v>Скачать индивидуальный QR-код магазина</v>
      </c>
    </row>
    <row r="7128" spans="1:7" x14ac:dyDescent="0.25">
      <c r="A7128" t="s">
        <v>18820</v>
      </c>
      <c r="B7128" t="s">
        <v>22938</v>
      </c>
      <c r="C7128" t="s">
        <v>22939</v>
      </c>
      <c r="D7128" t="s">
        <v>22940</v>
      </c>
      <c r="E7128" t="s">
        <v>22941</v>
      </c>
      <c r="F7128" t="s">
        <v>22942</v>
      </c>
      <c r="G7128" s="2" t="str">
        <f>HYPERLINK("https://probpalata.gov.ru/files/ИП770100382500000.jpeg","Скачать индивидуальный QR-код магазина")</f>
        <v>Скачать индивидуальный QR-код магазина</v>
      </c>
    </row>
    <row r="7129" spans="1:7" x14ac:dyDescent="0.25">
      <c r="A7129" t="s">
        <v>18820</v>
      </c>
      <c r="B7129" t="s">
        <v>22943</v>
      </c>
      <c r="C7129" t="s">
        <v>22944</v>
      </c>
      <c r="D7129" t="s">
        <v>22945</v>
      </c>
      <c r="E7129" t="s">
        <v>22946</v>
      </c>
      <c r="F7129" t="s">
        <v>22947</v>
      </c>
      <c r="G7129" s="2" t="str">
        <f>HYPERLINK("https://probpalata.gov.ru/files/ИП770103657900000.jpeg","Скачать индивидуальный QR-код магазина")</f>
        <v>Скачать индивидуальный QR-код магазина</v>
      </c>
    </row>
    <row r="7130" spans="1:7" x14ac:dyDescent="0.25">
      <c r="A7130" t="s">
        <v>18820</v>
      </c>
      <c r="B7130" t="s">
        <v>22948</v>
      </c>
      <c r="C7130" t="s">
        <v>22949</v>
      </c>
      <c r="D7130" t="s">
        <v>22950</v>
      </c>
      <c r="E7130" t="s">
        <v>22951</v>
      </c>
      <c r="F7130" t="s">
        <v>22952</v>
      </c>
      <c r="G7130" s="2" t="str">
        <f>HYPERLINK("https://probpalata.gov.ru/files/ИП770103969000000.jpeg","Скачать индивидуальный QR-код магазина")</f>
        <v>Скачать индивидуальный QR-код магазина</v>
      </c>
    </row>
    <row r="7131" spans="1:7" x14ac:dyDescent="0.25">
      <c r="A7131" t="s">
        <v>18820</v>
      </c>
      <c r="B7131" t="s">
        <v>22953</v>
      </c>
      <c r="C7131" t="s">
        <v>22954</v>
      </c>
      <c r="D7131" t="s">
        <v>22955</v>
      </c>
      <c r="E7131" t="s">
        <v>22956</v>
      </c>
      <c r="F7131" t="s">
        <v>22957</v>
      </c>
      <c r="G7131" s="2" t="str">
        <f>HYPERLINK("https://probpalata.gov.ru/files/ИП770100601500000.jpeg","Скачать индивидуальный QR-код магазина")</f>
        <v>Скачать индивидуальный QR-код магазина</v>
      </c>
    </row>
    <row r="7132" spans="1:7" x14ac:dyDescent="0.25">
      <c r="A7132" t="s">
        <v>18820</v>
      </c>
      <c r="B7132" t="s">
        <v>22958</v>
      </c>
      <c r="C7132" t="s">
        <v>22959</v>
      </c>
      <c r="D7132" t="s">
        <v>22960</v>
      </c>
      <c r="E7132" t="s">
        <v>22961</v>
      </c>
      <c r="F7132" t="s">
        <v>22962</v>
      </c>
      <c r="G7132" s="2" t="str">
        <f>HYPERLINK("https://probpalata.gov.ru/files/ЮЛ770101526700000.jpeg","Скачать индивидуальный QR-код магазина")</f>
        <v>Скачать индивидуальный QR-код магазина</v>
      </c>
    </row>
    <row r="7133" spans="1:7" x14ac:dyDescent="0.25">
      <c r="A7133" t="s">
        <v>18820</v>
      </c>
      <c r="B7133" t="s">
        <v>22963</v>
      </c>
      <c r="C7133" t="s">
        <v>22964</v>
      </c>
      <c r="D7133" t="s">
        <v>22965</v>
      </c>
      <c r="E7133" t="s">
        <v>22966</v>
      </c>
      <c r="F7133" t="s">
        <v>22967</v>
      </c>
      <c r="G7133" s="2" t="str">
        <f>HYPERLINK("https://probpalata.gov.ru/files/ЮЛ770101271400000.jpeg","Скачать индивидуальный QR-код магазина")</f>
        <v>Скачать индивидуальный QR-код магазина</v>
      </c>
    </row>
    <row r="7134" spans="1:7" x14ac:dyDescent="0.25">
      <c r="A7134" t="s">
        <v>18820</v>
      </c>
      <c r="B7134" t="s">
        <v>22968</v>
      </c>
      <c r="C7134" t="s">
        <v>22969</v>
      </c>
      <c r="D7134" t="s">
        <v>22970</v>
      </c>
      <c r="E7134" t="s">
        <v>22971</v>
      </c>
      <c r="F7134" t="s">
        <v>22972</v>
      </c>
      <c r="G7134" s="2" t="str">
        <f>HYPERLINK("https://probpalata.gov.ru/files/ЮЛ770100650000000.jpeg","Скачать индивидуальный QR-код магазина")</f>
        <v>Скачать индивидуальный QR-код магазина</v>
      </c>
    </row>
    <row r="7135" spans="1:7" x14ac:dyDescent="0.25">
      <c r="A7135" t="s">
        <v>18820</v>
      </c>
      <c r="B7135" t="s">
        <v>22973</v>
      </c>
      <c r="C7135" t="s">
        <v>22974</v>
      </c>
      <c r="D7135" t="s">
        <v>22975</v>
      </c>
      <c r="E7135" t="s">
        <v>22976</v>
      </c>
      <c r="F7135" t="s">
        <v>22977</v>
      </c>
      <c r="G7135" s="2" t="str">
        <f>HYPERLINK("https://probpalata.gov.ru/files/ЮЛ770101732500000.jpeg","Скачать индивидуальный QR-код магазина")</f>
        <v>Скачать индивидуальный QR-код магазина</v>
      </c>
    </row>
    <row r="7136" spans="1:7" x14ac:dyDescent="0.25">
      <c r="A7136" t="s">
        <v>18820</v>
      </c>
      <c r="B7136" t="s">
        <v>22978</v>
      </c>
      <c r="C7136" t="s">
        <v>21115</v>
      </c>
      <c r="D7136" t="s">
        <v>22979</v>
      </c>
      <c r="E7136" t="s">
        <v>22980</v>
      </c>
      <c r="F7136" t="s">
        <v>22981</v>
      </c>
      <c r="G7136" s="2" t="str">
        <f>HYPERLINK("https://probpalata.gov.ru/files/ЮЛ770101307000000.jpeg","Скачать индивидуальный QR-код магазина")</f>
        <v>Скачать индивидуальный QR-код магазина</v>
      </c>
    </row>
    <row r="7137" spans="1:7" x14ac:dyDescent="0.25">
      <c r="A7137" t="s">
        <v>18820</v>
      </c>
      <c r="B7137" t="s">
        <v>22982</v>
      </c>
      <c r="C7137" t="s">
        <v>22983</v>
      </c>
      <c r="D7137" t="s">
        <v>22984</v>
      </c>
      <c r="E7137" t="s">
        <v>22985</v>
      </c>
      <c r="F7137" t="s">
        <v>22986</v>
      </c>
      <c r="G7137" s="2" t="str">
        <f>HYPERLINK("https://probpalata.gov.ru/files/ЮЛ770101488600000.jpeg","Скачать индивидуальный QR-код магазина")</f>
        <v>Скачать индивидуальный QR-код магазина</v>
      </c>
    </row>
    <row r="7138" spans="1:7" x14ac:dyDescent="0.25">
      <c r="A7138" t="s">
        <v>18820</v>
      </c>
      <c r="B7138" t="s">
        <v>22987</v>
      </c>
      <c r="C7138" t="s">
        <v>22988</v>
      </c>
      <c r="D7138" t="s">
        <v>22989</v>
      </c>
      <c r="E7138" t="s">
        <v>22990</v>
      </c>
      <c r="F7138" t="s">
        <v>22991</v>
      </c>
      <c r="G7138" s="2" t="str">
        <f>HYPERLINK("https://probpalata.gov.ru/files/ИП770103722200000.jpeg","Скачать индивидуальный QR-код магазина")</f>
        <v>Скачать индивидуальный QR-код магазина</v>
      </c>
    </row>
    <row r="7139" spans="1:7" x14ac:dyDescent="0.25">
      <c r="A7139" t="s">
        <v>18820</v>
      </c>
      <c r="B7139" t="s">
        <v>22992</v>
      </c>
      <c r="C7139" t="s">
        <v>22993</v>
      </c>
      <c r="D7139" t="s">
        <v>22994</v>
      </c>
      <c r="E7139" t="s">
        <v>22995</v>
      </c>
      <c r="F7139" t="s">
        <v>22996</v>
      </c>
      <c r="G7139" s="2" t="str">
        <f>HYPERLINK("https://probpalata.gov.ru/files/ЮЛ770101457300000.jpeg","Скачать индивидуальный QR-код магазина")</f>
        <v>Скачать индивидуальный QR-код магазина</v>
      </c>
    </row>
    <row r="7140" spans="1:7" x14ac:dyDescent="0.25">
      <c r="A7140" t="s">
        <v>18820</v>
      </c>
      <c r="B7140" t="s">
        <v>22997</v>
      </c>
      <c r="C7140" t="s">
        <v>22998</v>
      </c>
      <c r="D7140" t="s">
        <v>22999</v>
      </c>
      <c r="E7140" t="s">
        <v>23000</v>
      </c>
      <c r="F7140" t="s">
        <v>23001</v>
      </c>
      <c r="G7140" s="2" t="str">
        <f>HYPERLINK("https://probpalata.gov.ru/files/ИП770100525600000.jpeg","Скачать индивидуальный QR-код магазина")</f>
        <v>Скачать индивидуальный QR-код магазина</v>
      </c>
    </row>
    <row r="7141" spans="1:7" x14ac:dyDescent="0.25">
      <c r="A7141" t="s">
        <v>18820</v>
      </c>
      <c r="B7141" t="s">
        <v>23002</v>
      </c>
      <c r="C7141" t="s">
        <v>22998</v>
      </c>
      <c r="D7141" t="s">
        <v>22999</v>
      </c>
      <c r="E7141" t="s">
        <v>23000</v>
      </c>
      <c r="F7141" t="s">
        <v>23003</v>
      </c>
      <c r="G7141" s="2" t="str">
        <f>HYPERLINK("https://probpalata.gov.ru/files/ИП770100525600002.jpeg","Скачать индивидуальный QR-код магазина")</f>
        <v>Скачать индивидуальный QR-код магазина</v>
      </c>
    </row>
    <row r="7142" spans="1:7" x14ac:dyDescent="0.25">
      <c r="A7142" t="s">
        <v>18820</v>
      </c>
      <c r="B7142" t="s">
        <v>23004</v>
      </c>
      <c r="C7142" t="s">
        <v>23005</v>
      </c>
      <c r="D7142" t="s">
        <v>23006</v>
      </c>
      <c r="E7142" t="s">
        <v>23007</v>
      </c>
      <c r="F7142" t="s">
        <v>23008</v>
      </c>
      <c r="G7142" s="2" t="str">
        <f>HYPERLINK("https://probpalata.gov.ru/files/ЮЛ770101178700000.jpeg","Скачать индивидуальный QR-код магазина")</f>
        <v>Скачать индивидуальный QR-код магазина</v>
      </c>
    </row>
    <row r="7143" spans="1:7" x14ac:dyDescent="0.25">
      <c r="A7143" t="s">
        <v>18820</v>
      </c>
      <c r="B7143" t="s">
        <v>23009</v>
      </c>
      <c r="C7143" t="s">
        <v>23010</v>
      </c>
      <c r="D7143" t="s">
        <v>23011</v>
      </c>
      <c r="E7143" t="s">
        <v>23012</v>
      </c>
      <c r="F7143" t="s">
        <v>23013</v>
      </c>
      <c r="G7143" s="2" t="str">
        <f>HYPERLINK("https://probpalata.gov.ru/files/ИП770100901500000.jpeg","Скачать индивидуальный QR-код магазина")</f>
        <v>Скачать индивидуальный QR-код магазина</v>
      </c>
    </row>
    <row r="7144" spans="1:7" x14ac:dyDescent="0.25">
      <c r="A7144" t="s">
        <v>18820</v>
      </c>
      <c r="B7144" t="s">
        <v>23014</v>
      </c>
      <c r="C7144" t="s">
        <v>23015</v>
      </c>
      <c r="D7144" t="s">
        <v>23016</v>
      </c>
      <c r="E7144" t="s">
        <v>23017</v>
      </c>
      <c r="F7144" t="s">
        <v>23018</v>
      </c>
      <c r="G7144" s="2" t="str">
        <f>HYPERLINK("https://probpalata.gov.ru/files/ИП770103108600000.jpeg","Скачать индивидуальный QR-код магазина")</f>
        <v>Скачать индивидуальный QR-код магазина</v>
      </c>
    </row>
    <row r="7145" spans="1:7" x14ac:dyDescent="0.25">
      <c r="A7145" t="s">
        <v>18820</v>
      </c>
      <c r="B7145" t="s">
        <v>23019</v>
      </c>
      <c r="C7145" t="s">
        <v>23020</v>
      </c>
      <c r="D7145" t="s">
        <v>23021</v>
      </c>
      <c r="E7145" t="s">
        <v>23022</v>
      </c>
      <c r="F7145" t="s">
        <v>23023</v>
      </c>
      <c r="G7145" s="2" t="str">
        <f>HYPERLINK("https://probpalata.gov.ru/files/ИП770100700500000.jpeg","Скачать индивидуальный QR-код магазина")</f>
        <v>Скачать индивидуальный QR-код магазина</v>
      </c>
    </row>
    <row r="7146" spans="1:7" x14ac:dyDescent="0.25">
      <c r="A7146" t="s">
        <v>18820</v>
      </c>
      <c r="B7146" t="s">
        <v>23024</v>
      </c>
      <c r="C7146" t="s">
        <v>23025</v>
      </c>
      <c r="D7146" t="s">
        <v>23026</v>
      </c>
      <c r="E7146" t="s">
        <v>23027</v>
      </c>
      <c r="F7146" t="s">
        <v>23028</v>
      </c>
      <c r="G7146" s="2" t="str">
        <f>HYPERLINK("https://probpalata.gov.ru/files/ИП770101146800000.jpeg","Скачать индивидуальный QR-код магазина")</f>
        <v>Скачать индивидуальный QR-код магазина</v>
      </c>
    </row>
    <row r="7147" spans="1:7" x14ac:dyDescent="0.25">
      <c r="A7147" t="s">
        <v>18820</v>
      </c>
      <c r="B7147" t="s">
        <v>23029</v>
      </c>
      <c r="C7147" t="s">
        <v>23030</v>
      </c>
      <c r="D7147" t="s">
        <v>23031</v>
      </c>
      <c r="E7147" t="s">
        <v>23032</v>
      </c>
      <c r="F7147" t="s">
        <v>23033</v>
      </c>
      <c r="G7147" s="2" t="str">
        <f>HYPERLINK("https://probpalata.gov.ru/files/ИП770100699200000.jpeg","Скачать индивидуальный QR-код магазина")</f>
        <v>Скачать индивидуальный QR-код магазина</v>
      </c>
    </row>
    <row r="7148" spans="1:7" x14ac:dyDescent="0.25">
      <c r="A7148" t="s">
        <v>18820</v>
      </c>
      <c r="B7148" t="s">
        <v>23034</v>
      </c>
      <c r="C7148" t="s">
        <v>23035</v>
      </c>
      <c r="D7148" t="s">
        <v>23036</v>
      </c>
      <c r="E7148" t="s">
        <v>23037</v>
      </c>
      <c r="F7148" t="s">
        <v>23038</v>
      </c>
      <c r="G7148" s="2" t="str">
        <f>HYPERLINK("https://probpalata.gov.ru/files/ИП770100958800000.jpeg","Скачать индивидуальный QR-код магазина")</f>
        <v>Скачать индивидуальный QR-код магазина</v>
      </c>
    </row>
    <row r="7149" spans="1:7" x14ac:dyDescent="0.25">
      <c r="A7149" t="s">
        <v>18820</v>
      </c>
      <c r="B7149" t="s">
        <v>23039</v>
      </c>
      <c r="C7149" t="s">
        <v>23040</v>
      </c>
      <c r="D7149" t="s">
        <v>23041</v>
      </c>
      <c r="E7149" t="s">
        <v>23042</v>
      </c>
      <c r="F7149" t="s">
        <v>23043</v>
      </c>
      <c r="G7149" s="2" t="str">
        <f>HYPERLINK("https://probpalata.gov.ru/files/ЮЛ770101561500000.jpeg","Скачать индивидуальный QR-код магазина")</f>
        <v>Скачать индивидуальный QR-код магазина</v>
      </c>
    </row>
    <row r="7150" spans="1:7" x14ac:dyDescent="0.25">
      <c r="A7150" t="s">
        <v>18820</v>
      </c>
      <c r="B7150" t="s">
        <v>23044</v>
      </c>
      <c r="C7150" t="s">
        <v>23045</v>
      </c>
      <c r="D7150" t="s">
        <v>23046</v>
      </c>
      <c r="E7150" t="s">
        <v>23047</v>
      </c>
      <c r="F7150" t="s">
        <v>23048</v>
      </c>
      <c r="G7150" s="2" t="str">
        <f>HYPERLINK("https://probpalata.gov.ru/files/ИП770100521400000.jpeg","Скачать индивидуальный QR-код магазина")</f>
        <v>Скачать индивидуальный QR-код магазина</v>
      </c>
    </row>
    <row r="7151" spans="1:7" x14ac:dyDescent="0.25">
      <c r="A7151" t="s">
        <v>18820</v>
      </c>
      <c r="B7151" t="s">
        <v>23049</v>
      </c>
      <c r="C7151" t="s">
        <v>23050</v>
      </c>
      <c r="D7151" t="s">
        <v>23051</v>
      </c>
      <c r="E7151" t="s">
        <v>23052</v>
      </c>
      <c r="F7151" t="s">
        <v>23053</v>
      </c>
      <c r="G7151" s="2" t="str">
        <f>HYPERLINK("https://probpalata.gov.ru/files/ИП770103105200000.jpeg","Скачать индивидуальный QR-код магазина")</f>
        <v>Скачать индивидуальный QR-код магазина</v>
      </c>
    </row>
    <row r="7152" spans="1:7" x14ac:dyDescent="0.25">
      <c r="A7152" t="s">
        <v>18820</v>
      </c>
      <c r="B7152" t="s">
        <v>23054</v>
      </c>
      <c r="C7152" t="s">
        <v>19069</v>
      </c>
      <c r="D7152" t="s">
        <v>23055</v>
      </c>
      <c r="E7152" t="s">
        <v>23056</v>
      </c>
      <c r="F7152" t="s">
        <v>23057</v>
      </c>
      <c r="G7152" s="2" t="str">
        <f>HYPERLINK("https://probpalata.gov.ru/files/ЮЛ770103559200001.jpeg","Скачать индивидуальный QR-код магазина")</f>
        <v>Скачать индивидуальный QR-код магазина</v>
      </c>
    </row>
    <row r="7153" spans="1:7" x14ac:dyDescent="0.25">
      <c r="A7153" t="s">
        <v>18820</v>
      </c>
      <c r="B7153" t="s">
        <v>23058</v>
      </c>
      <c r="C7153" t="s">
        <v>23059</v>
      </c>
      <c r="D7153" t="s">
        <v>23060</v>
      </c>
      <c r="E7153" t="s">
        <v>23061</v>
      </c>
      <c r="F7153" t="s">
        <v>23062</v>
      </c>
      <c r="G7153" s="2" t="str">
        <f>HYPERLINK("https://probpalata.gov.ru/files/ЮЛ770103468000000.jpeg","Скачать индивидуальный QR-код магазина")</f>
        <v>Скачать индивидуальный QR-код магазина</v>
      </c>
    </row>
    <row r="7154" spans="1:7" x14ac:dyDescent="0.25">
      <c r="A7154" t="s">
        <v>18820</v>
      </c>
      <c r="B7154" t="s">
        <v>23063</v>
      </c>
      <c r="C7154" t="s">
        <v>23064</v>
      </c>
      <c r="D7154" t="s">
        <v>23065</v>
      </c>
      <c r="E7154" t="s">
        <v>23066</v>
      </c>
      <c r="F7154" t="s">
        <v>23067</v>
      </c>
      <c r="G7154" s="2" t="str">
        <f>HYPERLINK("https://probpalata.gov.ru/files/ИП770101323600000.jpeg","Скачать индивидуальный QR-код магазина")</f>
        <v>Скачать индивидуальный QR-код магазина</v>
      </c>
    </row>
    <row r="7155" spans="1:7" x14ac:dyDescent="0.25">
      <c r="A7155" t="s">
        <v>18820</v>
      </c>
      <c r="B7155" t="s">
        <v>23068</v>
      </c>
      <c r="C7155" t="s">
        <v>23069</v>
      </c>
      <c r="D7155" t="s">
        <v>23070</v>
      </c>
      <c r="E7155" t="s">
        <v>23071</v>
      </c>
      <c r="F7155" t="s">
        <v>23072</v>
      </c>
      <c r="G7155" s="2" t="str">
        <f>HYPERLINK("https://probpalata.gov.ru/files/ИП770101932200000.jpeg","Скачать индивидуальный QR-код магазина")</f>
        <v>Скачать индивидуальный QR-код магазина</v>
      </c>
    </row>
    <row r="7156" spans="1:7" x14ac:dyDescent="0.25">
      <c r="A7156" t="s">
        <v>18820</v>
      </c>
      <c r="B7156" t="s">
        <v>23073</v>
      </c>
      <c r="C7156" t="s">
        <v>23074</v>
      </c>
      <c r="D7156" t="s">
        <v>23075</v>
      </c>
      <c r="E7156" t="s">
        <v>23076</v>
      </c>
      <c r="F7156" t="s">
        <v>23077</v>
      </c>
      <c r="G7156" s="2" t="str">
        <f>HYPERLINK("https://probpalata.gov.ru/files/ИП770103905700000.jpeg","Скачать индивидуальный QR-код магазина")</f>
        <v>Скачать индивидуальный QR-код магазина</v>
      </c>
    </row>
    <row r="7157" spans="1:7" x14ac:dyDescent="0.25">
      <c r="A7157" t="s">
        <v>18820</v>
      </c>
      <c r="B7157" t="s">
        <v>23078</v>
      </c>
      <c r="C7157" t="s">
        <v>23079</v>
      </c>
      <c r="D7157" t="s">
        <v>23080</v>
      </c>
      <c r="E7157" t="s">
        <v>23081</v>
      </c>
      <c r="F7157" t="s">
        <v>23082</v>
      </c>
      <c r="G7157" s="2" t="str">
        <f>HYPERLINK("https://probpalata.gov.ru/files/ЮЛ770103736700000.jpeg","Скачать индивидуальный QR-код магазина")</f>
        <v>Скачать индивидуальный QR-код магазина</v>
      </c>
    </row>
    <row r="7158" spans="1:7" x14ac:dyDescent="0.25">
      <c r="A7158" t="s">
        <v>18820</v>
      </c>
      <c r="B7158" t="s">
        <v>23083</v>
      </c>
      <c r="C7158" t="s">
        <v>23084</v>
      </c>
      <c r="D7158" t="s">
        <v>23085</v>
      </c>
      <c r="E7158" t="s">
        <v>23086</v>
      </c>
      <c r="F7158" t="s">
        <v>23087</v>
      </c>
      <c r="G7158" s="2" t="str">
        <f>HYPERLINK("https://probpalata.gov.ru/files/ЮЛ770101463700000.jpeg","Скачать индивидуальный QR-код магазина")</f>
        <v>Скачать индивидуальный QR-код магазина</v>
      </c>
    </row>
    <row r="7159" spans="1:7" x14ac:dyDescent="0.25">
      <c r="A7159" t="s">
        <v>18820</v>
      </c>
      <c r="B7159" t="s">
        <v>23088</v>
      </c>
      <c r="C7159" t="s">
        <v>23089</v>
      </c>
      <c r="D7159" t="s">
        <v>23090</v>
      </c>
      <c r="E7159" t="s">
        <v>23091</v>
      </c>
      <c r="F7159" t="s">
        <v>23092</v>
      </c>
      <c r="G7159" s="2" t="str">
        <f>HYPERLINK("https://probpalata.gov.ru/files/ЮЛ770100065500000.jpeg","Скачать индивидуальный QR-код магазина")</f>
        <v>Скачать индивидуальный QR-код магазина</v>
      </c>
    </row>
    <row r="7160" spans="1:7" x14ac:dyDescent="0.25">
      <c r="A7160" t="s">
        <v>18820</v>
      </c>
      <c r="B7160" t="s">
        <v>23093</v>
      </c>
      <c r="C7160" t="s">
        <v>23094</v>
      </c>
      <c r="D7160" t="s">
        <v>23095</v>
      </c>
      <c r="E7160" t="s">
        <v>23096</v>
      </c>
      <c r="F7160" t="s">
        <v>23097</v>
      </c>
      <c r="G7160" s="2" t="str">
        <f>HYPERLINK("https://probpalata.gov.ru/files/ИП770101884100000.jpeg","Скачать индивидуальный QR-код магазина")</f>
        <v>Скачать индивидуальный QR-код магазина</v>
      </c>
    </row>
    <row r="7161" spans="1:7" x14ac:dyDescent="0.25">
      <c r="A7161" t="s">
        <v>18820</v>
      </c>
      <c r="B7161" t="s">
        <v>23098</v>
      </c>
      <c r="C7161" t="s">
        <v>23099</v>
      </c>
      <c r="D7161" t="s">
        <v>23100</v>
      </c>
      <c r="E7161" t="s">
        <v>23101</v>
      </c>
      <c r="F7161" t="s">
        <v>23102</v>
      </c>
      <c r="G7161" s="2" t="str">
        <f>HYPERLINK("https://probpalata.gov.ru/files/ИП770103707600000.jpeg","Скачать индивидуальный QR-код магазина")</f>
        <v>Скачать индивидуальный QR-код магазина</v>
      </c>
    </row>
    <row r="7162" spans="1:7" x14ac:dyDescent="0.25">
      <c r="A7162" t="s">
        <v>18820</v>
      </c>
      <c r="B7162" t="s">
        <v>23103</v>
      </c>
      <c r="C7162" t="s">
        <v>23104</v>
      </c>
      <c r="D7162" t="s">
        <v>23105</v>
      </c>
      <c r="E7162" t="s">
        <v>23106</v>
      </c>
      <c r="F7162" t="s">
        <v>23107</v>
      </c>
      <c r="G7162" s="2" t="str">
        <f>HYPERLINK("https://probpalata.gov.ru/files/ИП770100766500000.jpeg","Скачать индивидуальный QR-код магазина")</f>
        <v>Скачать индивидуальный QR-код магазина</v>
      </c>
    </row>
    <row r="7163" spans="1:7" x14ac:dyDescent="0.25">
      <c r="A7163" t="s">
        <v>18820</v>
      </c>
      <c r="B7163" t="s">
        <v>23108</v>
      </c>
      <c r="C7163" t="s">
        <v>23109</v>
      </c>
      <c r="D7163" t="s">
        <v>23110</v>
      </c>
      <c r="E7163" t="s">
        <v>23111</v>
      </c>
      <c r="F7163" t="s">
        <v>23112</v>
      </c>
      <c r="G7163" s="2" t="str">
        <f>HYPERLINK("https://probpalata.gov.ru/files/ИП770103048700000.jpeg","Скачать индивидуальный QR-код магазина")</f>
        <v>Скачать индивидуальный QR-код магазина</v>
      </c>
    </row>
    <row r="7164" spans="1:7" x14ac:dyDescent="0.25">
      <c r="A7164" t="s">
        <v>18820</v>
      </c>
      <c r="B7164" t="s">
        <v>23113</v>
      </c>
      <c r="C7164" t="s">
        <v>23114</v>
      </c>
      <c r="D7164" t="s">
        <v>23115</v>
      </c>
      <c r="E7164" t="s">
        <v>23116</v>
      </c>
      <c r="F7164" t="s">
        <v>23117</v>
      </c>
      <c r="G7164" s="2" t="str">
        <f>HYPERLINK("https://probpalata.gov.ru/files/ИП770100533000000.jpeg","Скачать индивидуальный QR-код магазина")</f>
        <v>Скачать индивидуальный QR-код магазина</v>
      </c>
    </row>
    <row r="7165" spans="1:7" x14ac:dyDescent="0.25">
      <c r="A7165" t="s">
        <v>18820</v>
      </c>
      <c r="B7165" t="s">
        <v>23118</v>
      </c>
      <c r="C7165" t="s">
        <v>23119</v>
      </c>
      <c r="D7165" t="s">
        <v>23120</v>
      </c>
      <c r="E7165" t="s">
        <v>23121</v>
      </c>
      <c r="F7165" t="s">
        <v>23122</v>
      </c>
      <c r="G7165" s="2" t="str">
        <f>HYPERLINK("https://probpalata.gov.ru/files/ИП770103294000000.jpeg","Скачать индивидуальный QR-код магазина")</f>
        <v>Скачать индивидуальный QR-код магазина</v>
      </c>
    </row>
    <row r="7166" spans="1:7" x14ac:dyDescent="0.25">
      <c r="A7166" t="s">
        <v>18820</v>
      </c>
      <c r="B7166" t="s">
        <v>23123</v>
      </c>
      <c r="C7166" t="s">
        <v>23124</v>
      </c>
      <c r="D7166" t="s">
        <v>23125</v>
      </c>
      <c r="E7166" t="s">
        <v>23126</v>
      </c>
      <c r="F7166" t="s">
        <v>23127</v>
      </c>
      <c r="G7166" s="2" t="str">
        <f>HYPERLINK("https://probpalata.gov.ru/files/ИП770100639800000.jpeg","Скачать индивидуальный QR-код магазина")</f>
        <v>Скачать индивидуальный QR-код магазина</v>
      </c>
    </row>
    <row r="7167" spans="1:7" x14ac:dyDescent="0.25">
      <c r="A7167" t="s">
        <v>18820</v>
      </c>
      <c r="B7167" t="s">
        <v>22863</v>
      </c>
      <c r="C7167" t="s">
        <v>23128</v>
      </c>
      <c r="D7167" t="s">
        <v>23129</v>
      </c>
      <c r="E7167" t="s">
        <v>23130</v>
      </c>
      <c r="F7167" t="s">
        <v>23131</v>
      </c>
      <c r="G7167" s="2" t="str">
        <f>HYPERLINK("https://probpalata.gov.ru/files/ИП770103415200000.jpeg","Скачать индивидуальный QR-код магазина")</f>
        <v>Скачать индивидуальный QR-код магазина</v>
      </c>
    </row>
    <row r="7168" spans="1:7" x14ac:dyDescent="0.25">
      <c r="A7168" t="s">
        <v>18820</v>
      </c>
      <c r="B7168" t="s">
        <v>23132</v>
      </c>
      <c r="C7168" t="s">
        <v>23133</v>
      </c>
      <c r="D7168" t="s">
        <v>23134</v>
      </c>
      <c r="E7168" t="s">
        <v>23135</v>
      </c>
      <c r="F7168" t="s">
        <v>23136</v>
      </c>
      <c r="G7168" s="2" t="str">
        <f>HYPERLINK("https://probpalata.gov.ru/files/ИП770101808800000.jpeg","Скачать индивидуальный QR-код магазина")</f>
        <v>Скачать индивидуальный QR-код магазина</v>
      </c>
    </row>
    <row r="7169" spans="1:7" x14ac:dyDescent="0.25">
      <c r="A7169" t="s">
        <v>18820</v>
      </c>
      <c r="B7169" t="s">
        <v>23137</v>
      </c>
      <c r="C7169" t="s">
        <v>23138</v>
      </c>
      <c r="D7169" t="s">
        <v>23139</v>
      </c>
      <c r="E7169" t="s">
        <v>23140</v>
      </c>
      <c r="F7169" t="s">
        <v>23141</v>
      </c>
      <c r="G7169" s="2" t="str">
        <f>HYPERLINK("https://probpalata.gov.ru/files/ИП770103886100000.jpeg","Скачать индивидуальный QR-код магазина")</f>
        <v>Скачать индивидуальный QR-код магазина</v>
      </c>
    </row>
    <row r="7170" spans="1:7" x14ac:dyDescent="0.25">
      <c r="A7170" t="s">
        <v>18820</v>
      </c>
      <c r="B7170" t="s">
        <v>23142</v>
      </c>
      <c r="C7170" t="s">
        <v>23143</v>
      </c>
      <c r="D7170" t="s">
        <v>23144</v>
      </c>
      <c r="E7170" t="s">
        <v>23145</v>
      </c>
      <c r="F7170" t="s">
        <v>23146</v>
      </c>
      <c r="G7170" s="2" t="str">
        <f>HYPERLINK("https://probpalata.gov.ru/files/ИП770101876500000.jpeg","Скачать индивидуальный QR-код магазина")</f>
        <v>Скачать индивидуальный QR-код магазина</v>
      </c>
    </row>
    <row r="7171" spans="1:7" x14ac:dyDescent="0.25">
      <c r="A7171" t="s">
        <v>18820</v>
      </c>
      <c r="B7171" t="s">
        <v>23147</v>
      </c>
      <c r="C7171" t="s">
        <v>23148</v>
      </c>
      <c r="D7171" t="s">
        <v>23149</v>
      </c>
      <c r="E7171" t="s">
        <v>23150</v>
      </c>
      <c r="F7171" t="s">
        <v>23151</v>
      </c>
      <c r="G7171" s="2" t="str">
        <f>HYPERLINK("https://probpalata.gov.ru/files/ИП770100528400000.jpeg","Скачать индивидуальный QR-код магазина")</f>
        <v>Скачать индивидуальный QR-код магазина</v>
      </c>
    </row>
    <row r="7172" spans="1:7" x14ac:dyDescent="0.25">
      <c r="A7172" t="s">
        <v>18820</v>
      </c>
      <c r="B7172" t="s">
        <v>23152</v>
      </c>
      <c r="C7172" t="s">
        <v>23148</v>
      </c>
      <c r="D7172" t="s">
        <v>23149</v>
      </c>
      <c r="E7172" t="s">
        <v>23150</v>
      </c>
      <c r="F7172" t="s">
        <v>23153</v>
      </c>
      <c r="G7172" s="2" t="str">
        <f>HYPERLINK("https://probpalata.gov.ru/files/ИП770100528400001.jpeg","Скачать индивидуальный QR-код магазина")</f>
        <v>Скачать индивидуальный QR-код магазина</v>
      </c>
    </row>
    <row r="7173" spans="1:7" x14ac:dyDescent="0.25">
      <c r="A7173" t="s">
        <v>18820</v>
      </c>
      <c r="B7173" t="s">
        <v>23154</v>
      </c>
      <c r="C7173" t="s">
        <v>23155</v>
      </c>
      <c r="D7173" t="s">
        <v>23156</v>
      </c>
      <c r="E7173" t="s">
        <v>23157</v>
      </c>
      <c r="F7173" t="s">
        <v>23158</v>
      </c>
      <c r="G7173" s="2" t="str">
        <f>HYPERLINK("https://probpalata.gov.ru/files/ИП770101270100000.jpeg","Скачать индивидуальный QR-код магазина")</f>
        <v>Скачать индивидуальный QR-код магазина</v>
      </c>
    </row>
    <row r="7174" spans="1:7" x14ac:dyDescent="0.25">
      <c r="A7174" t="s">
        <v>18820</v>
      </c>
      <c r="B7174" t="s">
        <v>23159</v>
      </c>
      <c r="C7174" t="s">
        <v>23160</v>
      </c>
      <c r="D7174" t="s">
        <v>23161</v>
      </c>
      <c r="E7174" t="s">
        <v>23162</v>
      </c>
      <c r="F7174" t="s">
        <v>23163</v>
      </c>
      <c r="G7174" s="2" t="str">
        <f>HYPERLINK("https://probpalata.gov.ru/files/ЮЛ770100866700000.jpeg","Скачать индивидуальный QR-код магазина")</f>
        <v>Скачать индивидуальный QR-код магазина</v>
      </c>
    </row>
    <row r="7175" spans="1:7" x14ac:dyDescent="0.25">
      <c r="A7175" t="s">
        <v>18820</v>
      </c>
      <c r="B7175" t="s">
        <v>23164</v>
      </c>
      <c r="C7175" t="s">
        <v>23165</v>
      </c>
      <c r="D7175" t="s">
        <v>23166</v>
      </c>
      <c r="E7175" t="s">
        <v>23167</v>
      </c>
      <c r="F7175" t="s">
        <v>23168</v>
      </c>
      <c r="G7175" s="2" t="str">
        <f>HYPERLINK("https://probpalata.gov.ru/files/ЮЛ770103303000000.jpeg","Скачать индивидуальный QR-код магазина")</f>
        <v>Скачать индивидуальный QR-код магазина</v>
      </c>
    </row>
    <row r="7176" spans="1:7" x14ac:dyDescent="0.25">
      <c r="A7176" t="s">
        <v>18820</v>
      </c>
      <c r="B7176" t="s">
        <v>23169</v>
      </c>
      <c r="C7176" t="s">
        <v>23170</v>
      </c>
      <c r="D7176" t="s">
        <v>23171</v>
      </c>
      <c r="E7176" t="s">
        <v>23172</v>
      </c>
      <c r="F7176" t="s">
        <v>23173</v>
      </c>
      <c r="G7176" s="2" t="str">
        <f>HYPERLINK("https://probpalata.gov.ru/files/ЮЛ770100644200000.jpeg","Скачать индивидуальный QR-код магазина")</f>
        <v>Скачать индивидуальный QR-код магазина</v>
      </c>
    </row>
    <row r="7177" spans="1:7" x14ac:dyDescent="0.25">
      <c r="A7177" t="s">
        <v>18820</v>
      </c>
      <c r="B7177" t="s">
        <v>23174</v>
      </c>
      <c r="C7177" t="s">
        <v>23175</v>
      </c>
      <c r="D7177" t="s">
        <v>23176</v>
      </c>
      <c r="E7177" t="s">
        <v>23177</v>
      </c>
      <c r="F7177" t="s">
        <v>23178</v>
      </c>
      <c r="G7177" s="2" t="str">
        <f>HYPERLINK("https://probpalata.gov.ru/files/ЮЛ770100065000000.jpeg","Скачать индивидуальный QR-код магазина")</f>
        <v>Скачать индивидуальный QR-код магазина</v>
      </c>
    </row>
    <row r="7178" spans="1:7" x14ac:dyDescent="0.25">
      <c r="A7178" t="s">
        <v>18820</v>
      </c>
      <c r="B7178" t="s">
        <v>23179</v>
      </c>
      <c r="C7178" t="s">
        <v>23180</v>
      </c>
      <c r="D7178" t="s">
        <v>23181</v>
      </c>
      <c r="E7178" t="s">
        <v>23182</v>
      </c>
      <c r="F7178" t="s">
        <v>23183</v>
      </c>
      <c r="G7178" s="2" t="str">
        <f>HYPERLINK("https://probpalata.gov.ru/files/ЮЛ770101114000000.jpeg","Скачать индивидуальный QR-код магазина")</f>
        <v>Скачать индивидуальный QR-код магазина</v>
      </c>
    </row>
    <row r="7179" spans="1:7" x14ac:dyDescent="0.25">
      <c r="A7179" t="s">
        <v>18820</v>
      </c>
      <c r="B7179" t="s">
        <v>23113</v>
      </c>
      <c r="C7179" t="s">
        <v>23184</v>
      </c>
      <c r="D7179" t="s">
        <v>23185</v>
      </c>
      <c r="E7179" t="s">
        <v>23186</v>
      </c>
      <c r="F7179" t="s">
        <v>23187</v>
      </c>
      <c r="G7179" s="2" t="str">
        <f>HYPERLINK("https://probpalata.gov.ru/files/ЮЛ770100516500000.jpeg","Скачать индивидуальный QR-код магазина")</f>
        <v>Скачать индивидуальный QR-код магазина</v>
      </c>
    </row>
    <row r="7180" spans="1:7" x14ac:dyDescent="0.25">
      <c r="A7180" t="s">
        <v>18820</v>
      </c>
      <c r="B7180" t="s">
        <v>23188</v>
      </c>
      <c r="C7180" t="s">
        <v>23189</v>
      </c>
      <c r="D7180" t="s">
        <v>23190</v>
      </c>
      <c r="E7180" t="s">
        <v>23191</v>
      </c>
      <c r="F7180" t="s">
        <v>23192</v>
      </c>
      <c r="G7180" s="2" t="str">
        <f>HYPERLINK("https://probpalata.gov.ru/files/ЮЛ770103522200000.jpeg","Скачать индивидуальный QR-код магазина")</f>
        <v>Скачать индивидуальный QR-код магазина</v>
      </c>
    </row>
    <row r="7181" spans="1:7" x14ac:dyDescent="0.25">
      <c r="A7181" t="s">
        <v>18820</v>
      </c>
      <c r="B7181" t="s">
        <v>23193</v>
      </c>
      <c r="C7181" t="s">
        <v>23194</v>
      </c>
      <c r="D7181" t="s">
        <v>23195</v>
      </c>
      <c r="E7181" t="s">
        <v>23196</v>
      </c>
      <c r="F7181" t="s">
        <v>23197</v>
      </c>
      <c r="G7181" s="2" t="str">
        <f>HYPERLINK("https://probpalata.gov.ru/files/ЮЛ770100099600000.jpeg","Скачать индивидуальный QR-код магазина")</f>
        <v>Скачать индивидуальный QR-код магазина</v>
      </c>
    </row>
    <row r="7182" spans="1:7" x14ac:dyDescent="0.25">
      <c r="A7182" t="s">
        <v>18820</v>
      </c>
      <c r="B7182" t="s">
        <v>23113</v>
      </c>
      <c r="C7182" t="s">
        <v>23198</v>
      </c>
      <c r="D7182" t="s">
        <v>23199</v>
      </c>
      <c r="E7182" t="s">
        <v>23200</v>
      </c>
      <c r="F7182" t="s">
        <v>23201</v>
      </c>
      <c r="G7182" s="2" t="str">
        <f>HYPERLINK("https://probpalata.gov.ru/files/ИП770100508200000.jpeg","Скачать индивидуальный QR-код магазина")</f>
        <v>Скачать индивидуальный QR-код магазина</v>
      </c>
    </row>
    <row r="7183" spans="1:7" x14ac:dyDescent="0.25">
      <c r="A7183" t="s">
        <v>18820</v>
      </c>
      <c r="B7183" t="s">
        <v>23202</v>
      </c>
      <c r="C7183" t="s">
        <v>23203</v>
      </c>
      <c r="D7183" t="s">
        <v>23204</v>
      </c>
      <c r="E7183" t="s">
        <v>23205</v>
      </c>
      <c r="F7183" t="s">
        <v>23206</v>
      </c>
      <c r="G7183" s="2" t="str">
        <f>HYPERLINK("https://probpalata.gov.ru/files/ИП770100399500000.jpeg","Скачать индивидуальный QR-код магазина")</f>
        <v>Скачать индивидуальный QR-код магазина</v>
      </c>
    </row>
    <row r="7184" spans="1:7" x14ac:dyDescent="0.25">
      <c r="A7184" t="s">
        <v>18820</v>
      </c>
      <c r="B7184" t="s">
        <v>23207</v>
      </c>
      <c r="C7184" t="s">
        <v>23203</v>
      </c>
      <c r="D7184" t="s">
        <v>23204</v>
      </c>
      <c r="E7184" t="s">
        <v>23205</v>
      </c>
      <c r="F7184" t="s">
        <v>23208</v>
      </c>
      <c r="G7184" s="2" t="str">
        <f>HYPERLINK("https://probpalata.gov.ru/files/ИП770100399500001.jpeg","Скачать индивидуальный QR-код магазина")</f>
        <v>Скачать индивидуальный QR-код магазина</v>
      </c>
    </row>
    <row r="7185" spans="1:7" x14ac:dyDescent="0.25">
      <c r="A7185" t="s">
        <v>18820</v>
      </c>
      <c r="B7185" t="s">
        <v>23209</v>
      </c>
      <c r="C7185" t="s">
        <v>23210</v>
      </c>
      <c r="D7185" t="s">
        <v>23211</v>
      </c>
      <c r="E7185" t="s">
        <v>23212</v>
      </c>
      <c r="F7185" t="s">
        <v>23213</v>
      </c>
      <c r="G7185" s="2" t="str">
        <f>HYPERLINK("https://probpalata.gov.ru/files/ИП770101078600000.jpeg","Скачать индивидуальный QR-код магазина")</f>
        <v>Скачать индивидуальный QR-код магазина</v>
      </c>
    </row>
    <row r="7186" spans="1:7" x14ac:dyDescent="0.25">
      <c r="A7186" t="s">
        <v>18820</v>
      </c>
      <c r="B7186" t="s">
        <v>23214</v>
      </c>
      <c r="C7186" t="s">
        <v>23215</v>
      </c>
      <c r="D7186" t="s">
        <v>23216</v>
      </c>
      <c r="E7186" t="s">
        <v>23217</v>
      </c>
      <c r="F7186" t="s">
        <v>23218</v>
      </c>
      <c r="G7186" s="2" t="str">
        <f>HYPERLINK("https://probpalata.gov.ru/files/ИП770100509900002.jpeg","Скачать индивидуальный QR-код магазина")</f>
        <v>Скачать индивидуальный QR-код магазина</v>
      </c>
    </row>
    <row r="7187" spans="1:7" x14ac:dyDescent="0.25">
      <c r="A7187" t="s">
        <v>18820</v>
      </c>
      <c r="B7187" t="s">
        <v>23219</v>
      </c>
      <c r="C7187" t="s">
        <v>23220</v>
      </c>
      <c r="D7187" t="s">
        <v>23221</v>
      </c>
      <c r="E7187" t="s">
        <v>23222</v>
      </c>
      <c r="F7187" t="s">
        <v>23223</v>
      </c>
      <c r="G7187" s="2" t="str">
        <f>HYPERLINK("https://probpalata.gov.ru/files/ЮЛ770103198300000.jpeg","Скачать индивидуальный QR-код магазина")</f>
        <v>Скачать индивидуальный QR-код магазина</v>
      </c>
    </row>
    <row r="7188" spans="1:7" x14ac:dyDescent="0.25">
      <c r="A7188" t="s">
        <v>18820</v>
      </c>
      <c r="B7188" t="s">
        <v>21518</v>
      </c>
      <c r="C7188" t="s">
        <v>23224</v>
      </c>
      <c r="D7188" t="s">
        <v>23225</v>
      </c>
      <c r="E7188" t="s">
        <v>23226</v>
      </c>
      <c r="F7188" t="s">
        <v>23227</v>
      </c>
      <c r="G7188" s="2" t="str">
        <f>HYPERLINK("https://probpalata.gov.ru/files/ЮЛ770100958200000.jpeg","Скачать индивидуальный QR-код магазина")</f>
        <v>Скачать индивидуальный QR-код магазина</v>
      </c>
    </row>
    <row r="7189" spans="1:7" x14ac:dyDescent="0.25">
      <c r="A7189" t="s">
        <v>18820</v>
      </c>
      <c r="B7189" t="s">
        <v>23228</v>
      </c>
      <c r="C7189" t="s">
        <v>15111</v>
      </c>
      <c r="D7189" t="s">
        <v>15112</v>
      </c>
      <c r="E7189" t="s">
        <v>15113</v>
      </c>
      <c r="F7189" t="s">
        <v>23229</v>
      </c>
      <c r="G7189" s="2" t="str">
        <f>HYPERLINK("https://probpalata.gov.ru/files/ЮЛ770101053400000.jpeg","Скачать индивидуальный QR-код магазина")</f>
        <v>Скачать индивидуальный QR-код магазина</v>
      </c>
    </row>
    <row r="7190" spans="1:7" x14ac:dyDescent="0.25">
      <c r="A7190" t="s">
        <v>18820</v>
      </c>
      <c r="B7190" t="s">
        <v>23230</v>
      </c>
      <c r="C7190" t="s">
        <v>15111</v>
      </c>
      <c r="D7190" t="s">
        <v>15112</v>
      </c>
      <c r="E7190" t="s">
        <v>15113</v>
      </c>
      <c r="F7190" t="s">
        <v>23231</v>
      </c>
      <c r="G7190" s="2" t="str">
        <f>HYPERLINK("https://probpalata.gov.ru/files/ЮЛ770101053400007.jpeg","Скачать индивидуальный QR-код магазина")</f>
        <v>Скачать индивидуальный QR-код магазина</v>
      </c>
    </row>
    <row r="7191" spans="1:7" x14ac:dyDescent="0.25">
      <c r="A7191" t="s">
        <v>18820</v>
      </c>
      <c r="B7191" t="s">
        <v>23232</v>
      </c>
      <c r="C7191" t="s">
        <v>23233</v>
      </c>
      <c r="D7191" t="s">
        <v>23234</v>
      </c>
      <c r="E7191" t="s">
        <v>23235</v>
      </c>
      <c r="F7191" t="s">
        <v>23236</v>
      </c>
      <c r="G7191" s="2" t="str">
        <f>HYPERLINK("https://probpalata.gov.ru/files/ЮЛ770101033200000.jpeg","Скачать индивидуальный QR-код магазина")</f>
        <v>Скачать индивидуальный QR-код магазина</v>
      </c>
    </row>
    <row r="7192" spans="1:7" x14ac:dyDescent="0.25">
      <c r="A7192" t="s">
        <v>18820</v>
      </c>
      <c r="B7192" t="s">
        <v>23237</v>
      </c>
      <c r="C7192" t="s">
        <v>23238</v>
      </c>
      <c r="D7192" t="s">
        <v>23239</v>
      </c>
      <c r="E7192" t="s">
        <v>23240</v>
      </c>
      <c r="F7192" t="s">
        <v>23241</v>
      </c>
      <c r="G7192" s="2" t="str">
        <f>HYPERLINK("https://probpalata.gov.ru/files/ЮЛ770101622900000.jpeg","Скачать индивидуальный QR-код магазина")</f>
        <v>Скачать индивидуальный QR-код магазина</v>
      </c>
    </row>
    <row r="7193" spans="1:7" x14ac:dyDescent="0.25">
      <c r="A7193" t="s">
        <v>18820</v>
      </c>
      <c r="B7193" t="s">
        <v>23242</v>
      </c>
      <c r="C7193" t="s">
        <v>23243</v>
      </c>
      <c r="D7193" t="s">
        <v>23244</v>
      </c>
      <c r="E7193" t="s">
        <v>23245</v>
      </c>
      <c r="F7193" t="s">
        <v>23246</v>
      </c>
      <c r="G7193" s="2" t="str">
        <f>HYPERLINK("https://probpalata.gov.ru/files/ЮЛ770100528300000.jpeg","Скачать индивидуальный QR-код магазина")</f>
        <v>Скачать индивидуальный QR-код магазина</v>
      </c>
    </row>
    <row r="7194" spans="1:7" x14ac:dyDescent="0.25">
      <c r="A7194" t="s">
        <v>18820</v>
      </c>
      <c r="B7194" t="s">
        <v>23247</v>
      </c>
      <c r="C7194" t="s">
        <v>23248</v>
      </c>
      <c r="D7194" t="s">
        <v>23249</v>
      </c>
      <c r="E7194" t="s">
        <v>23250</v>
      </c>
      <c r="F7194" t="s">
        <v>23251</v>
      </c>
      <c r="G7194" s="2" t="str">
        <f>HYPERLINK("https://probpalata.gov.ru/files/ЮЛ770101508500000.jpeg","Скачать индивидуальный QR-код магазина")</f>
        <v>Скачать индивидуальный QR-код магазина</v>
      </c>
    </row>
    <row r="7195" spans="1:7" x14ac:dyDescent="0.25">
      <c r="A7195" t="s">
        <v>18820</v>
      </c>
      <c r="B7195" t="s">
        <v>23252</v>
      </c>
      <c r="C7195" t="s">
        <v>23253</v>
      </c>
      <c r="D7195" t="s">
        <v>23254</v>
      </c>
      <c r="E7195" t="s">
        <v>23255</v>
      </c>
      <c r="F7195" t="s">
        <v>23256</v>
      </c>
      <c r="G7195" s="2" t="str">
        <f>HYPERLINK("https://probpalata.gov.ru/files/ЮЛ770100630300000.jpeg","Скачать индивидуальный QR-код магазина")</f>
        <v>Скачать индивидуальный QR-код магазина</v>
      </c>
    </row>
    <row r="7196" spans="1:7" x14ac:dyDescent="0.25">
      <c r="A7196" t="s">
        <v>18820</v>
      </c>
      <c r="B7196" t="s">
        <v>23257</v>
      </c>
      <c r="C7196" t="s">
        <v>23258</v>
      </c>
      <c r="D7196" t="s">
        <v>23259</v>
      </c>
      <c r="E7196" t="s">
        <v>23260</v>
      </c>
      <c r="F7196" t="s">
        <v>23261</v>
      </c>
      <c r="G7196" s="2" t="str">
        <f>HYPERLINK("https://probpalata.gov.ru/files/ЮЛ770101894600000.jpeg","Скачать индивидуальный QR-код магазина")</f>
        <v>Скачать индивидуальный QR-код магазина</v>
      </c>
    </row>
    <row r="7197" spans="1:7" x14ac:dyDescent="0.25">
      <c r="A7197" t="s">
        <v>18820</v>
      </c>
      <c r="B7197" t="s">
        <v>23262</v>
      </c>
      <c r="C7197" t="s">
        <v>23263</v>
      </c>
      <c r="D7197" t="s">
        <v>23264</v>
      </c>
      <c r="E7197" t="s">
        <v>23265</v>
      </c>
      <c r="F7197" t="s">
        <v>23266</v>
      </c>
      <c r="G7197" s="2" t="str">
        <f>HYPERLINK("https://probpalata.gov.ru/files/ЮЛ770100465500000.jpeg","Скачать индивидуальный QR-код магазина")</f>
        <v>Скачать индивидуальный QR-код магазина</v>
      </c>
    </row>
    <row r="7198" spans="1:7" x14ac:dyDescent="0.25">
      <c r="A7198" t="s">
        <v>18820</v>
      </c>
      <c r="B7198" t="s">
        <v>23267</v>
      </c>
      <c r="C7198" t="s">
        <v>23268</v>
      </c>
      <c r="D7198" t="s">
        <v>23269</v>
      </c>
      <c r="E7198" t="s">
        <v>23270</v>
      </c>
      <c r="F7198" t="s">
        <v>23271</v>
      </c>
      <c r="G7198" s="2" t="str">
        <f>HYPERLINK("https://probpalata.gov.ru/files/ЮЛ770103223900000.jpeg","Скачать индивидуальный QR-код магазина")</f>
        <v>Скачать индивидуальный QR-код магазина</v>
      </c>
    </row>
    <row r="7199" spans="1:7" x14ac:dyDescent="0.25">
      <c r="A7199" t="s">
        <v>18820</v>
      </c>
      <c r="B7199" t="s">
        <v>23272</v>
      </c>
      <c r="C7199" t="s">
        <v>23273</v>
      </c>
      <c r="D7199" t="s">
        <v>23274</v>
      </c>
      <c r="E7199" t="s">
        <v>23275</v>
      </c>
      <c r="F7199" t="s">
        <v>23276</v>
      </c>
      <c r="G7199" s="2" t="str">
        <f>HYPERLINK("https://probpalata.gov.ru/files/ЮЛ770101180200000.jpeg","Скачать индивидуальный QR-код магазина")</f>
        <v>Скачать индивидуальный QR-код магазина</v>
      </c>
    </row>
    <row r="7200" spans="1:7" x14ac:dyDescent="0.25">
      <c r="A7200" t="s">
        <v>18820</v>
      </c>
      <c r="B7200" t="s">
        <v>23277</v>
      </c>
      <c r="C7200" t="s">
        <v>23278</v>
      </c>
      <c r="D7200" t="s">
        <v>23279</v>
      </c>
      <c r="E7200" t="s">
        <v>23280</v>
      </c>
      <c r="F7200" t="s">
        <v>23281</v>
      </c>
      <c r="G7200" s="2" t="str">
        <f>HYPERLINK("https://probpalata.gov.ru/files/ИП770100897900000.jpeg","Скачать индивидуальный QR-код магазина")</f>
        <v>Скачать индивидуальный QR-код магазина</v>
      </c>
    </row>
    <row r="7201" spans="1:7" x14ac:dyDescent="0.25">
      <c r="A7201" t="s">
        <v>18820</v>
      </c>
      <c r="B7201" t="s">
        <v>23282</v>
      </c>
      <c r="C7201" t="s">
        <v>23283</v>
      </c>
      <c r="D7201" t="s">
        <v>23284</v>
      </c>
      <c r="E7201" t="s">
        <v>23285</v>
      </c>
      <c r="F7201" t="s">
        <v>23286</v>
      </c>
      <c r="G7201" s="2" t="str">
        <f>HYPERLINK("https://probpalata.gov.ru/files/ИП770100891600000.jpeg","Скачать индивидуальный QR-код магазина")</f>
        <v>Скачать индивидуальный QR-код магазина</v>
      </c>
    </row>
    <row r="7202" spans="1:7" x14ac:dyDescent="0.25">
      <c r="A7202" t="s">
        <v>18820</v>
      </c>
      <c r="B7202" t="s">
        <v>23287</v>
      </c>
      <c r="C7202" t="s">
        <v>23288</v>
      </c>
      <c r="D7202" t="s">
        <v>23289</v>
      </c>
      <c r="E7202" t="s">
        <v>23290</v>
      </c>
      <c r="F7202" t="s">
        <v>23291</v>
      </c>
      <c r="G7202" s="2" t="str">
        <f>HYPERLINK("https://probpalata.gov.ru/files/ИП770103083000000.jpeg","Скачать индивидуальный QR-код магазина")</f>
        <v>Скачать индивидуальный QR-код магазина</v>
      </c>
    </row>
    <row r="7203" spans="1:7" x14ac:dyDescent="0.25">
      <c r="A7203" t="s">
        <v>18820</v>
      </c>
      <c r="B7203" t="s">
        <v>23292</v>
      </c>
      <c r="C7203" t="s">
        <v>23293</v>
      </c>
      <c r="D7203" t="s">
        <v>23294</v>
      </c>
      <c r="E7203" t="s">
        <v>23295</v>
      </c>
      <c r="F7203" t="s">
        <v>23296</v>
      </c>
      <c r="G7203" s="2" t="str">
        <f>HYPERLINK("https://probpalata.gov.ru/files/ИП770100615900000.jpeg","Скачать индивидуальный QR-код магазина")</f>
        <v>Скачать индивидуальный QR-код магазина</v>
      </c>
    </row>
    <row r="7204" spans="1:7" x14ac:dyDescent="0.25">
      <c r="A7204" t="s">
        <v>18820</v>
      </c>
      <c r="B7204" t="s">
        <v>23297</v>
      </c>
      <c r="C7204" t="s">
        <v>23298</v>
      </c>
      <c r="D7204" t="s">
        <v>23299</v>
      </c>
      <c r="E7204" t="s">
        <v>23300</v>
      </c>
      <c r="F7204" t="s">
        <v>23301</v>
      </c>
      <c r="G7204" s="2" t="str">
        <f>HYPERLINK("https://probpalata.gov.ru/files/ЮЛ770103806200000.jpeg","Скачать индивидуальный QR-код магазина")</f>
        <v>Скачать индивидуальный QR-код магазина</v>
      </c>
    </row>
    <row r="7205" spans="1:7" x14ac:dyDescent="0.25">
      <c r="A7205" t="s">
        <v>18820</v>
      </c>
      <c r="B7205" t="s">
        <v>23302</v>
      </c>
      <c r="C7205" t="s">
        <v>23303</v>
      </c>
      <c r="D7205" t="s">
        <v>23304</v>
      </c>
      <c r="E7205" t="s">
        <v>23305</v>
      </c>
      <c r="F7205" t="s">
        <v>23306</v>
      </c>
      <c r="G7205" s="2" t="str">
        <f>HYPERLINK("https://probpalata.gov.ru/files/ИП770103937000000.jpeg","Скачать индивидуальный QR-код магазина")</f>
        <v>Скачать индивидуальный QR-код магазина</v>
      </c>
    </row>
    <row r="7206" spans="1:7" x14ac:dyDescent="0.25">
      <c r="A7206" t="s">
        <v>18820</v>
      </c>
      <c r="B7206" t="s">
        <v>23307</v>
      </c>
      <c r="C7206" t="s">
        <v>23308</v>
      </c>
      <c r="D7206" t="s">
        <v>23309</v>
      </c>
      <c r="E7206" t="s">
        <v>23310</v>
      </c>
      <c r="F7206" t="s">
        <v>23311</v>
      </c>
      <c r="G7206" s="2" t="str">
        <f>HYPERLINK("https://probpalata.gov.ru/files/ЮЛ770101721800000.jpeg","Скачать индивидуальный QR-код магазина")</f>
        <v>Скачать индивидуальный QR-код магазина</v>
      </c>
    </row>
    <row r="7207" spans="1:7" x14ac:dyDescent="0.25">
      <c r="A7207" t="s">
        <v>18820</v>
      </c>
      <c r="B7207" t="s">
        <v>23312</v>
      </c>
      <c r="C7207" t="s">
        <v>11670</v>
      </c>
      <c r="D7207" t="s">
        <v>23313</v>
      </c>
      <c r="E7207" t="s">
        <v>23314</v>
      </c>
      <c r="F7207" t="s">
        <v>23315</v>
      </c>
      <c r="G7207" s="2" t="str">
        <f>HYPERLINK("https://probpalata.gov.ru/files/ЮЛ770100355400000.jpeg","Скачать индивидуальный QR-код магазина")</f>
        <v>Скачать индивидуальный QR-код магазина</v>
      </c>
    </row>
    <row r="7208" spans="1:7" x14ac:dyDescent="0.25">
      <c r="A7208" t="s">
        <v>18820</v>
      </c>
      <c r="B7208" t="s">
        <v>23316</v>
      </c>
      <c r="C7208" t="s">
        <v>11670</v>
      </c>
      <c r="D7208" t="s">
        <v>23313</v>
      </c>
      <c r="E7208" t="s">
        <v>23314</v>
      </c>
      <c r="F7208" t="s">
        <v>23317</v>
      </c>
      <c r="G7208" s="2" t="str">
        <f>HYPERLINK("https://probpalata.gov.ru/files/ЮЛ770100355400001.jpeg","Скачать индивидуальный QR-код магазина")</f>
        <v>Скачать индивидуальный QR-код магазина</v>
      </c>
    </row>
    <row r="7209" spans="1:7" x14ac:dyDescent="0.25">
      <c r="A7209" t="s">
        <v>18820</v>
      </c>
      <c r="B7209" t="s">
        <v>23318</v>
      </c>
      <c r="C7209" t="s">
        <v>23319</v>
      </c>
      <c r="D7209" t="s">
        <v>23320</v>
      </c>
      <c r="E7209" t="s">
        <v>23321</v>
      </c>
      <c r="F7209" t="s">
        <v>23322</v>
      </c>
      <c r="G7209" s="2" t="str">
        <f>HYPERLINK("https://probpalata.gov.ru/files/ИП770100662900003.jpeg","Скачать индивидуальный QR-код магазина")</f>
        <v>Скачать индивидуальный QR-код магазина</v>
      </c>
    </row>
    <row r="7210" spans="1:7" x14ac:dyDescent="0.25">
      <c r="A7210" t="s">
        <v>18820</v>
      </c>
      <c r="B7210" t="s">
        <v>23323</v>
      </c>
      <c r="C7210" t="s">
        <v>23324</v>
      </c>
      <c r="D7210" t="s">
        <v>23325</v>
      </c>
      <c r="E7210" t="s">
        <v>23326</v>
      </c>
      <c r="F7210" t="s">
        <v>23327</v>
      </c>
      <c r="G7210" s="2" t="str">
        <f>HYPERLINK("https://probpalata.gov.ru/files/ИП770100893300001.jpeg","Скачать индивидуальный QR-код магазина")</f>
        <v>Скачать индивидуальный QR-код магазина</v>
      </c>
    </row>
    <row r="7211" spans="1:7" x14ac:dyDescent="0.25">
      <c r="A7211" t="s">
        <v>18820</v>
      </c>
      <c r="B7211" t="s">
        <v>23328</v>
      </c>
      <c r="C7211" t="s">
        <v>23329</v>
      </c>
      <c r="D7211" t="s">
        <v>23330</v>
      </c>
      <c r="E7211" t="s">
        <v>23331</v>
      </c>
      <c r="F7211" t="s">
        <v>23332</v>
      </c>
      <c r="G7211" s="2" t="str">
        <f>HYPERLINK("https://probpalata.gov.ru/files/ИП770100109800000.jpeg","Скачать индивидуальный QR-код магазина")</f>
        <v>Скачать индивидуальный QR-код магазина</v>
      </c>
    </row>
    <row r="7212" spans="1:7" x14ac:dyDescent="0.25">
      <c r="A7212" t="s">
        <v>18820</v>
      </c>
      <c r="B7212" t="s">
        <v>23333</v>
      </c>
      <c r="C7212" t="s">
        <v>15121</v>
      </c>
      <c r="D7212" t="s">
        <v>15122</v>
      </c>
      <c r="E7212" t="s">
        <v>15123</v>
      </c>
      <c r="F7212" t="s">
        <v>23334</v>
      </c>
      <c r="G7212" s="2" t="str">
        <f>HYPERLINK("https://probpalata.gov.ru/files/ЮЛ770101324600066.jpeg","Скачать индивидуальный QR-код магазина")</f>
        <v>Скачать индивидуальный QR-код магазина</v>
      </c>
    </row>
    <row r="7213" spans="1:7" x14ac:dyDescent="0.25">
      <c r="A7213" t="s">
        <v>18820</v>
      </c>
      <c r="B7213" t="s">
        <v>23335</v>
      </c>
      <c r="C7213" t="s">
        <v>15121</v>
      </c>
      <c r="D7213" t="s">
        <v>15122</v>
      </c>
      <c r="E7213" t="s">
        <v>15123</v>
      </c>
      <c r="F7213" t="s">
        <v>23336</v>
      </c>
      <c r="G7213" s="2" t="str">
        <f>HYPERLINK("https://probpalata.gov.ru/files/ЮЛ770101324600067.jpeg","Скачать индивидуальный QR-код магазина")</f>
        <v>Скачать индивидуальный QR-код магазина</v>
      </c>
    </row>
    <row r="7214" spans="1:7" x14ac:dyDescent="0.25">
      <c r="A7214" t="s">
        <v>18820</v>
      </c>
      <c r="B7214" t="s">
        <v>23337</v>
      </c>
      <c r="C7214" t="s">
        <v>15121</v>
      </c>
      <c r="D7214" t="s">
        <v>15122</v>
      </c>
      <c r="E7214" t="s">
        <v>15123</v>
      </c>
      <c r="F7214" t="s">
        <v>23338</v>
      </c>
      <c r="G7214" s="2" t="str">
        <f>HYPERLINK("https://probpalata.gov.ru/files/ЮЛ770101324600070.jpeg","Скачать индивидуальный QR-код магазина")</f>
        <v>Скачать индивидуальный QR-код магазина</v>
      </c>
    </row>
    <row r="7215" spans="1:7" x14ac:dyDescent="0.25">
      <c r="A7215" t="s">
        <v>18820</v>
      </c>
      <c r="B7215" t="s">
        <v>23339</v>
      </c>
      <c r="C7215" t="s">
        <v>15121</v>
      </c>
      <c r="D7215" t="s">
        <v>15122</v>
      </c>
      <c r="E7215" t="s">
        <v>15123</v>
      </c>
      <c r="F7215" t="s">
        <v>23340</v>
      </c>
      <c r="G7215" s="2" t="str">
        <f>HYPERLINK("https://probpalata.gov.ru/files/ЮЛ770101324600071.jpeg","Скачать индивидуальный QR-код магазина")</f>
        <v>Скачать индивидуальный QR-код магазина</v>
      </c>
    </row>
    <row r="7216" spans="1:7" x14ac:dyDescent="0.25">
      <c r="A7216" t="s">
        <v>18820</v>
      </c>
      <c r="B7216" t="s">
        <v>23341</v>
      </c>
      <c r="C7216" t="s">
        <v>15121</v>
      </c>
      <c r="D7216" t="s">
        <v>15122</v>
      </c>
      <c r="E7216" t="s">
        <v>15123</v>
      </c>
      <c r="F7216" t="s">
        <v>23342</v>
      </c>
      <c r="G7216" s="2" t="str">
        <f>HYPERLINK("https://probpalata.gov.ru/files/ЮЛ770101324600074.jpeg","Скачать индивидуальный QR-код магазина")</f>
        <v>Скачать индивидуальный QR-код магазина</v>
      </c>
    </row>
    <row r="7217" spans="1:7" x14ac:dyDescent="0.25">
      <c r="A7217" t="s">
        <v>18820</v>
      </c>
      <c r="B7217" t="s">
        <v>23343</v>
      </c>
      <c r="C7217" t="s">
        <v>15121</v>
      </c>
      <c r="D7217" t="s">
        <v>15122</v>
      </c>
      <c r="E7217" t="s">
        <v>15123</v>
      </c>
      <c r="F7217" t="s">
        <v>23344</v>
      </c>
      <c r="G7217" s="2" t="str">
        <f>HYPERLINK("https://probpalata.gov.ru/files/ЮЛ770101324600079.jpeg","Скачать индивидуальный QR-код магазина")</f>
        <v>Скачать индивидуальный QR-код магазина</v>
      </c>
    </row>
    <row r="7218" spans="1:7" x14ac:dyDescent="0.25">
      <c r="A7218" t="s">
        <v>18820</v>
      </c>
      <c r="B7218" t="s">
        <v>23345</v>
      </c>
      <c r="C7218" t="s">
        <v>15121</v>
      </c>
      <c r="D7218" t="s">
        <v>15122</v>
      </c>
      <c r="E7218" t="s">
        <v>15123</v>
      </c>
      <c r="F7218" t="s">
        <v>23346</v>
      </c>
      <c r="G7218" s="2" t="str">
        <f>HYPERLINK("https://probpalata.gov.ru/files/ЮЛ770101324600081.jpeg","Скачать индивидуальный QR-код магазина")</f>
        <v>Скачать индивидуальный QR-код магазина</v>
      </c>
    </row>
    <row r="7219" spans="1:7" x14ac:dyDescent="0.25">
      <c r="A7219" t="s">
        <v>18820</v>
      </c>
      <c r="B7219" t="s">
        <v>23347</v>
      </c>
      <c r="C7219" t="s">
        <v>15121</v>
      </c>
      <c r="D7219" t="s">
        <v>15122</v>
      </c>
      <c r="E7219" t="s">
        <v>15123</v>
      </c>
      <c r="F7219" t="s">
        <v>23348</v>
      </c>
      <c r="G7219" s="2" t="str">
        <f>HYPERLINK("https://probpalata.gov.ru/files/ЮЛ770101324600083.jpeg","Скачать индивидуальный QR-код магазина")</f>
        <v>Скачать индивидуальный QR-код магазина</v>
      </c>
    </row>
    <row r="7220" spans="1:7" x14ac:dyDescent="0.25">
      <c r="A7220" t="s">
        <v>18820</v>
      </c>
      <c r="B7220" t="s">
        <v>23349</v>
      </c>
      <c r="C7220" t="s">
        <v>23350</v>
      </c>
      <c r="D7220" t="s">
        <v>23351</v>
      </c>
      <c r="E7220" t="s">
        <v>23352</v>
      </c>
      <c r="F7220" t="s">
        <v>23353</v>
      </c>
      <c r="G7220" s="2" t="str">
        <f>HYPERLINK("https://probpalata.gov.ru/files/ИП230403783700000.jpeg","Скачать индивидуальный QR-код магазина")</f>
        <v>Скачать индивидуальный QR-код магазина</v>
      </c>
    </row>
    <row r="7221" spans="1:7" x14ac:dyDescent="0.25">
      <c r="A7221" t="s">
        <v>18820</v>
      </c>
      <c r="B7221" t="s">
        <v>23354</v>
      </c>
      <c r="C7221" t="s">
        <v>23355</v>
      </c>
      <c r="D7221" t="s">
        <v>23356</v>
      </c>
      <c r="E7221" t="s">
        <v>23357</v>
      </c>
      <c r="F7221" t="s">
        <v>23358</v>
      </c>
      <c r="G7221" s="2" t="str">
        <f>HYPERLINK("https://probpalata.gov.ru/files/ЮЛ770100446200000.jpeg","Скачать индивидуальный QR-код магазина")</f>
        <v>Скачать индивидуальный QR-код магазина</v>
      </c>
    </row>
    <row r="7222" spans="1:7" x14ac:dyDescent="0.25">
      <c r="A7222" t="s">
        <v>18820</v>
      </c>
      <c r="B7222" t="s">
        <v>23359</v>
      </c>
      <c r="C7222" t="s">
        <v>23360</v>
      </c>
      <c r="D7222" t="s">
        <v>23361</v>
      </c>
      <c r="E7222" t="s">
        <v>23362</v>
      </c>
      <c r="F7222" t="s">
        <v>23363</v>
      </c>
      <c r="G7222" s="2" t="str">
        <f>HYPERLINK("https://probpalata.gov.ru/files/ИП770104004100000.jpeg","Скачать индивидуальный QR-код магазина")</f>
        <v>Скачать индивидуальный QR-код магазина</v>
      </c>
    </row>
    <row r="7223" spans="1:7" x14ac:dyDescent="0.25">
      <c r="A7223" t="s">
        <v>18820</v>
      </c>
      <c r="B7223" t="s">
        <v>23364</v>
      </c>
      <c r="C7223" t="s">
        <v>23365</v>
      </c>
      <c r="D7223" t="s">
        <v>23366</v>
      </c>
      <c r="E7223" t="s">
        <v>23367</v>
      </c>
      <c r="F7223" t="s">
        <v>23368</v>
      </c>
      <c r="G7223" s="2" t="str">
        <f>HYPERLINK("https://probpalata.gov.ru/files/ИП770100223000000.jpeg","Скачать индивидуальный QR-код магазина")</f>
        <v>Скачать индивидуальный QR-код магазина</v>
      </c>
    </row>
    <row r="7224" spans="1:7" x14ac:dyDescent="0.25">
      <c r="A7224" t="s">
        <v>18820</v>
      </c>
      <c r="B7224" t="s">
        <v>23369</v>
      </c>
      <c r="C7224" t="s">
        <v>23370</v>
      </c>
      <c r="D7224" t="s">
        <v>23371</v>
      </c>
      <c r="E7224" t="s">
        <v>23372</v>
      </c>
      <c r="F7224" t="s">
        <v>23373</v>
      </c>
      <c r="G7224" s="2" t="str">
        <f>HYPERLINK("https://probpalata.gov.ru/files/ИП770100729500000.jpeg","Скачать индивидуальный QR-код магазина")</f>
        <v>Скачать индивидуальный QR-код магазина</v>
      </c>
    </row>
    <row r="7225" spans="1:7" x14ac:dyDescent="0.25">
      <c r="A7225" t="s">
        <v>18820</v>
      </c>
      <c r="B7225" t="s">
        <v>23374</v>
      </c>
      <c r="C7225" t="s">
        <v>23375</v>
      </c>
      <c r="D7225" t="s">
        <v>23376</v>
      </c>
      <c r="E7225" t="s">
        <v>23377</v>
      </c>
      <c r="F7225" t="s">
        <v>23378</v>
      </c>
      <c r="G7225" s="2" t="str">
        <f>HYPERLINK("https://probpalata.gov.ru/files/ИП770100458600000.jpeg","Скачать индивидуальный QR-код магазина")</f>
        <v>Скачать индивидуальный QR-код магазина</v>
      </c>
    </row>
    <row r="7226" spans="1:7" x14ac:dyDescent="0.25">
      <c r="A7226" t="s">
        <v>18820</v>
      </c>
      <c r="B7226" t="s">
        <v>23379</v>
      </c>
      <c r="C7226" t="s">
        <v>23380</v>
      </c>
      <c r="D7226" t="s">
        <v>23381</v>
      </c>
      <c r="E7226" t="s">
        <v>23382</v>
      </c>
      <c r="F7226" t="s">
        <v>23383</v>
      </c>
      <c r="G7226" s="2" t="str">
        <f>HYPERLINK("https://probpalata.gov.ru/files/ИП770103832900000.jpeg","Скачать индивидуальный QR-код магазина")</f>
        <v>Скачать индивидуальный QR-код магазина</v>
      </c>
    </row>
    <row r="7227" spans="1:7" x14ac:dyDescent="0.25">
      <c r="A7227" t="s">
        <v>18820</v>
      </c>
      <c r="B7227" t="s">
        <v>23384</v>
      </c>
      <c r="C7227" t="s">
        <v>1416</v>
      </c>
      <c r="D7227" t="s">
        <v>1417</v>
      </c>
      <c r="E7227" t="s">
        <v>1418</v>
      </c>
      <c r="F7227" t="s">
        <v>23385</v>
      </c>
      <c r="G7227" s="2" t="str">
        <f>HYPERLINK("https://probpalata.gov.ru/files/ЮЛ770100419400000.jpeg","Скачать индивидуальный QR-код магазина")</f>
        <v>Скачать индивидуальный QR-код магазина</v>
      </c>
    </row>
    <row r="7228" spans="1:7" x14ac:dyDescent="0.25">
      <c r="A7228" t="s">
        <v>18820</v>
      </c>
      <c r="B7228" t="s">
        <v>23386</v>
      </c>
      <c r="C7228" t="s">
        <v>1416</v>
      </c>
      <c r="D7228" t="s">
        <v>1417</v>
      </c>
      <c r="E7228" t="s">
        <v>1418</v>
      </c>
      <c r="F7228" t="s">
        <v>23387</v>
      </c>
      <c r="G7228" s="2" t="str">
        <f>HYPERLINK("https://probpalata.gov.ru/files/ЮЛ770100419400001.jpeg","Скачать индивидуальный QR-код магазина")</f>
        <v>Скачать индивидуальный QR-код магазина</v>
      </c>
    </row>
    <row r="7229" spans="1:7" x14ac:dyDescent="0.25">
      <c r="A7229" t="s">
        <v>18820</v>
      </c>
      <c r="B7229" t="s">
        <v>23388</v>
      </c>
      <c r="C7229" t="s">
        <v>1416</v>
      </c>
      <c r="D7229" t="s">
        <v>1417</v>
      </c>
      <c r="E7229" t="s">
        <v>1418</v>
      </c>
      <c r="F7229" t="s">
        <v>23389</v>
      </c>
      <c r="G7229" s="2" t="str">
        <f>HYPERLINK("https://probpalata.gov.ru/files/ЮЛ770100419400002.jpeg","Скачать индивидуальный QR-код магазина")</f>
        <v>Скачать индивидуальный QR-код магазина</v>
      </c>
    </row>
    <row r="7230" spans="1:7" x14ac:dyDescent="0.25">
      <c r="A7230" t="s">
        <v>18820</v>
      </c>
      <c r="B7230" t="s">
        <v>23390</v>
      </c>
      <c r="C7230" t="s">
        <v>1416</v>
      </c>
      <c r="D7230" t="s">
        <v>1417</v>
      </c>
      <c r="E7230" t="s">
        <v>1418</v>
      </c>
      <c r="F7230" t="s">
        <v>23391</v>
      </c>
      <c r="G7230" s="2" t="str">
        <f>HYPERLINK("https://probpalata.gov.ru/files/ЮЛ770100419400005.jpeg","Скачать индивидуальный QR-код магазина")</f>
        <v>Скачать индивидуальный QR-код магазина</v>
      </c>
    </row>
    <row r="7231" spans="1:7" x14ac:dyDescent="0.25">
      <c r="A7231" t="s">
        <v>18820</v>
      </c>
      <c r="B7231" t="s">
        <v>23392</v>
      </c>
      <c r="C7231" t="s">
        <v>1416</v>
      </c>
      <c r="D7231" t="s">
        <v>1417</v>
      </c>
      <c r="E7231" t="s">
        <v>1418</v>
      </c>
      <c r="F7231" t="s">
        <v>23393</v>
      </c>
      <c r="G7231" s="2" t="str">
        <f>HYPERLINK("https://probpalata.gov.ru/files/ЮЛ770100419400006.jpeg","Скачать индивидуальный QR-код магазина")</f>
        <v>Скачать индивидуальный QR-код магазина</v>
      </c>
    </row>
    <row r="7232" spans="1:7" x14ac:dyDescent="0.25">
      <c r="A7232" t="s">
        <v>18820</v>
      </c>
      <c r="B7232" t="s">
        <v>19780</v>
      </c>
      <c r="C7232" t="s">
        <v>1416</v>
      </c>
      <c r="D7232" t="s">
        <v>1417</v>
      </c>
      <c r="E7232" t="s">
        <v>1418</v>
      </c>
      <c r="F7232" t="s">
        <v>23394</v>
      </c>
      <c r="G7232" s="2" t="str">
        <f>HYPERLINK("https://probpalata.gov.ru/files/ЮЛ770100419400008.jpeg","Скачать индивидуальный QR-код магазина")</f>
        <v>Скачать индивидуальный QR-код магазина</v>
      </c>
    </row>
    <row r="7233" spans="1:7" x14ac:dyDescent="0.25">
      <c r="A7233" t="s">
        <v>18820</v>
      </c>
      <c r="B7233" t="s">
        <v>23395</v>
      </c>
      <c r="C7233" t="s">
        <v>1416</v>
      </c>
      <c r="D7233" t="s">
        <v>1417</v>
      </c>
      <c r="E7233" t="s">
        <v>1418</v>
      </c>
      <c r="F7233" t="s">
        <v>23396</v>
      </c>
      <c r="G7233" s="2" t="str">
        <f>HYPERLINK("https://probpalata.gov.ru/files/ЮЛ770100419400009.jpeg","Скачать индивидуальный QR-код магазина")</f>
        <v>Скачать индивидуальный QR-код магазина</v>
      </c>
    </row>
    <row r="7234" spans="1:7" x14ac:dyDescent="0.25">
      <c r="A7234" t="s">
        <v>18820</v>
      </c>
      <c r="B7234" t="s">
        <v>23397</v>
      </c>
      <c r="C7234" t="s">
        <v>1416</v>
      </c>
      <c r="D7234" t="s">
        <v>1417</v>
      </c>
      <c r="E7234" t="s">
        <v>1418</v>
      </c>
      <c r="F7234" t="s">
        <v>23398</v>
      </c>
      <c r="G7234" s="2" t="str">
        <f>HYPERLINK("https://probpalata.gov.ru/files/ЮЛ770100419400013.jpeg","Скачать индивидуальный QR-код магазина")</f>
        <v>Скачать индивидуальный QR-код магазина</v>
      </c>
    </row>
    <row r="7235" spans="1:7" x14ac:dyDescent="0.25">
      <c r="A7235" t="s">
        <v>18820</v>
      </c>
      <c r="B7235" t="s">
        <v>23399</v>
      </c>
      <c r="C7235" t="s">
        <v>1416</v>
      </c>
      <c r="D7235" t="s">
        <v>1417</v>
      </c>
      <c r="E7235" t="s">
        <v>1418</v>
      </c>
      <c r="F7235" t="s">
        <v>23400</v>
      </c>
      <c r="G7235" s="2" t="str">
        <f>HYPERLINK("https://probpalata.gov.ru/files/ЮЛ770100419400016.jpeg","Скачать индивидуальный QR-код магазина")</f>
        <v>Скачать индивидуальный QR-код магазина</v>
      </c>
    </row>
    <row r="7236" spans="1:7" x14ac:dyDescent="0.25">
      <c r="A7236" t="s">
        <v>18820</v>
      </c>
      <c r="B7236" t="s">
        <v>23401</v>
      </c>
      <c r="C7236" t="s">
        <v>1416</v>
      </c>
      <c r="D7236" t="s">
        <v>1417</v>
      </c>
      <c r="E7236" t="s">
        <v>1418</v>
      </c>
      <c r="F7236" t="s">
        <v>23402</v>
      </c>
      <c r="G7236" s="2" t="str">
        <f>HYPERLINK("https://probpalata.gov.ru/files/ЮЛ770100419400017.jpeg","Скачать индивидуальный QR-код магазина")</f>
        <v>Скачать индивидуальный QR-код магазина</v>
      </c>
    </row>
    <row r="7237" spans="1:7" x14ac:dyDescent="0.25">
      <c r="A7237" t="s">
        <v>18820</v>
      </c>
      <c r="B7237" t="s">
        <v>19122</v>
      </c>
      <c r="C7237" t="s">
        <v>1416</v>
      </c>
      <c r="D7237" t="s">
        <v>1417</v>
      </c>
      <c r="E7237" t="s">
        <v>1418</v>
      </c>
      <c r="F7237" t="s">
        <v>23403</v>
      </c>
      <c r="G7237" s="2" t="str">
        <f>HYPERLINK("https://probpalata.gov.ru/files/ЮЛ770100419400020.jpeg","Скачать индивидуальный QR-код магазина")</f>
        <v>Скачать индивидуальный QR-код магазина</v>
      </c>
    </row>
    <row r="7238" spans="1:7" x14ac:dyDescent="0.25">
      <c r="A7238" t="s">
        <v>18820</v>
      </c>
      <c r="B7238" t="s">
        <v>21905</v>
      </c>
      <c r="C7238" t="s">
        <v>1416</v>
      </c>
      <c r="D7238" t="s">
        <v>1417</v>
      </c>
      <c r="E7238" t="s">
        <v>1418</v>
      </c>
      <c r="F7238" t="s">
        <v>23404</v>
      </c>
      <c r="G7238" s="2" t="str">
        <f>HYPERLINK("https://probpalata.gov.ru/files/ЮЛ770100419400022.jpeg","Скачать индивидуальный QR-код магазина")</f>
        <v>Скачать индивидуальный QR-код магазина</v>
      </c>
    </row>
    <row r="7239" spans="1:7" x14ac:dyDescent="0.25">
      <c r="A7239" t="s">
        <v>18820</v>
      </c>
      <c r="B7239" t="s">
        <v>23405</v>
      </c>
      <c r="C7239" t="s">
        <v>1416</v>
      </c>
      <c r="D7239" t="s">
        <v>1417</v>
      </c>
      <c r="E7239" t="s">
        <v>1418</v>
      </c>
      <c r="F7239" t="s">
        <v>23406</v>
      </c>
      <c r="G7239" s="2" t="str">
        <f>HYPERLINK("https://probpalata.gov.ru/files/ЮЛ770100419400023.jpeg","Скачать индивидуальный QR-код магазина")</f>
        <v>Скачать индивидуальный QR-код магазина</v>
      </c>
    </row>
    <row r="7240" spans="1:7" x14ac:dyDescent="0.25">
      <c r="A7240" t="s">
        <v>18820</v>
      </c>
      <c r="B7240" t="s">
        <v>23407</v>
      </c>
      <c r="C7240" t="s">
        <v>1416</v>
      </c>
      <c r="D7240" t="s">
        <v>1417</v>
      </c>
      <c r="E7240" t="s">
        <v>1418</v>
      </c>
      <c r="F7240" t="s">
        <v>23408</v>
      </c>
      <c r="G7240" s="2" t="str">
        <f>HYPERLINK("https://probpalata.gov.ru/files/ЮЛ770100419400026.jpeg","Скачать индивидуальный QR-код магазина")</f>
        <v>Скачать индивидуальный QR-код магазина</v>
      </c>
    </row>
    <row r="7241" spans="1:7" x14ac:dyDescent="0.25">
      <c r="A7241" t="s">
        <v>18820</v>
      </c>
      <c r="B7241" t="s">
        <v>20572</v>
      </c>
      <c r="C7241" t="s">
        <v>1416</v>
      </c>
      <c r="D7241" t="s">
        <v>1417</v>
      </c>
      <c r="E7241" t="s">
        <v>1418</v>
      </c>
      <c r="F7241" t="s">
        <v>23409</v>
      </c>
      <c r="G7241" s="2" t="str">
        <f>HYPERLINK("https://probpalata.gov.ru/files/ЮЛ770100419400036.jpeg","Скачать индивидуальный QR-код магазина")</f>
        <v>Скачать индивидуальный QR-код магазина</v>
      </c>
    </row>
    <row r="7242" spans="1:7" x14ac:dyDescent="0.25">
      <c r="A7242" t="s">
        <v>18820</v>
      </c>
      <c r="B7242" t="s">
        <v>22784</v>
      </c>
      <c r="C7242" t="s">
        <v>1416</v>
      </c>
      <c r="D7242" t="s">
        <v>1417</v>
      </c>
      <c r="E7242" t="s">
        <v>1418</v>
      </c>
      <c r="F7242" t="s">
        <v>23410</v>
      </c>
      <c r="G7242" s="2" t="str">
        <f>HYPERLINK("https://probpalata.gov.ru/files/ЮЛ770100419400037.jpeg","Скачать индивидуальный QR-код магазина")</f>
        <v>Скачать индивидуальный QR-код магазина</v>
      </c>
    </row>
    <row r="7243" spans="1:7" x14ac:dyDescent="0.25">
      <c r="A7243" t="s">
        <v>18820</v>
      </c>
      <c r="B7243" t="s">
        <v>23411</v>
      </c>
      <c r="C7243" t="s">
        <v>1416</v>
      </c>
      <c r="D7243" t="s">
        <v>1417</v>
      </c>
      <c r="E7243" t="s">
        <v>1418</v>
      </c>
      <c r="F7243" t="s">
        <v>23412</v>
      </c>
      <c r="G7243" s="2" t="str">
        <f>HYPERLINK("https://probpalata.gov.ru/files/ЮЛ770100419400039.jpeg","Скачать индивидуальный QR-код магазина")</f>
        <v>Скачать индивидуальный QR-код магазина</v>
      </c>
    </row>
    <row r="7244" spans="1:7" x14ac:dyDescent="0.25">
      <c r="A7244" t="s">
        <v>18820</v>
      </c>
      <c r="B7244" t="s">
        <v>23413</v>
      </c>
      <c r="C7244" t="s">
        <v>1416</v>
      </c>
      <c r="D7244" t="s">
        <v>1417</v>
      </c>
      <c r="E7244" t="s">
        <v>1418</v>
      </c>
      <c r="F7244" t="s">
        <v>23414</v>
      </c>
      <c r="G7244" s="2" t="str">
        <f>HYPERLINK("https://probpalata.gov.ru/files/ЮЛ770100419400040.jpeg","Скачать индивидуальный QR-код магазина")</f>
        <v>Скачать индивидуальный QR-код магазина</v>
      </c>
    </row>
    <row r="7245" spans="1:7" x14ac:dyDescent="0.25">
      <c r="A7245" t="s">
        <v>18820</v>
      </c>
      <c r="B7245" t="s">
        <v>23415</v>
      </c>
      <c r="C7245" t="s">
        <v>1416</v>
      </c>
      <c r="D7245" t="s">
        <v>1417</v>
      </c>
      <c r="E7245" t="s">
        <v>1418</v>
      </c>
      <c r="F7245" t="s">
        <v>23416</v>
      </c>
      <c r="G7245" s="2" t="str">
        <f>HYPERLINK("https://probpalata.gov.ru/files/ЮЛ770100419400041.jpeg","Скачать индивидуальный QR-код магазина")</f>
        <v>Скачать индивидуальный QR-код магазина</v>
      </c>
    </row>
    <row r="7246" spans="1:7" x14ac:dyDescent="0.25">
      <c r="A7246" t="s">
        <v>18820</v>
      </c>
      <c r="B7246" t="s">
        <v>23417</v>
      </c>
      <c r="C7246" t="s">
        <v>1416</v>
      </c>
      <c r="D7246" t="s">
        <v>1417</v>
      </c>
      <c r="E7246" t="s">
        <v>1418</v>
      </c>
      <c r="F7246" t="s">
        <v>23418</v>
      </c>
      <c r="G7246" s="2" t="str">
        <f>HYPERLINK("https://probpalata.gov.ru/files/ЮЛ770100419400042.jpeg","Скачать индивидуальный QR-код магазина")</f>
        <v>Скачать индивидуальный QR-код магазина</v>
      </c>
    </row>
    <row r="7247" spans="1:7" x14ac:dyDescent="0.25">
      <c r="A7247" t="s">
        <v>18820</v>
      </c>
      <c r="B7247" t="s">
        <v>23419</v>
      </c>
      <c r="C7247" t="s">
        <v>1416</v>
      </c>
      <c r="D7247" t="s">
        <v>1417</v>
      </c>
      <c r="E7247" t="s">
        <v>1418</v>
      </c>
      <c r="F7247" t="s">
        <v>23420</v>
      </c>
      <c r="G7247" s="2" t="str">
        <f>HYPERLINK("https://probpalata.gov.ru/files/ЮЛ770100419400043.jpeg","Скачать индивидуальный QR-код магазина")</f>
        <v>Скачать индивидуальный QR-код магазина</v>
      </c>
    </row>
    <row r="7248" spans="1:7" x14ac:dyDescent="0.25">
      <c r="A7248" t="s">
        <v>18820</v>
      </c>
      <c r="B7248" t="s">
        <v>23421</v>
      </c>
      <c r="C7248" t="s">
        <v>1416</v>
      </c>
      <c r="D7248" t="s">
        <v>1417</v>
      </c>
      <c r="E7248" t="s">
        <v>1418</v>
      </c>
      <c r="F7248" t="s">
        <v>23422</v>
      </c>
      <c r="G7248" s="2" t="str">
        <f>HYPERLINK("https://probpalata.gov.ru/files/ЮЛ770100419400044.jpeg","Скачать индивидуальный QR-код магазина")</f>
        <v>Скачать индивидуальный QR-код магазина</v>
      </c>
    </row>
    <row r="7249" spans="1:7" x14ac:dyDescent="0.25">
      <c r="A7249" t="s">
        <v>18820</v>
      </c>
      <c r="B7249" t="s">
        <v>23423</v>
      </c>
      <c r="C7249" t="s">
        <v>1416</v>
      </c>
      <c r="D7249" t="s">
        <v>1417</v>
      </c>
      <c r="E7249" t="s">
        <v>1418</v>
      </c>
      <c r="F7249" t="s">
        <v>23424</v>
      </c>
      <c r="G7249" s="2" t="str">
        <f>HYPERLINK("https://probpalata.gov.ru/files/ЮЛ770100419400046.jpeg","Скачать индивидуальный QR-код магазина")</f>
        <v>Скачать индивидуальный QR-код магазина</v>
      </c>
    </row>
    <row r="7250" spans="1:7" x14ac:dyDescent="0.25">
      <c r="A7250" t="s">
        <v>18820</v>
      </c>
      <c r="B7250" t="s">
        <v>19020</v>
      </c>
      <c r="C7250" t="s">
        <v>1416</v>
      </c>
      <c r="D7250" t="s">
        <v>1417</v>
      </c>
      <c r="E7250" t="s">
        <v>1418</v>
      </c>
      <c r="F7250" t="s">
        <v>23425</v>
      </c>
      <c r="G7250" s="2" t="str">
        <f>HYPERLINK("https://probpalata.gov.ru/files/ЮЛ770100419400047.jpeg","Скачать индивидуальный QR-код магазина")</f>
        <v>Скачать индивидуальный QR-код магазина</v>
      </c>
    </row>
    <row r="7251" spans="1:7" x14ac:dyDescent="0.25">
      <c r="A7251" t="s">
        <v>18820</v>
      </c>
      <c r="B7251" t="s">
        <v>19974</v>
      </c>
      <c r="C7251" t="s">
        <v>1416</v>
      </c>
      <c r="D7251" t="s">
        <v>1417</v>
      </c>
      <c r="E7251" t="s">
        <v>1418</v>
      </c>
      <c r="F7251" t="s">
        <v>23426</v>
      </c>
      <c r="G7251" s="2" t="str">
        <f>HYPERLINK("https://probpalata.gov.ru/files/ЮЛ770100419400048.jpeg","Скачать индивидуальный QR-код магазина")</f>
        <v>Скачать индивидуальный QR-код магазина</v>
      </c>
    </row>
    <row r="7252" spans="1:7" x14ac:dyDescent="0.25">
      <c r="A7252" t="s">
        <v>18820</v>
      </c>
      <c r="B7252" t="s">
        <v>23427</v>
      </c>
      <c r="C7252" t="s">
        <v>1416</v>
      </c>
      <c r="D7252" t="s">
        <v>1417</v>
      </c>
      <c r="E7252" t="s">
        <v>1418</v>
      </c>
      <c r="F7252" t="s">
        <v>23428</v>
      </c>
      <c r="G7252" s="2" t="str">
        <f>HYPERLINK("https://probpalata.gov.ru/files/ЮЛ770100419400049.jpeg","Скачать индивидуальный QR-код магазина")</f>
        <v>Скачать индивидуальный QR-код магазина</v>
      </c>
    </row>
    <row r="7253" spans="1:7" x14ac:dyDescent="0.25">
      <c r="A7253" t="s">
        <v>18820</v>
      </c>
      <c r="B7253" t="s">
        <v>23429</v>
      </c>
      <c r="C7253" t="s">
        <v>1416</v>
      </c>
      <c r="D7253" t="s">
        <v>1417</v>
      </c>
      <c r="E7253" t="s">
        <v>1418</v>
      </c>
      <c r="F7253" t="s">
        <v>23430</v>
      </c>
      <c r="G7253" s="2" t="str">
        <f>HYPERLINK("https://probpalata.gov.ru/files/ЮЛ770100419400051.jpeg","Скачать индивидуальный QR-код магазина")</f>
        <v>Скачать индивидуальный QR-код магазина</v>
      </c>
    </row>
    <row r="7254" spans="1:7" x14ac:dyDescent="0.25">
      <c r="A7254" t="s">
        <v>18820</v>
      </c>
      <c r="B7254" t="s">
        <v>19025</v>
      </c>
      <c r="C7254" t="s">
        <v>1416</v>
      </c>
      <c r="D7254" t="s">
        <v>1417</v>
      </c>
      <c r="E7254" t="s">
        <v>1418</v>
      </c>
      <c r="F7254" t="s">
        <v>23431</v>
      </c>
      <c r="G7254" s="2" t="str">
        <f>HYPERLINK("https://probpalata.gov.ru/files/ЮЛ770100419400052.jpeg","Скачать индивидуальный QR-код магазина")</f>
        <v>Скачать индивидуальный QR-код магазина</v>
      </c>
    </row>
    <row r="7255" spans="1:7" x14ac:dyDescent="0.25">
      <c r="A7255" t="s">
        <v>18820</v>
      </c>
      <c r="B7255" t="s">
        <v>23432</v>
      </c>
      <c r="C7255" t="s">
        <v>1416</v>
      </c>
      <c r="D7255" t="s">
        <v>1417</v>
      </c>
      <c r="E7255" t="s">
        <v>1418</v>
      </c>
      <c r="F7255" t="s">
        <v>23433</v>
      </c>
      <c r="G7255" s="2" t="str">
        <f>HYPERLINK("https://probpalata.gov.ru/files/ЮЛ770100419400054.jpeg","Скачать индивидуальный QR-код магазина")</f>
        <v>Скачать индивидуальный QR-код магазина</v>
      </c>
    </row>
    <row r="7256" spans="1:7" x14ac:dyDescent="0.25">
      <c r="A7256" t="s">
        <v>18820</v>
      </c>
      <c r="B7256" t="s">
        <v>23434</v>
      </c>
      <c r="C7256" t="s">
        <v>1416</v>
      </c>
      <c r="D7256" t="s">
        <v>1417</v>
      </c>
      <c r="E7256" t="s">
        <v>1418</v>
      </c>
      <c r="F7256" t="s">
        <v>23435</v>
      </c>
      <c r="G7256" s="2" t="str">
        <f>HYPERLINK("https://probpalata.gov.ru/files/ЮЛ770100419400055.jpeg","Скачать индивидуальный QR-код магазина")</f>
        <v>Скачать индивидуальный QR-код магазина</v>
      </c>
    </row>
    <row r="7257" spans="1:7" x14ac:dyDescent="0.25">
      <c r="A7257" t="s">
        <v>18820</v>
      </c>
      <c r="B7257" t="s">
        <v>23436</v>
      </c>
      <c r="C7257" t="s">
        <v>1416</v>
      </c>
      <c r="D7257" t="s">
        <v>1417</v>
      </c>
      <c r="E7257" t="s">
        <v>1418</v>
      </c>
      <c r="F7257" t="s">
        <v>23437</v>
      </c>
      <c r="G7257" s="2" t="str">
        <f>HYPERLINK("https://probpalata.gov.ru/files/ЮЛ770100419400134.jpeg","Скачать индивидуальный QR-код магазина")</f>
        <v>Скачать индивидуальный QR-код магазина</v>
      </c>
    </row>
    <row r="7258" spans="1:7" x14ac:dyDescent="0.25">
      <c r="A7258" t="s">
        <v>18820</v>
      </c>
      <c r="B7258" t="s">
        <v>23438</v>
      </c>
      <c r="C7258" t="s">
        <v>1416</v>
      </c>
      <c r="D7258" t="s">
        <v>1417</v>
      </c>
      <c r="E7258" t="s">
        <v>1418</v>
      </c>
      <c r="F7258" t="s">
        <v>23439</v>
      </c>
      <c r="G7258" s="2" t="str">
        <f>HYPERLINK("https://probpalata.gov.ru/files/ЮЛ770100419400136.jpeg","Скачать индивидуальный QR-код магазина")</f>
        <v>Скачать индивидуальный QR-код магазина</v>
      </c>
    </row>
    <row r="7259" spans="1:7" x14ac:dyDescent="0.25">
      <c r="A7259" t="s">
        <v>18820</v>
      </c>
      <c r="B7259" t="s">
        <v>23440</v>
      </c>
      <c r="C7259" t="s">
        <v>1416</v>
      </c>
      <c r="D7259" t="s">
        <v>1417</v>
      </c>
      <c r="E7259" t="s">
        <v>1418</v>
      </c>
      <c r="F7259" t="s">
        <v>23441</v>
      </c>
      <c r="G7259" s="2" t="str">
        <f>HYPERLINK("https://probpalata.gov.ru/files/ЮЛ770100419400137.jpeg","Скачать индивидуальный QR-код магазина")</f>
        <v>Скачать индивидуальный QR-код магазина</v>
      </c>
    </row>
    <row r="7260" spans="1:7" x14ac:dyDescent="0.25">
      <c r="A7260" t="s">
        <v>18820</v>
      </c>
      <c r="B7260" t="s">
        <v>23442</v>
      </c>
      <c r="C7260" t="s">
        <v>1416</v>
      </c>
      <c r="D7260" t="s">
        <v>1417</v>
      </c>
      <c r="E7260" t="s">
        <v>1418</v>
      </c>
      <c r="F7260" t="s">
        <v>23443</v>
      </c>
      <c r="G7260" s="2" t="str">
        <f>HYPERLINK("https://probpalata.gov.ru/files/ЮЛ770100419400141.jpeg","Скачать индивидуальный QR-код магазина")</f>
        <v>Скачать индивидуальный QR-код магазина</v>
      </c>
    </row>
    <row r="7261" spans="1:7" x14ac:dyDescent="0.25">
      <c r="A7261" t="s">
        <v>18820</v>
      </c>
      <c r="B7261" t="s">
        <v>18826</v>
      </c>
      <c r="C7261" t="s">
        <v>1416</v>
      </c>
      <c r="D7261" t="s">
        <v>1417</v>
      </c>
      <c r="E7261" t="s">
        <v>1418</v>
      </c>
      <c r="F7261" t="s">
        <v>23444</v>
      </c>
      <c r="G7261" s="2" t="str">
        <f>HYPERLINK("https://probpalata.gov.ru/files/ЮЛ770100419400144.jpeg","Скачать индивидуальный QR-код магазина")</f>
        <v>Скачать индивидуальный QR-код магазина</v>
      </c>
    </row>
    <row r="7262" spans="1:7" x14ac:dyDescent="0.25">
      <c r="A7262" t="s">
        <v>18820</v>
      </c>
      <c r="B7262" t="s">
        <v>23445</v>
      </c>
      <c r="C7262" t="s">
        <v>1416</v>
      </c>
      <c r="D7262" t="s">
        <v>1417</v>
      </c>
      <c r="E7262" t="s">
        <v>1418</v>
      </c>
      <c r="F7262" t="s">
        <v>23446</v>
      </c>
      <c r="G7262" s="2" t="str">
        <f>HYPERLINK("https://probpalata.gov.ru/files/ЮЛ770100419400145.jpeg","Скачать индивидуальный QR-код магазина")</f>
        <v>Скачать индивидуальный QR-код магазина</v>
      </c>
    </row>
    <row r="7263" spans="1:7" x14ac:dyDescent="0.25">
      <c r="A7263" t="s">
        <v>18820</v>
      </c>
      <c r="B7263" t="s">
        <v>19765</v>
      </c>
      <c r="C7263" t="s">
        <v>1416</v>
      </c>
      <c r="D7263" t="s">
        <v>1417</v>
      </c>
      <c r="E7263" t="s">
        <v>1418</v>
      </c>
      <c r="F7263" t="s">
        <v>23447</v>
      </c>
      <c r="G7263" s="2" t="str">
        <f>HYPERLINK("https://probpalata.gov.ru/files/ЮЛ770100419400146.jpeg","Скачать индивидуальный QR-код магазина")</f>
        <v>Скачать индивидуальный QR-код магазина</v>
      </c>
    </row>
    <row r="7264" spans="1:7" x14ac:dyDescent="0.25">
      <c r="A7264" t="s">
        <v>18820</v>
      </c>
      <c r="B7264" t="s">
        <v>18828</v>
      </c>
      <c r="C7264" t="s">
        <v>1416</v>
      </c>
      <c r="D7264" t="s">
        <v>1417</v>
      </c>
      <c r="E7264" t="s">
        <v>1418</v>
      </c>
      <c r="F7264" t="s">
        <v>23448</v>
      </c>
      <c r="G7264" s="2" t="str">
        <f>HYPERLINK("https://probpalata.gov.ru/files/ЮЛ770100419400147.jpeg","Скачать индивидуальный QR-код магазина")</f>
        <v>Скачать индивидуальный QR-код магазина</v>
      </c>
    </row>
    <row r="7265" spans="1:7" x14ac:dyDescent="0.25">
      <c r="A7265" t="s">
        <v>18820</v>
      </c>
      <c r="B7265" t="s">
        <v>23449</v>
      </c>
      <c r="C7265" t="s">
        <v>1416</v>
      </c>
      <c r="D7265" t="s">
        <v>1417</v>
      </c>
      <c r="E7265" t="s">
        <v>1418</v>
      </c>
      <c r="F7265" t="s">
        <v>23450</v>
      </c>
      <c r="G7265" s="2" t="str">
        <f>HYPERLINK("https://probpalata.gov.ru/files/ЮЛ770100419400148.jpeg","Скачать индивидуальный QR-код магазина")</f>
        <v>Скачать индивидуальный QR-код магазина</v>
      </c>
    </row>
    <row r="7266" spans="1:7" x14ac:dyDescent="0.25">
      <c r="A7266" t="s">
        <v>18820</v>
      </c>
      <c r="B7266" t="s">
        <v>23451</v>
      </c>
      <c r="C7266" t="s">
        <v>1416</v>
      </c>
      <c r="D7266" t="s">
        <v>1417</v>
      </c>
      <c r="E7266" t="s">
        <v>1418</v>
      </c>
      <c r="F7266" t="s">
        <v>23452</v>
      </c>
      <c r="G7266" s="2" t="str">
        <f>HYPERLINK("https://probpalata.gov.ru/files/ЮЛ770100419400153.jpeg","Скачать индивидуальный QR-код магазина")</f>
        <v>Скачать индивидуальный QR-код магазина</v>
      </c>
    </row>
    <row r="7267" spans="1:7" x14ac:dyDescent="0.25">
      <c r="A7267" t="s">
        <v>18820</v>
      </c>
      <c r="B7267" t="s">
        <v>23453</v>
      </c>
      <c r="C7267" t="s">
        <v>1416</v>
      </c>
      <c r="D7267" t="s">
        <v>1417</v>
      </c>
      <c r="E7267" t="s">
        <v>1418</v>
      </c>
      <c r="F7267" t="s">
        <v>23454</v>
      </c>
      <c r="G7267" s="2" t="str">
        <f>HYPERLINK("https://probpalata.gov.ru/files/ЮЛ770100419400154.jpeg","Скачать индивидуальный QR-код магазина")</f>
        <v>Скачать индивидуальный QR-код магазина</v>
      </c>
    </row>
    <row r="7268" spans="1:7" x14ac:dyDescent="0.25">
      <c r="A7268" t="s">
        <v>18820</v>
      </c>
      <c r="B7268" t="s">
        <v>23455</v>
      </c>
      <c r="C7268" t="s">
        <v>1416</v>
      </c>
      <c r="D7268" t="s">
        <v>1417</v>
      </c>
      <c r="E7268" t="s">
        <v>1418</v>
      </c>
      <c r="F7268" t="s">
        <v>23456</v>
      </c>
      <c r="G7268" s="2" t="str">
        <f>HYPERLINK("https://probpalata.gov.ru/files/ЮЛ770100419400156.jpeg","Скачать индивидуальный QR-код магазина")</f>
        <v>Скачать индивидуальный QR-код магазина</v>
      </c>
    </row>
    <row r="7269" spans="1:7" x14ac:dyDescent="0.25">
      <c r="A7269" t="s">
        <v>18820</v>
      </c>
      <c r="B7269" t="s">
        <v>23457</v>
      </c>
      <c r="C7269" t="s">
        <v>1416</v>
      </c>
      <c r="D7269" t="s">
        <v>1417</v>
      </c>
      <c r="E7269" t="s">
        <v>1418</v>
      </c>
      <c r="F7269" t="s">
        <v>23458</v>
      </c>
      <c r="G7269" s="2" t="str">
        <f>HYPERLINK("https://probpalata.gov.ru/files/ЮЛ770100419400157.jpeg","Скачать индивидуальный QR-код магазина")</f>
        <v>Скачать индивидуальный QR-код магазина</v>
      </c>
    </row>
    <row r="7270" spans="1:7" x14ac:dyDescent="0.25">
      <c r="A7270" t="s">
        <v>18820</v>
      </c>
      <c r="B7270" t="s">
        <v>20675</v>
      </c>
      <c r="C7270" t="s">
        <v>1416</v>
      </c>
      <c r="D7270" t="s">
        <v>1417</v>
      </c>
      <c r="E7270" t="s">
        <v>1418</v>
      </c>
      <c r="F7270" t="s">
        <v>23459</v>
      </c>
      <c r="G7270" s="2" t="str">
        <f>HYPERLINK("https://probpalata.gov.ru/files/ЮЛ770100419400158.jpeg","Скачать индивидуальный QR-код магазина")</f>
        <v>Скачать индивидуальный QR-код магазина</v>
      </c>
    </row>
    <row r="7271" spans="1:7" x14ac:dyDescent="0.25">
      <c r="A7271" t="s">
        <v>18820</v>
      </c>
      <c r="B7271" t="s">
        <v>23460</v>
      </c>
      <c r="C7271" t="s">
        <v>1416</v>
      </c>
      <c r="D7271" t="s">
        <v>1417</v>
      </c>
      <c r="E7271" t="s">
        <v>1418</v>
      </c>
      <c r="F7271" t="s">
        <v>23461</v>
      </c>
      <c r="G7271" s="2" t="str">
        <f>HYPERLINK("https://probpalata.gov.ru/files/ЮЛ770100419400159.jpeg","Скачать индивидуальный QR-код магазина")</f>
        <v>Скачать индивидуальный QR-код магазина</v>
      </c>
    </row>
    <row r="7272" spans="1:7" x14ac:dyDescent="0.25">
      <c r="A7272" t="s">
        <v>18820</v>
      </c>
      <c r="B7272" t="s">
        <v>19027</v>
      </c>
      <c r="C7272" t="s">
        <v>1416</v>
      </c>
      <c r="D7272" t="s">
        <v>1417</v>
      </c>
      <c r="E7272" t="s">
        <v>1418</v>
      </c>
      <c r="F7272" t="s">
        <v>23462</v>
      </c>
      <c r="G7272" s="2" t="str">
        <f>HYPERLINK("https://probpalata.gov.ru/files/ЮЛ770100419400162.jpeg","Скачать индивидуальный QR-код магазина")</f>
        <v>Скачать индивидуальный QR-код магазина</v>
      </c>
    </row>
    <row r="7273" spans="1:7" x14ac:dyDescent="0.25">
      <c r="A7273" t="s">
        <v>18820</v>
      </c>
      <c r="B7273" t="s">
        <v>23463</v>
      </c>
      <c r="C7273" t="s">
        <v>1416</v>
      </c>
      <c r="D7273" t="s">
        <v>1417</v>
      </c>
      <c r="E7273" t="s">
        <v>1418</v>
      </c>
      <c r="F7273" t="s">
        <v>23464</v>
      </c>
      <c r="G7273" s="2" t="str">
        <f>HYPERLINK("https://probpalata.gov.ru/files/ЮЛ770100419400163.jpeg","Скачать индивидуальный QR-код магазина")</f>
        <v>Скачать индивидуальный QR-код магазина</v>
      </c>
    </row>
    <row r="7274" spans="1:7" x14ac:dyDescent="0.25">
      <c r="A7274" t="s">
        <v>18820</v>
      </c>
      <c r="B7274" t="s">
        <v>19467</v>
      </c>
      <c r="C7274" t="s">
        <v>1416</v>
      </c>
      <c r="D7274" t="s">
        <v>1417</v>
      </c>
      <c r="E7274" t="s">
        <v>1418</v>
      </c>
      <c r="F7274" t="s">
        <v>23465</v>
      </c>
      <c r="G7274" s="2" t="str">
        <f>HYPERLINK("https://probpalata.gov.ru/files/ЮЛ770100419400164.jpeg","Скачать индивидуальный QR-код магазина")</f>
        <v>Скачать индивидуальный QR-код магазина</v>
      </c>
    </row>
    <row r="7275" spans="1:7" x14ac:dyDescent="0.25">
      <c r="A7275" t="s">
        <v>18820</v>
      </c>
      <c r="B7275" t="s">
        <v>23466</v>
      </c>
      <c r="C7275" t="s">
        <v>1416</v>
      </c>
      <c r="D7275" t="s">
        <v>1417</v>
      </c>
      <c r="E7275" t="s">
        <v>1418</v>
      </c>
      <c r="F7275" t="s">
        <v>23467</v>
      </c>
      <c r="G7275" s="2" t="str">
        <f>HYPERLINK("https://probpalata.gov.ru/files/ЮЛ770100419400165.jpeg","Скачать индивидуальный QR-код магазина")</f>
        <v>Скачать индивидуальный QR-код магазина</v>
      </c>
    </row>
    <row r="7276" spans="1:7" x14ac:dyDescent="0.25">
      <c r="A7276" t="s">
        <v>18820</v>
      </c>
      <c r="B7276" t="s">
        <v>23468</v>
      </c>
      <c r="C7276" t="s">
        <v>1416</v>
      </c>
      <c r="D7276" t="s">
        <v>1417</v>
      </c>
      <c r="E7276" t="s">
        <v>1418</v>
      </c>
      <c r="F7276" t="s">
        <v>23469</v>
      </c>
      <c r="G7276" s="2" t="str">
        <f>HYPERLINK("https://probpalata.gov.ru/files/ЮЛ770100419400235.jpeg","Скачать индивидуальный QR-код магазина")</f>
        <v>Скачать индивидуальный QR-код магазина</v>
      </c>
    </row>
    <row r="7277" spans="1:7" x14ac:dyDescent="0.25">
      <c r="A7277" t="s">
        <v>18820</v>
      </c>
      <c r="B7277" t="s">
        <v>23470</v>
      </c>
      <c r="C7277" t="s">
        <v>1416</v>
      </c>
      <c r="D7277" t="s">
        <v>1417</v>
      </c>
      <c r="E7277" t="s">
        <v>1418</v>
      </c>
      <c r="F7277" t="s">
        <v>23471</v>
      </c>
      <c r="G7277" s="2" t="str">
        <f>HYPERLINK("https://probpalata.gov.ru/files/ЮЛ770100419400236.jpeg","Скачать индивидуальный QR-код магазина")</f>
        <v>Скачать индивидуальный QR-код магазина</v>
      </c>
    </row>
    <row r="7278" spans="1:7" x14ac:dyDescent="0.25">
      <c r="A7278" t="s">
        <v>18820</v>
      </c>
      <c r="B7278" t="s">
        <v>23472</v>
      </c>
      <c r="C7278" t="s">
        <v>1416</v>
      </c>
      <c r="D7278" t="s">
        <v>1417</v>
      </c>
      <c r="E7278" t="s">
        <v>1418</v>
      </c>
      <c r="F7278" t="s">
        <v>23473</v>
      </c>
      <c r="G7278" s="2" t="str">
        <f>HYPERLINK("https://probpalata.gov.ru/files/ЮЛ770100419400237.jpeg","Скачать индивидуальный QR-код магазина")</f>
        <v>Скачать индивидуальный QR-код магазина</v>
      </c>
    </row>
    <row r="7279" spans="1:7" x14ac:dyDescent="0.25">
      <c r="A7279" t="s">
        <v>18820</v>
      </c>
      <c r="B7279" t="s">
        <v>23474</v>
      </c>
      <c r="C7279" t="s">
        <v>1416</v>
      </c>
      <c r="D7279" t="s">
        <v>1417</v>
      </c>
      <c r="E7279" t="s">
        <v>1418</v>
      </c>
      <c r="F7279" t="s">
        <v>23475</v>
      </c>
      <c r="G7279" s="2" t="str">
        <f>HYPERLINK("https://probpalata.gov.ru/files/ЮЛ770100419400243.jpeg","Скачать индивидуальный QR-код магазина")</f>
        <v>Скачать индивидуальный QR-код магазина</v>
      </c>
    </row>
    <row r="7280" spans="1:7" x14ac:dyDescent="0.25">
      <c r="A7280" t="s">
        <v>18820</v>
      </c>
      <c r="B7280" t="s">
        <v>23476</v>
      </c>
      <c r="C7280" t="s">
        <v>1416</v>
      </c>
      <c r="D7280" t="s">
        <v>1417</v>
      </c>
      <c r="E7280" t="s">
        <v>1418</v>
      </c>
      <c r="F7280" t="s">
        <v>23477</v>
      </c>
      <c r="G7280" s="2" t="str">
        <f>HYPERLINK("https://probpalata.gov.ru/files/ЮЛ770100419400247.jpeg","Скачать индивидуальный QR-код магазина")</f>
        <v>Скачать индивидуальный QR-код магазина</v>
      </c>
    </row>
    <row r="7281" spans="1:7" x14ac:dyDescent="0.25">
      <c r="A7281" t="s">
        <v>18820</v>
      </c>
      <c r="B7281" t="s">
        <v>23478</v>
      </c>
      <c r="C7281" t="s">
        <v>1416</v>
      </c>
      <c r="D7281" t="s">
        <v>1417</v>
      </c>
      <c r="E7281" t="s">
        <v>1418</v>
      </c>
      <c r="F7281" t="s">
        <v>23479</v>
      </c>
      <c r="G7281" s="2" t="str">
        <f>HYPERLINK("https://probpalata.gov.ru/files/ЮЛ770100419400249.jpeg","Скачать индивидуальный QR-код магазина")</f>
        <v>Скачать индивидуальный QR-код магазина</v>
      </c>
    </row>
    <row r="7282" spans="1:7" x14ac:dyDescent="0.25">
      <c r="A7282" t="s">
        <v>18820</v>
      </c>
      <c r="B7282" t="s">
        <v>23480</v>
      </c>
      <c r="C7282" t="s">
        <v>23481</v>
      </c>
      <c r="D7282" t="s">
        <v>23482</v>
      </c>
      <c r="E7282" t="s">
        <v>23483</v>
      </c>
      <c r="F7282" t="s">
        <v>23484</v>
      </c>
      <c r="G7282" s="2" t="str">
        <f>HYPERLINK("https://probpalata.gov.ru/files/ИП770103903000000.jpeg","Скачать индивидуальный QR-код магазина")</f>
        <v>Скачать индивидуальный QR-код магазина</v>
      </c>
    </row>
    <row r="7283" spans="1:7" x14ac:dyDescent="0.25">
      <c r="A7283" t="s">
        <v>18820</v>
      </c>
      <c r="B7283" t="s">
        <v>23485</v>
      </c>
      <c r="C7283" t="s">
        <v>23486</v>
      </c>
      <c r="D7283" t="s">
        <v>23487</v>
      </c>
      <c r="E7283" t="s">
        <v>23488</v>
      </c>
      <c r="F7283" t="s">
        <v>23489</v>
      </c>
      <c r="G7283" s="2" t="str">
        <f>HYPERLINK("https://probpalata.gov.ru/files/ЮЛ770101394300000.jpeg","Скачать индивидуальный QR-код магазина")</f>
        <v>Скачать индивидуальный QR-код магазина</v>
      </c>
    </row>
    <row r="7284" spans="1:7" x14ac:dyDescent="0.25">
      <c r="A7284" t="s">
        <v>18820</v>
      </c>
      <c r="B7284" t="s">
        <v>23490</v>
      </c>
      <c r="C7284" t="s">
        <v>23486</v>
      </c>
      <c r="D7284" t="s">
        <v>23487</v>
      </c>
      <c r="E7284" t="s">
        <v>23488</v>
      </c>
      <c r="F7284" t="s">
        <v>23491</v>
      </c>
      <c r="G7284" s="2" t="str">
        <f>HYPERLINK("https://probpalata.gov.ru/files/ЮЛ770101394300001.jpeg","Скачать индивидуальный QR-код магазина")</f>
        <v>Скачать индивидуальный QR-код магазина</v>
      </c>
    </row>
    <row r="7285" spans="1:7" x14ac:dyDescent="0.25">
      <c r="A7285" t="s">
        <v>18820</v>
      </c>
      <c r="B7285" t="s">
        <v>23492</v>
      </c>
      <c r="C7285" t="s">
        <v>23493</v>
      </c>
      <c r="D7285" t="s">
        <v>23494</v>
      </c>
      <c r="E7285" t="s">
        <v>23495</v>
      </c>
      <c r="F7285" t="s">
        <v>23496</v>
      </c>
      <c r="G7285" s="2" t="str">
        <f>HYPERLINK("https://probpalata.gov.ru/files/ЮЛ770103084500000.jpeg","Скачать индивидуальный QR-код магазина")</f>
        <v>Скачать индивидуальный QR-код магазина</v>
      </c>
    </row>
    <row r="7286" spans="1:7" x14ac:dyDescent="0.25">
      <c r="A7286" t="s">
        <v>18820</v>
      </c>
      <c r="B7286" t="s">
        <v>23497</v>
      </c>
      <c r="C7286" t="s">
        <v>23498</v>
      </c>
      <c r="D7286" t="s">
        <v>23499</v>
      </c>
      <c r="E7286" t="s">
        <v>23500</v>
      </c>
      <c r="F7286" t="s">
        <v>23501</v>
      </c>
      <c r="G7286" s="2" t="str">
        <f>HYPERLINK("https://probpalata.gov.ru/files/ЮЛ770101122400000.jpeg","Скачать индивидуальный QR-код магазина")</f>
        <v>Скачать индивидуальный QR-код магазина</v>
      </c>
    </row>
    <row r="7287" spans="1:7" x14ac:dyDescent="0.25">
      <c r="A7287" t="s">
        <v>18820</v>
      </c>
      <c r="B7287" t="s">
        <v>23502</v>
      </c>
      <c r="C7287" t="s">
        <v>23503</v>
      </c>
      <c r="D7287" t="s">
        <v>23504</v>
      </c>
      <c r="E7287" t="s">
        <v>23505</v>
      </c>
      <c r="F7287" t="s">
        <v>23506</v>
      </c>
      <c r="G7287" s="2" t="str">
        <f>HYPERLINK("https://probpalata.gov.ru/files/ЮЛ770100219100000.jpeg","Скачать индивидуальный QR-код магазина")</f>
        <v>Скачать индивидуальный QR-код магазина</v>
      </c>
    </row>
    <row r="7288" spans="1:7" x14ac:dyDescent="0.25">
      <c r="A7288" t="s">
        <v>18820</v>
      </c>
      <c r="B7288" t="s">
        <v>23507</v>
      </c>
      <c r="C7288" t="s">
        <v>23503</v>
      </c>
      <c r="D7288" t="s">
        <v>23504</v>
      </c>
      <c r="E7288" t="s">
        <v>23505</v>
      </c>
      <c r="F7288" t="s">
        <v>23508</v>
      </c>
      <c r="G7288" s="2" t="str">
        <f>HYPERLINK("https://probpalata.gov.ru/files/ЮЛ770100219100001.jpeg","Скачать индивидуальный QR-код магазина")</f>
        <v>Скачать индивидуальный QR-код магазина</v>
      </c>
    </row>
    <row r="7289" spans="1:7" x14ac:dyDescent="0.25">
      <c r="A7289" t="s">
        <v>18820</v>
      </c>
      <c r="B7289" t="s">
        <v>23509</v>
      </c>
      <c r="C7289" t="s">
        <v>23503</v>
      </c>
      <c r="D7289" t="s">
        <v>23504</v>
      </c>
      <c r="E7289" t="s">
        <v>23505</v>
      </c>
      <c r="F7289" t="s">
        <v>23510</v>
      </c>
      <c r="G7289" s="2" t="str">
        <f>HYPERLINK("https://probpalata.gov.ru/files/ЮЛ770100219100006.jpeg","Скачать индивидуальный QR-код магазина")</f>
        <v>Скачать индивидуальный QR-код магазина</v>
      </c>
    </row>
    <row r="7290" spans="1:7" x14ac:dyDescent="0.25">
      <c r="A7290" t="s">
        <v>18820</v>
      </c>
      <c r="B7290" t="s">
        <v>23511</v>
      </c>
      <c r="C7290" t="s">
        <v>23503</v>
      </c>
      <c r="D7290" t="s">
        <v>23504</v>
      </c>
      <c r="E7290" t="s">
        <v>23505</v>
      </c>
      <c r="F7290" t="s">
        <v>23512</v>
      </c>
      <c r="G7290" s="2" t="str">
        <f>HYPERLINK("https://probpalata.gov.ru/files/ЮЛ770100219100007.jpeg","Скачать индивидуальный QR-код магазина")</f>
        <v>Скачать индивидуальный QR-код магазина</v>
      </c>
    </row>
    <row r="7291" spans="1:7" x14ac:dyDescent="0.25">
      <c r="A7291" t="s">
        <v>18820</v>
      </c>
      <c r="B7291" t="s">
        <v>23513</v>
      </c>
      <c r="C7291" t="s">
        <v>23503</v>
      </c>
      <c r="D7291" t="s">
        <v>23504</v>
      </c>
      <c r="E7291" t="s">
        <v>23505</v>
      </c>
      <c r="F7291" t="s">
        <v>23514</v>
      </c>
      <c r="G7291" s="2" t="str">
        <f>HYPERLINK("https://probpalata.gov.ru/files/ЮЛ770100219100008.jpeg","Скачать индивидуальный QR-код магазина")</f>
        <v>Скачать индивидуальный QR-код магазина</v>
      </c>
    </row>
    <row r="7292" spans="1:7" x14ac:dyDescent="0.25">
      <c r="A7292" t="s">
        <v>18820</v>
      </c>
      <c r="B7292" t="s">
        <v>23399</v>
      </c>
      <c r="C7292" t="s">
        <v>23503</v>
      </c>
      <c r="D7292" t="s">
        <v>23504</v>
      </c>
      <c r="E7292" t="s">
        <v>23505</v>
      </c>
      <c r="F7292" t="s">
        <v>23515</v>
      </c>
      <c r="G7292" s="2" t="str">
        <f>HYPERLINK("https://probpalata.gov.ru/files/ЮЛ770100219100011.jpeg","Скачать индивидуальный QR-код магазина")</f>
        <v>Скачать индивидуальный QR-код магазина</v>
      </c>
    </row>
    <row r="7293" spans="1:7" x14ac:dyDescent="0.25">
      <c r="A7293" t="s">
        <v>18820</v>
      </c>
      <c r="B7293" t="s">
        <v>23516</v>
      </c>
      <c r="C7293" t="s">
        <v>23503</v>
      </c>
      <c r="D7293" t="s">
        <v>23504</v>
      </c>
      <c r="E7293" t="s">
        <v>23505</v>
      </c>
      <c r="F7293" t="s">
        <v>23517</v>
      </c>
      <c r="G7293" s="2" t="str">
        <f>HYPERLINK("https://probpalata.gov.ru/files/ЮЛ770100219100015.jpeg","Скачать индивидуальный QR-код магазина")</f>
        <v>Скачать индивидуальный QR-код магазина</v>
      </c>
    </row>
    <row r="7294" spans="1:7" x14ac:dyDescent="0.25">
      <c r="A7294" t="s">
        <v>18820</v>
      </c>
      <c r="B7294" t="s">
        <v>23518</v>
      </c>
      <c r="C7294" t="s">
        <v>23519</v>
      </c>
      <c r="D7294" t="s">
        <v>23520</v>
      </c>
      <c r="E7294" t="s">
        <v>23521</v>
      </c>
      <c r="F7294" t="s">
        <v>23522</v>
      </c>
      <c r="G7294" s="2" t="str">
        <f>HYPERLINK("https://probpalata.gov.ru/files/ИП770100461700000.jpeg","Скачать индивидуальный QR-код магазина")</f>
        <v>Скачать индивидуальный QR-код магазина</v>
      </c>
    </row>
    <row r="7295" spans="1:7" x14ac:dyDescent="0.25">
      <c r="A7295" t="s">
        <v>18820</v>
      </c>
      <c r="B7295" t="s">
        <v>23523</v>
      </c>
      <c r="C7295" t="s">
        <v>23524</v>
      </c>
      <c r="D7295" t="s">
        <v>23525</v>
      </c>
      <c r="E7295" t="s">
        <v>23526</v>
      </c>
      <c r="F7295" t="s">
        <v>23527</v>
      </c>
      <c r="G7295" s="2" t="str">
        <f>HYPERLINK("https://probpalata.gov.ru/files/ЮЛ770100253600000.jpeg","Скачать индивидуальный QR-код магазина")</f>
        <v>Скачать индивидуальный QR-код магазина</v>
      </c>
    </row>
    <row r="7296" spans="1:7" x14ac:dyDescent="0.25">
      <c r="A7296" t="s">
        <v>18820</v>
      </c>
      <c r="B7296" t="s">
        <v>23528</v>
      </c>
      <c r="C7296" t="s">
        <v>23529</v>
      </c>
      <c r="D7296" t="s">
        <v>23530</v>
      </c>
      <c r="E7296" t="s">
        <v>23531</v>
      </c>
      <c r="F7296" t="s">
        <v>23532</v>
      </c>
      <c r="G7296" s="2" t="str">
        <f>HYPERLINK("https://probpalata.gov.ru/files/ИП770101045000000.jpeg","Скачать индивидуальный QR-код магазина")</f>
        <v>Скачать индивидуальный QR-код магазина</v>
      </c>
    </row>
    <row r="7297" spans="1:7" x14ac:dyDescent="0.25">
      <c r="A7297" t="s">
        <v>18820</v>
      </c>
      <c r="B7297" t="s">
        <v>23533</v>
      </c>
      <c r="C7297" t="s">
        <v>23534</v>
      </c>
      <c r="D7297" t="s">
        <v>23535</v>
      </c>
      <c r="E7297" t="s">
        <v>23536</v>
      </c>
      <c r="F7297" t="s">
        <v>23537</v>
      </c>
      <c r="G7297" s="2" t="str">
        <f>HYPERLINK("https://probpalata.gov.ru/files/ИП770101458500000.jpeg","Скачать индивидуальный QR-код магазина")</f>
        <v>Скачать индивидуальный QR-код магазина</v>
      </c>
    </row>
    <row r="7298" spans="1:7" x14ac:dyDescent="0.25">
      <c r="A7298" t="s">
        <v>18820</v>
      </c>
      <c r="B7298" t="s">
        <v>23538</v>
      </c>
      <c r="C7298" t="s">
        <v>23539</v>
      </c>
      <c r="D7298" t="s">
        <v>23540</v>
      </c>
      <c r="E7298" t="s">
        <v>23541</v>
      </c>
      <c r="F7298" t="s">
        <v>23542</v>
      </c>
      <c r="G7298" s="2" t="str">
        <f>HYPERLINK("https://probpalata.gov.ru/files/ЮЛ770100382900000.jpeg","Скачать индивидуальный QR-код магазина")</f>
        <v>Скачать индивидуальный QR-код магазина</v>
      </c>
    </row>
    <row r="7299" spans="1:7" x14ac:dyDescent="0.25">
      <c r="A7299" t="s">
        <v>18820</v>
      </c>
      <c r="B7299" t="s">
        <v>23543</v>
      </c>
      <c r="C7299" t="s">
        <v>23544</v>
      </c>
      <c r="D7299" t="s">
        <v>23545</v>
      </c>
      <c r="E7299" t="s">
        <v>23546</v>
      </c>
      <c r="F7299" t="s">
        <v>23547</v>
      </c>
      <c r="G7299" s="2" t="str">
        <f>HYPERLINK("https://probpalata.gov.ru/files/ЮЛ770100655000000.jpeg","Скачать индивидуальный QR-код магазина")</f>
        <v>Скачать индивидуальный QR-код магазина</v>
      </c>
    </row>
    <row r="7300" spans="1:7" x14ac:dyDescent="0.25">
      <c r="A7300" t="s">
        <v>18820</v>
      </c>
      <c r="B7300" t="s">
        <v>23548</v>
      </c>
      <c r="C7300" t="s">
        <v>23549</v>
      </c>
      <c r="D7300" t="s">
        <v>23550</v>
      </c>
      <c r="E7300" t="s">
        <v>23551</v>
      </c>
      <c r="F7300" t="s">
        <v>23552</v>
      </c>
      <c r="G7300" s="2" t="str">
        <f>HYPERLINK("https://probpalata.gov.ru/files/ИП770103176900000.jpeg","Скачать индивидуальный QR-код магазина")</f>
        <v>Скачать индивидуальный QR-код магазина</v>
      </c>
    </row>
    <row r="7301" spans="1:7" x14ac:dyDescent="0.25">
      <c r="A7301" t="s">
        <v>18820</v>
      </c>
      <c r="B7301" t="s">
        <v>23553</v>
      </c>
      <c r="C7301" t="s">
        <v>23554</v>
      </c>
      <c r="D7301" t="s">
        <v>23555</v>
      </c>
      <c r="E7301" t="s">
        <v>23556</v>
      </c>
      <c r="F7301" t="s">
        <v>23557</v>
      </c>
      <c r="G7301" s="2" t="str">
        <f>HYPERLINK("https://probpalata.gov.ru/files/ИП770100857900000.jpeg","Скачать индивидуальный QR-код магазина")</f>
        <v>Скачать индивидуальный QR-код магазина</v>
      </c>
    </row>
    <row r="7302" spans="1:7" x14ac:dyDescent="0.25">
      <c r="A7302" t="s">
        <v>18820</v>
      </c>
      <c r="B7302" t="s">
        <v>23558</v>
      </c>
      <c r="C7302" t="s">
        <v>23554</v>
      </c>
      <c r="D7302" t="s">
        <v>23555</v>
      </c>
      <c r="E7302" t="s">
        <v>23556</v>
      </c>
      <c r="F7302" t="s">
        <v>23559</v>
      </c>
      <c r="G7302" s="2" t="str">
        <f>HYPERLINK("https://probpalata.gov.ru/files/ИП770100857900001.jpeg","Скачать индивидуальный QR-код магазина")</f>
        <v>Скачать индивидуальный QR-код магазина</v>
      </c>
    </row>
    <row r="7303" spans="1:7" x14ac:dyDescent="0.25">
      <c r="A7303" t="s">
        <v>18820</v>
      </c>
      <c r="B7303" t="s">
        <v>23560</v>
      </c>
      <c r="C7303" t="s">
        <v>23554</v>
      </c>
      <c r="D7303" t="s">
        <v>23555</v>
      </c>
      <c r="E7303" t="s">
        <v>23556</v>
      </c>
      <c r="F7303" t="s">
        <v>23561</v>
      </c>
      <c r="G7303" s="2" t="str">
        <f>HYPERLINK("https://probpalata.gov.ru/files/ИП770100857900002.jpeg","Скачать индивидуальный QR-код магазина")</f>
        <v>Скачать индивидуальный QR-код магазина</v>
      </c>
    </row>
    <row r="7304" spans="1:7" x14ac:dyDescent="0.25">
      <c r="A7304" t="s">
        <v>18820</v>
      </c>
      <c r="B7304" t="s">
        <v>23562</v>
      </c>
      <c r="C7304" t="s">
        <v>23554</v>
      </c>
      <c r="D7304" t="s">
        <v>23555</v>
      </c>
      <c r="E7304" t="s">
        <v>23556</v>
      </c>
      <c r="F7304" t="s">
        <v>23563</v>
      </c>
      <c r="G7304" s="2" t="str">
        <f>HYPERLINK("https://probpalata.gov.ru/files/ИП770100857900004.jpeg","Скачать индивидуальный QR-код магазина")</f>
        <v>Скачать индивидуальный QR-код магазина</v>
      </c>
    </row>
    <row r="7305" spans="1:7" x14ac:dyDescent="0.25">
      <c r="A7305" t="s">
        <v>18820</v>
      </c>
      <c r="B7305" t="s">
        <v>23564</v>
      </c>
      <c r="C7305" t="s">
        <v>23554</v>
      </c>
      <c r="D7305" t="s">
        <v>23555</v>
      </c>
      <c r="E7305" t="s">
        <v>23556</v>
      </c>
      <c r="F7305" t="s">
        <v>23565</v>
      </c>
      <c r="G7305" s="2" t="str">
        <f>HYPERLINK("https://probpalata.gov.ru/files/ИП770100857900008.jpeg","Скачать индивидуальный QR-код магазина")</f>
        <v>Скачать индивидуальный QR-код магазина</v>
      </c>
    </row>
    <row r="7306" spans="1:7" x14ac:dyDescent="0.25">
      <c r="A7306" t="s">
        <v>18820</v>
      </c>
      <c r="B7306" t="s">
        <v>23566</v>
      </c>
      <c r="C7306" t="s">
        <v>23554</v>
      </c>
      <c r="D7306" t="s">
        <v>23555</v>
      </c>
      <c r="E7306" t="s">
        <v>23556</v>
      </c>
      <c r="F7306" t="s">
        <v>23567</v>
      </c>
      <c r="G7306" s="2" t="str">
        <f>HYPERLINK("https://probpalata.gov.ru/files/ИП770100857900009.jpeg","Скачать индивидуальный QR-код магазина")</f>
        <v>Скачать индивидуальный QR-код магазина</v>
      </c>
    </row>
    <row r="7307" spans="1:7" x14ac:dyDescent="0.25">
      <c r="A7307" t="s">
        <v>18820</v>
      </c>
      <c r="B7307" t="s">
        <v>23568</v>
      </c>
      <c r="C7307" t="s">
        <v>23554</v>
      </c>
      <c r="D7307" t="s">
        <v>23555</v>
      </c>
      <c r="E7307" t="s">
        <v>23556</v>
      </c>
      <c r="F7307" t="s">
        <v>23569</v>
      </c>
      <c r="G7307" s="2" t="str">
        <f>HYPERLINK("https://probpalata.gov.ru/files/ИП770100857900012.jpeg","Скачать индивидуальный QR-код магазина")</f>
        <v>Скачать индивидуальный QR-код магазина</v>
      </c>
    </row>
    <row r="7308" spans="1:7" x14ac:dyDescent="0.25">
      <c r="A7308" t="s">
        <v>18820</v>
      </c>
      <c r="B7308" t="s">
        <v>23570</v>
      </c>
      <c r="C7308" t="s">
        <v>23554</v>
      </c>
      <c r="D7308" t="s">
        <v>23555</v>
      </c>
      <c r="E7308" t="s">
        <v>23556</v>
      </c>
      <c r="F7308" t="s">
        <v>23571</v>
      </c>
      <c r="G7308" s="2" t="str">
        <f>HYPERLINK("https://probpalata.gov.ru/files/ИП770100857900013.jpeg","Скачать индивидуальный QR-код магазина")</f>
        <v>Скачать индивидуальный QR-код магазина</v>
      </c>
    </row>
    <row r="7309" spans="1:7" x14ac:dyDescent="0.25">
      <c r="A7309" t="s">
        <v>18820</v>
      </c>
      <c r="B7309" t="s">
        <v>23419</v>
      </c>
      <c r="C7309" t="s">
        <v>23572</v>
      </c>
      <c r="D7309" t="s">
        <v>23573</v>
      </c>
      <c r="E7309" t="s">
        <v>23574</v>
      </c>
      <c r="F7309" t="s">
        <v>23575</v>
      </c>
      <c r="G7309" s="2" t="str">
        <f>HYPERLINK("https://probpalata.gov.ru/files/ИП770103236500000.jpeg","Скачать индивидуальный QR-код магазина")</f>
        <v>Скачать индивидуальный QR-код магазина</v>
      </c>
    </row>
    <row r="7310" spans="1:7" x14ac:dyDescent="0.25">
      <c r="A7310" t="s">
        <v>18820</v>
      </c>
      <c r="B7310" t="s">
        <v>23576</v>
      </c>
      <c r="C7310" t="s">
        <v>23577</v>
      </c>
      <c r="D7310" t="s">
        <v>23578</v>
      </c>
      <c r="E7310" t="s">
        <v>23579</v>
      </c>
      <c r="F7310" t="s">
        <v>23580</v>
      </c>
      <c r="G7310" s="2" t="str">
        <f>HYPERLINK("https://probpalata.gov.ru/files/ЮЛ770100154400000.jpeg","Скачать индивидуальный QR-код магазина")</f>
        <v>Скачать индивидуальный QR-код магазина</v>
      </c>
    </row>
    <row r="7311" spans="1:7" x14ac:dyDescent="0.25">
      <c r="A7311" t="s">
        <v>18820</v>
      </c>
      <c r="B7311" t="s">
        <v>23581</v>
      </c>
      <c r="C7311" t="s">
        <v>23582</v>
      </c>
      <c r="D7311" t="s">
        <v>23583</v>
      </c>
      <c r="E7311" t="s">
        <v>23584</v>
      </c>
      <c r="F7311" t="s">
        <v>23585</v>
      </c>
      <c r="G7311" s="2" t="str">
        <f>HYPERLINK("https://probpalata.gov.ru/files/ИП770101363900000.jpeg","Скачать индивидуальный QR-код магазина")</f>
        <v>Скачать индивидуальный QR-код магазина</v>
      </c>
    </row>
    <row r="7312" spans="1:7" x14ac:dyDescent="0.25">
      <c r="A7312" t="s">
        <v>18820</v>
      </c>
      <c r="B7312" t="s">
        <v>23586</v>
      </c>
      <c r="C7312" t="s">
        <v>23587</v>
      </c>
      <c r="D7312" t="s">
        <v>23588</v>
      </c>
      <c r="E7312" t="s">
        <v>23589</v>
      </c>
      <c r="F7312" t="s">
        <v>23590</v>
      </c>
      <c r="G7312" s="2" t="str">
        <f>HYPERLINK("https://probpalata.gov.ru/files/ИП770103688300000.jpeg","Скачать индивидуальный QR-код магазина")</f>
        <v>Скачать индивидуальный QR-код магазина</v>
      </c>
    </row>
    <row r="7313" spans="1:7" x14ac:dyDescent="0.25">
      <c r="A7313" t="s">
        <v>18820</v>
      </c>
      <c r="B7313" t="s">
        <v>23591</v>
      </c>
      <c r="C7313" t="s">
        <v>23592</v>
      </c>
      <c r="D7313" t="s">
        <v>23593</v>
      </c>
      <c r="E7313" t="s">
        <v>23594</v>
      </c>
      <c r="F7313" t="s">
        <v>23595</v>
      </c>
      <c r="G7313" s="2" t="str">
        <f>HYPERLINK("https://probpalata.gov.ru/files/ИП770100205900000.jpeg","Скачать индивидуальный QR-код магазина")</f>
        <v>Скачать индивидуальный QR-код магазина</v>
      </c>
    </row>
    <row r="7314" spans="1:7" x14ac:dyDescent="0.25">
      <c r="A7314" t="s">
        <v>18820</v>
      </c>
      <c r="B7314" t="s">
        <v>23596</v>
      </c>
      <c r="C7314" t="s">
        <v>23597</v>
      </c>
      <c r="D7314" t="s">
        <v>23598</v>
      </c>
      <c r="E7314" t="s">
        <v>23599</v>
      </c>
      <c r="F7314" t="s">
        <v>23600</v>
      </c>
      <c r="G7314" s="2" t="str">
        <f>HYPERLINK("https://probpalata.gov.ru/files/ЮЛ770100761400000.jpeg","Скачать индивидуальный QR-код магазина")</f>
        <v>Скачать индивидуальный QR-код магазина</v>
      </c>
    </row>
    <row r="7315" spans="1:7" x14ac:dyDescent="0.25">
      <c r="A7315" t="s">
        <v>18820</v>
      </c>
      <c r="B7315" t="s">
        <v>23601</v>
      </c>
      <c r="C7315" t="s">
        <v>23602</v>
      </c>
      <c r="D7315" t="s">
        <v>23603</v>
      </c>
      <c r="E7315" t="s">
        <v>23604</v>
      </c>
      <c r="F7315" t="s">
        <v>23605</v>
      </c>
      <c r="G7315" s="2" t="str">
        <f>HYPERLINK("https://probpalata.gov.ru/files/ИП770103890100000.jpeg","Скачать индивидуальный QR-код магазина")</f>
        <v>Скачать индивидуальный QR-код магазина</v>
      </c>
    </row>
    <row r="7316" spans="1:7" x14ac:dyDescent="0.25">
      <c r="A7316" t="s">
        <v>18820</v>
      </c>
      <c r="B7316" t="s">
        <v>23606</v>
      </c>
      <c r="C7316" t="s">
        <v>23607</v>
      </c>
      <c r="D7316" t="s">
        <v>23608</v>
      </c>
      <c r="E7316" t="s">
        <v>23609</v>
      </c>
      <c r="F7316" t="s">
        <v>23610</v>
      </c>
      <c r="G7316" s="2" t="str">
        <f>HYPERLINK("https://probpalata.gov.ru/files/ИП770103442200000.jpeg","Скачать индивидуальный QR-код магазина")</f>
        <v>Скачать индивидуальный QR-код магазина</v>
      </c>
    </row>
    <row r="7317" spans="1:7" x14ac:dyDescent="0.25">
      <c r="A7317" t="s">
        <v>18820</v>
      </c>
      <c r="B7317" t="s">
        <v>23611</v>
      </c>
      <c r="C7317" t="s">
        <v>23612</v>
      </c>
      <c r="D7317" t="s">
        <v>23613</v>
      </c>
      <c r="E7317" t="s">
        <v>23614</v>
      </c>
      <c r="F7317" t="s">
        <v>23615</v>
      </c>
      <c r="G7317" s="2" t="str">
        <f>HYPERLINK("https://probpalata.gov.ru/files/ИП500101176300000.jpeg","Скачать индивидуальный QR-код магазина")</f>
        <v>Скачать индивидуальный QR-код магазина</v>
      </c>
    </row>
    <row r="7318" spans="1:7" x14ac:dyDescent="0.25">
      <c r="A7318" t="s">
        <v>18820</v>
      </c>
      <c r="B7318" t="s">
        <v>23616</v>
      </c>
      <c r="C7318" t="s">
        <v>23617</v>
      </c>
      <c r="D7318" t="s">
        <v>23618</v>
      </c>
      <c r="E7318" t="s">
        <v>23619</v>
      </c>
      <c r="F7318" t="s">
        <v>23620</v>
      </c>
      <c r="G7318" s="2" t="str">
        <f>HYPERLINK("https://probpalata.gov.ru/files/ЮЛ770100707600000.jpeg","Скачать индивидуальный QR-код магазина")</f>
        <v>Скачать индивидуальный QR-код магазина</v>
      </c>
    </row>
    <row r="7319" spans="1:7" x14ac:dyDescent="0.25">
      <c r="A7319" t="s">
        <v>18820</v>
      </c>
      <c r="B7319" t="s">
        <v>19531</v>
      </c>
      <c r="C7319" t="s">
        <v>23617</v>
      </c>
      <c r="D7319" t="s">
        <v>23618</v>
      </c>
      <c r="E7319" t="s">
        <v>23619</v>
      </c>
      <c r="F7319" t="s">
        <v>23621</v>
      </c>
      <c r="G7319" s="2" t="str">
        <f>HYPERLINK("https://probpalata.gov.ru/files/ЮЛ770100707600001.jpeg","Скачать индивидуальный QR-код магазина")</f>
        <v>Скачать индивидуальный QR-код магазина</v>
      </c>
    </row>
    <row r="7320" spans="1:7" x14ac:dyDescent="0.25">
      <c r="A7320" t="s">
        <v>18820</v>
      </c>
      <c r="B7320" t="s">
        <v>23622</v>
      </c>
      <c r="C7320" t="s">
        <v>23623</v>
      </c>
      <c r="D7320" t="s">
        <v>23624</v>
      </c>
      <c r="E7320" t="s">
        <v>23625</v>
      </c>
      <c r="F7320" t="s">
        <v>23626</v>
      </c>
      <c r="G7320" s="2" t="str">
        <f>HYPERLINK("https://probpalata.gov.ru/files/ИП770101051900000.jpeg","Скачать индивидуальный QR-код магазина")</f>
        <v>Скачать индивидуальный QR-код магазина</v>
      </c>
    </row>
    <row r="7321" spans="1:7" x14ac:dyDescent="0.25">
      <c r="A7321" t="s">
        <v>18820</v>
      </c>
      <c r="B7321" t="s">
        <v>23627</v>
      </c>
      <c r="C7321" t="s">
        <v>23628</v>
      </c>
      <c r="D7321" t="s">
        <v>23629</v>
      </c>
      <c r="E7321" t="s">
        <v>23630</v>
      </c>
      <c r="F7321" t="s">
        <v>23631</v>
      </c>
      <c r="G7321" s="2" t="str">
        <f>HYPERLINK("https://probpalata.gov.ru/files/ИП500101402900000.jpeg","Скачать индивидуальный QR-код магазина")</f>
        <v>Скачать индивидуальный QR-код магазина</v>
      </c>
    </row>
    <row r="7322" spans="1:7" x14ac:dyDescent="0.25">
      <c r="A7322" t="s">
        <v>18820</v>
      </c>
      <c r="B7322" t="s">
        <v>23632</v>
      </c>
      <c r="C7322" t="s">
        <v>23633</v>
      </c>
      <c r="D7322" t="s">
        <v>23634</v>
      </c>
      <c r="E7322" t="s">
        <v>23635</v>
      </c>
      <c r="F7322" t="s">
        <v>23636</v>
      </c>
      <c r="G7322" s="2" t="str">
        <f>HYPERLINK("https://probpalata.gov.ru/files/ИП770100387600000.jpeg","Скачать индивидуальный QR-код магазина")</f>
        <v>Скачать индивидуальный QR-код магазина</v>
      </c>
    </row>
    <row r="7323" spans="1:7" x14ac:dyDescent="0.25">
      <c r="A7323" t="s">
        <v>18820</v>
      </c>
      <c r="B7323" t="s">
        <v>23637</v>
      </c>
      <c r="C7323" t="s">
        <v>23638</v>
      </c>
      <c r="D7323" t="s">
        <v>23639</v>
      </c>
      <c r="E7323" t="s">
        <v>23640</v>
      </c>
      <c r="F7323" t="s">
        <v>23641</v>
      </c>
      <c r="G7323" s="2" t="str">
        <f>HYPERLINK("https://probpalata.gov.ru/files/ИП770101723800000.jpeg","Скачать индивидуальный QR-код магазина")</f>
        <v>Скачать индивидуальный QR-код магазина</v>
      </c>
    </row>
    <row r="7324" spans="1:7" x14ac:dyDescent="0.25">
      <c r="A7324" t="s">
        <v>18820</v>
      </c>
      <c r="B7324" t="s">
        <v>23642</v>
      </c>
      <c r="C7324" t="s">
        <v>23643</v>
      </c>
      <c r="D7324" t="s">
        <v>23644</v>
      </c>
      <c r="E7324" t="s">
        <v>23645</v>
      </c>
      <c r="F7324" t="s">
        <v>23646</v>
      </c>
      <c r="G7324" s="2" t="str">
        <f>HYPERLINK("https://probpalata.gov.ru/files/ИП770101284000000.jpeg","Скачать индивидуальный QR-код магазина")</f>
        <v>Скачать индивидуальный QR-код магазина</v>
      </c>
    </row>
    <row r="7325" spans="1:7" x14ac:dyDescent="0.25">
      <c r="A7325" t="s">
        <v>18820</v>
      </c>
      <c r="B7325" t="s">
        <v>23647</v>
      </c>
      <c r="C7325" t="s">
        <v>23643</v>
      </c>
      <c r="D7325" t="s">
        <v>23644</v>
      </c>
      <c r="E7325" t="s">
        <v>23645</v>
      </c>
      <c r="F7325" t="s">
        <v>23648</v>
      </c>
      <c r="G7325" s="2" t="str">
        <f>HYPERLINK("https://probpalata.gov.ru/files/ИП770101284000001.jpeg","Скачать индивидуальный QR-код магазина")</f>
        <v>Скачать индивидуальный QR-код магазина</v>
      </c>
    </row>
    <row r="7326" spans="1:7" x14ac:dyDescent="0.25">
      <c r="A7326" t="s">
        <v>18820</v>
      </c>
      <c r="B7326" t="s">
        <v>23649</v>
      </c>
      <c r="C7326" t="s">
        <v>23650</v>
      </c>
      <c r="D7326" t="s">
        <v>23651</v>
      </c>
      <c r="E7326" t="s">
        <v>23652</v>
      </c>
      <c r="F7326" t="s">
        <v>23653</v>
      </c>
      <c r="G7326" s="2" t="str">
        <f>HYPERLINK("https://probpalata.gov.ru/files/ЮЛ770100019400010.jpeg","Скачать индивидуальный QR-код магазина")</f>
        <v>Скачать индивидуальный QR-код магазина</v>
      </c>
    </row>
    <row r="7327" spans="1:7" x14ac:dyDescent="0.25">
      <c r="A7327" t="s">
        <v>18820</v>
      </c>
      <c r="B7327" t="s">
        <v>23654</v>
      </c>
      <c r="C7327" t="s">
        <v>23655</v>
      </c>
      <c r="D7327" t="s">
        <v>23656</v>
      </c>
      <c r="E7327" t="s">
        <v>23657</v>
      </c>
      <c r="F7327" t="s">
        <v>23658</v>
      </c>
      <c r="G7327" s="2" t="str">
        <f>HYPERLINK("https://probpalata.gov.ru/files/ЮЛ770101405300000.jpeg","Скачать индивидуальный QR-код магазина")</f>
        <v>Скачать индивидуальный QR-код магазина</v>
      </c>
    </row>
    <row r="7328" spans="1:7" x14ac:dyDescent="0.25">
      <c r="A7328" t="s">
        <v>18820</v>
      </c>
      <c r="B7328" t="s">
        <v>23659</v>
      </c>
      <c r="C7328" t="s">
        <v>23660</v>
      </c>
      <c r="D7328" t="s">
        <v>23661</v>
      </c>
      <c r="E7328" t="s">
        <v>23662</v>
      </c>
      <c r="F7328" t="s">
        <v>23663</v>
      </c>
      <c r="G7328" s="2" t="str">
        <f>HYPERLINK("https://probpalata.gov.ru/files/ИП770100144000000.jpeg","Скачать индивидуальный QR-код магазина")</f>
        <v>Скачать индивидуальный QR-код магазина</v>
      </c>
    </row>
    <row r="7329" spans="1:7" x14ac:dyDescent="0.25">
      <c r="A7329" t="s">
        <v>18820</v>
      </c>
      <c r="B7329" t="s">
        <v>23664</v>
      </c>
      <c r="C7329" t="s">
        <v>23660</v>
      </c>
      <c r="D7329" t="s">
        <v>23661</v>
      </c>
      <c r="E7329" t="s">
        <v>23662</v>
      </c>
      <c r="F7329" t="s">
        <v>23665</v>
      </c>
      <c r="G7329" s="2" t="str">
        <f>HYPERLINK("https://probpalata.gov.ru/files/ИП770100144000001.jpeg","Скачать индивидуальный QR-код магазина")</f>
        <v>Скачать индивидуальный QR-код магазина</v>
      </c>
    </row>
    <row r="7330" spans="1:7" x14ac:dyDescent="0.25">
      <c r="A7330" t="s">
        <v>18820</v>
      </c>
      <c r="B7330" t="s">
        <v>23666</v>
      </c>
      <c r="C7330" t="s">
        <v>23667</v>
      </c>
      <c r="D7330" t="s">
        <v>23668</v>
      </c>
      <c r="E7330" t="s">
        <v>23669</v>
      </c>
      <c r="F7330" t="s">
        <v>23670</v>
      </c>
      <c r="G7330" s="2" t="str">
        <f>HYPERLINK("https://probpalata.gov.ru/files/ИП770103922300000.jpeg","Скачать индивидуальный QR-код магазина")</f>
        <v>Скачать индивидуальный QR-код магазина</v>
      </c>
    </row>
    <row r="7331" spans="1:7" x14ac:dyDescent="0.25">
      <c r="A7331" t="s">
        <v>18820</v>
      </c>
      <c r="B7331" t="s">
        <v>23671</v>
      </c>
      <c r="C7331" t="s">
        <v>13294</v>
      </c>
      <c r="D7331" t="s">
        <v>23672</v>
      </c>
      <c r="E7331" t="s">
        <v>23673</v>
      </c>
      <c r="F7331" t="s">
        <v>23674</v>
      </c>
      <c r="G7331" s="2" t="str">
        <f>HYPERLINK("https://probpalata.gov.ru/files/ЮЛ770101537300000.jpeg","Скачать индивидуальный QR-код магазина")</f>
        <v>Скачать индивидуальный QR-код магазина</v>
      </c>
    </row>
    <row r="7332" spans="1:7" x14ac:dyDescent="0.25">
      <c r="A7332" t="s">
        <v>18820</v>
      </c>
      <c r="B7332" t="s">
        <v>23675</v>
      </c>
      <c r="C7332" t="s">
        <v>15143</v>
      </c>
      <c r="D7332" t="s">
        <v>15144</v>
      </c>
      <c r="E7332" t="s">
        <v>15145</v>
      </c>
      <c r="F7332" t="s">
        <v>23676</v>
      </c>
      <c r="G7332" s="2" t="str">
        <f>HYPERLINK("https://probpalata.gov.ru/files/ЮЛ770101248500010.jpeg","Скачать индивидуальный QR-код магазина")</f>
        <v>Скачать индивидуальный QR-код магазина</v>
      </c>
    </row>
    <row r="7333" spans="1:7" x14ac:dyDescent="0.25">
      <c r="A7333" t="s">
        <v>18820</v>
      </c>
      <c r="B7333" t="s">
        <v>23677</v>
      </c>
      <c r="C7333" t="s">
        <v>15143</v>
      </c>
      <c r="D7333" t="s">
        <v>15144</v>
      </c>
      <c r="E7333" t="s">
        <v>15145</v>
      </c>
      <c r="F7333" t="s">
        <v>23678</v>
      </c>
      <c r="G7333" s="2" t="str">
        <f>HYPERLINK("https://probpalata.gov.ru/files/ЮЛ770101248500011.jpeg","Скачать индивидуальный QR-код магазина")</f>
        <v>Скачать индивидуальный QR-код магазина</v>
      </c>
    </row>
    <row r="7334" spans="1:7" x14ac:dyDescent="0.25">
      <c r="A7334" t="s">
        <v>18820</v>
      </c>
      <c r="B7334" t="s">
        <v>23679</v>
      </c>
      <c r="C7334" t="s">
        <v>15143</v>
      </c>
      <c r="D7334" t="s">
        <v>15144</v>
      </c>
      <c r="E7334" t="s">
        <v>15145</v>
      </c>
      <c r="F7334" t="s">
        <v>23680</v>
      </c>
      <c r="G7334" s="2" t="str">
        <f>HYPERLINK("https://probpalata.gov.ru/files/ЮЛ770101248500020.jpeg","Скачать индивидуальный QR-код магазина")</f>
        <v>Скачать индивидуальный QR-код магазина</v>
      </c>
    </row>
    <row r="7335" spans="1:7" x14ac:dyDescent="0.25">
      <c r="A7335" t="s">
        <v>18820</v>
      </c>
      <c r="B7335" t="s">
        <v>23339</v>
      </c>
      <c r="C7335" t="s">
        <v>15143</v>
      </c>
      <c r="D7335" t="s">
        <v>15144</v>
      </c>
      <c r="E7335" t="s">
        <v>15145</v>
      </c>
      <c r="F7335" t="s">
        <v>23681</v>
      </c>
      <c r="G7335" s="2" t="str">
        <f>HYPERLINK("https://probpalata.gov.ru/files/ЮЛ770101248500022.jpeg","Скачать индивидуальный QR-код магазина")</f>
        <v>Скачать индивидуальный QR-код магазина</v>
      </c>
    </row>
    <row r="7336" spans="1:7" x14ac:dyDescent="0.25">
      <c r="A7336" t="s">
        <v>18820</v>
      </c>
      <c r="B7336" t="s">
        <v>23682</v>
      </c>
      <c r="C7336" t="s">
        <v>15143</v>
      </c>
      <c r="D7336" t="s">
        <v>15144</v>
      </c>
      <c r="E7336" t="s">
        <v>15145</v>
      </c>
      <c r="F7336" t="s">
        <v>23683</v>
      </c>
      <c r="G7336" s="2" t="str">
        <f>HYPERLINK("https://probpalata.gov.ru/files/ЮЛ770101248500023.jpeg","Скачать индивидуальный QR-код магазина")</f>
        <v>Скачать индивидуальный QR-код магазина</v>
      </c>
    </row>
    <row r="7337" spans="1:7" x14ac:dyDescent="0.25">
      <c r="A7337" t="s">
        <v>18820</v>
      </c>
      <c r="B7337" t="s">
        <v>23684</v>
      </c>
      <c r="C7337" t="s">
        <v>15143</v>
      </c>
      <c r="D7337" t="s">
        <v>15144</v>
      </c>
      <c r="E7337" t="s">
        <v>15145</v>
      </c>
      <c r="F7337" t="s">
        <v>23685</v>
      </c>
      <c r="G7337" s="2" t="str">
        <f>HYPERLINK("https://probpalata.gov.ru/files/ЮЛ770101248500034.jpeg","Скачать индивидуальный QR-код магазина")</f>
        <v>Скачать индивидуальный QR-код магазина</v>
      </c>
    </row>
    <row r="7338" spans="1:7" x14ac:dyDescent="0.25">
      <c r="A7338" t="s">
        <v>18820</v>
      </c>
      <c r="B7338" t="s">
        <v>23343</v>
      </c>
      <c r="C7338" t="s">
        <v>15143</v>
      </c>
      <c r="D7338" t="s">
        <v>15144</v>
      </c>
      <c r="E7338" t="s">
        <v>15145</v>
      </c>
      <c r="F7338" t="s">
        <v>23686</v>
      </c>
      <c r="G7338" s="2" t="str">
        <f>HYPERLINK("https://probpalata.gov.ru/files/ЮЛ770101248500038.jpeg","Скачать индивидуальный QR-код магазина")</f>
        <v>Скачать индивидуальный QR-код магазина</v>
      </c>
    </row>
    <row r="7339" spans="1:7" x14ac:dyDescent="0.25">
      <c r="A7339" t="s">
        <v>18820</v>
      </c>
      <c r="B7339" t="s">
        <v>23687</v>
      </c>
      <c r="C7339" t="s">
        <v>15143</v>
      </c>
      <c r="D7339" t="s">
        <v>15144</v>
      </c>
      <c r="E7339" t="s">
        <v>15145</v>
      </c>
      <c r="F7339" t="s">
        <v>23688</v>
      </c>
      <c r="G7339" s="2" t="str">
        <f>HYPERLINK("https://probpalata.gov.ru/files/ЮЛ770101248500039.jpeg","Скачать индивидуальный QR-код магазина")</f>
        <v>Скачать индивидуальный QR-код магазина</v>
      </c>
    </row>
    <row r="7340" spans="1:7" x14ac:dyDescent="0.25">
      <c r="A7340" t="s">
        <v>18820</v>
      </c>
      <c r="B7340" t="s">
        <v>23689</v>
      </c>
      <c r="C7340" t="s">
        <v>15143</v>
      </c>
      <c r="D7340" t="s">
        <v>15144</v>
      </c>
      <c r="E7340" t="s">
        <v>15145</v>
      </c>
      <c r="F7340" t="s">
        <v>23690</v>
      </c>
      <c r="G7340" s="2" t="str">
        <f>HYPERLINK("https://probpalata.gov.ru/files/ЮЛ770101248500040.jpeg","Скачать индивидуальный QR-код магазина")</f>
        <v>Скачать индивидуальный QR-код магазина</v>
      </c>
    </row>
    <row r="7341" spans="1:7" x14ac:dyDescent="0.25">
      <c r="A7341" t="s">
        <v>18820</v>
      </c>
      <c r="B7341" t="s">
        <v>23691</v>
      </c>
      <c r="C7341" t="s">
        <v>23692</v>
      </c>
      <c r="D7341" t="s">
        <v>23693</v>
      </c>
      <c r="E7341" t="s">
        <v>23694</v>
      </c>
      <c r="F7341" t="s">
        <v>23695</v>
      </c>
      <c r="G7341" s="2" t="str">
        <f>HYPERLINK("https://probpalata.gov.ru/files/ЮЛ770103275800000.jpeg","Скачать индивидуальный QR-код магазина")</f>
        <v>Скачать индивидуальный QR-код магазина</v>
      </c>
    </row>
    <row r="7342" spans="1:7" x14ac:dyDescent="0.25">
      <c r="A7342" t="s">
        <v>18820</v>
      </c>
      <c r="B7342" t="s">
        <v>23696</v>
      </c>
      <c r="C7342" t="s">
        <v>23697</v>
      </c>
      <c r="D7342" t="s">
        <v>23698</v>
      </c>
      <c r="E7342" t="s">
        <v>23699</v>
      </c>
      <c r="F7342" t="s">
        <v>23700</v>
      </c>
      <c r="G7342" s="2" t="str">
        <f>HYPERLINK("https://probpalata.gov.ru/files/ЮЛ770100391200000.jpeg","Скачать индивидуальный QR-код магазина")</f>
        <v>Скачать индивидуальный QR-код магазина</v>
      </c>
    </row>
    <row r="7343" spans="1:7" x14ac:dyDescent="0.25">
      <c r="A7343" t="s">
        <v>18820</v>
      </c>
      <c r="B7343" t="s">
        <v>23701</v>
      </c>
      <c r="C7343" t="s">
        <v>23702</v>
      </c>
      <c r="D7343" t="s">
        <v>23703</v>
      </c>
      <c r="E7343" t="s">
        <v>23704</v>
      </c>
      <c r="F7343" t="s">
        <v>23705</v>
      </c>
      <c r="G7343" s="2" t="str">
        <f>HYPERLINK("https://probpalata.gov.ru/files/ЮЛ770101587100000.jpeg","Скачать индивидуальный QR-код магазина")</f>
        <v>Скачать индивидуальный QR-код магазина</v>
      </c>
    </row>
    <row r="7344" spans="1:7" x14ac:dyDescent="0.25">
      <c r="A7344" t="s">
        <v>18820</v>
      </c>
      <c r="B7344" t="s">
        <v>23706</v>
      </c>
      <c r="C7344" t="s">
        <v>23707</v>
      </c>
      <c r="D7344" t="s">
        <v>23708</v>
      </c>
      <c r="E7344" t="s">
        <v>23709</v>
      </c>
      <c r="F7344" t="s">
        <v>23710</v>
      </c>
      <c r="G7344" s="2" t="str">
        <f>HYPERLINK("https://probpalata.gov.ru/files/ЮЛ770101174500000.jpeg","Скачать индивидуальный QR-код магазина")</f>
        <v>Скачать индивидуальный QR-код магазина</v>
      </c>
    </row>
    <row r="7345" spans="1:7" x14ac:dyDescent="0.25">
      <c r="A7345" t="s">
        <v>18820</v>
      </c>
      <c r="B7345" t="s">
        <v>23711</v>
      </c>
      <c r="C7345" t="s">
        <v>23707</v>
      </c>
      <c r="D7345" t="s">
        <v>23708</v>
      </c>
      <c r="E7345" t="s">
        <v>23709</v>
      </c>
      <c r="F7345" t="s">
        <v>23712</v>
      </c>
      <c r="G7345" s="2" t="str">
        <f>HYPERLINK("https://probpalata.gov.ru/files/ЮЛ770101174500001.jpeg","Скачать индивидуальный QR-код магазина")</f>
        <v>Скачать индивидуальный QR-код магазина</v>
      </c>
    </row>
    <row r="7346" spans="1:7" x14ac:dyDescent="0.25">
      <c r="A7346" t="s">
        <v>18820</v>
      </c>
      <c r="B7346" t="s">
        <v>23713</v>
      </c>
      <c r="C7346" t="s">
        <v>23714</v>
      </c>
      <c r="D7346" t="s">
        <v>23715</v>
      </c>
      <c r="E7346" t="s">
        <v>23716</v>
      </c>
      <c r="F7346" t="s">
        <v>23717</v>
      </c>
      <c r="G7346" s="2" t="str">
        <f>HYPERLINK("https://probpalata.gov.ru/files/ЮЛ770100769000000.jpeg","Скачать индивидуальный QR-код магазина")</f>
        <v>Скачать индивидуальный QR-код магазина</v>
      </c>
    </row>
    <row r="7347" spans="1:7" x14ac:dyDescent="0.25">
      <c r="A7347" t="s">
        <v>18820</v>
      </c>
      <c r="B7347" t="s">
        <v>23718</v>
      </c>
      <c r="C7347" t="s">
        <v>23714</v>
      </c>
      <c r="D7347" t="s">
        <v>23715</v>
      </c>
      <c r="E7347" t="s">
        <v>23716</v>
      </c>
      <c r="F7347" t="s">
        <v>23719</v>
      </c>
      <c r="G7347" s="2" t="str">
        <f>HYPERLINK("https://probpalata.gov.ru/files/ЮЛ770100769000002.jpeg","Скачать индивидуальный QR-код магазина")</f>
        <v>Скачать индивидуальный QR-код магазина</v>
      </c>
    </row>
    <row r="7348" spans="1:7" x14ac:dyDescent="0.25">
      <c r="A7348" t="s">
        <v>18820</v>
      </c>
      <c r="B7348" t="s">
        <v>23720</v>
      </c>
      <c r="C7348" t="s">
        <v>23721</v>
      </c>
      <c r="D7348" t="s">
        <v>23722</v>
      </c>
      <c r="E7348" t="s">
        <v>23723</v>
      </c>
      <c r="F7348" t="s">
        <v>23724</v>
      </c>
      <c r="G7348" s="2" t="str">
        <f>HYPERLINK("https://probpalata.gov.ru/files/ЮЛ770100728200000.jpeg","Скачать индивидуальный QR-код магазина")</f>
        <v>Скачать индивидуальный QR-код магазина</v>
      </c>
    </row>
    <row r="7349" spans="1:7" x14ac:dyDescent="0.25">
      <c r="A7349" t="s">
        <v>18820</v>
      </c>
      <c r="B7349" t="s">
        <v>23725</v>
      </c>
      <c r="C7349" t="s">
        <v>23726</v>
      </c>
      <c r="D7349" t="s">
        <v>23727</v>
      </c>
      <c r="E7349" t="s">
        <v>23728</v>
      </c>
      <c r="F7349" t="s">
        <v>23729</v>
      </c>
      <c r="G7349" s="2" t="str">
        <f>HYPERLINK("https://probpalata.gov.ru/files/ЮЛ770100768600000.jpeg","Скачать индивидуальный QR-код магазина")</f>
        <v>Скачать индивидуальный QR-код магазина</v>
      </c>
    </row>
    <row r="7350" spans="1:7" x14ac:dyDescent="0.25">
      <c r="A7350" t="s">
        <v>18820</v>
      </c>
      <c r="B7350" t="s">
        <v>23730</v>
      </c>
      <c r="C7350" t="s">
        <v>23731</v>
      </c>
      <c r="D7350" t="s">
        <v>23732</v>
      </c>
      <c r="E7350" t="s">
        <v>23733</v>
      </c>
      <c r="F7350" t="s">
        <v>23734</v>
      </c>
      <c r="G7350" s="2" t="str">
        <f>HYPERLINK("https://probpalata.gov.ru/files/ЮЛ500100511100000.jpeg","Скачать индивидуальный QR-код магазина")</f>
        <v>Скачать индивидуальный QR-код магазина</v>
      </c>
    </row>
    <row r="7351" spans="1:7" x14ac:dyDescent="0.25">
      <c r="A7351" t="s">
        <v>18820</v>
      </c>
      <c r="B7351" t="s">
        <v>23735</v>
      </c>
      <c r="C7351" t="s">
        <v>23736</v>
      </c>
      <c r="D7351" t="s">
        <v>23737</v>
      </c>
      <c r="E7351" t="s">
        <v>23738</v>
      </c>
      <c r="F7351" t="s">
        <v>23739</v>
      </c>
      <c r="G7351" s="2" t="str">
        <f>HYPERLINK("https://probpalata.gov.ru/files/ИП770103007700000.jpeg","Скачать индивидуальный QR-код магазина")</f>
        <v>Скачать индивидуальный QR-код магазина</v>
      </c>
    </row>
    <row r="7352" spans="1:7" x14ac:dyDescent="0.25">
      <c r="A7352" t="s">
        <v>18820</v>
      </c>
      <c r="B7352" t="s">
        <v>23740</v>
      </c>
      <c r="C7352" t="s">
        <v>23741</v>
      </c>
      <c r="D7352" t="s">
        <v>23742</v>
      </c>
      <c r="E7352" t="s">
        <v>23743</v>
      </c>
      <c r="F7352" t="s">
        <v>23744</v>
      </c>
      <c r="G7352" s="2" t="str">
        <f>HYPERLINK("https://probpalata.gov.ru/files/ИП770100965100000.jpeg","Скачать индивидуальный QR-код магазина")</f>
        <v>Скачать индивидуальный QR-код магазина</v>
      </c>
    </row>
    <row r="7353" spans="1:7" x14ac:dyDescent="0.25">
      <c r="A7353" t="s">
        <v>18820</v>
      </c>
      <c r="B7353" t="s">
        <v>23745</v>
      </c>
      <c r="C7353" t="s">
        <v>23746</v>
      </c>
      <c r="D7353" t="s">
        <v>23747</v>
      </c>
      <c r="E7353" t="s">
        <v>23748</v>
      </c>
      <c r="F7353" t="s">
        <v>23749</v>
      </c>
      <c r="G7353" s="2" t="str">
        <f>HYPERLINK("https://probpalata.gov.ru/files/ИП770103899700000.jpeg","Скачать индивидуальный QR-код магазина")</f>
        <v>Скачать индивидуальный QR-код магазина</v>
      </c>
    </row>
    <row r="7354" spans="1:7" x14ac:dyDescent="0.25">
      <c r="A7354" t="s">
        <v>18820</v>
      </c>
      <c r="B7354" t="s">
        <v>23750</v>
      </c>
      <c r="C7354" t="s">
        <v>23751</v>
      </c>
      <c r="D7354" t="s">
        <v>23752</v>
      </c>
      <c r="E7354" t="s">
        <v>23753</v>
      </c>
      <c r="F7354" t="s">
        <v>23754</v>
      </c>
      <c r="G7354" s="2" t="str">
        <f>HYPERLINK("https://probpalata.gov.ru/files/ИП770100764100000.jpeg","Скачать индивидуальный QR-код магазина")</f>
        <v>Скачать индивидуальный QR-код магазина</v>
      </c>
    </row>
    <row r="7355" spans="1:7" x14ac:dyDescent="0.25">
      <c r="A7355" t="s">
        <v>18820</v>
      </c>
      <c r="B7355" t="s">
        <v>23755</v>
      </c>
      <c r="C7355" t="s">
        <v>23751</v>
      </c>
      <c r="D7355" t="s">
        <v>23752</v>
      </c>
      <c r="E7355" t="s">
        <v>23753</v>
      </c>
      <c r="F7355" t="s">
        <v>23756</v>
      </c>
      <c r="G7355" s="2" t="str">
        <f>HYPERLINK("https://probpalata.gov.ru/files/ИП770100764100002.jpeg","Скачать индивидуальный QR-код магазина")</f>
        <v>Скачать индивидуальный QR-код магазина</v>
      </c>
    </row>
    <row r="7356" spans="1:7" x14ac:dyDescent="0.25">
      <c r="A7356" t="s">
        <v>18820</v>
      </c>
      <c r="B7356" t="s">
        <v>23757</v>
      </c>
      <c r="C7356" t="s">
        <v>23751</v>
      </c>
      <c r="D7356" t="s">
        <v>23752</v>
      </c>
      <c r="E7356" t="s">
        <v>23753</v>
      </c>
      <c r="F7356" t="s">
        <v>23758</v>
      </c>
      <c r="G7356" s="2" t="str">
        <f>HYPERLINK("https://probpalata.gov.ru/files/ИП770100764100003.jpeg","Скачать индивидуальный QR-код магазина")</f>
        <v>Скачать индивидуальный QR-код магазина</v>
      </c>
    </row>
    <row r="7357" spans="1:7" x14ac:dyDescent="0.25">
      <c r="A7357" t="s">
        <v>18820</v>
      </c>
      <c r="B7357" t="s">
        <v>23759</v>
      </c>
      <c r="C7357" t="s">
        <v>23751</v>
      </c>
      <c r="D7357" t="s">
        <v>23752</v>
      </c>
      <c r="E7357" t="s">
        <v>23753</v>
      </c>
      <c r="F7357" t="s">
        <v>23760</v>
      </c>
      <c r="G7357" s="2" t="str">
        <f>HYPERLINK("https://probpalata.gov.ru/files/ИП770100764100004.jpeg","Скачать индивидуальный QR-код магазина")</f>
        <v>Скачать индивидуальный QR-код магазина</v>
      </c>
    </row>
    <row r="7358" spans="1:7" x14ac:dyDescent="0.25">
      <c r="A7358" t="s">
        <v>18820</v>
      </c>
      <c r="B7358" t="s">
        <v>23761</v>
      </c>
      <c r="C7358" t="s">
        <v>23762</v>
      </c>
      <c r="D7358" t="s">
        <v>23763</v>
      </c>
      <c r="E7358" t="s">
        <v>23764</v>
      </c>
      <c r="F7358" t="s">
        <v>23765</v>
      </c>
      <c r="G7358" s="2" t="str">
        <f>HYPERLINK("https://probpalata.gov.ru/files/ИП770101351100000.jpeg","Скачать индивидуальный QR-код магазина")</f>
        <v>Скачать индивидуальный QR-код магазина</v>
      </c>
    </row>
    <row r="7359" spans="1:7" x14ac:dyDescent="0.25">
      <c r="A7359" t="s">
        <v>18820</v>
      </c>
      <c r="B7359" t="s">
        <v>23766</v>
      </c>
      <c r="C7359" t="s">
        <v>23767</v>
      </c>
      <c r="D7359" t="s">
        <v>23768</v>
      </c>
      <c r="E7359" t="s">
        <v>23769</v>
      </c>
      <c r="F7359" t="s">
        <v>23770</v>
      </c>
      <c r="G7359" s="2" t="str">
        <f>HYPERLINK("https://probpalata.gov.ru/files/ИП770100484200000.jpeg","Скачать индивидуальный QR-код магазина")</f>
        <v>Скачать индивидуальный QR-код магазина</v>
      </c>
    </row>
    <row r="7360" spans="1:7" x14ac:dyDescent="0.25">
      <c r="A7360" t="s">
        <v>18820</v>
      </c>
      <c r="B7360" t="s">
        <v>23771</v>
      </c>
      <c r="C7360" t="s">
        <v>23767</v>
      </c>
      <c r="D7360" t="s">
        <v>23768</v>
      </c>
      <c r="E7360" t="s">
        <v>23769</v>
      </c>
      <c r="F7360" t="s">
        <v>23772</v>
      </c>
      <c r="G7360" s="2" t="str">
        <f>HYPERLINK("https://probpalata.gov.ru/files/ИП770100484200001.jpeg","Скачать индивидуальный QR-код магазина")</f>
        <v>Скачать индивидуальный QR-код магазина</v>
      </c>
    </row>
    <row r="7361" spans="1:7" x14ac:dyDescent="0.25">
      <c r="A7361" t="s">
        <v>18820</v>
      </c>
      <c r="B7361" t="s">
        <v>23773</v>
      </c>
      <c r="C7361" t="s">
        <v>23774</v>
      </c>
      <c r="D7361" t="s">
        <v>23775</v>
      </c>
      <c r="E7361" t="s">
        <v>23776</v>
      </c>
      <c r="F7361" t="s">
        <v>23777</v>
      </c>
      <c r="G7361" s="2" t="str">
        <f>HYPERLINK("https://probpalata.gov.ru/files/ИП770104094700000.jpeg","Скачать индивидуальный QR-код магазина")</f>
        <v>Скачать индивидуальный QR-код магазина</v>
      </c>
    </row>
    <row r="7362" spans="1:7" x14ac:dyDescent="0.25">
      <c r="A7362" t="s">
        <v>18820</v>
      </c>
      <c r="B7362" t="s">
        <v>23778</v>
      </c>
      <c r="C7362" t="s">
        <v>23779</v>
      </c>
      <c r="D7362" t="s">
        <v>23780</v>
      </c>
      <c r="E7362" t="s">
        <v>23781</v>
      </c>
      <c r="F7362" t="s">
        <v>23782</v>
      </c>
      <c r="G7362" s="2" t="str">
        <f>HYPERLINK("https://probpalata.gov.ru/files/ЮЛ770100119300000.jpeg","Скачать индивидуальный QR-код магазина")</f>
        <v>Скачать индивидуальный QR-код магазина</v>
      </c>
    </row>
    <row r="7363" spans="1:7" x14ac:dyDescent="0.25">
      <c r="A7363" t="s">
        <v>18820</v>
      </c>
      <c r="B7363" t="s">
        <v>23783</v>
      </c>
      <c r="C7363" t="s">
        <v>23784</v>
      </c>
      <c r="D7363" t="s">
        <v>23785</v>
      </c>
      <c r="E7363" t="s">
        <v>23786</v>
      </c>
      <c r="F7363" t="s">
        <v>23787</v>
      </c>
      <c r="G7363" s="2" t="str">
        <f>HYPERLINK("https://probpalata.gov.ru/files/ИП770100184300000.jpeg","Скачать индивидуальный QR-код магазина")</f>
        <v>Скачать индивидуальный QR-код магазина</v>
      </c>
    </row>
    <row r="7364" spans="1:7" x14ac:dyDescent="0.25">
      <c r="A7364" t="s">
        <v>18820</v>
      </c>
      <c r="B7364" t="s">
        <v>23788</v>
      </c>
      <c r="C7364" t="s">
        <v>23789</v>
      </c>
      <c r="D7364" t="s">
        <v>23790</v>
      </c>
      <c r="E7364" t="s">
        <v>23791</v>
      </c>
      <c r="F7364" t="s">
        <v>23792</v>
      </c>
      <c r="G7364" s="2" t="str">
        <f>HYPERLINK("https://probpalata.gov.ru/files/ЮЛ770100774200000.jpeg","Скачать индивидуальный QR-код магазина")</f>
        <v>Скачать индивидуальный QR-код магазина</v>
      </c>
    </row>
    <row r="7365" spans="1:7" x14ac:dyDescent="0.25">
      <c r="A7365" t="s">
        <v>18820</v>
      </c>
      <c r="B7365" t="s">
        <v>23793</v>
      </c>
      <c r="C7365" t="s">
        <v>23794</v>
      </c>
      <c r="D7365" t="s">
        <v>23795</v>
      </c>
      <c r="E7365" t="s">
        <v>23796</v>
      </c>
      <c r="F7365" t="s">
        <v>23797</v>
      </c>
      <c r="G7365" s="2" t="str">
        <f>HYPERLINK("https://probpalata.gov.ru/files/ЮЛ770100250700000.jpeg","Скачать индивидуальный QR-код магазина")</f>
        <v>Скачать индивидуальный QR-код магазина</v>
      </c>
    </row>
    <row r="7366" spans="1:7" x14ac:dyDescent="0.25">
      <c r="A7366" t="s">
        <v>18820</v>
      </c>
      <c r="B7366" t="s">
        <v>23798</v>
      </c>
      <c r="C7366" t="s">
        <v>23799</v>
      </c>
      <c r="D7366" t="s">
        <v>23800</v>
      </c>
      <c r="E7366" t="s">
        <v>23801</v>
      </c>
      <c r="F7366" t="s">
        <v>23802</v>
      </c>
      <c r="G7366" s="2" t="str">
        <f>HYPERLINK("https://probpalata.gov.ru/files/ИП770103774700000.jpeg","Скачать индивидуальный QR-код магазина")</f>
        <v>Скачать индивидуальный QR-код магазина</v>
      </c>
    </row>
    <row r="7367" spans="1:7" x14ac:dyDescent="0.25">
      <c r="A7367" t="s">
        <v>18820</v>
      </c>
      <c r="B7367" t="s">
        <v>23803</v>
      </c>
      <c r="C7367" t="s">
        <v>23804</v>
      </c>
      <c r="D7367" t="s">
        <v>23805</v>
      </c>
      <c r="E7367" t="s">
        <v>23806</v>
      </c>
      <c r="F7367" t="s">
        <v>23807</v>
      </c>
      <c r="G7367" s="2" t="str">
        <f>HYPERLINK("https://probpalata.gov.ru/files/ЮЛ770100755400000.jpeg","Скачать индивидуальный QR-код магазина")</f>
        <v>Скачать индивидуальный QR-код магазина</v>
      </c>
    </row>
    <row r="7368" spans="1:7" x14ac:dyDescent="0.25">
      <c r="A7368" t="s">
        <v>18820</v>
      </c>
      <c r="B7368" t="s">
        <v>23808</v>
      </c>
      <c r="C7368" t="s">
        <v>23809</v>
      </c>
      <c r="D7368" t="s">
        <v>23810</v>
      </c>
      <c r="E7368" t="s">
        <v>23811</v>
      </c>
      <c r="F7368" t="s">
        <v>23812</v>
      </c>
      <c r="G7368" s="2" t="str">
        <f>HYPERLINK("https://probpalata.gov.ru/files/ИП770100405600000.jpeg","Скачать индивидуальный QR-код магазина")</f>
        <v>Скачать индивидуальный QR-код магазина</v>
      </c>
    </row>
    <row r="7369" spans="1:7" x14ac:dyDescent="0.25">
      <c r="A7369" t="s">
        <v>18820</v>
      </c>
      <c r="B7369" t="s">
        <v>23813</v>
      </c>
      <c r="C7369" t="s">
        <v>23814</v>
      </c>
      <c r="D7369" t="s">
        <v>23815</v>
      </c>
      <c r="E7369" t="s">
        <v>23816</v>
      </c>
      <c r="F7369" t="s">
        <v>23817</v>
      </c>
      <c r="G7369" s="2" t="str">
        <f>HYPERLINK("https://probpalata.gov.ru/files/ИП770100562000000.jpeg","Скачать индивидуальный QR-код магазина")</f>
        <v>Скачать индивидуальный QR-код магазина</v>
      </c>
    </row>
    <row r="7370" spans="1:7" x14ac:dyDescent="0.25">
      <c r="A7370" t="s">
        <v>18820</v>
      </c>
      <c r="B7370" t="s">
        <v>23818</v>
      </c>
      <c r="C7370" t="s">
        <v>23819</v>
      </c>
      <c r="D7370" t="s">
        <v>23820</v>
      </c>
      <c r="E7370" t="s">
        <v>23821</v>
      </c>
      <c r="F7370" t="s">
        <v>23822</v>
      </c>
      <c r="G7370" s="2" t="str">
        <f>HYPERLINK("https://probpalata.gov.ru/files/ЮЛ770100623100000.jpeg","Скачать индивидуальный QR-код магазина")</f>
        <v>Скачать индивидуальный QR-код магазина</v>
      </c>
    </row>
    <row r="7371" spans="1:7" x14ac:dyDescent="0.25">
      <c r="A7371" t="s">
        <v>18820</v>
      </c>
      <c r="B7371" t="s">
        <v>23823</v>
      </c>
      <c r="C7371" t="s">
        <v>23824</v>
      </c>
      <c r="D7371" t="s">
        <v>23825</v>
      </c>
      <c r="E7371" t="s">
        <v>23826</v>
      </c>
      <c r="F7371" t="s">
        <v>23827</v>
      </c>
      <c r="G7371" s="2" t="str">
        <f>HYPERLINK("https://probpalata.gov.ru/files/ЮЛ770101077800000.jpeg","Скачать индивидуальный QR-код магазина")</f>
        <v>Скачать индивидуальный QR-код магазина</v>
      </c>
    </row>
    <row r="7372" spans="1:7" x14ac:dyDescent="0.25">
      <c r="A7372" t="s">
        <v>18820</v>
      </c>
      <c r="B7372" t="s">
        <v>23828</v>
      </c>
      <c r="C7372" t="s">
        <v>23829</v>
      </c>
      <c r="D7372" t="s">
        <v>23830</v>
      </c>
      <c r="E7372" t="s">
        <v>23831</v>
      </c>
      <c r="F7372" t="s">
        <v>23832</v>
      </c>
      <c r="G7372" s="2" t="str">
        <f>HYPERLINK("https://probpalata.gov.ru/files/ИП770100668400000.jpeg","Скачать индивидуальный QR-код магазина")</f>
        <v>Скачать индивидуальный QR-код магазина</v>
      </c>
    </row>
    <row r="7373" spans="1:7" x14ac:dyDescent="0.25">
      <c r="A7373" t="s">
        <v>18820</v>
      </c>
      <c r="B7373" t="s">
        <v>23833</v>
      </c>
      <c r="C7373" t="s">
        <v>23829</v>
      </c>
      <c r="D7373" t="s">
        <v>23830</v>
      </c>
      <c r="E7373" t="s">
        <v>23831</v>
      </c>
      <c r="F7373" t="s">
        <v>23834</v>
      </c>
      <c r="G7373" s="2" t="str">
        <f>HYPERLINK("https://probpalata.gov.ru/files/ИП770100668400003.jpeg","Скачать индивидуальный QR-код магазина")</f>
        <v>Скачать индивидуальный QR-код магазина</v>
      </c>
    </row>
    <row r="7374" spans="1:7" x14ac:dyDescent="0.25">
      <c r="A7374" t="s">
        <v>18820</v>
      </c>
      <c r="B7374" t="s">
        <v>23835</v>
      </c>
      <c r="C7374" t="s">
        <v>23829</v>
      </c>
      <c r="D7374" t="s">
        <v>23830</v>
      </c>
      <c r="E7374" t="s">
        <v>23831</v>
      </c>
      <c r="F7374" t="s">
        <v>23836</v>
      </c>
      <c r="G7374" s="2" t="str">
        <f>HYPERLINK("https://probpalata.gov.ru/files/ИП770100668400006.jpeg","Скачать индивидуальный QR-код магазина")</f>
        <v>Скачать индивидуальный QR-код магазина</v>
      </c>
    </row>
    <row r="7375" spans="1:7" x14ac:dyDescent="0.25">
      <c r="A7375" t="s">
        <v>18820</v>
      </c>
      <c r="B7375" t="s">
        <v>23837</v>
      </c>
      <c r="C7375" t="s">
        <v>23829</v>
      </c>
      <c r="D7375" t="s">
        <v>23830</v>
      </c>
      <c r="E7375" t="s">
        <v>23831</v>
      </c>
      <c r="F7375" t="s">
        <v>23838</v>
      </c>
      <c r="G7375" s="2" t="str">
        <f>HYPERLINK("https://probpalata.gov.ru/files/ИП770100668400007.jpeg","Скачать индивидуальный QR-код магазина")</f>
        <v>Скачать индивидуальный QR-код магазина</v>
      </c>
    </row>
    <row r="7376" spans="1:7" x14ac:dyDescent="0.25">
      <c r="A7376" t="s">
        <v>18820</v>
      </c>
      <c r="B7376" t="s">
        <v>23839</v>
      </c>
      <c r="C7376" t="s">
        <v>23840</v>
      </c>
      <c r="D7376" t="s">
        <v>23841</v>
      </c>
      <c r="E7376" t="s">
        <v>23842</v>
      </c>
      <c r="F7376" t="s">
        <v>23843</v>
      </c>
      <c r="G7376" s="2" t="str">
        <f>HYPERLINK("https://probpalata.gov.ru/files/ЮЛ770100611800000.jpeg","Скачать индивидуальный QR-код магазина")</f>
        <v>Скачать индивидуальный QR-код магазина</v>
      </c>
    </row>
    <row r="7377" spans="1:7" x14ac:dyDescent="0.25">
      <c r="A7377" t="s">
        <v>18820</v>
      </c>
      <c r="B7377" t="s">
        <v>23844</v>
      </c>
      <c r="C7377" t="s">
        <v>23845</v>
      </c>
      <c r="D7377" t="s">
        <v>23846</v>
      </c>
      <c r="E7377" t="s">
        <v>23847</v>
      </c>
      <c r="F7377" t="s">
        <v>23848</v>
      </c>
      <c r="G7377" s="2" t="str">
        <f>HYPERLINK("https://probpalata.gov.ru/files/ЮЛ770100704600000.jpeg","Скачать индивидуальный QR-код магазина")</f>
        <v>Скачать индивидуальный QR-код магазина</v>
      </c>
    </row>
    <row r="7378" spans="1:7" x14ac:dyDescent="0.25">
      <c r="A7378" t="s">
        <v>18820</v>
      </c>
      <c r="B7378" t="s">
        <v>23849</v>
      </c>
      <c r="C7378" t="s">
        <v>11491</v>
      </c>
      <c r="D7378" t="s">
        <v>23850</v>
      </c>
      <c r="E7378" t="s">
        <v>23851</v>
      </c>
      <c r="F7378" t="s">
        <v>23852</v>
      </c>
      <c r="G7378" s="2" t="str">
        <f>HYPERLINK("https://probpalata.gov.ru/files/ЮЛ770101670600000.jpeg","Скачать индивидуальный QR-код магазина")</f>
        <v>Скачать индивидуальный QR-код магазина</v>
      </c>
    </row>
    <row r="7379" spans="1:7" x14ac:dyDescent="0.25">
      <c r="A7379" t="s">
        <v>18820</v>
      </c>
      <c r="B7379" t="s">
        <v>23853</v>
      </c>
      <c r="C7379" t="s">
        <v>23854</v>
      </c>
      <c r="D7379" t="s">
        <v>23855</v>
      </c>
      <c r="E7379" t="s">
        <v>23856</v>
      </c>
      <c r="F7379" t="s">
        <v>23857</v>
      </c>
      <c r="G7379" s="2" t="str">
        <f>HYPERLINK("https://probpalata.gov.ru/files/ИП770100124900000.jpeg","Скачать индивидуальный QR-код магазина")</f>
        <v>Скачать индивидуальный QR-код магазина</v>
      </c>
    </row>
    <row r="7380" spans="1:7" x14ac:dyDescent="0.25">
      <c r="A7380" t="s">
        <v>18820</v>
      </c>
      <c r="B7380" t="s">
        <v>23858</v>
      </c>
      <c r="C7380" t="s">
        <v>23859</v>
      </c>
      <c r="D7380" t="s">
        <v>23860</v>
      </c>
      <c r="E7380" t="s">
        <v>23861</v>
      </c>
      <c r="F7380" t="s">
        <v>23862</v>
      </c>
      <c r="G7380" s="2" t="str">
        <f>HYPERLINK("https://probpalata.gov.ru/files/ИП770103722800000.jpeg","Скачать индивидуальный QR-код магазина")</f>
        <v>Скачать индивидуальный QR-код магазина</v>
      </c>
    </row>
    <row r="7381" spans="1:7" x14ac:dyDescent="0.25">
      <c r="A7381" t="s">
        <v>18820</v>
      </c>
      <c r="B7381" t="s">
        <v>23863</v>
      </c>
      <c r="C7381" t="s">
        <v>23864</v>
      </c>
      <c r="D7381" t="s">
        <v>23865</v>
      </c>
      <c r="E7381" t="s">
        <v>23866</v>
      </c>
      <c r="F7381" t="s">
        <v>23867</v>
      </c>
      <c r="G7381" s="2" t="str">
        <f>HYPERLINK("https://probpalata.gov.ru/files/ЮЛ770100663400000.jpeg","Скачать индивидуальный QR-код магазина")</f>
        <v>Скачать индивидуальный QR-код магазина</v>
      </c>
    </row>
    <row r="7382" spans="1:7" x14ac:dyDescent="0.25">
      <c r="A7382" t="s">
        <v>18820</v>
      </c>
      <c r="B7382" t="s">
        <v>23868</v>
      </c>
      <c r="C7382" t="s">
        <v>23869</v>
      </c>
      <c r="D7382" t="s">
        <v>23870</v>
      </c>
      <c r="E7382" t="s">
        <v>23871</v>
      </c>
      <c r="F7382" t="s">
        <v>23872</v>
      </c>
      <c r="G7382" s="2" t="str">
        <f>HYPERLINK("https://probpalata.gov.ru/files/ИП770104056100000.jpeg","Скачать индивидуальный QR-код магазина")</f>
        <v>Скачать индивидуальный QR-код магазина</v>
      </c>
    </row>
    <row r="7383" spans="1:7" x14ac:dyDescent="0.25">
      <c r="A7383" t="s">
        <v>18820</v>
      </c>
      <c r="B7383" t="s">
        <v>23873</v>
      </c>
      <c r="C7383" t="s">
        <v>23874</v>
      </c>
      <c r="D7383" t="s">
        <v>23875</v>
      </c>
      <c r="E7383" t="s">
        <v>23876</v>
      </c>
      <c r="F7383" t="s">
        <v>23877</v>
      </c>
      <c r="G7383" s="2" t="str">
        <f>HYPERLINK("https://probpalata.gov.ru/files/ИП770100226200000.jpeg","Скачать индивидуальный QR-код магазина")</f>
        <v>Скачать индивидуальный QR-код магазина</v>
      </c>
    </row>
    <row r="7384" spans="1:7" x14ac:dyDescent="0.25">
      <c r="A7384" t="s">
        <v>18820</v>
      </c>
      <c r="B7384" t="s">
        <v>23878</v>
      </c>
      <c r="C7384" t="s">
        <v>23874</v>
      </c>
      <c r="D7384" t="s">
        <v>23875</v>
      </c>
      <c r="E7384" t="s">
        <v>23876</v>
      </c>
      <c r="F7384" t="s">
        <v>23879</v>
      </c>
      <c r="G7384" s="2" t="str">
        <f>HYPERLINK("https://probpalata.gov.ru/files/ИП770100226200001.jpeg","Скачать индивидуальный QR-код магазина")</f>
        <v>Скачать индивидуальный QR-код магазина</v>
      </c>
    </row>
    <row r="7385" spans="1:7" x14ac:dyDescent="0.25">
      <c r="A7385" t="s">
        <v>18820</v>
      </c>
      <c r="B7385" t="s">
        <v>23880</v>
      </c>
      <c r="C7385" t="s">
        <v>23874</v>
      </c>
      <c r="D7385" t="s">
        <v>23875</v>
      </c>
      <c r="E7385" t="s">
        <v>23876</v>
      </c>
      <c r="F7385" t="s">
        <v>23881</v>
      </c>
      <c r="G7385" s="2" t="str">
        <f>HYPERLINK("https://probpalata.gov.ru/files/ИП770100226200002.jpeg","Скачать индивидуальный QR-код магазина")</f>
        <v>Скачать индивидуальный QR-код магазина</v>
      </c>
    </row>
    <row r="7386" spans="1:7" x14ac:dyDescent="0.25">
      <c r="A7386" t="s">
        <v>18820</v>
      </c>
      <c r="B7386" t="s">
        <v>23882</v>
      </c>
      <c r="C7386" t="s">
        <v>23874</v>
      </c>
      <c r="D7386" t="s">
        <v>23875</v>
      </c>
      <c r="E7386" t="s">
        <v>23876</v>
      </c>
      <c r="F7386" t="s">
        <v>23883</v>
      </c>
      <c r="G7386" s="2" t="str">
        <f>HYPERLINK("https://probpalata.gov.ru/files/ИП770100226200003.jpeg","Скачать индивидуальный QR-код магазина")</f>
        <v>Скачать индивидуальный QR-код магазина</v>
      </c>
    </row>
    <row r="7387" spans="1:7" x14ac:dyDescent="0.25">
      <c r="A7387" t="s">
        <v>18820</v>
      </c>
      <c r="B7387" t="s">
        <v>23884</v>
      </c>
      <c r="C7387" t="s">
        <v>23874</v>
      </c>
      <c r="D7387" t="s">
        <v>23875</v>
      </c>
      <c r="E7387" t="s">
        <v>23876</v>
      </c>
      <c r="F7387" t="s">
        <v>23885</v>
      </c>
      <c r="G7387" s="2" t="str">
        <f>HYPERLINK("https://probpalata.gov.ru/files/ИП770100226200004.jpeg","Скачать индивидуальный QR-код магазина")</f>
        <v>Скачать индивидуальный QR-код магазина</v>
      </c>
    </row>
    <row r="7388" spans="1:7" x14ac:dyDescent="0.25">
      <c r="A7388" t="s">
        <v>18820</v>
      </c>
      <c r="B7388" t="s">
        <v>23886</v>
      </c>
      <c r="C7388" t="s">
        <v>23874</v>
      </c>
      <c r="D7388" t="s">
        <v>23875</v>
      </c>
      <c r="E7388" t="s">
        <v>23876</v>
      </c>
      <c r="F7388" t="s">
        <v>23887</v>
      </c>
      <c r="G7388" s="2" t="str">
        <f>HYPERLINK("https://probpalata.gov.ru/files/ИП770100226200005.jpeg","Скачать индивидуальный QR-код магазина")</f>
        <v>Скачать индивидуальный QR-код магазина</v>
      </c>
    </row>
    <row r="7389" spans="1:7" x14ac:dyDescent="0.25">
      <c r="A7389" t="s">
        <v>18820</v>
      </c>
      <c r="B7389" t="s">
        <v>22784</v>
      </c>
      <c r="C7389" t="s">
        <v>23888</v>
      </c>
      <c r="D7389" t="s">
        <v>23889</v>
      </c>
      <c r="E7389" t="s">
        <v>23890</v>
      </c>
      <c r="F7389" t="s">
        <v>23891</v>
      </c>
      <c r="G7389" s="2" t="str">
        <f>HYPERLINK("https://probpalata.gov.ru/files/ИП770103845600000.jpeg","Скачать индивидуальный QR-код магазина")</f>
        <v>Скачать индивидуальный QR-код магазина</v>
      </c>
    </row>
    <row r="7390" spans="1:7" x14ac:dyDescent="0.25">
      <c r="A7390" t="s">
        <v>18820</v>
      </c>
      <c r="B7390" t="s">
        <v>23892</v>
      </c>
      <c r="C7390" t="s">
        <v>23888</v>
      </c>
      <c r="D7390" t="s">
        <v>23889</v>
      </c>
      <c r="E7390" t="s">
        <v>23890</v>
      </c>
      <c r="F7390" t="s">
        <v>23893</v>
      </c>
      <c r="G7390" s="2" t="str">
        <f>HYPERLINK("https://probpalata.gov.ru/files/ИП770103845600001.jpeg","Скачать индивидуальный QR-код магазина")</f>
        <v>Скачать индивидуальный QR-код магазина</v>
      </c>
    </row>
    <row r="7391" spans="1:7" x14ac:dyDescent="0.25">
      <c r="A7391" t="s">
        <v>18820</v>
      </c>
      <c r="B7391" t="s">
        <v>23894</v>
      </c>
      <c r="C7391" t="s">
        <v>23895</v>
      </c>
      <c r="D7391" t="s">
        <v>23896</v>
      </c>
      <c r="E7391" t="s">
        <v>23897</v>
      </c>
      <c r="F7391" t="s">
        <v>23898</v>
      </c>
      <c r="G7391" s="2" t="str">
        <f>HYPERLINK("https://probpalata.gov.ru/files/ЮЛ770101508300000.jpeg","Скачать индивидуальный QR-код магазина")</f>
        <v>Скачать индивидуальный QR-код магазина</v>
      </c>
    </row>
    <row r="7392" spans="1:7" x14ac:dyDescent="0.25">
      <c r="A7392" t="s">
        <v>18820</v>
      </c>
      <c r="B7392" t="s">
        <v>23899</v>
      </c>
      <c r="C7392" t="s">
        <v>23900</v>
      </c>
      <c r="D7392" t="s">
        <v>23901</v>
      </c>
      <c r="E7392" t="s">
        <v>23902</v>
      </c>
      <c r="F7392" t="s">
        <v>23903</v>
      </c>
      <c r="G7392" s="2" t="str">
        <f>HYPERLINK("https://probpalata.gov.ru/files/ЮЛ770103075600000.jpeg","Скачать индивидуальный QR-код магазина")</f>
        <v>Скачать индивидуальный QR-код магазина</v>
      </c>
    </row>
    <row r="7393" spans="1:7" x14ac:dyDescent="0.25">
      <c r="A7393" t="s">
        <v>18820</v>
      </c>
      <c r="B7393" t="s">
        <v>23904</v>
      </c>
      <c r="C7393" t="s">
        <v>23905</v>
      </c>
      <c r="D7393" t="s">
        <v>23906</v>
      </c>
      <c r="E7393" t="s">
        <v>23907</v>
      </c>
      <c r="F7393" t="s">
        <v>23908</v>
      </c>
      <c r="G7393" s="2" t="str">
        <f>HYPERLINK("https://probpalata.gov.ru/files/ИП770100379100000.jpeg","Скачать индивидуальный QR-код магазина")</f>
        <v>Скачать индивидуальный QR-код магазина</v>
      </c>
    </row>
    <row r="7394" spans="1:7" x14ac:dyDescent="0.25">
      <c r="A7394" t="s">
        <v>18820</v>
      </c>
      <c r="B7394" t="s">
        <v>23909</v>
      </c>
      <c r="C7394" t="s">
        <v>23910</v>
      </c>
      <c r="D7394" t="s">
        <v>23911</v>
      </c>
      <c r="E7394" t="s">
        <v>23912</v>
      </c>
      <c r="F7394" t="s">
        <v>23913</v>
      </c>
      <c r="G7394" s="2" t="str">
        <f>HYPERLINK("https://probpalata.gov.ru/files/ЮЛ770101401500000.jpeg","Скачать индивидуальный QR-код магазина")</f>
        <v>Скачать индивидуальный QR-код магазина</v>
      </c>
    </row>
    <row r="7395" spans="1:7" x14ac:dyDescent="0.25">
      <c r="A7395" t="s">
        <v>18820</v>
      </c>
      <c r="B7395" t="s">
        <v>23914</v>
      </c>
      <c r="C7395" t="s">
        <v>23915</v>
      </c>
      <c r="D7395" t="s">
        <v>23916</v>
      </c>
      <c r="E7395" t="s">
        <v>23917</v>
      </c>
      <c r="F7395" t="s">
        <v>23918</v>
      </c>
      <c r="G7395" s="2" t="str">
        <f>HYPERLINK("https://probpalata.gov.ru/files/ЮЛ770100941700000.jpeg","Скачать индивидуальный QR-код магазина")</f>
        <v>Скачать индивидуальный QR-код магазина</v>
      </c>
    </row>
    <row r="7396" spans="1:7" x14ac:dyDescent="0.25">
      <c r="A7396" t="s">
        <v>18820</v>
      </c>
      <c r="B7396" t="s">
        <v>23919</v>
      </c>
      <c r="C7396" t="s">
        <v>23920</v>
      </c>
      <c r="D7396" t="s">
        <v>23921</v>
      </c>
      <c r="E7396" t="s">
        <v>23922</v>
      </c>
      <c r="F7396" t="s">
        <v>23923</v>
      </c>
      <c r="G7396" s="2" t="str">
        <f>HYPERLINK("https://probpalata.gov.ru/files/ИП770100638800000.jpeg","Скачать индивидуальный QR-код магазина")</f>
        <v>Скачать индивидуальный QR-код магазина</v>
      </c>
    </row>
    <row r="7397" spans="1:7" x14ac:dyDescent="0.25">
      <c r="A7397" t="s">
        <v>18820</v>
      </c>
      <c r="B7397" t="s">
        <v>23924</v>
      </c>
      <c r="C7397" t="s">
        <v>23925</v>
      </c>
      <c r="D7397" t="s">
        <v>23926</v>
      </c>
      <c r="E7397" t="s">
        <v>23927</v>
      </c>
      <c r="F7397" t="s">
        <v>23928</v>
      </c>
      <c r="G7397" s="2" t="str">
        <f>HYPERLINK("https://probpalata.gov.ru/files/ИП770100224300000.jpeg","Скачать индивидуальный QR-код магазина")</f>
        <v>Скачать индивидуальный QR-код магазина</v>
      </c>
    </row>
    <row r="7398" spans="1:7" x14ac:dyDescent="0.25">
      <c r="A7398" t="s">
        <v>18820</v>
      </c>
      <c r="B7398" t="s">
        <v>23929</v>
      </c>
      <c r="C7398" t="s">
        <v>23930</v>
      </c>
      <c r="D7398" t="s">
        <v>23931</v>
      </c>
      <c r="E7398" t="s">
        <v>23932</v>
      </c>
      <c r="F7398" t="s">
        <v>23933</v>
      </c>
      <c r="G7398" s="2" t="str">
        <f>HYPERLINK("https://probpalata.gov.ru/files/ЮЛ770103196400000.jpeg","Скачать индивидуальный QR-код магазина")</f>
        <v>Скачать индивидуальный QR-код магазина</v>
      </c>
    </row>
    <row r="7399" spans="1:7" x14ac:dyDescent="0.25">
      <c r="A7399" t="s">
        <v>18820</v>
      </c>
      <c r="B7399" t="s">
        <v>23934</v>
      </c>
      <c r="C7399" t="s">
        <v>23935</v>
      </c>
      <c r="D7399" t="s">
        <v>23936</v>
      </c>
      <c r="E7399" t="s">
        <v>23937</v>
      </c>
      <c r="F7399" t="s">
        <v>23938</v>
      </c>
      <c r="G7399" s="2" t="str">
        <f>HYPERLINK("https://probpalata.gov.ru/files/ЮЛ770100966100000.jpeg","Скачать индивидуальный QR-код магазина")</f>
        <v>Скачать индивидуальный QR-код магазина</v>
      </c>
    </row>
    <row r="7400" spans="1:7" x14ac:dyDescent="0.25">
      <c r="A7400" t="s">
        <v>18820</v>
      </c>
      <c r="B7400" t="s">
        <v>23939</v>
      </c>
      <c r="C7400" t="s">
        <v>23940</v>
      </c>
      <c r="D7400" t="s">
        <v>23941</v>
      </c>
      <c r="E7400" t="s">
        <v>23942</v>
      </c>
      <c r="F7400" t="s">
        <v>23943</v>
      </c>
      <c r="G7400" s="2" t="str">
        <f>HYPERLINK("https://probpalata.gov.ru/files/ЮЛ770101292000000.jpeg","Скачать индивидуальный QR-код магазина")</f>
        <v>Скачать индивидуальный QR-код магазина</v>
      </c>
    </row>
    <row r="7401" spans="1:7" x14ac:dyDescent="0.25">
      <c r="A7401" t="s">
        <v>18820</v>
      </c>
      <c r="B7401" t="s">
        <v>23944</v>
      </c>
      <c r="C7401" t="s">
        <v>23945</v>
      </c>
      <c r="D7401" t="s">
        <v>23946</v>
      </c>
      <c r="E7401" t="s">
        <v>23947</v>
      </c>
      <c r="F7401" t="s">
        <v>23948</v>
      </c>
      <c r="G7401" s="2" t="str">
        <f>HYPERLINK("https://probpalata.gov.ru/files/ИП770100654200000.jpeg","Скачать индивидуальный QR-код магазина")</f>
        <v>Скачать индивидуальный QR-код магазина</v>
      </c>
    </row>
    <row r="7402" spans="1:7" x14ac:dyDescent="0.25">
      <c r="A7402" t="s">
        <v>18820</v>
      </c>
      <c r="B7402" t="s">
        <v>23949</v>
      </c>
      <c r="C7402" t="s">
        <v>15156</v>
      </c>
      <c r="D7402" t="s">
        <v>15157</v>
      </c>
      <c r="E7402" t="s">
        <v>15158</v>
      </c>
      <c r="F7402" t="s">
        <v>23950</v>
      </c>
      <c r="G7402" s="2" t="str">
        <f>HYPERLINK("https://probpalata.gov.ru/files/ЮЛ770100039000000.jpeg","Скачать индивидуальный QR-код магазина")</f>
        <v>Скачать индивидуальный QR-код магазина</v>
      </c>
    </row>
    <row r="7403" spans="1:7" x14ac:dyDescent="0.25">
      <c r="A7403" t="s">
        <v>18820</v>
      </c>
      <c r="B7403" t="s">
        <v>23951</v>
      </c>
      <c r="C7403" t="s">
        <v>15156</v>
      </c>
      <c r="D7403" t="s">
        <v>15157</v>
      </c>
      <c r="E7403" t="s">
        <v>15158</v>
      </c>
      <c r="F7403" t="s">
        <v>23952</v>
      </c>
      <c r="G7403" s="2" t="str">
        <f>HYPERLINK("https://probpalata.gov.ru/files/ЮЛ770100039000003.jpeg","Скачать индивидуальный QR-код магазина")</f>
        <v>Скачать индивидуальный QR-код магазина</v>
      </c>
    </row>
    <row r="7404" spans="1:7" x14ac:dyDescent="0.25">
      <c r="A7404" t="s">
        <v>18820</v>
      </c>
      <c r="B7404" t="s">
        <v>23953</v>
      </c>
      <c r="C7404" t="s">
        <v>23954</v>
      </c>
      <c r="D7404" t="s">
        <v>23955</v>
      </c>
      <c r="E7404" t="s">
        <v>23956</v>
      </c>
      <c r="F7404" t="s">
        <v>23957</v>
      </c>
      <c r="G7404" s="2" t="str">
        <f>HYPERLINK("https://probpalata.gov.ru/files/ЮЛ770100920000000.jpeg","Скачать индивидуальный QR-код магазина")</f>
        <v>Скачать индивидуальный QR-код магазина</v>
      </c>
    </row>
    <row r="7405" spans="1:7" x14ac:dyDescent="0.25">
      <c r="A7405" t="s">
        <v>18820</v>
      </c>
      <c r="B7405" t="s">
        <v>23958</v>
      </c>
      <c r="C7405" t="s">
        <v>23959</v>
      </c>
      <c r="D7405" t="s">
        <v>23960</v>
      </c>
      <c r="E7405" t="s">
        <v>23961</v>
      </c>
      <c r="F7405" t="s">
        <v>23962</v>
      </c>
      <c r="G7405" s="2" t="str">
        <f>HYPERLINK("https://probpalata.gov.ru/files/ИП770103710900000.jpeg","Скачать индивидуальный QR-код магазина")</f>
        <v>Скачать индивидуальный QR-код магазина</v>
      </c>
    </row>
    <row r="7406" spans="1:7" x14ac:dyDescent="0.25">
      <c r="A7406" t="s">
        <v>18820</v>
      </c>
      <c r="B7406" t="s">
        <v>23963</v>
      </c>
      <c r="C7406" t="s">
        <v>23964</v>
      </c>
      <c r="D7406" t="s">
        <v>23965</v>
      </c>
      <c r="E7406" t="s">
        <v>23966</v>
      </c>
      <c r="F7406" t="s">
        <v>23967</v>
      </c>
      <c r="G7406" s="2" t="str">
        <f>HYPERLINK("https://probpalata.gov.ru/files/ИП770103316800000.jpeg","Скачать индивидуальный QR-код магазина")</f>
        <v>Скачать индивидуальный QR-код магазина</v>
      </c>
    </row>
    <row r="7407" spans="1:7" x14ac:dyDescent="0.25">
      <c r="A7407" t="s">
        <v>18820</v>
      </c>
      <c r="B7407" t="s">
        <v>23968</v>
      </c>
      <c r="C7407" t="s">
        <v>23969</v>
      </c>
      <c r="D7407" t="s">
        <v>23970</v>
      </c>
      <c r="E7407" t="s">
        <v>23971</v>
      </c>
      <c r="F7407" t="s">
        <v>23972</v>
      </c>
      <c r="G7407" s="2" t="str">
        <f>HYPERLINK("https://probpalata.gov.ru/files/ИП770101285500000.jpeg","Скачать индивидуальный QR-код магазина")</f>
        <v>Скачать индивидуальный QR-код магазина</v>
      </c>
    </row>
    <row r="7408" spans="1:7" x14ac:dyDescent="0.25">
      <c r="A7408" t="s">
        <v>18820</v>
      </c>
      <c r="B7408" t="s">
        <v>23973</v>
      </c>
      <c r="C7408" t="s">
        <v>23974</v>
      </c>
      <c r="D7408" t="s">
        <v>23975</v>
      </c>
      <c r="E7408" t="s">
        <v>23976</v>
      </c>
      <c r="F7408" t="s">
        <v>23977</v>
      </c>
      <c r="G7408" s="2" t="str">
        <f>HYPERLINK("https://probpalata.gov.ru/files/ИП770103954900000.jpeg","Скачать индивидуальный QR-код магазина")</f>
        <v>Скачать индивидуальный QR-код магазина</v>
      </c>
    </row>
    <row r="7409" spans="1:7" x14ac:dyDescent="0.25">
      <c r="A7409" t="s">
        <v>18820</v>
      </c>
      <c r="B7409" t="s">
        <v>23978</v>
      </c>
      <c r="C7409" t="s">
        <v>23979</v>
      </c>
      <c r="D7409" t="s">
        <v>23980</v>
      </c>
      <c r="E7409" t="s">
        <v>23981</v>
      </c>
      <c r="F7409" t="s">
        <v>23982</v>
      </c>
      <c r="G7409" s="2" t="str">
        <f>HYPERLINK("https://probpalata.gov.ru/files/ИП770102031400000.jpeg","Скачать индивидуальный QR-код магазина")</f>
        <v>Скачать индивидуальный QR-код магазина</v>
      </c>
    </row>
    <row r="7410" spans="1:7" x14ac:dyDescent="0.25">
      <c r="A7410" t="s">
        <v>18820</v>
      </c>
      <c r="B7410" t="s">
        <v>23983</v>
      </c>
      <c r="C7410" t="s">
        <v>23984</v>
      </c>
      <c r="D7410" t="s">
        <v>23985</v>
      </c>
      <c r="E7410" t="s">
        <v>23986</v>
      </c>
      <c r="F7410" t="s">
        <v>23987</v>
      </c>
      <c r="G7410" s="2" t="str">
        <f>HYPERLINK("https://probpalata.gov.ru/files/ИП770100766900000.jpeg","Скачать индивидуальный QR-код магазина")</f>
        <v>Скачать индивидуальный QR-код магазина</v>
      </c>
    </row>
    <row r="7411" spans="1:7" x14ac:dyDescent="0.25">
      <c r="A7411" t="s">
        <v>18820</v>
      </c>
      <c r="B7411" t="s">
        <v>23988</v>
      </c>
      <c r="C7411" t="s">
        <v>23989</v>
      </c>
      <c r="D7411" t="s">
        <v>23990</v>
      </c>
      <c r="E7411" t="s">
        <v>23991</v>
      </c>
      <c r="F7411" t="s">
        <v>23992</v>
      </c>
      <c r="G7411" s="2" t="str">
        <f>HYPERLINK("https://probpalata.gov.ru/files/ЮЛ770100810000000.jpeg","Скачать индивидуальный QR-код магазина")</f>
        <v>Скачать индивидуальный QR-код магазина</v>
      </c>
    </row>
    <row r="7412" spans="1:7" x14ac:dyDescent="0.25">
      <c r="A7412" t="s">
        <v>18820</v>
      </c>
      <c r="B7412" t="s">
        <v>23993</v>
      </c>
      <c r="C7412" t="s">
        <v>23994</v>
      </c>
      <c r="D7412" t="s">
        <v>23995</v>
      </c>
      <c r="E7412" t="s">
        <v>23996</v>
      </c>
      <c r="F7412" t="s">
        <v>23997</v>
      </c>
      <c r="G7412" s="2" t="str">
        <f>HYPERLINK("https://probpalata.gov.ru/files/ЮЛ770101421700000.jpeg","Скачать индивидуальный QR-код магазина")</f>
        <v>Скачать индивидуальный QR-код магазина</v>
      </c>
    </row>
    <row r="7413" spans="1:7" x14ac:dyDescent="0.25">
      <c r="A7413" t="s">
        <v>18820</v>
      </c>
      <c r="B7413" t="s">
        <v>23998</v>
      </c>
      <c r="C7413" t="s">
        <v>23999</v>
      </c>
      <c r="D7413" t="s">
        <v>24000</v>
      </c>
      <c r="E7413" t="s">
        <v>24001</v>
      </c>
      <c r="F7413" t="s">
        <v>24002</v>
      </c>
      <c r="G7413" s="2" t="str">
        <f>HYPERLINK("https://probpalata.gov.ru/files/ИП770103779700000.jpeg","Скачать индивидуальный QR-код магазина")</f>
        <v>Скачать индивидуальный QR-код магазина</v>
      </c>
    </row>
    <row r="7414" spans="1:7" x14ac:dyDescent="0.25">
      <c r="A7414" t="s">
        <v>18820</v>
      </c>
      <c r="B7414" t="s">
        <v>24003</v>
      </c>
      <c r="C7414" t="s">
        <v>24004</v>
      </c>
      <c r="D7414" t="s">
        <v>24005</v>
      </c>
      <c r="E7414" t="s">
        <v>24006</v>
      </c>
      <c r="F7414" t="s">
        <v>24007</v>
      </c>
      <c r="G7414" s="2" t="str">
        <f>HYPERLINK("https://probpalata.gov.ru/files/ЮЛ770100355100000.jpeg","Скачать индивидуальный QR-код магазина")</f>
        <v>Скачать индивидуальный QR-код магазина</v>
      </c>
    </row>
    <row r="7415" spans="1:7" x14ac:dyDescent="0.25">
      <c r="A7415" t="s">
        <v>18820</v>
      </c>
      <c r="B7415" t="s">
        <v>24008</v>
      </c>
      <c r="C7415" t="s">
        <v>24009</v>
      </c>
      <c r="D7415" t="s">
        <v>24010</v>
      </c>
      <c r="E7415" t="s">
        <v>24011</v>
      </c>
      <c r="F7415" t="s">
        <v>24012</v>
      </c>
      <c r="G7415" s="2" t="str">
        <f>HYPERLINK("https://probpalata.gov.ru/files/ИП770103340200000.jpeg","Скачать индивидуальный QR-код магазина")</f>
        <v>Скачать индивидуальный QR-код магазина</v>
      </c>
    </row>
    <row r="7416" spans="1:7" x14ac:dyDescent="0.25">
      <c r="A7416" t="s">
        <v>18820</v>
      </c>
      <c r="B7416" t="s">
        <v>24013</v>
      </c>
      <c r="C7416" t="s">
        <v>24014</v>
      </c>
      <c r="D7416" t="s">
        <v>24015</v>
      </c>
      <c r="E7416" t="s">
        <v>24016</v>
      </c>
      <c r="F7416" t="s">
        <v>24017</v>
      </c>
      <c r="G7416" s="2" t="str">
        <f>HYPERLINK("https://probpalata.gov.ru/files/ЮЛ770100490400000.jpeg","Скачать индивидуальный QR-код магазина")</f>
        <v>Скачать индивидуальный QR-код магазина</v>
      </c>
    </row>
    <row r="7417" spans="1:7" x14ac:dyDescent="0.25">
      <c r="A7417" t="s">
        <v>18820</v>
      </c>
      <c r="B7417" t="s">
        <v>24018</v>
      </c>
      <c r="C7417" t="s">
        <v>24019</v>
      </c>
      <c r="D7417" t="s">
        <v>24020</v>
      </c>
      <c r="E7417" t="s">
        <v>24021</v>
      </c>
      <c r="F7417" t="s">
        <v>24022</v>
      </c>
      <c r="G7417" s="2" t="str">
        <f>HYPERLINK("https://probpalata.gov.ru/files/ИП770100477900000.jpeg","Скачать индивидуальный QR-код магазина")</f>
        <v>Скачать индивидуальный QR-код магазина</v>
      </c>
    </row>
    <row r="7418" spans="1:7" x14ac:dyDescent="0.25">
      <c r="A7418" t="s">
        <v>18820</v>
      </c>
      <c r="B7418" t="s">
        <v>24023</v>
      </c>
      <c r="C7418" t="s">
        <v>24024</v>
      </c>
      <c r="D7418" t="s">
        <v>24025</v>
      </c>
      <c r="E7418" t="s">
        <v>24026</v>
      </c>
      <c r="F7418" t="s">
        <v>24027</v>
      </c>
      <c r="G7418" s="2" t="str">
        <f>HYPERLINK("https://probpalata.gov.ru/files/ИП770103296000000.jpeg","Скачать индивидуальный QR-код магазина")</f>
        <v>Скачать индивидуальный QR-код магазина</v>
      </c>
    </row>
    <row r="7419" spans="1:7" x14ac:dyDescent="0.25">
      <c r="A7419" t="s">
        <v>18820</v>
      </c>
      <c r="B7419" t="s">
        <v>24028</v>
      </c>
      <c r="C7419" t="s">
        <v>24029</v>
      </c>
      <c r="D7419" t="s">
        <v>24030</v>
      </c>
      <c r="E7419" t="s">
        <v>24031</v>
      </c>
      <c r="F7419" t="s">
        <v>24032</v>
      </c>
      <c r="G7419" s="2" t="str">
        <f>HYPERLINK("https://probpalata.gov.ru/files/ИП770104001100000.jpeg","Скачать индивидуальный QR-код магазина")</f>
        <v>Скачать индивидуальный QR-код магазина</v>
      </c>
    </row>
    <row r="7420" spans="1:7" x14ac:dyDescent="0.25">
      <c r="A7420" t="s">
        <v>18820</v>
      </c>
      <c r="B7420" t="s">
        <v>24033</v>
      </c>
      <c r="C7420" t="s">
        <v>24034</v>
      </c>
      <c r="D7420" t="s">
        <v>24035</v>
      </c>
      <c r="E7420" t="s">
        <v>24036</v>
      </c>
      <c r="F7420" t="s">
        <v>24037</v>
      </c>
      <c r="G7420" s="2" t="str">
        <f>HYPERLINK("https://probpalata.gov.ru/files/ЮЛ770100234800000.jpeg","Скачать индивидуальный QR-код магазина")</f>
        <v>Скачать индивидуальный QR-код магазина</v>
      </c>
    </row>
    <row r="7421" spans="1:7" x14ac:dyDescent="0.25">
      <c r="A7421" t="s">
        <v>18820</v>
      </c>
      <c r="B7421" t="s">
        <v>24038</v>
      </c>
      <c r="C7421" t="s">
        <v>24039</v>
      </c>
      <c r="D7421" t="s">
        <v>24040</v>
      </c>
      <c r="E7421" t="s">
        <v>24041</v>
      </c>
      <c r="F7421" t="s">
        <v>24042</v>
      </c>
      <c r="G7421" s="2" t="str">
        <f>HYPERLINK("https://probpalata.gov.ru/files/ИП770100160400000.jpeg","Скачать индивидуальный QR-код магазина")</f>
        <v>Скачать индивидуальный QR-код магазина</v>
      </c>
    </row>
    <row r="7422" spans="1:7" x14ac:dyDescent="0.25">
      <c r="A7422" t="s">
        <v>18820</v>
      </c>
      <c r="B7422" t="s">
        <v>24043</v>
      </c>
      <c r="C7422" t="s">
        <v>24044</v>
      </c>
      <c r="D7422" t="s">
        <v>24045</v>
      </c>
      <c r="E7422" t="s">
        <v>24046</v>
      </c>
      <c r="F7422" t="s">
        <v>24047</v>
      </c>
      <c r="G7422" s="2" t="str">
        <f>HYPERLINK("https://probpalata.gov.ru/files/ЮЛ770101630200000.jpeg","Скачать индивидуальный QR-код магазина")</f>
        <v>Скачать индивидуальный QR-код магазина</v>
      </c>
    </row>
    <row r="7423" spans="1:7" x14ac:dyDescent="0.25">
      <c r="A7423" t="s">
        <v>18820</v>
      </c>
      <c r="B7423" t="s">
        <v>24048</v>
      </c>
      <c r="C7423" t="s">
        <v>24049</v>
      </c>
      <c r="D7423" t="s">
        <v>24050</v>
      </c>
      <c r="E7423" t="s">
        <v>24051</v>
      </c>
      <c r="F7423" t="s">
        <v>24052</v>
      </c>
      <c r="G7423" s="2" t="str">
        <f>HYPERLINK("https://probpalata.gov.ru/files/ЮЛ770100397800004.jpeg","Скачать индивидуальный QR-код магазина")</f>
        <v>Скачать индивидуальный QR-код магазина</v>
      </c>
    </row>
    <row r="7424" spans="1:7" x14ac:dyDescent="0.25">
      <c r="A7424" t="s">
        <v>18820</v>
      </c>
      <c r="B7424" t="s">
        <v>24053</v>
      </c>
      <c r="C7424" t="s">
        <v>24049</v>
      </c>
      <c r="D7424" t="s">
        <v>24050</v>
      </c>
      <c r="E7424" t="s">
        <v>24051</v>
      </c>
      <c r="F7424" t="s">
        <v>24054</v>
      </c>
      <c r="G7424" s="2" t="str">
        <f>HYPERLINK("https://probpalata.gov.ru/files/ЮЛ770100397800005.jpeg","Скачать индивидуальный QR-код магазина")</f>
        <v>Скачать индивидуальный QR-код магазина</v>
      </c>
    </row>
    <row r="7425" spans="1:7" x14ac:dyDescent="0.25">
      <c r="A7425" t="s">
        <v>18820</v>
      </c>
      <c r="B7425" t="s">
        <v>24055</v>
      </c>
      <c r="C7425" t="s">
        <v>24049</v>
      </c>
      <c r="D7425" t="s">
        <v>24050</v>
      </c>
      <c r="E7425" t="s">
        <v>24051</v>
      </c>
      <c r="F7425" t="s">
        <v>24056</v>
      </c>
      <c r="G7425" s="2" t="str">
        <f>HYPERLINK("https://probpalata.gov.ru/files/ЮЛ770100397800010.jpeg","Скачать индивидуальный QR-код магазина")</f>
        <v>Скачать индивидуальный QR-код магазина</v>
      </c>
    </row>
    <row r="7426" spans="1:7" x14ac:dyDescent="0.25">
      <c r="A7426" t="s">
        <v>18820</v>
      </c>
      <c r="B7426" t="s">
        <v>24057</v>
      </c>
      <c r="C7426" t="s">
        <v>24058</v>
      </c>
      <c r="D7426" t="s">
        <v>24059</v>
      </c>
      <c r="E7426" t="s">
        <v>24060</v>
      </c>
      <c r="F7426" t="s">
        <v>24061</v>
      </c>
      <c r="G7426" s="2" t="str">
        <f>HYPERLINK("https://probpalata.gov.ru/files/ЮЛ770100824200000.jpeg","Скачать индивидуальный QR-код магазина")</f>
        <v>Скачать индивидуальный QR-код магазина</v>
      </c>
    </row>
    <row r="7427" spans="1:7" x14ac:dyDescent="0.25">
      <c r="A7427" t="s">
        <v>18820</v>
      </c>
      <c r="B7427" t="s">
        <v>24062</v>
      </c>
      <c r="C7427" t="s">
        <v>24063</v>
      </c>
      <c r="D7427" t="s">
        <v>24064</v>
      </c>
      <c r="E7427" t="s">
        <v>24065</v>
      </c>
      <c r="F7427" t="s">
        <v>24066</v>
      </c>
      <c r="G7427" s="2" t="str">
        <f>HYPERLINK("https://probpalata.gov.ru/files/ИП770104095600000.jpeg","Скачать индивидуальный QR-код магазина")</f>
        <v>Скачать индивидуальный QR-код магазина</v>
      </c>
    </row>
    <row r="7428" spans="1:7" x14ac:dyDescent="0.25">
      <c r="A7428" t="s">
        <v>18820</v>
      </c>
      <c r="B7428" t="s">
        <v>24067</v>
      </c>
      <c r="C7428" t="s">
        <v>24068</v>
      </c>
      <c r="D7428" t="s">
        <v>24069</v>
      </c>
      <c r="E7428" t="s">
        <v>24070</v>
      </c>
      <c r="F7428" t="s">
        <v>24071</v>
      </c>
      <c r="G7428" s="2" t="str">
        <f>HYPERLINK("https://probpalata.gov.ru/files/ИП770101665700000.jpeg","Скачать индивидуальный QR-код магазина")</f>
        <v>Скачать индивидуальный QR-код магазина</v>
      </c>
    </row>
    <row r="7429" spans="1:7" x14ac:dyDescent="0.25">
      <c r="A7429" t="s">
        <v>18820</v>
      </c>
      <c r="B7429" t="s">
        <v>24072</v>
      </c>
      <c r="C7429" t="s">
        <v>24073</v>
      </c>
      <c r="D7429" t="s">
        <v>24074</v>
      </c>
      <c r="E7429" t="s">
        <v>24075</v>
      </c>
      <c r="F7429" t="s">
        <v>24076</v>
      </c>
      <c r="G7429" s="2" t="str">
        <f>HYPERLINK("https://probpalata.gov.ru/files/ИП770103375700000.jpeg","Скачать индивидуальный QR-код магазина")</f>
        <v>Скачать индивидуальный QR-код магазина</v>
      </c>
    </row>
    <row r="7430" spans="1:7" x14ac:dyDescent="0.25">
      <c r="A7430" t="s">
        <v>18820</v>
      </c>
      <c r="B7430" t="s">
        <v>24077</v>
      </c>
      <c r="C7430" t="s">
        <v>24078</v>
      </c>
      <c r="D7430" t="s">
        <v>24079</v>
      </c>
      <c r="E7430" t="s">
        <v>24080</v>
      </c>
      <c r="F7430" t="s">
        <v>24081</v>
      </c>
      <c r="G7430" s="2" t="str">
        <f>HYPERLINK("https://probpalata.gov.ru/files/ИП770100927700000.jpeg","Скачать индивидуальный QR-код магазина")</f>
        <v>Скачать индивидуальный QR-код магазина</v>
      </c>
    </row>
    <row r="7431" spans="1:7" x14ac:dyDescent="0.25">
      <c r="A7431" t="s">
        <v>18820</v>
      </c>
      <c r="B7431" t="s">
        <v>24082</v>
      </c>
      <c r="C7431" t="s">
        <v>24083</v>
      </c>
      <c r="D7431" t="s">
        <v>24084</v>
      </c>
      <c r="E7431" t="s">
        <v>24085</v>
      </c>
      <c r="F7431" t="s">
        <v>24086</v>
      </c>
      <c r="G7431" s="2" t="str">
        <f>HYPERLINK("https://probpalata.gov.ru/files/ИП770101682000000.jpeg","Скачать индивидуальный QR-код магазина")</f>
        <v>Скачать индивидуальный QR-код магазина</v>
      </c>
    </row>
    <row r="7432" spans="1:7" x14ac:dyDescent="0.25">
      <c r="A7432" t="s">
        <v>18820</v>
      </c>
      <c r="B7432" t="s">
        <v>24087</v>
      </c>
      <c r="C7432" t="s">
        <v>24088</v>
      </c>
      <c r="D7432" t="s">
        <v>24089</v>
      </c>
      <c r="E7432" t="s">
        <v>24090</v>
      </c>
      <c r="F7432" t="s">
        <v>24091</v>
      </c>
      <c r="G7432" s="2" t="str">
        <f>HYPERLINK("https://probpalata.gov.ru/files/ИП770100724500000.jpeg","Скачать индивидуальный QR-код магазина")</f>
        <v>Скачать индивидуальный QR-код магазина</v>
      </c>
    </row>
    <row r="7433" spans="1:7" x14ac:dyDescent="0.25">
      <c r="A7433" t="s">
        <v>18820</v>
      </c>
      <c r="B7433" t="s">
        <v>24092</v>
      </c>
      <c r="C7433" t="s">
        <v>24093</v>
      </c>
      <c r="D7433" t="s">
        <v>24094</v>
      </c>
      <c r="E7433" t="s">
        <v>24095</v>
      </c>
      <c r="F7433" t="s">
        <v>24096</v>
      </c>
      <c r="G7433" s="2" t="str">
        <f>HYPERLINK("https://probpalata.gov.ru/files/ИП770100858200000.jpeg","Скачать индивидуальный QR-код магазина")</f>
        <v>Скачать индивидуальный QR-код магазина</v>
      </c>
    </row>
    <row r="7434" spans="1:7" x14ac:dyDescent="0.25">
      <c r="A7434" t="s">
        <v>18820</v>
      </c>
      <c r="B7434" t="s">
        <v>24097</v>
      </c>
      <c r="C7434" t="s">
        <v>24098</v>
      </c>
      <c r="D7434" t="s">
        <v>24099</v>
      </c>
      <c r="E7434" t="s">
        <v>24100</v>
      </c>
      <c r="F7434" t="s">
        <v>24101</v>
      </c>
      <c r="G7434" s="2" t="str">
        <f>HYPERLINK("https://probpalata.gov.ru/files/ИП770101292900000.jpeg","Скачать индивидуальный QR-код магазина")</f>
        <v>Скачать индивидуальный QR-код магазина</v>
      </c>
    </row>
    <row r="7435" spans="1:7" x14ac:dyDescent="0.25">
      <c r="A7435" t="s">
        <v>18820</v>
      </c>
      <c r="B7435" t="s">
        <v>24102</v>
      </c>
      <c r="C7435" t="s">
        <v>24103</v>
      </c>
      <c r="D7435" t="s">
        <v>24104</v>
      </c>
      <c r="E7435" t="s">
        <v>24105</v>
      </c>
      <c r="F7435" t="s">
        <v>24106</v>
      </c>
      <c r="G7435" s="2" t="str">
        <f>HYPERLINK("https://probpalata.gov.ru/files/ЮЛ770100097900000.jpeg","Скачать индивидуальный QR-код магазина")</f>
        <v>Скачать индивидуальный QR-код магазина</v>
      </c>
    </row>
    <row r="7436" spans="1:7" x14ac:dyDescent="0.25">
      <c r="A7436" t="s">
        <v>18820</v>
      </c>
      <c r="B7436" t="s">
        <v>24107</v>
      </c>
      <c r="C7436" t="s">
        <v>24108</v>
      </c>
      <c r="D7436" t="s">
        <v>24109</v>
      </c>
      <c r="E7436" t="s">
        <v>24110</v>
      </c>
      <c r="F7436" t="s">
        <v>24111</v>
      </c>
      <c r="G7436" s="2" t="str">
        <f>HYPERLINK("https://probpalata.gov.ru/files/ИП770100588800000.jpeg","Скачать индивидуальный QR-код магазина")</f>
        <v>Скачать индивидуальный QR-код магазина</v>
      </c>
    </row>
    <row r="7437" spans="1:7" x14ac:dyDescent="0.25">
      <c r="A7437" t="s">
        <v>18820</v>
      </c>
      <c r="B7437" t="s">
        <v>24112</v>
      </c>
      <c r="C7437" t="s">
        <v>24113</v>
      </c>
      <c r="D7437" t="s">
        <v>24114</v>
      </c>
      <c r="E7437" t="s">
        <v>24115</v>
      </c>
      <c r="F7437" t="s">
        <v>24116</v>
      </c>
      <c r="G7437" s="2" t="str">
        <f>HYPERLINK("https://probpalata.gov.ru/files/ИП770104061300000.jpeg","Скачать индивидуальный QR-код магазина")</f>
        <v>Скачать индивидуальный QR-код магазина</v>
      </c>
    </row>
    <row r="7438" spans="1:7" x14ac:dyDescent="0.25">
      <c r="A7438" t="s">
        <v>18820</v>
      </c>
      <c r="B7438" t="s">
        <v>24117</v>
      </c>
      <c r="C7438" t="s">
        <v>24118</v>
      </c>
      <c r="D7438" t="s">
        <v>24119</v>
      </c>
      <c r="E7438" t="s">
        <v>24120</v>
      </c>
      <c r="F7438" t="s">
        <v>24121</v>
      </c>
      <c r="G7438" s="2" t="str">
        <f>HYPERLINK("https://probpalata.gov.ru/files/ЮЛ770100707900000.jpeg","Скачать индивидуальный QR-код магазина")</f>
        <v>Скачать индивидуальный QR-код магазина</v>
      </c>
    </row>
    <row r="7439" spans="1:7" x14ac:dyDescent="0.25">
      <c r="A7439" t="s">
        <v>18820</v>
      </c>
      <c r="B7439" t="s">
        <v>24122</v>
      </c>
      <c r="C7439" t="s">
        <v>24123</v>
      </c>
      <c r="D7439" t="s">
        <v>24124</v>
      </c>
      <c r="E7439" t="s">
        <v>24125</v>
      </c>
      <c r="F7439" t="s">
        <v>24126</v>
      </c>
      <c r="G7439" s="2" t="str">
        <f>HYPERLINK("https://probpalata.gov.ru/files/ИП770104097600000.jpeg","Скачать индивидуальный QR-код магазина")</f>
        <v>Скачать индивидуальный QR-код магазина</v>
      </c>
    </row>
    <row r="7440" spans="1:7" x14ac:dyDescent="0.25">
      <c r="A7440" t="s">
        <v>18820</v>
      </c>
      <c r="B7440" t="s">
        <v>24127</v>
      </c>
      <c r="C7440" t="s">
        <v>24128</v>
      </c>
      <c r="D7440" t="s">
        <v>24129</v>
      </c>
      <c r="E7440" t="s">
        <v>24130</v>
      </c>
      <c r="F7440" t="s">
        <v>24131</v>
      </c>
      <c r="G7440" s="2" t="str">
        <f>HYPERLINK("https://probpalata.gov.ru/files/ИП770103003000000.jpeg","Скачать индивидуальный QR-код магазина")</f>
        <v>Скачать индивидуальный QR-код магазина</v>
      </c>
    </row>
    <row r="7441" spans="1:7" x14ac:dyDescent="0.25">
      <c r="A7441" t="s">
        <v>18820</v>
      </c>
      <c r="B7441" t="s">
        <v>24132</v>
      </c>
      <c r="C7441" t="s">
        <v>24128</v>
      </c>
      <c r="D7441" t="s">
        <v>24129</v>
      </c>
      <c r="E7441" t="s">
        <v>24130</v>
      </c>
      <c r="F7441" t="s">
        <v>24133</v>
      </c>
      <c r="G7441" s="2" t="str">
        <f>HYPERLINK("https://probpalata.gov.ru/files/ИП770103003000001.jpeg","Скачать индивидуальный QR-код магазина")</f>
        <v>Скачать индивидуальный QR-код магазина</v>
      </c>
    </row>
    <row r="7442" spans="1:7" x14ac:dyDescent="0.25">
      <c r="A7442" t="s">
        <v>18820</v>
      </c>
      <c r="B7442" t="s">
        <v>24134</v>
      </c>
      <c r="C7442" t="s">
        <v>24135</v>
      </c>
      <c r="D7442" t="s">
        <v>24136</v>
      </c>
      <c r="E7442" t="s">
        <v>24137</v>
      </c>
      <c r="F7442" t="s">
        <v>24138</v>
      </c>
      <c r="G7442" s="2" t="str">
        <f>HYPERLINK("https://probpalata.gov.ru/files/ЮЛ770101184700000.jpeg","Скачать индивидуальный QR-код магазина")</f>
        <v>Скачать индивидуальный QR-код магазина</v>
      </c>
    </row>
    <row r="7443" spans="1:7" x14ac:dyDescent="0.25">
      <c r="A7443" t="s">
        <v>18820</v>
      </c>
      <c r="B7443" t="s">
        <v>24139</v>
      </c>
      <c r="C7443" t="s">
        <v>24140</v>
      </c>
      <c r="D7443" t="s">
        <v>24141</v>
      </c>
      <c r="E7443" t="s">
        <v>24142</v>
      </c>
      <c r="F7443" t="s">
        <v>24143</v>
      </c>
      <c r="G7443" s="2" t="str">
        <f>HYPERLINK("https://probpalata.gov.ru/files/ЮЛ770100656000000.jpeg","Скачать индивидуальный QR-код магазина")</f>
        <v>Скачать индивидуальный QR-код магазина</v>
      </c>
    </row>
    <row r="7444" spans="1:7" x14ac:dyDescent="0.25">
      <c r="A7444" t="s">
        <v>18820</v>
      </c>
      <c r="B7444" t="s">
        <v>24144</v>
      </c>
      <c r="C7444" t="s">
        <v>24145</v>
      </c>
      <c r="D7444" t="s">
        <v>24146</v>
      </c>
      <c r="E7444" t="s">
        <v>24147</v>
      </c>
      <c r="F7444" t="s">
        <v>24148</v>
      </c>
      <c r="G7444" s="2" t="str">
        <f>HYPERLINK("https://probpalata.gov.ru/files/ЮЛ770101370500000.jpeg","Скачать индивидуальный QR-код магазина")</f>
        <v>Скачать индивидуальный QR-код магазина</v>
      </c>
    </row>
    <row r="7445" spans="1:7" x14ac:dyDescent="0.25">
      <c r="A7445" t="s">
        <v>18820</v>
      </c>
      <c r="B7445" t="s">
        <v>24149</v>
      </c>
      <c r="C7445" t="s">
        <v>24150</v>
      </c>
      <c r="D7445" t="s">
        <v>24151</v>
      </c>
      <c r="E7445" t="s">
        <v>24152</v>
      </c>
      <c r="F7445" t="s">
        <v>24153</v>
      </c>
      <c r="G7445" s="2" t="str">
        <f>HYPERLINK("https://probpalata.gov.ru/files/ЮЛ770100304300000.jpeg","Скачать индивидуальный QR-код магазина")</f>
        <v>Скачать индивидуальный QR-код магазина</v>
      </c>
    </row>
    <row r="7446" spans="1:7" x14ac:dyDescent="0.25">
      <c r="A7446" t="s">
        <v>18820</v>
      </c>
      <c r="B7446" t="s">
        <v>24154</v>
      </c>
      <c r="C7446" t="s">
        <v>24155</v>
      </c>
      <c r="D7446" t="s">
        <v>24156</v>
      </c>
      <c r="E7446" t="s">
        <v>24157</v>
      </c>
      <c r="F7446" t="s">
        <v>24158</v>
      </c>
      <c r="G7446" s="2" t="str">
        <f>HYPERLINK("https://probpalata.gov.ru/files/ЮЛ770101276600000.jpeg","Скачать индивидуальный QR-код магазина")</f>
        <v>Скачать индивидуальный QR-код магазина</v>
      </c>
    </row>
    <row r="7447" spans="1:7" x14ac:dyDescent="0.25">
      <c r="A7447" t="s">
        <v>18820</v>
      </c>
      <c r="B7447" t="s">
        <v>24159</v>
      </c>
      <c r="C7447" t="s">
        <v>24160</v>
      </c>
      <c r="D7447" t="s">
        <v>24161</v>
      </c>
      <c r="E7447" t="s">
        <v>24162</v>
      </c>
      <c r="F7447" t="s">
        <v>24163</v>
      </c>
      <c r="G7447" s="2" t="str">
        <f>HYPERLINK("https://probpalata.gov.ru/files/ЮЛ770101584500000.jpeg","Скачать индивидуальный QR-код магазина")</f>
        <v>Скачать индивидуальный QR-код магазина</v>
      </c>
    </row>
    <row r="7448" spans="1:7" x14ac:dyDescent="0.25">
      <c r="A7448" t="s">
        <v>18820</v>
      </c>
      <c r="B7448" t="s">
        <v>24164</v>
      </c>
      <c r="C7448" t="s">
        <v>24165</v>
      </c>
      <c r="D7448" t="s">
        <v>24166</v>
      </c>
      <c r="E7448" t="s">
        <v>24167</v>
      </c>
      <c r="F7448" t="s">
        <v>24168</v>
      </c>
      <c r="G7448" s="2" t="str">
        <f>HYPERLINK("https://probpalata.gov.ru/files/ЮЛ770100209700000.jpeg","Скачать индивидуальный QR-код магазина")</f>
        <v>Скачать индивидуальный QR-код магазина</v>
      </c>
    </row>
    <row r="7449" spans="1:7" x14ac:dyDescent="0.25">
      <c r="A7449" t="s">
        <v>18820</v>
      </c>
      <c r="B7449" t="s">
        <v>24169</v>
      </c>
      <c r="C7449" t="s">
        <v>24170</v>
      </c>
      <c r="D7449" t="s">
        <v>24171</v>
      </c>
      <c r="E7449" t="s">
        <v>24172</v>
      </c>
      <c r="F7449" t="s">
        <v>24173</v>
      </c>
      <c r="G7449" s="2" t="str">
        <f>HYPERLINK("https://probpalata.gov.ru/files/ЮЛ770101488800000.jpeg","Скачать индивидуальный QR-код магазина")</f>
        <v>Скачать индивидуальный QR-код магазина</v>
      </c>
    </row>
    <row r="7450" spans="1:7" x14ac:dyDescent="0.25">
      <c r="A7450" t="s">
        <v>18820</v>
      </c>
      <c r="B7450" t="s">
        <v>24174</v>
      </c>
      <c r="C7450" t="s">
        <v>24175</v>
      </c>
      <c r="D7450" t="s">
        <v>24176</v>
      </c>
      <c r="E7450" t="s">
        <v>24177</v>
      </c>
      <c r="F7450" t="s">
        <v>24178</v>
      </c>
      <c r="G7450" s="2" t="str">
        <f>HYPERLINK("https://probpalata.gov.ru/files/ЮЛ770103229500000.jpeg","Скачать индивидуальный QR-код магазина")</f>
        <v>Скачать индивидуальный QR-код магазина</v>
      </c>
    </row>
    <row r="7451" spans="1:7" x14ac:dyDescent="0.25">
      <c r="A7451" t="s">
        <v>18820</v>
      </c>
      <c r="B7451" t="s">
        <v>24179</v>
      </c>
      <c r="C7451" t="s">
        <v>24180</v>
      </c>
      <c r="D7451" t="s">
        <v>24181</v>
      </c>
      <c r="E7451" t="s">
        <v>24182</v>
      </c>
      <c r="F7451" t="s">
        <v>24183</v>
      </c>
      <c r="G7451" s="2" t="str">
        <f>HYPERLINK("https://probpalata.gov.ru/files/ЮЛ770104062100000.jpeg","Скачать индивидуальный QR-код магазина")</f>
        <v>Скачать индивидуальный QR-код магазина</v>
      </c>
    </row>
    <row r="7452" spans="1:7" x14ac:dyDescent="0.25">
      <c r="A7452" t="s">
        <v>18820</v>
      </c>
      <c r="B7452" t="s">
        <v>24184</v>
      </c>
      <c r="C7452" t="s">
        <v>24185</v>
      </c>
      <c r="D7452" t="s">
        <v>24186</v>
      </c>
      <c r="E7452" t="s">
        <v>24187</v>
      </c>
      <c r="F7452" t="s">
        <v>24188</v>
      </c>
      <c r="G7452" s="2" t="str">
        <f>HYPERLINK("https://probpalata.gov.ru/files/ЮЛ770100692900000.jpeg","Скачать индивидуальный QR-код магазина")</f>
        <v>Скачать индивидуальный QR-код магазина</v>
      </c>
    </row>
    <row r="7453" spans="1:7" x14ac:dyDescent="0.25">
      <c r="A7453" t="s">
        <v>18820</v>
      </c>
      <c r="B7453" t="s">
        <v>24189</v>
      </c>
      <c r="C7453" t="s">
        <v>24190</v>
      </c>
      <c r="D7453" t="s">
        <v>24191</v>
      </c>
      <c r="E7453" t="s">
        <v>24192</v>
      </c>
      <c r="F7453" t="s">
        <v>24193</v>
      </c>
      <c r="G7453" s="2" t="str">
        <f>HYPERLINK("https://probpalata.gov.ru/files/ЮЛ770101550400008.jpeg","Скачать индивидуальный QR-код магазина")</f>
        <v>Скачать индивидуальный QR-код магазина</v>
      </c>
    </row>
    <row r="7454" spans="1:7" x14ac:dyDescent="0.25">
      <c r="A7454" t="s">
        <v>18820</v>
      </c>
      <c r="B7454" t="s">
        <v>24194</v>
      </c>
      <c r="C7454" t="s">
        <v>24195</v>
      </c>
      <c r="D7454" t="s">
        <v>24196</v>
      </c>
      <c r="E7454" t="s">
        <v>24197</v>
      </c>
      <c r="F7454" t="s">
        <v>24198</v>
      </c>
      <c r="G7454" s="2" t="str">
        <f>HYPERLINK("https://probpalata.gov.ru/files/ЮЛ770101029400000.jpeg","Скачать индивидуальный QR-код магазина")</f>
        <v>Скачать индивидуальный QR-код магазина</v>
      </c>
    </row>
    <row r="7455" spans="1:7" x14ac:dyDescent="0.25">
      <c r="A7455" t="s">
        <v>18820</v>
      </c>
      <c r="B7455" t="s">
        <v>24199</v>
      </c>
      <c r="C7455" t="s">
        <v>24200</v>
      </c>
      <c r="D7455" t="s">
        <v>24201</v>
      </c>
      <c r="E7455" t="s">
        <v>24202</v>
      </c>
      <c r="F7455" t="s">
        <v>24203</v>
      </c>
      <c r="G7455" s="2" t="str">
        <f>HYPERLINK("https://probpalata.gov.ru/files/ЮЛ770101638100000.jpeg","Скачать индивидуальный QR-код магазина")</f>
        <v>Скачать индивидуальный QR-код магазина</v>
      </c>
    </row>
    <row r="7456" spans="1:7" x14ac:dyDescent="0.25">
      <c r="A7456" t="s">
        <v>18820</v>
      </c>
      <c r="B7456" t="s">
        <v>24204</v>
      </c>
      <c r="C7456" t="s">
        <v>24205</v>
      </c>
      <c r="D7456" t="s">
        <v>24206</v>
      </c>
      <c r="E7456" t="s">
        <v>24207</v>
      </c>
      <c r="F7456" t="s">
        <v>24208</v>
      </c>
      <c r="G7456" s="2" t="str">
        <f>HYPERLINK("https://probpalata.gov.ru/files/ЮЛ770100651700000.jpeg","Скачать индивидуальный QR-код магазина")</f>
        <v>Скачать индивидуальный QR-код магазина</v>
      </c>
    </row>
    <row r="7457" spans="1:7" x14ac:dyDescent="0.25">
      <c r="A7457" t="s">
        <v>18820</v>
      </c>
      <c r="B7457" t="s">
        <v>24209</v>
      </c>
      <c r="C7457" t="s">
        <v>24210</v>
      </c>
      <c r="D7457" t="s">
        <v>24211</v>
      </c>
      <c r="E7457" t="s">
        <v>24212</v>
      </c>
      <c r="F7457" t="s">
        <v>24213</v>
      </c>
      <c r="G7457" s="2" t="str">
        <f>HYPERLINK("https://probpalata.gov.ru/files/ЮЛ770103385200000.jpeg","Скачать индивидуальный QR-код магазина")</f>
        <v>Скачать индивидуальный QR-код магазина</v>
      </c>
    </row>
    <row r="7458" spans="1:7" x14ac:dyDescent="0.25">
      <c r="A7458" t="s">
        <v>18820</v>
      </c>
      <c r="B7458" t="s">
        <v>24214</v>
      </c>
      <c r="C7458" t="s">
        <v>24215</v>
      </c>
      <c r="D7458" t="s">
        <v>24216</v>
      </c>
      <c r="E7458" t="s">
        <v>24217</v>
      </c>
      <c r="F7458" t="s">
        <v>24218</v>
      </c>
      <c r="G7458" s="2" t="str">
        <f>HYPERLINK("https://probpalata.gov.ru/files/ИП770100690100000.jpeg","Скачать индивидуальный QR-код магазина")</f>
        <v>Скачать индивидуальный QR-код магазина</v>
      </c>
    </row>
    <row r="7459" spans="1:7" x14ac:dyDescent="0.25">
      <c r="A7459" t="s">
        <v>18820</v>
      </c>
      <c r="B7459" t="s">
        <v>24219</v>
      </c>
      <c r="C7459" t="s">
        <v>24220</v>
      </c>
      <c r="D7459" t="s">
        <v>24221</v>
      </c>
      <c r="E7459" t="s">
        <v>24222</v>
      </c>
      <c r="F7459" t="s">
        <v>24223</v>
      </c>
      <c r="G7459" s="2" t="str">
        <f>HYPERLINK("https://probpalata.gov.ru/files/ИП770100255600000.jpeg","Скачать индивидуальный QR-код магазина")</f>
        <v>Скачать индивидуальный QR-код магазина</v>
      </c>
    </row>
    <row r="7460" spans="1:7" x14ac:dyDescent="0.25">
      <c r="A7460" t="s">
        <v>18820</v>
      </c>
      <c r="B7460" t="s">
        <v>19107</v>
      </c>
      <c r="C7460" t="s">
        <v>24224</v>
      </c>
      <c r="D7460" t="s">
        <v>24225</v>
      </c>
      <c r="E7460" t="s">
        <v>24226</v>
      </c>
      <c r="F7460" t="s">
        <v>24227</v>
      </c>
      <c r="G7460" s="2" t="str">
        <f>HYPERLINK("https://probpalata.gov.ru/files/ЮЛ770100611700000.jpeg","Скачать индивидуальный QR-код магазина")</f>
        <v>Скачать индивидуальный QR-код магазина</v>
      </c>
    </row>
    <row r="7461" spans="1:7" x14ac:dyDescent="0.25">
      <c r="A7461" t="s">
        <v>18820</v>
      </c>
      <c r="B7461" t="s">
        <v>24228</v>
      </c>
      <c r="C7461" t="s">
        <v>24229</v>
      </c>
      <c r="D7461" t="s">
        <v>24230</v>
      </c>
      <c r="E7461" t="s">
        <v>24231</v>
      </c>
      <c r="F7461" t="s">
        <v>24232</v>
      </c>
      <c r="G7461" s="2" t="str">
        <f>HYPERLINK("https://probpalata.gov.ru/files/ЮЛ770100410000000.jpeg","Скачать индивидуальный QR-код магазина")</f>
        <v>Скачать индивидуальный QR-код магазина</v>
      </c>
    </row>
    <row r="7462" spans="1:7" x14ac:dyDescent="0.25">
      <c r="A7462" t="s">
        <v>18820</v>
      </c>
      <c r="B7462" t="s">
        <v>24233</v>
      </c>
      <c r="C7462" t="s">
        <v>24229</v>
      </c>
      <c r="D7462" t="s">
        <v>24230</v>
      </c>
      <c r="E7462" t="s">
        <v>24231</v>
      </c>
      <c r="F7462" t="s">
        <v>24234</v>
      </c>
      <c r="G7462" s="2" t="str">
        <f>HYPERLINK("https://probpalata.gov.ru/files/ЮЛ770100410000001.jpeg","Скачать индивидуальный QR-код магазина")</f>
        <v>Скачать индивидуальный QR-код магазина</v>
      </c>
    </row>
    <row r="7463" spans="1:7" x14ac:dyDescent="0.25">
      <c r="A7463" t="s">
        <v>18820</v>
      </c>
      <c r="B7463" t="s">
        <v>24235</v>
      </c>
      <c r="C7463" t="s">
        <v>24236</v>
      </c>
      <c r="D7463" t="s">
        <v>24237</v>
      </c>
      <c r="E7463" t="s">
        <v>24238</v>
      </c>
      <c r="F7463" t="s">
        <v>24239</v>
      </c>
      <c r="G7463" s="2" t="str">
        <f>HYPERLINK("https://probpalata.gov.ru/files/ЮЛ770100895500000.jpeg","Скачать индивидуальный QR-код магазина")</f>
        <v>Скачать индивидуальный QR-код магазина</v>
      </c>
    </row>
    <row r="7464" spans="1:7" x14ac:dyDescent="0.25">
      <c r="A7464" t="s">
        <v>18820</v>
      </c>
      <c r="B7464" t="s">
        <v>24240</v>
      </c>
      <c r="C7464" t="s">
        <v>24241</v>
      </c>
      <c r="D7464" t="s">
        <v>24242</v>
      </c>
      <c r="E7464" t="s">
        <v>24243</v>
      </c>
      <c r="F7464" t="s">
        <v>24244</v>
      </c>
      <c r="G7464" s="2" t="str">
        <f>HYPERLINK("https://probpalata.gov.ru/files/ЮЛ770100861000000.jpeg","Скачать индивидуальный QR-код магазина")</f>
        <v>Скачать индивидуальный QR-код магазина</v>
      </c>
    </row>
    <row r="7465" spans="1:7" x14ac:dyDescent="0.25">
      <c r="A7465" t="s">
        <v>18820</v>
      </c>
      <c r="B7465" t="s">
        <v>24245</v>
      </c>
      <c r="C7465" t="s">
        <v>24246</v>
      </c>
      <c r="D7465" t="s">
        <v>24247</v>
      </c>
      <c r="E7465" t="s">
        <v>24248</v>
      </c>
      <c r="F7465" t="s">
        <v>24249</v>
      </c>
      <c r="G7465" s="2" t="str">
        <f>HYPERLINK("https://probpalata.gov.ru/files/ИП770100600300000.jpeg","Скачать индивидуальный QR-код магазина")</f>
        <v>Скачать индивидуальный QR-код магазина</v>
      </c>
    </row>
    <row r="7466" spans="1:7" x14ac:dyDescent="0.25">
      <c r="A7466" t="s">
        <v>18820</v>
      </c>
      <c r="B7466" t="s">
        <v>24250</v>
      </c>
      <c r="C7466" t="s">
        <v>24251</v>
      </c>
      <c r="D7466" t="s">
        <v>24252</v>
      </c>
      <c r="E7466" t="s">
        <v>24253</v>
      </c>
      <c r="F7466" t="s">
        <v>24254</v>
      </c>
      <c r="G7466" s="2" t="str">
        <f>HYPERLINK("https://probpalata.gov.ru/files/ИП770100390800000.jpeg","Скачать индивидуальный QR-код магазина")</f>
        <v>Скачать индивидуальный QR-код магазина</v>
      </c>
    </row>
    <row r="7467" spans="1:7" x14ac:dyDescent="0.25">
      <c r="A7467" t="s">
        <v>18820</v>
      </c>
      <c r="B7467" t="s">
        <v>24255</v>
      </c>
      <c r="C7467" t="s">
        <v>24256</v>
      </c>
      <c r="D7467" t="s">
        <v>24257</v>
      </c>
      <c r="E7467" t="s">
        <v>24258</v>
      </c>
      <c r="F7467" t="s">
        <v>24259</v>
      </c>
      <c r="G7467" s="2" t="str">
        <f>HYPERLINK("https://probpalata.gov.ru/files/ИП770100603500000.jpeg","Скачать индивидуальный QR-код магазина")</f>
        <v>Скачать индивидуальный QR-код магазина</v>
      </c>
    </row>
    <row r="7468" spans="1:7" x14ac:dyDescent="0.25">
      <c r="A7468" t="s">
        <v>18820</v>
      </c>
      <c r="B7468" t="s">
        <v>24260</v>
      </c>
      <c r="C7468" t="s">
        <v>24261</v>
      </c>
      <c r="D7468" t="s">
        <v>24262</v>
      </c>
      <c r="E7468" t="s">
        <v>24263</v>
      </c>
      <c r="F7468" t="s">
        <v>24264</v>
      </c>
      <c r="G7468" s="2" t="str">
        <f>HYPERLINK("https://probpalata.gov.ru/files/ИП770100645300000.jpeg","Скачать индивидуальный QR-код магазина")</f>
        <v>Скачать индивидуальный QR-код магазина</v>
      </c>
    </row>
    <row r="7469" spans="1:7" x14ac:dyDescent="0.25">
      <c r="A7469" t="s">
        <v>18820</v>
      </c>
      <c r="B7469" t="s">
        <v>24265</v>
      </c>
      <c r="C7469" t="s">
        <v>24261</v>
      </c>
      <c r="D7469" t="s">
        <v>24262</v>
      </c>
      <c r="E7469" t="s">
        <v>24263</v>
      </c>
      <c r="F7469" t="s">
        <v>24266</v>
      </c>
      <c r="G7469" s="2" t="str">
        <f>HYPERLINK("https://probpalata.gov.ru/files/ИП770100645300004.jpeg","Скачать индивидуальный QR-код магазина")</f>
        <v>Скачать индивидуальный QR-код магазина</v>
      </c>
    </row>
    <row r="7470" spans="1:7" x14ac:dyDescent="0.25">
      <c r="A7470" t="s">
        <v>18820</v>
      </c>
      <c r="B7470" t="s">
        <v>24267</v>
      </c>
      <c r="C7470" t="s">
        <v>24261</v>
      </c>
      <c r="D7470" t="s">
        <v>24262</v>
      </c>
      <c r="E7470" t="s">
        <v>24263</v>
      </c>
      <c r="F7470" t="s">
        <v>24268</v>
      </c>
      <c r="G7470" s="2" t="str">
        <f>HYPERLINK("https://probpalata.gov.ru/files/ИП770100645300005.jpeg","Скачать индивидуальный QR-код магазина")</f>
        <v>Скачать индивидуальный QR-код магазина</v>
      </c>
    </row>
    <row r="7471" spans="1:7" x14ac:dyDescent="0.25">
      <c r="A7471" t="s">
        <v>18820</v>
      </c>
      <c r="B7471" t="s">
        <v>24269</v>
      </c>
      <c r="C7471" t="s">
        <v>24270</v>
      </c>
      <c r="D7471" t="s">
        <v>24271</v>
      </c>
      <c r="E7471" t="s">
        <v>24272</v>
      </c>
      <c r="F7471" t="s">
        <v>24273</v>
      </c>
      <c r="G7471" s="2" t="str">
        <f>HYPERLINK("https://probpalata.gov.ru/files/ИП770100266100000.jpeg","Скачать индивидуальный QR-код магазина")</f>
        <v>Скачать индивидуальный QR-код магазина</v>
      </c>
    </row>
    <row r="7472" spans="1:7" x14ac:dyDescent="0.25">
      <c r="A7472" t="s">
        <v>18820</v>
      </c>
      <c r="B7472" t="s">
        <v>24274</v>
      </c>
      <c r="C7472" t="s">
        <v>24275</v>
      </c>
      <c r="D7472" t="s">
        <v>24276</v>
      </c>
      <c r="E7472" t="s">
        <v>24277</v>
      </c>
      <c r="F7472" t="s">
        <v>24278</v>
      </c>
      <c r="G7472" s="2" t="str">
        <f>HYPERLINK("https://probpalata.gov.ru/files/ИП770103565300000.jpeg","Скачать индивидуальный QR-код магазина")</f>
        <v>Скачать индивидуальный QR-код магазина</v>
      </c>
    </row>
    <row r="7473" spans="1:7" x14ac:dyDescent="0.25">
      <c r="A7473" t="s">
        <v>18820</v>
      </c>
      <c r="B7473" t="s">
        <v>24279</v>
      </c>
      <c r="C7473" t="s">
        <v>24275</v>
      </c>
      <c r="D7473" t="s">
        <v>24276</v>
      </c>
      <c r="E7473" t="s">
        <v>24277</v>
      </c>
      <c r="F7473" t="s">
        <v>24280</v>
      </c>
      <c r="G7473" s="2" t="str">
        <f>HYPERLINK("https://probpalata.gov.ru/files/ИП770103565300001.jpeg","Скачать индивидуальный QR-код магазина")</f>
        <v>Скачать индивидуальный QR-код магазина</v>
      </c>
    </row>
    <row r="7474" spans="1:7" x14ac:dyDescent="0.25">
      <c r="A7474" t="s">
        <v>18820</v>
      </c>
      <c r="B7474" t="s">
        <v>24281</v>
      </c>
      <c r="C7474" t="s">
        <v>24275</v>
      </c>
      <c r="D7474" t="s">
        <v>24276</v>
      </c>
      <c r="E7474" t="s">
        <v>24277</v>
      </c>
      <c r="F7474" t="s">
        <v>24282</v>
      </c>
      <c r="G7474" s="2" t="str">
        <f>HYPERLINK("https://probpalata.gov.ru/files/ИП770103565300002.jpeg","Скачать индивидуальный QR-код магазина")</f>
        <v>Скачать индивидуальный QR-код магазина</v>
      </c>
    </row>
    <row r="7475" spans="1:7" x14ac:dyDescent="0.25">
      <c r="A7475" t="s">
        <v>18820</v>
      </c>
      <c r="B7475" t="s">
        <v>24283</v>
      </c>
      <c r="C7475" t="s">
        <v>24284</v>
      </c>
      <c r="D7475" t="s">
        <v>24285</v>
      </c>
      <c r="E7475" t="s">
        <v>24286</v>
      </c>
      <c r="F7475" t="s">
        <v>24287</v>
      </c>
      <c r="G7475" s="2" t="str">
        <f>HYPERLINK("https://probpalata.gov.ru/files/ИП770101641900000.jpeg","Скачать индивидуальный QR-код магазина")</f>
        <v>Скачать индивидуальный QR-код магазина</v>
      </c>
    </row>
    <row r="7476" spans="1:7" x14ac:dyDescent="0.25">
      <c r="A7476" t="s">
        <v>18820</v>
      </c>
      <c r="B7476" t="s">
        <v>24288</v>
      </c>
      <c r="C7476" t="s">
        <v>748</v>
      </c>
      <c r="D7476" t="s">
        <v>749</v>
      </c>
      <c r="E7476" t="s">
        <v>750</v>
      </c>
      <c r="F7476" t="s">
        <v>24289</v>
      </c>
      <c r="G7476" s="2" t="str">
        <f>HYPERLINK("https://probpalata.gov.ru/files/ЮЛ770100193500000.jpeg","Скачать индивидуальный QR-код магазина")</f>
        <v>Скачать индивидуальный QR-код магазина</v>
      </c>
    </row>
    <row r="7477" spans="1:7" x14ac:dyDescent="0.25">
      <c r="A7477" t="s">
        <v>18820</v>
      </c>
      <c r="B7477" t="s">
        <v>24290</v>
      </c>
      <c r="C7477" t="s">
        <v>748</v>
      </c>
      <c r="D7477" t="s">
        <v>749</v>
      </c>
      <c r="E7477" t="s">
        <v>750</v>
      </c>
      <c r="F7477" t="s">
        <v>24291</v>
      </c>
      <c r="G7477" s="2" t="str">
        <f>HYPERLINK("https://probpalata.gov.ru/files/ЮЛ770100193500070.jpeg","Скачать индивидуальный QR-код магазина")</f>
        <v>Скачать индивидуальный QR-код магазина</v>
      </c>
    </row>
    <row r="7478" spans="1:7" x14ac:dyDescent="0.25">
      <c r="A7478" t="s">
        <v>18820</v>
      </c>
      <c r="B7478" t="s">
        <v>24292</v>
      </c>
      <c r="C7478" t="s">
        <v>748</v>
      </c>
      <c r="D7478" t="s">
        <v>749</v>
      </c>
      <c r="E7478" t="s">
        <v>750</v>
      </c>
      <c r="F7478" t="s">
        <v>24293</v>
      </c>
      <c r="G7478" s="2" t="str">
        <f>HYPERLINK("https://probpalata.gov.ru/files/ЮЛ770100193500071.jpeg","Скачать индивидуальный QR-код магазина")</f>
        <v>Скачать индивидуальный QR-код магазина</v>
      </c>
    </row>
    <row r="7479" spans="1:7" x14ac:dyDescent="0.25">
      <c r="A7479" t="s">
        <v>18820</v>
      </c>
      <c r="B7479" t="s">
        <v>24294</v>
      </c>
      <c r="C7479" t="s">
        <v>748</v>
      </c>
      <c r="D7479" t="s">
        <v>749</v>
      </c>
      <c r="E7479" t="s">
        <v>750</v>
      </c>
      <c r="F7479" t="s">
        <v>24295</v>
      </c>
      <c r="G7479" s="2" t="str">
        <f>HYPERLINK("https://probpalata.gov.ru/files/ЮЛ770100193500072.jpeg","Скачать индивидуальный QR-код магазина")</f>
        <v>Скачать индивидуальный QR-код магазина</v>
      </c>
    </row>
    <row r="7480" spans="1:7" x14ac:dyDescent="0.25">
      <c r="A7480" t="s">
        <v>18820</v>
      </c>
      <c r="B7480" t="s">
        <v>24296</v>
      </c>
      <c r="C7480" t="s">
        <v>748</v>
      </c>
      <c r="D7480" t="s">
        <v>749</v>
      </c>
      <c r="E7480" t="s">
        <v>750</v>
      </c>
      <c r="F7480" t="s">
        <v>24297</v>
      </c>
      <c r="G7480" s="2" t="str">
        <f>HYPERLINK("https://probpalata.gov.ru/files/ЮЛ770100193500073.jpeg","Скачать индивидуальный QR-код магазина")</f>
        <v>Скачать индивидуальный QR-код магазина</v>
      </c>
    </row>
    <row r="7481" spans="1:7" x14ac:dyDescent="0.25">
      <c r="A7481" t="s">
        <v>18820</v>
      </c>
      <c r="B7481" t="s">
        <v>24298</v>
      </c>
      <c r="C7481" t="s">
        <v>748</v>
      </c>
      <c r="D7481" t="s">
        <v>749</v>
      </c>
      <c r="E7481" t="s">
        <v>750</v>
      </c>
      <c r="F7481" t="s">
        <v>24299</v>
      </c>
      <c r="G7481" s="2" t="str">
        <f>HYPERLINK("https://probpalata.gov.ru/files/ЮЛ770100193500074.jpeg","Скачать индивидуальный QR-код магазина")</f>
        <v>Скачать индивидуальный QR-код магазина</v>
      </c>
    </row>
    <row r="7482" spans="1:7" x14ac:dyDescent="0.25">
      <c r="A7482" t="s">
        <v>18820</v>
      </c>
      <c r="B7482" t="s">
        <v>24300</v>
      </c>
      <c r="C7482" t="s">
        <v>748</v>
      </c>
      <c r="D7482" t="s">
        <v>749</v>
      </c>
      <c r="E7482" t="s">
        <v>750</v>
      </c>
      <c r="F7482" t="s">
        <v>24301</v>
      </c>
      <c r="G7482" s="2" t="str">
        <f>HYPERLINK("https://probpalata.gov.ru/files/ЮЛ770100193500075.jpeg","Скачать индивидуальный QR-код магазина")</f>
        <v>Скачать индивидуальный QR-код магазина</v>
      </c>
    </row>
    <row r="7483" spans="1:7" x14ac:dyDescent="0.25">
      <c r="A7483" t="s">
        <v>18820</v>
      </c>
      <c r="B7483" t="s">
        <v>24302</v>
      </c>
      <c r="C7483" t="s">
        <v>748</v>
      </c>
      <c r="D7483" t="s">
        <v>749</v>
      </c>
      <c r="E7483" t="s">
        <v>750</v>
      </c>
      <c r="F7483" t="s">
        <v>24303</v>
      </c>
      <c r="G7483" s="2" t="str">
        <f>HYPERLINK("https://probpalata.gov.ru/files/ЮЛ770100193500076.jpeg","Скачать индивидуальный QR-код магазина")</f>
        <v>Скачать индивидуальный QR-код магазина</v>
      </c>
    </row>
    <row r="7484" spans="1:7" x14ac:dyDescent="0.25">
      <c r="A7484" t="s">
        <v>18820</v>
      </c>
      <c r="B7484" t="s">
        <v>24304</v>
      </c>
      <c r="C7484" t="s">
        <v>748</v>
      </c>
      <c r="D7484" t="s">
        <v>749</v>
      </c>
      <c r="E7484" t="s">
        <v>750</v>
      </c>
      <c r="F7484" t="s">
        <v>24305</v>
      </c>
      <c r="G7484" s="2" t="str">
        <f>HYPERLINK("https://probpalata.gov.ru/files/ЮЛ770100193500077.jpeg","Скачать индивидуальный QR-код магазина")</f>
        <v>Скачать индивидуальный QR-код магазина</v>
      </c>
    </row>
    <row r="7485" spans="1:7" x14ac:dyDescent="0.25">
      <c r="A7485" t="s">
        <v>18820</v>
      </c>
      <c r="B7485" t="s">
        <v>24306</v>
      </c>
      <c r="C7485" t="s">
        <v>748</v>
      </c>
      <c r="D7485" t="s">
        <v>749</v>
      </c>
      <c r="E7485" t="s">
        <v>750</v>
      </c>
      <c r="F7485" t="s">
        <v>24307</v>
      </c>
      <c r="G7485" s="2" t="str">
        <f>HYPERLINK("https://probpalata.gov.ru/files/ЮЛ770100193500080.jpeg","Скачать индивидуальный QR-код магазина")</f>
        <v>Скачать индивидуальный QR-код магазина</v>
      </c>
    </row>
    <row r="7486" spans="1:7" x14ac:dyDescent="0.25">
      <c r="A7486" t="s">
        <v>18820</v>
      </c>
      <c r="B7486" t="s">
        <v>24308</v>
      </c>
      <c r="C7486" t="s">
        <v>748</v>
      </c>
      <c r="D7486" t="s">
        <v>749</v>
      </c>
      <c r="E7486" t="s">
        <v>750</v>
      </c>
      <c r="F7486" t="s">
        <v>24309</v>
      </c>
      <c r="G7486" s="2" t="str">
        <f>HYPERLINK("https://probpalata.gov.ru/files/ЮЛ770100193500081.jpeg","Скачать индивидуальный QR-код магазина")</f>
        <v>Скачать индивидуальный QR-код магазина</v>
      </c>
    </row>
    <row r="7487" spans="1:7" x14ac:dyDescent="0.25">
      <c r="A7487" t="s">
        <v>18820</v>
      </c>
      <c r="B7487" t="s">
        <v>24310</v>
      </c>
      <c r="C7487" t="s">
        <v>748</v>
      </c>
      <c r="D7487" t="s">
        <v>749</v>
      </c>
      <c r="E7487" t="s">
        <v>750</v>
      </c>
      <c r="F7487" t="s">
        <v>24311</v>
      </c>
      <c r="G7487" s="2" t="str">
        <f>HYPERLINK("https://probpalata.gov.ru/files/ЮЛ770100193500083.jpeg","Скачать индивидуальный QR-код магазина")</f>
        <v>Скачать индивидуальный QR-код магазина</v>
      </c>
    </row>
    <row r="7488" spans="1:7" x14ac:dyDescent="0.25">
      <c r="A7488" t="s">
        <v>18820</v>
      </c>
      <c r="B7488" t="s">
        <v>24312</v>
      </c>
      <c r="C7488" t="s">
        <v>748</v>
      </c>
      <c r="D7488" t="s">
        <v>749</v>
      </c>
      <c r="E7488" t="s">
        <v>750</v>
      </c>
      <c r="F7488" t="s">
        <v>24313</v>
      </c>
      <c r="G7488" s="2" t="str">
        <f>HYPERLINK("https://probpalata.gov.ru/files/ЮЛ770100193500084.jpeg","Скачать индивидуальный QR-код магазина")</f>
        <v>Скачать индивидуальный QR-код магазина</v>
      </c>
    </row>
    <row r="7489" spans="1:7" x14ac:dyDescent="0.25">
      <c r="A7489" t="s">
        <v>18820</v>
      </c>
      <c r="B7489" t="s">
        <v>24314</v>
      </c>
      <c r="C7489" t="s">
        <v>748</v>
      </c>
      <c r="D7489" t="s">
        <v>749</v>
      </c>
      <c r="E7489" t="s">
        <v>750</v>
      </c>
      <c r="F7489" t="s">
        <v>24315</v>
      </c>
      <c r="G7489" s="2" t="str">
        <f>HYPERLINK("https://probpalata.gov.ru/files/ЮЛ770100193500085.jpeg","Скачать индивидуальный QR-код магазина")</f>
        <v>Скачать индивидуальный QR-код магазина</v>
      </c>
    </row>
    <row r="7490" spans="1:7" x14ac:dyDescent="0.25">
      <c r="A7490" t="s">
        <v>18820</v>
      </c>
      <c r="B7490" t="s">
        <v>24316</v>
      </c>
      <c r="C7490" t="s">
        <v>748</v>
      </c>
      <c r="D7490" t="s">
        <v>749</v>
      </c>
      <c r="E7490" t="s">
        <v>750</v>
      </c>
      <c r="F7490" t="s">
        <v>24317</v>
      </c>
      <c r="G7490" s="2" t="str">
        <f>HYPERLINK("https://probpalata.gov.ru/files/ЮЛ770100193500086.jpeg","Скачать индивидуальный QR-код магазина")</f>
        <v>Скачать индивидуальный QR-код магазина</v>
      </c>
    </row>
    <row r="7491" spans="1:7" x14ac:dyDescent="0.25">
      <c r="A7491" t="s">
        <v>18820</v>
      </c>
      <c r="B7491" t="s">
        <v>24318</v>
      </c>
      <c r="C7491" t="s">
        <v>748</v>
      </c>
      <c r="D7491" t="s">
        <v>749</v>
      </c>
      <c r="E7491" t="s">
        <v>750</v>
      </c>
      <c r="F7491" t="s">
        <v>24319</v>
      </c>
      <c r="G7491" s="2" t="str">
        <f>HYPERLINK("https://probpalata.gov.ru/files/ЮЛ770100193500087.jpeg","Скачать индивидуальный QR-код магазина")</f>
        <v>Скачать индивидуальный QR-код магазина</v>
      </c>
    </row>
    <row r="7492" spans="1:7" x14ac:dyDescent="0.25">
      <c r="A7492" t="s">
        <v>18820</v>
      </c>
      <c r="B7492" t="s">
        <v>24320</v>
      </c>
      <c r="C7492" t="s">
        <v>748</v>
      </c>
      <c r="D7492" t="s">
        <v>749</v>
      </c>
      <c r="E7492" t="s">
        <v>750</v>
      </c>
      <c r="F7492" t="s">
        <v>24321</v>
      </c>
      <c r="G7492" s="2" t="str">
        <f>HYPERLINK("https://probpalata.gov.ru/files/ЮЛ770100193500088.jpeg","Скачать индивидуальный QR-код магазина")</f>
        <v>Скачать индивидуальный QR-код магазина</v>
      </c>
    </row>
    <row r="7493" spans="1:7" x14ac:dyDescent="0.25">
      <c r="A7493" t="s">
        <v>18820</v>
      </c>
      <c r="B7493" t="s">
        <v>24322</v>
      </c>
      <c r="C7493" t="s">
        <v>748</v>
      </c>
      <c r="D7493" t="s">
        <v>749</v>
      </c>
      <c r="E7493" t="s">
        <v>750</v>
      </c>
      <c r="F7493" t="s">
        <v>24323</v>
      </c>
      <c r="G7493" s="2" t="str">
        <f>HYPERLINK("https://probpalata.gov.ru/files/ЮЛ770100193500089.jpeg","Скачать индивидуальный QR-код магазина")</f>
        <v>Скачать индивидуальный QR-код магазина</v>
      </c>
    </row>
    <row r="7494" spans="1:7" x14ac:dyDescent="0.25">
      <c r="A7494" t="s">
        <v>18820</v>
      </c>
      <c r="B7494" t="s">
        <v>24324</v>
      </c>
      <c r="C7494" t="s">
        <v>748</v>
      </c>
      <c r="D7494" t="s">
        <v>749</v>
      </c>
      <c r="E7494" t="s">
        <v>750</v>
      </c>
      <c r="F7494" t="s">
        <v>24325</v>
      </c>
      <c r="G7494" s="2" t="str">
        <f>HYPERLINK("https://probpalata.gov.ru/files/ЮЛ770100193500090.jpeg","Скачать индивидуальный QR-код магазина")</f>
        <v>Скачать индивидуальный QR-код магазина</v>
      </c>
    </row>
    <row r="7495" spans="1:7" x14ac:dyDescent="0.25">
      <c r="A7495" t="s">
        <v>18820</v>
      </c>
      <c r="B7495" t="s">
        <v>24326</v>
      </c>
      <c r="C7495" t="s">
        <v>748</v>
      </c>
      <c r="D7495" t="s">
        <v>749</v>
      </c>
      <c r="E7495" t="s">
        <v>750</v>
      </c>
      <c r="F7495" t="s">
        <v>24327</v>
      </c>
      <c r="G7495" s="2" t="str">
        <f>HYPERLINK("https://probpalata.gov.ru/files/ЮЛ770100193500091.jpeg","Скачать индивидуальный QR-код магазина")</f>
        <v>Скачать индивидуальный QR-код магазина</v>
      </c>
    </row>
    <row r="7496" spans="1:7" x14ac:dyDescent="0.25">
      <c r="A7496" t="s">
        <v>18820</v>
      </c>
      <c r="B7496" t="s">
        <v>24328</v>
      </c>
      <c r="C7496" t="s">
        <v>748</v>
      </c>
      <c r="D7496" t="s">
        <v>749</v>
      </c>
      <c r="E7496" t="s">
        <v>750</v>
      </c>
      <c r="F7496" t="s">
        <v>24329</v>
      </c>
      <c r="G7496" s="2" t="str">
        <f>HYPERLINK("https://probpalata.gov.ru/files/ЮЛ770100193500092.jpeg","Скачать индивидуальный QR-код магазина")</f>
        <v>Скачать индивидуальный QR-код магазина</v>
      </c>
    </row>
    <row r="7497" spans="1:7" x14ac:dyDescent="0.25">
      <c r="A7497" t="s">
        <v>18820</v>
      </c>
      <c r="B7497" t="s">
        <v>24330</v>
      </c>
      <c r="C7497" t="s">
        <v>748</v>
      </c>
      <c r="D7497" t="s">
        <v>749</v>
      </c>
      <c r="E7497" t="s">
        <v>750</v>
      </c>
      <c r="F7497" t="s">
        <v>24331</v>
      </c>
      <c r="G7497" s="2" t="str">
        <f>HYPERLINK("https://probpalata.gov.ru/files/ЮЛ770100193500116.jpeg","Скачать индивидуальный QR-код магазина")</f>
        <v>Скачать индивидуальный QR-код магазина</v>
      </c>
    </row>
    <row r="7498" spans="1:7" x14ac:dyDescent="0.25">
      <c r="A7498" t="s">
        <v>18820</v>
      </c>
      <c r="B7498" t="s">
        <v>24332</v>
      </c>
      <c r="C7498" t="s">
        <v>748</v>
      </c>
      <c r="D7498" t="s">
        <v>749</v>
      </c>
      <c r="E7498" t="s">
        <v>750</v>
      </c>
      <c r="F7498" t="s">
        <v>24333</v>
      </c>
      <c r="G7498" s="2" t="str">
        <f>HYPERLINK("https://probpalata.gov.ru/files/ЮЛ770100193500118.jpeg","Скачать индивидуальный QR-код магазина")</f>
        <v>Скачать индивидуальный QR-код магазина</v>
      </c>
    </row>
    <row r="7499" spans="1:7" x14ac:dyDescent="0.25">
      <c r="A7499" t="s">
        <v>18820</v>
      </c>
      <c r="B7499" t="s">
        <v>24334</v>
      </c>
      <c r="C7499" t="s">
        <v>748</v>
      </c>
      <c r="D7499" t="s">
        <v>749</v>
      </c>
      <c r="E7499" t="s">
        <v>750</v>
      </c>
      <c r="F7499" t="s">
        <v>24335</v>
      </c>
      <c r="G7499" s="2" t="str">
        <f>HYPERLINK("https://probpalata.gov.ru/files/ЮЛ770100193500119.jpeg","Скачать индивидуальный QR-код магазина")</f>
        <v>Скачать индивидуальный QR-код магазина</v>
      </c>
    </row>
    <row r="7500" spans="1:7" x14ac:dyDescent="0.25">
      <c r="A7500" t="s">
        <v>18820</v>
      </c>
      <c r="B7500" t="s">
        <v>24336</v>
      </c>
      <c r="C7500" t="s">
        <v>748</v>
      </c>
      <c r="D7500" t="s">
        <v>749</v>
      </c>
      <c r="E7500" t="s">
        <v>750</v>
      </c>
      <c r="F7500" t="s">
        <v>24337</v>
      </c>
      <c r="G7500" s="2" t="str">
        <f>HYPERLINK("https://probpalata.gov.ru/files/ЮЛ770100193500120.jpeg","Скачать индивидуальный QR-код магазина")</f>
        <v>Скачать индивидуальный QR-код магазина</v>
      </c>
    </row>
    <row r="7501" spans="1:7" x14ac:dyDescent="0.25">
      <c r="A7501" t="s">
        <v>18820</v>
      </c>
      <c r="B7501" t="s">
        <v>24338</v>
      </c>
      <c r="C7501" t="s">
        <v>748</v>
      </c>
      <c r="D7501" t="s">
        <v>749</v>
      </c>
      <c r="E7501" t="s">
        <v>750</v>
      </c>
      <c r="F7501" t="s">
        <v>24339</v>
      </c>
      <c r="G7501" s="2" t="str">
        <f>HYPERLINK("https://probpalata.gov.ru/files/ЮЛ770100193500121.jpeg","Скачать индивидуальный QR-код магазина")</f>
        <v>Скачать индивидуальный QR-код магазина</v>
      </c>
    </row>
    <row r="7502" spans="1:7" x14ac:dyDescent="0.25">
      <c r="A7502" t="s">
        <v>18820</v>
      </c>
      <c r="B7502" t="s">
        <v>24340</v>
      </c>
      <c r="C7502" t="s">
        <v>748</v>
      </c>
      <c r="D7502" t="s">
        <v>749</v>
      </c>
      <c r="E7502" t="s">
        <v>750</v>
      </c>
      <c r="F7502" t="s">
        <v>24341</v>
      </c>
      <c r="G7502" s="2" t="str">
        <f>HYPERLINK("https://probpalata.gov.ru/files/ЮЛ770100193500122.jpeg","Скачать индивидуальный QR-код магазина")</f>
        <v>Скачать индивидуальный QR-код магазина</v>
      </c>
    </row>
    <row r="7503" spans="1:7" x14ac:dyDescent="0.25">
      <c r="A7503" t="s">
        <v>18820</v>
      </c>
      <c r="B7503" t="s">
        <v>24342</v>
      </c>
      <c r="C7503" t="s">
        <v>748</v>
      </c>
      <c r="D7503" t="s">
        <v>749</v>
      </c>
      <c r="E7503" t="s">
        <v>750</v>
      </c>
      <c r="F7503" t="s">
        <v>24343</v>
      </c>
      <c r="G7503" s="2" t="str">
        <f>HYPERLINK("https://probpalata.gov.ru/files/ЮЛ770100193500123.jpeg","Скачать индивидуальный QR-код магазина")</f>
        <v>Скачать индивидуальный QR-код магазина</v>
      </c>
    </row>
    <row r="7504" spans="1:7" x14ac:dyDescent="0.25">
      <c r="A7504" t="s">
        <v>18820</v>
      </c>
      <c r="B7504" t="s">
        <v>24344</v>
      </c>
      <c r="C7504" t="s">
        <v>748</v>
      </c>
      <c r="D7504" t="s">
        <v>749</v>
      </c>
      <c r="E7504" t="s">
        <v>750</v>
      </c>
      <c r="F7504" t="s">
        <v>24345</v>
      </c>
      <c r="G7504" s="2" t="str">
        <f>HYPERLINK("https://probpalata.gov.ru/files/ЮЛ770100193500267.jpeg","Скачать индивидуальный QR-код магазина")</f>
        <v>Скачать индивидуальный QR-код магазина</v>
      </c>
    </row>
    <row r="7505" spans="1:7" x14ac:dyDescent="0.25">
      <c r="A7505" t="s">
        <v>18820</v>
      </c>
      <c r="B7505" t="s">
        <v>24346</v>
      </c>
      <c r="C7505" t="s">
        <v>748</v>
      </c>
      <c r="D7505" t="s">
        <v>749</v>
      </c>
      <c r="E7505" t="s">
        <v>750</v>
      </c>
      <c r="F7505" t="s">
        <v>24347</v>
      </c>
      <c r="G7505" s="2" t="str">
        <f>HYPERLINK("https://probpalata.gov.ru/files/ЮЛ770100193500316.jpeg","Скачать индивидуальный QR-код магазина")</f>
        <v>Скачать индивидуальный QR-код магазина</v>
      </c>
    </row>
    <row r="7506" spans="1:7" x14ac:dyDescent="0.25">
      <c r="A7506" t="s">
        <v>18820</v>
      </c>
      <c r="B7506" t="s">
        <v>24348</v>
      </c>
      <c r="C7506" t="s">
        <v>748</v>
      </c>
      <c r="D7506" t="s">
        <v>749</v>
      </c>
      <c r="E7506" t="s">
        <v>750</v>
      </c>
      <c r="F7506" t="s">
        <v>24349</v>
      </c>
      <c r="G7506" s="2" t="str">
        <f>HYPERLINK("https://probpalata.gov.ru/files/ЮЛ770100193500317.jpeg","Скачать индивидуальный QR-код магазина")</f>
        <v>Скачать индивидуальный QR-код магазина</v>
      </c>
    </row>
    <row r="7507" spans="1:7" x14ac:dyDescent="0.25">
      <c r="A7507" t="s">
        <v>18820</v>
      </c>
      <c r="B7507" t="s">
        <v>24350</v>
      </c>
      <c r="C7507" t="s">
        <v>748</v>
      </c>
      <c r="D7507" t="s">
        <v>749</v>
      </c>
      <c r="E7507" t="s">
        <v>750</v>
      </c>
      <c r="F7507" t="s">
        <v>24351</v>
      </c>
      <c r="G7507" s="2" t="str">
        <f>HYPERLINK("https://probpalata.gov.ru/files/ЮЛ770100193500321.jpeg","Скачать индивидуальный QR-код магазина")</f>
        <v>Скачать индивидуальный QR-код магазина</v>
      </c>
    </row>
    <row r="7508" spans="1:7" x14ac:dyDescent="0.25">
      <c r="A7508" t="s">
        <v>18820</v>
      </c>
      <c r="B7508" t="s">
        <v>24352</v>
      </c>
      <c r="C7508" t="s">
        <v>748</v>
      </c>
      <c r="D7508" t="s">
        <v>749</v>
      </c>
      <c r="E7508" t="s">
        <v>750</v>
      </c>
      <c r="F7508" t="s">
        <v>24353</v>
      </c>
      <c r="G7508" s="2" t="str">
        <f>HYPERLINK("https://probpalata.gov.ru/files/ЮЛ770100193500326.jpeg","Скачать индивидуальный QR-код магазина")</f>
        <v>Скачать индивидуальный QR-код магазина</v>
      </c>
    </row>
    <row r="7509" spans="1:7" x14ac:dyDescent="0.25">
      <c r="A7509" t="s">
        <v>18820</v>
      </c>
      <c r="B7509" t="s">
        <v>24354</v>
      </c>
      <c r="C7509" t="s">
        <v>748</v>
      </c>
      <c r="D7509" t="s">
        <v>749</v>
      </c>
      <c r="E7509" t="s">
        <v>750</v>
      </c>
      <c r="F7509" t="s">
        <v>24355</v>
      </c>
      <c r="G7509" s="2" t="str">
        <f>HYPERLINK("https://probpalata.gov.ru/files/ЮЛ770100193500334.jpeg","Скачать индивидуальный QR-код магазина")</f>
        <v>Скачать индивидуальный QR-код магазина</v>
      </c>
    </row>
    <row r="7510" spans="1:7" x14ac:dyDescent="0.25">
      <c r="A7510" t="s">
        <v>18820</v>
      </c>
      <c r="B7510" t="s">
        <v>24356</v>
      </c>
      <c r="C7510" t="s">
        <v>748</v>
      </c>
      <c r="D7510" t="s">
        <v>749</v>
      </c>
      <c r="E7510" t="s">
        <v>750</v>
      </c>
      <c r="F7510" t="s">
        <v>24357</v>
      </c>
      <c r="G7510" s="2" t="str">
        <f>HYPERLINK("https://probpalata.gov.ru/files/ЮЛ770100193500335.jpeg","Скачать индивидуальный QR-код магазина")</f>
        <v>Скачать индивидуальный QR-код магазина</v>
      </c>
    </row>
    <row r="7511" spans="1:7" x14ac:dyDescent="0.25">
      <c r="A7511" t="s">
        <v>18820</v>
      </c>
      <c r="B7511" t="s">
        <v>24358</v>
      </c>
      <c r="C7511" t="s">
        <v>748</v>
      </c>
      <c r="D7511" t="s">
        <v>749</v>
      </c>
      <c r="E7511" t="s">
        <v>750</v>
      </c>
      <c r="F7511" t="s">
        <v>24359</v>
      </c>
      <c r="G7511" s="2" t="str">
        <f>HYPERLINK("https://probpalata.gov.ru/files/ЮЛ770100193500336.jpeg","Скачать индивидуальный QR-код магазина")</f>
        <v>Скачать индивидуальный QR-код магазина</v>
      </c>
    </row>
    <row r="7512" spans="1:7" x14ac:dyDescent="0.25">
      <c r="A7512" t="s">
        <v>18820</v>
      </c>
      <c r="B7512" t="s">
        <v>24360</v>
      </c>
      <c r="C7512" t="s">
        <v>748</v>
      </c>
      <c r="D7512" t="s">
        <v>749</v>
      </c>
      <c r="E7512" t="s">
        <v>750</v>
      </c>
      <c r="F7512" t="s">
        <v>24361</v>
      </c>
      <c r="G7512" s="2" t="str">
        <f>HYPERLINK("https://probpalata.gov.ru/files/ЮЛ770100193500337.jpeg","Скачать индивидуальный QR-код магазина")</f>
        <v>Скачать индивидуальный QR-код магазина</v>
      </c>
    </row>
    <row r="7513" spans="1:7" x14ac:dyDescent="0.25">
      <c r="A7513" t="s">
        <v>18820</v>
      </c>
      <c r="B7513" t="s">
        <v>24362</v>
      </c>
      <c r="C7513" t="s">
        <v>748</v>
      </c>
      <c r="D7513" t="s">
        <v>749</v>
      </c>
      <c r="E7513" t="s">
        <v>750</v>
      </c>
      <c r="F7513" t="s">
        <v>24363</v>
      </c>
      <c r="G7513" s="2" t="str">
        <f>HYPERLINK("https://probpalata.gov.ru/files/ЮЛ770100193500338.jpeg","Скачать индивидуальный QR-код магазина")</f>
        <v>Скачать индивидуальный QR-код магазина</v>
      </c>
    </row>
    <row r="7514" spans="1:7" x14ac:dyDescent="0.25">
      <c r="A7514" t="s">
        <v>18820</v>
      </c>
      <c r="B7514" t="s">
        <v>24364</v>
      </c>
      <c r="C7514" t="s">
        <v>748</v>
      </c>
      <c r="D7514" t="s">
        <v>749</v>
      </c>
      <c r="E7514" t="s">
        <v>750</v>
      </c>
      <c r="F7514" t="s">
        <v>24365</v>
      </c>
      <c r="G7514" s="2" t="str">
        <f>HYPERLINK("https://probpalata.gov.ru/files/ЮЛ770100193500339.jpeg","Скачать индивидуальный QR-код магазина")</f>
        <v>Скачать индивидуальный QR-код магазина</v>
      </c>
    </row>
    <row r="7515" spans="1:7" x14ac:dyDescent="0.25">
      <c r="A7515" t="s">
        <v>18820</v>
      </c>
      <c r="B7515" t="s">
        <v>24366</v>
      </c>
      <c r="C7515" t="s">
        <v>748</v>
      </c>
      <c r="D7515" t="s">
        <v>749</v>
      </c>
      <c r="E7515" t="s">
        <v>750</v>
      </c>
      <c r="F7515" t="s">
        <v>24367</v>
      </c>
      <c r="G7515" s="2" t="str">
        <f>HYPERLINK("https://probpalata.gov.ru/files/ЮЛ770100193500340.jpeg","Скачать индивидуальный QR-код магазина")</f>
        <v>Скачать индивидуальный QR-код магазина</v>
      </c>
    </row>
    <row r="7516" spans="1:7" x14ac:dyDescent="0.25">
      <c r="A7516" t="s">
        <v>18820</v>
      </c>
      <c r="B7516" t="s">
        <v>24368</v>
      </c>
      <c r="C7516" t="s">
        <v>748</v>
      </c>
      <c r="D7516" t="s">
        <v>749</v>
      </c>
      <c r="E7516" t="s">
        <v>750</v>
      </c>
      <c r="F7516" t="s">
        <v>24369</v>
      </c>
      <c r="G7516" s="2" t="str">
        <f>HYPERLINK("https://probpalata.gov.ru/files/ЮЛ770100193500341.jpeg","Скачать индивидуальный QR-код магазина")</f>
        <v>Скачать индивидуальный QR-код магазина</v>
      </c>
    </row>
    <row r="7517" spans="1:7" x14ac:dyDescent="0.25">
      <c r="A7517" t="s">
        <v>18820</v>
      </c>
      <c r="B7517" t="s">
        <v>24370</v>
      </c>
      <c r="C7517" t="s">
        <v>748</v>
      </c>
      <c r="D7517" t="s">
        <v>749</v>
      </c>
      <c r="E7517" t="s">
        <v>750</v>
      </c>
      <c r="F7517" t="s">
        <v>24371</v>
      </c>
      <c r="G7517" s="2" t="str">
        <f>HYPERLINK("https://probpalata.gov.ru/files/ЮЛ770100193500342.jpeg","Скачать индивидуальный QR-код магазина")</f>
        <v>Скачать индивидуальный QR-код магазина</v>
      </c>
    </row>
    <row r="7518" spans="1:7" x14ac:dyDescent="0.25">
      <c r="A7518" t="s">
        <v>18820</v>
      </c>
      <c r="B7518" t="s">
        <v>19034</v>
      </c>
      <c r="C7518" t="s">
        <v>748</v>
      </c>
      <c r="D7518" t="s">
        <v>749</v>
      </c>
      <c r="E7518" t="s">
        <v>750</v>
      </c>
      <c r="F7518" t="s">
        <v>24372</v>
      </c>
      <c r="G7518" s="2" t="str">
        <f>HYPERLINK("https://probpalata.gov.ru/files/ЮЛ770100193500343.jpeg","Скачать индивидуальный QR-код магазина")</f>
        <v>Скачать индивидуальный QR-код магазина</v>
      </c>
    </row>
    <row r="7519" spans="1:7" x14ac:dyDescent="0.25">
      <c r="A7519" t="s">
        <v>18820</v>
      </c>
      <c r="B7519" t="s">
        <v>24373</v>
      </c>
      <c r="C7519" t="s">
        <v>748</v>
      </c>
      <c r="D7519" t="s">
        <v>749</v>
      </c>
      <c r="E7519" t="s">
        <v>750</v>
      </c>
      <c r="F7519" t="s">
        <v>24374</v>
      </c>
      <c r="G7519" s="2" t="str">
        <f>HYPERLINK("https://probpalata.gov.ru/files/ЮЛ770100193500345.jpeg","Скачать индивидуальный QR-код магазина")</f>
        <v>Скачать индивидуальный QR-код магазина</v>
      </c>
    </row>
    <row r="7520" spans="1:7" x14ac:dyDescent="0.25">
      <c r="A7520" t="s">
        <v>18820</v>
      </c>
      <c r="B7520" t="s">
        <v>24375</v>
      </c>
      <c r="C7520" t="s">
        <v>748</v>
      </c>
      <c r="D7520" t="s">
        <v>749</v>
      </c>
      <c r="E7520" t="s">
        <v>750</v>
      </c>
      <c r="F7520" t="s">
        <v>24376</v>
      </c>
      <c r="G7520" s="2" t="str">
        <f>HYPERLINK("https://probpalata.gov.ru/files/ЮЛ770100193500346.jpeg","Скачать индивидуальный QR-код магазина")</f>
        <v>Скачать индивидуальный QR-код магазина</v>
      </c>
    </row>
    <row r="7521" spans="1:7" x14ac:dyDescent="0.25">
      <c r="A7521" t="s">
        <v>18820</v>
      </c>
      <c r="B7521" t="s">
        <v>24377</v>
      </c>
      <c r="C7521" t="s">
        <v>748</v>
      </c>
      <c r="D7521" t="s">
        <v>749</v>
      </c>
      <c r="E7521" t="s">
        <v>750</v>
      </c>
      <c r="F7521" t="s">
        <v>24378</v>
      </c>
      <c r="G7521" s="2" t="str">
        <f>HYPERLINK("https://probpalata.gov.ru/files/ЮЛ770100193500362.jpeg","Скачать индивидуальный QR-код магазина")</f>
        <v>Скачать индивидуальный QR-код магазина</v>
      </c>
    </row>
    <row r="7522" spans="1:7" x14ac:dyDescent="0.25">
      <c r="A7522" t="s">
        <v>18820</v>
      </c>
      <c r="B7522" t="s">
        <v>24379</v>
      </c>
      <c r="C7522" t="s">
        <v>748</v>
      </c>
      <c r="D7522" t="s">
        <v>749</v>
      </c>
      <c r="E7522" t="s">
        <v>750</v>
      </c>
      <c r="F7522" t="s">
        <v>24380</v>
      </c>
      <c r="G7522" s="2" t="str">
        <f>HYPERLINK("https://probpalata.gov.ru/files/ЮЛ770100193500366.jpeg","Скачать индивидуальный QR-код магазина")</f>
        <v>Скачать индивидуальный QR-код магазина</v>
      </c>
    </row>
    <row r="7523" spans="1:7" x14ac:dyDescent="0.25">
      <c r="A7523" t="s">
        <v>18820</v>
      </c>
      <c r="B7523" t="s">
        <v>24381</v>
      </c>
      <c r="C7523" t="s">
        <v>748</v>
      </c>
      <c r="D7523" t="s">
        <v>749</v>
      </c>
      <c r="E7523" t="s">
        <v>750</v>
      </c>
      <c r="F7523" t="s">
        <v>24382</v>
      </c>
      <c r="G7523" s="2" t="str">
        <f>HYPERLINK("https://probpalata.gov.ru/files/ЮЛ770100193500368.jpeg","Скачать индивидуальный QR-код магазина")</f>
        <v>Скачать индивидуальный QR-код магазина</v>
      </c>
    </row>
    <row r="7524" spans="1:7" x14ac:dyDescent="0.25">
      <c r="A7524" t="s">
        <v>18820</v>
      </c>
      <c r="B7524" t="s">
        <v>24383</v>
      </c>
      <c r="C7524" t="s">
        <v>748</v>
      </c>
      <c r="D7524" t="s">
        <v>749</v>
      </c>
      <c r="E7524" t="s">
        <v>750</v>
      </c>
      <c r="F7524" t="s">
        <v>24384</v>
      </c>
      <c r="G7524" s="2" t="str">
        <f>HYPERLINK("https://probpalata.gov.ru/files/ЮЛ770100193500371.jpeg","Скачать индивидуальный QR-код магазина")</f>
        <v>Скачать индивидуальный QR-код магазина</v>
      </c>
    </row>
    <row r="7525" spans="1:7" x14ac:dyDescent="0.25">
      <c r="A7525" t="s">
        <v>18820</v>
      </c>
      <c r="B7525" t="s">
        <v>24385</v>
      </c>
      <c r="C7525" t="s">
        <v>748</v>
      </c>
      <c r="D7525" t="s">
        <v>749</v>
      </c>
      <c r="E7525" t="s">
        <v>750</v>
      </c>
      <c r="F7525" t="s">
        <v>24386</v>
      </c>
      <c r="G7525" s="2" t="str">
        <f>HYPERLINK("https://probpalata.gov.ru/files/ЮЛ770100193500372.jpeg","Скачать индивидуальный QR-код магазина")</f>
        <v>Скачать индивидуальный QR-код магазина</v>
      </c>
    </row>
    <row r="7526" spans="1:7" x14ac:dyDescent="0.25">
      <c r="A7526" t="s">
        <v>18820</v>
      </c>
      <c r="B7526" t="s">
        <v>24387</v>
      </c>
      <c r="C7526" t="s">
        <v>748</v>
      </c>
      <c r="D7526" t="s">
        <v>749</v>
      </c>
      <c r="E7526" t="s">
        <v>750</v>
      </c>
      <c r="F7526" t="s">
        <v>24388</v>
      </c>
      <c r="G7526" s="2" t="str">
        <f>HYPERLINK("https://probpalata.gov.ru/files/ЮЛ770100193500375.jpeg","Скачать индивидуальный QR-код магазина")</f>
        <v>Скачать индивидуальный QR-код магазина</v>
      </c>
    </row>
    <row r="7527" spans="1:7" x14ac:dyDescent="0.25">
      <c r="A7527" t="s">
        <v>18820</v>
      </c>
      <c r="B7527" t="s">
        <v>24389</v>
      </c>
      <c r="C7527" t="s">
        <v>748</v>
      </c>
      <c r="D7527" t="s">
        <v>749</v>
      </c>
      <c r="E7527" t="s">
        <v>750</v>
      </c>
      <c r="F7527" t="s">
        <v>24390</v>
      </c>
      <c r="G7527" s="2" t="str">
        <f>HYPERLINK("https://probpalata.gov.ru/files/ЮЛ770100193500376.jpeg","Скачать индивидуальный QR-код магазина")</f>
        <v>Скачать индивидуальный QR-код магазина</v>
      </c>
    </row>
    <row r="7528" spans="1:7" x14ac:dyDescent="0.25">
      <c r="A7528" t="s">
        <v>18820</v>
      </c>
      <c r="B7528" t="s">
        <v>24391</v>
      </c>
      <c r="C7528" t="s">
        <v>748</v>
      </c>
      <c r="D7528" t="s">
        <v>749</v>
      </c>
      <c r="E7528" t="s">
        <v>750</v>
      </c>
      <c r="F7528" t="s">
        <v>24392</v>
      </c>
      <c r="G7528" s="2" t="str">
        <f>HYPERLINK("https://probpalata.gov.ru/files/ЮЛ770100193500482.jpeg","Скачать индивидуальный QR-код магазина")</f>
        <v>Скачать индивидуальный QR-код магазина</v>
      </c>
    </row>
    <row r="7529" spans="1:7" x14ac:dyDescent="0.25">
      <c r="A7529" t="s">
        <v>18820</v>
      </c>
      <c r="B7529" t="s">
        <v>24393</v>
      </c>
      <c r="C7529" t="s">
        <v>748</v>
      </c>
      <c r="D7529" t="s">
        <v>749</v>
      </c>
      <c r="E7529" t="s">
        <v>750</v>
      </c>
      <c r="F7529" t="s">
        <v>24394</v>
      </c>
      <c r="G7529" s="2" t="str">
        <f>HYPERLINK("https://probpalata.gov.ru/files/ЮЛ770100193500485.jpeg","Скачать индивидуальный QR-код магазина")</f>
        <v>Скачать индивидуальный QR-код магазина</v>
      </c>
    </row>
    <row r="7530" spans="1:7" x14ac:dyDescent="0.25">
      <c r="A7530" t="s">
        <v>18820</v>
      </c>
      <c r="B7530" t="s">
        <v>24395</v>
      </c>
      <c r="C7530" t="s">
        <v>748</v>
      </c>
      <c r="D7530" t="s">
        <v>749</v>
      </c>
      <c r="E7530" t="s">
        <v>750</v>
      </c>
      <c r="F7530" t="s">
        <v>24396</v>
      </c>
      <c r="G7530" s="2" t="str">
        <f>HYPERLINK("https://probpalata.gov.ru/files/ЮЛ770100193500495.jpeg","Скачать индивидуальный QR-код магазина")</f>
        <v>Скачать индивидуальный QR-код магазина</v>
      </c>
    </row>
    <row r="7531" spans="1:7" x14ac:dyDescent="0.25">
      <c r="A7531" t="s">
        <v>18820</v>
      </c>
      <c r="B7531" t="s">
        <v>24397</v>
      </c>
      <c r="C7531" t="s">
        <v>748</v>
      </c>
      <c r="D7531" t="s">
        <v>749</v>
      </c>
      <c r="E7531" t="s">
        <v>750</v>
      </c>
      <c r="F7531" t="s">
        <v>24398</v>
      </c>
      <c r="G7531" s="2" t="str">
        <f>HYPERLINK("https://probpalata.gov.ru/files/ЮЛ770100193500496.jpeg","Скачать индивидуальный QR-код магазина")</f>
        <v>Скачать индивидуальный QR-код магазина</v>
      </c>
    </row>
    <row r="7532" spans="1:7" x14ac:dyDescent="0.25">
      <c r="A7532" t="s">
        <v>18820</v>
      </c>
      <c r="B7532" t="s">
        <v>24399</v>
      </c>
      <c r="C7532" t="s">
        <v>748</v>
      </c>
      <c r="D7532" t="s">
        <v>749</v>
      </c>
      <c r="E7532" t="s">
        <v>750</v>
      </c>
      <c r="F7532" t="s">
        <v>24400</v>
      </c>
      <c r="G7532" s="2" t="str">
        <f>HYPERLINK("https://probpalata.gov.ru/files/ЮЛ770100193500519.jpeg","Скачать индивидуальный QR-код магазина")</f>
        <v>Скачать индивидуальный QR-код магазина</v>
      </c>
    </row>
    <row r="7533" spans="1:7" x14ac:dyDescent="0.25">
      <c r="A7533" t="s">
        <v>18820</v>
      </c>
      <c r="B7533" t="s">
        <v>24401</v>
      </c>
      <c r="C7533" t="s">
        <v>748</v>
      </c>
      <c r="D7533" t="s">
        <v>749</v>
      </c>
      <c r="E7533" t="s">
        <v>750</v>
      </c>
      <c r="F7533" t="s">
        <v>24402</v>
      </c>
      <c r="G7533" s="2" t="str">
        <f>HYPERLINK("https://probpalata.gov.ru/files/ЮЛ770100193500529.jpeg","Скачать индивидуальный QR-код магазина")</f>
        <v>Скачать индивидуальный QR-код магазина</v>
      </c>
    </row>
    <row r="7534" spans="1:7" x14ac:dyDescent="0.25">
      <c r="A7534" t="s">
        <v>18820</v>
      </c>
      <c r="B7534" t="s">
        <v>24403</v>
      </c>
      <c r="C7534" t="s">
        <v>748</v>
      </c>
      <c r="D7534" t="s">
        <v>749</v>
      </c>
      <c r="E7534" t="s">
        <v>750</v>
      </c>
      <c r="F7534" t="s">
        <v>24404</v>
      </c>
      <c r="G7534" s="2" t="str">
        <f>HYPERLINK("https://probpalata.gov.ru/files/ЮЛ770100193500530.jpeg","Скачать индивидуальный QR-код магазина")</f>
        <v>Скачать индивидуальный QR-код магазина</v>
      </c>
    </row>
    <row r="7535" spans="1:7" x14ac:dyDescent="0.25">
      <c r="A7535" t="s">
        <v>18820</v>
      </c>
      <c r="B7535" t="s">
        <v>24405</v>
      </c>
      <c r="C7535" t="s">
        <v>748</v>
      </c>
      <c r="D7535" t="s">
        <v>749</v>
      </c>
      <c r="E7535" t="s">
        <v>750</v>
      </c>
      <c r="F7535" t="s">
        <v>24406</v>
      </c>
      <c r="G7535" s="2" t="str">
        <f>HYPERLINK("https://probpalata.gov.ru/files/ЮЛ770100193500535.jpeg","Скачать индивидуальный QR-код магазина")</f>
        <v>Скачать индивидуальный QR-код магазина</v>
      </c>
    </row>
    <row r="7536" spans="1:7" x14ac:dyDescent="0.25">
      <c r="A7536" t="s">
        <v>18820</v>
      </c>
      <c r="B7536" t="s">
        <v>24407</v>
      </c>
      <c r="C7536" t="s">
        <v>748</v>
      </c>
      <c r="D7536" t="s">
        <v>749</v>
      </c>
      <c r="E7536" t="s">
        <v>750</v>
      </c>
      <c r="F7536" t="s">
        <v>24408</v>
      </c>
      <c r="G7536" s="2" t="str">
        <f>HYPERLINK("https://probpalata.gov.ru/files/ЮЛ770100193500554.jpeg","Скачать индивидуальный QR-код магазина")</f>
        <v>Скачать индивидуальный QR-код магазина</v>
      </c>
    </row>
    <row r="7537" spans="1:7" x14ac:dyDescent="0.25">
      <c r="A7537" t="s">
        <v>18820</v>
      </c>
      <c r="B7537" t="s">
        <v>24409</v>
      </c>
      <c r="C7537" t="s">
        <v>748</v>
      </c>
      <c r="D7537" t="s">
        <v>749</v>
      </c>
      <c r="E7537" t="s">
        <v>750</v>
      </c>
      <c r="F7537" t="s">
        <v>24410</v>
      </c>
      <c r="G7537" s="2" t="str">
        <f>HYPERLINK("https://probpalata.gov.ru/files/ЮЛ770100193500562.jpeg","Скачать индивидуальный QR-код магазина")</f>
        <v>Скачать индивидуальный QR-код магазина</v>
      </c>
    </row>
    <row r="7538" spans="1:7" x14ac:dyDescent="0.25">
      <c r="A7538" t="s">
        <v>18820</v>
      </c>
      <c r="B7538" t="s">
        <v>24411</v>
      </c>
      <c r="C7538" t="s">
        <v>748</v>
      </c>
      <c r="D7538" t="s">
        <v>749</v>
      </c>
      <c r="E7538" t="s">
        <v>750</v>
      </c>
      <c r="F7538" t="s">
        <v>24412</v>
      </c>
      <c r="G7538" s="2" t="str">
        <f>HYPERLINK("https://probpalata.gov.ru/files/ЮЛ770100193500566.jpeg","Скачать индивидуальный QR-код магазина")</f>
        <v>Скачать индивидуальный QR-код магазина</v>
      </c>
    </row>
    <row r="7539" spans="1:7" x14ac:dyDescent="0.25">
      <c r="A7539" t="s">
        <v>18820</v>
      </c>
      <c r="B7539" t="s">
        <v>24413</v>
      </c>
      <c r="C7539" t="s">
        <v>748</v>
      </c>
      <c r="D7539" t="s">
        <v>749</v>
      </c>
      <c r="E7539" t="s">
        <v>750</v>
      </c>
      <c r="F7539" t="s">
        <v>24414</v>
      </c>
      <c r="G7539" s="2" t="str">
        <f>HYPERLINK("https://probpalata.gov.ru/files/ЮЛ770100193500569.jpeg","Скачать индивидуальный QR-код магазина")</f>
        <v>Скачать индивидуальный QR-код магазина</v>
      </c>
    </row>
    <row r="7540" spans="1:7" x14ac:dyDescent="0.25">
      <c r="A7540" t="s">
        <v>18820</v>
      </c>
      <c r="B7540" t="s">
        <v>24415</v>
      </c>
      <c r="C7540" t="s">
        <v>748</v>
      </c>
      <c r="D7540" t="s">
        <v>749</v>
      </c>
      <c r="E7540" t="s">
        <v>750</v>
      </c>
      <c r="F7540" t="s">
        <v>24416</v>
      </c>
      <c r="G7540" s="2" t="str">
        <f>HYPERLINK("https://probpalata.gov.ru/files/ЮЛ770100193500585.jpeg","Скачать индивидуальный QR-код магазина")</f>
        <v>Скачать индивидуальный QR-код магазина</v>
      </c>
    </row>
    <row r="7541" spans="1:7" x14ac:dyDescent="0.25">
      <c r="A7541" t="s">
        <v>18820</v>
      </c>
      <c r="B7541" t="s">
        <v>24417</v>
      </c>
      <c r="C7541" t="s">
        <v>748</v>
      </c>
      <c r="D7541" t="s">
        <v>749</v>
      </c>
      <c r="E7541" t="s">
        <v>750</v>
      </c>
      <c r="F7541" t="s">
        <v>24418</v>
      </c>
      <c r="G7541" s="2" t="str">
        <f>HYPERLINK("https://probpalata.gov.ru/files/ЮЛ770100193500599.jpeg","Скачать индивидуальный QR-код магазина")</f>
        <v>Скачать индивидуальный QR-код магазина</v>
      </c>
    </row>
    <row r="7542" spans="1:7" x14ac:dyDescent="0.25">
      <c r="A7542" t="s">
        <v>18820</v>
      </c>
      <c r="B7542" t="s">
        <v>24419</v>
      </c>
      <c r="C7542" t="s">
        <v>748</v>
      </c>
      <c r="D7542" t="s">
        <v>749</v>
      </c>
      <c r="E7542" t="s">
        <v>750</v>
      </c>
      <c r="F7542" t="s">
        <v>24420</v>
      </c>
      <c r="G7542" s="2" t="str">
        <f>HYPERLINK("https://probpalata.gov.ru/files/ЮЛ770100193500604.jpeg","Скачать индивидуальный QR-код магазина")</f>
        <v>Скачать индивидуальный QR-код магазина</v>
      </c>
    </row>
    <row r="7543" spans="1:7" x14ac:dyDescent="0.25">
      <c r="A7543" t="s">
        <v>18820</v>
      </c>
      <c r="B7543" t="s">
        <v>24421</v>
      </c>
      <c r="C7543" t="s">
        <v>748</v>
      </c>
      <c r="D7543" t="s">
        <v>749</v>
      </c>
      <c r="E7543" t="s">
        <v>750</v>
      </c>
      <c r="F7543" t="s">
        <v>24422</v>
      </c>
      <c r="G7543" s="2" t="str">
        <f>HYPERLINK("https://probpalata.gov.ru/files/ЮЛ770100193500611.jpeg","Скачать индивидуальный QR-код магазина")</f>
        <v>Скачать индивидуальный QR-код магазина</v>
      </c>
    </row>
    <row r="7544" spans="1:7" x14ac:dyDescent="0.25">
      <c r="A7544" t="s">
        <v>18820</v>
      </c>
      <c r="B7544" t="s">
        <v>24423</v>
      </c>
      <c r="C7544" t="s">
        <v>748</v>
      </c>
      <c r="D7544" t="s">
        <v>749</v>
      </c>
      <c r="E7544" t="s">
        <v>750</v>
      </c>
      <c r="F7544" t="s">
        <v>24424</v>
      </c>
      <c r="G7544" s="2" t="str">
        <f>HYPERLINK("https://probpalata.gov.ru/files/ЮЛ770100193500630.jpeg","Скачать индивидуальный QR-код магазина")</f>
        <v>Скачать индивидуальный QR-код магазина</v>
      </c>
    </row>
    <row r="7545" spans="1:7" x14ac:dyDescent="0.25">
      <c r="A7545" t="s">
        <v>18820</v>
      </c>
      <c r="B7545" t="s">
        <v>24425</v>
      </c>
      <c r="C7545" t="s">
        <v>748</v>
      </c>
      <c r="D7545" t="s">
        <v>749</v>
      </c>
      <c r="E7545" t="s">
        <v>750</v>
      </c>
      <c r="F7545" t="s">
        <v>24426</v>
      </c>
      <c r="G7545" s="2" t="str">
        <f>HYPERLINK("https://probpalata.gov.ru/files/ЮЛ770100193500632.jpeg","Скачать индивидуальный QR-код магазина")</f>
        <v>Скачать индивидуальный QR-код магазина</v>
      </c>
    </row>
    <row r="7546" spans="1:7" x14ac:dyDescent="0.25">
      <c r="A7546" t="s">
        <v>18820</v>
      </c>
      <c r="B7546" t="s">
        <v>24427</v>
      </c>
      <c r="C7546" t="s">
        <v>748</v>
      </c>
      <c r="D7546" t="s">
        <v>749</v>
      </c>
      <c r="E7546" t="s">
        <v>750</v>
      </c>
      <c r="F7546" t="s">
        <v>24428</v>
      </c>
      <c r="G7546" s="2" t="str">
        <f>HYPERLINK("https://probpalata.gov.ru/files/ЮЛ770100193500633.jpeg","Скачать индивидуальный QR-код магазина")</f>
        <v>Скачать индивидуальный QR-код магазина</v>
      </c>
    </row>
    <row r="7547" spans="1:7" x14ac:dyDescent="0.25">
      <c r="A7547" t="s">
        <v>18820</v>
      </c>
      <c r="B7547" t="s">
        <v>24429</v>
      </c>
      <c r="C7547" t="s">
        <v>748</v>
      </c>
      <c r="D7547" t="s">
        <v>749</v>
      </c>
      <c r="E7547" t="s">
        <v>750</v>
      </c>
      <c r="F7547" t="s">
        <v>24430</v>
      </c>
      <c r="G7547" s="2" t="str">
        <f>HYPERLINK("https://probpalata.gov.ru/files/ЮЛ770100193500645.jpeg","Скачать индивидуальный QR-код магазина")</f>
        <v>Скачать индивидуальный QR-код магазина</v>
      </c>
    </row>
    <row r="7548" spans="1:7" x14ac:dyDescent="0.25">
      <c r="A7548" t="s">
        <v>18820</v>
      </c>
      <c r="B7548" t="s">
        <v>24431</v>
      </c>
      <c r="C7548" t="s">
        <v>748</v>
      </c>
      <c r="D7548" t="s">
        <v>749</v>
      </c>
      <c r="E7548" t="s">
        <v>750</v>
      </c>
      <c r="F7548" t="s">
        <v>24432</v>
      </c>
      <c r="G7548" s="2" t="str">
        <f>HYPERLINK("https://probpalata.gov.ru/files/ЮЛ770100193500648.jpeg","Скачать индивидуальный QR-код магазина")</f>
        <v>Скачать индивидуальный QR-код магазина</v>
      </c>
    </row>
    <row r="7549" spans="1:7" x14ac:dyDescent="0.25">
      <c r="A7549" t="s">
        <v>18820</v>
      </c>
      <c r="B7549" t="s">
        <v>24433</v>
      </c>
      <c r="C7549" t="s">
        <v>748</v>
      </c>
      <c r="D7549" t="s">
        <v>749</v>
      </c>
      <c r="E7549" t="s">
        <v>750</v>
      </c>
      <c r="F7549" t="s">
        <v>24434</v>
      </c>
      <c r="G7549" s="2" t="str">
        <f>HYPERLINK("https://probpalata.gov.ru/files/ЮЛ770100193500667.jpeg","Скачать индивидуальный QR-код магазина")</f>
        <v>Скачать индивидуальный QR-код магазина</v>
      </c>
    </row>
    <row r="7550" spans="1:7" x14ac:dyDescent="0.25">
      <c r="A7550" t="s">
        <v>18820</v>
      </c>
      <c r="B7550" t="s">
        <v>24435</v>
      </c>
      <c r="C7550" t="s">
        <v>748</v>
      </c>
      <c r="D7550" t="s">
        <v>749</v>
      </c>
      <c r="E7550" t="s">
        <v>750</v>
      </c>
      <c r="F7550" t="s">
        <v>24436</v>
      </c>
      <c r="G7550" s="2" t="str">
        <f>HYPERLINK("https://probpalata.gov.ru/files/ЮЛ770100193500675.jpeg","Скачать индивидуальный QR-код магазина")</f>
        <v>Скачать индивидуальный QR-код магазина</v>
      </c>
    </row>
    <row r="7551" spans="1:7" x14ac:dyDescent="0.25">
      <c r="A7551" t="s">
        <v>18820</v>
      </c>
      <c r="B7551" t="s">
        <v>24437</v>
      </c>
      <c r="C7551" t="s">
        <v>748</v>
      </c>
      <c r="D7551" t="s">
        <v>749</v>
      </c>
      <c r="E7551" t="s">
        <v>750</v>
      </c>
      <c r="F7551" t="s">
        <v>24438</v>
      </c>
      <c r="G7551" s="2" t="str">
        <f>HYPERLINK("https://probpalata.gov.ru/files/ЮЛ770100193500676.jpeg","Скачать индивидуальный QR-код магазина")</f>
        <v>Скачать индивидуальный QR-код магазина</v>
      </c>
    </row>
    <row r="7552" spans="1:7" x14ac:dyDescent="0.25">
      <c r="A7552" t="s">
        <v>18820</v>
      </c>
      <c r="B7552" t="s">
        <v>24439</v>
      </c>
      <c r="C7552" t="s">
        <v>748</v>
      </c>
      <c r="D7552" t="s">
        <v>749</v>
      </c>
      <c r="E7552" t="s">
        <v>750</v>
      </c>
      <c r="F7552" t="s">
        <v>24440</v>
      </c>
      <c r="G7552" s="2" t="str">
        <f>HYPERLINK("https://probpalata.gov.ru/files/ЮЛ770100193500677.jpeg","Скачать индивидуальный QR-код магазина")</f>
        <v>Скачать индивидуальный QR-код магазина</v>
      </c>
    </row>
    <row r="7553" spans="1:7" x14ac:dyDescent="0.25">
      <c r="A7553" t="s">
        <v>18820</v>
      </c>
      <c r="B7553" t="s">
        <v>24441</v>
      </c>
      <c r="C7553" t="s">
        <v>748</v>
      </c>
      <c r="D7553" t="s">
        <v>749</v>
      </c>
      <c r="E7553" t="s">
        <v>750</v>
      </c>
      <c r="F7553" t="s">
        <v>24442</v>
      </c>
      <c r="G7553" s="2" t="str">
        <f>HYPERLINK("https://probpalata.gov.ru/files/ЮЛ770100193500678.jpeg","Скачать индивидуальный QR-код магазина")</f>
        <v>Скачать индивидуальный QR-код магазина</v>
      </c>
    </row>
    <row r="7554" spans="1:7" x14ac:dyDescent="0.25">
      <c r="A7554" t="s">
        <v>18820</v>
      </c>
      <c r="B7554" t="s">
        <v>24443</v>
      </c>
      <c r="C7554" t="s">
        <v>748</v>
      </c>
      <c r="D7554" t="s">
        <v>749</v>
      </c>
      <c r="E7554" t="s">
        <v>750</v>
      </c>
      <c r="F7554" t="s">
        <v>24444</v>
      </c>
      <c r="G7554" s="2" t="str">
        <f>HYPERLINK("https://probpalata.gov.ru/files/ЮЛ770100193500720.jpeg","Скачать индивидуальный QR-код магазина")</f>
        <v>Скачать индивидуальный QR-код магазина</v>
      </c>
    </row>
    <row r="7555" spans="1:7" x14ac:dyDescent="0.25">
      <c r="A7555" t="s">
        <v>18820</v>
      </c>
      <c r="B7555" t="s">
        <v>24445</v>
      </c>
      <c r="C7555" t="s">
        <v>748</v>
      </c>
      <c r="D7555" t="s">
        <v>749</v>
      </c>
      <c r="E7555" t="s">
        <v>750</v>
      </c>
      <c r="F7555" t="s">
        <v>24446</v>
      </c>
      <c r="G7555" s="2" t="str">
        <f>HYPERLINK("https://probpalata.gov.ru/files/ЮЛ770100193500722.jpeg","Скачать индивидуальный QR-код магазина")</f>
        <v>Скачать индивидуальный QR-код магазина</v>
      </c>
    </row>
    <row r="7556" spans="1:7" x14ac:dyDescent="0.25">
      <c r="A7556" t="s">
        <v>18820</v>
      </c>
      <c r="B7556" t="s">
        <v>24447</v>
      </c>
      <c r="C7556" t="s">
        <v>748</v>
      </c>
      <c r="D7556" t="s">
        <v>749</v>
      </c>
      <c r="E7556" t="s">
        <v>750</v>
      </c>
      <c r="F7556" t="s">
        <v>24448</v>
      </c>
      <c r="G7556" s="2" t="str">
        <f>HYPERLINK("https://probpalata.gov.ru/files/ЮЛ770100193500726.jpeg","Скачать индивидуальный QR-код магазина")</f>
        <v>Скачать индивидуальный QR-код магазина</v>
      </c>
    </row>
    <row r="7557" spans="1:7" x14ac:dyDescent="0.25">
      <c r="A7557" t="s">
        <v>18820</v>
      </c>
      <c r="B7557" t="s">
        <v>24449</v>
      </c>
      <c r="C7557" t="s">
        <v>748</v>
      </c>
      <c r="D7557" t="s">
        <v>749</v>
      </c>
      <c r="E7557" t="s">
        <v>750</v>
      </c>
      <c r="F7557" t="s">
        <v>24450</v>
      </c>
      <c r="G7557" s="2" t="str">
        <f>HYPERLINK("https://probpalata.gov.ru/files/ЮЛ770100193500756.jpeg","Скачать индивидуальный QR-код магазина")</f>
        <v>Скачать индивидуальный QR-код магазина</v>
      </c>
    </row>
    <row r="7558" spans="1:7" x14ac:dyDescent="0.25">
      <c r="A7558" t="s">
        <v>18820</v>
      </c>
      <c r="B7558" t="s">
        <v>24451</v>
      </c>
      <c r="C7558" t="s">
        <v>748</v>
      </c>
      <c r="D7558" t="s">
        <v>749</v>
      </c>
      <c r="E7558" t="s">
        <v>750</v>
      </c>
      <c r="F7558" t="s">
        <v>24452</v>
      </c>
      <c r="G7558" s="2" t="str">
        <f>HYPERLINK("https://probpalata.gov.ru/files/ЮЛ770100193500770.jpeg","Скачать индивидуальный QR-код магазина")</f>
        <v>Скачать индивидуальный QR-код магазина</v>
      </c>
    </row>
    <row r="7559" spans="1:7" x14ac:dyDescent="0.25">
      <c r="A7559" t="s">
        <v>18820</v>
      </c>
      <c r="B7559" t="s">
        <v>24453</v>
      </c>
      <c r="C7559" t="s">
        <v>748</v>
      </c>
      <c r="D7559" t="s">
        <v>749</v>
      </c>
      <c r="E7559" t="s">
        <v>750</v>
      </c>
      <c r="F7559" t="s">
        <v>24454</v>
      </c>
      <c r="G7559" s="2" t="str">
        <f>HYPERLINK("https://probpalata.gov.ru/files/ЮЛ770100193500771.jpeg","Скачать индивидуальный QR-код магазина")</f>
        <v>Скачать индивидуальный QR-код магазина</v>
      </c>
    </row>
    <row r="7560" spans="1:7" x14ac:dyDescent="0.25">
      <c r="A7560" t="s">
        <v>18820</v>
      </c>
      <c r="B7560" t="s">
        <v>24455</v>
      </c>
      <c r="C7560" t="s">
        <v>748</v>
      </c>
      <c r="D7560" t="s">
        <v>749</v>
      </c>
      <c r="E7560" t="s">
        <v>750</v>
      </c>
      <c r="F7560" t="s">
        <v>24456</v>
      </c>
      <c r="G7560" s="2" t="str">
        <f>HYPERLINK("https://probpalata.gov.ru/files/ЮЛ770100193500772.jpeg","Скачать индивидуальный QR-код магазина")</f>
        <v>Скачать индивидуальный QR-код магазина</v>
      </c>
    </row>
    <row r="7561" spans="1:7" x14ac:dyDescent="0.25">
      <c r="A7561" t="s">
        <v>18820</v>
      </c>
      <c r="B7561" t="s">
        <v>24457</v>
      </c>
      <c r="C7561" t="s">
        <v>748</v>
      </c>
      <c r="D7561" t="s">
        <v>749</v>
      </c>
      <c r="E7561" t="s">
        <v>750</v>
      </c>
      <c r="F7561" t="s">
        <v>24458</v>
      </c>
      <c r="G7561" s="2" t="str">
        <f>HYPERLINK("https://probpalata.gov.ru/files/ЮЛ770100193500774.jpeg","Скачать индивидуальный QR-код магазина")</f>
        <v>Скачать индивидуальный QR-код магазина</v>
      </c>
    </row>
    <row r="7562" spans="1:7" x14ac:dyDescent="0.25">
      <c r="A7562" t="s">
        <v>18820</v>
      </c>
      <c r="B7562" t="s">
        <v>24459</v>
      </c>
      <c r="C7562" t="s">
        <v>748</v>
      </c>
      <c r="D7562" t="s">
        <v>749</v>
      </c>
      <c r="E7562" t="s">
        <v>750</v>
      </c>
      <c r="F7562" t="s">
        <v>24460</v>
      </c>
      <c r="G7562" s="2" t="str">
        <f>HYPERLINK("https://probpalata.gov.ru/files/ЮЛ770100193500781.jpeg","Скачать индивидуальный QR-код магазина")</f>
        <v>Скачать индивидуальный QR-код магазина</v>
      </c>
    </row>
    <row r="7563" spans="1:7" x14ac:dyDescent="0.25">
      <c r="A7563" t="s">
        <v>18820</v>
      </c>
      <c r="B7563" t="s">
        <v>24461</v>
      </c>
      <c r="C7563" t="s">
        <v>748</v>
      </c>
      <c r="D7563" t="s">
        <v>749</v>
      </c>
      <c r="E7563" t="s">
        <v>750</v>
      </c>
      <c r="F7563" t="s">
        <v>24462</v>
      </c>
      <c r="G7563" s="2" t="str">
        <f>HYPERLINK("https://probpalata.gov.ru/files/ЮЛ770100193500782.jpeg","Скачать индивидуальный QR-код магазина")</f>
        <v>Скачать индивидуальный QR-код магазина</v>
      </c>
    </row>
    <row r="7564" spans="1:7" x14ac:dyDescent="0.25">
      <c r="A7564" t="s">
        <v>18820</v>
      </c>
      <c r="B7564" t="s">
        <v>24463</v>
      </c>
      <c r="C7564" t="s">
        <v>748</v>
      </c>
      <c r="D7564" t="s">
        <v>749</v>
      </c>
      <c r="E7564" t="s">
        <v>750</v>
      </c>
      <c r="F7564" t="s">
        <v>24464</v>
      </c>
      <c r="G7564" s="2" t="str">
        <f>HYPERLINK("https://probpalata.gov.ru/files/ЮЛ770100193500790.jpeg","Скачать индивидуальный QR-код магазина")</f>
        <v>Скачать индивидуальный QR-код магазина</v>
      </c>
    </row>
    <row r="7565" spans="1:7" x14ac:dyDescent="0.25">
      <c r="A7565" t="s">
        <v>18820</v>
      </c>
      <c r="B7565" t="s">
        <v>24465</v>
      </c>
      <c r="C7565" t="s">
        <v>748</v>
      </c>
      <c r="D7565" t="s">
        <v>749</v>
      </c>
      <c r="E7565" t="s">
        <v>750</v>
      </c>
      <c r="F7565" t="s">
        <v>24466</v>
      </c>
      <c r="G7565" s="2" t="str">
        <f>HYPERLINK("https://probpalata.gov.ru/files/ЮЛ770100193500798.jpeg","Скачать индивидуальный QR-код магазина")</f>
        <v>Скачать индивидуальный QR-код магазина</v>
      </c>
    </row>
    <row r="7566" spans="1:7" x14ac:dyDescent="0.25">
      <c r="A7566" t="s">
        <v>18820</v>
      </c>
      <c r="B7566" t="s">
        <v>24467</v>
      </c>
      <c r="C7566" t="s">
        <v>748</v>
      </c>
      <c r="D7566" t="s">
        <v>749</v>
      </c>
      <c r="E7566" t="s">
        <v>750</v>
      </c>
      <c r="F7566" t="s">
        <v>24468</v>
      </c>
      <c r="G7566" s="2" t="str">
        <f>HYPERLINK("https://probpalata.gov.ru/files/ЮЛ770100193500799.jpeg","Скачать индивидуальный QR-код магазина")</f>
        <v>Скачать индивидуальный QR-код магазина</v>
      </c>
    </row>
    <row r="7567" spans="1:7" x14ac:dyDescent="0.25">
      <c r="A7567" t="s">
        <v>18820</v>
      </c>
      <c r="B7567" t="s">
        <v>24469</v>
      </c>
      <c r="C7567" t="s">
        <v>748</v>
      </c>
      <c r="D7567" t="s">
        <v>749</v>
      </c>
      <c r="E7567" t="s">
        <v>750</v>
      </c>
      <c r="F7567" t="s">
        <v>24470</v>
      </c>
      <c r="G7567" s="2" t="str">
        <f>HYPERLINK("https://probpalata.gov.ru/files/ЮЛ770100193500809.jpeg","Скачать индивидуальный QR-код магазина")</f>
        <v>Скачать индивидуальный QR-код магазина</v>
      </c>
    </row>
    <row r="7568" spans="1:7" x14ac:dyDescent="0.25">
      <c r="A7568" t="s">
        <v>18820</v>
      </c>
      <c r="B7568" t="s">
        <v>24471</v>
      </c>
      <c r="C7568" t="s">
        <v>748</v>
      </c>
      <c r="D7568" t="s">
        <v>749</v>
      </c>
      <c r="E7568" t="s">
        <v>750</v>
      </c>
      <c r="F7568" t="s">
        <v>24472</v>
      </c>
      <c r="G7568" s="2" t="str">
        <f>HYPERLINK("https://probpalata.gov.ru/files/ЮЛ770100193500815.jpeg","Скачать индивидуальный QR-код магазина")</f>
        <v>Скачать индивидуальный QR-код магазина</v>
      </c>
    </row>
    <row r="7569" spans="1:7" x14ac:dyDescent="0.25">
      <c r="A7569" t="s">
        <v>18820</v>
      </c>
      <c r="B7569" t="s">
        <v>24473</v>
      </c>
      <c r="C7569" t="s">
        <v>748</v>
      </c>
      <c r="D7569" t="s">
        <v>749</v>
      </c>
      <c r="E7569" t="s">
        <v>750</v>
      </c>
      <c r="F7569" t="s">
        <v>24474</v>
      </c>
      <c r="G7569" s="2" t="str">
        <f>HYPERLINK("https://probpalata.gov.ru/files/ЮЛ770100193500816.jpeg","Скачать индивидуальный QR-код магазина")</f>
        <v>Скачать индивидуальный QR-код магазина</v>
      </c>
    </row>
    <row r="7570" spans="1:7" x14ac:dyDescent="0.25">
      <c r="A7570" t="s">
        <v>18820</v>
      </c>
      <c r="B7570" t="s">
        <v>24475</v>
      </c>
      <c r="C7570" t="s">
        <v>748</v>
      </c>
      <c r="D7570" t="s">
        <v>749</v>
      </c>
      <c r="E7570" t="s">
        <v>750</v>
      </c>
      <c r="F7570" t="s">
        <v>24476</v>
      </c>
      <c r="G7570" s="2" t="str">
        <f>HYPERLINK("https://probpalata.gov.ru/files/ЮЛ770100193500823.jpeg","Скачать индивидуальный QR-код магазина")</f>
        <v>Скачать индивидуальный QR-код магазина</v>
      </c>
    </row>
    <row r="7571" spans="1:7" x14ac:dyDescent="0.25">
      <c r="A7571" t="s">
        <v>18820</v>
      </c>
      <c r="B7571" t="s">
        <v>24477</v>
      </c>
      <c r="C7571" t="s">
        <v>748</v>
      </c>
      <c r="D7571" t="s">
        <v>749</v>
      </c>
      <c r="E7571" t="s">
        <v>750</v>
      </c>
      <c r="F7571" t="s">
        <v>24478</v>
      </c>
      <c r="G7571" s="2" t="str">
        <f>HYPERLINK("https://probpalata.gov.ru/files/ЮЛ770100193500836.jpeg","Скачать индивидуальный QR-код магазина")</f>
        <v>Скачать индивидуальный QR-код магазина</v>
      </c>
    </row>
    <row r="7572" spans="1:7" x14ac:dyDescent="0.25">
      <c r="A7572" t="s">
        <v>18820</v>
      </c>
      <c r="B7572" t="s">
        <v>24479</v>
      </c>
      <c r="C7572" t="s">
        <v>748</v>
      </c>
      <c r="D7572" t="s">
        <v>749</v>
      </c>
      <c r="E7572" t="s">
        <v>750</v>
      </c>
      <c r="F7572" t="s">
        <v>24480</v>
      </c>
      <c r="G7572" s="2" t="str">
        <f>HYPERLINK("https://probpalata.gov.ru/files/ЮЛ770100193500847.jpeg","Скачать индивидуальный QR-код магазина")</f>
        <v>Скачать индивидуальный QR-код магазина</v>
      </c>
    </row>
    <row r="7573" spans="1:7" x14ac:dyDescent="0.25">
      <c r="A7573" t="s">
        <v>18820</v>
      </c>
      <c r="B7573" t="s">
        <v>24481</v>
      </c>
      <c r="C7573" t="s">
        <v>748</v>
      </c>
      <c r="D7573" t="s">
        <v>749</v>
      </c>
      <c r="E7573" t="s">
        <v>750</v>
      </c>
      <c r="F7573" t="s">
        <v>24482</v>
      </c>
      <c r="G7573" s="2" t="str">
        <f>HYPERLINK("https://probpalata.gov.ru/files/ЮЛ770100193500848.jpeg","Скачать индивидуальный QR-код магазина")</f>
        <v>Скачать индивидуальный QR-код магазина</v>
      </c>
    </row>
    <row r="7574" spans="1:7" x14ac:dyDescent="0.25">
      <c r="A7574" t="s">
        <v>18820</v>
      </c>
      <c r="B7574" t="s">
        <v>24483</v>
      </c>
      <c r="C7574" t="s">
        <v>748</v>
      </c>
      <c r="D7574" t="s">
        <v>749</v>
      </c>
      <c r="E7574" t="s">
        <v>750</v>
      </c>
      <c r="F7574" t="s">
        <v>24484</v>
      </c>
      <c r="G7574" s="2" t="str">
        <f>HYPERLINK("https://probpalata.gov.ru/files/ЮЛ770100193500849.jpeg","Скачать индивидуальный QR-код магазина")</f>
        <v>Скачать индивидуальный QR-код магазина</v>
      </c>
    </row>
    <row r="7575" spans="1:7" x14ac:dyDescent="0.25">
      <c r="A7575" t="s">
        <v>18820</v>
      </c>
      <c r="B7575" t="s">
        <v>24485</v>
      </c>
      <c r="C7575" t="s">
        <v>748</v>
      </c>
      <c r="D7575" t="s">
        <v>749</v>
      </c>
      <c r="E7575" t="s">
        <v>750</v>
      </c>
      <c r="F7575" t="s">
        <v>24486</v>
      </c>
      <c r="G7575" s="2" t="str">
        <f>HYPERLINK("https://probpalata.gov.ru/files/ЮЛ770100193500869.jpeg","Скачать индивидуальный QR-код магазина")</f>
        <v>Скачать индивидуальный QR-код магазина</v>
      </c>
    </row>
    <row r="7576" spans="1:7" x14ac:dyDescent="0.25">
      <c r="A7576" t="s">
        <v>18820</v>
      </c>
      <c r="B7576" t="s">
        <v>24487</v>
      </c>
      <c r="C7576" t="s">
        <v>748</v>
      </c>
      <c r="D7576" t="s">
        <v>749</v>
      </c>
      <c r="E7576" t="s">
        <v>750</v>
      </c>
      <c r="F7576" t="s">
        <v>24488</v>
      </c>
      <c r="G7576" s="2" t="str">
        <f>HYPERLINK("https://probpalata.gov.ru/files/ЮЛ770100193500872.jpeg","Скачать индивидуальный QR-код магазина")</f>
        <v>Скачать индивидуальный QR-код магазина</v>
      </c>
    </row>
    <row r="7577" spans="1:7" x14ac:dyDescent="0.25">
      <c r="A7577" t="s">
        <v>18820</v>
      </c>
      <c r="B7577" t="s">
        <v>24489</v>
      </c>
      <c r="C7577" t="s">
        <v>748</v>
      </c>
      <c r="D7577" t="s">
        <v>749</v>
      </c>
      <c r="E7577" t="s">
        <v>750</v>
      </c>
      <c r="F7577" t="s">
        <v>24490</v>
      </c>
      <c r="G7577" s="2" t="str">
        <f>HYPERLINK("https://probpalata.gov.ru/files/ЮЛ770100193500876.jpeg","Скачать индивидуальный QR-код магазина")</f>
        <v>Скачать индивидуальный QR-код магазина</v>
      </c>
    </row>
    <row r="7578" spans="1:7" x14ac:dyDescent="0.25">
      <c r="A7578" t="s">
        <v>18820</v>
      </c>
      <c r="B7578" t="s">
        <v>24491</v>
      </c>
      <c r="C7578" t="s">
        <v>748</v>
      </c>
      <c r="D7578" t="s">
        <v>749</v>
      </c>
      <c r="E7578" t="s">
        <v>750</v>
      </c>
      <c r="F7578" t="s">
        <v>24492</v>
      </c>
      <c r="G7578" s="2" t="str">
        <f>HYPERLINK("https://probpalata.gov.ru/files/ЮЛ770100193500884.jpeg","Скачать индивидуальный QR-код магазина")</f>
        <v>Скачать индивидуальный QR-код магазина</v>
      </c>
    </row>
    <row r="7579" spans="1:7" x14ac:dyDescent="0.25">
      <c r="A7579" t="s">
        <v>18820</v>
      </c>
      <c r="B7579" t="s">
        <v>24493</v>
      </c>
      <c r="C7579" t="s">
        <v>748</v>
      </c>
      <c r="D7579" t="s">
        <v>749</v>
      </c>
      <c r="E7579" t="s">
        <v>750</v>
      </c>
      <c r="F7579" t="s">
        <v>24494</v>
      </c>
      <c r="G7579" s="2" t="str">
        <f>HYPERLINK("https://probpalata.gov.ru/files/ЮЛ770100193500885.jpeg","Скачать индивидуальный QR-код магазина")</f>
        <v>Скачать индивидуальный QR-код магазина</v>
      </c>
    </row>
    <row r="7580" spans="1:7" x14ac:dyDescent="0.25">
      <c r="A7580" t="s">
        <v>18820</v>
      </c>
      <c r="B7580" t="s">
        <v>24495</v>
      </c>
      <c r="C7580" t="s">
        <v>748</v>
      </c>
      <c r="D7580" t="s">
        <v>749</v>
      </c>
      <c r="E7580" t="s">
        <v>750</v>
      </c>
      <c r="F7580" t="s">
        <v>24496</v>
      </c>
      <c r="G7580" s="2" t="str">
        <f>HYPERLINK("https://probpalata.gov.ru/files/ЮЛ770100193500925.jpeg","Скачать индивидуальный QR-код магазина")</f>
        <v>Скачать индивидуальный QR-код магазина</v>
      </c>
    </row>
    <row r="7581" spans="1:7" x14ac:dyDescent="0.25">
      <c r="A7581" t="s">
        <v>18820</v>
      </c>
      <c r="B7581" t="s">
        <v>24497</v>
      </c>
      <c r="C7581" t="s">
        <v>748</v>
      </c>
      <c r="D7581" t="s">
        <v>749</v>
      </c>
      <c r="E7581" t="s">
        <v>750</v>
      </c>
      <c r="F7581" t="s">
        <v>24498</v>
      </c>
      <c r="G7581" s="2" t="str">
        <f>HYPERLINK("https://probpalata.gov.ru/files/ЮЛ770100193501011.jpeg","Скачать индивидуальный QR-код магазина")</f>
        <v>Скачать индивидуальный QR-код магазина</v>
      </c>
    </row>
    <row r="7582" spans="1:7" x14ac:dyDescent="0.25">
      <c r="A7582" t="s">
        <v>18820</v>
      </c>
      <c r="B7582" t="s">
        <v>24499</v>
      </c>
      <c r="C7582" t="s">
        <v>748</v>
      </c>
      <c r="D7582" t="s">
        <v>749</v>
      </c>
      <c r="E7582" t="s">
        <v>750</v>
      </c>
      <c r="F7582" t="s">
        <v>24500</v>
      </c>
      <c r="G7582" s="2" t="str">
        <f>HYPERLINK("https://probpalata.gov.ru/files/ЮЛ770100193501015.jpeg","Скачать индивидуальный QR-код магазина")</f>
        <v>Скачать индивидуальный QR-код магазина</v>
      </c>
    </row>
    <row r="7583" spans="1:7" x14ac:dyDescent="0.25">
      <c r="A7583" t="s">
        <v>18820</v>
      </c>
      <c r="B7583" t="s">
        <v>24501</v>
      </c>
      <c r="C7583" t="s">
        <v>748</v>
      </c>
      <c r="D7583" t="s">
        <v>749</v>
      </c>
      <c r="E7583" t="s">
        <v>750</v>
      </c>
      <c r="F7583" t="s">
        <v>24502</v>
      </c>
      <c r="G7583" s="2" t="str">
        <f>HYPERLINK("https://probpalata.gov.ru/files/ЮЛ770100193501018.jpeg","Скачать индивидуальный QR-код магазина")</f>
        <v>Скачать индивидуальный QR-код магазина</v>
      </c>
    </row>
    <row r="7584" spans="1:7" x14ac:dyDescent="0.25">
      <c r="A7584" t="s">
        <v>18820</v>
      </c>
      <c r="B7584" t="s">
        <v>24503</v>
      </c>
      <c r="C7584" t="s">
        <v>748</v>
      </c>
      <c r="D7584" t="s">
        <v>749</v>
      </c>
      <c r="E7584" t="s">
        <v>750</v>
      </c>
      <c r="F7584" t="s">
        <v>24504</v>
      </c>
      <c r="G7584" s="2" t="str">
        <f>HYPERLINK("https://probpalata.gov.ru/files/ЮЛ770100193501020.jpeg","Скачать индивидуальный QR-код магазина")</f>
        <v>Скачать индивидуальный QR-код магазина</v>
      </c>
    </row>
    <row r="7585" spans="1:7" x14ac:dyDescent="0.25">
      <c r="A7585" t="s">
        <v>18820</v>
      </c>
      <c r="B7585" t="s">
        <v>24505</v>
      </c>
      <c r="C7585" t="s">
        <v>748</v>
      </c>
      <c r="D7585" t="s">
        <v>749</v>
      </c>
      <c r="E7585" t="s">
        <v>750</v>
      </c>
      <c r="F7585" t="s">
        <v>24506</v>
      </c>
      <c r="G7585" s="2" t="str">
        <f>HYPERLINK("https://probpalata.gov.ru/files/ЮЛ770100193501022.jpeg","Скачать индивидуальный QR-код магазина")</f>
        <v>Скачать индивидуальный QR-код магазина</v>
      </c>
    </row>
    <row r="7586" spans="1:7" x14ac:dyDescent="0.25">
      <c r="A7586" t="s">
        <v>18820</v>
      </c>
      <c r="B7586" t="s">
        <v>24507</v>
      </c>
      <c r="C7586" t="s">
        <v>748</v>
      </c>
      <c r="D7586" t="s">
        <v>749</v>
      </c>
      <c r="E7586" t="s">
        <v>750</v>
      </c>
      <c r="F7586" t="s">
        <v>24508</v>
      </c>
      <c r="G7586" s="2" t="str">
        <f>HYPERLINK("https://probpalata.gov.ru/files/ЮЛ770100193501027.jpeg","Скачать индивидуальный QR-код магазина")</f>
        <v>Скачать индивидуальный QR-код магазина</v>
      </c>
    </row>
    <row r="7587" spans="1:7" x14ac:dyDescent="0.25">
      <c r="A7587" t="s">
        <v>18820</v>
      </c>
      <c r="B7587" t="s">
        <v>24509</v>
      </c>
      <c r="C7587" t="s">
        <v>748</v>
      </c>
      <c r="D7587" t="s">
        <v>749</v>
      </c>
      <c r="E7587" t="s">
        <v>750</v>
      </c>
      <c r="F7587" t="s">
        <v>24510</v>
      </c>
      <c r="G7587" s="2" t="str">
        <f>HYPERLINK("https://probpalata.gov.ru/files/ЮЛ770100193501078.jpeg","Скачать индивидуальный QR-код магазина")</f>
        <v>Скачать индивидуальный QR-код магазина</v>
      </c>
    </row>
    <row r="7588" spans="1:7" x14ac:dyDescent="0.25">
      <c r="A7588" t="s">
        <v>18820</v>
      </c>
      <c r="B7588" t="s">
        <v>24511</v>
      </c>
      <c r="C7588" t="s">
        <v>748</v>
      </c>
      <c r="D7588" t="s">
        <v>749</v>
      </c>
      <c r="E7588" t="s">
        <v>750</v>
      </c>
      <c r="F7588" t="s">
        <v>24512</v>
      </c>
      <c r="G7588" s="2" t="str">
        <f>HYPERLINK("https://probpalata.gov.ru/files/ЮЛ770100193501119.jpeg","Скачать индивидуальный QR-код магазина")</f>
        <v>Скачать индивидуальный QR-код магазина</v>
      </c>
    </row>
    <row r="7589" spans="1:7" x14ac:dyDescent="0.25">
      <c r="A7589" t="s">
        <v>18820</v>
      </c>
      <c r="B7589" t="s">
        <v>24513</v>
      </c>
      <c r="C7589" t="s">
        <v>748</v>
      </c>
      <c r="D7589" t="s">
        <v>749</v>
      </c>
      <c r="E7589" t="s">
        <v>750</v>
      </c>
      <c r="F7589" t="s">
        <v>24514</v>
      </c>
      <c r="G7589" s="2" t="str">
        <f>HYPERLINK("https://probpalata.gov.ru/files/ЮЛ770100193501121.jpeg","Скачать индивидуальный QR-код магазина")</f>
        <v>Скачать индивидуальный QR-код магазина</v>
      </c>
    </row>
    <row r="7590" spans="1:7" x14ac:dyDescent="0.25">
      <c r="A7590" t="s">
        <v>18820</v>
      </c>
      <c r="B7590" t="s">
        <v>24515</v>
      </c>
      <c r="C7590" t="s">
        <v>748</v>
      </c>
      <c r="D7590" t="s">
        <v>749</v>
      </c>
      <c r="E7590" t="s">
        <v>750</v>
      </c>
      <c r="F7590" t="s">
        <v>24516</v>
      </c>
      <c r="G7590" s="2" t="str">
        <f>HYPERLINK("https://probpalata.gov.ru/files/ЮЛ770100193501124.jpeg","Скачать индивидуальный QR-код магазина")</f>
        <v>Скачать индивидуальный QR-код магазина</v>
      </c>
    </row>
    <row r="7591" spans="1:7" x14ac:dyDescent="0.25">
      <c r="A7591" t="s">
        <v>18820</v>
      </c>
      <c r="B7591" t="s">
        <v>24517</v>
      </c>
      <c r="C7591" t="s">
        <v>748</v>
      </c>
      <c r="D7591" t="s">
        <v>749</v>
      </c>
      <c r="E7591" t="s">
        <v>750</v>
      </c>
      <c r="F7591" t="s">
        <v>24518</v>
      </c>
      <c r="G7591" s="2" t="str">
        <f>HYPERLINK("https://probpalata.gov.ru/files/ЮЛ770100193501127.jpeg","Скачать индивидуальный QR-код магазина")</f>
        <v>Скачать индивидуальный QR-код магазина</v>
      </c>
    </row>
    <row r="7592" spans="1:7" x14ac:dyDescent="0.25">
      <c r="A7592" t="s">
        <v>18820</v>
      </c>
      <c r="B7592" t="s">
        <v>24485</v>
      </c>
      <c r="C7592" t="s">
        <v>748</v>
      </c>
      <c r="D7592" t="s">
        <v>749</v>
      </c>
      <c r="E7592" t="s">
        <v>750</v>
      </c>
      <c r="F7592" t="s">
        <v>24519</v>
      </c>
      <c r="G7592" s="2" t="str">
        <f>HYPERLINK("https://probpalata.gov.ru/files/ЮЛ770100193501130.jpeg","Скачать индивидуальный QR-код магазина")</f>
        <v>Скачать индивидуальный QR-код магазина</v>
      </c>
    </row>
    <row r="7593" spans="1:7" x14ac:dyDescent="0.25">
      <c r="A7593" t="s">
        <v>18820</v>
      </c>
      <c r="B7593" t="s">
        <v>24520</v>
      </c>
      <c r="C7593" t="s">
        <v>748</v>
      </c>
      <c r="D7593" t="s">
        <v>749</v>
      </c>
      <c r="E7593" t="s">
        <v>750</v>
      </c>
      <c r="F7593" t="s">
        <v>24521</v>
      </c>
      <c r="G7593" s="2" t="str">
        <f>HYPERLINK("https://probpalata.gov.ru/files/ЮЛ770100193501133.jpeg","Скачать индивидуальный QR-код магазина")</f>
        <v>Скачать индивидуальный QR-код магазина</v>
      </c>
    </row>
    <row r="7594" spans="1:7" x14ac:dyDescent="0.25">
      <c r="A7594" t="s">
        <v>18820</v>
      </c>
      <c r="B7594" t="s">
        <v>24522</v>
      </c>
      <c r="C7594" t="s">
        <v>748</v>
      </c>
      <c r="D7594" t="s">
        <v>749</v>
      </c>
      <c r="E7594" t="s">
        <v>750</v>
      </c>
      <c r="F7594" t="s">
        <v>24523</v>
      </c>
      <c r="G7594" s="2" t="str">
        <f>HYPERLINK("https://probpalata.gov.ru/files/ЮЛ770100193501136.jpeg","Скачать индивидуальный QR-код магазина")</f>
        <v>Скачать индивидуальный QR-код магазина</v>
      </c>
    </row>
    <row r="7595" spans="1:7" x14ac:dyDescent="0.25">
      <c r="A7595" t="s">
        <v>18820</v>
      </c>
      <c r="B7595" t="s">
        <v>24524</v>
      </c>
      <c r="C7595" t="s">
        <v>748</v>
      </c>
      <c r="D7595" t="s">
        <v>749</v>
      </c>
      <c r="E7595" t="s">
        <v>750</v>
      </c>
      <c r="F7595" t="s">
        <v>24525</v>
      </c>
      <c r="G7595" s="2" t="str">
        <f>HYPERLINK("https://probpalata.gov.ru/files/ЮЛ770100193501142.jpeg","Скачать индивидуальный QR-код магазина")</f>
        <v>Скачать индивидуальный QR-код магазина</v>
      </c>
    </row>
    <row r="7596" spans="1:7" x14ac:dyDescent="0.25">
      <c r="A7596" t="s">
        <v>18820</v>
      </c>
      <c r="B7596" t="s">
        <v>24526</v>
      </c>
      <c r="C7596" t="s">
        <v>24527</v>
      </c>
      <c r="D7596" t="s">
        <v>24528</v>
      </c>
      <c r="E7596" t="s">
        <v>24529</v>
      </c>
      <c r="F7596" t="s">
        <v>24530</v>
      </c>
      <c r="G7596" s="2" t="str">
        <f>HYPERLINK("https://probpalata.gov.ru/files/ЮЛ770101796100000.jpeg","Скачать индивидуальный QR-код магазина")</f>
        <v>Скачать индивидуальный QR-код магазина</v>
      </c>
    </row>
    <row r="7597" spans="1:7" x14ac:dyDescent="0.25">
      <c r="A7597" t="s">
        <v>18820</v>
      </c>
      <c r="B7597" t="s">
        <v>24531</v>
      </c>
      <c r="C7597" t="s">
        <v>24532</v>
      </c>
      <c r="D7597" t="s">
        <v>24533</v>
      </c>
      <c r="E7597" t="s">
        <v>24534</v>
      </c>
      <c r="F7597" t="s">
        <v>24535</v>
      </c>
      <c r="G7597" s="2" t="str">
        <f>HYPERLINK("https://probpalata.gov.ru/files/ИП770103448900000.jpeg","Скачать индивидуальный QR-код магазина")</f>
        <v>Скачать индивидуальный QR-код магазина</v>
      </c>
    </row>
    <row r="7598" spans="1:7" x14ac:dyDescent="0.25">
      <c r="A7598" t="s">
        <v>18820</v>
      </c>
      <c r="B7598" t="s">
        <v>24536</v>
      </c>
      <c r="C7598" t="s">
        <v>24537</v>
      </c>
      <c r="D7598" t="s">
        <v>24538</v>
      </c>
      <c r="E7598" t="s">
        <v>24539</v>
      </c>
      <c r="F7598" t="s">
        <v>24540</v>
      </c>
      <c r="G7598" s="2" t="str">
        <f>HYPERLINK("https://probpalata.gov.ru/files/ИП770101117100000.jpeg","Скачать индивидуальный QR-код магазина")</f>
        <v>Скачать индивидуальный QR-код магазина</v>
      </c>
    </row>
    <row r="7599" spans="1:7" x14ac:dyDescent="0.25">
      <c r="A7599" t="s">
        <v>18820</v>
      </c>
      <c r="B7599" t="s">
        <v>24541</v>
      </c>
      <c r="C7599" t="s">
        <v>24542</v>
      </c>
      <c r="D7599" t="s">
        <v>24543</v>
      </c>
      <c r="E7599" t="s">
        <v>24544</v>
      </c>
      <c r="F7599" t="s">
        <v>24545</v>
      </c>
      <c r="G7599" s="2" t="str">
        <f>HYPERLINK("https://probpalata.gov.ru/files/ИП770101404300000.jpeg","Скачать индивидуальный QR-код магазина")</f>
        <v>Скачать индивидуальный QR-код магазина</v>
      </c>
    </row>
    <row r="7600" spans="1:7" x14ac:dyDescent="0.25">
      <c r="A7600" t="s">
        <v>18820</v>
      </c>
      <c r="B7600" t="s">
        <v>24546</v>
      </c>
      <c r="C7600" t="s">
        <v>24547</v>
      </c>
      <c r="D7600" t="s">
        <v>24548</v>
      </c>
      <c r="E7600" t="s">
        <v>24549</v>
      </c>
      <c r="F7600" t="s">
        <v>24550</v>
      </c>
      <c r="G7600" s="2" t="str">
        <f>HYPERLINK("https://probpalata.gov.ru/files/ЮЛ770103012900000.jpeg","Скачать индивидуальный QR-код магазина")</f>
        <v>Скачать индивидуальный QR-код магазина</v>
      </c>
    </row>
    <row r="7601" spans="1:7" x14ac:dyDescent="0.25">
      <c r="A7601" t="s">
        <v>18820</v>
      </c>
      <c r="B7601" t="s">
        <v>24551</v>
      </c>
      <c r="C7601" t="s">
        <v>24552</v>
      </c>
      <c r="D7601" t="s">
        <v>24553</v>
      </c>
      <c r="E7601" t="s">
        <v>24554</v>
      </c>
      <c r="F7601" t="s">
        <v>24555</v>
      </c>
      <c r="G7601" s="2" t="str">
        <f>HYPERLINK("https://probpalata.gov.ru/files/ЮЛ770100383900000.jpeg","Скачать индивидуальный QR-код магазина")</f>
        <v>Скачать индивидуальный QR-код магазина</v>
      </c>
    </row>
    <row r="7602" spans="1:7" x14ac:dyDescent="0.25">
      <c r="A7602" t="s">
        <v>18820</v>
      </c>
      <c r="B7602" t="s">
        <v>18830</v>
      </c>
      <c r="C7602" t="s">
        <v>24552</v>
      </c>
      <c r="D7602" t="s">
        <v>24553</v>
      </c>
      <c r="E7602" t="s">
        <v>24554</v>
      </c>
      <c r="F7602" t="s">
        <v>24556</v>
      </c>
      <c r="G7602" s="2" t="str">
        <f>HYPERLINK("https://probpalata.gov.ru/files/ЮЛ770100383900001.jpeg","Скачать индивидуальный QR-код магазина")</f>
        <v>Скачать индивидуальный QR-код магазина</v>
      </c>
    </row>
    <row r="7603" spans="1:7" x14ac:dyDescent="0.25">
      <c r="A7603" t="s">
        <v>18820</v>
      </c>
      <c r="B7603" t="s">
        <v>24557</v>
      </c>
      <c r="C7603" t="s">
        <v>13061</v>
      </c>
      <c r="D7603" t="s">
        <v>13062</v>
      </c>
      <c r="E7603" t="s">
        <v>13063</v>
      </c>
      <c r="F7603" t="s">
        <v>24558</v>
      </c>
      <c r="G7603" s="2" t="str">
        <f>HYPERLINK("https://probpalata.gov.ru/files/ЮЛ770100273400000.jpeg","Скачать индивидуальный QR-код магазина")</f>
        <v>Скачать индивидуальный QR-код магазина</v>
      </c>
    </row>
    <row r="7604" spans="1:7" x14ac:dyDescent="0.25">
      <c r="A7604" t="s">
        <v>18820</v>
      </c>
      <c r="B7604" t="s">
        <v>24559</v>
      </c>
      <c r="C7604" t="s">
        <v>13061</v>
      </c>
      <c r="D7604" t="s">
        <v>13062</v>
      </c>
      <c r="E7604" t="s">
        <v>13063</v>
      </c>
      <c r="F7604" t="s">
        <v>24560</v>
      </c>
      <c r="G7604" s="2" t="str">
        <f>HYPERLINK("https://probpalata.gov.ru/files/ЮЛ770100273400002.jpeg","Скачать индивидуальный QR-код магазина")</f>
        <v>Скачать индивидуальный QR-код магазина</v>
      </c>
    </row>
    <row r="7605" spans="1:7" x14ac:dyDescent="0.25">
      <c r="A7605" t="s">
        <v>18820</v>
      </c>
      <c r="B7605" t="s">
        <v>24561</v>
      </c>
      <c r="C7605" t="s">
        <v>13061</v>
      </c>
      <c r="D7605" t="s">
        <v>13062</v>
      </c>
      <c r="E7605" t="s">
        <v>13063</v>
      </c>
      <c r="F7605" t="s">
        <v>24562</v>
      </c>
      <c r="G7605" s="2" t="str">
        <f>HYPERLINK("https://probpalata.gov.ru/files/ЮЛ770100273400003.jpeg","Скачать индивидуальный QR-код магазина")</f>
        <v>Скачать индивидуальный QR-код магазина</v>
      </c>
    </row>
    <row r="7606" spans="1:7" x14ac:dyDescent="0.25">
      <c r="A7606" t="s">
        <v>18820</v>
      </c>
      <c r="B7606" t="s">
        <v>24563</v>
      </c>
      <c r="C7606" t="s">
        <v>13061</v>
      </c>
      <c r="D7606" t="s">
        <v>13062</v>
      </c>
      <c r="E7606" t="s">
        <v>13063</v>
      </c>
      <c r="F7606" t="s">
        <v>24564</v>
      </c>
      <c r="G7606" s="2" t="str">
        <f>HYPERLINK("https://probpalata.gov.ru/files/ЮЛ770100273400006.jpeg","Скачать индивидуальный QR-код магазина")</f>
        <v>Скачать индивидуальный QR-код магазина</v>
      </c>
    </row>
    <row r="7607" spans="1:7" x14ac:dyDescent="0.25">
      <c r="A7607" t="s">
        <v>18820</v>
      </c>
      <c r="B7607" t="s">
        <v>24565</v>
      </c>
      <c r="C7607" t="s">
        <v>13061</v>
      </c>
      <c r="D7607" t="s">
        <v>13062</v>
      </c>
      <c r="E7607" t="s">
        <v>13063</v>
      </c>
      <c r="F7607" t="s">
        <v>24566</v>
      </c>
      <c r="G7607" s="2" t="str">
        <f>HYPERLINK("https://probpalata.gov.ru/files/ЮЛ770100273400010.jpeg","Скачать индивидуальный QR-код магазина")</f>
        <v>Скачать индивидуальный QR-код магазина</v>
      </c>
    </row>
    <row r="7608" spans="1:7" x14ac:dyDescent="0.25">
      <c r="A7608" t="s">
        <v>18820</v>
      </c>
      <c r="B7608" t="s">
        <v>24567</v>
      </c>
      <c r="C7608" t="s">
        <v>13061</v>
      </c>
      <c r="D7608" t="s">
        <v>13062</v>
      </c>
      <c r="E7608" t="s">
        <v>13063</v>
      </c>
      <c r="F7608" t="s">
        <v>24568</v>
      </c>
      <c r="G7608" s="2" t="str">
        <f>HYPERLINK("https://probpalata.gov.ru/files/ЮЛ770100273400012.jpeg","Скачать индивидуальный QR-код магазина")</f>
        <v>Скачать индивидуальный QR-код магазина</v>
      </c>
    </row>
    <row r="7609" spans="1:7" x14ac:dyDescent="0.25">
      <c r="A7609" t="s">
        <v>18820</v>
      </c>
      <c r="B7609" t="s">
        <v>24569</v>
      </c>
      <c r="C7609" t="s">
        <v>13061</v>
      </c>
      <c r="D7609" t="s">
        <v>13062</v>
      </c>
      <c r="E7609" t="s">
        <v>13063</v>
      </c>
      <c r="F7609" t="s">
        <v>24570</v>
      </c>
      <c r="G7609" s="2" t="str">
        <f>HYPERLINK("https://probpalata.gov.ru/files/ЮЛ770100273400014.jpeg","Скачать индивидуальный QR-код магазина")</f>
        <v>Скачать индивидуальный QR-код магазина</v>
      </c>
    </row>
    <row r="7610" spans="1:7" x14ac:dyDescent="0.25">
      <c r="A7610" t="s">
        <v>18820</v>
      </c>
      <c r="B7610" t="s">
        <v>24571</v>
      </c>
      <c r="C7610" t="s">
        <v>13061</v>
      </c>
      <c r="D7610" t="s">
        <v>13062</v>
      </c>
      <c r="E7610" t="s">
        <v>13063</v>
      </c>
      <c r="F7610" t="s">
        <v>24572</v>
      </c>
      <c r="G7610" s="2" t="str">
        <f>HYPERLINK("https://probpalata.gov.ru/files/ЮЛ770100273400017.jpeg","Скачать индивидуальный QR-код магазина")</f>
        <v>Скачать индивидуальный QR-код магазина</v>
      </c>
    </row>
    <row r="7611" spans="1:7" x14ac:dyDescent="0.25">
      <c r="A7611" t="s">
        <v>18820</v>
      </c>
      <c r="B7611" t="s">
        <v>24573</v>
      </c>
      <c r="C7611" t="s">
        <v>13061</v>
      </c>
      <c r="D7611" t="s">
        <v>13062</v>
      </c>
      <c r="E7611" t="s">
        <v>13063</v>
      </c>
      <c r="F7611" t="s">
        <v>24574</v>
      </c>
      <c r="G7611" s="2" t="str">
        <f>HYPERLINK("https://probpalata.gov.ru/files/ЮЛ770100273400018.jpeg","Скачать индивидуальный QR-код магазина")</f>
        <v>Скачать индивидуальный QR-код магазина</v>
      </c>
    </row>
    <row r="7612" spans="1:7" x14ac:dyDescent="0.25">
      <c r="A7612" t="s">
        <v>18820</v>
      </c>
      <c r="B7612" t="s">
        <v>24575</v>
      </c>
      <c r="C7612" t="s">
        <v>13061</v>
      </c>
      <c r="D7612" t="s">
        <v>13062</v>
      </c>
      <c r="E7612" t="s">
        <v>13063</v>
      </c>
      <c r="F7612" t="s">
        <v>24576</v>
      </c>
      <c r="G7612" s="2" t="str">
        <f>HYPERLINK("https://probpalata.gov.ru/files/ЮЛ770100273400021.jpeg","Скачать индивидуальный QR-код магазина")</f>
        <v>Скачать индивидуальный QR-код магазина</v>
      </c>
    </row>
    <row r="7613" spans="1:7" x14ac:dyDescent="0.25">
      <c r="A7613" t="s">
        <v>18820</v>
      </c>
      <c r="B7613" t="s">
        <v>24577</v>
      </c>
      <c r="C7613" t="s">
        <v>13061</v>
      </c>
      <c r="D7613" t="s">
        <v>13062</v>
      </c>
      <c r="E7613" t="s">
        <v>13063</v>
      </c>
      <c r="F7613" t="s">
        <v>24578</v>
      </c>
      <c r="G7613" s="2" t="str">
        <f>HYPERLINK("https://probpalata.gov.ru/files/ЮЛ770100273400025.jpeg","Скачать индивидуальный QR-код магазина")</f>
        <v>Скачать индивидуальный QR-код магазина</v>
      </c>
    </row>
    <row r="7614" spans="1:7" x14ac:dyDescent="0.25">
      <c r="A7614" t="s">
        <v>18820</v>
      </c>
      <c r="B7614" t="s">
        <v>24579</v>
      </c>
      <c r="C7614" t="s">
        <v>13061</v>
      </c>
      <c r="D7614" t="s">
        <v>13062</v>
      </c>
      <c r="E7614" t="s">
        <v>13063</v>
      </c>
      <c r="F7614" t="s">
        <v>24580</v>
      </c>
      <c r="G7614" s="2" t="str">
        <f>HYPERLINK("https://probpalata.gov.ru/files/ЮЛ770100273400026.jpeg","Скачать индивидуальный QR-код магазина")</f>
        <v>Скачать индивидуальный QR-код магазина</v>
      </c>
    </row>
    <row r="7615" spans="1:7" x14ac:dyDescent="0.25">
      <c r="A7615" t="s">
        <v>18820</v>
      </c>
      <c r="B7615" t="s">
        <v>24581</v>
      </c>
      <c r="C7615" t="s">
        <v>13061</v>
      </c>
      <c r="D7615" t="s">
        <v>13062</v>
      </c>
      <c r="E7615" t="s">
        <v>13063</v>
      </c>
      <c r="F7615" t="s">
        <v>24582</v>
      </c>
      <c r="G7615" s="2" t="str">
        <f>HYPERLINK("https://probpalata.gov.ru/files/ЮЛ770100273400028.jpeg","Скачать индивидуальный QR-код магазина")</f>
        <v>Скачать индивидуальный QR-код магазина</v>
      </c>
    </row>
    <row r="7616" spans="1:7" x14ac:dyDescent="0.25">
      <c r="A7616" t="s">
        <v>18820</v>
      </c>
      <c r="B7616" t="s">
        <v>24583</v>
      </c>
      <c r="C7616" t="s">
        <v>13061</v>
      </c>
      <c r="D7616" t="s">
        <v>13062</v>
      </c>
      <c r="E7616" t="s">
        <v>13063</v>
      </c>
      <c r="F7616" t="s">
        <v>24584</v>
      </c>
      <c r="G7616" s="2" t="str">
        <f>HYPERLINK("https://probpalata.gov.ru/files/ЮЛ770100273400029.jpeg","Скачать индивидуальный QR-код магазина")</f>
        <v>Скачать индивидуальный QR-код магазина</v>
      </c>
    </row>
    <row r="7617" spans="1:7" x14ac:dyDescent="0.25">
      <c r="A7617" t="s">
        <v>18820</v>
      </c>
      <c r="B7617" t="s">
        <v>24585</v>
      </c>
      <c r="C7617" t="s">
        <v>13061</v>
      </c>
      <c r="D7617" t="s">
        <v>13062</v>
      </c>
      <c r="E7617" t="s">
        <v>13063</v>
      </c>
      <c r="F7617" t="s">
        <v>24586</v>
      </c>
      <c r="G7617" s="2" t="str">
        <f>HYPERLINK("https://probpalata.gov.ru/files/ЮЛ770100273400030.jpeg","Скачать индивидуальный QR-код магазина")</f>
        <v>Скачать индивидуальный QR-код магазина</v>
      </c>
    </row>
    <row r="7618" spans="1:7" x14ac:dyDescent="0.25">
      <c r="A7618" t="s">
        <v>18820</v>
      </c>
      <c r="B7618" t="s">
        <v>24587</v>
      </c>
      <c r="C7618" t="s">
        <v>13061</v>
      </c>
      <c r="D7618" t="s">
        <v>13062</v>
      </c>
      <c r="E7618" t="s">
        <v>13063</v>
      </c>
      <c r="F7618" t="s">
        <v>24588</v>
      </c>
      <c r="G7618" s="2" t="str">
        <f>HYPERLINK("https://probpalata.gov.ru/files/ЮЛ770100273400031.jpeg","Скачать индивидуальный QR-код магазина")</f>
        <v>Скачать индивидуальный QR-код магазина</v>
      </c>
    </row>
    <row r="7619" spans="1:7" x14ac:dyDescent="0.25">
      <c r="A7619" t="s">
        <v>18820</v>
      </c>
      <c r="B7619" t="s">
        <v>24589</v>
      </c>
      <c r="C7619" t="s">
        <v>13061</v>
      </c>
      <c r="D7619" t="s">
        <v>13062</v>
      </c>
      <c r="E7619" t="s">
        <v>13063</v>
      </c>
      <c r="F7619" t="s">
        <v>24590</v>
      </c>
      <c r="G7619" s="2" t="str">
        <f>HYPERLINK("https://probpalata.gov.ru/files/ЮЛ770100273400038.jpeg","Скачать индивидуальный QR-код магазина")</f>
        <v>Скачать индивидуальный QR-код магазина</v>
      </c>
    </row>
    <row r="7620" spans="1:7" x14ac:dyDescent="0.25">
      <c r="A7620" t="s">
        <v>18820</v>
      </c>
      <c r="B7620" t="s">
        <v>24591</v>
      </c>
      <c r="C7620" t="s">
        <v>13061</v>
      </c>
      <c r="D7620" t="s">
        <v>13062</v>
      </c>
      <c r="E7620" t="s">
        <v>13063</v>
      </c>
      <c r="F7620" t="s">
        <v>24592</v>
      </c>
      <c r="G7620" s="2" t="str">
        <f>HYPERLINK("https://probpalata.gov.ru/files/ЮЛ770100273400041.jpeg","Скачать индивидуальный QR-код магазина")</f>
        <v>Скачать индивидуальный QR-код магазина</v>
      </c>
    </row>
    <row r="7621" spans="1:7" x14ac:dyDescent="0.25">
      <c r="A7621" t="s">
        <v>18820</v>
      </c>
      <c r="B7621" t="s">
        <v>24593</v>
      </c>
      <c r="C7621" t="s">
        <v>13061</v>
      </c>
      <c r="D7621" t="s">
        <v>13062</v>
      </c>
      <c r="E7621" t="s">
        <v>13063</v>
      </c>
      <c r="F7621" t="s">
        <v>24594</v>
      </c>
      <c r="G7621" s="2" t="str">
        <f>HYPERLINK("https://probpalata.gov.ru/files/ЮЛ770100273400043.jpeg","Скачать индивидуальный QR-код магазина")</f>
        <v>Скачать индивидуальный QR-код магазина</v>
      </c>
    </row>
    <row r="7622" spans="1:7" x14ac:dyDescent="0.25">
      <c r="A7622" t="s">
        <v>18820</v>
      </c>
      <c r="B7622" t="s">
        <v>24595</v>
      </c>
      <c r="C7622" t="s">
        <v>13061</v>
      </c>
      <c r="D7622" t="s">
        <v>13062</v>
      </c>
      <c r="E7622" t="s">
        <v>13063</v>
      </c>
      <c r="F7622" t="s">
        <v>24596</v>
      </c>
      <c r="G7622" s="2" t="str">
        <f>HYPERLINK("https://probpalata.gov.ru/files/ЮЛ770100273400046.jpeg","Скачать индивидуальный QR-код магазина")</f>
        <v>Скачать индивидуальный QR-код магазина</v>
      </c>
    </row>
    <row r="7623" spans="1:7" x14ac:dyDescent="0.25">
      <c r="A7623" t="s">
        <v>18820</v>
      </c>
      <c r="B7623" t="s">
        <v>23405</v>
      </c>
      <c r="C7623" t="s">
        <v>13061</v>
      </c>
      <c r="D7623" t="s">
        <v>13062</v>
      </c>
      <c r="E7623" t="s">
        <v>13063</v>
      </c>
      <c r="F7623" t="s">
        <v>24597</v>
      </c>
      <c r="G7623" s="2" t="str">
        <f>HYPERLINK("https://probpalata.gov.ru/files/ЮЛ770100273400047.jpeg","Скачать индивидуальный QR-код магазина")</f>
        <v>Скачать индивидуальный QR-код магазина</v>
      </c>
    </row>
    <row r="7624" spans="1:7" x14ac:dyDescent="0.25">
      <c r="A7624" t="s">
        <v>18820</v>
      </c>
      <c r="B7624" t="s">
        <v>24598</v>
      </c>
      <c r="C7624" t="s">
        <v>13061</v>
      </c>
      <c r="D7624" t="s">
        <v>13062</v>
      </c>
      <c r="E7624" t="s">
        <v>13063</v>
      </c>
      <c r="F7624" t="s">
        <v>24599</v>
      </c>
      <c r="G7624" s="2" t="str">
        <f>HYPERLINK("https://probpalata.gov.ru/files/ЮЛ770100273400048.jpeg","Скачать индивидуальный QR-код магазина")</f>
        <v>Скачать индивидуальный QR-код магазина</v>
      </c>
    </row>
    <row r="7625" spans="1:7" x14ac:dyDescent="0.25">
      <c r="A7625" t="s">
        <v>18820</v>
      </c>
      <c r="B7625" t="s">
        <v>24600</v>
      </c>
      <c r="C7625" t="s">
        <v>13061</v>
      </c>
      <c r="D7625" t="s">
        <v>13062</v>
      </c>
      <c r="E7625" t="s">
        <v>13063</v>
      </c>
      <c r="F7625" t="s">
        <v>24601</v>
      </c>
      <c r="G7625" s="2" t="str">
        <f>HYPERLINK("https://probpalata.gov.ru/files/ЮЛ770100273400049.jpeg","Скачать индивидуальный QR-код магазина")</f>
        <v>Скачать индивидуальный QR-код магазина</v>
      </c>
    </row>
    <row r="7626" spans="1:7" x14ac:dyDescent="0.25">
      <c r="A7626" t="s">
        <v>18820</v>
      </c>
      <c r="B7626" t="s">
        <v>24602</v>
      </c>
      <c r="C7626" t="s">
        <v>13061</v>
      </c>
      <c r="D7626" t="s">
        <v>13062</v>
      </c>
      <c r="E7626" t="s">
        <v>13063</v>
      </c>
      <c r="F7626" t="s">
        <v>24603</v>
      </c>
      <c r="G7626" s="2" t="str">
        <f>HYPERLINK("https://probpalata.gov.ru/files/ЮЛ770100273400050.jpeg","Скачать индивидуальный QR-код магазина")</f>
        <v>Скачать индивидуальный QR-код магазина</v>
      </c>
    </row>
    <row r="7627" spans="1:7" x14ac:dyDescent="0.25">
      <c r="A7627" t="s">
        <v>18820</v>
      </c>
      <c r="B7627" t="s">
        <v>24604</v>
      </c>
      <c r="C7627" t="s">
        <v>24605</v>
      </c>
      <c r="D7627" t="s">
        <v>24606</v>
      </c>
      <c r="E7627" t="s">
        <v>24607</v>
      </c>
      <c r="F7627" t="s">
        <v>24608</v>
      </c>
      <c r="G7627" s="2" t="str">
        <f>HYPERLINK("https://probpalata.gov.ru/files/ЮЛ770100979400000.jpeg","Скачать индивидуальный QR-код магазина")</f>
        <v>Скачать индивидуальный QR-код магазина</v>
      </c>
    </row>
    <row r="7628" spans="1:7" x14ac:dyDescent="0.25">
      <c r="A7628" t="s">
        <v>18820</v>
      </c>
      <c r="B7628" t="s">
        <v>24609</v>
      </c>
      <c r="C7628" t="s">
        <v>24610</v>
      </c>
      <c r="D7628" t="s">
        <v>24611</v>
      </c>
      <c r="E7628" t="s">
        <v>24612</v>
      </c>
      <c r="F7628" t="s">
        <v>24613</v>
      </c>
      <c r="G7628" s="2" t="str">
        <f>HYPERLINK("https://probpalata.gov.ru/files/ИП760200593300000.jpeg","Скачать индивидуальный QR-код магазина")</f>
        <v>Скачать индивидуальный QR-код магазина</v>
      </c>
    </row>
    <row r="7629" spans="1:7" x14ac:dyDescent="0.25">
      <c r="A7629" t="s">
        <v>18820</v>
      </c>
      <c r="B7629" t="s">
        <v>24614</v>
      </c>
      <c r="C7629" t="s">
        <v>24615</v>
      </c>
      <c r="D7629" t="s">
        <v>24616</v>
      </c>
      <c r="E7629" t="s">
        <v>24617</v>
      </c>
      <c r="F7629" t="s">
        <v>24618</v>
      </c>
      <c r="G7629" s="2" t="str">
        <f>HYPERLINK("https://probpalata.gov.ru/files/ИП770100613900000.jpeg","Скачать индивидуальный QR-код магазина")</f>
        <v>Скачать индивидуальный QR-код магазина</v>
      </c>
    </row>
    <row r="7630" spans="1:7" x14ac:dyDescent="0.25">
      <c r="A7630" t="s">
        <v>18820</v>
      </c>
      <c r="B7630" t="s">
        <v>24619</v>
      </c>
      <c r="C7630" t="s">
        <v>24620</v>
      </c>
      <c r="D7630" t="s">
        <v>24621</v>
      </c>
      <c r="E7630" t="s">
        <v>24622</v>
      </c>
      <c r="F7630" t="s">
        <v>24623</v>
      </c>
      <c r="G7630" s="2" t="str">
        <f>HYPERLINK("https://probpalata.gov.ru/files/ИП770100018200000.jpeg","Скачать индивидуальный QR-код магазина")</f>
        <v>Скачать индивидуальный QR-код магазина</v>
      </c>
    </row>
    <row r="7631" spans="1:7" x14ac:dyDescent="0.25">
      <c r="A7631" t="s">
        <v>18820</v>
      </c>
      <c r="B7631" t="s">
        <v>24624</v>
      </c>
      <c r="C7631" t="s">
        <v>24625</v>
      </c>
      <c r="D7631" t="s">
        <v>24626</v>
      </c>
      <c r="E7631" t="s">
        <v>24627</v>
      </c>
      <c r="F7631" t="s">
        <v>24628</v>
      </c>
      <c r="G7631" s="2" t="str">
        <f>HYPERLINK("https://probpalata.gov.ru/files/ИП770103815200000.jpeg","Скачать индивидуальный QR-код магазина")</f>
        <v>Скачать индивидуальный QR-код магазина</v>
      </c>
    </row>
    <row r="7632" spans="1:7" x14ac:dyDescent="0.25">
      <c r="A7632" t="s">
        <v>18820</v>
      </c>
      <c r="B7632" t="s">
        <v>24629</v>
      </c>
      <c r="C7632" t="s">
        <v>24630</v>
      </c>
      <c r="D7632" t="s">
        <v>24631</v>
      </c>
      <c r="E7632" t="s">
        <v>24632</v>
      </c>
      <c r="F7632" t="s">
        <v>24633</v>
      </c>
      <c r="G7632" s="2" t="str">
        <f>HYPERLINK("https://probpalata.gov.ru/files/ИП770101019100000.jpeg","Скачать индивидуальный QR-код магазина")</f>
        <v>Скачать индивидуальный QR-код магазина</v>
      </c>
    </row>
    <row r="7633" spans="1:7" x14ac:dyDescent="0.25">
      <c r="A7633" t="s">
        <v>18820</v>
      </c>
      <c r="B7633" t="s">
        <v>24634</v>
      </c>
      <c r="C7633" t="s">
        <v>24635</v>
      </c>
      <c r="D7633" t="s">
        <v>24636</v>
      </c>
      <c r="E7633" t="s">
        <v>24637</v>
      </c>
      <c r="F7633" t="s">
        <v>24638</v>
      </c>
      <c r="G7633" s="2" t="str">
        <f>HYPERLINK("https://probpalata.gov.ru/files/ИП770103705100000.jpeg","Скачать индивидуальный QR-код магазина")</f>
        <v>Скачать индивидуальный QR-код магазина</v>
      </c>
    </row>
    <row r="7634" spans="1:7" x14ac:dyDescent="0.25">
      <c r="A7634" t="s">
        <v>18820</v>
      </c>
      <c r="B7634" t="s">
        <v>24639</v>
      </c>
      <c r="C7634" t="s">
        <v>24640</v>
      </c>
      <c r="D7634" t="s">
        <v>24641</v>
      </c>
      <c r="E7634" t="s">
        <v>24642</v>
      </c>
      <c r="F7634" t="s">
        <v>24643</v>
      </c>
      <c r="G7634" s="2" t="str">
        <f>HYPERLINK("https://probpalata.gov.ru/files/ИП770104060500000.jpeg","Скачать индивидуальный QR-код магазина")</f>
        <v>Скачать индивидуальный QR-код магазина</v>
      </c>
    </row>
    <row r="7635" spans="1:7" x14ac:dyDescent="0.25">
      <c r="A7635" t="s">
        <v>18820</v>
      </c>
      <c r="B7635" t="s">
        <v>24644</v>
      </c>
      <c r="C7635" t="s">
        <v>24645</v>
      </c>
      <c r="D7635" t="s">
        <v>24646</v>
      </c>
      <c r="E7635" t="s">
        <v>24647</v>
      </c>
      <c r="F7635" t="s">
        <v>24648</v>
      </c>
      <c r="G7635" s="2" t="str">
        <f>HYPERLINK("https://probpalata.gov.ru/files/ЮЛ770100517500000.jpeg","Скачать индивидуальный QR-код магазина")</f>
        <v>Скачать индивидуальный QR-код магазина</v>
      </c>
    </row>
    <row r="7636" spans="1:7" x14ac:dyDescent="0.25">
      <c r="A7636" t="s">
        <v>18820</v>
      </c>
      <c r="B7636" t="s">
        <v>24649</v>
      </c>
      <c r="C7636" t="s">
        <v>24650</v>
      </c>
      <c r="D7636" t="s">
        <v>24651</v>
      </c>
      <c r="E7636" t="s">
        <v>24652</v>
      </c>
      <c r="F7636" t="s">
        <v>24653</v>
      </c>
      <c r="G7636" s="2" t="str">
        <f>HYPERLINK("https://probpalata.gov.ru/files/ЮЛ770103281000000.jpeg","Скачать индивидуальный QR-код магазина")</f>
        <v>Скачать индивидуальный QR-код магазина</v>
      </c>
    </row>
    <row r="7637" spans="1:7" x14ac:dyDescent="0.25">
      <c r="A7637" t="s">
        <v>18820</v>
      </c>
      <c r="B7637" t="s">
        <v>24654</v>
      </c>
      <c r="C7637" t="s">
        <v>24655</v>
      </c>
      <c r="D7637" t="s">
        <v>24656</v>
      </c>
      <c r="E7637" t="s">
        <v>24657</v>
      </c>
      <c r="F7637" t="s">
        <v>24658</v>
      </c>
      <c r="G7637" s="2" t="str">
        <f>HYPERLINK("https://probpalata.gov.ru/files/ИП770100455300000.jpeg","Скачать индивидуальный QR-код магазина")</f>
        <v>Скачать индивидуальный QR-код магазина</v>
      </c>
    </row>
    <row r="7638" spans="1:7" x14ac:dyDescent="0.25">
      <c r="A7638" t="s">
        <v>18820</v>
      </c>
      <c r="B7638" t="s">
        <v>24659</v>
      </c>
      <c r="C7638" t="s">
        <v>24660</v>
      </c>
      <c r="D7638" t="s">
        <v>24661</v>
      </c>
      <c r="E7638" t="s">
        <v>24662</v>
      </c>
      <c r="F7638" t="s">
        <v>24663</v>
      </c>
      <c r="G7638" s="2" t="str">
        <f>HYPERLINK("https://probpalata.gov.ru/files/ЮЛ770101233700000.jpeg","Скачать индивидуальный QR-код магазина")</f>
        <v>Скачать индивидуальный QR-код магазина</v>
      </c>
    </row>
    <row r="7639" spans="1:7" x14ac:dyDescent="0.25">
      <c r="A7639" t="s">
        <v>18820</v>
      </c>
      <c r="B7639" t="s">
        <v>24664</v>
      </c>
      <c r="C7639" t="s">
        <v>24665</v>
      </c>
      <c r="D7639" t="s">
        <v>24666</v>
      </c>
      <c r="E7639" t="s">
        <v>24667</v>
      </c>
      <c r="F7639" t="s">
        <v>24668</v>
      </c>
      <c r="G7639" s="2" t="str">
        <f>HYPERLINK("https://probpalata.gov.ru/files/ЮЛ770100398300000.jpeg","Скачать индивидуальный QR-код магазина")</f>
        <v>Скачать индивидуальный QR-код магазина</v>
      </c>
    </row>
    <row r="7640" spans="1:7" x14ac:dyDescent="0.25">
      <c r="A7640" t="s">
        <v>18820</v>
      </c>
      <c r="B7640" t="s">
        <v>24669</v>
      </c>
      <c r="C7640" t="s">
        <v>24665</v>
      </c>
      <c r="D7640" t="s">
        <v>24666</v>
      </c>
      <c r="E7640" t="s">
        <v>24667</v>
      </c>
      <c r="F7640" t="s">
        <v>24670</v>
      </c>
      <c r="G7640" s="2" t="str">
        <f>HYPERLINK("https://probpalata.gov.ru/files/ЮЛ770100398300007.jpeg","Скачать индивидуальный QR-код магазина")</f>
        <v>Скачать индивидуальный QR-код магазина</v>
      </c>
    </row>
    <row r="7641" spans="1:7" x14ac:dyDescent="0.25">
      <c r="A7641" t="s">
        <v>18820</v>
      </c>
      <c r="B7641" t="s">
        <v>24671</v>
      </c>
      <c r="C7641" t="s">
        <v>24665</v>
      </c>
      <c r="D7641" t="s">
        <v>24666</v>
      </c>
      <c r="E7641" t="s">
        <v>24667</v>
      </c>
      <c r="F7641" t="s">
        <v>24672</v>
      </c>
      <c r="G7641" s="2" t="str">
        <f>HYPERLINK("https://probpalata.gov.ru/files/ЮЛ770100398300009.jpeg","Скачать индивидуальный QR-код магазина")</f>
        <v>Скачать индивидуальный QR-код магазина</v>
      </c>
    </row>
    <row r="7642" spans="1:7" x14ac:dyDescent="0.25">
      <c r="A7642" t="s">
        <v>18820</v>
      </c>
      <c r="B7642" t="s">
        <v>24673</v>
      </c>
      <c r="C7642" t="s">
        <v>24665</v>
      </c>
      <c r="D7642" t="s">
        <v>24666</v>
      </c>
      <c r="E7642" t="s">
        <v>24667</v>
      </c>
      <c r="F7642" t="s">
        <v>24674</v>
      </c>
      <c r="G7642" s="2" t="str">
        <f>HYPERLINK("https://probpalata.gov.ru/files/ЮЛ770100398300021.jpeg","Скачать индивидуальный QR-код магазина")</f>
        <v>Скачать индивидуальный QR-код магазина</v>
      </c>
    </row>
    <row r="7643" spans="1:7" x14ac:dyDescent="0.25">
      <c r="A7643" t="s">
        <v>18820</v>
      </c>
      <c r="B7643" t="s">
        <v>24675</v>
      </c>
      <c r="C7643" t="s">
        <v>24665</v>
      </c>
      <c r="D7643" t="s">
        <v>24666</v>
      </c>
      <c r="E7643" t="s">
        <v>24667</v>
      </c>
      <c r="F7643" t="s">
        <v>24676</v>
      </c>
      <c r="G7643" s="2" t="str">
        <f>HYPERLINK("https://probpalata.gov.ru/files/ЮЛ770100398300022.jpeg","Скачать индивидуальный QR-код магазина")</f>
        <v>Скачать индивидуальный QR-код магазина</v>
      </c>
    </row>
    <row r="7644" spans="1:7" x14ac:dyDescent="0.25">
      <c r="A7644" t="s">
        <v>18820</v>
      </c>
      <c r="B7644" t="s">
        <v>24677</v>
      </c>
      <c r="C7644" t="s">
        <v>24665</v>
      </c>
      <c r="D7644" t="s">
        <v>24666</v>
      </c>
      <c r="E7644" t="s">
        <v>24667</v>
      </c>
      <c r="F7644" t="s">
        <v>24678</v>
      </c>
      <c r="G7644" s="2" t="str">
        <f>HYPERLINK("https://probpalata.gov.ru/files/ЮЛ770100398300035.jpeg","Скачать индивидуальный QR-код магазина")</f>
        <v>Скачать индивидуальный QR-код магазина</v>
      </c>
    </row>
    <row r="7645" spans="1:7" x14ac:dyDescent="0.25">
      <c r="A7645" t="s">
        <v>18820</v>
      </c>
      <c r="B7645" t="s">
        <v>24679</v>
      </c>
      <c r="C7645" t="s">
        <v>24680</v>
      </c>
      <c r="D7645" t="s">
        <v>24681</v>
      </c>
      <c r="E7645" t="s">
        <v>24682</v>
      </c>
      <c r="F7645" t="s">
        <v>24683</v>
      </c>
      <c r="G7645" s="2" t="str">
        <f>HYPERLINK("https://probpalata.gov.ru/files/ЮЛ770101281500000.jpeg","Скачать индивидуальный QR-код магазина")</f>
        <v>Скачать индивидуальный QR-код магазина</v>
      </c>
    </row>
    <row r="7646" spans="1:7" x14ac:dyDescent="0.25">
      <c r="A7646" t="s">
        <v>18820</v>
      </c>
      <c r="B7646" t="s">
        <v>24684</v>
      </c>
      <c r="C7646" t="s">
        <v>24680</v>
      </c>
      <c r="D7646" t="s">
        <v>24681</v>
      </c>
      <c r="E7646" t="s">
        <v>24682</v>
      </c>
      <c r="F7646" t="s">
        <v>24685</v>
      </c>
      <c r="G7646" s="2" t="str">
        <f>HYPERLINK("https://probpalata.gov.ru/files/ЮЛ770101281500001.jpeg","Скачать индивидуальный QR-код магазина")</f>
        <v>Скачать индивидуальный QR-код магазина</v>
      </c>
    </row>
    <row r="7647" spans="1:7" x14ac:dyDescent="0.25">
      <c r="A7647" t="s">
        <v>18820</v>
      </c>
      <c r="B7647" t="s">
        <v>24686</v>
      </c>
      <c r="C7647" t="s">
        <v>24680</v>
      </c>
      <c r="D7647" t="s">
        <v>24681</v>
      </c>
      <c r="E7647" t="s">
        <v>24682</v>
      </c>
      <c r="F7647" t="s">
        <v>24687</v>
      </c>
      <c r="G7647" s="2" t="str">
        <f>HYPERLINK("https://probpalata.gov.ru/files/ЮЛ770101281500002.jpeg","Скачать индивидуальный QR-код магазина")</f>
        <v>Скачать индивидуальный QR-код магазина</v>
      </c>
    </row>
    <row r="7648" spans="1:7" x14ac:dyDescent="0.25">
      <c r="A7648" t="s">
        <v>18820</v>
      </c>
      <c r="B7648" t="s">
        <v>24688</v>
      </c>
      <c r="C7648" t="s">
        <v>24689</v>
      </c>
      <c r="D7648" t="s">
        <v>24690</v>
      </c>
      <c r="E7648" t="s">
        <v>24691</v>
      </c>
      <c r="F7648" t="s">
        <v>24692</v>
      </c>
      <c r="G7648" s="2" t="str">
        <f>HYPERLINK("https://probpalata.gov.ru/files/ИП770103978700000.jpeg","Скачать индивидуальный QR-код магазина")</f>
        <v>Скачать индивидуальный QR-код магазина</v>
      </c>
    </row>
    <row r="7649" spans="1:7" x14ac:dyDescent="0.25">
      <c r="A7649" t="s">
        <v>18820</v>
      </c>
      <c r="B7649" t="s">
        <v>19445</v>
      </c>
      <c r="C7649" t="s">
        <v>24693</v>
      </c>
      <c r="D7649" t="s">
        <v>24694</v>
      </c>
      <c r="E7649" t="s">
        <v>24695</v>
      </c>
      <c r="F7649" t="s">
        <v>24696</v>
      </c>
      <c r="G7649" s="2" t="str">
        <f>HYPERLINK("https://probpalata.gov.ru/files/ИП770103191400000.jpeg","Скачать индивидуальный QR-код магазина")</f>
        <v>Скачать индивидуальный QR-код магазина</v>
      </c>
    </row>
    <row r="7650" spans="1:7" x14ac:dyDescent="0.25">
      <c r="A7650" t="s">
        <v>18820</v>
      </c>
      <c r="B7650" t="s">
        <v>24697</v>
      </c>
      <c r="C7650" t="s">
        <v>24698</v>
      </c>
      <c r="D7650" t="s">
        <v>24699</v>
      </c>
      <c r="E7650" t="s">
        <v>24700</v>
      </c>
      <c r="F7650" t="s">
        <v>24701</v>
      </c>
      <c r="G7650" s="2" t="str">
        <f>HYPERLINK("https://probpalata.gov.ru/files/ИП770100281200000.jpeg","Скачать индивидуальный QR-код магазина")</f>
        <v>Скачать индивидуальный QR-код магазина</v>
      </c>
    </row>
    <row r="7651" spans="1:7" x14ac:dyDescent="0.25">
      <c r="A7651" t="s">
        <v>18820</v>
      </c>
      <c r="B7651" t="s">
        <v>24702</v>
      </c>
      <c r="C7651" t="s">
        <v>24703</v>
      </c>
      <c r="D7651" t="s">
        <v>24704</v>
      </c>
      <c r="E7651" t="s">
        <v>24705</v>
      </c>
      <c r="F7651" t="s">
        <v>24706</v>
      </c>
      <c r="G7651" s="2" t="str">
        <f>HYPERLINK("https://probpalata.gov.ru/files/ИП770100883400000.jpeg","Скачать индивидуальный QR-код магазина")</f>
        <v>Скачать индивидуальный QR-код магазина</v>
      </c>
    </row>
    <row r="7652" spans="1:7" x14ac:dyDescent="0.25">
      <c r="A7652" t="s">
        <v>18820</v>
      </c>
      <c r="B7652" t="s">
        <v>24707</v>
      </c>
      <c r="C7652" t="s">
        <v>24708</v>
      </c>
      <c r="D7652" t="s">
        <v>24709</v>
      </c>
      <c r="E7652" t="s">
        <v>24710</v>
      </c>
      <c r="F7652" t="s">
        <v>24711</v>
      </c>
      <c r="G7652" s="2" t="str">
        <f>HYPERLINK("https://probpalata.gov.ru/files/ИП770100370800000.jpeg","Скачать индивидуальный QR-код магазина")</f>
        <v>Скачать индивидуальный QR-код магазина</v>
      </c>
    </row>
    <row r="7653" spans="1:7" x14ac:dyDescent="0.25">
      <c r="A7653" t="s">
        <v>18820</v>
      </c>
      <c r="B7653" t="s">
        <v>24712</v>
      </c>
      <c r="C7653" t="s">
        <v>24713</v>
      </c>
      <c r="D7653" t="s">
        <v>24714</v>
      </c>
      <c r="E7653" t="s">
        <v>24715</v>
      </c>
      <c r="F7653" t="s">
        <v>24716</v>
      </c>
      <c r="G7653" s="2" t="str">
        <f>HYPERLINK("https://probpalata.gov.ru/files/ИП770101647400000.jpeg","Скачать индивидуальный QR-код магазина")</f>
        <v>Скачать индивидуальный QR-код магазина</v>
      </c>
    </row>
    <row r="7654" spans="1:7" x14ac:dyDescent="0.25">
      <c r="A7654" t="s">
        <v>18820</v>
      </c>
      <c r="B7654" t="s">
        <v>24717</v>
      </c>
      <c r="C7654" t="s">
        <v>24718</v>
      </c>
      <c r="D7654" t="s">
        <v>24719</v>
      </c>
      <c r="E7654" t="s">
        <v>24720</v>
      </c>
      <c r="F7654" t="s">
        <v>24721</v>
      </c>
      <c r="G7654" s="2" t="str">
        <f>HYPERLINK("https://probpalata.gov.ru/files/ИП770100662100000.jpeg","Скачать индивидуальный QR-код магазина")</f>
        <v>Скачать индивидуальный QR-код магазина</v>
      </c>
    </row>
    <row r="7655" spans="1:7" x14ac:dyDescent="0.25">
      <c r="A7655" t="s">
        <v>18820</v>
      </c>
      <c r="B7655" t="s">
        <v>24722</v>
      </c>
      <c r="C7655" t="s">
        <v>24723</v>
      </c>
      <c r="D7655" t="s">
        <v>24724</v>
      </c>
      <c r="E7655" t="s">
        <v>24725</v>
      </c>
      <c r="F7655" t="s">
        <v>24726</v>
      </c>
      <c r="G7655" s="2" t="str">
        <f>HYPERLINK("https://probpalata.gov.ru/files/ИП770100222700000.jpeg","Скачать индивидуальный QR-код магазина")</f>
        <v>Скачать индивидуальный QR-код магазина</v>
      </c>
    </row>
    <row r="7656" spans="1:7" x14ac:dyDescent="0.25">
      <c r="A7656" t="s">
        <v>18820</v>
      </c>
      <c r="B7656" t="s">
        <v>22217</v>
      </c>
      <c r="C7656" t="s">
        <v>24727</v>
      </c>
      <c r="D7656" t="s">
        <v>24728</v>
      </c>
      <c r="E7656" t="s">
        <v>24729</v>
      </c>
      <c r="F7656" t="s">
        <v>24730</v>
      </c>
      <c r="G7656" s="2" t="str">
        <f>HYPERLINK("https://probpalata.gov.ru/files/ИП770103288900000.jpeg","Скачать индивидуальный QR-код магазина")</f>
        <v>Скачать индивидуальный QR-код магазина</v>
      </c>
    </row>
    <row r="7657" spans="1:7" x14ac:dyDescent="0.25">
      <c r="A7657" t="s">
        <v>18820</v>
      </c>
      <c r="B7657" t="s">
        <v>24731</v>
      </c>
      <c r="C7657" t="s">
        <v>24732</v>
      </c>
      <c r="D7657" t="s">
        <v>24733</v>
      </c>
      <c r="E7657" t="s">
        <v>24734</v>
      </c>
      <c r="F7657" t="s">
        <v>24735</v>
      </c>
      <c r="G7657" s="2" t="str">
        <f>HYPERLINK("https://probpalata.gov.ru/files/ИП770100723800001.jpeg","Скачать индивидуальный QR-код магазина")</f>
        <v>Скачать индивидуальный QR-код магазина</v>
      </c>
    </row>
    <row r="7658" spans="1:7" x14ac:dyDescent="0.25">
      <c r="A7658" t="s">
        <v>18820</v>
      </c>
      <c r="B7658" t="s">
        <v>24736</v>
      </c>
      <c r="C7658" t="s">
        <v>24737</v>
      </c>
      <c r="D7658" t="s">
        <v>24738</v>
      </c>
      <c r="E7658" t="s">
        <v>24739</v>
      </c>
      <c r="F7658" t="s">
        <v>24740</v>
      </c>
      <c r="G7658" s="2" t="str">
        <f>HYPERLINK("https://probpalata.gov.ru/files/ЮЛ770101217900000.jpeg","Скачать индивидуальный QR-код магазина")</f>
        <v>Скачать индивидуальный QR-код магазина</v>
      </c>
    </row>
    <row r="7659" spans="1:7" x14ac:dyDescent="0.25">
      <c r="A7659" t="s">
        <v>18820</v>
      </c>
      <c r="B7659" t="s">
        <v>24741</v>
      </c>
      <c r="C7659" t="s">
        <v>24742</v>
      </c>
      <c r="D7659" t="s">
        <v>24743</v>
      </c>
      <c r="E7659" t="s">
        <v>24744</v>
      </c>
      <c r="F7659" t="s">
        <v>24745</v>
      </c>
      <c r="G7659" s="2" t="str">
        <f>HYPERLINK("https://probpalata.gov.ru/files/ЮЛ770103035700000.jpeg","Скачать индивидуальный QR-код магазина")</f>
        <v>Скачать индивидуальный QR-код магазина</v>
      </c>
    </row>
    <row r="7660" spans="1:7" x14ac:dyDescent="0.25">
      <c r="A7660" t="s">
        <v>18820</v>
      </c>
      <c r="B7660" t="s">
        <v>24746</v>
      </c>
      <c r="C7660" t="s">
        <v>24747</v>
      </c>
      <c r="D7660" t="s">
        <v>24748</v>
      </c>
      <c r="E7660" t="s">
        <v>24749</v>
      </c>
      <c r="F7660" t="s">
        <v>24750</v>
      </c>
      <c r="G7660" s="2" t="str">
        <f>HYPERLINK("https://probpalata.gov.ru/files/ЮЛ770103958200000.jpeg","Скачать индивидуальный QR-код магазина")</f>
        <v>Скачать индивидуальный QR-код магазина</v>
      </c>
    </row>
    <row r="7661" spans="1:7" x14ac:dyDescent="0.25">
      <c r="A7661" t="s">
        <v>18820</v>
      </c>
      <c r="B7661" t="s">
        <v>24751</v>
      </c>
      <c r="C7661" t="s">
        <v>24752</v>
      </c>
      <c r="D7661" t="s">
        <v>24753</v>
      </c>
      <c r="E7661" t="s">
        <v>24754</v>
      </c>
      <c r="F7661" t="s">
        <v>24755</v>
      </c>
      <c r="G7661" s="2" t="str">
        <f>HYPERLINK("https://probpalata.gov.ru/files/ЮЛ770103408200000.jpeg","Скачать индивидуальный QR-код магазина")</f>
        <v>Скачать индивидуальный QR-код магазина</v>
      </c>
    </row>
    <row r="7662" spans="1:7" x14ac:dyDescent="0.25">
      <c r="A7662" t="s">
        <v>18820</v>
      </c>
      <c r="B7662" t="s">
        <v>24756</v>
      </c>
      <c r="C7662" t="s">
        <v>24757</v>
      </c>
      <c r="D7662" t="s">
        <v>24758</v>
      </c>
      <c r="E7662" t="s">
        <v>24759</v>
      </c>
      <c r="F7662" t="s">
        <v>24760</v>
      </c>
      <c r="G7662" s="2" t="str">
        <f>HYPERLINK("https://probpalata.gov.ru/files/ЮЛ770103704000000.jpeg","Скачать индивидуальный QR-код магазина")</f>
        <v>Скачать индивидуальный QR-код магазина</v>
      </c>
    </row>
    <row r="7663" spans="1:7" x14ac:dyDescent="0.25">
      <c r="A7663" t="s">
        <v>18820</v>
      </c>
      <c r="B7663" t="s">
        <v>24761</v>
      </c>
      <c r="C7663" t="s">
        <v>24762</v>
      </c>
      <c r="D7663" t="s">
        <v>24763</v>
      </c>
      <c r="E7663" t="s">
        <v>24764</v>
      </c>
      <c r="F7663" t="s">
        <v>24765</v>
      </c>
      <c r="G7663" s="2" t="str">
        <f>HYPERLINK("https://probpalata.gov.ru/files/ЮЛ770100644500000.jpeg","Скачать индивидуальный QR-код магазина")</f>
        <v>Скачать индивидуальный QR-код магазина</v>
      </c>
    </row>
    <row r="7664" spans="1:7" x14ac:dyDescent="0.25">
      <c r="A7664" t="s">
        <v>18820</v>
      </c>
      <c r="B7664" t="s">
        <v>24766</v>
      </c>
      <c r="C7664" t="s">
        <v>24767</v>
      </c>
      <c r="D7664" t="s">
        <v>24768</v>
      </c>
      <c r="E7664" t="s">
        <v>24769</v>
      </c>
      <c r="F7664" t="s">
        <v>24770</v>
      </c>
      <c r="G7664" s="2" t="str">
        <f>HYPERLINK("https://probpalata.gov.ru/files/ЮЛ770103065400000.jpeg","Скачать индивидуальный QR-код магазина")</f>
        <v>Скачать индивидуальный QR-код магазина</v>
      </c>
    </row>
    <row r="7665" spans="1:7" x14ac:dyDescent="0.25">
      <c r="A7665" t="s">
        <v>18820</v>
      </c>
      <c r="B7665" t="s">
        <v>24771</v>
      </c>
      <c r="C7665" t="s">
        <v>24772</v>
      </c>
      <c r="D7665" t="s">
        <v>24773</v>
      </c>
      <c r="E7665" t="s">
        <v>24774</v>
      </c>
      <c r="F7665" t="s">
        <v>24775</v>
      </c>
      <c r="G7665" s="2" t="str">
        <f>HYPERLINK("https://probpalata.gov.ru/files/ИП770101304800000.jpeg","Скачать индивидуальный QR-код магазина")</f>
        <v>Скачать индивидуальный QR-код магазина</v>
      </c>
    </row>
    <row r="7666" spans="1:7" x14ac:dyDescent="0.25">
      <c r="A7666" t="s">
        <v>18820</v>
      </c>
      <c r="B7666" t="s">
        <v>24776</v>
      </c>
      <c r="C7666" t="s">
        <v>24777</v>
      </c>
      <c r="D7666" t="s">
        <v>24778</v>
      </c>
      <c r="E7666" t="s">
        <v>24779</v>
      </c>
      <c r="F7666" t="s">
        <v>24780</v>
      </c>
      <c r="G7666" s="2" t="str">
        <f>HYPERLINK("https://probpalata.gov.ru/files/ИП770101183600002.jpeg","Скачать индивидуальный QR-код магазина")</f>
        <v>Скачать индивидуальный QR-код магазина</v>
      </c>
    </row>
    <row r="7667" spans="1:7" x14ac:dyDescent="0.25">
      <c r="A7667" t="s">
        <v>18820</v>
      </c>
      <c r="B7667" t="s">
        <v>24781</v>
      </c>
      <c r="C7667" t="s">
        <v>24777</v>
      </c>
      <c r="D7667" t="s">
        <v>24778</v>
      </c>
      <c r="E7667" t="s">
        <v>24779</v>
      </c>
      <c r="F7667" t="s">
        <v>24782</v>
      </c>
      <c r="G7667" s="2" t="str">
        <f>HYPERLINK("https://probpalata.gov.ru/files/ИП770101183600004.jpeg","Скачать индивидуальный QR-код магазина")</f>
        <v>Скачать индивидуальный QR-код магазина</v>
      </c>
    </row>
    <row r="7668" spans="1:7" x14ac:dyDescent="0.25">
      <c r="A7668" t="s">
        <v>18820</v>
      </c>
      <c r="B7668" t="s">
        <v>22217</v>
      </c>
      <c r="C7668" t="s">
        <v>24783</v>
      </c>
      <c r="D7668" t="s">
        <v>24784</v>
      </c>
      <c r="E7668" t="s">
        <v>24785</v>
      </c>
      <c r="F7668" t="s">
        <v>24786</v>
      </c>
      <c r="G7668" s="2" t="str">
        <f>HYPERLINK("https://probpalata.gov.ru/files/ИП770101588200000.jpeg","Скачать индивидуальный QR-код магазина")</f>
        <v>Скачать индивидуальный QR-код магазина</v>
      </c>
    </row>
    <row r="7669" spans="1:7" x14ac:dyDescent="0.25">
      <c r="A7669" t="s">
        <v>18820</v>
      </c>
      <c r="B7669" t="s">
        <v>24787</v>
      </c>
      <c r="C7669" t="s">
        <v>24788</v>
      </c>
      <c r="D7669" t="s">
        <v>24789</v>
      </c>
      <c r="E7669" t="s">
        <v>24790</v>
      </c>
      <c r="F7669" t="s">
        <v>24791</v>
      </c>
      <c r="G7669" s="2" t="str">
        <f>HYPERLINK("https://probpalata.gov.ru/files/ИП770101238700000.jpeg","Скачать индивидуальный QR-код магазина")</f>
        <v>Скачать индивидуальный QR-код магазина</v>
      </c>
    </row>
    <row r="7670" spans="1:7" x14ac:dyDescent="0.25">
      <c r="A7670" t="s">
        <v>18820</v>
      </c>
      <c r="B7670" t="s">
        <v>24792</v>
      </c>
      <c r="C7670" t="s">
        <v>24793</v>
      </c>
      <c r="D7670" t="s">
        <v>24794</v>
      </c>
      <c r="E7670" t="s">
        <v>24795</v>
      </c>
      <c r="F7670" t="s">
        <v>24796</v>
      </c>
      <c r="G7670" s="2" t="str">
        <f>HYPERLINK("https://probpalata.gov.ru/files/ЮЛ770100391500000.jpeg","Скачать индивидуальный QR-код магазина")</f>
        <v>Скачать индивидуальный QR-код магазина</v>
      </c>
    </row>
    <row r="7671" spans="1:7" x14ac:dyDescent="0.25">
      <c r="A7671" t="s">
        <v>18820</v>
      </c>
      <c r="B7671" t="s">
        <v>24797</v>
      </c>
      <c r="C7671" t="s">
        <v>24798</v>
      </c>
      <c r="D7671" t="s">
        <v>24799</v>
      </c>
      <c r="E7671" t="s">
        <v>24800</v>
      </c>
      <c r="F7671" t="s">
        <v>24801</v>
      </c>
      <c r="G7671" s="2" t="str">
        <f>HYPERLINK("https://probpalata.gov.ru/files/ЮЛ770100140700000.jpeg","Скачать индивидуальный QR-код магазина")</f>
        <v>Скачать индивидуальный QR-код магазина</v>
      </c>
    </row>
    <row r="7672" spans="1:7" x14ac:dyDescent="0.25">
      <c r="A7672" t="s">
        <v>18820</v>
      </c>
      <c r="B7672" t="s">
        <v>24802</v>
      </c>
      <c r="C7672" t="s">
        <v>24803</v>
      </c>
      <c r="D7672" t="s">
        <v>24804</v>
      </c>
      <c r="E7672" t="s">
        <v>24805</v>
      </c>
      <c r="F7672" t="s">
        <v>24806</v>
      </c>
      <c r="G7672" s="2" t="str">
        <f>HYPERLINK("https://probpalata.gov.ru/files/ИП500100819400000.jpeg","Скачать индивидуальный QR-код магазина")</f>
        <v>Скачать индивидуальный QR-код магазина</v>
      </c>
    </row>
    <row r="7673" spans="1:7" x14ac:dyDescent="0.25">
      <c r="A7673" t="s">
        <v>18820</v>
      </c>
      <c r="B7673" t="s">
        <v>24807</v>
      </c>
      <c r="C7673" t="s">
        <v>24808</v>
      </c>
      <c r="D7673" t="s">
        <v>24809</v>
      </c>
      <c r="E7673" t="s">
        <v>24810</v>
      </c>
      <c r="F7673" t="s">
        <v>24811</v>
      </c>
      <c r="G7673" s="2" t="str">
        <f>HYPERLINK("https://probpalata.gov.ru/files/ЮЛ770100251000000.jpeg","Скачать индивидуальный QR-код магазина")</f>
        <v>Скачать индивидуальный QR-код магазина</v>
      </c>
    </row>
    <row r="7674" spans="1:7" x14ac:dyDescent="0.25">
      <c r="A7674" t="s">
        <v>18820</v>
      </c>
      <c r="B7674" t="s">
        <v>24812</v>
      </c>
      <c r="C7674" t="s">
        <v>24813</v>
      </c>
      <c r="D7674" t="s">
        <v>24814</v>
      </c>
      <c r="E7674" t="s">
        <v>24815</v>
      </c>
      <c r="F7674" t="s">
        <v>24816</v>
      </c>
      <c r="G7674" s="2" t="str">
        <f>HYPERLINK("https://probpalata.gov.ru/files/ИП770101400800000.jpeg","Скачать индивидуальный QR-код магазина")</f>
        <v>Скачать индивидуальный QR-код магазина</v>
      </c>
    </row>
    <row r="7675" spans="1:7" x14ac:dyDescent="0.25">
      <c r="A7675" t="s">
        <v>18820</v>
      </c>
      <c r="B7675" t="s">
        <v>24817</v>
      </c>
      <c r="C7675" t="s">
        <v>24813</v>
      </c>
      <c r="D7675" t="s">
        <v>24814</v>
      </c>
      <c r="E7675" t="s">
        <v>24815</v>
      </c>
      <c r="F7675" t="s">
        <v>24818</v>
      </c>
      <c r="G7675" s="2" t="str">
        <f>HYPERLINK("https://probpalata.gov.ru/files/ИП770101400800003.jpeg","Скачать индивидуальный QR-код магазина")</f>
        <v>Скачать индивидуальный QR-код магазина</v>
      </c>
    </row>
    <row r="7676" spans="1:7" x14ac:dyDescent="0.25">
      <c r="A7676" t="s">
        <v>18820</v>
      </c>
      <c r="B7676" t="s">
        <v>24819</v>
      </c>
      <c r="C7676" t="s">
        <v>24813</v>
      </c>
      <c r="D7676" t="s">
        <v>24814</v>
      </c>
      <c r="E7676" t="s">
        <v>24815</v>
      </c>
      <c r="F7676" t="s">
        <v>24820</v>
      </c>
      <c r="G7676" s="2" t="str">
        <f>HYPERLINK("https://probpalata.gov.ru/files/ИП770101400800004.jpeg","Скачать индивидуальный QR-код магазина")</f>
        <v>Скачать индивидуальный QR-код магазина</v>
      </c>
    </row>
    <row r="7677" spans="1:7" x14ac:dyDescent="0.25">
      <c r="A7677" t="s">
        <v>18820</v>
      </c>
      <c r="B7677" t="s">
        <v>24821</v>
      </c>
      <c r="C7677" t="s">
        <v>24813</v>
      </c>
      <c r="D7677" t="s">
        <v>24814</v>
      </c>
      <c r="E7677" t="s">
        <v>24815</v>
      </c>
      <c r="F7677" t="s">
        <v>24822</v>
      </c>
      <c r="G7677" s="2" t="str">
        <f>HYPERLINK("https://probpalata.gov.ru/files/ИП770101400800006.jpeg","Скачать индивидуальный QR-код магазина")</f>
        <v>Скачать индивидуальный QR-код магазина</v>
      </c>
    </row>
    <row r="7678" spans="1:7" x14ac:dyDescent="0.25">
      <c r="A7678" t="s">
        <v>18820</v>
      </c>
      <c r="B7678" t="s">
        <v>18826</v>
      </c>
      <c r="C7678" t="s">
        <v>24813</v>
      </c>
      <c r="D7678" t="s">
        <v>24814</v>
      </c>
      <c r="E7678" t="s">
        <v>24815</v>
      </c>
      <c r="F7678" t="s">
        <v>24823</v>
      </c>
      <c r="G7678" s="2" t="str">
        <f>HYPERLINK("https://probpalata.gov.ru/files/ИП770101400800007.jpeg","Скачать индивидуальный QR-код магазина")</f>
        <v>Скачать индивидуальный QR-код магазина</v>
      </c>
    </row>
    <row r="7679" spans="1:7" x14ac:dyDescent="0.25">
      <c r="A7679" t="s">
        <v>18820</v>
      </c>
      <c r="B7679" t="s">
        <v>24824</v>
      </c>
      <c r="C7679" t="s">
        <v>24813</v>
      </c>
      <c r="D7679" t="s">
        <v>24814</v>
      </c>
      <c r="E7679" t="s">
        <v>24815</v>
      </c>
      <c r="F7679" t="s">
        <v>24825</v>
      </c>
      <c r="G7679" s="2" t="str">
        <f>HYPERLINK("https://probpalata.gov.ru/files/ИП770101400800008.jpeg","Скачать индивидуальный QR-код магазина")</f>
        <v>Скачать индивидуальный QR-код магазина</v>
      </c>
    </row>
    <row r="7680" spans="1:7" x14ac:dyDescent="0.25">
      <c r="A7680" t="s">
        <v>18820</v>
      </c>
      <c r="B7680" t="s">
        <v>19467</v>
      </c>
      <c r="C7680" t="s">
        <v>24813</v>
      </c>
      <c r="D7680" t="s">
        <v>24814</v>
      </c>
      <c r="E7680" t="s">
        <v>24815</v>
      </c>
      <c r="F7680" t="s">
        <v>24826</v>
      </c>
      <c r="G7680" s="2" t="str">
        <f>HYPERLINK("https://probpalata.gov.ru/files/ИП770101400800009.jpeg","Скачать индивидуальный QR-код магазина")</f>
        <v>Скачать индивидуальный QR-код магазина</v>
      </c>
    </row>
    <row r="7681" spans="1:7" x14ac:dyDescent="0.25">
      <c r="A7681" t="s">
        <v>18820</v>
      </c>
      <c r="B7681" t="s">
        <v>24827</v>
      </c>
      <c r="C7681" t="s">
        <v>24813</v>
      </c>
      <c r="D7681" t="s">
        <v>24814</v>
      </c>
      <c r="E7681" t="s">
        <v>24815</v>
      </c>
      <c r="F7681" t="s">
        <v>24828</v>
      </c>
      <c r="G7681" s="2" t="str">
        <f>HYPERLINK("https://probpalata.gov.ru/files/ИП770101400800010.jpeg","Скачать индивидуальный QR-код магазина")</f>
        <v>Скачать индивидуальный QR-код магазина</v>
      </c>
    </row>
    <row r="7682" spans="1:7" x14ac:dyDescent="0.25">
      <c r="A7682" t="s">
        <v>18820</v>
      </c>
      <c r="B7682" t="s">
        <v>24829</v>
      </c>
      <c r="C7682" t="s">
        <v>24813</v>
      </c>
      <c r="D7682" t="s">
        <v>24814</v>
      </c>
      <c r="E7682" t="s">
        <v>24815</v>
      </c>
      <c r="F7682" t="s">
        <v>24830</v>
      </c>
      <c r="G7682" s="2" t="str">
        <f>HYPERLINK("https://probpalata.gov.ru/files/ИП770101400800011.jpeg","Скачать индивидуальный QR-код магазина")</f>
        <v>Скачать индивидуальный QR-код магазина</v>
      </c>
    </row>
    <row r="7683" spans="1:7" x14ac:dyDescent="0.25">
      <c r="A7683" t="s">
        <v>18820</v>
      </c>
      <c r="B7683" t="s">
        <v>24831</v>
      </c>
      <c r="C7683" t="s">
        <v>24813</v>
      </c>
      <c r="D7683" t="s">
        <v>24814</v>
      </c>
      <c r="E7683" t="s">
        <v>24815</v>
      </c>
      <c r="F7683" t="s">
        <v>24832</v>
      </c>
      <c r="G7683" s="2" t="str">
        <f>HYPERLINK("https://probpalata.gov.ru/files/ИП770101400800012.jpeg","Скачать индивидуальный QR-код магазина")</f>
        <v>Скачать индивидуальный QR-код магазина</v>
      </c>
    </row>
    <row r="7684" spans="1:7" x14ac:dyDescent="0.25">
      <c r="A7684" t="s">
        <v>18820</v>
      </c>
      <c r="B7684" t="s">
        <v>24833</v>
      </c>
      <c r="C7684" t="s">
        <v>24813</v>
      </c>
      <c r="D7684" t="s">
        <v>24814</v>
      </c>
      <c r="E7684" t="s">
        <v>24815</v>
      </c>
      <c r="F7684" t="s">
        <v>24834</v>
      </c>
      <c r="G7684" s="2" t="str">
        <f>HYPERLINK("https://probpalata.gov.ru/files/ИП770101400800013.jpeg","Скачать индивидуальный QR-код магазина")</f>
        <v>Скачать индивидуальный QR-код магазина</v>
      </c>
    </row>
    <row r="7685" spans="1:7" x14ac:dyDescent="0.25">
      <c r="A7685" t="s">
        <v>18820</v>
      </c>
      <c r="B7685" t="s">
        <v>24835</v>
      </c>
      <c r="C7685" t="s">
        <v>24836</v>
      </c>
      <c r="D7685" t="s">
        <v>24837</v>
      </c>
      <c r="E7685" t="s">
        <v>24838</v>
      </c>
      <c r="F7685" t="s">
        <v>24839</v>
      </c>
      <c r="G7685" s="2" t="str">
        <f>HYPERLINK("https://probpalata.gov.ru/files/ИП770101041600000.jpeg","Скачать индивидуальный QR-код магазина")</f>
        <v>Скачать индивидуальный QR-код магазина</v>
      </c>
    </row>
    <row r="7686" spans="1:7" x14ac:dyDescent="0.25">
      <c r="A7686" t="s">
        <v>18820</v>
      </c>
      <c r="B7686" t="s">
        <v>24840</v>
      </c>
      <c r="C7686" t="s">
        <v>24836</v>
      </c>
      <c r="D7686" t="s">
        <v>24837</v>
      </c>
      <c r="E7686" t="s">
        <v>24838</v>
      </c>
      <c r="F7686" t="s">
        <v>24841</v>
      </c>
      <c r="G7686" s="2" t="str">
        <f>HYPERLINK("https://probpalata.gov.ru/files/ИП770101041600003.jpeg","Скачать индивидуальный QR-код магазина")</f>
        <v>Скачать индивидуальный QR-код магазина</v>
      </c>
    </row>
    <row r="7687" spans="1:7" x14ac:dyDescent="0.25">
      <c r="A7687" t="s">
        <v>18820</v>
      </c>
      <c r="B7687" t="s">
        <v>24842</v>
      </c>
      <c r="C7687" t="s">
        <v>24843</v>
      </c>
      <c r="D7687" t="s">
        <v>24844</v>
      </c>
      <c r="E7687" t="s">
        <v>24845</v>
      </c>
      <c r="F7687" t="s">
        <v>24846</v>
      </c>
      <c r="G7687" s="2" t="str">
        <f>HYPERLINK("https://probpalata.gov.ru/files/ИП770100657100000.jpeg","Скачать индивидуальный QR-код магазина")</f>
        <v>Скачать индивидуальный QR-код магазина</v>
      </c>
    </row>
    <row r="7688" spans="1:7" x14ac:dyDescent="0.25">
      <c r="A7688" t="s">
        <v>18820</v>
      </c>
      <c r="B7688" t="s">
        <v>24847</v>
      </c>
      <c r="C7688" t="s">
        <v>24848</v>
      </c>
      <c r="D7688" t="s">
        <v>24849</v>
      </c>
      <c r="E7688" t="s">
        <v>24850</v>
      </c>
      <c r="F7688" t="s">
        <v>24851</v>
      </c>
      <c r="G7688" s="2" t="str">
        <f>HYPERLINK("https://probpalata.gov.ru/files/ИП770103678300000.jpeg","Скачать индивидуальный QR-код магазина")</f>
        <v>Скачать индивидуальный QR-код магазина</v>
      </c>
    </row>
    <row r="7689" spans="1:7" x14ac:dyDescent="0.25">
      <c r="A7689" t="s">
        <v>18820</v>
      </c>
      <c r="B7689" t="s">
        <v>24852</v>
      </c>
      <c r="C7689" t="s">
        <v>24853</v>
      </c>
      <c r="D7689" t="s">
        <v>24854</v>
      </c>
      <c r="E7689" t="s">
        <v>24855</v>
      </c>
      <c r="F7689" t="s">
        <v>24856</v>
      </c>
      <c r="G7689" s="2" t="str">
        <f>HYPERLINK("https://probpalata.gov.ru/files/ИП770100608100000.jpeg","Скачать индивидуальный QR-код магазина")</f>
        <v>Скачать индивидуальный QR-код магазина</v>
      </c>
    </row>
    <row r="7690" spans="1:7" x14ac:dyDescent="0.25">
      <c r="A7690" t="s">
        <v>18820</v>
      </c>
      <c r="B7690" t="s">
        <v>24857</v>
      </c>
      <c r="C7690" t="s">
        <v>24858</v>
      </c>
      <c r="D7690" t="s">
        <v>24859</v>
      </c>
      <c r="E7690" t="s">
        <v>24860</v>
      </c>
      <c r="F7690" t="s">
        <v>24861</v>
      </c>
      <c r="G7690" s="2" t="str">
        <f>HYPERLINK("https://probpalata.gov.ru/files/ЮЛ770100610700000.jpeg","Скачать индивидуальный QR-код магазина")</f>
        <v>Скачать индивидуальный QR-код магазина</v>
      </c>
    </row>
    <row r="7691" spans="1:7" x14ac:dyDescent="0.25">
      <c r="A7691" t="s">
        <v>18820</v>
      </c>
      <c r="B7691" t="s">
        <v>24862</v>
      </c>
      <c r="C7691" t="s">
        <v>24863</v>
      </c>
      <c r="D7691" t="s">
        <v>24864</v>
      </c>
      <c r="E7691" t="s">
        <v>24865</v>
      </c>
      <c r="F7691" t="s">
        <v>24866</v>
      </c>
      <c r="G7691" s="2" t="str">
        <f>HYPERLINK("https://probpalata.gov.ru/files/ЮЛ770104063800000.jpeg","Скачать индивидуальный QR-код магазина")</f>
        <v>Скачать индивидуальный QR-код магазина</v>
      </c>
    </row>
    <row r="7692" spans="1:7" x14ac:dyDescent="0.25">
      <c r="A7692" t="s">
        <v>18820</v>
      </c>
      <c r="B7692" t="s">
        <v>24867</v>
      </c>
      <c r="C7692" t="s">
        <v>24868</v>
      </c>
      <c r="D7692" t="s">
        <v>24869</v>
      </c>
      <c r="E7692" t="s">
        <v>24870</v>
      </c>
      <c r="F7692" t="s">
        <v>24871</v>
      </c>
      <c r="G7692" s="2" t="str">
        <f>HYPERLINK("https://probpalata.gov.ru/files/ЮЛ770100600800000.jpeg","Скачать индивидуальный QR-код магазина")</f>
        <v>Скачать индивидуальный QR-код магазина</v>
      </c>
    </row>
    <row r="7693" spans="1:7" x14ac:dyDescent="0.25">
      <c r="A7693" t="s">
        <v>18820</v>
      </c>
      <c r="B7693" t="s">
        <v>24872</v>
      </c>
      <c r="C7693" t="s">
        <v>24873</v>
      </c>
      <c r="D7693" t="s">
        <v>24874</v>
      </c>
      <c r="E7693" t="s">
        <v>24875</v>
      </c>
      <c r="F7693" t="s">
        <v>24876</v>
      </c>
      <c r="G7693" s="2" t="str">
        <f>HYPERLINK("https://probpalata.gov.ru/files/ЮЛ770100025700000.jpeg","Скачать индивидуальный QR-код магазина")</f>
        <v>Скачать индивидуальный QR-код магазина</v>
      </c>
    </row>
    <row r="7694" spans="1:7" x14ac:dyDescent="0.25">
      <c r="A7694" t="s">
        <v>18820</v>
      </c>
      <c r="B7694" t="s">
        <v>24877</v>
      </c>
      <c r="C7694" t="s">
        <v>24873</v>
      </c>
      <c r="D7694" t="s">
        <v>24874</v>
      </c>
      <c r="E7694" t="s">
        <v>24875</v>
      </c>
      <c r="F7694" t="s">
        <v>24878</v>
      </c>
      <c r="G7694" s="2" t="str">
        <f>HYPERLINK("https://probpalata.gov.ru/files/ЮЛ770100025700001.jpeg","Скачать индивидуальный QR-код магазина")</f>
        <v>Скачать индивидуальный QR-код магазина</v>
      </c>
    </row>
    <row r="7695" spans="1:7" x14ac:dyDescent="0.25">
      <c r="A7695" t="s">
        <v>18820</v>
      </c>
      <c r="B7695" t="s">
        <v>24879</v>
      </c>
      <c r="C7695" t="s">
        <v>24880</v>
      </c>
      <c r="D7695" t="s">
        <v>24881</v>
      </c>
      <c r="E7695" t="s">
        <v>24882</v>
      </c>
      <c r="F7695" t="s">
        <v>24883</v>
      </c>
      <c r="G7695" s="2" t="str">
        <f>HYPERLINK("https://probpalata.gov.ru/files/ЮЛ770100709700000.jpeg","Скачать индивидуальный QR-код магазина")</f>
        <v>Скачать индивидуальный QR-код магазина</v>
      </c>
    </row>
    <row r="7696" spans="1:7" x14ac:dyDescent="0.25">
      <c r="A7696" t="s">
        <v>18820</v>
      </c>
      <c r="B7696" t="s">
        <v>24884</v>
      </c>
      <c r="C7696" t="s">
        <v>24885</v>
      </c>
      <c r="D7696" t="s">
        <v>24886</v>
      </c>
      <c r="E7696" t="s">
        <v>24887</v>
      </c>
      <c r="F7696" t="s">
        <v>24888</v>
      </c>
      <c r="G7696" s="2" t="str">
        <f>HYPERLINK("https://probpalata.gov.ru/files/ИП770100247200000.jpeg","Скачать индивидуальный QR-код магазина")</f>
        <v>Скачать индивидуальный QR-код магазина</v>
      </c>
    </row>
    <row r="7697" spans="1:7" x14ac:dyDescent="0.25">
      <c r="A7697" t="s">
        <v>18820</v>
      </c>
      <c r="B7697" t="s">
        <v>24889</v>
      </c>
      <c r="C7697" t="s">
        <v>24890</v>
      </c>
      <c r="D7697" t="s">
        <v>24891</v>
      </c>
      <c r="E7697" t="s">
        <v>24892</v>
      </c>
      <c r="F7697" t="s">
        <v>24893</v>
      </c>
      <c r="G7697" s="2" t="str">
        <f>HYPERLINK("https://probpalata.gov.ru/files/ИП770101487900000.jpeg","Скачать индивидуальный QR-код магазина")</f>
        <v>Скачать индивидуальный QR-код магазина</v>
      </c>
    </row>
    <row r="7698" spans="1:7" x14ac:dyDescent="0.25">
      <c r="A7698" t="s">
        <v>18820</v>
      </c>
      <c r="B7698" t="s">
        <v>24894</v>
      </c>
      <c r="C7698" t="s">
        <v>24895</v>
      </c>
      <c r="D7698" t="s">
        <v>24896</v>
      </c>
      <c r="E7698" t="s">
        <v>24897</v>
      </c>
      <c r="F7698" t="s">
        <v>24898</v>
      </c>
      <c r="G7698" s="2" t="str">
        <f>HYPERLINK("https://probpalata.gov.ru/files/ИП770103892200000.jpeg","Скачать индивидуальный QR-код магазина")</f>
        <v>Скачать индивидуальный QR-код магазина</v>
      </c>
    </row>
    <row r="7699" spans="1:7" x14ac:dyDescent="0.25">
      <c r="A7699" t="s">
        <v>18820</v>
      </c>
      <c r="B7699" t="s">
        <v>19974</v>
      </c>
      <c r="C7699" t="s">
        <v>24895</v>
      </c>
      <c r="D7699" t="s">
        <v>24896</v>
      </c>
      <c r="E7699" t="s">
        <v>24897</v>
      </c>
      <c r="F7699" t="s">
        <v>24899</v>
      </c>
      <c r="G7699" s="2" t="str">
        <f>HYPERLINK("https://probpalata.gov.ru/files/ИП770103892200001.jpeg","Скачать индивидуальный QR-код магазина")</f>
        <v>Скачать индивидуальный QR-код магазина</v>
      </c>
    </row>
    <row r="7700" spans="1:7" x14ac:dyDescent="0.25">
      <c r="A7700" t="s">
        <v>18820</v>
      </c>
      <c r="B7700" t="s">
        <v>24900</v>
      </c>
      <c r="C7700" t="s">
        <v>24901</v>
      </c>
      <c r="D7700" t="s">
        <v>24902</v>
      </c>
      <c r="E7700" t="s">
        <v>24903</v>
      </c>
      <c r="F7700" t="s">
        <v>24904</v>
      </c>
      <c r="G7700" s="2" t="str">
        <f>HYPERLINK("https://probpalata.gov.ru/files/ИП770103094300000.jpeg","Скачать индивидуальный QR-код магазина")</f>
        <v>Скачать индивидуальный QR-код магазина</v>
      </c>
    </row>
    <row r="7701" spans="1:7" x14ac:dyDescent="0.25">
      <c r="A7701" t="s">
        <v>18820</v>
      </c>
      <c r="B7701" t="s">
        <v>24905</v>
      </c>
      <c r="C7701" t="s">
        <v>24906</v>
      </c>
      <c r="D7701" t="s">
        <v>24907</v>
      </c>
      <c r="E7701" t="s">
        <v>24908</v>
      </c>
      <c r="F7701" t="s">
        <v>24909</v>
      </c>
      <c r="G7701" s="2" t="str">
        <f>HYPERLINK("https://probpalata.gov.ru/files/ЮЛ770101556100000.jpeg","Скачать индивидуальный QR-код магазина")</f>
        <v>Скачать индивидуальный QR-код магазина</v>
      </c>
    </row>
    <row r="7702" spans="1:7" x14ac:dyDescent="0.25">
      <c r="A7702" t="s">
        <v>18820</v>
      </c>
      <c r="B7702" t="s">
        <v>24910</v>
      </c>
      <c r="C7702" t="s">
        <v>24911</v>
      </c>
      <c r="D7702" t="s">
        <v>24912</v>
      </c>
      <c r="E7702" t="s">
        <v>24913</v>
      </c>
      <c r="F7702" t="s">
        <v>24914</v>
      </c>
      <c r="G7702" s="2" t="str">
        <f>HYPERLINK("https://probpalata.gov.ru/files/ЮЛ770101502500000.jpeg","Скачать индивидуальный QR-код магазина")</f>
        <v>Скачать индивидуальный QR-код магазина</v>
      </c>
    </row>
    <row r="7703" spans="1:7" x14ac:dyDescent="0.25">
      <c r="A7703" t="s">
        <v>18820</v>
      </c>
      <c r="B7703" t="s">
        <v>24915</v>
      </c>
      <c r="C7703" t="s">
        <v>24916</v>
      </c>
      <c r="D7703" t="s">
        <v>24917</v>
      </c>
      <c r="E7703" t="s">
        <v>24918</v>
      </c>
      <c r="F7703" t="s">
        <v>24919</v>
      </c>
      <c r="G7703" s="2" t="str">
        <f>HYPERLINK("https://probpalata.gov.ru/files/ЮЛ770103688500000.jpeg","Скачать индивидуальный QR-код магазина")</f>
        <v>Скачать индивидуальный QR-код магазина</v>
      </c>
    </row>
    <row r="7704" spans="1:7" x14ac:dyDescent="0.25">
      <c r="A7704" t="s">
        <v>18820</v>
      </c>
      <c r="B7704" t="s">
        <v>24920</v>
      </c>
      <c r="C7704" t="s">
        <v>24921</v>
      </c>
      <c r="D7704" t="s">
        <v>24922</v>
      </c>
      <c r="E7704" t="s">
        <v>24923</v>
      </c>
      <c r="F7704" t="s">
        <v>24924</v>
      </c>
      <c r="G7704" s="2" t="str">
        <f>HYPERLINK("https://probpalata.gov.ru/files/ЮЛ770100023700000.jpeg","Скачать индивидуальный QR-код магазина")</f>
        <v>Скачать индивидуальный QR-код магазина</v>
      </c>
    </row>
    <row r="7705" spans="1:7" x14ac:dyDescent="0.25">
      <c r="A7705" t="s">
        <v>18820</v>
      </c>
      <c r="B7705" t="s">
        <v>24925</v>
      </c>
      <c r="C7705" t="s">
        <v>24926</v>
      </c>
      <c r="D7705" t="s">
        <v>24927</v>
      </c>
      <c r="E7705" t="s">
        <v>24928</v>
      </c>
      <c r="F7705" t="s">
        <v>24929</v>
      </c>
      <c r="G7705" s="2" t="str">
        <f>HYPERLINK("https://probpalata.gov.ru/files/ЮЛ770101621900000.jpeg","Скачать индивидуальный QR-код магазина")</f>
        <v>Скачать индивидуальный QR-код магазина</v>
      </c>
    </row>
    <row r="7706" spans="1:7" x14ac:dyDescent="0.25">
      <c r="A7706" t="s">
        <v>18820</v>
      </c>
      <c r="B7706" t="s">
        <v>24930</v>
      </c>
      <c r="C7706" t="s">
        <v>24931</v>
      </c>
      <c r="D7706" t="s">
        <v>24932</v>
      </c>
      <c r="E7706" t="s">
        <v>24933</v>
      </c>
      <c r="F7706" t="s">
        <v>24934</v>
      </c>
      <c r="G7706" s="2" t="str">
        <f>HYPERLINK("https://probpalata.gov.ru/files/ЮЛ770103524700000.jpeg","Скачать индивидуальный QR-код магазина")</f>
        <v>Скачать индивидуальный QR-код магазина</v>
      </c>
    </row>
    <row r="7707" spans="1:7" x14ac:dyDescent="0.25">
      <c r="A7707" t="s">
        <v>18820</v>
      </c>
      <c r="B7707" t="s">
        <v>24935</v>
      </c>
      <c r="C7707" t="s">
        <v>24936</v>
      </c>
      <c r="D7707" t="s">
        <v>24937</v>
      </c>
      <c r="E7707" t="s">
        <v>24938</v>
      </c>
      <c r="F7707" t="s">
        <v>24939</v>
      </c>
      <c r="G7707" s="2" t="str">
        <f>HYPERLINK("https://probpalata.gov.ru/files/ЮЛ770103567000000.jpeg","Скачать индивидуальный QR-код магазина")</f>
        <v>Скачать индивидуальный QR-код магазина</v>
      </c>
    </row>
    <row r="7708" spans="1:7" x14ac:dyDescent="0.25">
      <c r="A7708" t="s">
        <v>18820</v>
      </c>
      <c r="B7708" t="s">
        <v>24940</v>
      </c>
      <c r="C7708" t="s">
        <v>15265</v>
      </c>
      <c r="D7708" t="s">
        <v>15266</v>
      </c>
      <c r="E7708" t="s">
        <v>15267</v>
      </c>
      <c r="F7708" t="s">
        <v>24941</v>
      </c>
      <c r="G7708" s="2" t="str">
        <f>HYPERLINK("https://probpalata.gov.ru/files/ЮЛ160600373100003.jpeg","Скачать индивидуальный QR-код магазина")</f>
        <v>Скачать индивидуальный QR-код магазина</v>
      </c>
    </row>
    <row r="7709" spans="1:7" x14ac:dyDescent="0.25">
      <c r="A7709" t="s">
        <v>18820</v>
      </c>
      <c r="B7709" t="s">
        <v>24942</v>
      </c>
      <c r="C7709" t="s">
        <v>15265</v>
      </c>
      <c r="D7709" t="s">
        <v>15266</v>
      </c>
      <c r="E7709" t="s">
        <v>15267</v>
      </c>
      <c r="F7709" t="s">
        <v>24943</v>
      </c>
      <c r="G7709" s="2" t="str">
        <f>HYPERLINK("https://probpalata.gov.ru/files/ЮЛ160600373100004.jpeg","Скачать индивидуальный QR-код магазина")</f>
        <v>Скачать индивидуальный QR-код магазина</v>
      </c>
    </row>
    <row r="7710" spans="1:7" x14ac:dyDescent="0.25">
      <c r="A7710" t="s">
        <v>18820</v>
      </c>
      <c r="B7710" t="s">
        <v>24944</v>
      </c>
      <c r="C7710" t="s">
        <v>15265</v>
      </c>
      <c r="D7710" t="s">
        <v>15266</v>
      </c>
      <c r="E7710" t="s">
        <v>15267</v>
      </c>
      <c r="F7710" t="s">
        <v>24945</v>
      </c>
      <c r="G7710" s="2" t="str">
        <f>HYPERLINK("https://probpalata.gov.ru/files/ЮЛ160600373100009.jpeg","Скачать индивидуальный QR-код магазина")</f>
        <v>Скачать индивидуальный QR-код магазина</v>
      </c>
    </row>
    <row r="7711" spans="1:7" x14ac:dyDescent="0.25">
      <c r="A7711" t="s">
        <v>18820</v>
      </c>
      <c r="B7711" t="s">
        <v>24946</v>
      </c>
      <c r="C7711" t="s">
        <v>24947</v>
      </c>
      <c r="D7711" t="s">
        <v>24948</v>
      </c>
      <c r="E7711" t="s">
        <v>24949</v>
      </c>
      <c r="F7711" t="s">
        <v>24950</v>
      </c>
      <c r="G7711" s="2" t="str">
        <f>HYPERLINK("https://probpalata.gov.ru/files/ЮЛ770100541600000.jpeg","Скачать индивидуальный QR-код магазина")</f>
        <v>Скачать индивидуальный QR-код магазина</v>
      </c>
    </row>
    <row r="7712" spans="1:7" x14ac:dyDescent="0.25">
      <c r="A7712" t="s">
        <v>18820</v>
      </c>
      <c r="B7712" t="s">
        <v>24951</v>
      </c>
      <c r="C7712" t="s">
        <v>24952</v>
      </c>
      <c r="D7712" t="s">
        <v>24953</v>
      </c>
      <c r="E7712" t="s">
        <v>24954</v>
      </c>
      <c r="F7712" t="s">
        <v>24955</v>
      </c>
      <c r="G7712" s="2" t="str">
        <f>HYPERLINK("https://probpalata.gov.ru/files/ИП770100527800000.jpeg","Скачать индивидуальный QR-код магазина")</f>
        <v>Скачать индивидуальный QR-код магазина</v>
      </c>
    </row>
    <row r="7713" spans="1:7" x14ac:dyDescent="0.25">
      <c r="A7713" t="s">
        <v>18820</v>
      </c>
      <c r="B7713" t="s">
        <v>24956</v>
      </c>
      <c r="C7713" t="s">
        <v>24957</v>
      </c>
      <c r="D7713" t="s">
        <v>24958</v>
      </c>
      <c r="E7713" t="s">
        <v>24959</v>
      </c>
      <c r="F7713" t="s">
        <v>24960</v>
      </c>
      <c r="G7713" s="2" t="str">
        <f>HYPERLINK("https://probpalata.gov.ru/files/ИП770101286500000.jpeg","Скачать индивидуальный QR-код магазина")</f>
        <v>Скачать индивидуальный QR-код магазина</v>
      </c>
    </row>
    <row r="7714" spans="1:7" x14ac:dyDescent="0.25">
      <c r="A7714" t="s">
        <v>18820</v>
      </c>
      <c r="B7714" t="s">
        <v>24961</v>
      </c>
      <c r="C7714" t="s">
        <v>24957</v>
      </c>
      <c r="D7714" t="s">
        <v>24958</v>
      </c>
      <c r="E7714" t="s">
        <v>24959</v>
      </c>
      <c r="F7714" t="s">
        <v>24962</v>
      </c>
      <c r="G7714" s="2" t="str">
        <f>HYPERLINK("https://probpalata.gov.ru/files/ИП770101286500006.jpeg","Скачать индивидуальный QR-код магазина")</f>
        <v>Скачать индивидуальный QR-код магазина</v>
      </c>
    </row>
    <row r="7715" spans="1:7" x14ac:dyDescent="0.25">
      <c r="A7715" t="s">
        <v>18820</v>
      </c>
      <c r="B7715" t="s">
        <v>24963</v>
      </c>
      <c r="C7715" t="s">
        <v>24964</v>
      </c>
      <c r="D7715" t="s">
        <v>24965</v>
      </c>
      <c r="E7715" t="s">
        <v>24966</v>
      </c>
      <c r="F7715" t="s">
        <v>24967</v>
      </c>
      <c r="G7715" s="2" t="str">
        <f>HYPERLINK("https://probpalata.gov.ru/files/ИП500103626200000.jpeg","Скачать индивидуальный QR-код магазина")</f>
        <v>Скачать индивидуальный QR-код магазина</v>
      </c>
    </row>
    <row r="7716" spans="1:7" x14ac:dyDescent="0.25">
      <c r="A7716" t="s">
        <v>18820</v>
      </c>
      <c r="B7716" t="s">
        <v>24968</v>
      </c>
      <c r="C7716" t="s">
        <v>24969</v>
      </c>
      <c r="D7716" t="s">
        <v>24970</v>
      </c>
      <c r="E7716" t="s">
        <v>24971</v>
      </c>
      <c r="F7716" t="s">
        <v>24972</v>
      </c>
      <c r="G7716" s="2" t="str">
        <f>HYPERLINK("https://probpalata.gov.ru/files/ИП770100384600000.jpeg","Скачать индивидуальный QR-код магазина")</f>
        <v>Скачать индивидуальный QR-код магазина</v>
      </c>
    </row>
    <row r="7717" spans="1:7" x14ac:dyDescent="0.25">
      <c r="A7717" t="s">
        <v>18820</v>
      </c>
      <c r="B7717" t="s">
        <v>24973</v>
      </c>
      <c r="C7717" t="s">
        <v>24974</v>
      </c>
      <c r="D7717" t="s">
        <v>24975</v>
      </c>
      <c r="E7717" t="s">
        <v>24976</v>
      </c>
      <c r="F7717" t="s">
        <v>24977</v>
      </c>
      <c r="G7717" s="2" t="str">
        <f>HYPERLINK("https://probpalata.gov.ru/files/ИП770103599600000.jpeg","Скачать индивидуальный QR-код магазина")</f>
        <v>Скачать индивидуальный QR-код магазина</v>
      </c>
    </row>
    <row r="7718" spans="1:7" x14ac:dyDescent="0.25">
      <c r="A7718" t="s">
        <v>18820</v>
      </c>
      <c r="B7718" t="s">
        <v>24978</v>
      </c>
      <c r="C7718" t="s">
        <v>24979</v>
      </c>
      <c r="D7718" t="s">
        <v>24980</v>
      </c>
      <c r="E7718" t="s">
        <v>24981</v>
      </c>
      <c r="F7718" t="s">
        <v>24982</v>
      </c>
      <c r="G7718" s="2" t="str">
        <f>HYPERLINK("https://probpalata.gov.ru/files/ИП770101904400000.jpeg","Скачать индивидуальный QR-код магазина")</f>
        <v>Скачать индивидуальный QR-код магазина</v>
      </c>
    </row>
    <row r="7719" spans="1:7" x14ac:dyDescent="0.25">
      <c r="A7719" t="s">
        <v>18820</v>
      </c>
      <c r="B7719" t="s">
        <v>24983</v>
      </c>
      <c r="C7719" t="s">
        <v>24984</v>
      </c>
      <c r="D7719" t="s">
        <v>24985</v>
      </c>
      <c r="E7719" t="s">
        <v>24986</v>
      </c>
      <c r="F7719" t="s">
        <v>24987</v>
      </c>
      <c r="G7719" s="2" t="str">
        <f>HYPERLINK("https://probpalata.gov.ru/files/ЮЛ770101042100000.jpeg","Скачать индивидуальный QR-код магазина")</f>
        <v>Скачать индивидуальный QR-код магазина</v>
      </c>
    </row>
    <row r="7720" spans="1:7" x14ac:dyDescent="0.25">
      <c r="A7720" t="s">
        <v>18820</v>
      </c>
      <c r="B7720" t="s">
        <v>24988</v>
      </c>
      <c r="C7720" t="s">
        <v>24989</v>
      </c>
      <c r="D7720" t="s">
        <v>24990</v>
      </c>
      <c r="E7720" t="s">
        <v>24991</v>
      </c>
      <c r="F7720" t="s">
        <v>24992</v>
      </c>
      <c r="G7720" s="2" t="str">
        <f>HYPERLINK("https://probpalata.gov.ru/files/ИП770104073200000.jpeg","Скачать индивидуальный QR-код магазина")</f>
        <v>Скачать индивидуальный QR-код магазина</v>
      </c>
    </row>
    <row r="7721" spans="1:7" x14ac:dyDescent="0.25">
      <c r="A7721" t="s">
        <v>18820</v>
      </c>
      <c r="B7721" t="s">
        <v>24993</v>
      </c>
      <c r="C7721" t="s">
        <v>24994</v>
      </c>
      <c r="D7721" t="s">
        <v>24995</v>
      </c>
      <c r="E7721" t="s">
        <v>24996</v>
      </c>
      <c r="F7721" t="s">
        <v>24997</v>
      </c>
      <c r="G7721" s="2" t="str">
        <f>HYPERLINK("https://probpalata.gov.ru/files/ЮЛ770101122700000.jpeg","Скачать индивидуальный QR-код магазина")</f>
        <v>Скачать индивидуальный QR-код магазина</v>
      </c>
    </row>
    <row r="7722" spans="1:7" x14ac:dyDescent="0.25">
      <c r="A7722" t="s">
        <v>18820</v>
      </c>
      <c r="B7722" t="s">
        <v>24998</v>
      </c>
      <c r="C7722" t="s">
        <v>24999</v>
      </c>
      <c r="D7722" t="s">
        <v>25000</v>
      </c>
      <c r="E7722" t="s">
        <v>25001</v>
      </c>
      <c r="F7722" t="s">
        <v>25002</v>
      </c>
      <c r="G7722" s="2" t="str">
        <f>HYPERLINK("https://probpalata.gov.ru/files/ИП500103502200000.jpeg","Скачать индивидуальный QR-код магазина")</f>
        <v>Скачать индивидуальный QR-код магазина</v>
      </c>
    </row>
    <row r="7723" spans="1:7" x14ac:dyDescent="0.25">
      <c r="A7723" t="s">
        <v>18820</v>
      </c>
      <c r="B7723" t="s">
        <v>25003</v>
      </c>
      <c r="C7723" t="s">
        <v>25004</v>
      </c>
      <c r="D7723" t="s">
        <v>25005</v>
      </c>
      <c r="E7723" t="s">
        <v>25006</v>
      </c>
      <c r="F7723" t="s">
        <v>25007</v>
      </c>
      <c r="G7723" s="2" t="str">
        <f>HYPERLINK("https://probpalata.gov.ru/files/ИП770101789200000.jpeg","Скачать индивидуальный QR-код магазина")</f>
        <v>Скачать индивидуальный QR-код магазина</v>
      </c>
    </row>
    <row r="7724" spans="1:7" x14ac:dyDescent="0.25">
      <c r="A7724" t="s">
        <v>18820</v>
      </c>
      <c r="B7724" t="s">
        <v>25008</v>
      </c>
      <c r="C7724" t="s">
        <v>25004</v>
      </c>
      <c r="D7724" t="s">
        <v>25005</v>
      </c>
      <c r="E7724" t="s">
        <v>25006</v>
      </c>
      <c r="F7724" t="s">
        <v>25009</v>
      </c>
      <c r="G7724" s="2" t="str">
        <f>HYPERLINK("https://probpalata.gov.ru/files/ИП770101789200002.jpeg","Скачать индивидуальный QR-код магазина")</f>
        <v>Скачать индивидуальный QR-код магазина</v>
      </c>
    </row>
    <row r="7725" spans="1:7" x14ac:dyDescent="0.25">
      <c r="A7725" t="s">
        <v>18820</v>
      </c>
      <c r="B7725" t="s">
        <v>25010</v>
      </c>
      <c r="C7725" t="s">
        <v>25011</v>
      </c>
      <c r="D7725" t="s">
        <v>25012</v>
      </c>
      <c r="E7725" t="s">
        <v>25013</v>
      </c>
      <c r="F7725" t="s">
        <v>25014</v>
      </c>
      <c r="G7725" s="2" t="str">
        <f>HYPERLINK("https://probpalata.gov.ru/files/ИП770101406800000.jpeg","Скачать индивидуальный QR-код магазина")</f>
        <v>Скачать индивидуальный QR-код магазина</v>
      </c>
    </row>
    <row r="7726" spans="1:7" x14ac:dyDescent="0.25">
      <c r="A7726" t="s">
        <v>18820</v>
      </c>
      <c r="B7726" t="s">
        <v>25015</v>
      </c>
      <c r="C7726" t="s">
        <v>25016</v>
      </c>
      <c r="D7726" t="s">
        <v>25017</v>
      </c>
      <c r="E7726" t="s">
        <v>25018</v>
      </c>
      <c r="F7726" t="s">
        <v>25019</v>
      </c>
      <c r="G7726" s="2" t="str">
        <f>HYPERLINK("https://probpalata.gov.ru/files/ИП770101785000000.jpeg","Скачать индивидуальный QR-код магазина")</f>
        <v>Скачать индивидуальный QR-код магазина</v>
      </c>
    </row>
    <row r="7727" spans="1:7" x14ac:dyDescent="0.25">
      <c r="A7727" t="s">
        <v>18820</v>
      </c>
      <c r="B7727" t="s">
        <v>25020</v>
      </c>
      <c r="C7727" t="s">
        <v>25016</v>
      </c>
      <c r="D7727" t="s">
        <v>25017</v>
      </c>
      <c r="E7727" t="s">
        <v>25018</v>
      </c>
      <c r="F7727" t="s">
        <v>25021</v>
      </c>
      <c r="G7727" s="2" t="str">
        <f>HYPERLINK("https://probpalata.gov.ru/files/ИП770101785000001.jpeg","Скачать индивидуальный QR-код магазина")</f>
        <v>Скачать индивидуальный QR-код магазина</v>
      </c>
    </row>
    <row r="7728" spans="1:7" x14ac:dyDescent="0.25">
      <c r="A7728" t="s">
        <v>18820</v>
      </c>
      <c r="B7728" t="s">
        <v>25022</v>
      </c>
      <c r="C7728" t="s">
        <v>25016</v>
      </c>
      <c r="D7728" t="s">
        <v>25017</v>
      </c>
      <c r="E7728" t="s">
        <v>25018</v>
      </c>
      <c r="F7728" t="s">
        <v>25023</v>
      </c>
      <c r="G7728" s="2" t="str">
        <f>HYPERLINK("https://probpalata.gov.ru/files/ИП770101785000002.jpeg","Скачать индивидуальный QR-код магазина")</f>
        <v>Скачать индивидуальный QR-код магазина</v>
      </c>
    </row>
    <row r="7729" spans="1:7" x14ac:dyDescent="0.25">
      <c r="A7729" t="s">
        <v>18820</v>
      </c>
      <c r="B7729" t="s">
        <v>25024</v>
      </c>
      <c r="C7729" t="s">
        <v>25025</v>
      </c>
      <c r="D7729" t="s">
        <v>25026</v>
      </c>
      <c r="E7729" t="s">
        <v>25027</v>
      </c>
      <c r="F7729" t="s">
        <v>25028</v>
      </c>
      <c r="G7729" s="2" t="str">
        <f>HYPERLINK("https://probpalata.gov.ru/files/ИП770100194500000.jpeg","Скачать индивидуальный QR-код магазина")</f>
        <v>Скачать индивидуальный QR-код магазина</v>
      </c>
    </row>
    <row r="7730" spans="1:7" x14ac:dyDescent="0.25">
      <c r="A7730" t="s">
        <v>18820</v>
      </c>
      <c r="B7730" t="s">
        <v>25029</v>
      </c>
      <c r="C7730" t="s">
        <v>25025</v>
      </c>
      <c r="D7730" t="s">
        <v>25026</v>
      </c>
      <c r="E7730" t="s">
        <v>25027</v>
      </c>
      <c r="F7730" t="s">
        <v>25030</v>
      </c>
      <c r="G7730" s="2" t="str">
        <f>HYPERLINK("https://probpalata.gov.ru/files/ИП770100194500001.jpeg","Скачать индивидуальный QR-код магазина")</f>
        <v>Скачать индивидуальный QR-код магазина</v>
      </c>
    </row>
    <row r="7731" spans="1:7" x14ac:dyDescent="0.25">
      <c r="A7731" t="s">
        <v>18820</v>
      </c>
      <c r="B7731" t="s">
        <v>25031</v>
      </c>
      <c r="C7731" t="s">
        <v>25032</v>
      </c>
      <c r="D7731" t="s">
        <v>25033</v>
      </c>
      <c r="E7731" t="s">
        <v>25034</v>
      </c>
      <c r="F7731" t="s">
        <v>25035</v>
      </c>
      <c r="G7731" s="2" t="str">
        <f>HYPERLINK("https://probpalata.gov.ru/files/ИП770100321400000.jpeg","Скачать индивидуальный QR-код магазина")</f>
        <v>Скачать индивидуальный QR-код магазина</v>
      </c>
    </row>
    <row r="7732" spans="1:7" x14ac:dyDescent="0.25">
      <c r="A7732" t="s">
        <v>18820</v>
      </c>
      <c r="B7732" t="s">
        <v>25036</v>
      </c>
      <c r="C7732" t="s">
        <v>25037</v>
      </c>
      <c r="D7732" t="s">
        <v>25038</v>
      </c>
      <c r="E7732" t="s">
        <v>25039</v>
      </c>
      <c r="F7732" t="s">
        <v>25040</v>
      </c>
      <c r="G7732" s="2" t="str">
        <f>HYPERLINK("https://probpalata.gov.ru/files/ЮЛ770103298100000.jpeg","Скачать индивидуальный QR-код магазина")</f>
        <v>Скачать индивидуальный QR-код магазина</v>
      </c>
    </row>
    <row r="7733" spans="1:7" x14ac:dyDescent="0.25">
      <c r="A7733" t="s">
        <v>18820</v>
      </c>
      <c r="B7733" t="s">
        <v>25041</v>
      </c>
      <c r="C7733" t="s">
        <v>25042</v>
      </c>
      <c r="D7733" t="s">
        <v>25043</v>
      </c>
      <c r="E7733" t="s">
        <v>25044</v>
      </c>
      <c r="F7733" t="s">
        <v>25045</v>
      </c>
      <c r="G7733" s="2" t="str">
        <f>HYPERLINK("https://probpalata.gov.ru/files/ЮЛ770100145200000.jpeg","Скачать индивидуальный QR-код магазина")</f>
        <v>Скачать индивидуальный QR-код магазина</v>
      </c>
    </row>
    <row r="7734" spans="1:7" x14ac:dyDescent="0.25">
      <c r="A7734" t="s">
        <v>18820</v>
      </c>
      <c r="B7734" t="s">
        <v>25046</v>
      </c>
      <c r="C7734" t="s">
        <v>25047</v>
      </c>
      <c r="D7734" t="s">
        <v>25048</v>
      </c>
      <c r="E7734" t="s">
        <v>25049</v>
      </c>
      <c r="F7734" t="s">
        <v>25050</v>
      </c>
      <c r="G7734" s="2" t="str">
        <f>HYPERLINK("https://probpalata.gov.ru/files/ЮЛ770103182800000.jpeg","Скачать индивидуальный QR-код магазина")</f>
        <v>Скачать индивидуальный QR-код магазина</v>
      </c>
    </row>
    <row r="7735" spans="1:7" x14ac:dyDescent="0.25">
      <c r="A7735" t="s">
        <v>18820</v>
      </c>
      <c r="B7735" t="s">
        <v>25051</v>
      </c>
      <c r="C7735" t="s">
        <v>25052</v>
      </c>
      <c r="D7735" t="s">
        <v>25053</v>
      </c>
      <c r="E7735" t="s">
        <v>25054</v>
      </c>
      <c r="F7735" t="s">
        <v>25055</v>
      </c>
      <c r="G7735" s="2" t="str">
        <f>HYPERLINK("https://probpalata.gov.ru/files/ЮЛ770100517600000.jpeg","Скачать индивидуальный QR-код магазина")</f>
        <v>Скачать индивидуальный QR-код магазина</v>
      </c>
    </row>
    <row r="7736" spans="1:7" x14ac:dyDescent="0.25">
      <c r="A7736" t="s">
        <v>18820</v>
      </c>
      <c r="B7736" t="s">
        <v>25056</v>
      </c>
      <c r="C7736" t="s">
        <v>25057</v>
      </c>
      <c r="D7736" t="s">
        <v>25058</v>
      </c>
      <c r="E7736" t="s">
        <v>25059</v>
      </c>
      <c r="F7736" t="s">
        <v>25060</v>
      </c>
      <c r="G7736" s="2" t="str">
        <f>HYPERLINK("https://probpalata.gov.ru/files/ЮЛ770100279100000.jpeg","Скачать индивидуальный QR-код магазина")</f>
        <v>Скачать индивидуальный QR-код магазина</v>
      </c>
    </row>
    <row r="7737" spans="1:7" x14ac:dyDescent="0.25">
      <c r="A7737" t="s">
        <v>18820</v>
      </c>
      <c r="B7737" t="s">
        <v>25061</v>
      </c>
      <c r="C7737" t="s">
        <v>25062</v>
      </c>
      <c r="D7737" t="s">
        <v>25063</v>
      </c>
      <c r="E7737" t="s">
        <v>25064</v>
      </c>
      <c r="F7737" t="s">
        <v>25065</v>
      </c>
      <c r="G7737" s="2" t="str">
        <f>HYPERLINK("https://probpalata.gov.ru/files/ИП080403945700000.jpeg","Скачать индивидуальный QR-код магазина")</f>
        <v>Скачать индивидуальный QR-код магазина</v>
      </c>
    </row>
    <row r="7738" spans="1:7" x14ac:dyDescent="0.25">
      <c r="A7738" t="s">
        <v>18820</v>
      </c>
      <c r="B7738" t="s">
        <v>25066</v>
      </c>
      <c r="C7738" t="s">
        <v>25062</v>
      </c>
      <c r="D7738" t="s">
        <v>25063</v>
      </c>
      <c r="E7738" t="s">
        <v>25064</v>
      </c>
      <c r="F7738" t="s">
        <v>25067</v>
      </c>
      <c r="G7738" s="2" t="str">
        <f>HYPERLINK("https://probpalata.gov.ru/files/ИП080403945700001.jpeg","Скачать индивидуальный QR-код магазина")</f>
        <v>Скачать индивидуальный QR-код магазина</v>
      </c>
    </row>
    <row r="7739" spans="1:7" x14ac:dyDescent="0.25">
      <c r="A7739" t="s">
        <v>18820</v>
      </c>
      <c r="B7739" t="s">
        <v>25068</v>
      </c>
      <c r="C7739" t="s">
        <v>25062</v>
      </c>
      <c r="D7739" t="s">
        <v>25063</v>
      </c>
      <c r="E7739" t="s">
        <v>25064</v>
      </c>
      <c r="F7739" t="s">
        <v>25069</v>
      </c>
      <c r="G7739" s="2" t="str">
        <f>HYPERLINK("https://probpalata.gov.ru/files/ИП080403945700002.jpeg","Скачать индивидуальный QR-код магазина")</f>
        <v>Скачать индивидуальный QR-код магазина</v>
      </c>
    </row>
    <row r="7740" spans="1:7" x14ac:dyDescent="0.25">
      <c r="A7740" t="s">
        <v>18820</v>
      </c>
      <c r="B7740" t="s">
        <v>25070</v>
      </c>
      <c r="C7740" t="s">
        <v>25062</v>
      </c>
      <c r="D7740" t="s">
        <v>25063</v>
      </c>
      <c r="E7740" t="s">
        <v>25064</v>
      </c>
      <c r="F7740" t="s">
        <v>25071</v>
      </c>
      <c r="G7740" s="2" t="str">
        <f>HYPERLINK("https://probpalata.gov.ru/files/ИП080403945700003.jpeg","Скачать индивидуальный QR-код магазина")</f>
        <v>Скачать индивидуальный QR-код магазина</v>
      </c>
    </row>
    <row r="7741" spans="1:7" x14ac:dyDescent="0.25">
      <c r="A7741" t="s">
        <v>18820</v>
      </c>
      <c r="B7741" t="s">
        <v>25072</v>
      </c>
      <c r="C7741" t="s">
        <v>25062</v>
      </c>
      <c r="D7741" t="s">
        <v>25063</v>
      </c>
      <c r="E7741" t="s">
        <v>25064</v>
      </c>
      <c r="F7741" t="s">
        <v>25073</v>
      </c>
      <c r="G7741" s="2" t="str">
        <f>HYPERLINK("https://probpalata.gov.ru/files/ИП080403945700004.jpeg","Скачать индивидуальный QR-код магазина")</f>
        <v>Скачать индивидуальный QR-код магазина</v>
      </c>
    </row>
    <row r="7742" spans="1:7" x14ac:dyDescent="0.25">
      <c r="A7742" t="s">
        <v>18820</v>
      </c>
      <c r="B7742" t="s">
        <v>25074</v>
      </c>
      <c r="C7742" t="s">
        <v>25062</v>
      </c>
      <c r="D7742" t="s">
        <v>25063</v>
      </c>
      <c r="E7742" t="s">
        <v>25064</v>
      </c>
      <c r="F7742" t="s">
        <v>25075</v>
      </c>
      <c r="G7742" s="2" t="str">
        <f>HYPERLINK("https://probpalata.gov.ru/files/ИП080403945700005.jpeg","Скачать индивидуальный QR-код магазина")</f>
        <v>Скачать индивидуальный QR-код магазина</v>
      </c>
    </row>
    <row r="7743" spans="1:7" x14ac:dyDescent="0.25">
      <c r="A7743" t="s">
        <v>18820</v>
      </c>
      <c r="B7743" t="s">
        <v>25076</v>
      </c>
      <c r="C7743" t="s">
        <v>25062</v>
      </c>
      <c r="D7743" t="s">
        <v>25063</v>
      </c>
      <c r="E7743" t="s">
        <v>25064</v>
      </c>
      <c r="F7743" t="s">
        <v>25077</v>
      </c>
      <c r="G7743" s="2" t="str">
        <f>HYPERLINK("https://probpalata.gov.ru/files/ИП080403945700006.jpeg","Скачать индивидуальный QR-код магазина")</f>
        <v>Скачать индивидуальный QR-код магазина</v>
      </c>
    </row>
    <row r="7744" spans="1:7" x14ac:dyDescent="0.25">
      <c r="A7744" t="s">
        <v>18820</v>
      </c>
      <c r="B7744" t="s">
        <v>25078</v>
      </c>
      <c r="C7744" t="s">
        <v>25062</v>
      </c>
      <c r="D7744" t="s">
        <v>25063</v>
      </c>
      <c r="E7744" t="s">
        <v>25064</v>
      </c>
      <c r="F7744" t="s">
        <v>25079</v>
      </c>
      <c r="G7744" s="2" t="str">
        <f>HYPERLINK("https://probpalata.gov.ru/files/ИП080403945700007.jpeg","Скачать индивидуальный QR-код магазина")</f>
        <v>Скачать индивидуальный QR-код магазина</v>
      </c>
    </row>
    <row r="7745" spans="1:7" x14ac:dyDescent="0.25">
      <c r="A7745" t="s">
        <v>18820</v>
      </c>
      <c r="B7745" t="s">
        <v>25080</v>
      </c>
      <c r="C7745" t="s">
        <v>25062</v>
      </c>
      <c r="D7745" t="s">
        <v>25063</v>
      </c>
      <c r="E7745" t="s">
        <v>25064</v>
      </c>
      <c r="F7745" t="s">
        <v>25081</v>
      </c>
      <c r="G7745" s="2" t="str">
        <f>HYPERLINK("https://probpalata.gov.ru/files/ИП080403945700008.jpeg","Скачать индивидуальный QR-код магазина")</f>
        <v>Скачать индивидуальный QR-код магазина</v>
      </c>
    </row>
    <row r="7746" spans="1:7" x14ac:dyDescent="0.25">
      <c r="A7746" t="s">
        <v>18820</v>
      </c>
      <c r="B7746" t="s">
        <v>25082</v>
      </c>
      <c r="C7746" t="s">
        <v>25062</v>
      </c>
      <c r="D7746" t="s">
        <v>25063</v>
      </c>
      <c r="E7746" t="s">
        <v>25064</v>
      </c>
      <c r="F7746" t="s">
        <v>25083</v>
      </c>
      <c r="G7746" s="2" t="str">
        <f>HYPERLINK("https://probpalata.gov.ru/files/ИП080403945700009.jpeg","Скачать индивидуальный QR-код магазина")</f>
        <v>Скачать индивидуальный QR-код магазина</v>
      </c>
    </row>
    <row r="7747" spans="1:7" x14ac:dyDescent="0.25">
      <c r="A7747" t="s">
        <v>18820</v>
      </c>
      <c r="B7747" t="s">
        <v>25084</v>
      </c>
      <c r="C7747" t="s">
        <v>25062</v>
      </c>
      <c r="D7747" t="s">
        <v>25063</v>
      </c>
      <c r="E7747" t="s">
        <v>25064</v>
      </c>
      <c r="F7747" t="s">
        <v>25085</v>
      </c>
      <c r="G7747" s="2" t="str">
        <f>HYPERLINK("https://probpalata.gov.ru/files/ИП080403945700010.jpeg","Скачать индивидуальный QR-код магазина")</f>
        <v>Скачать индивидуальный QR-код магазина</v>
      </c>
    </row>
    <row r="7748" spans="1:7" x14ac:dyDescent="0.25">
      <c r="A7748" t="s">
        <v>18820</v>
      </c>
      <c r="B7748" t="s">
        <v>25086</v>
      </c>
      <c r="C7748" t="s">
        <v>25062</v>
      </c>
      <c r="D7748" t="s">
        <v>25063</v>
      </c>
      <c r="E7748" t="s">
        <v>25064</v>
      </c>
      <c r="F7748" t="s">
        <v>25087</v>
      </c>
      <c r="G7748" s="2" t="str">
        <f>HYPERLINK("https://probpalata.gov.ru/files/ИП080403945700012.jpeg","Скачать индивидуальный QR-код магазина")</f>
        <v>Скачать индивидуальный QR-код магазина</v>
      </c>
    </row>
    <row r="7749" spans="1:7" x14ac:dyDescent="0.25">
      <c r="A7749" t="s">
        <v>18820</v>
      </c>
      <c r="B7749" t="s">
        <v>25088</v>
      </c>
      <c r="C7749" t="s">
        <v>25089</v>
      </c>
      <c r="D7749" t="s">
        <v>25090</v>
      </c>
      <c r="E7749" t="s">
        <v>25091</v>
      </c>
      <c r="F7749" t="s">
        <v>25092</v>
      </c>
      <c r="G7749" s="2" t="str">
        <f>HYPERLINK("https://probpalata.gov.ru/files/ЮЛ770100294700000.jpeg","Скачать индивидуальный QR-код магазина")</f>
        <v>Скачать индивидуальный QR-код магазина</v>
      </c>
    </row>
    <row r="7750" spans="1:7" x14ac:dyDescent="0.25">
      <c r="A7750" t="s">
        <v>18820</v>
      </c>
      <c r="B7750" t="s">
        <v>25093</v>
      </c>
      <c r="C7750" t="s">
        <v>25094</v>
      </c>
      <c r="D7750" t="s">
        <v>25095</v>
      </c>
      <c r="E7750" t="s">
        <v>25096</v>
      </c>
      <c r="F7750" t="s">
        <v>25097</v>
      </c>
      <c r="G7750" s="2" t="str">
        <f>HYPERLINK("https://probpalata.gov.ru/files/ЮЛ770100089000000.jpeg","Скачать индивидуальный QR-код магазина")</f>
        <v>Скачать индивидуальный QR-код магазина</v>
      </c>
    </row>
    <row r="7751" spans="1:7" x14ac:dyDescent="0.25">
      <c r="A7751" t="s">
        <v>18820</v>
      </c>
      <c r="B7751" t="s">
        <v>25098</v>
      </c>
      <c r="C7751" t="s">
        <v>25099</v>
      </c>
      <c r="D7751" t="s">
        <v>25100</v>
      </c>
      <c r="E7751" t="s">
        <v>25101</v>
      </c>
      <c r="F7751" t="s">
        <v>25102</v>
      </c>
      <c r="G7751" s="2" t="str">
        <f>HYPERLINK("https://probpalata.gov.ru/files/ЮЛ770100166500000.jpeg","Скачать индивидуальный QR-код магазина")</f>
        <v>Скачать индивидуальный QR-код магазина</v>
      </c>
    </row>
    <row r="7752" spans="1:7" x14ac:dyDescent="0.25">
      <c r="A7752" t="s">
        <v>18820</v>
      </c>
      <c r="B7752" t="s">
        <v>25103</v>
      </c>
      <c r="C7752" t="s">
        <v>25104</v>
      </c>
      <c r="D7752" t="s">
        <v>25105</v>
      </c>
      <c r="E7752" t="s">
        <v>25106</v>
      </c>
      <c r="F7752" t="s">
        <v>25107</v>
      </c>
      <c r="G7752" s="2" t="str">
        <f>HYPERLINK("https://probpalata.gov.ru/files/ЮЛ770100055200001.jpeg","Скачать индивидуальный QR-код магазина")</f>
        <v>Скачать индивидуальный QR-код магазина</v>
      </c>
    </row>
    <row r="7753" spans="1:7" x14ac:dyDescent="0.25">
      <c r="A7753" t="s">
        <v>18820</v>
      </c>
      <c r="B7753" t="s">
        <v>25108</v>
      </c>
      <c r="C7753" t="s">
        <v>25104</v>
      </c>
      <c r="D7753" t="s">
        <v>25105</v>
      </c>
      <c r="E7753" t="s">
        <v>25106</v>
      </c>
      <c r="F7753" t="s">
        <v>25109</v>
      </c>
      <c r="G7753" s="2" t="str">
        <f>HYPERLINK("https://probpalata.gov.ru/files/ЮЛ770100055200003.jpeg","Скачать индивидуальный QR-код магазина")</f>
        <v>Скачать индивидуальный QR-код магазина</v>
      </c>
    </row>
    <row r="7754" spans="1:7" x14ac:dyDescent="0.25">
      <c r="A7754" t="s">
        <v>18820</v>
      </c>
      <c r="B7754" t="s">
        <v>25110</v>
      </c>
      <c r="C7754" t="s">
        <v>25104</v>
      </c>
      <c r="D7754" t="s">
        <v>25105</v>
      </c>
      <c r="E7754" t="s">
        <v>25106</v>
      </c>
      <c r="F7754" t="s">
        <v>25111</v>
      </c>
      <c r="G7754" s="2" t="str">
        <f>HYPERLINK("https://probpalata.gov.ru/files/ЮЛ770100055200005.jpeg","Скачать индивидуальный QR-код магазина")</f>
        <v>Скачать индивидуальный QR-код магазина</v>
      </c>
    </row>
    <row r="7755" spans="1:7" x14ac:dyDescent="0.25">
      <c r="A7755" t="s">
        <v>18820</v>
      </c>
      <c r="B7755" t="s">
        <v>25112</v>
      </c>
      <c r="C7755" t="s">
        <v>25104</v>
      </c>
      <c r="D7755" t="s">
        <v>25105</v>
      </c>
      <c r="E7755" t="s">
        <v>25106</v>
      </c>
      <c r="F7755" t="s">
        <v>25113</v>
      </c>
      <c r="G7755" s="2" t="str">
        <f>HYPERLINK("https://probpalata.gov.ru/files/ЮЛ770100055200006.jpeg","Скачать индивидуальный QR-код магазина")</f>
        <v>Скачать индивидуальный QR-код магазина</v>
      </c>
    </row>
    <row r="7756" spans="1:7" x14ac:dyDescent="0.25">
      <c r="A7756" t="s">
        <v>18820</v>
      </c>
      <c r="B7756" t="s">
        <v>25114</v>
      </c>
      <c r="C7756" t="s">
        <v>25115</v>
      </c>
      <c r="D7756" t="s">
        <v>25116</v>
      </c>
      <c r="E7756" t="s">
        <v>25117</v>
      </c>
      <c r="F7756" t="s">
        <v>25118</v>
      </c>
      <c r="G7756" s="2" t="str">
        <f>HYPERLINK("https://probpalata.gov.ru/files/ЮЛ770100660000000.jpeg","Скачать индивидуальный QR-код магазина")</f>
        <v>Скачать индивидуальный QR-код магазина</v>
      </c>
    </row>
    <row r="7757" spans="1:7" x14ac:dyDescent="0.25">
      <c r="A7757" t="s">
        <v>18820</v>
      </c>
      <c r="B7757" t="s">
        <v>25119</v>
      </c>
      <c r="C7757" t="s">
        <v>25120</v>
      </c>
      <c r="D7757" t="s">
        <v>25121</v>
      </c>
      <c r="E7757" t="s">
        <v>25122</v>
      </c>
      <c r="F7757" t="s">
        <v>25123</v>
      </c>
      <c r="G7757" s="2" t="str">
        <f>HYPERLINK("https://probpalata.gov.ru/files/ЮЛ770100735900000.jpeg","Скачать индивидуальный QR-код магазина")</f>
        <v>Скачать индивидуальный QR-код магазина</v>
      </c>
    </row>
    <row r="7758" spans="1:7" x14ac:dyDescent="0.25">
      <c r="A7758" t="s">
        <v>18820</v>
      </c>
      <c r="B7758" t="s">
        <v>25124</v>
      </c>
      <c r="C7758" t="s">
        <v>25125</v>
      </c>
      <c r="D7758" t="s">
        <v>25126</v>
      </c>
      <c r="E7758" t="s">
        <v>25127</v>
      </c>
      <c r="F7758" t="s">
        <v>25128</v>
      </c>
      <c r="G7758" s="2" t="str">
        <f>HYPERLINK("https://probpalata.gov.ru/files/ИП770100696700000.jpeg","Скачать индивидуальный QR-код магазина")</f>
        <v>Скачать индивидуальный QR-код магазина</v>
      </c>
    </row>
    <row r="7759" spans="1:7" x14ac:dyDescent="0.25">
      <c r="A7759" t="s">
        <v>18820</v>
      </c>
      <c r="B7759" t="s">
        <v>22875</v>
      </c>
      <c r="C7759" t="s">
        <v>6611</v>
      </c>
      <c r="D7759" t="s">
        <v>25129</v>
      </c>
      <c r="E7759" t="s">
        <v>25130</v>
      </c>
      <c r="F7759" t="s">
        <v>25131</v>
      </c>
      <c r="G7759" s="2" t="str">
        <f>HYPERLINK("https://probpalata.gov.ru/files/ЮЛ770100128700000.jpeg","Скачать индивидуальный QR-код магазина")</f>
        <v>Скачать индивидуальный QR-код магазина</v>
      </c>
    </row>
    <row r="7760" spans="1:7" x14ac:dyDescent="0.25">
      <c r="A7760" t="s">
        <v>18820</v>
      </c>
      <c r="B7760" t="s">
        <v>25132</v>
      </c>
      <c r="C7760" t="s">
        <v>25133</v>
      </c>
      <c r="D7760" t="s">
        <v>25134</v>
      </c>
      <c r="E7760" t="s">
        <v>25135</v>
      </c>
      <c r="F7760" t="s">
        <v>25136</v>
      </c>
      <c r="G7760" s="2" t="str">
        <f>HYPERLINK("https://probpalata.gov.ru/files/ЮЛ770101322800000.jpeg","Скачать индивидуальный QR-код магазина")</f>
        <v>Скачать индивидуальный QR-код магазина</v>
      </c>
    </row>
    <row r="7761" spans="1:7" x14ac:dyDescent="0.25">
      <c r="A7761" t="s">
        <v>18820</v>
      </c>
      <c r="B7761" t="s">
        <v>25137</v>
      </c>
      <c r="C7761" t="s">
        <v>25138</v>
      </c>
      <c r="D7761" t="s">
        <v>25139</v>
      </c>
      <c r="E7761" t="s">
        <v>25140</v>
      </c>
      <c r="F7761" t="s">
        <v>25141</v>
      </c>
      <c r="G7761" s="2" t="str">
        <f>HYPERLINK("https://probpalata.gov.ru/files/ЮЛ770100332300000.jpeg","Скачать индивидуальный QR-код магазина")</f>
        <v>Скачать индивидуальный QR-код магазина</v>
      </c>
    </row>
    <row r="7762" spans="1:7" x14ac:dyDescent="0.25">
      <c r="A7762" t="s">
        <v>18820</v>
      </c>
      <c r="B7762" t="s">
        <v>25142</v>
      </c>
      <c r="C7762" t="s">
        <v>25138</v>
      </c>
      <c r="D7762" t="s">
        <v>25139</v>
      </c>
      <c r="E7762" t="s">
        <v>25140</v>
      </c>
      <c r="F7762" t="s">
        <v>25143</v>
      </c>
      <c r="G7762" s="2" t="str">
        <f>HYPERLINK("https://probpalata.gov.ru/files/ЮЛ770100332300001.jpeg","Скачать индивидуальный QR-код магазина")</f>
        <v>Скачать индивидуальный QR-код магазина</v>
      </c>
    </row>
    <row r="7763" spans="1:7" x14ac:dyDescent="0.25">
      <c r="A7763" t="s">
        <v>18820</v>
      </c>
      <c r="B7763" t="s">
        <v>25144</v>
      </c>
      <c r="C7763" t="s">
        <v>25145</v>
      </c>
      <c r="D7763" t="s">
        <v>25146</v>
      </c>
      <c r="E7763" t="s">
        <v>25147</v>
      </c>
      <c r="F7763" t="s">
        <v>25148</v>
      </c>
      <c r="G7763" s="2" t="str">
        <f>HYPERLINK("https://probpalata.gov.ru/files/ИП770103108100000.jpeg","Скачать индивидуальный QR-код магазина")</f>
        <v>Скачать индивидуальный QR-код магазина</v>
      </c>
    </row>
    <row r="7764" spans="1:7" x14ac:dyDescent="0.25">
      <c r="A7764" t="s">
        <v>18820</v>
      </c>
      <c r="B7764" t="s">
        <v>25149</v>
      </c>
      <c r="C7764" t="s">
        <v>25150</v>
      </c>
      <c r="D7764" t="s">
        <v>25151</v>
      </c>
      <c r="E7764" t="s">
        <v>25152</v>
      </c>
      <c r="F7764" t="s">
        <v>25153</v>
      </c>
      <c r="G7764" s="2" t="str">
        <f>HYPERLINK("https://probpalata.gov.ru/files/ЮЛ770100600600000.jpeg","Скачать индивидуальный QR-код магазина")</f>
        <v>Скачать индивидуальный QR-код магазина</v>
      </c>
    </row>
    <row r="7765" spans="1:7" x14ac:dyDescent="0.25">
      <c r="A7765" t="s">
        <v>18820</v>
      </c>
      <c r="B7765" t="s">
        <v>25154</v>
      </c>
      <c r="C7765" t="s">
        <v>25155</v>
      </c>
      <c r="D7765" t="s">
        <v>25156</v>
      </c>
      <c r="E7765" t="s">
        <v>25157</v>
      </c>
      <c r="F7765" t="s">
        <v>25158</v>
      </c>
      <c r="G7765" s="2" t="str">
        <f>HYPERLINK("https://probpalata.gov.ru/files/ИП770103729900000.jpeg","Скачать индивидуальный QR-код магазина")</f>
        <v>Скачать индивидуальный QR-код магазина</v>
      </c>
    </row>
    <row r="7766" spans="1:7" x14ac:dyDescent="0.25">
      <c r="A7766" t="s">
        <v>18820</v>
      </c>
      <c r="B7766" t="s">
        <v>25159</v>
      </c>
      <c r="C7766" t="s">
        <v>25160</v>
      </c>
      <c r="D7766" t="s">
        <v>25161</v>
      </c>
      <c r="E7766" t="s">
        <v>25162</v>
      </c>
      <c r="F7766" t="s">
        <v>25163</v>
      </c>
      <c r="G7766" s="2" t="str">
        <f>HYPERLINK("https://probpalata.gov.ru/files/ЮЛ770101768000000.jpeg","Скачать индивидуальный QR-код магазина")</f>
        <v>Скачать индивидуальный QR-код магазина</v>
      </c>
    </row>
    <row r="7767" spans="1:7" x14ac:dyDescent="0.25">
      <c r="A7767" t="s">
        <v>18820</v>
      </c>
      <c r="B7767" t="s">
        <v>25164</v>
      </c>
      <c r="C7767" t="s">
        <v>25165</v>
      </c>
      <c r="D7767" t="s">
        <v>25166</v>
      </c>
      <c r="E7767" t="s">
        <v>25167</v>
      </c>
      <c r="F7767" t="s">
        <v>25168</v>
      </c>
      <c r="G7767" s="2" t="str">
        <f>HYPERLINK("https://probpalata.gov.ru/files/ЮЛ770100880500000.jpeg","Скачать индивидуальный QR-код магазина")</f>
        <v>Скачать индивидуальный QR-код магазина</v>
      </c>
    </row>
    <row r="7768" spans="1:7" x14ac:dyDescent="0.25">
      <c r="A7768" t="s">
        <v>18820</v>
      </c>
      <c r="B7768" t="s">
        <v>25169</v>
      </c>
      <c r="C7768" t="s">
        <v>25170</v>
      </c>
      <c r="D7768" t="s">
        <v>25171</v>
      </c>
      <c r="E7768" t="s">
        <v>25172</v>
      </c>
      <c r="F7768" t="s">
        <v>25173</v>
      </c>
      <c r="G7768" s="2" t="str">
        <f>HYPERLINK("https://probpalata.gov.ru/files/ЮЛ770100758900000.jpeg","Скачать индивидуальный QR-код магазина")</f>
        <v>Скачать индивидуальный QR-код магазина</v>
      </c>
    </row>
    <row r="7769" spans="1:7" x14ac:dyDescent="0.25">
      <c r="A7769" t="s">
        <v>18820</v>
      </c>
      <c r="B7769" t="s">
        <v>25174</v>
      </c>
      <c r="C7769" t="s">
        <v>25175</v>
      </c>
      <c r="D7769" t="s">
        <v>25176</v>
      </c>
      <c r="E7769" t="s">
        <v>25177</v>
      </c>
      <c r="F7769" t="s">
        <v>25178</v>
      </c>
      <c r="G7769" s="2" t="str">
        <f>HYPERLINK("https://probpalata.gov.ru/files/ЮЛ770100749500000.jpeg","Скачать индивидуальный QR-код магазина")</f>
        <v>Скачать индивидуальный QR-код магазина</v>
      </c>
    </row>
    <row r="7770" spans="1:7" x14ac:dyDescent="0.25">
      <c r="A7770" t="s">
        <v>18820</v>
      </c>
      <c r="B7770" t="s">
        <v>25179</v>
      </c>
      <c r="C7770" t="s">
        <v>25180</v>
      </c>
      <c r="D7770" t="s">
        <v>25181</v>
      </c>
      <c r="E7770" t="s">
        <v>25182</v>
      </c>
      <c r="F7770" t="s">
        <v>25183</v>
      </c>
      <c r="G7770" s="2" t="str">
        <f>HYPERLINK("https://probpalata.gov.ru/files/ЮЛ770101984900000.jpeg","Скачать индивидуальный QR-код магазина")</f>
        <v>Скачать индивидуальный QR-код магазина</v>
      </c>
    </row>
    <row r="7771" spans="1:7" x14ac:dyDescent="0.25">
      <c r="A7771" t="s">
        <v>18820</v>
      </c>
      <c r="B7771" t="s">
        <v>25184</v>
      </c>
      <c r="C7771" t="s">
        <v>25185</v>
      </c>
      <c r="D7771" t="s">
        <v>25186</v>
      </c>
      <c r="E7771" t="s">
        <v>25187</v>
      </c>
      <c r="F7771" t="s">
        <v>25188</v>
      </c>
      <c r="G7771" s="2" t="str">
        <f>HYPERLINK("https://probpalata.gov.ru/files/ЮЛ770102010900000.jpeg","Скачать индивидуальный QR-код магазина")</f>
        <v>Скачать индивидуальный QR-код магазина</v>
      </c>
    </row>
    <row r="7772" spans="1:7" x14ac:dyDescent="0.25">
      <c r="A7772" t="s">
        <v>18820</v>
      </c>
      <c r="B7772" t="s">
        <v>25189</v>
      </c>
      <c r="C7772" t="s">
        <v>25190</v>
      </c>
      <c r="D7772" t="s">
        <v>25191</v>
      </c>
      <c r="E7772" t="s">
        <v>25192</v>
      </c>
      <c r="F7772" t="s">
        <v>25193</v>
      </c>
      <c r="G7772" s="2" t="str">
        <f>HYPERLINK("https://probpalata.gov.ru/files/ЮЛ770103034100000.jpeg","Скачать индивидуальный QR-код магазина")</f>
        <v>Скачать индивидуальный QR-код магазина</v>
      </c>
    </row>
    <row r="7773" spans="1:7" x14ac:dyDescent="0.25">
      <c r="A7773" t="s">
        <v>18820</v>
      </c>
      <c r="B7773" t="s">
        <v>25194</v>
      </c>
      <c r="C7773" t="s">
        <v>25190</v>
      </c>
      <c r="D7773" t="s">
        <v>25191</v>
      </c>
      <c r="E7773" t="s">
        <v>25192</v>
      </c>
      <c r="F7773" t="s">
        <v>25195</v>
      </c>
      <c r="G7773" s="2" t="str">
        <f>HYPERLINK("https://probpalata.gov.ru/files/ЮЛ770103034100001.jpeg","Скачать индивидуальный QR-код магазина")</f>
        <v>Скачать индивидуальный QR-код магазина</v>
      </c>
    </row>
    <row r="7774" spans="1:7" x14ac:dyDescent="0.25">
      <c r="A7774" t="s">
        <v>18820</v>
      </c>
      <c r="B7774" t="s">
        <v>25196</v>
      </c>
      <c r="C7774" t="s">
        <v>25197</v>
      </c>
      <c r="D7774" t="s">
        <v>25198</v>
      </c>
      <c r="E7774" t="s">
        <v>25199</v>
      </c>
      <c r="F7774" t="s">
        <v>25200</v>
      </c>
      <c r="G7774" s="2" t="str">
        <f>HYPERLINK("https://probpalata.gov.ru/files/ЮЛ770103051400000.jpeg","Скачать индивидуальный QR-код магазина")</f>
        <v>Скачать индивидуальный QR-код магазина</v>
      </c>
    </row>
    <row r="7775" spans="1:7" x14ac:dyDescent="0.25">
      <c r="A7775" t="s">
        <v>18820</v>
      </c>
      <c r="B7775" t="s">
        <v>25201</v>
      </c>
      <c r="C7775" t="s">
        <v>25197</v>
      </c>
      <c r="D7775" t="s">
        <v>25198</v>
      </c>
      <c r="E7775" t="s">
        <v>25199</v>
      </c>
      <c r="F7775" t="s">
        <v>25202</v>
      </c>
      <c r="G7775" s="2" t="str">
        <f>HYPERLINK("https://probpalata.gov.ru/files/ЮЛ770103051400001.jpeg","Скачать индивидуальный QR-код магазина")</f>
        <v>Скачать индивидуальный QR-код магазина</v>
      </c>
    </row>
    <row r="7776" spans="1:7" x14ac:dyDescent="0.25">
      <c r="A7776" t="s">
        <v>18820</v>
      </c>
      <c r="B7776" t="s">
        <v>25203</v>
      </c>
      <c r="C7776" t="s">
        <v>25204</v>
      </c>
      <c r="D7776" t="s">
        <v>25205</v>
      </c>
      <c r="E7776" t="s">
        <v>25206</v>
      </c>
      <c r="F7776" t="s">
        <v>25207</v>
      </c>
      <c r="G7776" s="2" t="str">
        <f>HYPERLINK("https://probpalata.gov.ru/files/ЮЛ770103293800000.jpeg","Скачать индивидуальный QR-код магазина")</f>
        <v>Скачать индивидуальный QR-код магазина</v>
      </c>
    </row>
    <row r="7777" spans="1:7" x14ac:dyDescent="0.25">
      <c r="A7777" t="s">
        <v>18820</v>
      </c>
      <c r="B7777" t="s">
        <v>25208</v>
      </c>
      <c r="C7777" t="s">
        <v>6290</v>
      </c>
      <c r="D7777" t="s">
        <v>16830</v>
      </c>
      <c r="E7777" t="s">
        <v>16831</v>
      </c>
      <c r="F7777" t="s">
        <v>25209</v>
      </c>
      <c r="G7777" s="2" t="str">
        <f>HYPERLINK("https://probpalata.gov.ru/files/ЮЛ770103181900003.jpeg","Скачать индивидуальный QR-код магазина")</f>
        <v>Скачать индивидуальный QR-код магазина</v>
      </c>
    </row>
    <row r="7778" spans="1:7" x14ac:dyDescent="0.25">
      <c r="A7778" t="s">
        <v>18820</v>
      </c>
      <c r="B7778" t="s">
        <v>25210</v>
      </c>
      <c r="C7778" t="s">
        <v>6290</v>
      </c>
      <c r="D7778" t="s">
        <v>16830</v>
      </c>
      <c r="E7778" t="s">
        <v>16831</v>
      </c>
      <c r="F7778" t="s">
        <v>25211</v>
      </c>
      <c r="G7778" s="2" t="str">
        <f>HYPERLINK("https://probpalata.gov.ru/files/ЮЛ770103181900008.jpeg","Скачать индивидуальный QR-код магазина")</f>
        <v>Скачать индивидуальный QR-код магазина</v>
      </c>
    </row>
    <row r="7779" spans="1:7" x14ac:dyDescent="0.25">
      <c r="A7779" t="s">
        <v>18820</v>
      </c>
      <c r="B7779" t="s">
        <v>25212</v>
      </c>
      <c r="C7779" t="s">
        <v>1340</v>
      </c>
      <c r="D7779" t="s">
        <v>25213</v>
      </c>
      <c r="E7779" t="s">
        <v>25214</v>
      </c>
      <c r="F7779" t="s">
        <v>25215</v>
      </c>
      <c r="G7779" s="2" t="str">
        <f>HYPERLINK("https://probpalata.gov.ru/files/ЮЛ770103426300000.jpeg","Скачать индивидуальный QR-код магазина")</f>
        <v>Скачать индивидуальный QR-код магазина</v>
      </c>
    </row>
    <row r="7780" spans="1:7" x14ac:dyDescent="0.25">
      <c r="A7780" t="s">
        <v>18820</v>
      </c>
      <c r="B7780" t="s">
        <v>25216</v>
      </c>
      <c r="C7780" t="s">
        <v>25217</v>
      </c>
      <c r="D7780" t="s">
        <v>25218</v>
      </c>
      <c r="E7780" t="s">
        <v>25219</v>
      </c>
      <c r="F7780" t="s">
        <v>25220</v>
      </c>
      <c r="G7780" s="2" t="str">
        <f>HYPERLINK("https://probpalata.gov.ru/files/ЮЛ770103446200000.jpeg","Скачать индивидуальный QR-код магазина")</f>
        <v>Скачать индивидуальный QR-код магазина</v>
      </c>
    </row>
    <row r="7781" spans="1:7" x14ac:dyDescent="0.25">
      <c r="A7781" t="s">
        <v>18820</v>
      </c>
      <c r="B7781" t="s">
        <v>25221</v>
      </c>
      <c r="C7781" t="s">
        <v>25222</v>
      </c>
      <c r="D7781" t="s">
        <v>25223</v>
      </c>
      <c r="E7781" t="s">
        <v>25224</v>
      </c>
      <c r="F7781" t="s">
        <v>25225</v>
      </c>
      <c r="G7781" s="2" t="str">
        <f>HYPERLINK("https://probpalata.gov.ru/files/ЮЛ770103536400000.jpeg","Скачать индивидуальный QR-код магазина")</f>
        <v>Скачать индивидуальный QR-код магазина</v>
      </c>
    </row>
    <row r="7782" spans="1:7" x14ac:dyDescent="0.25">
      <c r="A7782" t="s">
        <v>18820</v>
      </c>
      <c r="B7782" t="s">
        <v>25015</v>
      </c>
      <c r="C7782" t="s">
        <v>25226</v>
      </c>
      <c r="D7782" t="s">
        <v>25227</v>
      </c>
      <c r="E7782" t="s">
        <v>25228</v>
      </c>
      <c r="F7782" t="s">
        <v>25229</v>
      </c>
      <c r="G7782" s="2" t="str">
        <f>HYPERLINK("https://probpalata.gov.ru/files/ЮЛ770103577000000.jpeg","Скачать индивидуальный QR-код магазина")</f>
        <v>Скачать индивидуальный QR-код магазина</v>
      </c>
    </row>
    <row r="7783" spans="1:7" x14ac:dyDescent="0.25">
      <c r="A7783" t="s">
        <v>18820</v>
      </c>
      <c r="B7783" t="s">
        <v>25230</v>
      </c>
      <c r="C7783" t="s">
        <v>25226</v>
      </c>
      <c r="D7783" t="s">
        <v>25227</v>
      </c>
      <c r="E7783" t="s">
        <v>25228</v>
      </c>
      <c r="F7783" t="s">
        <v>25231</v>
      </c>
      <c r="G7783" s="2" t="str">
        <f>HYPERLINK("https://probpalata.gov.ru/files/ЮЛ770103577000001.jpeg","Скачать индивидуальный QR-код магазина")</f>
        <v>Скачать индивидуальный QR-код магазина</v>
      </c>
    </row>
    <row r="7784" spans="1:7" x14ac:dyDescent="0.25">
      <c r="A7784" t="s">
        <v>18820</v>
      </c>
      <c r="B7784" t="s">
        <v>25232</v>
      </c>
      <c r="C7784" t="s">
        <v>25226</v>
      </c>
      <c r="D7784" t="s">
        <v>25227</v>
      </c>
      <c r="E7784" t="s">
        <v>25228</v>
      </c>
      <c r="F7784" t="s">
        <v>25233</v>
      </c>
      <c r="G7784" s="2" t="str">
        <f>HYPERLINK("https://probpalata.gov.ru/files/ЮЛ770103577000003.jpeg","Скачать индивидуальный QR-код магазина")</f>
        <v>Скачать индивидуальный QR-код магазина</v>
      </c>
    </row>
    <row r="7785" spans="1:7" x14ac:dyDescent="0.25">
      <c r="A7785" t="s">
        <v>18820</v>
      </c>
      <c r="B7785" t="s">
        <v>25234</v>
      </c>
      <c r="C7785" t="s">
        <v>25235</v>
      </c>
      <c r="D7785" t="s">
        <v>25236</v>
      </c>
      <c r="E7785" t="s">
        <v>25237</v>
      </c>
      <c r="F7785" t="s">
        <v>25238</v>
      </c>
      <c r="G7785" s="2" t="str">
        <f>HYPERLINK("https://probpalata.gov.ru/files/ЮЛ770103716900000.jpeg","Скачать индивидуальный QR-код магазина")</f>
        <v>Скачать индивидуальный QR-код магазина</v>
      </c>
    </row>
    <row r="7786" spans="1:7" x14ac:dyDescent="0.25">
      <c r="A7786" t="s">
        <v>18820</v>
      </c>
      <c r="B7786" t="s">
        <v>25239</v>
      </c>
      <c r="C7786" t="s">
        <v>25235</v>
      </c>
      <c r="D7786" t="s">
        <v>25236</v>
      </c>
      <c r="E7786" t="s">
        <v>25237</v>
      </c>
      <c r="F7786" t="s">
        <v>25240</v>
      </c>
      <c r="G7786" s="2" t="str">
        <f>HYPERLINK("https://probpalata.gov.ru/files/ЮЛ770103716900001.jpeg","Скачать индивидуальный QR-код магазина")</f>
        <v>Скачать индивидуальный QR-код магазина</v>
      </c>
    </row>
    <row r="7787" spans="1:7" x14ac:dyDescent="0.25">
      <c r="A7787" t="s">
        <v>18820</v>
      </c>
      <c r="B7787" t="s">
        <v>25241</v>
      </c>
      <c r="C7787" t="s">
        <v>25242</v>
      </c>
      <c r="D7787" t="s">
        <v>25243</v>
      </c>
      <c r="E7787" t="s">
        <v>25244</v>
      </c>
      <c r="F7787" t="s">
        <v>25245</v>
      </c>
      <c r="G7787" s="2" t="str">
        <f>HYPERLINK("https://probpalata.gov.ru/files/ЮЛ770103799600000.jpeg","Скачать индивидуальный QR-код магазина")</f>
        <v>Скачать индивидуальный QR-код магазина</v>
      </c>
    </row>
    <row r="7788" spans="1:7" x14ac:dyDescent="0.25">
      <c r="A7788" t="s">
        <v>18820</v>
      </c>
      <c r="B7788" t="s">
        <v>25246</v>
      </c>
      <c r="C7788" t="s">
        <v>25247</v>
      </c>
      <c r="D7788" t="s">
        <v>25248</v>
      </c>
      <c r="E7788" t="s">
        <v>25249</v>
      </c>
      <c r="F7788" t="s">
        <v>25250</v>
      </c>
      <c r="G7788" s="2" t="str">
        <f>HYPERLINK("https://probpalata.gov.ru/files/ЮЛ770100728500000.jpeg","Скачать индивидуальный QR-код магазина")</f>
        <v>Скачать индивидуальный QR-код магазина</v>
      </c>
    </row>
    <row r="7789" spans="1:7" x14ac:dyDescent="0.25">
      <c r="A7789" t="s">
        <v>18820</v>
      </c>
      <c r="B7789" t="s">
        <v>25251</v>
      </c>
      <c r="C7789" t="s">
        <v>25252</v>
      </c>
      <c r="D7789" t="s">
        <v>25253</v>
      </c>
      <c r="E7789" t="s">
        <v>25254</v>
      </c>
      <c r="F7789" t="s">
        <v>25255</v>
      </c>
      <c r="G7789" s="2" t="str">
        <f>HYPERLINK("https://probpalata.gov.ru/files/ЮЛ770100306200000.jpeg","Скачать индивидуальный QR-код магазина")</f>
        <v>Скачать индивидуальный QR-код магазина</v>
      </c>
    </row>
    <row r="7790" spans="1:7" x14ac:dyDescent="0.25">
      <c r="A7790" t="s">
        <v>18820</v>
      </c>
      <c r="B7790" t="s">
        <v>25256</v>
      </c>
      <c r="C7790" t="s">
        <v>25257</v>
      </c>
      <c r="D7790" t="s">
        <v>25258</v>
      </c>
      <c r="E7790" t="s">
        <v>25259</v>
      </c>
      <c r="F7790" t="s">
        <v>25260</v>
      </c>
      <c r="G7790" s="2" t="str">
        <f>HYPERLINK("https://probpalata.gov.ru/files/ЮЛ770100279600000.jpeg","Скачать индивидуальный QR-код магазина")</f>
        <v>Скачать индивидуальный QR-код магазина</v>
      </c>
    </row>
    <row r="7791" spans="1:7" x14ac:dyDescent="0.25">
      <c r="A7791" t="s">
        <v>18820</v>
      </c>
      <c r="B7791" t="s">
        <v>25261</v>
      </c>
      <c r="C7791" t="s">
        <v>25257</v>
      </c>
      <c r="D7791" t="s">
        <v>25258</v>
      </c>
      <c r="E7791" t="s">
        <v>25259</v>
      </c>
      <c r="F7791" t="s">
        <v>25262</v>
      </c>
      <c r="G7791" s="2" t="str">
        <f>HYPERLINK("https://probpalata.gov.ru/files/ЮЛ770100279600001.jpeg","Скачать индивидуальный QR-код магазина")</f>
        <v>Скачать индивидуальный QR-код магазина</v>
      </c>
    </row>
    <row r="7792" spans="1:7" x14ac:dyDescent="0.25">
      <c r="A7792" t="s">
        <v>18820</v>
      </c>
      <c r="B7792" t="s">
        <v>25263</v>
      </c>
      <c r="C7792" t="s">
        <v>25264</v>
      </c>
      <c r="D7792" t="s">
        <v>25265</v>
      </c>
      <c r="E7792" t="s">
        <v>25266</v>
      </c>
      <c r="F7792" t="s">
        <v>25267</v>
      </c>
      <c r="G7792" s="2" t="str">
        <f>HYPERLINK("https://probpalata.gov.ru/files/ЮЛ770100861400000.jpeg","Скачать индивидуальный QR-код магазина")</f>
        <v>Скачать индивидуальный QR-код магазина</v>
      </c>
    </row>
    <row r="7793" spans="1:7" x14ac:dyDescent="0.25">
      <c r="A7793" t="s">
        <v>18820</v>
      </c>
      <c r="B7793" t="s">
        <v>25268</v>
      </c>
      <c r="C7793" t="s">
        <v>25269</v>
      </c>
      <c r="D7793" t="s">
        <v>25270</v>
      </c>
      <c r="E7793" t="s">
        <v>25271</v>
      </c>
      <c r="F7793" t="s">
        <v>25272</v>
      </c>
      <c r="G7793" s="2" t="str">
        <f>HYPERLINK("https://probpalata.gov.ru/files/ЮЛ770101021700000.jpeg","Скачать индивидуальный QR-код магазина")</f>
        <v>Скачать индивидуальный QR-код магазина</v>
      </c>
    </row>
    <row r="7794" spans="1:7" x14ac:dyDescent="0.25">
      <c r="A7794" t="s">
        <v>18820</v>
      </c>
      <c r="B7794" t="s">
        <v>25273</v>
      </c>
      <c r="C7794" t="s">
        <v>25269</v>
      </c>
      <c r="D7794" t="s">
        <v>25270</v>
      </c>
      <c r="E7794" t="s">
        <v>25271</v>
      </c>
      <c r="F7794" t="s">
        <v>25274</v>
      </c>
      <c r="G7794" s="2" t="str">
        <f>HYPERLINK("https://probpalata.gov.ru/files/ЮЛ770101021700088.jpeg","Скачать индивидуальный QR-код магазина")</f>
        <v>Скачать индивидуальный QR-код магазина</v>
      </c>
    </row>
    <row r="7795" spans="1:7" x14ac:dyDescent="0.25">
      <c r="A7795" t="s">
        <v>18820</v>
      </c>
      <c r="B7795" t="s">
        <v>25275</v>
      </c>
      <c r="C7795" t="s">
        <v>25276</v>
      </c>
      <c r="D7795" t="s">
        <v>25277</v>
      </c>
      <c r="E7795" t="s">
        <v>25278</v>
      </c>
      <c r="F7795" t="s">
        <v>25279</v>
      </c>
      <c r="G7795" s="2" t="str">
        <f>HYPERLINK("https://probpalata.gov.ru/files/ЮЛ770100233700000.jpeg","Скачать индивидуальный QR-код магазина")</f>
        <v>Скачать индивидуальный QR-код магазина</v>
      </c>
    </row>
    <row r="7796" spans="1:7" x14ac:dyDescent="0.25">
      <c r="A7796" t="s">
        <v>18820</v>
      </c>
      <c r="B7796" t="s">
        <v>25280</v>
      </c>
      <c r="C7796" t="s">
        <v>25281</v>
      </c>
      <c r="D7796" t="s">
        <v>25282</v>
      </c>
      <c r="E7796" t="s">
        <v>25283</v>
      </c>
      <c r="F7796" t="s">
        <v>25284</v>
      </c>
      <c r="G7796" s="2" t="str">
        <f>HYPERLINK("https://probpalata.gov.ru/files/ЮЛ770101852800000.jpeg","Скачать индивидуальный QR-код магазина")</f>
        <v>Скачать индивидуальный QR-код магазина</v>
      </c>
    </row>
    <row r="7797" spans="1:7" x14ac:dyDescent="0.25">
      <c r="A7797" t="s">
        <v>18820</v>
      </c>
      <c r="B7797" t="s">
        <v>25285</v>
      </c>
      <c r="C7797" t="s">
        <v>3634</v>
      </c>
      <c r="D7797" t="s">
        <v>25286</v>
      </c>
      <c r="E7797" t="s">
        <v>25287</v>
      </c>
      <c r="F7797" t="s">
        <v>25288</v>
      </c>
      <c r="G7797" s="2" t="str">
        <f>HYPERLINK("https://probpalata.gov.ru/files/ЮЛ770100417200001.jpeg","Скачать индивидуальный QR-код магазина")</f>
        <v>Скачать индивидуальный QR-код магазина</v>
      </c>
    </row>
    <row r="7798" spans="1:7" x14ac:dyDescent="0.25">
      <c r="A7798" t="s">
        <v>18820</v>
      </c>
      <c r="B7798" t="s">
        <v>25289</v>
      </c>
      <c r="C7798" t="s">
        <v>3634</v>
      </c>
      <c r="D7798" t="s">
        <v>25286</v>
      </c>
      <c r="E7798" t="s">
        <v>25287</v>
      </c>
      <c r="F7798" t="s">
        <v>25290</v>
      </c>
      <c r="G7798" s="2" t="str">
        <f>HYPERLINK("https://probpalata.gov.ru/files/ЮЛ770100417200010.jpeg","Скачать индивидуальный QR-код магазина")</f>
        <v>Скачать индивидуальный QR-код магазина</v>
      </c>
    </row>
    <row r="7799" spans="1:7" x14ac:dyDescent="0.25">
      <c r="A7799" t="s">
        <v>18820</v>
      </c>
      <c r="B7799" t="s">
        <v>25291</v>
      </c>
      <c r="C7799" t="s">
        <v>25292</v>
      </c>
      <c r="D7799" t="s">
        <v>25293</v>
      </c>
      <c r="E7799" t="s">
        <v>25294</v>
      </c>
      <c r="F7799" t="s">
        <v>25295</v>
      </c>
      <c r="G7799" s="2" t="str">
        <f>HYPERLINK("https://probpalata.gov.ru/files/ЮЛ770100390100000.jpeg","Скачать индивидуальный QR-код магазина")</f>
        <v>Скачать индивидуальный QR-код магазина</v>
      </c>
    </row>
    <row r="7800" spans="1:7" x14ac:dyDescent="0.25">
      <c r="A7800" t="s">
        <v>18820</v>
      </c>
      <c r="B7800" t="s">
        <v>25296</v>
      </c>
      <c r="C7800" t="s">
        <v>25297</v>
      </c>
      <c r="D7800" t="s">
        <v>25298</v>
      </c>
      <c r="E7800" t="s">
        <v>25299</v>
      </c>
      <c r="F7800" t="s">
        <v>25300</v>
      </c>
      <c r="G7800" s="2" t="str">
        <f>HYPERLINK("https://probpalata.gov.ru/files/ЮЛ770101171600000.jpeg","Скачать индивидуальный QR-код магазина")</f>
        <v>Скачать индивидуальный QR-код магазина</v>
      </c>
    </row>
    <row r="7801" spans="1:7" x14ac:dyDescent="0.25">
      <c r="A7801" t="s">
        <v>18820</v>
      </c>
      <c r="B7801" t="s">
        <v>25301</v>
      </c>
      <c r="C7801" t="s">
        <v>25302</v>
      </c>
      <c r="D7801" t="s">
        <v>25303</v>
      </c>
      <c r="E7801" t="s">
        <v>25304</v>
      </c>
      <c r="F7801" t="s">
        <v>25305</v>
      </c>
      <c r="G7801" s="2" t="str">
        <f>HYPERLINK("https://probpalata.gov.ru/files/ЮЛ770100582100000.jpeg","Скачать индивидуальный QR-код магазина")</f>
        <v>Скачать индивидуальный QR-код магазина</v>
      </c>
    </row>
    <row r="7802" spans="1:7" x14ac:dyDescent="0.25">
      <c r="A7802" t="s">
        <v>18820</v>
      </c>
      <c r="B7802" t="s">
        <v>25306</v>
      </c>
      <c r="C7802" t="s">
        <v>25307</v>
      </c>
      <c r="D7802" t="s">
        <v>25308</v>
      </c>
      <c r="E7802" t="s">
        <v>25309</v>
      </c>
      <c r="F7802" t="s">
        <v>25310</v>
      </c>
      <c r="G7802" s="2" t="str">
        <f>HYPERLINK("https://probpalata.gov.ru/files/ИП770103755900000.jpeg","Скачать индивидуальный QR-код магазина")</f>
        <v>Скачать индивидуальный QR-код магазина</v>
      </c>
    </row>
    <row r="7803" spans="1:7" x14ac:dyDescent="0.25">
      <c r="A7803" t="s">
        <v>18820</v>
      </c>
      <c r="B7803" t="s">
        <v>25311</v>
      </c>
      <c r="C7803" t="s">
        <v>25312</v>
      </c>
      <c r="D7803" t="s">
        <v>25313</v>
      </c>
      <c r="E7803" t="s">
        <v>25314</v>
      </c>
      <c r="F7803" t="s">
        <v>25315</v>
      </c>
      <c r="G7803" s="2" t="str">
        <f>HYPERLINK("https://probpalata.gov.ru/files/ЮЛ770103289800000.jpeg","Скачать индивидуальный QR-код магазина")</f>
        <v>Скачать индивидуальный QR-код магазина</v>
      </c>
    </row>
    <row r="7804" spans="1:7" x14ac:dyDescent="0.25">
      <c r="A7804" t="s">
        <v>18820</v>
      </c>
      <c r="B7804" t="s">
        <v>25316</v>
      </c>
      <c r="C7804" t="s">
        <v>25317</v>
      </c>
      <c r="D7804" t="s">
        <v>25318</v>
      </c>
      <c r="E7804" t="s">
        <v>25319</v>
      </c>
      <c r="F7804" t="s">
        <v>25320</v>
      </c>
      <c r="G7804" s="2" t="str">
        <f>HYPERLINK("https://probpalata.gov.ru/files/ЮЛ770103275600000.jpeg","Скачать индивидуальный QR-код магазина")</f>
        <v>Скачать индивидуальный QR-код магазина</v>
      </c>
    </row>
    <row r="7805" spans="1:7" x14ac:dyDescent="0.25">
      <c r="A7805" t="s">
        <v>18820</v>
      </c>
      <c r="B7805" t="s">
        <v>25321</v>
      </c>
      <c r="C7805" t="s">
        <v>16834</v>
      </c>
      <c r="D7805" t="s">
        <v>16835</v>
      </c>
      <c r="E7805" t="s">
        <v>16836</v>
      </c>
      <c r="F7805" t="s">
        <v>25322</v>
      </c>
      <c r="G7805" s="2" t="str">
        <f>HYPERLINK("https://probpalata.gov.ru/files/ИП780300136300005.jpeg","Скачать индивидуальный QR-код магазина")</f>
        <v>Скачать индивидуальный QR-код магазина</v>
      </c>
    </row>
    <row r="7806" spans="1:7" x14ac:dyDescent="0.25">
      <c r="A7806" t="s">
        <v>18820</v>
      </c>
      <c r="B7806" t="s">
        <v>25323</v>
      </c>
      <c r="C7806" t="s">
        <v>16834</v>
      </c>
      <c r="D7806" t="s">
        <v>16835</v>
      </c>
      <c r="E7806" t="s">
        <v>16836</v>
      </c>
      <c r="F7806" t="s">
        <v>25324</v>
      </c>
      <c r="G7806" s="2" t="str">
        <f>HYPERLINK("https://probpalata.gov.ru/files/ИП780300136300006.jpeg","Скачать индивидуальный QR-код магазина")</f>
        <v>Скачать индивидуальный QR-код магазина</v>
      </c>
    </row>
    <row r="7807" spans="1:7" x14ac:dyDescent="0.25">
      <c r="A7807" t="s">
        <v>18820</v>
      </c>
      <c r="B7807" t="s">
        <v>25325</v>
      </c>
      <c r="C7807" t="s">
        <v>25326</v>
      </c>
      <c r="D7807" t="s">
        <v>25327</v>
      </c>
      <c r="E7807" t="s">
        <v>25328</v>
      </c>
      <c r="F7807" t="s">
        <v>25329</v>
      </c>
      <c r="G7807" s="2" t="str">
        <f>HYPERLINK("https://probpalata.gov.ru/files/ЮЛ780300112800009.jpeg","Скачать индивидуальный QR-код магазина")</f>
        <v>Скачать индивидуальный QR-код магазина</v>
      </c>
    </row>
    <row r="7808" spans="1:7" x14ac:dyDescent="0.25">
      <c r="A7808" t="s">
        <v>18820</v>
      </c>
      <c r="B7808" t="s">
        <v>25330</v>
      </c>
      <c r="C7808" t="s">
        <v>25326</v>
      </c>
      <c r="D7808" t="s">
        <v>25327</v>
      </c>
      <c r="E7808" t="s">
        <v>25328</v>
      </c>
      <c r="F7808" t="s">
        <v>25331</v>
      </c>
      <c r="G7808" s="2" t="str">
        <f>HYPERLINK("https://probpalata.gov.ru/files/ЮЛ780300112800010.jpeg","Скачать индивидуальный QR-код магазина")</f>
        <v>Скачать индивидуальный QR-код магазина</v>
      </c>
    </row>
    <row r="7809" spans="1:7" x14ac:dyDescent="0.25">
      <c r="A7809" t="s">
        <v>18820</v>
      </c>
      <c r="B7809" t="s">
        <v>25332</v>
      </c>
      <c r="C7809" t="s">
        <v>25326</v>
      </c>
      <c r="D7809" t="s">
        <v>25327</v>
      </c>
      <c r="E7809" t="s">
        <v>25328</v>
      </c>
      <c r="F7809" t="s">
        <v>25333</v>
      </c>
      <c r="G7809" s="2" t="str">
        <f>HYPERLINK("https://probpalata.gov.ru/files/ЮЛ780300112800011.jpeg","Скачать индивидуальный QR-код магазина")</f>
        <v>Скачать индивидуальный QR-код магазина</v>
      </c>
    </row>
    <row r="7810" spans="1:7" x14ac:dyDescent="0.25">
      <c r="A7810" t="s">
        <v>18820</v>
      </c>
      <c r="B7810" t="s">
        <v>25334</v>
      </c>
      <c r="C7810" t="s">
        <v>25326</v>
      </c>
      <c r="D7810" t="s">
        <v>25327</v>
      </c>
      <c r="E7810" t="s">
        <v>25328</v>
      </c>
      <c r="F7810" t="s">
        <v>25335</v>
      </c>
      <c r="G7810" s="2" t="str">
        <f>HYPERLINK("https://probpalata.gov.ru/files/ЮЛ780300112800012.jpeg","Скачать индивидуальный QR-код магазина")</f>
        <v>Скачать индивидуальный QR-код магазина</v>
      </c>
    </row>
    <row r="7811" spans="1:7" x14ac:dyDescent="0.25">
      <c r="A7811" t="s">
        <v>18820</v>
      </c>
      <c r="B7811" t="s">
        <v>23470</v>
      </c>
      <c r="C7811" t="s">
        <v>25326</v>
      </c>
      <c r="D7811" t="s">
        <v>25327</v>
      </c>
      <c r="E7811" t="s">
        <v>25328</v>
      </c>
      <c r="F7811" t="s">
        <v>25336</v>
      </c>
      <c r="G7811" s="2" t="str">
        <f>HYPERLINK("https://probpalata.gov.ru/files/ЮЛ780300112800013.jpeg","Скачать индивидуальный QR-код магазина")</f>
        <v>Скачать индивидуальный QR-код магазина</v>
      </c>
    </row>
    <row r="7812" spans="1:7" x14ac:dyDescent="0.25">
      <c r="A7812" t="s">
        <v>18820</v>
      </c>
      <c r="B7812" t="s">
        <v>25337</v>
      </c>
      <c r="C7812" t="s">
        <v>11902</v>
      </c>
      <c r="D7812" t="s">
        <v>25338</v>
      </c>
      <c r="E7812" t="s">
        <v>25339</v>
      </c>
      <c r="F7812" t="s">
        <v>25340</v>
      </c>
      <c r="G7812" s="2" t="str">
        <f>HYPERLINK("https://probpalata.gov.ru/files/ЮЛ780300603600001.jpeg","Скачать индивидуальный QR-код магазина")</f>
        <v>Скачать индивидуальный QR-код магазина</v>
      </c>
    </row>
    <row r="7813" spans="1:7" x14ac:dyDescent="0.25">
      <c r="A7813" t="s">
        <v>18820</v>
      </c>
      <c r="B7813" t="s">
        <v>25341</v>
      </c>
      <c r="C7813" t="s">
        <v>11902</v>
      </c>
      <c r="D7813" t="s">
        <v>25338</v>
      </c>
      <c r="E7813" t="s">
        <v>25339</v>
      </c>
      <c r="F7813" t="s">
        <v>25342</v>
      </c>
      <c r="G7813" s="2" t="str">
        <f>HYPERLINK("https://probpalata.gov.ru/files/ЮЛ780300603600002.jpeg","Скачать индивидуальный QR-код магазина")</f>
        <v>Скачать индивидуальный QR-код магазина</v>
      </c>
    </row>
    <row r="7814" spans="1:7" x14ac:dyDescent="0.25">
      <c r="A7814" t="s">
        <v>18820</v>
      </c>
      <c r="B7814" t="s">
        <v>25343</v>
      </c>
      <c r="C7814" t="s">
        <v>11902</v>
      </c>
      <c r="D7814" t="s">
        <v>25338</v>
      </c>
      <c r="E7814" t="s">
        <v>25339</v>
      </c>
      <c r="F7814" t="s">
        <v>25344</v>
      </c>
      <c r="G7814" s="2" t="str">
        <f>HYPERLINK("https://probpalata.gov.ru/files/ЮЛ780300603600003.jpeg","Скачать индивидуальный QR-код магазина")</f>
        <v>Скачать индивидуальный QR-код магазина</v>
      </c>
    </row>
    <row r="7815" spans="1:7" x14ac:dyDescent="0.25">
      <c r="A7815" t="s">
        <v>18820</v>
      </c>
      <c r="B7815" t="s">
        <v>25345</v>
      </c>
      <c r="C7815" t="s">
        <v>11902</v>
      </c>
      <c r="D7815" t="s">
        <v>25338</v>
      </c>
      <c r="E7815" t="s">
        <v>25339</v>
      </c>
      <c r="F7815" t="s">
        <v>25346</v>
      </c>
      <c r="G7815" s="2" t="str">
        <f>HYPERLINK("https://probpalata.gov.ru/files/ЮЛ780300603600005.jpeg","Скачать индивидуальный QR-код магазина")</f>
        <v>Скачать индивидуальный QR-код магазина</v>
      </c>
    </row>
    <row r="7816" spans="1:7" x14ac:dyDescent="0.25">
      <c r="A7816" t="s">
        <v>18820</v>
      </c>
      <c r="B7816" t="s">
        <v>25347</v>
      </c>
      <c r="C7816" t="s">
        <v>11902</v>
      </c>
      <c r="D7816" t="s">
        <v>25338</v>
      </c>
      <c r="E7816" t="s">
        <v>25339</v>
      </c>
      <c r="F7816" t="s">
        <v>25348</v>
      </c>
      <c r="G7816" s="2" t="str">
        <f>HYPERLINK("https://probpalata.gov.ru/files/ЮЛ780300603600006.jpeg","Скачать индивидуальный QR-код магазина")</f>
        <v>Скачать индивидуальный QR-код магазина</v>
      </c>
    </row>
    <row r="7817" spans="1:7" x14ac:dyDescent="0.25">
      <c r="A7817" t="s">
        <v>18820</v>
      </c>
      <c r="B7817" t="s">
        <v>25349</v>
      </c>
      <c r="C7817" t="s">
        <v>25350</v>
      </c>
      <c r="D7817" t="s">
        <v>25351</v>
      </c>
      <c r="E7817" t="s">
        <v>25352</v>
      </c>
      <c r="F7817" t="s">
        <v>25353</v>
      </c>
      <c r="G7817" s="2" t="str">
        <f>HYPERLINK("https://probpalata.gov.ru/files/ИП780301174600000.jpeg","Скачать индивидуальный QR-код магазина")</f>
        <v>Скачать индивидуальный QR-код магазина</v>
      </c>
    </row>
    <row r="7818" spans="1:7" x14ac:dyDescent="0.25">
      <c r="A7818" t="s">
        <v>18820</v>
      </c>
      <c r="B7818" t="s">
        <v>25354</v>
      </c>
      <c r="C7818" t="s">
        <v>25355</v>
      </c>
      <c r="D7818" t="s">
        <v>25356</v>
      </c>
      <c r="E7818" t="s">
        <v>25357</v>
      </c>
      <c r="F7818" t="s">
        <v>25358</v>
      </c>
      <c r="G7818" s="2" t="str">
        <f>HYPERLINK("https://probpalata.gov.ru/files/ИП780303703700000.jpeg","Скачать индивидуальный QR-код магазина")</f>
        <v>Скачать индивидуальный QR-код магазина</v>
      </c>
    </row>
    <row r="7819" spans="1:7" x14ac:dyDescent="0.25">
      <c r="A7819" t="s">
        <v>18820</v>
      </c>
      <c r="B7819" t="s">
        <v>25359</v>
      </c>
      <c r="C7819" t="s">
        <v>15285</v>
      </c>
      <c r="D7819" t="s">
        <v>15286</v>
      </c>
      <c r="E7819" t="s">
        <v>15287</v>
      </c>
      <c r="F7819" t="s">
        <v>25360</v>
      </c>
      <c r="G7819" s="2" t="str">
        <f>HYPERLINK("https://probpalata.gov.ru/files/ИП780303215800001.jpeg","Скачать индивидуальный QR-код магазина")</f>
        <v>Скачать индивидуальный QR-код магазина</v>
      </c>
    </row>
    <row r="7820" spans="1:7" x14ac:dyDescent="0.25">
      <c r="A7820" t="s">
        <v>18820</v>
      </c>
      <c r="B7820" t="s">
        <v>25361</v>
      </c>
      <c r="C7820" t="s">
        <v>773</v>
      </c>
      <c r="D7820" t="s">
        <v>774</v>
      </c>
      <c r="E7820" t="s">
        <v>775</v>
      </c>
      <c r="F7820" t="s">
        <v>25362</v>
      </c>
      <c r="G7820" s="2" t="str">
        <f>HYPERLINK("https://probpalata.gov.ru/files/ЮЛ780300131300170.jpeg","Скачать индивидуальный QR-код магазина")</f>
        <v>Скачать индивидуальный QR-код магазина</v>
      </c>
    </row>
    <row r="7821" spans="1:7" x14ac:dyDescent="0.25">
      <c r="A7821" t="s">
        <v>18820</v>
      </c>
      <c r="B7821" t="s">
        <v>25363</v>
      </c>
      <c r="C7821" t="s">
        <v>773</v>
      </c>
      <c r="D7821" t="s">
        <v>774</v>
      </c>
      <c r="E7821" t="s">
        <v>775</v>
      </c>
      <c r="F7821" t="s">
        <v>25364</v>
      </c>
      <c r="G7821" s="2" t="str">
        <f>HYPERLINK("https://probpalata.gov.ru/files/ЮЛ780300131300565.jpeg","Скачать индивидуальный QR-код магазина")</f>
        <v>Скачать индивидуальный QR-код магазина</v>
      </c>
    </row>
    <row r="7822" spans="1:7" x14ac:dyDescent="0.25">
      <c r="A7822" t="s">
        <v>18820</v>
      </c>
      <c r="B7822" t="s">
        <v>25365</v>
      </c>
      <c r="C7822" t="s">
        <v>787</v>
      </c>
      <c r="D7822" t="s">
        <v>788</v>
      </c>
      <c r="E7822" t="s">
        <v>789</v>
      </c>
      <c r="F7822" t="s">
        <v>25366</v>
      </c>
      <c r="G7822" s="2" t="str">
        <f>HYPERLINK("https://probpalata.gov.ru/files/ЮЛ780300328000124.jpeg","Скачать индивидуальный QR-код магазина")</f>
        <v>Скачать индивидуальный QR-код магазина</v>
      </c>
    </row>
    <row r="7823" spans="1:7" x14ac:dyDescent="0.25">
      <c r="A7823" t="s">
        <v>18820</v>
      </c>
      <c r="B7823" t="s">
        <v>25367</v>
      </c>
      <c r="C7823" t="s">
        <v>25368</v>
      </c>
      <c r="D7823" t="s">
        <v>25369</v>
      </c>
      <c r="E7823" t="s">
        <v>25370</v>
      </c>
      <c r="F7823" t="s">
        <v>25371</v>
      </c>
      <c r="G7823" s="2" t="str">
        <f>HYPERLINK("https://probpalata.gov.ru/files/ИП780301502700003.jpeg","Скачать индивидуальный QR-код магазина")</f>
        <v>Скачать индивидуальный QR-код магазина</v>
      </c>
    </row>
    <row r="7824" spans="1:7" x14ac:dyDescent="0.25">
      <c r="A7824" t="s">
        <v>18820</v>
      </c>
      <c r="B7824" t="s">
        <v>25372</v>
      </c>
      <c r="C7824" t="s">
        <v>25368</v>
      </c>
      <c r="D7824" t="s">
        <v>25369</v>
      </c>
      <c r="E7824" t="s">
        <v>25370</v>
      </c>
      <c r="F7824" t="s">
        <v>25373</v>
      </c>
      <c r="G7824" s="2" t="str">
        <f>HYPERLINK("https://probpalata.gov.ru/files/ИП780301502700009.jpeg","Скачать индивидуальный QR-код магазина")</f>
        <v>Скачать индивидуальный QR-код магазина</v>
      </c>
    </row>
    <row r="7825" spans="1:7" x14ac:dyDescent="0.25">
      <c r="A7825" t="s">
        <v>18820</v>
      </c>
      <c r="B7825" t="s">
        <v>25374</v>
      </c>
      <c r="C7825" t="s">
        <v>25375</v>
      </c>
      <c r="D7825" t="s">
        <v>25376</v>
      </c>
      <c r="E7825" t="s">
        <v>25377</v>
      </c>
      <c r="F7825" t="s">
        <v>25378</v>
      </c>
      <c r="G7825" s="2" t="str">
        <f>HYPERLINK("https://probpalata.gov.ru/files/ИП500101988300000.jpeg","Скачать индивидуальный QR-код магазина")</f>
        <v>Скачать индивидуальный QR-код магазина</v>
      </c>
    </row>
    <row r="7826" spans="1:7" x14ac:dyDescent="0.25">
      <c r="A7826" t="s">
        <v>18820</v>
      </c>
      <c r="B7826" t="s">
        <v>25379</v>
      </c>
      <c r="C7826" t="s">
        <v>25380</v>
      </c>
      <c r="D7826" t="s">
        <v>25381</v>
      </c>
      <c r="E7826" t="s">
        <v>25382</v>
      </c>
      <c r="F7826" t="s">
        <v>25383</v>
      </c>
      <c r="G7826" s="2" t="str">
        <f>HYPERLINK("https://probpalata.gov.ru/files/ЮЛ780300868000015.jpeg","Скачать индивидуальный QR-код магазина")</f>
        <v>Скачать индивидуальный QR-код магазина</v>
      </c>
    </row>
    <row r="7827" spans="1:7" x14ac:dyDescent="0.25">
      <c r="A7827" t="s">
        <v>18820</v>
      </c>
      <c r="B7827" t="s">
        <v>25384</v>
      </c>
      <c r="C7827" t="s">
        <v>25380</v>
      </c>
      <c r="D7827" t="s">
        <v>25381</v>
      </c>
      <c r="E7827" t="s">
        <v>25382</v>
      </c>
      <c r="F7827" t="s">
        <v>25385</v>
      </c>
      <c r="G7827" s="2" t="str">
        <f>HYPERLINK("https://probpalata.gov.ru/files/ЮЛ780300868000016.jpeg","Скачать индивидуальный QR-код магазина")</f>
        <v>Скачать индивидуальный QR-код магазина</v>
      </c>
    </row>
    <row r="7828" spans="1:7" x14ac:dyDescent="0.25">
      <c r="A7828" t="s">
        <v>18820</v>
      </c>
      <c r="B7828" t="s">
        <v>19025</v>
      </c>
      <c r="C7828" t="s">
        <v>25380</v>
      </c>
      <c r="D7828" t="s">
        <v>25381</v>
      </c>
      <c r="E7828" t="s">
        <v>25382</v>
      </c>
      <c r="F7828" t="s">
        <v>25386</v>
      </c>
      <c r="G7828" s="2" t="str">
        <f>HYPERLINK("https://probpalata.gov.ru/files/ЮЛ780300868000017.jpeg","Скачать индивидуальный QR-код магазина")</f>
        <v>Скачать индивидуальный QR-код магазина</v>
      </c>
    </row>
    <row r="7829" spans="1:7" x14ac:dyDescent="0.25">
      <c r="A7829" t="s">
        <v>18820</v>
      </c>
      <c r="B7829" t="s">
        <v>25387</v>
      </c>
      <c r="C7829" t="s">
        <v>25380</v>
      </c>
      <c r="D7829" t="s">
        <v>25381</v>
      </c>
      <c r="E7829" t="s">
        <v>25382</v>
      </c>
      <c r="F7829" t="s">
        <v>25388</v>
      </c>
      <c r="G7829" s="2" t="str">
        <f>HYPERLINK("https://probpalata.gov.ru/files/ЮЛ780300868000019.jpeg","Скачать индивидуальный QR-код магазина")</f>
        <v>Скачать индивидуальный QR-код магазина</v>
      </c>
    </row>
    <row r="7830" spans="1:7" x14ac:dyDescent="0.25">
      <c r="A7830" t="s">
        <v>18820</v>
      </c>
      <c r="B7830" t="s">
        <v>25389</v>
      </c>
      <c r="C7830" t="s">
        <v>25380</v>
      </c>
      <c r="D7830" t="s">
        <v>25381</v>
      </c>
      <c r="E7830" t="s">
        <v>25382</v>
      </c>
      <c r="F7830" t="s">
        <v>25390</v>
      </c>
      <c r="G7830" s="2" t="str">
        <f>HYPERLINK("https://probpalata.gov.ru/files/ЮЛ780300868000020.jpeg","Скачать индивидуальный QR-код магазина")</f>
        <v>Скачать индивидуальный QR-код магазина</v>
      </c>
    </row>
    <row r="7831" spans="1:7" x14ac:dyDescent="0.25">
      <c r="A7831" t="s">
        <v>18820</v>
      </c>
      <c r="B7831" t="s">
        <v>25391</v>
      </c>
      <c r="C7831" t="s">
        <v>25380</v>
      </c>
      <c r="D7831" t="s">
        <v>25381</v>
      </c>
      <c r="E7831" t="s">
        <v>25382</v>
      </c>
      <c r="F7831" t="s">
        <v>25392</v>
      </c>
      <c r="G7831" s="2" t="str">
        <f>HYPERLINK("https://probpalata.gov.ru/files/ЮЛ780300868000021.jpeg","Скачать индивидуальный QR-код магазина")</f>
        <v>Скачать индивидуальный QR-код магазина</v>
      </c>
    </row>
    <row r="7832" spans="1:7" x14ac:dyDescent="0.25">
      <c r="A7832" t="s">
        <v>18820</v>
      </c>
      <c r="B7832" t="s">
        <v>25393</v>
      </c>
      <c r="C7832" t="s">
        <v>25380</v>
      </c>
      <c r="D7832" t="s">
        <v>25381</v>
      </c>
      <c r="E7832" t="s">
        <v>25382</v>
      </c>
      <c r="F7832" t="s">
        <v>25394</v>
      </c>
      <c r="G7832" s="2" t="str">
        <f>HYPERLINK("https://probpalata.gov.ru/files/ЮЛ780300868000022.jpeg","Скачать индивидуальный QR-код магазина")</f>
        <v>Скачать индивидуальный QR-код магазина</v>
      </c>
    </row>
    <row r="7833" spans="1:7" x14ac:dyDescent="0.25">
      <c r="A7833" t="s">
        <v>18820</v>
      </c>
      <c r="B7833" t="s">
        <v>25395</v>
      </c>
      <c r="C7833" t="s">
        <v>25380</v>
      </c>
      <c r="D7833" t="s">
        <v>25381</v>
      </c>
      <c r="E7833" t="s">
        <v>25382</v>
      </c>
      <c r="F7833" t="s">
        <v>25396</v>
      </c>
      <c r="G7833" s="2" t="str">
        <f>HYPERLINK("https://probpalata.gov.ru/files/ЮЛ780300868000023.jpeg","Скачать индивидуальный QR-код магазина")</f>
        <v>Скачать индивидуальный QR-код магазина</v>
      </c>
    </row>
    <row r="7834" spans="1:7" x14ac:dyDescent="0.25">
      <c r="A7834" t="s">
        <v>18820</v>
      </c>
      <c r="B7834" t="s">
        <v>25397</v>
      </c>
      <c r="C7834" t="s">
        <v>25398</v>
      </c>
      <c r="D7834" t="s">
        <v>25399</v>
      </c>
      <c r="E7834" t="s">
        <v>25400</v>
      </c>
      <c r="F7834" t="s">
        <v>25401</v>
      </c>
      <c r="G7834" s="2" t="str">
        <f>HYPERLINK("https://probpalata.gov.ru/files/ЮЛ780303069200002.jpeg","Скачать индивидуальный QR-код магазина")</f>
        <v>Скачать индивидуальный QR-код магазина</v>
      </c>
    </row>
    <row r="7835" spans="1:7" x14ac:dyDescent="0.25">
      <c r="A7835" t="s">
        <v>18820</v>
      </c>
      <c r="B7835" t="s">
        <v>25402</v>
      </c>
      <c r="C7835" t="s">
        <v>4077</v>
      </c>
      <c r="D7835" t="s">
        <v>4078</v>
      </c>
      <c r="E7835" t="s">
        <v>4079</v>
      </c>
      <c r="F7835" t="s">
        <v>25403</v>
      </c>
      <c r="G7835" s="2" t="str">
        <f>HYPERLINK("https://probpalata.gov.ru/files/ЮЛ780300331800039.jpeg","Скачать индивидуальный QR-код магазина")</f>
        <v>Скачать индивидуальный QR-код магазина</v>
      </c>
    </row>
    <row r="7836" spans="1:7" x14ac:dyDescent="0.25">
      <c r="A7836" t="s">
        <v>18820</v>
      </c>
      <c r="B7836" t="s">
        <v>25404</v>
      </c>
      <c r="C7836" t="s">
        <v>25405</v>
      </c>
      <c r="D7836" t="s">
        <v>25406</v>
      </c>
      <c r="E7836" t="s">
        <v>25407</v>
      </c>
      <c r="F7836" t="s">
        <v>25408</v>
      </c>
      <c r="G7836" s="2" t="str">
        <f>HYPERLINK("https://probpalata.gov.ru/files/ИП780300322800005.jpeg","Скачать индивидуальный QR-код магазина")</f>
        <v>Скачать индивидуальный QR-код магазина</v>
      </c>
    </row>
    <row r="7837" spans="1:7" x14ac:dyDescent="0.25">
      <c r="A7837" t="s">
        <v>18820</v>
      </c>
      <c r="B7837" t="s">
        <v>25409</v>
      </c>
      <c r="C7837" t="s">
        <v>25405</v>
      </c>
      <c r="D7837" t="s">
        <v>25406</v>
      </c>
      <c r="E7837" t="s">
        <v>25407</v>
      </c>
      <c r="F7837" t="s">
        <v>25410</v>
      </c>
      <c r="G7837" s="2" t="str">
        <f>HYPERLINK("https://probpalata.gov.ru/files/ИП780300322800006.jpeg","Скачать индивидуальный QR-код магазина")</f>
        <v>Скачать индивидуальный QR-код магазина</v>
      </c>
    </row>
    <row r="7838" spans="1:7" x14ac:dyDescent="0.25">
      <c r="A7838" t="s">
        <v>18820</v>
      </c>
      <c r="B7838" t="s">
        <v>25411</v>
      </c>
      <c r="C7838" t="s">
        <v>25412</v>
      </c>
      <c r="D7838" t="s">
        <v>25413</v>
      </c>
      <c r="E7838" t="s">
        <v>25414</v>
      </c>
      <c r="F7838" t="s">
        <v>25415</v>
      </c>
      <c r="G7838" s="2" t="str">
        <f>HYPERLINK("https://probpalata.gov.ru/files/ИП770103652500000.jpeg","Скачать индивидуальный QR-код магазина")</f>
        <v>Скачать индивидуальный QR-код магазина</v>
      </c>
    </row>
    <row r="7839" spans="1:7" x14ac:dyDescent="0.25">
      <c r="A7839" t="s">
        <v>18820</v>
      </c>
      <c r="B7839" t="s">
        <v>25416</v>
      </c>
      <c r="C7839" t="s">
        <v>791</v>
      </c>
      <c r="D7839" t="s">
        <v>792</v>
      </c>
      <c r="E7839" t="s">
        <v>793</v>
      </c>
      <c r="F7839" t="s">
        <v>25417</v>
      </c>
      <c r="G7839" s="2" t="str">
        <f>HYPERLINK("https://probpalata.gov.ru/files/ЮЛ780300323500003.jpeg","Скачать индивидуальный QR-код магазина")</f>
        <v>Скачать индивидуальный QR-код магазина</v>
      </c>
    </row>
    <row r="7840" spans="1:7" x14ac:dyDescent="0.25">
      <c r="A7840" t="s">
        <v>18820</v>
      </c>
      <c r="B7840" t="s">
        <v>25418</v>
      </c>
      <c r="C7840" t="s">
        <v>791</v>
      </c>
      <c r="D7840" t="s">
        <v>792</v>
      </c>
      <c r="E7840" t="s">
        <v>793</v>
      </c>
      <c r="F7840" t="s">
        <v>25419</v>
      </c>
      <c r="G7840" s="2" t="str">
        <f>HYPERLINK("https://probpalata.gov.ru/files/ЮЛ780300323500094.jpeg","Скачать индивидуальный QR-код магазина")</f>
        <v>Скачать индивидуальный QR-код магазина</v>
      </c>
    </row>
    <row r="7841" spans="1:7" x14ac:dyDescent="0.25">
      <c r="A7841" t="s">
        <v>18820</v>
      </c>
      <c r="B7841" t="s">
        <v>25420</v>
      </c>
      <c r="C7841" t="s">
        <v>791</v>
      </c>
      <c r="D7841" t="s">
        <v>792</v>
      </c>
      <c r="E7841" t="s">
        <v>793</v>
      </c>
      <c r="F7841" t="s">
        <v>25421</v>
      </c>
      <c r="G7841" s="2" t="str">
        <f>HYPERLINK("https://probpalata.gov.ru/files/ЮЛ780300323500095.jpeg","Скачать индивидуальный QR-код магазина")</f>
        <v>Скачать индивидуальный QR-код магазина</v>
      </c>
    </row>
    <row r="7842" spans="1:7" x14ac:dyDescent="0.25">
      <c r="A7842" t="s">
        <v>18820</v>
      </c>
      <c r="B7842" t="s">
        <v>25422</v>
      </c>
      <c r="C7842" t="s">
        <v>791</v>
      </c>
      <c r="D7842" t="s">
        <v>792</v>
      </c>
      <c r="E7842" t="s">
        <v>793</v>
      </c>
      <c r="F7842" t="s">
        <v>25423</v>
      </c>
      <c r="G7842" s="2" t="str">
        <f>HYPERLINK("https://probpalata.gov.ru/files/ЮЛ780300323500096.jpeg","Скачать индивидуальный QR-код магазина")</f>
        <v>Скачать индивидуальный QR-код магазина</v>
      </c>
    </row>
    <row r="7843" spans="1:7" x14ac:dyDescent="0.25">
      <c r="A7843" t="s">
        <v>18820</v>
      </c>
      <c r="B7843" t="s">
        <v>25424</v>
      </c>
      <c r="C7843" t="s">
        <v>791</v>
      </c>
      <c r="D7843" t="s">
        <v>792</v>
      </c>
      <c r="E7843" t="s">
        <v>793</v>
      </c>
      <c r="F7843" t="s">
        <v>25425</v>
      </c>
      <c r="G7843" s="2" t="str">
        <f>HYPERLINK("https://probpalata.gov.ru/files/ЮЛ780300323500097.jpeg","Скачать индивидуальный QR-код магазина")</f>
        <v>Скачать индивидуальный QR-код магазина</v>
      </c>
    </row>
    <row r="7844" spans="1:7" x14ac:dyDescent="0.25">
      <c r="A7844" t="s">
        <v>18820</v>
      </c>
      <c r="B7844" t="s">
        <v>25426</v>
      </c>
      <c r="C7844" t="s">
        <v>791</v>
      </c>
      <c r="D7844" t="s">
        <v>792</v>
      </c>
      <c r="E7844" t="s">
        <v>793</v>
      </c>
      <c r="F7844" t="s">
        <v>25427</v>
      </c>
      <c r="G7844" s="2" t="str">
        <f>HYPERLINK("https://probpalata.gov.ru/files/ЮЛ780300323500098.jpeg","Скачать индивидуальный QR-код магазина")</f>
        <v>Скачать индивидуальный QR-код магазина</v>
      </c>
    </row>
    <row r="7845" spans="1:7" x14ac:dyDescent="0.25">
      <c r="A7845" t="s">
        <v>18820</v>
      </c>
      <c r="B7845" t="s">
        <v>25428</v>
      </c>
      <c r="C7845" t="s">
        <v>791</v>
      </c>
      <c r="D7845" t="s">
        <v>792</v>
      </c>
      <c r="E7845" t="s">
        <v>793</v>
      </c>
      <c r="F7845" t="s">
        <v>25429</v>
      </c>
      <c r="G7845" s="2" t="str">
        <f>HYPERLINK("https://probpalata.gov.ru/files/ЮЛ780300323500208.jpeg","Скачать индивидуальный QR-код магазина")</f>
        <v>Скачать индивидуальный QR-код магазина</v>
      </c>
    </row>
    <row r="7846" spans="1:7" x14ac:dyDescent="0.25">
      <c r="A7846" t="s">
        <v>18820</v>
      </c>
      <c r="B7846" t="s">
        <v>25430</v>
      </c>
      <c r="C7846" t="s">
        <v>25431</v>
      </c>
      <c r="D7846" t="s">
        <v>25432</v>
      </c>
      <c r="E7846" t="s">
        <v>25433</v>
      </c>
      <c r="F7846" t="s">
        <v>25434</v>
      </c>
      <c r="G7846" s="2" t="str">
        <f>HYPERLINK("https://probpalata.gov.ru/files/ИП780303208600000.jpeg","Скачать индивидуальный QR-код магазина")</f>
        <v>Скачать индивидуальный QR-код магазина</v>
      </c>
    </row>
    <row r="7847" spans="1:7" x14ac:dyDescent="0.25">
      <c r="A7847" t="s">
        <v>18820</v>
      </c>
      <c r="B7847" t="s">
        <v>25435</v>
      </c>
      <c r="C7847" t="s">
        <v>25436</v>
      </c>
      <c r="D7847" t="s">
        <v>25437</v>
      </c>
      <c r="E7847" t="s">
        <v>25438</v>
      </c>
      <c r="F7847" t="s">
        <v>25439</v>
      </c>
      <c r="G7847" s="2" t="str">
        <f>HYPERLINK("https://probpalata.gov.ru/files/ЮЛ780300767800001.jpeg","Скачать индивидуальный QR-код магазина")</f>
        <v>Скачать индивидуальный QR-код магазина</v>
      </c>
    </row>
    <row r="7848" spans="1:7" x14ac:dyDescent="0.25">
      <c r="A7848" t="s">
        <v>18820</v>
      </c>
      <c r="B7848" t="s">
        <v>25440</v>
      </c>
      <c r="C7848" t="s">
        <v>25441</v>
      </c>
      <c r="D7848" t="s">
        <v>25442</v>
      </c>
      <c r="E7848" t="s">
        <v>25443</v>
      </c>
      <c r="F7848" t="s">
        <v>25444</v>
      </c>
      <c r="G7848" s="2" t="str">
        <f>HYPERLINK("https://probpalata.gov.ru/files/ЮЛ780301492400002.jpeg","Скачать индивидуальный QR-код магазина")</f>
        <v>Скачать индивидуальный QR-код магазина</v>
      </c>
    </row>
    <row r="7849" spans="1:7" x14ac:dyDescent="0.25">
      <c r="A7849" t="s">
        <v>18820</v>
      </c>
      <c r="B7849" t="s">
        <v>25445</v>
      </c>
      <c r="C7849" t="s">
        <v>25446</v>
      </c>
      <c r="D7849" t="s">
        <v>25447</v>
      </c>
      <c r="E7849" t="s">
        <v>25448</v>
      </c>
      <c r="F7849" t="s">
        <v>25449</v>
      </c>
      <c r="G7849" s="2" t="str">
        <f>HYPERLINK("https://probpalata.gov.ru/files/ЮЛ780301905700003.jpeg","Скачать индивидуальный QR-код магазина")</f>
        <v>Скачать индивидуальный QR-код магазина</v>
      </c>
    </row>
    <row r="7850" spans="1:7" x14ac:dyDescent="0.25">
      <c r="A7850" t="s">
        <v>18820</v>
      </c>
      <c r="B7850" t="s">
        <v>25450</v>
      </c>
      <c r="C7850" t="s">
        <v>25451</v>
      </c>
      <c r="D7850" t="s">
        <v>25452</v>
      </c>
      <c r="E7850" t="s">
        <v>25453</v>
      </c>
      <c r="F7850" t="s">
        <v>25454</v>
      </c>
      <c r="G7850" s="2" t="str">
        <f>HYPERLINK("https://probpalata.gov.ru/files/ИП780303076300000.jpeg","Скачать индивидуальный QR-код магазина")</f>
        <v>Скачать индивидуальный QR-код магазина</v>
      </c>
    </row>
    <row r="7851" spans="1:7" x14ac:dyDescent="0.25">
      <c r="A7851" t="s">
        <v>18820</v>
      </c>
      <c r="B7851" t="s">
        <v>25455</v>
      </c>
      <c r="C7851" t="s">
        <v>25456</v>
      </c>
      <c r="D7851" t="s">
        <v>25457</v>
      </c>
      <c r="E7851" t="s">
        <v>25458</v>
      </c>
      <c r="F7851" t="s">
        <v>25459</v>
      </c>
      <c r="G7851" s="2" t="str">
        <f>HYPERLINK("https://probpalata.gov.ru/files/ЮЛ780301021400000.jpeg","Скачать индивидуальный QR-код магазина")</f>
        <v>Скачать индивидуальный QR-код магазина</v>
      </c>
    </row>
    <row r="7852" spans="1:7" x14ac:dyDescent="0.25">
      <c r="A7852" t="s">
        <v>18820</v>
      </c>
      <c r="B7852" t="s">
        <v>25460</v>
      </c>
      <c r="C7852" t="s">
        <v>798</v>
      </c>
      <c r="D7852" t="s">
        <v>799</v>
      </c>
      <c r="E7852" t="s">
        <v>800</v>
      </c>
      <c r="F7852" t="s">
        <v>25461</v>
      </c>
      <c r="G7852" s="2" t="str">
        <f>HYPERLINK("https://probpalata.gov.ru/files/ЮЛ780300308200002.jpeg","Скачать индивидуальный QR-код магазина")</f>
        <v>Скачать индивидуальный QR-код магазина</v>
      </c>
    </row>
    <row r="7853" spans="1:7" x14ac:dyDescent="0.25">
      <c r="A7853" t="s">
        <v>18820</v>
      </c>
      <c r="B7853" t="s">
        <v>25462</v>
      </c>
      <c r="C7853" t="s">
        <v>798</v>
      </c>
      <c r="D7853" t="s">
        <v>799</v>
      </c>
      <c r="E7853" t="s">
        <v>800</v>
      </c>
      <c r="F7853" t="s">
        <v>25463</v>
      </c>
      <c r="G7853" s="2" t="str">
        <f>HYPERLINK("https://probpalata.gov.ru/files/ЮЛ780300308200003.jpeg","Скачать индивидуальный QR-код магазина")</f>
        <v>Скачать индивидуальный QR-код магазина</v>
      </c>
    </row>
    <row r="7854" spans="1:7" x14ac:dyDescent="0.25">
      <c r="A7854" t="s">
        <v>18820</v>
      </c>
      <c r="B7854" t="s">
        <v>25464</v>
      </c>
      <c r="C7854" t="s">
        <v>798</v>
      </c>
      <c r="D7854" t="s">
        <v>799</v>
      </c>
      <c r="E7854" t="s">
        <v>800</v>
      </c>
      <c r="F7854" t="s">
        <v>25465</v>
      </c>
      <c r="G7854" s="2" t="str">
        <f>HYPERLINK("https://probpalata.gov.ru/files/ЮЛ780300308200032.jpeg","Скачать индивидуальный QR-код магазина")</f>
        <v>Скачать индивидуальный QR-код магазина</v>
      </c>
    </row>
    <row r="7855" spans="1:7" x14ac:dyDescent="0.25">
      <c r="A7855" t="s">
        <v>18820</v>
      </c>
      <c r="B7855" t="s">
        <v>25466</v>
      </c>
      <c r="C7855" t="s">
        <v>798</v>
      </c>
      <c r="D7855" t="s">
        <v>799</v>
      </c>
      <c r="E7855" t="s">
        <v>800</v>
      </c>
      <c r="F7855" t="s">
        <v>25467</v>
      </c>
      <c r="G7855" s="2" t="str">
        <f>HYPERLINK("https://probpalata.gov.ru/files/ЮЛ780300308200049.jpeg","Скачать индивидуальный QR-код магазина")</f>
        <v>Скачать индивидуальный QR-код магазина</v>
      </c>
    </row>
    <row r="7856" spans="1:7" x14ac:dyDescent="0.25">
      <c r="A7856" t="s">
        <v>18820</v>
      </c>
      <c r="B7856" t="s">
        <v>25468</v>
      </c>
      <c r="C7856" t="s">
        <v>798</v>
      </c>
      <c r="D7856" t="s">
        <v>799</v>
      </c>
      <c r="E7856" t="s">
        <v>800</v>
      </c>
      <c r="F7856" t="s">
        <v>25469</v>
      </c>
      <c r="G7856" s="2" t="str">
        <f>HYPERLINK("https://probpalata.gov.ru/files/ЮЛ780300308200142.jpeg","Скачать индивидуальный QR-код магазина")</f>
        <v>Скачать индивидуальный QR-код магазина</v>
      </c>
    </row>
    <row r="7857" spans="1:7" x14ac:dyDescent="0.25">
      <c r="A7857" t="s">
        <v>18820</v>
      </c>
      <c r="B7857" t="s">
        <v>25470</v>
      </c>
      <c r="C7857" t="s">
        <v>798</v>
      </c>
      <c r="D7857" t="s">
        <v>799</v>
      </c>
      <c r="E7857" t="s">
        <v>800</v>
      </c>
      <c r="F7857" t="s">
        <v>25471</v>
      </c>
      <c r="G7857" s="2" t="str">
        <f>HYPERLINK("https://probpalata.gov.ru/files/ЮЛ780300308200274.jpeg","Скачать индивидуальный QR-код магазина")</f>
        <v>Скачать индивидуальный QR-код магазина</v>
      </c>
    </row>
    <row r="7858" spans="1:7" x14ac:dyDescent="0.25">
      <c r="A7858" t="s">
        <v>18820</v>
      </c>
      <c r="B7858" t="s">
        <v>25472</v>
      </c>
      <c r="C7858" t="s">
        <v>798</v>
      </c>
      <c r="D7858" t="s">
        <v>799</v>
      </c>
      <c r="E7858" t="s">
        <v>800</v>
      </c>
      <c r="F7858" t="s">
        <v>25473</v>
      </c>
      <c r="G7858" s="2" t="str">
        <f>HYPERLINK("https://probpalata.gov.ru/files/ЮЛ780300308200286.jpeg","Скачать индивидуальный QR-код магазина")</f>
        <v>Скачать индивидуальный QR-код магазина</v>
      </c>
    </row>
    <row r="7859" spans="1:7" x14ac:dyDescent="0.25">
      <c r="A7859" t="s">
        <v>18820</v>
      </c>
      <c r="B7859" t="s">
        <v>19780</v>
      </c>
      <c r="C7859" t="s">
        <v>798</v>
      </c>
      <c r="D7859" t="s">
        <v>799</v>
      </c>
      <c r="E7859" t="s">
        <v>800</v>
      </c>
      <c r="F7859" t="s">
        <v>25474</v>
      </c>
      <c r="G7859" s="2" t="str">
        <f>HYPERLINK("https://probpalata.gov.ru/files/ЮЛ780300308200325.jpeg","Скачать индивидуальный QR-код магазина")</f>
        <v>Скачать индивидуальный QR-код магазина</v>
      </c>
    </row>
    <row r="7860" spans="1:7" x14ac:dyDescent="0.25">
      <c r="A7860" t="s">
        <v>18820</v>
      </c>
      <c r="B7860" t="s">
        <v>25475</v>
      </c>
      <c r="C7860" t="s">
        <v>798</v>
      </c>
      <c r="D7860" t="s">
        <v>799</v>
      </c>
      <c r="E7860" t="s">
        <v>800</v>
      </c>
      <c r="F7860" t="s">
        <v>25476</v>
      </c>
      <c r="G7860" s="2" t="str">
        <f>HYPERLINK("https://probpalata.gov.ru/files/ЮЛ780300308200326.jpeg","Скачать индивидуальный QR-код магазина")</f>
        <v>Скачать индивидуальный QR-код магазина</v>
      </c>
    </row>
    <row r="7861" spans="1:7" x14ac:dyDescent="0.25">
      <c r="A7861" t="s">
        <v>18820</v>
      </c>
      <c r="B7861" t="s">
        <v>25477</v>
      </c>
      <c r="C7861" t="s">
        <v>798</v>
      </c>
      <c r="D7861" t="s">
        <v>799</v>
      </c>
      <c r="E7861" t="s">
        <v>800</v>
      </c>
      <c r="F7861" t="s">
        <v>25478</v>
      </c>
      <c r="G7861" s="2" t="str">
        <f>HYPERLINK("https://probpalata.gov.ru/files/ЮЛ780300308200327.jpeg","Скачать индивидуальный QR-код магазина")</f>
        <v>Скачать индивидуальный QR-код магазина</v>
      </c>
    </row>
    <row r="7862" spans="1:7" x14ac:dyDescent="0.25">
      <c r="A7862" t="s">
        <v>18820</v>
      </c>
      <c r="B7862" t="s">
        <v>25479</v>
      </c>
      <c r="C7862" t="s">
        <v>798</v>
      </c>
      <c r="D7862" t="s">
        <v>799</v>
      </c>
      <c r="E7862" t="s">
        <v>800</v>
      </c>
      <c r="F7862" t="s">
        <v>25480</v>
      </c>
      <c r="G7862" s="2" t="str">
        <f>HYPERLINK("https://probpalata.gov.ru/files/ЮЛ780300308200370.jpeg","Скачать индивидуальный QR-код магазина")</f>
        <v>Скачать индивидуальный QR-код магазина</v>
      </c>
    </row>
    <row r="7863" spans="1:7" x14ac:dyDescent="0.25">
      <c r="A7863" t="s">
        <v>18820</v>
      </c>
      <c r="B7863" t="s">
        <v>25379</v>
      </c>
      <c r="C7863" t="s">
        <v>798</v>
      </c>
      <c r="D7863" t="s">
        <v>799</v>
      </c>
      <c r="E7863" t="s">
        <v>800</v>
      </c>
      <c r="F7863" t="s">
        <v>25481</v>
      </c>
      <c r="G7863" s="2" t="str">
        <f>HYPERLINK("https://probpalata.gov.ru/files/ЮЛ780300308200371.jpeg","Скачать индивидуальный QR-код магазина")</f>
        <v>Скачать индивидуальный QR-код магазина</v>
      </c>
    </row>
    <row r="7864" spans="1:7" x14ac:dyDescent="0.25">
      <c r="A7864" t="s">
        <v>18820</v>
      </c>
      <c r="B7864" t="s">
        <v>25482</v>
      </c>
      <c r="C7864" t="s">
        <v>798</v>
      </c>
      <c r="D7864" t="s">
        <v>799</v>
      </c>
      <c r="E7864" t="s">
        <v>800</v>
      </c>
      <c r="F7864" t="s">
        <v>25483</v>
      </c>
      <c r="G7864" s="2" t="str">
        <f>HYPERLINK("https://probpalata.gov.ru/files/ЮЛ780300308200372.jpeg","Скачать индивидуальный QR-код магазина")</f>
        <v>Скачать индивидуальный QR-код магазина</v>
      </c>
    </row>
    <row r="7865" spans="1:7" x14ac:dyDescent="0.25">
      <c r="A7865" t="s">
        <v>18820</v>
      </c>
      <c r="B7865" t="s">
        <v>25484</v>
      </c>
      <c r="C7865" t="s">
        <v>798</v>
      </c>
      <c r="D7865" t="s">
        <v>799</v>
      </c>
      <c r="E7865" t="s">
        <v>800</v>
      </c>
      <c r="F7865" t="s">
        <v>25485</v>
      </c>
      <c r="G7865" s="2" t="str">
        <f>HYPERLINK("https://probpalata.gov.ru/files/ЮЛ780300308200391.jpeg","Скачать индивидуальный QR-код магазина")</f>
        <v>Скачать индивидуальный QR-код магазина</v>
      </c>
    </row>
    <row r="7866" spans="1:7" x14ac:dyDescent="0.25">
      <c r="A7866" t="s">
        <v>18820</v>
      </c>
      <c r="B7866" t="s">
        <v>25486</v>
      </c>
      <c r="C7866" t="s">
        <v>798</v>
      </c>
      <c r="D7866" t="s">
        <v>799</v>
      </c>
      <c r="E7866" t="s">
        <v>800</v>
      </c>
      <c r="F7866" t="s">
        <v>25487</v>
      </c>
      <c r="G7866" s="2" t="str">
        <f>HYPERLINK("https://probpalata.gov.ru/files/ЮЛ780300308200587.jpeg","Скачать индивидуальный QR-код магазина")</f>
        <v>Скачать индивидуальный QR-код магазина</v>
      </c>
    </row>
    <row r="7867" spans="1:7" x14ac:dyDescent="0.25">
      <c r="A7867" t="s">
        <v>18820</v>
      </c>
      <c r="B7867" t="s">
        <v>25488</v>
      </c>
      <c r="C7867" t="s">
        <v>798</v>
      </c>
      <c r="D7867" t="s">
        <v>799</v>
      </c>
      <c r="E7867" t="s">
        <v>800</v>
      </c>
      <c r="F7867" t="s">
        <v>25489</v>
      </c>
      <c r="G7867" s="2" t="str">
        <f>HYPERLINK("https://probpalata.gov.ru/files/ЮЛ780300308200599.jpeg","Скачать индивидуальный QR-код магазина")</f>
        <v>Скачать индивидуальный QR-код магазина</v>
      </c>
    </row>
    <row r="7868" spans="1:7" x14ac:dyDescent="0.25">
      <c r="A7868" t="s">
        <v>18820</v>
      </c>
      <c r="B7868" t="s">
        <v>25490</v>
      </c>
      <c r="C7868" t="s">
        <v>798</v>
      </c>
      <c r="D7868" t="s">
        <v>799</v>
      </c>
      <c r="E7868" t="s">
        <v>800</v>
      </c>
      <c r="F7868" t="s">
        <v>25491</v>
      </c>
      <c r="G7868" s="2" t="str">
        <f>HYPERLINK("https://probpalata.gov.ru/files/ЮЛ780300308200635.jpeg","Скачать индивидуальный QR-код магазина")</f>
        <v>Скачать индивидуальный QR-код магазина</v>
      </c>
    </row>
    <row r="7869" spans="1:7" x14ac:dyDescent="0.25">
      <c r="A7869" t="s">
        <v>18820</v>
      </c>
      <c r="B7869" t="s">
        <v>25492</v>
      </c>
      <c r="C7869" t="s">
        <v>798</v>
      </c>
      <c r="D7869" t="s">
        <v>799</v>
      </c>
      <c r="E7869" t="s">
        <v>800</v>
      </c>
      <c r="F7869" t="s">
        <v>25493</v>
      </c>
      <c r="G7869" s="2" t="str">
        <f>HYPERLINK("https://probpalata.gov.ru/files/ЮЛ780300308200644.jpeg","Скачать индивидуальный QR-код магазина")</f>
        <v>Скачать индивидуальный QR-код магазина</v>
      </c>
    </row>
    <row r="7870" spans="1:7" x14ac:dyDescent="0.25">
      <c r="A7870" t="s">
        <v>18820</v>
      </c>
      <c r="B7870" t="s">
        <v>25494</v>
      </c>
      <c r="C7870" t="s">
        <v>798</v>
      </c>
      <c r="D7870" t="s">
        <v>799</v>
      </c>
      <c r="E7870" t="s">
        <v>800</v>
      </c>
      <c r="F7870" t="s">
        <v>25495</v>
      </c>
      <c r="G7870" s="2" t="str">
        <f>HYPERLINK("https://probpalata.gov.ru/files/ЮЛ780300308200647.jpeg","Скачать индивидуальный QR-код магазина")</f>
        <v>Скачать индивидуальный QR-код магазина</v>
      </c>
    </row>
    <row r="7871" spans="1:7" x14ac:dyDescent="0.25">
      <c r="A7871" t="s">
        <v>18820</v>
      </c>
      <c r="B7871" t="s">
        <v>25496</v>
      </c>
      <c r="C7871" t="s">
        <v>798</v>
      </c>
      <c r="D7871" t="s">
        <v>799</v>
      </c>
      <c r="E7871" t="s">
        <v>800</v>
      </c>
      <c r="F7871" t="s">
        <v>25497</v>
      </c>
      <c r="G7871" s="2" t="str">
        <f>HYPERLINK("https://probpalata.gov.ru/files/ЮЛ780300308200648.jpeg","Скачать индивидуальный QR-код магазина")</f>
        <v>Скачать индивидуальный QR-код магазина</v>
      </c>
    </row>
    <row r="7872" spans="1:7" x14ac:dyDescent="0.25">
      <c r="A7872" t="s">
        <v>18820</v>
      </c>
      <c r="B7872" t="s">
        <v>25498</v>
      </c>
      <c r="C7872" t="s">
        <v>798</v>
      </c>
      <c r="D7872" t="s">
        <v>799</v>
      </c>
      <c r="E7872" t="s">
        <v>800</v>
      </c>
      <c r="F7872" t="s">
        <v>25499</v>
      </c>
      <c r="G7872" s="2" t="str">
        <f>HYPERLINK("https://probpalata.gov.ru/files/ЮЛ780300308200664.jpeg","Скачать индивидуальный QR-код магазина")</f>
        <v>Скачать индивидуальный QR-код магазина</v>
      </c>
    </row>
    <row r="7873" spans="1:7" x14ac:dyDescent="0.25">
      <c r="A7873" t="s">
        <v>18820</v>
      </c>
      <c r="B7873" t="s">
        <v>25500</v>
      </c>
      <c r="C7873" t="s">
        <v>798</v>
      </c>
      <c r="D7873" t="s">
        <v>799</v>
      </c>
      <c r="E7873" t="s">
        <v>800</v>
      </c>
      <c r="F7873" t="s">
        <v>25501</v>
      </c>
      <c r="G7873" s="2" t="str">
        <f>HYPERLINK("https://probpalata.gov.ru/files/ЮЛ780300308200723.jpeg","Скачать индивидуальный QR-код магазина")</f>
        <v>Скачать индивидуальный QR-код магазина</v>
      </c>
    </row>
    <row r="7874" spans="1:7" x14ac:dyDescent="0.25">
      <c r="A7874" t="s">
        <v>18820</v>
      </c>
      <c r="B7874" t="s">
        <v>25502</v>
      </c>
      <c r="C7874" t="s">
        <v>798</v>
      </c>
      <c r="D7874" t="s">
        <v>799</v>
      </c>
      <c r="E7874" t="s">
        <v>800</v>
      </c>
      <c r="F7874" t="s">
        <v>25503</v>
      </c>
      <c r="G7874" s="2" t="str">
        <f>HYPERLINK("https://probpalata.gov.ru/files/ЮЛ780300308200724.jpeg","Скачать индивидуальный QR-код магазина")</f>
        <v>Скачать индивидуальный QR-код магазина</v>
      </c>
    </row>
    <row r="7875" spans="1:7" x14ac:dyDescent="0.25">
      <c r="A7875" t="s">
        <v>18820</v>
      </c>
      <c r="B7875" t="s">
        <v>25504</v>
      </c>
      <c r="C7875" t="s">
        <v>798</v>
      </c>
      <c r="D7875" t="s">
        <v>799</v>
      </c>
      <c r="E7875" t="s">
        <v>800</v>
      </c>
      <c r="F7875" t="s">
        <v>25505</v>
      </c>
      <c r="G7875" s="2" t="str">
        <f>HYPERLINK("https://probpalata.gov.ru/files/ЮЛ780300308200746.jpeg","Скачать индивидуальный QR-код магазина")</f>
        <v>Скачать индивидуальный QR-код магазина</v>
      </c>
    </row>
    <row r="7876" spans="1:7" x14ac:dyDescent="0.25">
      <c r="A7876" t="s">
        <v>18820</v>
      </c>
      <c r="B7876" t="s">
        <v>25506</v>
      </c>
      <c r="C7876" t="s">
        <v>798</v>
      </c>
      <c r="D7876" t="s">
        <v>799</v>
      </c>
      <c r="E7876" t="s">
        <v>800</v>
      </c>
      <c r="F7876" t="s">
        <v>25507</v>
      </c>
      <c r="G7876" s="2" t="str">
        <f>HYPERLINK("https://probpalata.gov.ru/files/ЮЛ780300308201006.jpeg","Скачать индивидуальный QR-код магазина")</f>
        <v>Скачать индивидуальный QR-код магазина</v>
      </c>
    </row>
    <row r="7877" spans="1:7" x14ac:dyDescent="0.25">
      <c r="A7877" t="s">
        <v>18820</v>
      </c>
      <c r="B7877" t="s">
        <v>25508</v>
      </c>
      <c r="C7877" t="s">
        <v>798</v>
      </c>
      <c r="D7877" t="s">
        <v>799</v>
      </c>
      <c r="E7877" t="s">
        <v>800</v>
      </c>
      <c r="F7877" t="s">
        <v>25509</v>
      </c>
      <c r="G7877" s="2" t="str">
        <f>HYPERLINK("https://probpalata.gov.ru/files/ЮЛ780300308201049.jpeg","Скачать индивидуальный QR-код магазина")</f>
        <v>Скачать индивидуальный QR-код магазина</v>
      </c>
    </row>
    <row r="7878" spans="1:7" x14ac:dyDescent="0.25">
      <c r="A7878" t="s">
        <v>18820</v>
      </c>
      <c r="B7878" t="s">
        <v>25510</v>
      </c>
      <c r="C7878" t="s">
        <v>798</v>
      </c>
      <c r="D7878" t="s">
        <v>799</v>
      </c>
      <c r="E7878" t="s">
        <v>800</v>
      </c>
      <c r="F7878" t="s">
        <v>25511</v>
      </c>
      <c r="G7878" s="2" t="str">
        <f>HYPERLINK("https://probpalata.gov.ru/files/ЮЛ780300308201069.jpeg","Скачать индивидуальный QR-код магазина")</f>
        <v>Скачать индивидуальный QR-код магазина</v>
      </c>
    </row>
    <row r="7879" spans="1:7" x14ac:dyDescent="0.25">
      <c r="A7879" t="s">
        <v>18820</v>
      </c>
      <c r="B7879" t="s">
        <v>25512</v>
      </c>
      <c r="C7879" t="s">
        <v>798</v>
      </c>
      <c r="D7879" t="s">
        <v>799</v>
      </c>
      <c r="E7879" t="s">
        <v>800</v>
      </c>
      <c r="F7879" t="s">
        <v>25513</v>
      </c>
      <c r="G7879" s="2" t="str">
        <f>HYPERLINK("https://probpalata.gov.ru/files/ЮЛ780300308201080.jpeg","Скачать индивидуальный QR-код магазина")</f>
        <v>Скачать индивидуальный QR-код магазина</v>
      </c>
    </row>
    <row r="7880" spans="1:7" x14ac:dyDescent="0.25">
      <c r="A7880" t="s">
        <v>18820</v>
      </c>
      <c r="B7880" t="s">
        <v>25514</v>
      </c>
      <c r="C7880" t="s">
        <v>798</v>
      </c>
      <c r="D7880" t="s">
        <v>799</v>
      </c>
      <c r="E7880" t="s">
        <v>800</v>
      </c>
      <c r="F7880" t="s">
        <v>25515</v>
      </c>
      <c r="G7880" s="2" t="str">
        <f>HYPERLINK("https://probpalata.gov.ru/files/ЮЛ780300308201082.jpeg","Скачать индивидуальный QR-код магазина")</f>
        <v>Скачать индивидуальный QR-код магазина</v>
      </c>
    </row>
    <row r="7881" spans="1:7" x14ac:dyDescent="0.25">
      <c r="A7881" t="s">
        <v>18820</v>
      </c>
      <c r="B7881" t="s">
        <v>25516</v>
      </c>
      <c r="C7881" t="s">
        <v>798</v>
      </c>
      <c r="D7881" t="s">
        <v>799</v>
      </c>
      <c r="E7881" t="s">
        <v>800</v>
      </c>
      <c r="F7881" t="s">
        <v>25517</v>
      </c>
      <c r="G7881" s="2" t="str">
        <f>HYPERLINK("https://probpalata.gov.ru/files/ЮЛ780300308201087.jpeg","Скачать индивидуальный QR-код магазина")</f>
        <v>Скачать индивидуальный QR-код магазина</v>
      </c>
    </row>
    <row r="7882" spans="1:7" x14ac:dyDescent="0.25">
      <c r="A7882" t="s">
        <v>18820</v>
      </c>
      <c r="B7882" t="s">
        <v>25518</v>
      </c>
      <c r="C7882" t="s">
        <v>798</v>
      </c>
      <c r="D7882" t="s">
        <v>799</v>
      </c>
      <c r="E7882" t="s">
        <v>800</v>
      </c>
      <c r="F7882" t="s">
        <v>25519</v>
      </c>
      <c r="G7882" s="2" t="str">
        <f>HYPERLINK("https://probpalata.gov.ru/files/ЮЛ780300308201094.jpeg","Скачать индивидуальный QR-код магазина")</f>
        <v>Скачать индивидуальный QR-код магазина</v>
      </c>
    </row>
    <row r="7883" spans="1:7" x14ac:dyDescent="0.25">
      <c r="A7883" t="s">
        <v>18820</v>
      </c>
      <c r="B7883" t="s">
        <v>25520</v>
      </c>
      <c r="C7883" t="s">
        <v>798</v>
      </c>
      <c r="D7883" t="s">
        <v>799</v>
      </c>
      <c r="E7883" t="s">
        <v>800</v>
      </c>
      <c r="F7883" t="s">
        <v>25521</v>
      </c>
      <c r="G7883" s="2" t="str">
        <f>HYPERLINK("https://probpalata.gov.ru/files/ЮЛ780300308201106.jpeg","Скачать индивидуальный QR-код магазина")</f>
        <v>Скачать индивидуальный QR-код магазина</v>
      </c>
    </row>
    <row r="7884" spans="1:7" x14ac:dyDescent="0.25">
      <c r="A7884" t="s">
        <v>18820</v>
      </c>
      <c r="B7884" t="s">
        <v>25522</v>
      </c>
      <c r="C7884" t="s">
        <v>798</v>
      </c>
      <c r="D7884" t="s">
        <v>799</v>
      </c>
      <c r="E7884" t="s">
        <v>800</v>
      </c>
      <c r="F7884" t="s">
        <v>25523</v>
      </c>
      <c r="G7884" s="2" t="str">
        <f>HYPERLINK("https://probpalata.gov.ru/files/ЮЛ780300308201107.jpeg","Скачать индивидуальный QR-код магазина")</f>
        <v>Скачать индивидуальный QR-код магазина</v>
      </c>
    </row>
    <row r="7885" spans="1:7" x14ac:dyDescent="0.25">
      <c r="A7885" t="s">
        <v>18820</v>
      </c>
      <c r="B7885" t="s">
        <v>25524</v>
      </c>
      <c r="C7885" t="s">
        <v>798</v>
      </c>
      <c r="D7885" t="s">
        <v>799</v>
      </c>
      <c r="E7885" t="s">
        <v>800</v>
      </c>
      <c r="F7885" t="s">
        <v>25525</v>
      </c>
      <c r="G7885" s="2" t="str">
        <f>HYPERLINK("https://probpalata.gov.ru/files/ЮЛ780300308201111.jpeg","Скачать индивидуальный QR-код магазина")</f>
        <v>Скачать индивидуальный QR-код магазина</v>
      </c>
    </row>
    <row r="7886" spans="1:7" x14ac:dyDescent="0.25">
      <c r="A7886" t="s">
        <v>18820</v>
      </c>
      <c r="B7886" t="s">
        <v>25526</v>
      </c>
      <c r="C7886" t="s">
        <v>798</v>
      </c>
      <c r="D7886" t="s">
        <v>799</v>
      </c>
      <c r="E7886" t="s">
        <v>800</v>
      </c>
      <c r="F7886" t="s">
        <v>25527</v>
      </c>
      <c r="G7886" s="2" t="str">
        <f>HYPERLINK("https://probpalata.gov.ru/files/ЮЛ780300308201114.jpeg","Скачать индивидуальный QR-код магазина")</f>
        <v>Скачать индивидуальный QR-код магазина</v>
      </c>
    </row>
    <row r="7887" spans="1:7" x14ac:dyDescent="0.25">
      <c r="A7887" t="s">
        <v>18820</v>
      </c>
      <c r="B7887" t="s">
        <v>25528</v>
      </c>
      <c r="C7887" t="s">
        <v>798</v>
      </c>
      <c r="D7887" t="s">
        <v>799</v>
      </c>
      <c r="E7887" t="s">
        <v>800</v>
      </c>
      <c r="F7887" t="s">
        <v>25529</v>
      </c>
      <c r="G7887" s="2" t="str">
        <f>HYPERLINK("https://probpalata.gov.ru/files/ЮЛ780300308201125.jpeg","Скачать индивидуальный QR-код магазина")</f>
        <v>Скачать индивидуальный QR-код магазина</v>
      </c>
    </row>
    <row r="7888" spans="1:7" x14ac:dyDescent="0.25">
      <c r="A7888" t="s">
        <v>18820</v>
      </c>
      <c r="B7888" t="s">
        <v>25530</v>
      </c>
      <c r="C7888" t="s">
        <v>798</v>
      </c>
      <c r="D7888" t="s">
        <v>799</v>
      </c>
      <c r="E7888" t="s">
        <v>800</v>
      </c>
      <c r="F7888" t="s">
        <v>25531</v>
      </c>
      <c r="G7888" s="2" t="str">
        <f>HYPERLINK("https://probpalata.gov.ru/files/ЮЛ780300308201126.jpeg","Скачать индивидуальный QR-код магазина")</f>
        <v>Скачать индивидуальный QR-код магазина</v>
      </c>
    </row>
    <row r="7889" spans="1:7" x14ac:dyDescent="0.25">
      <c r="A7889" t="s">
        <v>18820</v>
      </c>
      <c r="B7889" t="s">
        <v>25532</v>
      </c>
      <c r="C7889" t="s">
        <v>798</v>
      </c>
      <c r="D7889" t="s">
        <v>799</v>
      </c>
      <c r="E7889" t="s">
        <v>800</v>
      </c>
      <c r="F7889" t="s">
        <v>25533</v>
      </c>
      <c r="G7889" s="2" t="str">
        <f>HYPERLINK("https://probpalata.gov.ru/files/ЮЛ780300308201144.jpeg","Скачать индивидуальный QR-код магазина")</f>
        <v>Скачать индивидуальный QR-код магазина</v>
      </c>
    </row>
    <row r="7890" spans="1:7" x14ac:dyDescent="0.25">
      <c r="A7890" t="s">
        <v>18820</v>
      </c>
      <c r="B7890" t="s">
        <v>25534</v>
      </c>
      <c r="C7890" t="s">
        <v>798</v>
      </c>
      <c r="D7890" t="s">
        <v>799</v>
      </c>
      <c r="E7890" t="s">
        <v>800</v>
      </c>
      <c r="F7890" t="s">
        <v>25535</v>
      </c>
      <c r="G7890" s="2" t="str">
        <f>HYPERLINK("https://probpalata.gov.ru/files/ЮЛ780300308201157.jpeg","Скачать индивидуальный QR-код магазина")</f>
        <v>Скачать индивидуальный QR-код магазина</v>
      </c>
    </row>
    <row r="7891" spans="1:7" x14ac:dyDescent="0.25">
      <c r="A7891" t="s">
        <v>18820</v>
      </c>
      <c r="B7891" t="s">
        <v>25536</v>
      </c>
      <c r="C7891" t="s">
        <v>798</v>
      </c>
      <c r="D7891" t="s">
        <v>799</v>
      </c>
      <c r="E7891" t="s">
        <v>800</v>
      </c>
      <c r="F7891" t="s">
        <v>25537</v>
      </c>
      <c r="G7891" s="2" t="str">
        <f>HYPERLINK("https://probpalata.gov.ru/files/ЮЛ780300308201158.jpeg","Скачать индивидуальный QR-код магазина")</f>
        <v>Скачать индивидуальный QR-код магазина</v>
      </c>
    </row>
    <row r="7892" spans="1:7" x14ac:dyDescent="0.25">
      <c r="A7892" t="s">
        <v>18820</v>
      </c>
      <c r="B7892" t="s">
        <v>25538</v>
      </c>
      <c r="C7892" t="s">
        <v>798</v>
      </c>
      <c r="D7892" t="s">
        <v>799</v>
      </c>
      <c r="E7892" t="s">
        <v>800</v>
      </c>
      <c r="F7892" t="s">
        <v>25539</v>
      </c>
      <c r="G7892" s="2" t="str">
        <f>HYPERLINK("https://probpalata.gov.ru/files/ЮЛ780300308201160.jpeg","Скачать индивидуальный QR-код магазина")</f>
        <v>Скачать индивидуальный QR-код магазина</v>
      </c>
    </row>
    <row r="7893" spans="1:7" x14ac:dyDescent="0.25">
      <c r="A7893" t="s">
        <v>18820</v>
      </c>
      <c r="B7893" t="s">
        <v>25540</v>
      </c>
      <c r="C7893" t="s">
        <v>798</v>
      </c>
      <c r="D7893" t="s">
        <v>799</v>
      </c>
      <c r="E7893" t="s">
        <v>800</v>
      </c>
      <c r="F7893" t="s">
        <v>25541</v>
      </c>
      <c r="G7893" s="2" t="str">
        <f>HYPERLINK("https://probpalata.gov.ru/files/ЮЛ780300308201163.jpeg","Скачать индивидуальный QR-код магазина")</f>
        <v>Скачать индивидуальный QR-код магазина</v>
      </c>
    </row>
    <row r="7894" spans="1:7" x14ac:dyDescent="0.25">
      <c r="A7894" t="s">
        <v>18820</v>
      </c>
      <c r="B7894" t="s">
        <v>25542</v>
      </c>
      <c r="C7894" t="s">
        <v>798</v>
      </c>
      <c r="D7894" t="s">
        <v>799</v>
      </c>
      <c r="E7894" t="s">
        <v>800</v>
      </c>
      <c r="F7894" t="s">
        <v>25543</v>
      </c>
      <c r="G7894" s="2" t="str">
        <f>HYPERLINK("https://probpalata.gov.ru/files/ЮЛ780300308201190.jpeg","Скачать индивидуальный QR-код магазина")</f>
        <v>Скачать индивидуальный QR-код магазина</v>
      </c>
    </row>
    <row r="7895" spans="1:7" x14ac:dyDescent="0.25">
      <c r="A7895" t="s">
        <v>18820</v>
      </c>
      <c r="B7895" t="s">
        <v>25544</v>
      </c>
      <c r="C7895" t="s">
        <v>798</v>
      </c>
      <c r="D7895" t="s">
        <v>799</v>
      </c>
      <c r="E7895" t="s">
        <v>800</v>
      </c>
      <c r="F7895" t="s">
        <v>25545</v>
      </c>
      <c r="G7895" s="2" t="str">
        <f>HYPERLINK("https://probpalata.gov.ru/files/ЮЛ780300308201193.jpeg","Скачать индивидуальный QR-код магазина")</f>
        <v>Скачать индивидуальный QR-код магазина</v>
      </c>
    </row>
    <row r="7896" spans="1:7" x14ac:dyDescent="0.25">
      <c r="A7896" t="s">
        <v>18820</v>
      </c>
      <c r="B7896" t="s">
        <v>25546</v>
      </c>
      <c r="C7896" t="s">
        <v>798</v>
      </c>
      <c r="D7896" t="s">
        <v>799</v>
      </c>
      <c r="E7896" t="s">
        <v>800</v>
      </c>
      <c r="F7896" t="s">
        <v>25547</v>
      </c>
      <c r="G7896" s="2" t="str">
        <f>HYPERLINK("https://probpalata.gov.ru/files/ЮЛ780300308201203.jpeg","Скачать индивидуальный QR-код магазина")</f>
        <v>Скачать индивидуальный QR-код магазина</v>
      </c>
    </row>
    <row r="7897" spans="1:7" x14ac:dyDescent="0.25">
      <c r="A7897" t="s">
        <v>18820</v>
      </c>
      <c r="B7897" t="s">
        <v>25548</v>
      </c>
      <c r="C7897" t="s">
        <v>798</v>
      </c>
      <c r="D7897" t="s">
        <v>799</v>
      </c>
      <c r="E7897" t="s">
        <v>800</v>
      </c>
      <c r="F7897" t="s">
        <v>25549</v>
      </c>
      <c r="G7897" s="2" t="str">
        <f>HYPERLINK("https://probpalata.gov.ru/files/ЮЛ780300308201227.jpeg","Скачать индивидуальный QR-код магазина")</f>
        <v>Скачать индивидуальный QR-код магазина</v>
      </c>
    </row>
    <row r="7898" spans="1:7" x14ac:dyDescent="0.25">
      <c r="A7898" t="s">
        <v>18820</v>
      </c>
      <c r="B7898" t="s">
        <v>25550</v>
      </c>
      <c r="C7898" t="s">
        <v>798</v>
      </c>
      <c r="D7898" t="s">
        <v>799</v>
      </c>
      <c r="E7898" t="s">
        <v>800</v>
      </c>
      <c r="F7898" t="s">
        <v>25551</v>
      </c>
      <c r="G7898" s="2" t="str">
        <f>HYPERLINK("https://probpalata.gov.ru/files/ЮЛ780300308201240.jpeg","Скачать индивидуальный QR-код магазина")</f>
        <v>Скачать индивидуальный QR-код магазина</v>
      </c>
    </row>
    <row r="7899" spans="1:7" x14ac:dyDescent="0.25">
      <c r="A7899" t="s">
        <v>18820</v>
      </c>
      <c r="B7899" t="s">
        <v>25416</v>
      </c>
      <c r="C7899" t="s">
        <v>9483</v>
      </c>
      <c r="D7899" t="s">
        <v>9484</v>
      </c>
      <c r="E7899" t="s">
        <v>9485</v>
      </c>
      <c r="F7899" t="s">
        <v>25552</v>
      </c>
      <c r="G7899" s="2" t="str">
        <f>HYPERLINK("https://probpalata.gov.ru/files/ЮЛ780300379600021.jpeg","Скачать индивидуальный QR-код магазина")</f>
        <v>Скачать индивидуальный QR-код магазина</v>
      </c>
    </row>
    <row r="7900" spans="1:7" x14ac:dyDescent="0.25">
      <c r="A7900" t="s">
        <v>18820</v>
      </c>
      <c r="B7900" t="s">
        <v>25553</v>
      </c>
      <c r="C7900" t="s">
        <v>9483</v>
      </c>
      <c r="D7900" t="s">
        <v>9484</v>
      </c>
      <c r="E7900" t="s">
        <v>9485</v>
      </c>
      <c r="F7900" t="s">
        <v>25554</v>
      </c>
      <c r="G7900" s="2" t="str">
        <f>HYPERLINK("https://probpalata.gov.ru/files/ЮЛ780300379600022.jpeg","Скачать индивидуальный QR-код магазина")</f>
        <v>Скачать индивидуальный QR-код магазина</v>
      </c>
    </row>
    <row r="7901" spans="1:7" x14ac:dyDescent="0.25">
      <c r="A7901" t="s">
        <v>18820</v>
      </c>
      <c r="B7901" t="s">
        <v>25555</v>
      </c>
      <c r="C7901" t="s">
        <v>9483</v>
      </c>
      <c r="D7901" t="s">
        <v>9484</v>
      </c>
      <c r="E7901" t="s">
        <v>9485</v>
      </c>
      <c r="F7901" t="s">
        <v>25556</v>
      </c>
      <c r="G7901" s="2" t="str">
        <f>HYPERLINK("https://probpalata.gov.ru/files/ЮЛ780300379600023.jpeg","Скачать индивидуальный QR-код магазина")</f>
        <v>Скачать индивидуальный QR-код магазина</v>
      </c>
    </row>
    <row r="7902" spans="1:7" x14ac:dyDescent="0.25">
      <c r="A7902" t="s">
        <v>18820</v>
      </c>
      <c r="B7902" t="s">
        <v>25557</v>
      </c>
      <c r="C7902" t="s">
        <v>9483</v>
      </c>
      <c r="D7902" t="s">
        <v>9484</v>
      </c>
      <c r="E7902" t="s">
        <v>9485</v>
      </c>
      <c r="F7902" t="s">
        <v>25558</v>
      </c>
      <c r="G7902" s="2" t="str">
        <f>HYPERLINK("https://probpalata.gov.ru/files/ЮЛ780300379600024.jpeg","Скачать индивидуальный QR-код магазина")</f>
        <v>Скачать индивидуальный QR-код магазина</v>
      </c>
    </row>
    <row r="7903" spans="1:7" x14ac:dyDescent="0.25">
      <c r="A7903" t="s">
        <v>18820</v>
      </c>
      <c r="B7903" t="s">
        <v>25559</v>
      </c>
      <c r="C7903" t="s">
        <v>9483</v>
      </c>
      <c r="D7903" t="s">
        <v>9484</v>
      </c>
      <c r="E7903" t="s">
        <v>9485</v>
      </c>
      <c r="F7903" t="s">
        <v>25560</v>
      </c>
      <c r="G7903" s="2" t="str">
        <f>HYPERLINK("https://probpalata.gov.ru/files/ЮЛ780300379600025.jpeg","Скачать индивидуальный QR-код магазина")</f>
        <v>Скачать индивидуальный QR-код магазина</v>
      </c>
    </row>
    <row r="7904" spans="1:7" x14ac:dyDescent="0.25">
      <c r="A7904" t="s">
        <v>18820</v>
      </c>
      <c r="B7904" t="s">
        <v>25561</v>
      </c>
      <c r="C7904" t="s">
        <v>9483</v>
      </c>
      <c r="D7904" t="s">
        <v>9484</v>
      </c>
      <c r="E7904" t="s">
        <v>9485</v>
      </c>
      <c r="F7904" t="s">
        <v>25562</v>
      </c>
      <c r="G7904" s="2" t="str">
        <f>HYPERLINK("https://probpalata.gov.ru/files/ЮЛ780300379600026.jpeg","Скачать индивидуальный QR-код магазина")</f>
        <v>Скачать индивидуальный QR-код магазина</v>
      </c>
    </row>
    <row r="7905" spans="1:7" x14ac:dyDescent="0.25">
      <c r="A7905" t="s">
        <v>18820</v>
      </c>
      <c r="B7905" t="s">
        <v>25563</v>
      </c>
      <c r="C7905" t="s">
        <v>9483</v>
      </c>
      <c r="D7905" t="s">
        <v>9484</v>
      </c>
      <c r="E7905" t="s">
        <v>9485</v>
      </c>
      <c r="F7905" t="s">
        <v>25564</v>
      </c>
      <c r="G7905" s="2" t="str">
        <f>HYPERLINK("https://probpalata.gov.ru/files/ЮЛ780300379600061.jpeg","Скачать индивидуальный QR-код магазина")</f>
        <v>Скачать индивидуальный QR-код магазина</v>
      </c>
    </row>
    <row r="7906" spans="1:7" x14ac:dyDescent="0.25">
      <c r="A7906" t="s">
        <v>18820</v>
      </c>
      <c r="B7906" t="s">
        <v>25565</v>
      </c>
      <c r="C7906" t="s">
        <v>823</v>
      </c>
      <c r="D7906" t="s">
        <v>824</v>
      </c>
      <c r="E7906" t="s">
        <v>825</v>
      </c>
      <c r="F7906" t="s">
        <v>25566</v>
      </c>
      <c r="G7906" s="2" t="str">
        <f>HYPERLINK("https://probpalata.gov.ru/files/ЮЛ780300363500344.jpeg","Скачать индивидуальный QR-код магазина")</f>
        <v>Скачать индивидуальный QR-код магазина</v>
      </c>
    </row>
    <row r="7907" spans="1:7" x14ac:dyDescent="0.25">
      <c r="A7907" t="s">
        <v>18820</v>
      </c>
      <c r="B7907" t="s">
        <v>25567</v>
      </c>
      <c r="C7907" t="s">
        <v>823</v>
      </c>
      <c r="D7907" t="s">
        <v>824</v>
      </c>
      <c r="E7907" t="s">
        <v>825</v>
      </c>
      <c r="F7907" t="s">
        <v>25568</v>
      </c>
      <c r="G7907" s="2" t="str">
        <f>HYPERLINK("https://probpalata.gov.ru/files/ЮЛ780300363500349.jpeg","Скачать индивидуальный QR-код магазина")</f>
        <v>Скачать индивидуальный QR-код магазина</v>
      </c>
    </row>
    <row r="7908" spans="1:7" x14ac:dyDescent="0.25">
      <c r="A7908" t="s">
        <v>18820</v>
      </c>
      <c r="B7908" t="s">
        <v>25569</v>
      </c>
      <c r="C7908" t="s">
        <v>823</v>
      </c>
      <c r="D7908" t="s">
        <v>824</v>
      </c>
      <c r="E7908" t="s">
        <v>825</v>
      </c>
      <c r="F7908" t="s">
        <v>25570</v>
      </c>
      <c r="G7908" s="2" t="str">
        <f>HYPERLINK("https://probpalata.gov.ru/files/ЮЛ780300363500355.jpeg","Скачать индивидуальный QR-код магазина")</f>
        <v>Скачать индивидуальный QR-код магазина</v>
      </c>
    </row>
    <row r="7909" spans="1:7" x14ac:dyDescent="0.25">
      <c r="A7909" t="s">
        <v>18820</v>
      </c>
      <c r="B7909" t="s">
        <v>25571</v>
      </c>
      <c r="C7909" t="s">
        <v>18008</v>
      </c>
      <c r="D7909" t="s">
        <v>18009</v>
      </c>
      <c r="E7909" t="s">
        <v>18010</v>
      </c>
      <c r="F7909" t="s">
        <v>25572</v>
      </c>
      <c r="G7909" s="2" t="str">
        <f>HYPERLINK("https://probpalata.gov.ru/files/ИП780300084400006.jpeg","Скачать индивидуальный QR-код магазина")</f>
        <v>Скачать индивидуальный QR-код магазина</v>
      </c>
    </row>
    <row r="7910" spans="1:7" x14ac:dyDescent="0.25">
      <c r="A7910" t="s">
        <v>18820</v>
      </c>
      <c r="B7910" t="s">
        <v>25573</v>
      </c>
      <c r="C7910" t="s">
        <v>25574</v>
      </c>
      <c r="D7910" t="s">
        <v>25575</v>
      </c>
      <c r="E7910" t="s">
        <v>25576</v>
      </c>
      <c r="F7910" t="s">
        <v>25577</v>
      </c>
      <c r="G7910" s="2" t="str">
        <f>HYPERLINK("https://probpalata.gov.ru/files/ИП780300315400000.jpeg","Скачать индивидуальный QR-код магазина")</f>
        <v>Скачать индивидуальный QR-код магазина</v>
      </c>
    </row>
    <row r="7911" spans="1:7" x14ac:dyDescent="0.25">
      <c r="A7911" t="s">
        <v>18820</v>
      </c>
      <c r="B7911" t="s">
        <v>25578</v>
      </c>
      <c r="C7911" t="s">
        <v>25579</v>
      </c>
      <c r="D7911" t="s">
        <v>25580</v>
      </c>
      <c r="E7911" t="s">
        <v>25581</v>
      </c>
      <c r="F7911" t="s">
        <v>25582</v>
      </c>
      <c r="G7911" s="2" t="str">
        <f>HYPERLINK("https://probpalata.gov.ru/files/ИП780303927500000.jpeg","Скачать индивидуальный QR-код магазина")</f>
        <v>Скачать индивидуальный QR-код магазина</v>
      </c>
    </row>
    <row r="7912" spans="1:7" x14ac:dyDescent="0.25">
      <c r="A7912" t="s">
        <v>18820</v>
      </c>
      <c r="B7912" t="s">
        <v>25583</v>
      </c>
      <c r="C7912" t="s">
        <v>1490</v>
      </c>
      <c r="D7912" t="s">
        <v>1491</v>
      </c>
      <c r="E7912" t="s">
        <v>1492</v>
      </c>
      <c r="F7912" t="s">
        <v>25584</v>
      </c>
      <c r="G7912" s="2" t="str">
        <f>HYPERLINK("https://probpalata.gov.ru/files/ЮЛ780301261200046.jpeg","Скачать индивидуальный QR-код магазина")</f>
        <v>Скачать индивидуальный QR-код магазина</v>
      </c>
    </row>
    <row r="7913" spans="1:7" x14ac:dyDescent="0.25">
      <c r="A7913" t="s">
        <v>18820</v>
      </c>
      <c r="B7913" t="s">
        <v>25585</v>
      </c>
      <c r="C7913" t="s">
        <v>1490</v>
      </c>
      <c r="D7913" t="s">
        <v>1491</v>
      </c>
      <c r="E7913" t="s">
        <v>1492</v>
      </c>
      <c r="F7913" t="s">
        <v>25586</v>
      </c>
      <c r="G7913" s="2" t="str">
        <f>HYPERLINK("https://probpalata.gov.ru/files/ЮЛ780301261200052.jpeg","Скачать индивидуальный QR-код магазина")</f>
        <v>Скачать индивидуальный QR-код магазина</v>
      </c>
    </row>
    <row r="7914" spans="1:7" x14ac:dyDescent="0.25">
      <c r="A7914" t="s">
        <v>18820</v>
      </c>
      <c r="B7914" t="s">
        <v>25587</v>
      </c>
      <c r="C7914" t="s">
        <v>1490</v>
      </c>
      <c r="D7914" t="s">
        <v>1491</v>
      </c>
      <c r="E7914" t="s">
        <v>1492</v>
      </c>
      <c r="F7914" t="s">
        <v>25588</v>
      </c>
      <c r="G7914" s="2" t="str">
        <f>HYPERLINK("https://probpalata.gov.ru/files/ЮЛ780301261200057.jpeg","Скачать индивидуальный QR-код магазина")</f>
        <v>Скачать индивидуальный QR-код магазина</v>
      </c>
    </row>
    <row r="7915" spans="1:7" x14ac:dyDescent="0.25">
      <c r="A7915" t="s">
        <v>18820</v>
      </c>
      <c r="B7915" t="s">
        <v>25589</v>
      </c>
      <c r="C7915" t="s">
        <v>1490</v>
      </c>
      <c r="D7915" t="s">
        <v>1491</v>
      </c>
      <c r="E7915" t="s">
        <v>1492</v>
      </c>
      <c r="F7915" t="s">
        <v>25590</v>
      </c>
      <c r="G7915" s="2" t="str">
        <f>HYPERLINK("https://probpalata.gov.ru/files/ЮЛ780301261200060.jpeg","Скачать индивидуальный QR-код магазина")</f>
        <v>Скачать индивидуальный QR-код магазина</v>
      </c>
    </row>
    <row r="7916" spans="1:7" x14ac:dyDescent="0.25">
      <c r="A7916" t="s">
        <v>18820</v>
      </c>
      <c r="B7916" t="s">
        <v>25591</v>
      </c>
      <c r="C7916" t="s">
        <v>1490</v>
      </c>
      <c r="D7916" t="s">
        <v>1491</v>
      </c>
      <c r="E7916" t="s">
        <v>1492</v>
      </c>
      <c r="F7916" t="s">
        <v>25592</v>
      </c>
      <c r="G7916" s="2" t="str">
        <f>HYPERLINK("https://probpalata.gov.ru/files/ЮЛ780301261200061.jpeg","Скачать индивидуальный QR-код магазина")</f>
        <v>Скачать индивидуальный QR-код магазина</v>
      </c>
    </row>
    <row r="7917" spans="1:7" x14ac:dyDescent="0.25">
      <c r="A7917" t="s">
        <v>18820</v>
      </c>
      <c r="B7917" t="s">
        <v>25593</v>
      </c>
      <c r="C7917" t="s">
        <v>1490</v>
      </c>
      <c r="D7917" t="s">
        <v>1491</v>
      </c>
      <c r="E7917" t="s">
        <v>1492</v>
      </c>
      <c r="F7917" t="s">
        <v>25594</v>
      </c>
      <c r="G7917" s="2" t="str">
        <f>HYPERLINK("https://probpalata.gov.ru/files/ЮЛ780301261200062.jpeg","Скачать индивидуальный QR-код магазина")</f>
        <v>Скачать индивидуальный QR-код магазина</v>
      </c>
    </row>
    <row r="7918" spans="1:7" x14ac:dyDescent="0.25">
      <c r="A7918" t="s">
        <v>18820</v>
      </c>
      <c r="B7918" t="s">
        <v>25595</v>
      </c>
      <c r="C7918" t="s">
        <v>1490</v>
      </c>
      <c r="D7918" t="s">
        <v>1491</v>
      </c>
      <c r="E7918" t="s">
        <v>1492</v>
      </c>
      <c r="F7918" t="s">
        <v>25596</v>
      </c>
      <c r="G7918" s="2" t="str">
        <f>HYPERLINK("https://probpalata.gov.ru/files/ЮЛ780301261200063.jpeg","Скачать индивидуальный QR-код магазина")</f>
        <v>Скачать индивидуальный QR-код магазина</v>
      </c>
    </row>
    <row r="7919" spans="1:7" x14ac:dyDescent="0.25">
      <c r="A7919" t="s">
        <v>18820</v>
      </c>
      <c r="B7919" t="s">
        <v>25597</v>
      </c>
      <c r="C7919" t="s">
        <v>1490</v>
      </c>
      <c r="D7919" t="s">
        <v>1491</v>
      </c>
      <c r="E7919" t="s">
        <v>1492</v>
      </c>
      <c r="F7919" t="s">
        <v>25598</v>
      </c>
      <c r="G7919" s="2" t="str">
        <f>HYPERLINK("https://probpalata.gov.ru/files/ЮЛ780301261200064.jpeg","Скачать индивидуальный QR-код магазина")</f>
        <v>Скачать индивидуальный QR-код магазина</v>
      </c>
    </row>
    <row r="7920" spans="1:7" x14ac:dyDescent="0.25">
      <c r="A7920" t="s">
        <v>18820</v>
      </c>
      <c r="B7920" t="s">
        <v>25599</v>
      </c>
      <c r="C7920" t="s">
        <v>1490</v>
      </c>
      <c r="D7920" t="s">
        <v>1491</v>
      </c>
      <c r="E7920" t="s">
        <v>1492</v>
      </c>
      <c r="F7920" t="s">
        <v>25600</v>
      </c>
      <c r="G7920" s="2" t="str">
        <f>HYPERLINK("https://probpalata.gov.ru/files/ЮЛ780301261200065.jpeg","Скачать индивидуальный QR-код магазина")</f>
        <v>Скачать индивидуальный QR-код магазина</v>
      </c>
    </row>
    <row r="7921" spans="1:7" x14ac:dyDescent="0.25">
      <c r="A7921" t="s">
        <v>18820</v>
      </c>
      <c r="B7921" t="s">
        <v>25601</v>
      </c>
      <c r="C7921" t="s">
        <v>25602</v>
      </c>
      <c r="D7921" t="s">
        <v>25603</v>
      </c>
      <c r="E7921" t="s">
        <v>25604</v>
      </c>
      <c r="F7921" t="s">
        <v>25605</v>
      </c>
      <c r="G7921" s="2" t="str">
        <f>HYPERLINK("https://probpalata.gov.ru/files/ИП780301491000000.jpeg","Скачать индивидуальный QR-код магазина")</f>
        <v>Скачать индивидуальный QR-код магазина</v>
      </c>
    </row>
    <row r="7922" spans="1:7" x14ac:dyDescent="0.25">
      <c r="A7922" t="s">
        <v>18820</v>
      </c>
      <c r="B7922" t="s">
        <v>25606</v>
      </c>
      <c r="C7922" t="s">
        <v>25607</v>
      </c>
      <c r="D7922" t="s">
        <v>25608</v>
      </c>
      <c r="E7922" t="s">
        <v>25609</v>
      </c>
      <c r="F7922" t="s">
        <v>25610</v>
      </c>
      <c r="G7922" s="2" t="str">
        <f>HYPERLINK("https://probpalata.gov.ru/files/ИП780301721400000.jpeg","Скачать индивидуальный QR-код магазина")</f>
        <v>Скачать индивидуальный QR-код магазина</v>
      </c>
    </row>
    <row r="7923" spans="1:7" x14ac:dyDescent="0.25">
      <c r="A7923" t="s">
        <v>18820</v>
      </c>
      <c r="B7923" t="s">
        <v>25611</v>
      </c>
      <c r="C7923" t="s">
        <v>5250</v>
      </c>
      <c r="D7923" t="s">
        <v>5251</v>
      </c>
      <c r="E7923" t="s">
        <v>5252</v>
      </c>
      <c r="F7923" t="s">
        <v>25612</v>
      </c>
      <c r="G7923" s="2" t="str">
        <f>HYPERLINK("https://probpalata.gov.ru/files/ИП780303664800001.jpeg","Скачать индивидуальный QR-код магазина")</f>
        <v>Скачать индивидуальный QR-код магазина</v>
      </c>
    </row>
    <row r="7924" spans="1:7" x14ac:dyDescent="0.25">
      <c r="A7924" t="s">
        <v>18820</v>
      </c>
      <c r="B7924" t="s">
        <v>25613</v>
      </c>
      <c r="C7924" t="s">
        <v>5250</v>
      </c>
      <c r="D7924" t="s">
        <v>5251</v>
      </c>
      <c r="E7924" t="s">
        <v>5252</v>
      </c>
      <c r="F7924" t="s">
        <v>25614</v>
      </c>
      <c r="G7924" s="2" t="str">
        <f>HYPERLINK("https://probpalata.gov.ru/files/ИП780303664800003.jpeg","Скачать индивидуальный QR-код магазина")</f>
        <v>Скачать индивидуальный QR-код магазина</v>
      </c>
    </row>
    <row r="7925" spans="1:7" x14ac:dyDescent="0.25">
      <c r="A7925" t="s">
        <v>18820</v>
      </c>
      <c r="B7925" t="s">
        <v>25615</v>
      </c>
      <c r="C7925" t="s">
        <v>5250</v>
      </c>
      <c r="D7925" t="s">
        <v>5251</v>
      </c>
      <c r="E7925" t="s">
        <v>5252</v>
      </c>
      <c r="F7925" t="s">
        <v>25616</v>
      </c>
      <c r="G7925" s="2" t="str">
        <f>HYPERLINK("https://probpalata.gov.ru/files/ИП780303664800005.jpeg","Скачать индивидуальный QR-код магазина")</f>
        <v>Скачать индивидуальный QR-код магазина</v>
      </c>
    </row>
    <row r="7926" spans="1:7" x14ac:dyDescent="0.25">
      <c r="A7926" t="s">
        <v>18820</v>
      </c>
      <c r="B7926" t="s">
        <v>25617</v>
      </c>
      <c r="C7926" t="s">
        <v>25618</v>
      </c>
      <c r="D7926" t="s">
        <v>25619</v>
      </c>
      <c r="E7926" t="s">
        <v>25620</v>
      </c>
      <c r="F7926" t="s">
        <v>25621</v>
      </c>
      <c r="G7926" s="2" t="str">
        <f>HYPERLINK("https://probpalata.gov.ru/files/ЮЛ780300880400021.jpeg","Скачать индивидуальный QR-код магазина")</f>
        <v>Скачать индивидуальный QR-код магазина</v>
      </c>
    </row>
    <row r="7927" spans="1:7" x14ac:dyDescent="0.25">
      <c r="A7927" t="s">
        <v>18820</v>
      </c>
      <c r="B7927" t="s">
        <v>23939</v>
      </c>
      <c r="C7927" t="s">
        <v>25618</v>
      </c>
      <c r="D7927" t="s">
        <v>25619</v>
      </c>
      <c r="E7927" t="s">
        <v>25620</v>
      </c>
      <c r="F7927" t="s">
        <v>25622</v>
      </c>
      <c r="G7927" s="2" t="str">
        <f>HYPERLINK("https://probpalata.gov.ru/files/ЮЛ780300880400022.jpeg","Скачать индивидуальный QR-код магазина")</f>
        <v>Скачать индивидуальный QR-код магазина</v>
      </c>
    </row>
    <row r="7928" spans="1:7" x14ac:dyDescent="0.25">
      <c r="A7928" t="s">
        <v>18820</v>
      </c>
      <c r="B7928" t="s">
        <v>25430</v>
      </c>
      <c r="C7928" t="s">
        <v>25618</v>
      </c>
      <c r="D7928" t="s">
        <v>25619</v>
      </c>
      <c r="E7928" t="s">
        <v>25620</v>
      </c>
      <c r="F7928" t="s">
        <v>25623</v>
      </c>
      <c r="G7928" s="2" t="str">
        <f>HYPERLINK("https://probpalata.gov.ru/files/ЮЛ780300880400023.jpeg","Скачать индивидуальный QR-код магазина")</f>
        <v>Скачать индивидуальный QR-код магазина</v>
      </c>
    </row>
    <row r="7929" spans="1:7" x14ac:dyDescent="0.25">
      <c r="A7929" t="s">
        <v>18820</v>
      </c>
      <c r="B7929" t="s">
        <v>25624</v>
      </c>
      <c r="C7929" t="s">
        <v>25618</v>
      </c>
      <c r="D7929" t="s">
        <v>25619</v>
      </c>
      <c r="E7929" t="s">
        <v>25620</v>
      </c>
      <c r="F7929" t="s">
        <v>25625</v>
      </c>
      <c r="G7929" s="2" t="str">
        <f>HYPERLINK("https://probpalata.gov.ru/files/ЮЛ780300880400024.jpeg","Скачать индивидуальный QR-код магазина")</f>
        <v>Скачать индивидуальный QR-код магазина</v>
      </c>
    </row>
    <row r="7930" spans="1:7" x14ac:dyDescent="0.25">
      <c r="A7930" t="s">
        <v>18820</v>
      </c>
      <c r="B7930" t="s">
        <v>25626</v>
      </c>
      <c r="C7930" t="s">
        <v>25627</v>
      </c>
      <c r="D7930" t="s">
        <v>25628</v>
      </c>
      <c r="E7930" t="s">
        <v>25629</v>
      </c>
      <c r="F7930" t="s">
        <v>25630</v>
      </c>
      <c r="G7930" s="2" t="str">
        <f>HYPERLINK("https://probpalata.gov.ru/files/ИП780301068000001.jpeg","Скачать индивидуальный QR-код магазина")</f>
        <v>Скачать индивидуальный QR-код магазина</v>
      </c>
    </row>
    <row r="7931" spans="1:7" x14ac:dyDescent="0.25">
      <c r="A7931" t="s">
        <v>18820</v>
      </c>
      <c r="B7931" t="s">
        <v>25631</v>
      </c>
      <c r="C7931" t="s">
        <v>25632</v>
      </c>
      <c r="D7931" t="s">
        <v>25633</v>
      </c>
      <c r="E7931" t="s">
        <v>25634</v>
      </c>
      <c r="F7931" t="s">
        <v>25635</v>
      </c>
      <c r="G7931" s="2" t="str">
        <f>HYPERLINK("https://probpalata.gov.ru/files/ИП780300315200000.jpeg","Скачать индивидуальный QR-код магазина")</f>
        <v>Скачать индивидуальный QR-код магазина</v>
      </c>
    </row>
    <row r="7932" spans="1:7" x14ac:dyDescent="0.25">
      <c r="A7932" t="s">
        <v>18820</v>
      </c>
      <c r="B7932" t="s">
        <v>25636</v>
      </c>
      <c r="C7932" t="s">
        <v>25637</v>
      </c>
      <c r="D7932" t="s">
        <v>25638</v>
      </c>
      <c r="E7932" t="s">
        <v>25639</v>
      </c>
      <c r="F7932" t="s">
        <v>25640</v>
      </c>
      <c r="G7932" s="2" t="str">
        <f>HYPERLINK("https://probpalata.gov.ru/files/ИП770100948000000.jpeg","Скачать индивидуальный QR-код магазина")</f>
        <v>Скачать индивидуальный QR-код магазина</v>
      </c>
    </row>
    <row r="7933" spans="1:7" x14ac:dyDescent="0.25">
      <c r="A7933" t="s">
        <v>18820</v>
      </c>
      <c r="B7933" t="s">
        <v>25641</v>
      </c>
      <c r="C7933" t="s">
        <v>25637</v>
      </c>
      <c r="D7933" t="s">
        <v>25638</v>
      </c>
      <c r="E7933" t="s">
        <v>25639</v>
      </c>
      <c r="F7933" t="s">
        <v>25642</v>
      </c>
      <c r="G7933" s="2" t="str">
        <f>HYPERLINK("https://probpalata.gov.ru/files/ИП770100948000001.jpeg","Скачать индивидуальный QR-код магазина")</f>
        <v>Скачать индивидуальный QR-код магазина</v>
      </c>
    </row>
    <row r="7934" spans="1:7" x14ac:dyDescent="0.25">
      <c r="A7934" t="s">
        <v>18820</v>
      </c>
      <c r="B7934" t="s">
        <v>23470</v>
      </c>
      <c r="C7934" t="s">
        <v>25643</v>
      </c>
      <c r="D7934" t="s">
        <v>25644</v>
      </c>
      <c r="E7934" t="s">
        <v>25645</v>
      </c>
      <c r="F7934" t="s">
        <v>25646</v>
      </c>
      <c r="G7934" s="2" t="str">
        <f>HYPERLINK("https://probpalata.gov.ru/files/ЮЛ770104032300001.jpeg","Скачать индивидуальный QR-код магазина")</f>
        <v>Скачать индивидуальный QR-код магазина</v>
      </c>
    </row>
    <row r="7935" spans="1:7" x14ac:dyDescent="0.25">
      <c r="A7935" t="s">
        <v>18820</v>
      </c>
      <c r="B7935" t="s">
        <v>25647</v>
      </c>
      <c r="C7935" t="s">
        <v>25648</v>
      </c>
      <c r="D7935" t="s">
        <v>25649</v>
      </c>
      <c r="E7935" t="s">
        <v>25650</v>
      </c>
      <c r="F7935" t="s">
        <v>25651</v>
      </c>
      <c r="G7935" s="2" t="str">
        <f>HYPERLINK("https://probpalata.gov.ru/files/ИП770100092400000.jpeg","Скачать индивидуальный QR-код магазина")</f>
        <v>Скачать индивидуальный QR-код магазина</v>
      </c>
    </row>
    <row r="7936" spans="1:7" x14ac:dyDescent="0.25">
      <c r="A7936" t="s">
        <v>18820</v>
      </c>
      <c r="B7936" t="s">
        <v>25652</v>
      </c>
      <c r="C7936" t="s">
        <v>25653</v>
      </c>
      <c r="D7936" t="s">
        <v>25654</v>
      </c>
      <c r="E7936" t="s">
        <v>25655</v>
      </c>
      <c r="F7936" t="s">
        <v>25656</v>
      </c>
      <c r="G7936" s="2" t="str">
        <f>HYPERLINK("https://probpalata.gov.ru/files/ИП500101767900000.jpeg","Скачать индивидуальный QR-код магазина")</f>
        <v>Скачать индивидуальный QR-код магазина</v>
      </c>
    </row>
    <row r="7937" spans="1:7" x14ac:dyDescent="0.25">
      <c r="A7937" t="s">
        <v>18820</v>
      </c>
      <c r="B7937" t="s">
        <v>25657</v>
      </c>
      <c r="C7937" t="s">
        <v>25658</v>
      </c>
      <c r="D7937" t="s">
        <v>25659</v>
      </c>
      <c r="E7937" t="s">
        <v>25660</v>
      </c>
      <c r="F7937" t="s">
        <v>25661</v>
      </c>
      <c r="G7937" s="2" t="str">
        <f>HYPERLINK("https://probpalata.gov.ru/files/ИП770100132400000.jpeg","Скачать индивидуальный QR-код магазина")</f>
        <v>Скачать индивидуальный QR-код магазина</v>
      </c>
    </row>
    <row r="7938" spans="1:7" x14ac:dyDescent="0.25">
      <c r="A7938" t="s">
        <v>18820</v>
      </c>
      <c r="B7938" t="s">
        <v>25662</v>
      </c>
      <c r="C7938" t="s">
        <v>25663</v>
      </c>
      <c r="D7938" t="s">
        <v>25664</v>
      </c>
      <c r="E7938" t="s">
        <v>25665</v>
      </c>
      <c r="F7938" t="s">
        <v>25666</v>
      </c>
      <c r="G7938" s="2" t="str">
        <f>HYPERLINK("https://probpalata.gov.ru/files/ИП340401962100000.jpeg","Скачать индивидуальный QR-код магазина")</f>
        <v>Скачать индивидуальный QR-код магазина</v>
      </c>
    </row>
    <row r="7939" spans="1:7" x14ac:dyDescent="0.25">
      <c r="A7939" t="s">
        <v>18820</v>
      </c>
      <c r="B7939" t="s">
        <v>22948</v>
      </c>
      <c r="C7939" t="s">
        <v>25667</v>
      </c>
      <c r="D7939" t="s">
        <v>25668</v>
      </c>
      <c r="E7939" t="s">
        <v>25669</v>
      </c>
      <c r="F7939" t="s">
        <v>25670</v>
      </c>
      <c r="G7939" s="2" t="str">
        <f>HYPERLINK("https://probpalata.gov.ru/files/ИП890703924500000.jpeg","Скачать индивидуальный QR-код магазина")</f>
        <v>Скачать индивидуальный QR-код магазина</v>
      </c>
    </row>
    <row r="7940" spans="1:7" x14ac:dyDescent="0.25">
      <c r="A7940" t="s">
        <v>18820</v>
      </c>
      <c r="B7940" t="s">
        <v>25671</v>
      </c>
      <c r="C7940" t="s">
        <v>7841</v>
      </c>
      <c r="D7940" t="s">
        <v>7842</v>
      </c>
      <c r="E7940" t="s">
        <v>7843</v>
      </c>
      <c r="F7940" t="s">
        <v>25672</v>
      </c>
      <c r="G7940" s="2" t="str">
        <f>HYPERLINK("https://probpalata.gov.ru/files/ЮЛ900403653600000.jpeg","Скачать индивидуальный QR-код магазина")</f>
        <v>Скачать индивидуальный QR-код магазина</v>
      </c>
    </row>
    <row r="7941" spans="1:7" x14ac:dyDescent="0.25">
      <c r="A7941" t="s">
        <v>18820</v>
      </c>
      <c r="B7941" t="s">
        <v>25673</v>
      </c>
      <c r="C7941" t="s">
        <v>25674</v>
      </c>
      <c r="D7941" t="s">
        <v>25675</v>
      </c>
      <c r="E7941" t="s">
        <v>25676</v>
      </c>
      <c r="F7941" t="s">
        <v>25677</v>
      </c>
      <c r="G7941" s="2" t="str">
        <f>HYPERLINK("https://probpalata.gov.ru/files/ЮЛ820400992900004.jpeg","Скачать индивидуальный QR-код магазина")</f>
        <v>Скачать индивидуальный QR-код магазина</v>
      </c>
    </row>
    <row r="7942" spans="1:7" x14ac:dyDescent="0.25">
      <c r="A7942" t="s">
        <v>18820</v>
      </c>
      <c r="B7942" t="s">
        <v>25678</v>
      </c>
      <c r="C7942" t="s">
        <v>25674</v>
      </c>
      <c r="D7942" t="s">
        <v>25675</v>
      </c>
      <c r="E7942" t="s">
        <v>25676</v>
      </c>
      <c r="F7942" t="s">
        <v>25679</v>
      </c>
      <c r="G7942" s="2" t="str">
        <f>HYPERLINK("https://probpalata.gov.ru/files/ЮЛ820400992900005.jpeg","Скачать индивидуальный QR-код магазина")</f>
        <v>Скачать индивидуальный QR-код магазина</v>
      </c>
    </row>
    <row r="7943" spans="1:7" x14ac:dyDescent="0.25">
      <c r="A7943" t="s">
        <v>18820</v>
      </c>
      <c r="B7943" t="s">
        <v>25680</v>
      </c>
      <c r="C7943" t="s">
        <v>25681</v>
      </c>
      <c r="D7943" t="s">
        <v>25682</v>
      </c>
      <c r="E7943" t="s">
        <v>25683</v>
      </c>
      <c r="F7943" t="s">
        <v>25684</v>
      </c>
      <c r="G7943" s="2" t="str">
        <f>HYPERLINK("https://probpalata.gov.ru/files/ИП770103624300001.jpeg","Скачать индивидуальный QR-код магазина")</f>
        <v>Скачать индивидуальный QR-код магазина</v>
      </c>
    </row>
    <row r="7944" spans="1:7" x14ac:dyDescent="0.25">
      <c r="A7944" t="s">
        <v>18820</v>
      </c>
      <c r="B7944" t="s">
        <v>25685</v>
      </c>
      <c r="C7944" t="s">
        <v>25686</v>
      </c>
      <c r="D7944" t="s">
        <v>25687</v>
      </c>
      <c r="E7944" t="s">
        <v>25688</v>
      </c>
      <c r="F7944" t="s">
        <v>25689</v>
      </c>
      <c r="G7944" s="2" t="str">
        <f>HYPERLINK("https://probpalata.gov.ru/files/ИП500103719300000.jpeg","Скачать индивидуальный QR-код магазина")</f>
        <v>Скачать индивидуальный QR-код магазина</v>
      </c>
    </row>
    <row r="7945" spans="1:7" x14ac:dyDescent="0.25">
      <c r="A7945" t="s">
        <v>18820</v>
      </c>
      <c r="B7945" t="s">
        <v>25690</v>
      </c>
      <c r="C7945" t="s">
        <v>15574</v>
      </c>
      <c r="D7945" t="s">
        <v>15575</v>
      </c>
      <c r="E7945" t="s">
        <v>15576</v>
      </c>
      <c r="F7945" t="s">
        <v>25691</v>
      </c>
      <c r="G7945" s="2" t="str">
        <f>HYPERLINK("https://probpalata.gov.ru/files/ИП820400991100000.jpeg","Скачать индивидуальный QR-код магазина")</f>
        <v>Скачать индивидуальный QR-код магазина</v>
      </c>
    </row>
    <row r="7946" spans="1:7" x14ac:dyDescent="0.25">
      <c r="A7946" t="s">
        <v>18820</v>
      </c>
      <c r="B7946" t="s">
        <v>25692</v>
      </c>
      <c r="C7946" t="s">
        <v>15574</v>
      </c>
      <c r="D7946" t="s">
        <v>15575</v>
      </c>
      <c r="E7946" t="s">
        <v>15576</v>
      </c>
      <c r="F7946" t="s">
        <v>25693</v>
      </c>
      <c r="G7946" s="2" t="str">
        <f>HYPERLINK("https://probpalata.gov.ru/files/ИП820400991100013.jpeg","Скачать индивидуальный QR-код магазина")</f>
        <v>Скачать индивидуальный QR-код магазина</v>
      </c>
    </row>
    <row r="7947" spans="1:7" x14ac:dyDescent="0.25">
      <c r="A7947" t="s">
        <v>18820</v>
      </c>
      <c r="B7947" t="s">
        <v>25694</v>
      </c>
      <c r="C7947" t="s">
        <v>25695</v>
      </c>
      <c r="D7947" t="s">
        <v>25696</v>
      </c>
      <c r="E7947" t="s">
        <v>25697</v>
      </c>
      <c r="F7947" t="s">
        <v>25698</v>
      </c>
      <c r="G7947" s="2" t="str">
        <f>HYPERLINK("https://probpalata.gov.ru/files/ИП500104073300000.jpeg","Скачать индивидуальный QR-код магазина")</f>
        <v>Скачать индивидуальный QR-код магазина</v>
      </c>
    </row>
    <row r="7948" spans="1:7" x14ac:dyDescent="0.25">
      <c r="A7948" t="s">
        <v>18820</v>
      </c>
      <c r="B7948" t="s">
        <v>25699</v>
      </c>
      <c r="C7948" t="s">
        <v>25700</v>
      </c>
      <c r="D7948" t="s">
        <v>25701</v>
      </c>
      <c r="E7948" t="s">
        <v>25702</v>
      </c>
      <c r="F7948" t="s">
        <v>25703</v>
      </c>
      <c r="G7948" s="2" t="str">
        <f>HYPERLINK("https://probpalata.gov.ru/files/ЮЛ770100058800000.jpeg","Скачать индивидуальный QR-код магазина")</f>
        <v>Скачать индивидуальный QR-код магазина</v>
      </c>
    </row>
    <row r="7949" spans="1:7" x14ac:dyDescent="0.25">
      <c r="A7949" t="s">
        <v>18820</v>
      </c>
      <c r="B7949" t="s">
        <v>25704</v>
      </c>
      <c r="C7949" t="s">
        <v>25700</v>
      </c>
      <c r="D7949" t="s">
        <v>25701</v>
      </c>
      <c r="E7949" t="s">
        <v>25702</v>
      </c>
      <c r="F7949" t="s">
        <v>25705</v>
      </c>
      <c r="G7949" s="2" t="str">
        <f>HYPERLINK("https://probpalata.gov.ru/files/ЮЛ770100058800002.jpeg","Скачать индивидуальный QR-код магазина")</f>
        <v>Скачать индивидуальный QR-код магазина</v>
      </c>
    </row>
    <row r="7950" spans="1:7" x14ac:dyDescent="0.25">
      <c r="A7950" t="s">
        <v>18820</v>
      </c>
      <c r="B7950" t="s">
        <v>25706</v>
      </c>
      <c r="C7950" t="s">
        <v>25700</v>
      </c>
      <c r="D7950" t="s">
        <v>25701</v>
      </c>
      <c r="E7950" t="s">
        <v>25702</v>
      </c>
      <c r="F7950" t="s">
        <v>25707</v>
      </c>
      <c r="G7950" s="2" t="str">
        <f>HYPERLINK("https://probpalata.gov.ru/files/ЮЛ770100058800003.jpeg","Скачать индивидуальный QR-код магазина")</f>
        <v>Скачать индивидуальный QR-код магазина</v>
      </c>
    </row>
    <row r="7951" spans="1:7" x14ac:dyDescent="0.25">
      <c r="A7951" t="s">
        <v>18820</v>
      </c>
      <c r="B7951" t="s">
        <v>25708</v>
      </c>
      <c r="C7951" t="s">
        <v>25700</v>
      </c>
      <c r="D7951" t="s">
        <v>25701</v>
      </c>
      <c r="E7951" t="s">
        <v>25702</v>
      </c>
      <c r="F7951" t="s">
        <v>25709</v>
      </c>
      <c r="G7951" s="2" t="str">
        <f>HYPERLINK("https://probpalata.gov.ru/files/ЮЛ770100058800004.jpeg","Скачать индивидуальный QR-код магазина")</f>
        <v>Скачать индивидуальный QR-код магазина</v>
      </c>
    </row>
    <row r="7952" spans="1:7" x14ac:dyDescent="0.25">
      <c r="A7952" t="s">
        <v>18820</v>
      </c>
      <c r="B7952" t="s">
        <v>25710</v>
      </c>
      <c r="C7952" t="s">
        <v>25700</v>
      </c>
      <c r="D7952" t="s">
        <v>25701</v>
      </c>
      <c r="E7952" t="s">
        <v>25702</v>
      </c>
      <c r="F7952" t="s">
        <v>25711</v>
      </c>
      <c r="G7952" s="2" t="str">
        <f>HYPERLINK("https://probpalata.gov.ru/files/ЮЛ770100058800005.jpeg","Скачать индивидуальный QR-код магазина")</f>
        <v>Скачать индивидуальный QR-код магазина</v>
      </c>
    </row>
    <row r="7953" spans="1:7" x14ac:dyDescent="0.25">
      <c r="A7953" t="s">
        <v>18820</v>
      </c>
      <c r="B7953" t="s">
        <v>25712</v>
      </c>
      <c r="C7953" t="s">
        <v>25700</v>
      </c>
      <c r="D7953" t="s">
        <v>25701</v>
      </c>
      <c r="E7953" t="s">
        <v>25702</v>
      </c>
      <c r="F7953" t="s">
        <v>25713</v>
      </c>
      <c r="G7953" s="2" t="str">
        <f>HYPERLINK("https://probpalata.gov.ru/files/ЮЛ770100058800006.jpeg","Скачать индивидуальный QR-код магазина")</f>
        <v>Скачать индивидуальный QR-код магазина</v>
      </c>
    </row>
    <row r="7954" spans="1:7" x14ac:dyDescent="0.25">
      <c r="A7954" t="s">
        <v>18820</v>
      </c>
      <c r="B7954" t="s">
        <v>25714</v>
      </c>
      <c r="C7954" t="s">
        <v>25715</v>
      </c>
      <c r="D7954" t="s">
        <v>25716</v>
      </c>
      <c r="E7954" t="s">
        <v>25717</v>
      </c>
      <c r="F7954" t="s">
        <v>25718</v>
      </c>
      <c r="G7954" s="2" t="str">
        <f>HYPERLINK("https://probpalata.gov.ru/files/ЮЛ770101120100000.jpeg","Скачать индивидуальный QR-код магазина")</f>
        <v>Скачать индивидуальный QR-код магазина</v>
      </c>
    </row>
    <row r="7955" spans="1:7" x14ac:dyDescent="0.25">
      <c r="A7955" t="s">
        <v>18820</v>
      </c>
      <c r="B7955" t="s">
        <v>25719</v>
      </c>
      <c r="C7955" t="s">
        <v>25720</v>
      </c>
      <c r="D7955" t="s">
        <v>25721</v>
      </c>
      <c r="E7955" t="s">
        <v>25722</v>
      </c>
      <c r="F7955" t="s">
        <v>25723</v>
      </c>
      <c r="G7955" s="2" t="str">
        <f>HYPERLINK("https://probpalata.gov.ru/files/ЮЛ000101290600001.jpeg","Скачать индивидуальный QR-код магазина")</f>
        <v>Скачать индивидуальный QR-код магазина</v>
      </c>
    </row>
    <row r="7956" spans="1:7" x14ac:dyDescent="0.25">
      <c r="A7956" t="s">
        <v>18820</v>
      </c>
      <c r="B7956" t="s">
        <v>25724</v>
      </c>
      <c r="C7956" t="s">
        <v>25720</v>
      </c>
      <c r="D7956" t="s">
        <v>25721</v>
      </c>
      <c r="E7956" t="s">
        <v>25722</v>
      </c>
      <c r="F7956" t="s">
        <v>25725</v>
      </c>
      <c r="G7956" s="2" t="str">
        <f>HYPERLINK("https://probpalata.gov.ru/files/ЮЛ000101290600002.jpeg","Скачать индивидуальный QR-код магазина")</f>
        <v>Скачать индивидуальный QR-код магазина</v>
      </c>
    </row>
    <row r="7957" spans="1:7" x14ac:dyDescent="0.25">
      <c r="A7957" t="s">
        <v>18820</v>
      </c>
      <c r="B7957" t="s">
        <v>25726</v>
      </c>
      <c r="C7957" t="s">
        <v>25720</v>
      </c>
      <c r="D7957" t="s">
        <v>25721</v>
      </c>
      <c r="E7957" t="s">
        <v>25722</v>
      </c>
      <c r="F7957" t="s">
        <v>25727</v>
      </c>
      <c r="G7957" s="2" t="str">
        <f>HYPERLINK("https://probpalata.gov.ru/files/ЮЛ000101290600003.jpeg","Скачать индивидуальный QR-код магазина")</f>
        <v>Скачать индивидуальный QR-код магазина</v>
      </c>
    </row>
    <row r="7958" spans="1:7" x14ac:dyDescent="0.25">
      <c r="A7958" t="s">
        <v>18820</v>
      </c>
      <c r="B7958" t="s">
        <v>25728</v>
      </c>
      <c r="C7958" t="s">
        <v>25720</v>
      </c>
      <c r="D7958" t="s">
        <v>25721</v>
      </c>
      <c r="E7958" t="s">
        <v>25722</v>
      </c>
      <c r="F7958" t="s">
        <v>25729</v>
      </c>
      <c r="G7958" s="2" t="str">
        <f>HYPERLINK("https://probpalata.gov.ru/files/ЮЛ000101290600005.jpeg","Скачать индивидуальный QR-код магазина")</f>
        <v>Скачать индивидуальный QR-код магазина</v>
      </c>
    </row>
    <row r="7959" spans="1:7" x14ac:dyDescent="0.25">
      <c r="A7959" t="s">
        <v>18820</v>
      </c>
      <c r="B7959" t="s">
        <v>25730</v>
      </c>
      <c r="C7959" t="s">
        <v>25720</v>
      </c>
      <c r="D7959" t="s">
        <v>25721</v>
      </c>
      <c r="E7959" t="s">
        <v>25722</v>
      </c>
      <c r="F7959" t="s">
        <v>25731</v>
      </c>
      <c r="G7959" s="2" t="str">
        <f>HYPERLINK("https://probpalata.gov.ru/files/ЮЛ000101290600006.jpeg","Скачать индивидуальный QR-код магазина")</f>
        <v>Скачать индивидуальный QR-код магазина</v>
      </c>
    </row>
    <row r="7960" spans="1:7" x14ac:dyDescent="0.25">
      <c r="A7960" t="s">
        <v>18820</v>
      </c>
      <c r="B7960" t="s">
        <v>25732</v>
      </c>
      <c r="C7960" t="s">
        <v>6274</v>
      </c>
      <c r="D7960" t="s">
        <v>25733</v>
      </c>
      <c r="E7960" t="s">
        <v>25734</v>
      </c>
      <c r="F7960" t="s">
        <v>25735</v>
      </c>
      <c r="G7960" s="2" t="str">
        <f>HYPERLINK("https://probpalata.gov.ru/files/ЮЛ770101460400001.jpeg","Скачать индивидуальный QR-код магазина")</f>
        <v>Скачать индивидуальный QR-код магазина</v>
      </c>
    </row>
    <row r="7961" spans="1:7" x14ac:dyDescent="0.25">
      <c r="A7961" t="s">
        <v>18820</v>
      </c>
      <c r="B7961" t="s">
        <v>25726</v>
      </c>
      <c r="C7961" t="s">
        <v>6274</v>
      </c>
      <c r="D7961" t="s">
        <v>25733</v>
      </c>
      <c r="E7961" t="s">
        <v>25734</v>
      </c>
      <c r="F7961" t="s">
        <v>25736</v>
      </c>
      <c r="G7961" s="2" t="str">
        <f>HYPERLINK("https://probpalata.gov.ru/files/ЮЛ770101460400004.jpeg","Скачать индивидуальный QR-код магазина")</f>
        <v>Скачать индивидуальный QR-код магазина</v>
      </c>
    </row>
    <row r="7962" spans="1:7" x14ac:dyDescent="0.25">
      <c r="A7962" t="s">
        <v>18820</v>
      </c>
      <c r="B7962" t="s">
        <v>25737</v>
      </c>
      <c r="C7962" t="s">
        <v>25738</v>
      </c>
      <c r="D7962" t="s">
        <v>25739</v>
      </c>
      <c r="E7962" t="s">
        <v>25740</v>
      </c>
      <c r="F7962" t="s">
        <v>25741</v>
      </c>
      <c r="G7962" s="2" t="str">
        <f>HYPERLINK("https://probpalata.gov.ru/files/ЮЛ770103373400000.jpeg","Скачать индивидуальный QR-код магазина")</f>
        <v>Скачать индивидуальный QR-код магазина</v>
      </c>
    </row>
    <row r="7963" spans="1:7" x14ac:dyDescent="0.25">
      <c r="A7963" t="s">
        <v>18820</v>
      </c>
      <c r="B7963" t="s">
        <v>25742</v>
      </c>
      <c r="C7963" t="s">
        <v>25743</v>
      </c>
      <c r="D7963" t="s">
        <v>25744</v>
      </c>
      <c r="E7963" t="s">
        <v>25745</v>
      </c>
      <c r="F7963" t="s">
        <v>25746</v>
      </c>
      <c r="G7963" s="2" t="str">
        <f>HYPERLINK("https://probpalata.gov.ru/files/ЮЛ770103486900000.jpeg","Скачать индивидуальный QR-код магазина")</f>
        <v>Скачать индивидуальный QR-код магазина</v>
      </c>
    </row>
    <row r="7964" spans="1:7" x14ac:dyDescent="0.25">
      <c r="A7964" t="s">
        <v>18820</v>
      </c>
      <c r="B7964" t="s">
        <v>25747</v>
      </c>
      <c r="C7964" t="s">
        <v>25743</v>
      </c>
      <c r="D7964" t="s">
        <v>25744</v>
      </c>
      <c r="E7964" t="s">
        <v>25745</v>
      </c>
      <c r="F7964" t="s">
        <v>25748</v>
      </c>
      <c r="G7964" s="2" t="str">
        <f>HYPERLINK("https://probpalata.gov.ru/files/ЮЛ770103486900001.jpeg","Скачать индивидуальный QR-код магазина")</f>
        <v>Скачать индивидуальный QR-код магазина</v>
      </c>
    </row>
    <row r="7965" spans="1:7" x14ac:dyDescent="0.25">
      <c r="A7965" t="s">
        <v>18820</v>
      </c>
      <c r="B7965" t="s">
        <v>25749</v>
      </c>
      <c r="C7965" t="s">
        <v>25750</v>
      </c>
      <c r="D7965" t="s">
        <v>25751</v>
      </c>
      <c r="E7965" t="s">
        <v>25752</v>
      </c>
      <c r="F7965" t="s">
        <v>25753</v>
      </c>
      <c r="G7965" s="2" t="str">
        <f>HYPERLINK("https://probpalata.gov.ru/files/ЮЛ770103575300000.jpeg","Скачать индивидуальный QR-код магазина")</f>
        <v>Скачать индивидуальный QR-код магазина</v>
      </c>
    </row>
    <row r="7966" spans="1:7" x14ac:dyDescent="0.25">
      <c r="A7966" t="s">
        <v>18820</v>
      </c>
      <c r="B7966" t="s">
        <v>25754</v>
      </c>
      <c r="C7966" t="s">
        <v>25755</v>
      </c>
      <c r="D7966" t="s">
        <v>25756</v>
      </c>
      <c r="E7966" t="s">
        <v>25757</v>
      </c>
      <c r="F7966" t="s">
        <v>25758</v>
      </c>
      <c r="G7966" s="2" t="str">
        <f>HYPERLINK("https://probpalata.gov.ru/files/ЮЛ770103638900000.jpeg","Скачать индивидуальный QR-код магазина")</f>
        <v>Скачать индивидуальный QR-код магазина</v>
      </c>
    </row>
    <row r="7967" spans="1:7" x14ac:dyDescent="0.25">
      <c r="A7967" t="s">
        <v>18820</v>
      </c>
      <c r="B7967" t="s">
        <v>25759</v>
      </c>
      <c r="C7967" t="s">
        <v>25760</v>
      </c>
      <c r="D7967" t="s">
        <v>25761</v>
      </c>
      <c r="E7967" t="s">
        <v>25762</v>
      </c>
      <c r="F7967" t="s">
        <v>25763</v>
      </c>
      <c r="G7967" s="2" t="str">
        <f>HYPERLINK("https://probpalata.gov.ru/files/ЮЛ770103828900000.jpeg","Скачать индивидуальный QR-код магазина")</f>
        <v>Скачать индивидуальный QR-код магазина</v>
      </c>
    </row>
    <row r="7968" spans="1:7" x14ac:dyDescent="0.25">
      <c r="A7968" t="s">
        <v>18820</v>
      </c>
      <c r="B7968" t="s">
        <v>25764</v>
      </c>
      <c r="C7968" t="s">
        <v>25765</v>
      </c>
      <c r="D7968" t="s">
        <v>25766</v>
      </c>
      <c r="E7968" t="s">
        <v>25767</v>
      </c>
      <c r="F7968" t="s">
        <v>25768</v>
      </c>
      <c r="G7968" s="2" t="str">
        <f>HYPERLINK("https://probpalata.gov.ru/files/ЮЛ770104027100000.jpeg","Скачать индивидуальный QR-код магазина")</f>
        <v>Скачать индивидуальный QR-код магазина</v>
      </c>
    </row>
    <row r="7969" spans="1:7" x14ac:dyDescent="0.25">
      <c r="A7969" t="s">
        <v>18820</v>
      </c>
      <c r="B7969" t="s">
        <v>25769</v>
      </c>
      <c r="C7969" t="s">
        <v>25770</v>
      </c>
      <c r="D7969" t="s">
        <v>25771</v>
      </c>
      <c r="E7969" t="s">
        <v>25772</v>
      </c>
      <c r="F7969" t="s">
        <v>25773</v>
      </c>
      <c r="G7969" s="2" t="str">
        <f>HYPERLINK("https://probpalata.gov.ru/files/ЮЛ770101527400000.jpeg","Скачать индивидуальный QR-код магазина")</f>
        <v>Скачать индивидуальный QR-код магазина</v>
      </c>
    </row>
    <row r="7970" spans="1:7" x14ac:dyDescent="0.25">
      <c r="A7970" t="s">
        <v>18820</v>
      </c>
      <c r="B7970" t="s">
        <v>25774</v>
      </c>
      <c r="C7970" t="s">
        <v>25770</v>
      </c>
      <c r="D7970" t="s">
        <v>25771</v>
      </c>
      <c r="E7970" t="s">
        <v>25772</v>
      </c>
      <c r="F7970" t="s">
        <v>25775</v>
      </c>
      <c r="G7970" s="2" t="str">
        <f>HYPERLINK("https://probpalata.gov.ru/files/ЮЛ770101527400001.jpeg","Скачать индивидуальный QR-код магазина")</f>
        <v>Скачать индивидуальный QR-код магазина</v>
      </c>
    </row>
    <row r="7971" spans="1:7" x14ac:dyDescent="0.25">
      <c r="A7971" t="s">
        <v>18820</v>
      </c>
      <c r="B7971" t="s">
        <v>18830</v>
      </c>
      <c r="C7971" t="s">
        <v>25770</v>
      </c>
      <c r="D7971" t="s">
        <v>25771</v>
      </c>
      <c r="E7971" t="s">
        <v>25772</v>
      </c>
      <c r="F7971" t="s">
        <v>25776</v>
      </c>
      <c r="G7971" s="2" t="str">
        <f>HYPERLINK("https://probpalata.gov.ru/files/ЮЛ770101527400004.jpeg","Скачать индивидуальный QR-код магазина")</f>
        <v>Скачать индивидуальный QR-код магазина</v>
      </c>
    </row>
    <row r="7972" spans="1:7" x14ac:dyDescent="0.25">
      <c r="A7972" t="s">
        <v>18820</v>
      </c>
      <c r="B7972" t="s">
        <v>18826</v>
      </c>
      <c r="C7972" t="s">
        <v>25770</v>
      </c>
      <c r="D7972" t="s">
        <v>25771</v>
      </c>
      <c r="E7972" t="s">
        <v>25772</v>
      </c>
      <c r="F7972" t="s">
        <v>25777</v>
      </c>
      <c r="G7972" s="2" t="str">
        <f>HYPERLINK("https://probpalata.gov.ru/files/ЮЛ770101527400005.jpeg","Скачать индивидуальный QR-код магазина")</f>
        <v>Скачать индивидуальный QR-код магазина</v>
      </c>
    </row>
    <row r="7973" spans="1:7" x14ac:dyDescent="0.25">
      <c r="A7973" t="s">
        <v>18820</v>
      </c>
      <c r="B7973" t="s">
        <v>25387</v>
      </c>
      <c r="C7973" t="s">
        <v>25770</v>
      </c>
      <c r="D7973" t="s">
        <v>25771</v>
      </c>
      <c r="E7973" t="s">
        <v>25772</v>
      </c>
      <c r="F7973" t="s">
        <v>25778</v>
      </c>
      <c r="G7973" s="2" t="str">
        <f>HYPERLINK("https://probpalata.gov.ru/files/ЮЛ770101527400006.jpeg","Скачать индивидуальный QR-код магазина")</f>
        <v>Скачать индивидуальный QR-код магазина</v>
      </c>
    </row>
    <row r="7974" spans="1:7" x14ac:dyDescent="0.25">
      <c r="A7974" t="s">
        <v>18820</v>
      </c>
      <c r="B7974" t="s">
        <v>25779</v>
      </c>
      <c r="C7974" t="s">
        <v>25770</v>
      </c>
      <c r="D7974" t="s">
        <v>25771</v>
      </c>
      <c r="E7974" t="s">
        <v>25772</v>
      </c>
      <c r="F7974" t="s">
        <v>25780</v>
      </c>
      <c r="G7974" s="2" t="str">
        <f>HYPERLINK("https://probpalata.gov.ru/files/ЮЛ770101527400009.jpeg","Скачать индивидуальный QR-код магазина")</f>
        <v>Скачать индивидуальный QR-код магазина</v>
      </c>
    </row>
    <row r="7975" spans="1:7" x14ac:dyDescent="0.25">
      <c r="A7975" t="s">
        <v>18820</v>
      </c>
      <c r="B7975" t="s">
        <v>25781</v>
      </c>
      <c r="C7975" t="s">
        <v>25782</v>
      </c>
      <c r="D7975" t="s">
        <v>25783</v>
      </c>
      <c r="E7975" t="s">
        <v>25784</v>
      </c>
      <c r="F7975" t="s">
        <v>25785</v>
      </c>
      <c r="G7975" s="2" t="str">
        <f>HYPERLINK("https://probpalata.gov.ru/files/ЮЛ770100490800000.jpeg","Скачать индивидуальный QR-код магазина")</f>
        <v>Скачать индивидуальный QR-код магазина</v>
      </c>
    </row>
    <row r="7976" spans="1:7" x14ac:dyDescent="0.25">
      <c r="A7976" t="s">
        <v>18820</v>
      </c>
      <c r="B7976" t="s">
        <v>25786</v>
      </c>
      <c r="C7976" t="s">
        <v>25787</v>
      </c>
      <c r="D7976" t="s">
        <v>25788</v>
      </c>
      <c r="E7976" t="s">
        <v>25789</v>
      </c>
      <c r="F7976" t="s">
        <v>25790</v>
      </c>
      <c r="G7976" s="2" t="str">
        <f>HYPERLINK("https://probpalata.gov.ru/files/ЮЛ770103746800000.jpeg","Скачать индивидуальный QR-код магазина")</f>
        <v>Скачать индивидуальный QR-код магазина</v>
      </c>
    </row>
    <row r="7977" spans="1:7" x14ac:dyDescent="0.25">
      <c r="A7977" t="s">
        <v>18820</v>
      </c>
      <c r="B7977" t="s">
        <v>25791</v>
      </c>
      <c r="C7977" t="s">
        <v>25787</v>
      </c>
      <c r="D7977" t="s">
        <v>25788</v>
      </c>
      <c r="E7977" t="s">
        <v>25789</v>
      </c>
      <c r="F7977" t="s">
        <v>25792</v>
      </c>
      <c r="G7977" s="2" t="str">
        <f>HYPERLINK("https://probpalata.gov.ru/files/ЮЛ770103746800001.jpeg","Скачать индивидуальный QR-код магазина")</f>
        <v>Скачать индивидуальный QR-код магазина</v>
      </c>
    </row>
    <row r="7978" spans="1:7" x14ac:dyDescent="0.25">
      <c r="A7978" t="s">
        <v>18820</v>
      </c>
      <c r="B7978" t="s">
        <v>25793</v>
      </c>
      <c r="C7978" t="s">
        <v>25794</v>
      </c>
      <c r="D7978" t="s">
        <v>25795</v>
      </c>
      <c r="E7978" t="s">
        <v>25796</v>
      </c>
      <c r="F7978" t="s">
        <v>25797</v>
      </c>
      <c r="G7978" s="2" t="str">
        <f>HYPERLINK("https://probpalata.gov.ru/files/ЮЛ770103786900000.jpeg","Скачать индивидуальный QR-код магазина")</f>
        <v>Скачать индивидуальный QR-код магазина</v>
      </c>
    </row>
    <row r="7979" spans="1:7" x14ac:dyDescent="0.25">
      <c r="A7979" t="s">
        <v>18820</v>
      </c>
      <c r="B7979" t="s">
        <v>25798</v>
      </c>
      <c r="C7979" t="s">
        <v>25794</v>
      </c>
      <c r="D7979" t="s">
        <v>25795</v>
      </c>
      <c r="E7979" t="s">
        <v>25796</v>
      </c>
      <c r="F7979" t="s">
        <v>25799</v>
      </c>
      <c r="G7979" s="2" t="str">
        <f>HYPERLINK("https://probpalata.gov.ru/files/ЮЛ770103786900001.jpeg","Скачать индивидуальный QR-код магазина")</f>
        <v>Скачать индивидуальный QR-код магазина</v>
      </c>
    </row>
    <row r="7980" spans="1:7" x14ac:dyDescent="0.25">
      <c r="A7980" t="s">
        <v>18820</v>
      </c>
      <c r="B7980" t="s">
        <v>25800</v>
      </c>
      <c r="C7980" t="s">
        <v>25801</v>
      </c>
      <c r="D7980" t="s">
        <v>25802</v>
      </c>
      <c r="E7980" t="s">
        <v>25803</v>
      </c>
      <c r="F7980" t="s">
        <v>25804</v>
      </c>
      <c r="G7980" s="2" t="str">
        <f>HYPERLINK("https://probpalata.gov.ru/files/ЮЛ770103947200000.jpeg","Скачать индивидуальный QR-код магазина")</f>
        <v>Скачать индивидуальный QR-код магазина</v>
      </c>
    </row>
    <row r="7981" spans="1:7" x14ac:dyDescent="0.25">
      <c r="A7981" t="s">
        <v>18820</v>
      </c>
      <c r="B7981" t="s">
        <v>25805</v>
      </c>
      <c r="C7981" t="s">
        <v>25806</v>
      </c>
      <c r="D7981" t="s">
        <v>25807</v>
      </c>
      <c r="E7981" t="s">
        <v>25808</v>
      </c>
      <c r="F7981" t="s">
        <v>25809</v>
      </c>
      <c r="G7981" s="2" t="str">
        <f>HYPERLINK("https://probpalata.gov.ru/files/ЮЛ770100517800000.jpeg","Скачать индивидуальный QR-код магазина")</f>
        <v>Скачать индивидуальный QR-код магазина</v>
      </c>
    </row>
    <row r="7982" spans="1:7" x14ac:dyDescent="0.25">
      <c r="A7982" t="s">
        <v>18820</v>
      </c>
      <c r="B7982" t="s">
        <v>25810</v>
      </c>
      <c r="C7982" t="s">
        <v>25811</v>
      </c>
      <c r="D7982" t="s">
        <v>25812</v>
      </c>
      <c r="E7982" t="s">
        <v>25813</v>
      </c>
      <c r="F7982" t="s">
        <v>25814</v>
      </c>
      <c r="G7982" s="2" t="str">
        <f>HYPERLINK("https://probpalata.gov.ru/files/ЮЛ770100923900000.jpeg","Скачать индивидуальный QR-код магазина")</f>
        <v>Скачать индивидуальный QR-код магазина</v>
      </c>
    </row>
    <row r="7983" spans="1:7" x14ac:dyDescent="0.25">
      <c r="A7983" t="s">
        <v>18820</v>
      </c>
      <c r="B7983" t="s">
        <v>25815</v>
      </c>
      <c r="C7983" t="s">
        <v>25816</v>
      </c>
      <c r="D7983" t="s">
        <v>25817</v>
      </c>
      <c r="E7983" t="s">
        <v>25818</v>
      </c>
      <c r="F7983" t="s">
        <v>25819</v>
      </c>
      <c r="G7983" s="2" t="str">
        <f>HYPERLINK("https://probpalata.gov.ru/files/ЮЛ770101291800000.jpeg","Скачать индивидуальный QR-код магазина")</f>
        <v>Скачать индивидуальный QR-код магазина</v>
      </c>
    </row>
    <row r="7984" spans="1:7" x14ac:dyDescent="0.25">
      <c r="A7984" t="s">
        <v>18820</v>
      </c>
      <c r="B7984" t="s">
        <v>25820</v>
      </c>
      <c r="C7984" t="s">
        <v>25821</v>
      </c>
      <c r="D7984" t="s">
        <v>25822</v>
      </c>
      <c r="E7984" t="s">
        <v>25823</v>
      </c>
      <c r="F7984" t="s">
        <v>25824</v>
      </c>
      <c r="G7984" s="2" t="str">
        <f>HYPERLINK("https://probpalata.gov.ru/files/ЮЛ770100592000000.jpeg","Скачать индивидуальный QR-код магазина")</f>
        <v>Скачать индивидуальный QR-код магазина</v>
      </c>
    </row>
    <row r="7985" spans="1:7" x14ac:dyDescent="0.25">
      <c r="A7985" t="s">
        <v>18820</v>
      </c>
      <c r="B7985" t="s">
        <v>25825</v>
      </c>
      <c r="C7985" t="s">
        <v>25826</v>
      </c>
      <c r="D7985" t="s">
        <v>25827</v>
      </c>
      <c r="E7985" t="s">
        <v>25828</v>
      </c>
      <c r="F7985" t="s">
        <v>25829</v>
      </c>
      <c r="G7985" s="2" t="str">
        <f>HYPERLINK("https://probpalata.gov.ru/files/ЮЛ770103011700000.jpeg","Скачать индивидуальный QR-код магазина")</f>
        <v>Скачать индивидуальный QR-код магазина</v>
      </c>
    </row>
    <row r="7986" spans="1:7" x14ac:dyDescent="0.25">
      <c r="A7986" t="s">
        <v>18820</v>
      </c>
      <c r="B7986" t="s">
        <v>25830</v>
      </c>
      <c r="C7986" t="s">
        <v>25826</v>
      </c>
      <c r="D7986" t="s">
        <v>25827</v>
      </c>
      <c r="E7986" t="s">
        <v>25828</v>
      </c>
      <c r="F7986" t="s">
        <v>25831</v>
      </c>
      <c r="G7986" s="2" t="str">
        <f>HYPERLINK("https://probpalata.gov.ru/files/ЮЛ770103011700003.jpeg","Скачать индивидуальный QR-код магазина")</f>
        <v>Скачать индивидуальный QR-код магазина</v>
      </c>
    </row>
    <row r="7987" spans="1:7" x14ac:dyDescent="0.25">
      <c r="A7987" t="s">
        <v>18820</v>
      </c>
      <c r="B7987" t="s">
        <v>25832</v>
      </c>
      <c r="C7987" t="s">
        <v>25833</v>
      </c>
      <c r="D7987" t="s">
        <v>25834</v>
      </c>
      <c r="E7987" t="s">
        <v>25835</v>
      </c>
      <c r="F7987" t="s">
        <v>25836</v>
      </c>
      <c r="G7987" s="2" t="str">
        <f>HYPERLINK("https://probpalata.gov.ru/files/ЮЛ770101986200000.jpeg","Скачать индивидуальный QR-код магазина")</f>
        <v>Скачать индивидуальный QR-код магазина</v>
      </c>
    </row>
    <row r="7988" spans="1:7" x14ac:dyDescent="0.25">
      <c r="A7988" t="s">
        <v>18820</v>
      </c>
      <c r="B7988" t="s">
        <v>25837</v>
      </c>
      <c r="C7988" t="s">
        <v>25838</v>
      </c>
      <c r="D7988" t="s">
        <v>25839</v>
      </c>
      <c r="E7988" t="s">
        <v>25840</v>
      </c>
      <c r="F7988" t="s">
        <v>25841</v>
      </c>
      <c r="G7988" s="2" t="str">
        <f>HYPERLINK("https://probpalata.gov.ru/files/ЮЛ770100068200000.jpeg","Скачать индивидуальный QR-код магазина")</f>
        <v>Скачать индивидуальный QR-код магазина</v>
      </c>
    </row>
    <row r="7989" spans="1:7" x14ac:dyDescent="0.25">
      <c r="A7989" t="s">
        <v>18820</v>
      </c>
      <c r="B7989" t="s">
        <v>25842</v>
      </c>
      <c r="C7989" t="s">
        <v>25838</v>
      </c>
      <c r="D7989" t="s">
        <v>25839</v>
      </c>
      <c r="E7989" t="s">
        <v>25840</v>
      </c>
      <c r="F7989" t="s">
        <v>25843</v>
      </c>
      <c r="G7989" s="2" t="str">
        <f>HYPERLINK("https://probpalata.gov.ru/files/ЮЛ770100068200002.jpeg","Скачать индивидуальный QR-код магазина")</f>
        <v>Скачать индивидуальный QR-код магазина</v>
      </c>
    </row>
    <row r="7990" spans="1:7" x14ac:dyDescent="0.25">
      <c r="A7990" t="s">
        <v>18820</v>
      </c>
      <c r="B7990" t="s">
        <v>25837</v>
      </c>
      <c r="C7990" t="s">
        <v>25844</v>
      </c>
      <c r="D7990" t="s">
        <v>25845</v>
      </c>
      <c r="E7990" t="s">
        <v>25846</v>
      </c>
      <c r="F7990" t="s">
        <v>25847</v>
      </c>
      <c r="G7990" s="2" t="str">
        <f>HYPERLINK("https://probpalata.gov.ru/files/ЮЛ770103109300000.jpeg","Скачать индивидуальный QR-код магазина")</f>
        <v>Скачать индивидуальный QR-код магазина</v>
      </c>
    </row>
    <row r="7991" spans="1:7" x14ac:dyDescent="0.25">
      <c r="A7991" t="s">
        <v>18820</v>
      </c>
      <c r="B7991" t="s">
        <v>22114</v>
      </c>
      <c r="C7991" t="s">
        <v>25844</v>
      </c>
      <c r="D7991" t="s">
        <v>25845</v>
      </c>
      <c r="E7991" t="s">
        <v>25846</v>
      </c>
      <c r="F7991" t="s">
        <v>25848</v>
      </c>
      <c r="G7991" s="2" t="str">
        <f>HYPERLINK("https://probpalata.gov.ru/files/ЮЛ770103109300001.jpeg","Скачать индивидуальный QR-код магазина")</f>
        <v>Скачать индивидуальный QR-код магазина</v>
      </c>
    </row>
    <row r="7992" spans="1:7" x14ac:dyDescent="0.25">
      <c r="A7992" t="s">
        <v>18820</v>
      </c>
      <c r="B7992" t="s">
        <v>25849</v>
      </c>
      <c r="C7992" t="s">
        <v>25850</v>
      </c>
      <c r="D7992" t="s">
        <v>25851</v>
      </c>
      <c r="E7992" t="s">
        <v>25852</v>
      </c>
      <c r="F7992" t="s">
        <v>25853</v>
      </c>
      <c r="G7992" s="2" t="str">
        <f>HYPERLINK("https://probpalata.gov.ru/files/ЮЛ770103424900000.jpeg","Скачать индивидуальный QR-код магазина")</f>
        <v>Скачать индивидуальный QR-код магазина</v>
      </c>
    </row>
    <row r="7993" spans="1:7" x14ac:dyDescent="0.25">
      <c r="A7993" t="s">
        <v>18820</v>
      </c>
      <c r="B7993" t="s">
        <v>25854</v>
      </c>
      <c r="C7993" t="s">
        <v>25855</v>
      </c>
      <c r="D7993" t="s">
        <v>25856</v>
      </c>
      <c r="E7993" t="s">
        <v>25857</v>
      </c>
      <c r="F7993" t="s">
        <v>25858</v>
      </c>
      <c r="G7993" s="2" t="str">
        <f>HYPERLINK("https://probpalata.gov.ru/files/ЮЛ770103596100000.jpeg","Скачать индивидуальный QR-код магазина")</f>
        <v>Скачать индивидуальный QR-код магазина</v>
      </c>
    </row>
    <row r="7994" spans="1:7" x14ac:dyDescent="0.25">
      <c r="A7994" t="s">
        <v>18820</v>
      </c>
      <c r="B7994" t="s">
        <v>25387</v>
      </c>
      <c r="C7994" t="s">
        <v>25859</v>
      </c>
      <c r="D7994" t="s">
        <v>25860</v>
      </c>
      <c r="E7994" t="s">
        <v>25861</v>
      </c>
      <c r="F7994" t="s">
        <v>25862</v>
      </c>
      <c r="G7994" s="2" t="str">
        <f>HYPERLINK("https://probpalata.gov.ru/files/ЮЛ770103775600001.jpeg","Скачать индивидуальный QR-код магазина")</f>
        <v>Скачать индивидуальный QR-код магазина</v>
      </c>
    </row>
    <row r="7995" spans="1:7" x14ac:dyDescent="0.25">
      <c r="A7995" t="s">
        <v>18820</v>
      </c>
      <c r="B7995" t="s">
        <v>25863</v>
      </c>
      <c r="C7995" t="s">
        <v>25864</v>
      </c>
      <c r="D7995" t="s">
        <v>25865</v>
      </c>
      <c r="E7995" t="s">
        <v>25866</v>
      </c>
      <c r="F7995" t="s">
        <v>25867</v>
      </c>
      <c r="G7995" s="2" t="str">
        <f>HYPERLINK("https://probpalata.gov.ru/files/ЮЛ770103786800000.jpeg","Скачать индивидуальный QR-код магазина")</f>
        <v>Скачать индивидуальный QR-код магазина</v>
      </c>
    </row>
    <row r="7996" spans="1:7" x14ac:dyDescent="0.25">
      <c r="A7996" t="s">
        <v>18820</v>
      </c>
      <c r="B7996" t="s">
        <v>25868</v>
      </c>
      <c r="C7996" t="s">
        <v>6606</v>
      </c>
      <c r="D7996" t="s">
        <v>25869</v>
      </c>
      <c r="E7996" t="s">
        <v>25870</v>
      </c>
      <c r="F7996" t="s">
        <v>25871</v>
      </c>
      <c r="G7996" s="2" t="str">
        <f>HYPERLINK("https://probpalata.gov.ru/files/ЮЛ770103947500000.jpeg","Скачать индивидуальный QR-код магазина")</f>
        <v>Скачать индивидуальный QR-код магазина</v>
      </c>
    </row>
    <row r="7997" spans="1:7" x14ac:dyDescent="0.25">
      <c r="A7997" t="s">
        <v>18820</v>
      </c>
      <c r="B7997" t="s">
        <v>25872</v>
      </c>
      <c r="C7997" t="s">
        <v>25873</v>
      </c>
      <c r="D7997" t="s">
        <v>25874</v>
      </c>
      <c r="E7997" t="s">
        <v>25875</v>
      </c>
      <c r="F7997" t="s">
        <v>25876</v>
      </c>
      <c r="G7997" s="2" t="str">
        <f>HYPERLINK("https://probpalata.gov.ru/files/ЮЛ770103155400000.jpeg","Скачать индивидуальный QR-код магазина")</f>
        <v>Скачать индивидуальный QR-код магазина</v>
      </c>
    </row>
    <row r="7998" spans="1:7" x14ac:dyDescent="0.25">
      <c r="A7998" t="s">
        <v>18820</v>
      </c>
      <c r="B7998" t="s">
        <v>25877</v>
      </c>
      <c r="C7998" t="s">
        <v>25878</v>
      </c>
      <c r="D7998" t="s">
        <v>25879</v>
      </c>
      <c r="E7998" t="s">
        <v>25880</v>
      </c>
      <c r="F7998" t="s">
        <v>25881</v>
      </c>
      <c r="G7998" s="2" t="str">
        <f>HYPERLINK("https://probpalata.gov.ru/files/ЮЛ770100222100000.jpeg","Скачать индивидуальный QR-код магазина")</f>
        <v>Скачать индивидуальный QR-код магазина</v>
      </c>
    </row>
    <row r="7999" spans="1:7" x14ac:dyDescent="0.25">
      <c r="A7999" t="s">
        <v>18820</v>
      </c>
      <c r="B7999" t="s">
        <v>25882</v>
      </c>
      <c r="C7999" t="s">
        <v>25883</v>
      </c>
      <c r="D7999" t="s">
        <v>25884</v>
      </c>
      <c r="E7999" t="s">
        <v>25885</v>
      </c>
      <c r="F7999" t="s">
        <v>25886</v>
      </c>
      <c r="G7999" s="2" t="str">
        <f>HYPERLINK("https://probpalata.gov.ru/files/ЮЛ770101876100000.jpeg","Скачать индивидуальный QR-код магазина")</f>
        <v>Скачать индивидуальный QR-код магазина</v>
      </c>
    </row>
    <row r="8000" spans="1:7" x14ac:dyDescent="0.25">
      <c r="A8000" t="s">
        <v>18820</v>
      </c>
      <c r="B8000" t="s">
        <v>25887</v>
      </c>
      <c r="C8000" t="s">
        <v>25888</v>
      </c>
      <c r="D8000" t="s">
        <v>25889</v>
      </c>
      <c r="E8000" t="s">
        <v>25890</v>
      </c>
      <c r="F8000" t="s">
        <v>25891</v>
      </c>
      <c r="G8000" s="2" t="str">
        <f>HYPERLINK("https://probpalata.gov.ru/files/ЮЛ770103167400000.jpeg","Скачать индивидуальный QR-код магазина")</f>
        <v>Скачать индивидуальный QR-код магазина</v>
      </c>
    </row>
    <row r="8001" spans="1:7" x14ac:dyDescent="0.25">
      <c r="A8001" t="s">
        <v>18820</v>
      </c>
      <c r="B8001" t="s">
        <v>25892</v>
      </c>
      <c r="C8001" t="s">
        <v>25888</v>
      </c>
      <c r="D8001" t="s">
        <v>25889</v>
      </c>
      <c r="E8001" t="s">
        <v>25890</v>
      </c>
      <c r="F8001" t="s">
        <v>25893</v>
      </c>
      <c r="G8001" s="2" t="str">
        <f>HYPERLINK("https://probpalata.gov.ru/files/ЮЛ770103167400002.jpeg","Скачать индивидуальный QR-код магазина")</f>
        <v>Скачать индивидуальный QR-код магазина</v>
      </c>
    </row>
    <row r="8002" spans="1:7" x14ac:dyDescent="0.25">
      <c r="A8002" t="s">
        <v>18820</v>
      </c>
      <c r="B8002" t="s">
        <v>21930</v>
      </c>
      <c r="C8002" t="s">
        <v>25894</v>
      </c>
      <c r="D8002" t="s">
        <v>25895</v>
      </c>
      <c r="E8002" t="s">
        <v>25896</v>
      </c>
      <c r="F8002" t="s">
        <v>25897</v>
      </c>
      <c r="G8002" s="2" t="str">
        <f>HYPERLINK("https://probpalata.gov.ru/files/ЮЛ770103536300000.jpeg","Скачать индивидуальный QR-код магазина")</f>
        <v>Скачать индивидуальный QR-код магазина</v>
      </c>
    </row>
    <row r="8003" spans="1:7" x14ac:dyDescent="0.25">
      <c r="A8003" t="s">
        <v>18820</v>
      </c>
      <c r="B8003" t="s">
        <v>25898</v>
      </c>
      <c r="C8003" t="s">
        <v>25899</v>
      </c>
      <c r="D8003" t="s">
        <v>25900</v>
      </c>
      <c r="E8003" t="s">
        <v>25901</v>
      </c>
      <c r="F8003" t="s">
        <v>25902</v>
      </c>
      <c r="G8003" s="2" t="str">
        <f>HYPERLINK("https://probpalata.gov.ru/files/ЮЛ770103588400000.jpeg","Скачать индивидуальный QR-код магазина")</f>
        <v>Скачать индивидуальный QR-код магазина</v>
      </c>
    </row>
    <row r="8004" spans="1:7" x14ac:dyDescent="0.25">
      <c r="A8004" t="s">
        <v>18820</v>
      </c>
      <c r="B8004" t="s">
        <v>25903</v>
      </c>
      <c r="C8004" t="s">
        <v>25904</v>
      </c>
      <c r="D8004" t="s">
        <v>25905</v>
      </c>
      <c r="E8004" t="s">
        <v>25906</v>
      </c>
      <c r="F8004" t="s">
        <v>25907</v>
      </c>
      <c r="G8004" s="2" t="str">
        <f>HYPERLINK("https://probpalata.gov.ru/files/ЮЛ770103690600001.jpeg","Скачать индивидуальный QR-код магазина")</f>
        <v>Скачать индивидуальный QR-код магазина</v>
      </c>
    </row>
    <row r="8005" spans="1:7" x14ac:dyDescent="0.25">
      <c r="A8005" t="s">
        <v>18820</v>
      </c>
      <c r="B8005" t="s">
        <v>25908</v>
      </c>
      <c r="C8005" t="s">
        <v>25909</v>
      </c>
      <c r="D8005" t="s">
        <v>25910</v>
      </c>
      <c r="E8005" t="s">
        <v>25911</v>
      </c>
      <c r="F8005" t="s">
        <v>25912</v>
      </c>
      <c r="G8005" s="2" t="str">
        <f>HYPERLINK("https://probpalata.gov.ru/files/ЮЛ770100382700000.jpeg","Скачать индивидуальный QR-код магазина")</f>
        <v>Скачать индивидуальный QR-код магазина</v>
      </c>
    </row>
    <row r="8006" spans="1:7" x14ac:dyDescent="0.25">
      <c r="A8006" t="s">
        <v>18820</v>
      </c>
      <c r="B8006" t="s">
        <v>25387</v>
      </c>
      <c r="C8006" t="s">
        <v>25909</v>
      </c>
      <c r="D8006" t="s">
        <v>25910</v>
      </c>
      <c r="E8006" t="s">
        <v>25911</v>
      </c>
      <c r="F8006" t="s">
        <v>25913</v>
      </c>
      <c r="G8006" s="2" t="str">
        <f>HYPERLINK("https://probpalata.gov.ru/files/ЮЛ770100382700004.jpeg","Скачать индивидуальный QR-код магазина")</f>
        <v>Скачать индивидуальный QR-код магазина</v>
      </c>
    </row>
    <row r="8007" spans="1:7" x14ac:dyDescent="0.25">
      <c r="A8007" t="s">
        <v>18820</v>
      </c>
      <c r="B8007" t="s">
        <v>25914</v>
      </c>
      <c r="C8007" t="s">
        <v>25909</v>
      </c>
      <c r="D8007" t="s">
        <v>25910</v>
      </c>
      <c r="E8007" t="s">
        <v>25911</v>
      </c>
      <c r="F8007" t="s">
        <v>25915</v>
      </c>
      <c r="G8007" s="2" t="str">
        <f>HYPERLINK("https://probpalata.gov.ru/files/ЮЛ770100382700005.jpeg","Скачать индивидуальный QR-код магазина")</f>
        <v>Скачать индивидуальный QR-код магазина</v>
      </c>
    </row>
    <row r="8008" spans="1:7" x14ac:dyDescent="0.25">
      <c r="A8008" t="s">
        <v>18820</v>
      </c>
      <c r="B8008" t="s">
        <v>23451</v>
      </c>
      <c r="C8008" t="s">
        <v>25909</v>
      </c>
      <c r="D8008" t="s">
        <v>25910</v>
      </c>
      <c r="E8008" t="s">
        <v>25911</v>
      </c>
      <c r="F8008" t="s">
        <v>25916</v>
      </c>
      <c r="G8008" s="2" t="str">
        <f>HYPERLINK("https://probpalata.gov.ru/files/ЮЛ770100382700007.jpeg","Скачать индивидуальный QR-код магазина")</f>
        <v>Скачать индивидуальный QR-код магазина</v>
      </c>
    </row>
    <row r="8009" spans="1:7" x14ac:dyDescent="0.25">
      <c r="A8009" t="s">
        <v>18820</v>
      </c>
      <c r="B8009" t="s">
        <v>21905</v>
      </c>
      <c r="C8009" t="s">
        <v>25909</v>
      </c>
      <c r="D8009" t="s">
        <v>25910</v>
      </c>
      <c r="E8009" t="s">
        <v>25911</v>
      </c>
      <c r="F8009" t="s">
        <v>25917</v>
      </c>
      <c r="G8009" s="2" t="str">
        <f>HYPERLINK("https://probpalata.gov.ru/files/ЮЛ770100382700008.jpeg","Скачать индивидуальный QR-код магазина")</f>
        <v>Скачать индивидуальный QR-код магазина</v>
      </c>
    </row>
    <row r="8010" spans="1:7" x14ac:dyDescent="0.25">
      <c r="A8010" t="s">
        <v>18820</v>
      </c>
      <c r="B8010" t="s">
        <v>25918</v>
      </c>
      <c r="C8010" t="s">
        <v>25909</v>
      </c>
      <c r="D8010" t="s">
        <v>25910</v>
      </c>
      <c r="E8010" t="s">
        <v>25911</v>
      </c>
      <c r="F8010" t="s">
        <v>25919</v>
      </c>
      <c r="G8010" s="2" t="str">
        <f>HYPERLINK("https://probpalata.gov.ru/files/ЮЛ770100382700010.jpeg","Скачать индивидуальный QR-код магазина")</f>
        <v>Скачать индивидуальный QR-код магазина</v>
      </c>
    </row>
    <row r="8011" spans="1:7" x14ac:dyDescent="0.25">
      <c r="A8011" t="s">
        <v>18820</v>
      </c>
      <c r="B8011" t="s">
        <v>22784</v>
      </c>
      <c r="C8011" t="s">
        <v>25909</v>
      </c>
      <c r="D8011" t="s">
        <v>25910</v>
      </c>
      <c r="E8011" t="s">
        <v>25911</v>
      </c>
      <c r="F8011" t="s">
        <v>25920</v>
      </c>
      <c r="G8011" s="2" t="str">
        <f>HYPERLINK("https://probpalata.gov.ru/files/ЮЛ770100382700011.jpeg","Скачать индивидуальный QR-код магазина")</f>
        <v>Скачать индивидуальный QR-код магазина</v>
      </c>
    </row>
    <row r="8012" spans="1:7" x14ac:dyDescent="0.25">
      <c r="A8012" t="s">
        <v>18820</v>
      </c>
      <c r="B8012" t="s">
        <v>19122</v>
      </c>
      <c r="C8012" t="s">
        <v>25909</v>
      </c>
      <c r="D8012" t="s">
        <v>25910</v>
      </c>
      <c r="E8012" t="s">
        <v>25911</v>
      </c>
      <c r="F8012" t="s">
        <v>25921</v>
      </c>
      <c r="G8012" s="2" t="str">
        <f>HYPERLINK("https://probpalata.gov.ru/files/ЮЛ770100382700012.jpeg","Скачать индивидуальный QR-код магазина")</f>
        <v>Скачать индивидуальный QR-код магазина</v>
      </c>
    </row>
    <row r="8013" spans="1:7" x14ac:dyDescent="0.25">
      <c r="A8013" t="s">
        <v>18820</v>
      </c>
      <c r="B8013" t="s">
        <v>18828</v>
      </c>
      <c r="C8013" t="s">
        <v>25909</v>
      </c>
      <c r="D8013" t="s">
        <v>25910</v>
      </c>
      <c r="E8013" t="s">
        <v>25911</v>
      </c>
      <c r="F8013" t="s">
        <v>25922</v>
      </c>
      <c r="G8013" s="2" t="str">
        <f>HYPERLINK("https://probpalata.gov.ru/files/ЮЛ770100382700013.jpeg","Скачать индивидуальный QR-код магазина")</f>
        <v>Скачать индивидуальный QR-код магазина</v>
      </c>
    </row>
    <row r="8014" spans="1:7" x14ac:dyDescent="0.25">
      <c r="A8014" t="s">
        <v>18820</v>
      </c>
      <c r="B8014" t="s">
        <v>20572</v>
      </c>
      <c r="C8014" t="s">
        <v>25909</v>
      </c>
      <c r="D8014" t="s">
        <v>25910</v>
      </c>
      <c r="E8014" t="s">
        <v>25911</v>
      </c>
      <c r="F8014" t="s">
        <v>25923</v>
      </c>
      <c r="G8014" s="2" t="str">
        <f>HYPERLINK("https://probpalata.gov.ru/files/ЮЛ770100382700014.jpeg","Скачать индивидуальный QR-код магазина")</f>
        <v>Скачать индивидуальный QR-код магазина</v>
      </c>
    </row>
    <row r="8015" spans="1:7" x14ac:dyDescent="0.25">
      <c r="A8015" t="s">
        <v>18820</v>
      </c>
      <c r="B8015" t="s">
        <v>23432</v>
      </c>
      <c r="C8015" t="s">
        <v>25909</v>
      </c>
      <c r="D8015" t="s">
        <v>25910</v>
      </c>
      <c r="E8015" t="s">
        <v>25911</v>
      </c>
      <c r="F8015" t="s">
        <v>25924</v>
      </c>
      <c r="G8015" s="2" t="str">
        <f>HYPERLINK("https://probpalata.gov.ru/files/ЮЛ770100382700015.jpeg","Скачать индивидуальный QR-код магазина")</f>
        <v>Скачать индивидуальный QR-код магазина</v>
      </c>
    </row>
    <row r="8016" spans="1:7" x14ac:dyDescent="0.25">
      <c r="A8016" t="s">
        <v>18820</v>
      </c>
      <c r="B8016" t="s">
        <v>23386</v>
      </c>
      <c r="C8016" t="s">
        <v>25909</v>
      </c>
      <c r="D8016" t="s">
        <v>25910</v>
      </c>
      <c r="E8016" t="s">
        <v>25911</v>
      </c>
      <c r="F8016" t="s">
        <v>25925</v>
      </c>
      <c r="G8016" s="2" t="str">
        <f>HYPERLINK("https://probpalata.gov.ru/files/ЮЛ770100382700016.jpeg","Скачать индивидуальный QR-код магазина")</f>
        <v>Скачать индивидуальный QR-код магазина</v>
      </c>
    </row>
    <row r="8017" spans="1:7" x14ac:dyDescent="0.25">
      <c r="A8017" t="s">
        <v>18820</v>
      </c>
      <c r="B8017" t="s">
        <v>25926</v>
      </c>
      <c r="C8017" t="s">
        <v>25909</v>
      </c>
      <c r="D8017" t="s">
        <v>25910</v>
      </c>
      <c r="E8017" t="s">
        <v>25911</v>
      </c>
      <c r="F8017" t="s">
        <v>25927</v>
      </c>
      <c r="G8017" s="2" t="str">
        <f>HYPERLINK("https://probpalata.gov.ru/files/ЮЛ770100382700017.jpeg","Скачать индивидуальный QR-код магазина")</f>
        <v>Скачать индивидуальный QR-код магазина</v>
      </c>
    </row>
    <row r="8018" spans="1:7" x14ac:dyDescent="0.25">
      <c r="A8018" t="s">
        <v>18820</v>
      </c>
      <c r="B8018" t="s">
        <v>25928</v>
      </c>
      <c r="C8018" t="s">
        <v>25909</v>
      </c>
      <c r="D8018" t="s">
        <v>25910</v>
      </c>
      <c r="E8018" t="s">
        <v>25911</v>
      </c>
      <c r="F8018" t="s">
        <v>25929</v>
      </c>
      <c r="G8018" s="2" t="str">
        <f>HYPERLINK("https://probpalata.gov.ru/files/ЮЛ770100382700018.jpeg","Скачать индивидуальный QR-код магазина")</f>
        <v>Скачать индивидуальный QR-код магазина</v>
      </c>
    </row>
    <row r="8019" spans="1:7" x14ac:dyDescent="0.25">
      <c r="A8019" t="s">
        <v>18820</v>
      </c>
      <c r="B8019" t="s">
        <v>25930</v>
      </c>
      <c r="C8019" t="s">
        <v>25909</v>
      </c>
      <c r="D8019" t="s">
        <v>25910</v>
      </c>
      <c r="E8019" t="s">
        <v>25911</v>
      </c>
      <c r="F8019" t="s">
        <v>25931</v>
      </c>
      <c r="G8019" s="2" t="str">
        <f>HYPERLINK("https://probpalata.gov.ru/files/ЮЛ770100382700027.jpeg","Скачать индивидуальный QR-код магазина")</f>
        <v>Скачать индивидуальный QR-код магазина</v>
      </c>
    </row>
    <row r="8020" spans="1:7" x14ac:dyDescent="0.25">
      <c r="A8020" t="s">
        <v>18820</v>
      </c>
      <c r="B8020" t="s">
        <v>19025</v>
      </c>
      <c r="C8020" t="s">
        <v>25909</v>
      </c>
      <c r="D8020" t="s">
        <v>25910</v>
      </c>
      <c r="E8020" t="s">
        <v>25911</v>
      </c>
      <c r="F8020" t="s">
        <v>25932</v>
      </c>
      <c r="G8020" s="2" t="str">
        <f>HYPERLINK("https://probpalata.gov.ru/files/ЮЛ770100382700028.jpeg","Скачать индивидуальный QR-код магазина")</f>
        <v>Скачать индивидуальный QR-код магазина</v>
      </c>
    </row>
    <row r="8021" spans="1:7" x14ac:dyDescent="0.25">
      <c r="A8021" t="s">
        <v>18820</v>
      </c>
      <c r="B8021" t="s">
        <v>25933</v>
      </c>
      <c r="C8021" t="s">
        <v>25909</v>
      </c>
      <c r="D8021" t="s">
        <v>25910</v>
      </c>
      <c r="E8021" t="s">
        <v>25911</v>
      </c>
      <c r="F8021" t="s">
        <v>25934</v>
      </c>
      <c r="G8021" s="2" t="str">
        <f>HYPERLINK("https://probpalata.gov.ru/files/ЮЛ770100382700029.jpeg","Скачать индивидуальный QR-код магазина")</f>
        <v>Скачать индивидуальный QR-код магазина</v>
      </c>
    </row>
    <row r="8022" spans="1:7" x14ac:dyDescent="0.25">
      <c r="A8022" t="s">
        <v>18820</v>
      </c>
      <c r="B8022" t="s">
        <v>25935</v>
      </c>
      <c r="C8022" t="s">
        <v>25936</v>
      </c>
      <c r="D8022" t="s">
        <v>25937</v>
      </c>
      <c r="E8022" t="s">
        <v>25938</v>
      </c>
      <c r="F8022" t="s">
        <v>25939</v>
      </c>
      <c r="G8022" s="2" t="str">
        <f>HYPERLINK("https://probpalata.gov.ru/files/ЮЛ770101502900000.jpeg","Скачать индивидуальный QR-код магазина")</f>
        <v>Скачать индивидуальный QR-код магазина</v>
      </c>
    </row>
    <row r="8023" spans="1:7" x14ac:dyDescent="0.25">
      <c r="A8023" t="s">
        <v>18820</v>
      </c>
      <c r="B8023" t="s">
        <v>25940</v>
      </c>
      <c r="C8023" t="s">
        <v>3592</v>
      </c>
      <c r="D8023" t="s">
        <v>25941</v>
      </c>
      <c r="E8023" t="s">
        <v>25942</v>
      </c>
      <c r="F8023" t="s">
        <v>25943</v>
      </c>
      <c r="G8023" s="2" t="str">
        <f>HYPERLINK("https://probpalata.gov.ru/files/ЮЛ770101057800000.jpeg","Скачать индивидуальный QR-код магазина")</f>
        <v>Скачать индивидуальный QR-код магазина</v>
      </c>
    </row>
    <row r="8024" spans="1:7" x14ac:dyDescent="0.25">
      <c r="A8024" t="s">
        <v>18820</v>
      </c>
      <c r="B8024" t="s">
        <v>25944</v>
      </c>
      <c r="C8024" t="s">
        <v>25945</v>
      </c>
      <c r="D8024" t="s">
        <v>25946</v>
      </c>
      <c r="E8024" t="s">
        <v>25947</v>
      </c>
      <c r="F8024" t="s">
        <v>25948</v>
      </c>
      <c r="G8024" s="2" t="str">
        <f>HYPERLINK("https://probpalata.gov.ru/files/ЮЛ770101209100000.jpeg","Скачать индивидуальный QR-код магазина")</f>
        <v>Скачать индивидуальный QR-код магазина</v>
      </c>
    </row>
    <row r="8025" spans="1:7" x14ac:dyDescent="0.25">
      <c r="A8025" t="s">
        <v>18820</v>
      </c>
      <c r="B8025" t="s">
        <v>25949</v>
      </c>
      <c r="C8025" t="s">
        <v>25950</v>
      </c>
      <c r="D8025" t="s">
        <v>25951</v>
      </c>
      <c r="E8025" t="s">
        <v>25952</v>
      </c>
      <c r="F8025" t="s">
        <v>25953</v>
      </c>
      <c r="G8025" s="2" t="str">
        <f>HYPERLINK("https://probpalata.gov.ru/files/ЮЛ770100985500000.jpeg","Скачать индивидуальный QR-код магазина")</f>
        <v>Скачать индивидуальный QR-код магазина</v>
      </c>
    </row>
    <row r="8026" spans="1:7" x14ac:dyDescent="0.25">
      <c r="A8026" t="s">
        <v>18820</v>
      </c>
      <c r="B8026" t="s">
        <v>25954</v>
      </c>
      <c r="C8026" t="s">
        <v>25955</v>
      </c>
      <c r="D8026" t="s">
        <v>25956</v>
      </c>
      <c r="E8026" t="s">
        <v>25957</v>
      </c>
      <c r="F8026" t="s">
        <v>25958</v>
      </c>
      <c r="G8026" s="2" t="str">
        <f>HYPERLINK("https://probpalata.gov.ru/files/ЮЛ770100140400000.jpeg","Скачать индивидуальный QR-код магазина")</f>
        <v>Скачать индивидуальный QR-код магазина</v>
      </c>
    </row>
    <row r="8027" spans="1:7" x14ac:dyDescent="0.25">
      <c r="A8027" t="s">
        <v>18820</v>
      </c>
      <c r="B8027" t="s">
        <v>25959</v>
      </c>
      <c r="C8027" t="s">
        <v>25955</v>
      </c>
      <c r="D8027" t="s">
        <v>25956</v>
      </c>
      <c r="E8027" t="s">
        <v>25957</v>
      </c>
      <c r="F8027" t="s">
        <v>25960</v>
      </c>
      <c r="G8027" s="2" t="str">
        <f>HYPERLINK("https://probpalata.gov.ru/files/ЮЛ770100140400003.jpeg","Скачать индивидуальный QR-код магазина")</f>
        <v>Скачать индивидуальный QR-код магазина</v>
      </c>
    </row>
    <row r="8028" spans="1:7" x14ac:dyDescent="0.25">
      <c r="A8028" t="s">
        <v>18820</v>
      </c>
      <c r="B8028" t="s">
        <v>25961</v>
      </c>
      <c r="C8028" t="s">
        <v>25955</v>
      </c>
      <c r="D8028" t="s">
        <v>25956</v>
      </c>
      <c r="E8028" t="s">
        <v>25957</v>
      </c>
      <c r="F8028" t="s">
        <v>25962</v>
      </c>
      <c r="G8028" s="2" t="str">
        <f>HYPERLINK("https://probpalata.gov.ru/files/ЮЛ770100140400004.jpeg","Скачать индивидуальный QR-код магазина")</f>
        <v>Скачать индивидуальный QR-код магазина</v>
      </c>
    </row>
    <row r="8029" spans="1:7" x14ac:dyDescent="0.25">
      <c r="A8029" t="s">
        <v>18820</v>
      </c>
      <c r="B8029" t="s">
        <v>25963</v>
      </c>
      <c r="C8029" t="s">
        <v>25955</v>
      </c>
      <c r="D8029" t="s">
        <v>25956</v>
      </c>
      <c r="E8029" t="s">
        <v>25957</v>
      </c>
      <c r="F8029" t="s">
        <v>25964</v>
      </c>
      <c r="G8029" s="2" t="str">
        <f>HYPERLINK("https://probpalata.gov.ru/files/ЮЛ770100140400005.jpeg","Скачать индивидуальный QR-код магазина")</f>
        <v>Скачать индивидуальный QR-код магазина</v>
      </c>
    </row>
    <row r="8030" spans="1:7" x14ac:dyDescent="0.25">
      <c r="A8030" t="s">
        <v>18820</v>
      </c>
      <c r="B8030" t="s">
        <v>25965</v>
      </c>
      <c r="C8030" t="s">
        <v>25955</v>
      </c>
      <c r="D8030" t="s">
        <v>25956</v>
      </c>
      <c r="E8030" t="s">
        <v>25957</v>
      </c>
      <c r="F8030" t="s">
        <v>25966</v>
      </c>
      <c r="G8030" s="2" t="str">
        <f>HYPERLINK("https://probpalata.gov.ru/files/ЮЛ770100140400007.jpeg","Скачать индивидуальный QR-код магазина")</f>
        <v>Скачать индивидуальный QR-код магазина</v>
      </c>
    </row>
    <row r="8031" spans="1:7" x14ac:dyDescent="0.25">
      <c r="A8031" t="s">
        <v>18820</v>
      </c>
      <c r="B8031" t="s">
        <v>25967</v>
      </c>
      <c r="C8031" t="s">
        <v>25955</v>
      </c>
      <c r="D8031" t="s">
        <v>25956</v>
      </c>
      <c r="E8031" t="s">
        <v>25957</v>
      </c>
      <c r="F8031" t="s">
        <v>25968</v>
      </c>
      <c r="G8031" s="2" t="str">
        <f>HYPERLINK("https://probpalata.gov.ru/files/ЮЛ770100140400008.jpeg","Скачать индивидуальный QR-код магазина")</f>
        <v>Скачать индивидуальный QR-код магазина</v>
      </c>
    </row>
    <row r="8032" spans="1:7" x14ac:dyDescent="0.25">
      <c r="A8032" t="s">
        <v>18820</v>
      </c>
      <c r="B8032" t="s">
        <v>25969</v>
      </c>
      <c r="C8032" t="s">
        <v>25955</v>
      </c>
      <c r="D8032" t="s">
        <v>25956</v>
      </c>
      <c r="E8032" t="s">
        <v>25957</v>
      </c>
      <c r="F8032" t="s">
        <v>25970</v>
      </c>
      <c r="G8032" s="2" t="str">
        <f>HYPERLINK("https://probpalata.gov.ru/files/ЮЛ770100140400009.jpeg","Скачать индивидуальный QR-код магазина")</f>
        <v>Скачать индивидуальный QR-код магазина</v>
      </c>
    </row>
    <row r="8033" spans="1:7" x14ac:dyDescent="0.25">
      <c r="A8033" t="s">
        <v>18820</v>
      </c>
      <c r="B8033" t="s">
        <v>25971</v>
      </c>
      <c r="C8033" t="s">
        <v>25955</v>
      </c>
      <c r="D8033" t="s">
        <v>25956</v>
      </c>
      <c r="E8033" t="s">
        <v>25957</v>
      </c>
      <c r="F8033" t="s">
        <v>25972</v>
      </c>
      <c r="G8033" s="2" t="str">
        <f>HYPERLINK("https://probpalata.gov.ru/files/ЮЛ770100140400010.jpeg","Скачать индивидуальный QR-код магазина")</f>
        <v>Скачать индивидуальный QR-код магазина</v>
      </c>
    </row>
    <row r="8034" spans="1:7" x14ac:dyDescent="0.25">
      <c r="A8034" t="s">
        <v>18820</v>
      </c>
      <c r="B8034" t="s">
        <v>25973</v>
      </c>
      <c r="C8034" t="s">
        <v>25955</v>
      </c>
      <c r="D8034" t="s">
        <v>25956</v>
      </c>
      <c r="E8034" t="s">
        <v>25957</v>
      </c>
      <c r="F8034" t="s">
        <v>25974</v>
      </c>
      <c r="G8034" s="2" t="str">
        <f>HYPERLINK("https://probpalata.gov.ru/files/ЮЛ770100140400012.jpeg","Скачать индивидуальный QR-код магазина")</f>
        <v>Скачать индивидуальный QR-код магазина</v>
      </c>
    </row>
    <row r="8035" spans="1:7" x14ac:dyDescent="0.25">
      <c r="A8035" t="s">
        <v>18820</v>
      </c>
      <c r="B8035" t="s">
        <v>25975</v>
      </c>
      <c r="C8035" t="s">
        <v>25955</v>
      </c>
      <c r="D8035" t="s">
        <v>25956</v>
      </c>
      <c r="E8035" t="s">
        <v>25957</v>
      </c>
      <c r="F8035" t="s">
        <v>25976</v>
      </c>
      <c r="G8035" s="2" t="str">
        <f>HYPERLINK("https://probpalata.gov.ru/files/ЮЛ770100140400013.jpeg","Скачать индивидуальный QR-код магазина")</f>
        <v>Скачать индивидуальный QR-код магазина</v>
      </c>
    </row>
    <row r="8036" spans="1:7" x14ac:dyDescent="0.25">
      <c r="A8036" t="s">
        <v>18820</v>
      </c>
      <c r="B8036" t="s">
        <v>25977</v>
      </c>
      <c r="C8036" t="s">
        <v>25955</v>
      </c>
      <c r="D8036" t="s">
        <v>25956</v>
      </c>
      <c r="E8036" t="s">
        <v>25957</v>
      </c>
      <c r="F8036" t="s">
        <v>25978</v>
      </c>
      <c r="G8036" s="2" t="str">
        <f>HYPERLINK("https://probpalata.gov.ru/files/ЮЛ770100140400014.jpeg","Скачать индивидуальный QR-код магазина")</f>
        <v>Скачать индивидуальный QR-код магазина</v>
      </c>
    </row>
    <row r="8037" spans="1:7" x14ac:dyDescent="0.25">
      <c r="A8037" t="s">
        <v>18820</v>
      </c>
      <c r="B8037" t="s">
        <v>25979</v>
      </c>
      <c r="C8037" t="s">
        <v>25955</v>
      </c>
      <c r="D8037" t="s">
        <v>25956</v>
      </c>
      <c r="E8037" t="s">
        <v>25957</v>
      </c>
      <c r="F8037" t="s">
        <v>25980</v>
      </c>
      <c r="G8037" s="2" t="str">
        <f>HYPERLINK("https://probpalata.gov.ru/files/ЮЛ770100140400015.jpeg","Скачать индивидуальный QR-код магазина")</f>
        <v>Скачать индивидуальный QR-код магазина</v>
      </c>
    </row>
    <row r="8038" spans="1:7" x14ac:dyDescent="0.25">
      <c r="A8038" t="s">
        <v>18820</v>
      </c>
      <c r="B8038" t="s">
        <v>25981</v>
      </c>
      <c r="C8038" t="s">
        <v>25955</v>
      </c>
      <c r="D8038" t="s">
        <v>25956</v>
      </c>
      <c r="E8038" t="s">
        <v>25957</v>
      </c>
      <c r="F8038" t="s">
        <v>25982</v>
      </c>
      <c r="G8038" s="2" t="str">
        <f>HYPERLINK("https://probpalata.gov.ru/files/ЮЛ770100140400016.jpeg","Скачать индивидуальный QR-код магазина")</f>
        <v>Скачать индивидуальный QR-код магазина</v>
      </c>
    </row>
    <row r="8039" spans="1:7" x14ac:dyDescent="0.25">
      <c r="A8039" t="s">
        <v>18820</v>
      </c>
      <c r="B8039" t="s">
        <v>25983</v>
      </c>
      <c r="C8039" t="s">
        <v>25984</v>
      </c>
      <c r="D8039" t="s">
        <v>25985</v>
      </c>
      <c r="E8039" t="s">
        <v>25986</v>
      </c>
      <c r="F8039" t="s">
        <v>25987</v>
      </c>
      <c r="G8039" s="2" t="str">
        <f>HYPERLINK("https://probpalata.gov.ru/files/ЮЛ770103198500000.jpeg","Скачать индивидуальный QR-код магазина")</f>
        <v>Скачать индивидуальный QR-код магазина</v>
      </c>
    </row>
    <row r="8040" spans="1:7" x14ac:dyDescent="0.25">
      <c r="A8040" t="s">
        <v>18820</v>
      </c>
      <c r="B8040" t="s">
        <v>25988</v>
      </c>
      <c r="C8040" t="s">
        <v>25984</v>
      </c>
      <c r="D8040" t="s">
        <v>25985</v>
      </c>
      <c r="E8040" t="s">
        <v>25986</v>
      </c>
      <c r="F8040" t="s">
        <v>25989</v>
      </c>
      <c r="G8040" s="2" t="str">
        <f>HYPERLINK("https://probpalata.gov.ru/files/ЮЛ770103198500001.jpeg","Скачать индивидуальный QR-код магазина")</f>
        <v>Скачать индивидуальный QR-код магазина</v>
      </c>
    </row>
    <row r="8041" spans="1:7" x14ac:dyDescent="0.25">
      <c r="A8041" t="s">
        <v>18820</v>
      </c>
      <c r="B8041" t="s">
        <v>25990</v>
      </c>
      <c r="C8041" t="s">
        <v>25984</v>
      </c>
      <c r="D8041" t="s">
        <v>25985</v>
      </c>
      <c r="E8041" t="s">
        <v>25986</v>
      </c>
      <c r="F8041" t="s">
        <v>25991</v>
      </c>
      <c r="G8041" s="2" t="str">
        <f>HYPERLINK("https://probpalata.gov.ru/files/ЮЛ770103198500002.jpeg","Скачать индивидуальный QR-код магазина")</f>
        <v>Скачать индивидуальный QR-код магазина</v>
      </c>
    </row>
    <row r="8042" spans="1:7" x14ac:dyDescent="0.25">
      <c r="A8042" t="s">
        <v>18820</v>
      </c>
      <c r="B8042" t="s">
        <v>25992</v>
      </c>
      <c r="C8042" t="s">
        <v>25993</v>
      </c>
      <c r="D8042" t="s">
        <v>25994</v>
      </c>
      <c r="E8042" t="s">
        <v>25995</v>
      </c>
      <c r="F8042" t="s">
        <v>25996</v>
      </c>
      <c r="G8042" s="2" t="str">
        <f>HYPERLINK("https://probpalata.gov.ru/files/ЮЛ770103666100000.jpeg","Скачать индивидуальный QR-код магазина")</f>
        <v>Скачать индивидуальный QR-код магазина</v>
      </c>
    </row>
    <row r="8043" spans="1:7" x14ac:dyDescent="0.25">
      <c r="A8043" t="s">
        <v>18820</v>
      </c>
      <c r="B8043" t="s">
        <v>25997</v>
      </c>
      <c r="C8043" t="s">
        <v>25998</v>
      </c>
      <c r="D8043" t="s">
        <v>25999</v>
      </c>
      <c r="E8043" t="s">
        <v>26000</v>
      </c>
      <c r="F8043" t="s">
        <v>26001</v>
      </c>
      <c r="G8043" s="2" t="str">
        <f>HYPERLINK("https://probpalata.gov.ru/files/ЮЛ770103800100007.jpeg","Скачать индивидуальный QR-код магазина")</f>
        <v>Скачать индивидуальный QR-код магазина</v>
      </c>
    </row>
    <row r="8044" spans="1:7" x14ac:dyDescent="0.25">
      <c r="A8044" t="s">
        <v>18820</v>
      </c>
      <c r="B8044" t="s">
        <v>26002</v>
      </c>
      <c r="C8044" t="s">
        <v>25998</v>
      </c>
      <c r="D8044" t="s">
        <v>25999</v>
      </c>
      <c r="E8044" t="s">
        <v>26000</v>
      </c>
      <c r="F8044" t="s">
        <v>26003</v>
      </c>
      <c r="G8044" s="2" t="str">
        <f>HYPERLINK("https://probpalata.gov.ru/files/ЮЛ770103800100008.jpeg","Скачать индивидуальный QR-код магазина")</f>
        <v>Скачать индивидуальный QR-код магазина</v>
      </c>
    </row>
    <row r="8045" spans="1:7" x14ac:dyDescent="0.25">
      <c r="A8045" t="s">
        <v>18820</v>
      </c>
      <c r="B8045" t="s">
        <v>26004</v>
      </c>
      <c r="C8045" t="s">
        <v>25998</v>
      </c>
      <c r="D8045" t="s">
        <v>25999</v>
      </c>
      <c r="E8045" t="s">
        <v>26000</v>
      </c>
      <c r="F8045" t="s">
        <v>26005</v>
      </c>
      <c r="G8045" s="2" t="str">
        <f>HYPERLINK("https://probpalata.gov.ru/files/ЮЛ770103800100009.jpeg","Скачать индивидуальный QR-код магазина")</f>
        <v>Скачать индивидуальный QR-код магазина</v>
      </c>
    </row>
    <row r="8046" spans="1:7" x14ac:dyDescent="0.25">
      <c r="A8046" t="s">
        <v>18820</v>
      </c>
      <c r="B8046" t="s">
        <v>26006</v>
      </c>
      <c r="C8046" t="s">
        <v>26007</v>
      </c>
      <c r="D8046" t="s">
        <v>26008</v>
      </c>
      <c r="E8046" t="s">
        <v>26009</v>
      </c>
      <c r="F8046" t="s">
        <v>26010</v>
      </c>
      <c r="G8046" s="2" t="str">
        <f>HYPERLINK("https://probpalata.gov.ru/files/ЮЛ770104096700000.jpeg","Скачать индивидуальный QR-код магазина")</f>
        <v>Скачать индивидуальный QR-код магазина</v>
      </c>
    </row>
    <row r="8047" spans="1:7" x14ac:dyDescent="0.25">
      <c r="A8047" t="s">
        <v>18820</v>
      </c>
      <c r="B8047" t="s">
        <v>26011</v>
      </c>
      <c r="C8047" t="s">
        <v>26012</v>
      </c>
      <c r="D8047" t="s">
        <v>26013</v>
      </c>
      <c r="E8047" t="s">
        <v>26014</v>
      </c>
      <c r="F8047" t="s">
        <v>26015</v>
      </c>
      <c r="G8047" s="2" t="str">
        <f>HYPERLINK("https://probpalata.gov.ru/files/ЮЛ770104003600000.jpeg","Скачать индивидуальный QR-код магазина")</f>
        <v>Скачать индивидуальный QR-код магазина</v>
      </c>
    </row>
    <row r="8048" spans="1:7" x14ac:dyDescent="0.25">
      <c r="A8048" t="s">
        <v>18820</v>
      </c>
      <c r="B8048" t="s">
        <v>20369</v>
      </c>
      <c r="C8048" t="s">
        <v>26016</v>
      </c>
      <c r="D8048" t="s">
        <v>26017</v>
      </c>
      <c r="E8048" t="s">
        <v>26018</v>
      </c>
      <c r="F8048" t="s">
        <v>26019</v>
      </c>
      <c r="G8048" s="2" t="str">
        <f>HYPERLINK("https://probpalata.gov.ru/files/ЮЛ770103961400000.jpeg","Скачать индивидуальный QR-код магазина")</f>
        <v>Скачать индивидуальный QR-код магазина</v>
      </c>
    </row>
    <row r="8049" spans="1:7" x14ac:dyDescent="0.25">
      <c r="A8049" t="s">
        <v>18820</v>
      </c>
      <c r="B8049" t="s">
        <v>26020</v>
      </c>
      <c r="C8049" t="s">
        <v>26021</v>
      </c>
      <c r="D8049" t="s">
        <v>26022</v>
      </c>
      <c r="E8049" t="s">
        <v>26023</v>
      </c>
      <c r="F8049" t="s">
        <v>26024</v>
      </c>
      <c r="G8049" s="2" t="str">
        <f>HYPERLINK("https://probpalata.gov.ru/files/ЮЛ770103449800000.jpeg","Скачать индивидуальный QR-код магазина")</f>
        <v>Скачать индивидуальный QR-код магазина</v>
      </c>
    </row>
    <row r="8050" spans="1:7" x14ac:dyDescent="0.25">
      <c r="A8050" t="s">
        <v>18820</v>
      </c>
      <c r="B8050" t="s">
        <v>23466</v>
      </c>
      <c r="C8050" t="s">
        <v>26025</v>
      </c>
      <c r="D8050" t="s">
        <v>26026</v>
      </c>
      <c r="E8050" t="s">
        <v>26027</v>
      </c>
      <c r="F8050" t="s">
        <v>26028</v>
      </c>
      <c r="G8050" s="2" t="str">
        <f>HYPERLINK("https://probpalata.gov.ru/files/ЮЛ770103962500000.jpeg","Скачать индивидуальный QR-код магазина")</f>
        <v>Скачать индивидуальный QR-код магазина</v>
      </c>
    </row>
    <row r="8051" spans="1:7" x14ac:dyDescent="0.25">
      <c r="A8051" t="s">
        <v>18820</v>
      </c>
      <c r="B8051" t="s">
        <v>26029</v>
      </c>
      <c r="C8051" t="s">
        <v>26030</v>
      </c>
      <c r="D8051" t="s">
        <v>26031</v>
      </c>
      <c r="E8051" t="s">
        <v>26032</v>
      </c>
      <c r="F8051" t="s">
        <v>26033</v>
      </c>
      <c r="G8051" s="2" t="str">
        <f>HYPERLINK("https://probpalata.gov.ru/files/ЮЛ770101310700000.jpeg","Скачать индивидуальный QR-код магазина")</f>
        <v>Скачать индивидуальный QR-код магазина</v>
      </c>
    </row>
    <row r="8052" spans="1:7" x14ac:dyDescent="0.25">
      <c r="A8052" t="s">
        <v>18820</v>
      </c>
      <c r="B8052" t="s">
        <v>26034</v>
      </c>
      <c r="C8052" t="s">
        <v>26035</v>
      </c>
      <c r="D8052" t="s">
        <v>26036</v>
      </c>
      <c r="E8052" t="s">
        <v>26037</v>
      </c>
      <c r="F8052" t="s">
        <v>26038</v>
      </c>
      <c r="G8052" s="2" t="str">
        <f>HYPERLINK("https://probpalata.gov.ru/files/ЮЛ770100760200000.jpeg","Скачать индивидуальный QR-код магазина")</f>
        <v>Скачать индивидуальный QR-код магазина</v>
      </c>
    </row>
    <row r="8053" spans="1:7" x14ac:dyDescent="0.25">
      <c r="A8053" t="s">
        <v>18820</v>
      </c>
      <c r="B8053" t="s">
        <v>26039</v>
      </c>
      <c r="C8053" t="s">
        <v>26040</v>
      </c>
      <c r="D8053" t="s">
        <v>26041</v>
      </c>
      <c r="E8053" t="s">
        <v>26042</v>
      </c>
      <c r="F8053" t="s">
        <v>26043</v>
      </c>
      <c r="G8053" s="2" t="str">
        <f>HYPERLINK("https://probpalata.gov.ru/files/ЮЛ770100639400000.jpeg","Скачать индивидуальный QR-код магазина")</f>
        <v>Скачать индивидуальный QR-код магазина</v>
      </c>
    </row>
    <row r="8054" spans="1:7" x14ac:dyDescent="0.25">
      <c r="A8054" t="s">
        <v>18820</v>
      </c>
      <c r="B8054" t="s">
        <v>26044</v>
      </c>
      <c r="C8054" t="s">
        <v>26040</v>
      </c>
      <c r="D8054" t="s">
        <v>26041</v>
      </c>
      <c r="E8054" t="s">
        <v>26042</v>
      </c>
      <c r="F8054" t="s">
        <v>26045</v>
      </c>
      <c r="G8054" s="2" t="str">
        <f>HYPERLINK("https://probpalata.gov.ru/files/ЮЛ770100639400001.jpeg","Скачать индивидуальный QR-код магазина")</f>
        <v>Скачать индивидуальный QR-код магазина</v>
      </c>
    </row>
    <row r="8055" spans="1:7" x14ac:dyDescent="0.25">
      <c r="A8055" t="s">
        <v>18820</v>
      </c>
      <c r="B8055" t="s">
        <v>26046</v>
      </c>
      <c r="C8055" t="s">
        <v>26040</v>
      </c>
      <c r="D8055" t="s">
        <v>26041</v>
      </c>
      <c r="E8055" t="s">
        <v>26042</v>
      </c>
      <c r="F8055" t="s">
        <v>26047</v>
      </c>
      <c r="G8055" s="2" t="str">
        <f>HYPERLINK("https://probpalata.gov.ru/files/ЮЛ770100639400002.jpeg","Скачать индивидуальный QR-код магазина")</f>
        <v>Скачать индивидуальный QR-код магазина</v>
      </c>
    </row>
    <row r="8056" spans="1:7" x14ac:dyDescent="0.25">
      <c r="A8056" t="s">
        <v>18820</v>
      </c>
      <c r="B8056" t="s">
        <v>26048</v>
      </c>
      <c r="C8056" t="s">
        <v>26040</v>
      </c>
      <c r="D8056" t="s">
        <v>26041</v>
      </c>
      <c r="E8056" t="s">
        <v>26042</v>
      </c>
      <c r="F8056" t="s">
        <v>26049</v>
      </c>
      <c r="G8056" s="2" t="str">
        <f>HYPERLINK("https://probpalata.gov.ru/files/ЮЛ770100639400004.jpeg","Скачать индивидуальный QR-код магазина")</f>
        <v>Скачать индивидуальный QR-код магазина</v>
      </c>
    </row>
    <row r="8057" spans="1:7" x14ac:dyDescent="0.25">
      <c r="A8057" t="s">
        <v>18820</v>
      </c>
      <c r="B8057" t="s">
        <v>26050</v>
      </c>
      <c r="C8057" t="s">
        <v>26051</v>
      </c>
      <c r="D8057" t="s">
        <v>26052</v>
      </c>
      <c r="E8057" t="s">
        <v>26053</v>
      </c>
      <c r="F8057" t="s">
        <v>26054</v>
      </c>
      <c r="G8057" s="2" t="str">
        <f>HYPERLINK("https://probpalata.gov.ru/files/ЮЛ770100334500000.jpeg","Скачать индивидуальный QR-код магазина")</f>
        <v>Скачать индивидуальный QR-код магазина</v>
      </c>
    </row>
    <row r="8058" spans="1:7" x14ac:dyDescent="0.25">
      <c r="A8058" t="s">
        <v>18820</v>
      </c>
      <c r="B8058" t="s">
        <v>26055</v>
      </c>
      <c r="C8058" t="s">
        <v>26056</v>
      </c>
      <c r="D8058" t="s">
        <v>26057</v>
      </c>
      <c r="E8058" t="s">
        <v>26058</v>
      </c>
      <c r="F8058" t="s">
        <v>26059</v>
      </c>
      <c r="G8058" s="2" t="str">
        <f>HYPERLINK("https://probpalata.gov.ru/files/ЮЛ770103077600000.jpeg","Скачать индивидуальный QR-код магазина")</f>
        <v>Скачать индивидуальный QR-код магазина</v>
      </c>
    </row>
    <row r="8059" spans="1:7" x14ac:dyDescent="0.25">
      <c r="A8059" t="s">
        <v>18820</v>
      </c>
      <c r="B8059" t="s">
        <v>26060</v>
      </c>
      <c r="C8059" t="s">
        <v>26056</v>
      </c>
      <c r="D8059" t="s">
        <v>26057</v>
      </c>
      <c r="E8059" t="s">
        <v>26058</v>
      </c>
      <c r="F8059" t="s">
        <v>26061</v>
      </c>
      <c r="G8059" s="2" t="str">
        <f>HYPERLINK("https://probpalata.gov.ru/files/ЮЛ770103077600001.jpeg","Скачать индивидуальный QR-код магазина")</f>
        <v>Скачать индивидуальный QR-код магазина</v>
      </c>
    </row>
    <row r="8060" spans="1:7" x14ac:dyDescent="0.25">
      <c r="A8060" t="s">
        <v>18820</v>
      </c>
      <c r="B8060" t="s">
        <v>26062</v>
      </c>
      <c r="C8060" t="s">
        <v>26056</v>
      </c>
      <c r="D8060" t="s">
        <v>26057</v>
      </c>
      <c r="E8060" t="s">
        <v>26058</v>
      </c>
      <c r="F8060" t="s">
        <v>26063</v>
      </c>
      <c r="G8060" s="2" t="str">
        <f>HYPERLINK("https://probpalata.gov.ru/files/ЮЛ770103077600002.jpeg","Скачать индивидуальный QR-код магазина")</f>
        <v>Скачать индивидуальный QR-код магазина</v>
      </c>
    </row>
    <row r="8061" spans="1:7" x14ac:dyDescent="0.25">
      <c r="A8061" t="s">
        <v>18820</v>
      </c>
      <c r="B8061" t="s">
        <v>26064</v>
      </c>
      <c r="C8061" t="s">
        <v>26056</v>
      </c>
      <c r="D8061" t="s">
        <v>26057</v>
      </c>
      <c r="E8061" t="s">
        <v>26058</v>
      </c>
      <c r="F8061" t="s">
        <v>26065</v>
      </c>
      <c r="G8061" s="2" t="str">
        <f>HYPERLINK("https://probpalata.gov.ru/files/ЮЛ770103077600004.jpeg","Скачать индивидуальный QR-код магазина")</f>
        <v>Скачать индивидуальный QR-код магазина</v>
      </c>
    </row>
    <row r="8062" spans="1:7" x14ac:dyDescent="0.25">
      <c r="A8062" t="s">
        <v>18820</v>
      </c>
      <c r="B8062" t="s">
        <v>26066</v>
      </c>
      <c r="C8062" t="s">
        <v>26056</v>
      </c>
      <c r="D8062" t="s">
        <v>26057</v>
      </c>
      <c r="E8062" t="s">
        <v>26058</v>
      </c>
      <c r="F8062" t="s">
        <v>26067</v>
      </c>
      <c r="G8062" s="2" t="str">
        <f>HYPERLINK("https://probpalata.gov.ru/files/ЮЛ770103077600005.jpeg","Скачать индивидуальный QR-код магазина")</f>
        <v>Скачать индивидуальный QR-код магазина</v>
      </c>
    </row>
    <row r="8063" spans="1:7" x14ac:dyDescent="0.25">
      <c r="A8063" t="s">
        <v>18820</v>
      </c>
      <c r="B8063" t="s">
        <v>26068</v>
      </c>
      <c r="C8063" t="s">
        <v>26056</v>
      </c>
      <c r="D8063" t="s">
        <v>26057</v>
      </c>
      <c r="E8063" t="s">
        <v>26058</v>
      </c>
      <c r="F8063" t="s">
        <v>26069</v>
      </c>
      <c r="G8063" s="2" t="str">
        <f>HYPERLINK("https://probpalata.gov.ru/files/ЮЛ770103077600006.jpeg","Скачать индивидуальный QR-код магазина")</f>
        <v>Скачать индивидуальный QR-код магазина</v>
      </c>
    </row>
    <row r="8064" spans="1:7" x14ac:dyDescent="0.25">
      <c r="A8064" t="s">
        <v>18820</v>
      </c>
      <c r="B8064" t="s">
        <v>26070</v>
      </c>
      <c r="C8064" t="s">
        <v>26056</v>
      </c>
      <c r="D8064" t="s">
        <v>26057</v>
      </c>
      <c r="E8064" t="s">
        <v>26058</v>
      </c>
      <c r="F8064" t="s">
        <v>26071</v>
      </c>
      <c r="G8064" s="2" t="str">
        <f>HYPERLINK("https://probpalata.gov.ru/files/ЮЛ770103077600007.jpeg","Скачать индивидуальный QR-код магазина")</f>
        <v>Скачать индивидуальный QR-код магазина</v>
      </c>
    </row>
    <row r="8065" spans="1:7" x14ac:dyDescent="0.25">
      <c r="A8065" t="s">
        <v>18820</v>
      </c>
      <c r="B8065" t="s">
        <v>26072</v>
      </c>
      <c r="C8065" t="s">
        <v>26056</v>
      </c>
      <c r="D8065" t="s">
        <v>26057</v>
      </c>
      <c r="E8065" t="s">
        <v>26058</v>
      </c>
      <c r="F8065" t="s">
        <v>26073</v>
      </c>
      <c r="G8065" s="2" t="str">
        <f>HYPERLINK("https://probpalata.gov.ru/files/ЮЛ770103077600008.jpeg","Скачать индивидуальный QR-код магазина")</f>
        <v>Скачать индивидуальный QR-код магазина</v>
      </c>
    </row>
    <row r="8066" spans="1:7" x14ac:dyDescent="0.25">
      <c r="A8066" t="s">
        <v>18820</v>
      </c>
      <c r="B8066" t="s">
        <v>26074</v>
      </c>
      <c r="C8066" t="s">
        <v>26075</v>
      </c>
      <c r="D8066" t="s">
        <v>26076</v>
      </c>
      <c r="E8066" t="s">
        <v>26077</v>
      </c>
      <c r="F8066" t="s">
        <v>26078</v>
      </c>
      <c r="G8066" s="2" t="str">
        <f>HYPERLINK("https://probpalata.gov.ru/files/ЮЛ770103865600000.jpeg","Скачать индивидуальный QR-код магазина")</f>
        <v>Скачать индивидуальный QR-код магазина</v>
      </c>
    </row>
    <row r="8067" spans="1:7" x14ac:dyDescent="0.25">
      <c r="A8067" t="s">
        <v>18820</v>
      </c>
      <c r="B8067" t="s">
        <v>26079</v>
      </c>
      <c r="C8067" t="s">
        <v>26080</v>
      </c>
      <c r="D8067" t="s">
        <v>26081</v>
      </c>
      <c r="E8067" t="s">
        <v>26082</v>
      </c>
      <c r="F8067" t="s">
        <v>26083</v>
      </c>
      <c r="G8067" s="2" t="str">
        <f>HYPERLINK("https://probpalata.gov.ru/files/ЮЛ770100668800000.jpeg","Скачать индивидуальный QR-код магазина")</f>
        <v>Скачать индивидуальный QR-код магазина</v>
      </c>
    </row>
    <row r="8068" spans="1:7" x14ac:dyDescent="0.25">
      <c r="A8068" t="s">
        <v>18820</v>
      </c>
      <c r="B8068" t="s">
        <v>26084</v>
      </c>
      <c r="C8068" t="s">
        <v>26080</v>
      </c>
      <c r="D8068" t="s">
        <v>26081</v>
      </c>
      <c r="E8068" t="s">
        <v>26082</v>
      </c>
      <c r="F8068" t="s">
        <v>26085</v>
      </c>
      <c r="G8068" s="2" t="str">
        <f>HYPERLINK("https://probpalata.gov.ru/files/ЮЛ770100668800012.jpeg","Скачать индивидуальный QR-код магазина")</f>
        <v>Скачать индивидуальный QR-код магазина</v>
      </c>
    </row>
    <row r="8069" spans="1:7" x14ac:dyDescent="0.25">
      <c r="A8069" t="s">
        <v>18820</v>
      </c>
      <c r="B8069" t="s">
        <v>26086</v>
      </c>
      <c r="C8069" t="s">
        <v>26080</v>
      </c>
      <c r="D8069" t="s">
        <v>26081</v>
      </c>
      <c r="E8069" t="s">
        <v>26082</v>
      </c>
      <c r="F8069" t="s">
        <v>26087</v>
      </c>
      <c r="G8069" s="2" t="str">
        <f>HYPERLINK("https://probpalata.gov.ru/files/ЮЛ770100668800013.jpeg","Скачать индивидуальный QR-код магазина")</f>
        <v>Скачать индивидуальный QR-код магазина</v>
      </c>
    </row>
    <row r="8070" spans="1:7" x14ac:dyDescent="0.25">
      <c r="A8070" t="s">
        <v>18820</v>
      </c>
      <c r="B8070" t="s">
        <v>26088</v>
      </c>
      <c r="C8070" t="s">
        <v>26080</v>
      </c>
      <c r="D8070" t="s">
        <v>26081</v>
      </c>
      <c r="E8070" t="s">
        <v>26082</v>
      </c>
      <c r="F8070" t="s">
        <v>26089</v>
      </c>
      <c r="G8070" s="2" t="str">
        <f>HYPERLINK("https://probpalata.gov.ru/files/ЮЛ770100668800014.jpeg","Скачать индивидуальный QR-код магазина")</f>
        <v>Скачать индивидуальный QR-код магазина</v>
      </c>
    </row>
    <row r="8071" spans="1:7" x14ac:dyDescent="0.25">
      <c r="A8071" t="s">
        <v>18820</v>
      </c>
      <c r="B8071" t="s">
        <v>26090</v>
      </c>
      <c r="C8071" t="s">
        <v>26080</v>
      </c>
      <c r="D8071" t="s">
        <v>26081</v>
      </c>
      <c r="E8071" t="s">
        <v>26082</v>
      </c>
      <c r="F8071" t="s">
        <v>26091</v>
      </c>
      <c r="G8071" s="2" t="str">
        <f>HYPERLINK("https://probpalata.gov.ru/files/ЮЛ770100668800015.jpeg","Скачать индивидуальный QR-код магазина")</f>
        <v>Скачать индивидуальный QR-код магазина</v>
      </c>
    </row>
    <row r="8072" spans="1:7" x14ac:dyDescent="0.25">
      <c r="A8072" t="s">
        <v>18820</v>
      </c>
      <c r="B8072" t="s">
        <v>26092</v>
      </c>
      <c r="C8072" t="s">
        <v>26080</v>
      </c>
      <c r="D8072" t="s">
        <v>26081</v>
      </c>
      <c r="E8072" t="s">
        <v>26082</v>
      </c>
      <c r="F8072" t="s">
        <v>26093</v>
      </c>
      <c r="G8072" s="2" t="str">
        <f>HYPERLINK("https://probpalata.gov.ru/files/ЮЛ770100668800016.jpeg","Скачать индивидуальный QR-код магазина")</f>
        <v>Скачать индивидуальный QR-код магазина</v>
      </c>
    </row>
    <row r="8073" spans="1:7" x14ac:dyDescent="0.25">
      <c r="A8073" t="s">
        <v>18820</v>
      </c>
      <c r="B8073" t="s">
        <v>26094</v>
      </c>
      <c r="C8073" t="s">
        <v>26080</v>
      </c>
      <c r="D8073" t="s">
        <v>26081</v>
      </c>
      <c r="E8073" t="s">
        <v>26082</v>
      </c>
      <c r="F8073" t="s">
        <v>26095</v>
      </c>
      <c r="G8073" s="2" t="str">
        <f>HYPERLINK("https://probpalata.gov.ru/files/ЮЛ770100668800022.jpeg","Скачать индивидуальный QR-код магазина")</f>
        <v>Скачать индивидуальный QR-код магазина</v>
      </c>
    </row>
    <row r="8074" spans="1:7" x14ac:dyDescent="0.25">
      <c r="A8074" t="s">
        <v>18820</v>
      </c>
      <c r="B8074" t="s">
        <v>26096</v>
      </c>
      <c r="C8074" t="s">
        <v>26080</v>
      </c>
      <c r="D8074" t="s">
        <v>26081</v>
      </c>
      <c r="E8074" t="s">
        <v>26082</v>
      </c>
      <c r="F8074" t="s">
        <v>26097</v>
      </c>
      <c r="G8074" s="2" t="str">
        <f>HYPERLINK("https://probpalata.gov.ru/files/ЮЛ770100668800023.jpeg","Скачать индивидуальный QR-код магазина")</f>
        <v>Скачать индивидуальный QR-код магазина</v>
      </c>
    </row>
    <row r="8075" spans="1:7" x14ac:dyDescent="0.25">
      <c r="A8075" t="s">
        <v>18820</v>
      </c>
      <c r="B8075" t="s">
        <v>26098</v>
      </c>
      <c r="C8075" t="s">
        <v>26080</v>
      </c>
      <c r="D8075" t="s">
        <v>26081</v>
      </c>
      <c r="E8075" t="s">
        <v>26082</v>
      </c>
      <c r="F8075" t="s">
        <v>26099</v>
      </c>
      <c r="G8075" s="2" t="str">
        <f>HYPERLINK("https://probpalata.gov.ru/files/ЮЛ770100668800025.jpeg","Скачать индивидуальный QR-код магазина")</f>
        <v>Скачать индивидуальный QR-код магазина</v>
      </c>
    </row>
    <row r="8076" spans="1:7" x14ac:dyDescent="0.25">
      <c r="A8076" t="s">
        <v>18820</v>
      </c>
      <c r="B8076" t="s">
        <v>26100</v>
      </c>
      <c r="C8076" t="s">
        <v>26080</v>
      </c>
      <c r="D8076" t="s">
        <v>26081</v>
      </c>
      <c r="E8076" t="s">
        <v>26082</v>
      </c>
      <c r="F8076" t="s">
        <v>26101</v>
      </c>
      <c r="G8076" s="2" t="str">
        <f>HYPERLINK("https://probpalata.gov.ru/files/ЮЛ770100668800026.jpeg","Скачать индивидуальный QR-код магазина")</f>
        <v>Скачать индивидуальный QR-код магазина</v>
      </c>
    </row>
    <row r="8077" spans="1:7" x14ac:dyDescent="0.25">
      <c r="A8077" t="s">
        <v>18820</v>
      </c>
      <c r="B8077" t="s">
        <v>26102</v>
      </c>
      <c r="C8077" t="s">
        <v>26080</v>
      </c>
      <c r="D8077" t="s">
        <v>26081</v>
      </c>
      <c r="E8077" t="s">
        <v>26082</v>
      </c>
      <c r="F8077" t="s">
        <v>26103</v>
      </c>
      <c r="G8077" s="2" t="str">
        <f>HYPERLINK("https://probpalata.gov.ru/files/ЮЛ770100668800029.jpeg","Скачать индивидуальный QR-код магазина")</f>
        <v>Скачать индивидуальный QR-код магазина</v>
      </c>
    </row>
    <row r="8078" spans="1:7" x14ac:dyDescent="0.25">
      <c r="A8078" t="s">
        <v>18820</v>
      </c>
      <c r="B8078" t="s">
        <v>26104</v>
      </c>
      <c r="C8078" t="s">
        <v>26080</v>
      </c>
      <c r="D8078" t="s">
        <v>26081</v>
      </c>
      <c r="E8078" t="s">
        <v>26082</v>
      </c>
      <c r="F8078" t="s">
        <v>26105</v>
      </c>
      <c r="G8078" s="2" t="str">
        <f>HYPERLINK("https://probpalata.gov.ru/files/ЮЛ770100668800030.jpeg","Скачать индивидуальный QR-код магазина")</f>
        <v>Скачать индивидуальный QR-код магазина</v>
      </c>
    </row>
    <row r="8079" spans="1:7" x14ac:dyDescent="0.25">
      <c r="A8079" t="s">
        <v>18820</v>
      </c>
      <c r="B8079" t="s">
        <v>26106</v>
      </c>
      <c r="C8079" t="s">
        <v>26080</v>
      </c>
      <c r="D8079" t="s">
        <v>26081</v>
      </c>
      <c r="E8079" t="s">
        <v>26082</v>
      </c>
      <c r="F8079" t="s">
        <v>26107</v>
      </c>
      <c r="G8079" s="2" t="str">
        <f>HYPERLINK("https://probpalata.gov.ru/files/ЮЛ770100668800033.jpeg","Скачать индивидуальный QR-код магазина")</f>
        <v>Скачать индивидуальный QR-код магазина</v>
      </c>
    </row>
    <row r="8080" spans="1:7" x14ac:dyDescent="0.25">
      <c r="A8080" t="s">
        <v>18820</v>
      </c>
      <c r="B8080" t="s">
        <v>26108</v>
      </c>
      <c r="C8080" t="s">
        <v>26080</v>
      </c>
      <c r="D8080" t="s">
        <v>26081</v>
      </c>
      <c r="E8080" t="s">
        <v>26082</v>
      </c>
      <c r="F8080" t="s">
        <v>26109</v>
      </c>
      <c r="G8080" s="2" t="str">
        <f>HYPERLINK("https://probpalata.gov.ru/files/ЮЛ770100668800036.jpeg","Скачать индивидуальный QR-код магазина")</f>
        <v>Скачать индивидуальный QR-код магазина</v>
      </c>
    </row>
    <row r="8081" spans="1:7" x14ac:dyDescent="0.25">
      <c r="A8081" t="s">
        <v>18820</v>
      </c>
      <c r="B8081" t="s">
        <v>26110</v>
      </c>
      <c r="C8081" t="s">
        <v>26080</v>
      </c>
      <c r="D8081" t="s">
        <v>26081</v>
      </c>
      <c r="E8081" t="s">
        <v>26082</v>
      </c>
      <c r="F8081" t="s">
        <v>26111</v>
      </c>
      <c r="G8081" s="2" t="str">
        <f>HYPERLINK("https://probpalata.gov.ru/files/ЮЛ770100668800037.jpeg","Скачать индивидуальный QR-код магазина")</f>
        <v>Скачать индивидуальный QR-код магазина</v>
      </c>
    </row>
    <row r="8082" spans="1:7" x14ac:dyDescent="0.25">
      <c r="A8082" t="s">
        <v>18820</v>
      </c>
      <c r="B8082" t="s">
        <v>26112</v>
      </c>
      <c r="C8082" t="s">
        <v>26080</v>
      </c>
      <c r="D8082" t="s">
        <v>26081</v>
      </c>
      <c r="E8082" t="s">
        <v>26082</v>
      </c>
      <c r="F8082" t="s">
        <v>26113</v>
      </c>
      <c r="G8082" s="2" t="str">
        <f>HYPERLINK("https://probpalata.gov.ru/files/ЮЛ770100668800038.jpeg","Скачать индивидуальный QR-код магазина")</f>
        <v>Скачать индивидуальный QR-код магазина</v>
      </c>
    </row>
    <row r="8083" spans="1:7" x14ac:dyDescent="0.25">
      <c r="A8083" t="s">
        <v>18820</v>
      </c>
      <c r="B8083" t="s">
        <v>26114</v>
      </c>
      <c r="C8083" t="s">
        <v>26080</v>
      </c>
      <c r="D8083" t="s">
        <v>26081</v>
      </c>
      <c r="E8083" t="s">
        <v>26082</v>
      </c>
      <c r="F8083" t="s">
        <v>26115</v>
      </c>
      <c r="G8083" s="2" t="str">
        <f>HYPERLINK("https://probpalata.gov.ru/files/ЮЛ770100668800041.jpeg","Скачать индивидуальный QR-код магазина")</f>
        <v>Скачать индивидуальный QR-код магазина</v>
      </c>
    </row>
    <row r="8084" spans="1:7" x14ac:dyDescent="0.25">
      <c r="A8084" t="s">
        <v>18820</v>
      </c>
      <c r="B8084" t="s">
        <v>26116</v>
      </c>
      <c r="C8084" t="s">
        <v>26080</v>
      </c>
      <c r="D8084" t="s">
        <v>26081</v>
      </c>
      <c r="E8084" t="s">
        <v>26082</v>
      </c>
      <c r="F8084" t="s">
        <v>26117</v>
      </c>
      <c r="G8084" s="2" t="str">
        <f>HYPERLINK("https://probpalata.gov.ru/files/ЮЛ770100668800042.jpeg","Скачать индивидуальный QR-код магазина")</f>
        <v>Скачать индивидуальный QR-код магазина</v>
      </c>
    </row>
    <row r="8085" spans="1:7" x14ac:dyDescent="0.25">
      <c r="A8085" t="s">
        <v>18820</v>
      </c>
      <c r="B8085" t="s">
        <v>26118</v>
      </c>
      <c r="C8085" t="s">
        <v>26080</v>
      </c>
      <c r="D8085" t="s">
        <v>26081</v>
      </c>
      <c r="E8085" t="s">
        <v>26082</v>
      </c>
      <c r="F8085" t="s">
        <v>26119</v>
      </c>
      <c r="G8085" s="2" t="str">
        <f>HYPERLINK("https://probpalata.gov.ru/files/ЮЛ770100668800044.jpeg","Скачать индивидуальный QR-код магазина")</f>
        <v>Скачать индивидуальный QR-код магазина</v>
      </c>
    </row>
    <row r="8086" spans="1:7" x14ac:dyDescent="0.25">
      <c r="A8086" t="s">
        <v>18820</v>
      </c>
      <c r="B8086" t="s">
        <v>26120</v>
      </c>
      <c r="C8086" t="s">
        <v>26080</v>
      </c>
      <c r="D8086" t="s">
        <v>26081</v>
      </c>
      <c r="E8086" t="s">
        <v>26082</v>
      </c>
      <c r="F8086" t="s">
        <v>26121</v>
      </c>
      <c r="G8086" s="2" t="str">
        <f>HYPERLINK("https://probpalata.gov.ru/files/ЮЛ770100668800047.jpeg","Скачать индивидуальный QR-код магазина")</f>
        <v>Скачать индивидуальный QR-код магазина</v>
      </c>
    </row>
    <row r="8087" spans="1:7" x14ac:dyDescent="0.25">
      <c r="A8087" t="s">
        <v>18820</v>
      </c>
      <c r="B8087" t="s">
        <v>26122</v>
      </c>
      <c r="C8087" t="s">
        <v>26123</v>
      </c>
      <c r="D8087" t="s">
        <v>26124</v>
      </c>
      <c r="E8087" t="s">
        <v>26125</v>
      </c>
      <c r="F8087" t="s">
        <v>26126</v>
      </c>
      <c r="G8087" s="2" t="str">
        <f>HYPERLINK("https://probpalata.gov.ru/files/ЮЛ770101312500000.jpeg","Скачать индивидуальный QR-код магазина")</f>
        <v>Скачать индивидуальный QR-код магазина</v>
      </c>
    </row>
    <row r="8088" spans="1:7" x14ac:dyDescent="0.25">
      <c r="A8088" t="s">
        <v>18820</v>
      </c>
      <c r="B8088" t="s">
        <v>26127</v>
      </c>
      <c r="C8088" t="s">
        <v>26123</v>
      </c>
      <c r="D8088" t="s">
        <v>26124</v>
      </c>
      <c r="E8088" t="s">
        <v>26125</v>
      </c>
      <c r="F8088" t="s">
        <v>26128</v>
      </c>
      <c r="G8088" s="2" t="str">
        <f>HYPERLINK("https://probpalata.gov.ru/files/ЮЛ770101312500001.jpeg","Скачать индивидуальный QR-код магазина")</f>
        <v>Скачать индивидуальный QR-код магазина</v>
      </c>
    </row>
    <row r="8089" spans="1:7" x14ac:dyDescent="0.25">
      <c r="A8089" t="s">
        <v>18820</v>
      </c>
      <c r="B8089" t="s">
        <v>26129</v>
      </c>
      <c r="C8089" t="s">
        <v>21600</v>
      </c>
      <c r="D8089" t="s">
        <v>26130</v>
      </c>
      <c r="E8089" t="s">
        <v>26131</v>
      </c>
      <c r="F8089" t="s">
        <v>26132</v>
      </c>
      <c r="G8089" s="2" t="str">
        <f>HYPERLINK("https://probpalata.gov.ru/files/ЮЛ770100739100000.jpeg","Скачать индивидуальный QR-код магазина")</f>
        <v>Скачать индивидуальный QR-код магазина</v>
      </c>
    </row>
    <row r="8090" spans="1:7" x14ac:dyDescent="0.25">
      <c r="A8090" t="s">
        <v>18820</v>
      </c>
      <c r="B8090" t="s">
        <v>26133</v>
      </c>
      <c r="C8090" t="s">
        <v>26134</v>
      </c>
      <c r="D8090" t="s">
        <v>26135</v>
      </c>
      <c r="E8090" t="s">
        <v>26136</v>
      </c>
      <c r="F8090" t="s">
        <v>26137</v>
      </c>
      <c r="G8090" s="2" t="str">
        <f>HYPERLINK("https://probpalata.gov.ru/files/ЮЛ770100449900000.jpeg","Скачать индивидуальный QR-код магазина")</f>
        <v>Скачать индивидуальный QR-код магазина</v>
      </c>
    </row>
    <row r="8091" spans="1:7" x14ac:dyDescent="0.25">
      <c r="A8091" t="s">
        <v>18820</v>
      </c>
      <c r="B8091" t="s">
        <v>26138</v>
      </c>
      <c r="C8091" t="s">
        <v>26139</v>
      </c>
      <c r="D8091" t="s">
        <v>26140</v>
      </c>
      <c r="E8091" t="s">
        <v>26141</v>
      </c>
      <c r="F8091" t="s">
        <v>26142</v>
      </c>
      <c r="G8091" s="2" t="str">
        <f>HYPERLINK("https://probpalata.gov.ru/files/ЮЛ770101138000000.jpeg","Скачать индивидуальный QR-код магазина")</f>
        <v>Скачать индивидуальный QR-код магазина</v>
      </c>
    </row>
    <row r="8092" spans="1:7" x14ac:dyDescent="0.25">
      <c r="A8092" t="s">
        <v>18820</v>
      </c>
      <c r="B8092" t="s">
        <v>26143</v>
      </c>
      <c r="C8092" t="s">
        <v>26144</v>
      </c>
      <c r="D8092" t="s">
        <v>26145</v>
      </c>
      <c r="E8092" t="s">
        <v>26146</v>
      </c>
      <c r="F8092" t="s">
        <v>26147</v>
      </c>
      <c r="G8092" s="2" t="str">
        <f>HYPERLINK("https://probpalata.gov.ru/files/ЮЛ770101579500000.jpeg","Скачать индивидуальный QR-код магазина")</f>
        <v>Скачать индивидуальный QR-код магазина</v>
      </c>
    </row>
    <row r="8093" spans="1:7" x14ac:dyDescent="0.25">
      <c r="A8093" t="s">
        <v>18820</v>
      </c>
      <c r="B8093" t="s">
        <v>26148</v>
      </c>
      <c r="C8093" t="s">
        <v>26149</v>
      </c>
      <c r="D8093" t="s">
        <v>26150</v>
      </c>
      <c r="E8093" t="s">
        <v>26151</v>
      </c>
      <c r="F8093" t="s">
        <v>26152</v>
      </c>
      <c r="G8093" s="2" t="str">
        <f>HYPERLINK("https://probpalata.gov.ru/files/ЮЛ770101919300000.jpeg","Скачать индивидуальный QR-код магазина")</f>
        <v>Скачать индивидуальный QR-код магазина</v>
      </c>
    </row>
    <row r="8094" spans="1:7" x14ac:dyDescent="0.25">
      <c r="A8094" t="s">
        <v>18820</v>
      </c>
      <c r="B8094" t="s">
        <v>26153</v>
      </c>
      <c r="C8094" t="s">
        <v>26154</v>
      </c>
      <c r="D8094" t="s">
        <v>26155</v>
      </c>
      <c r="E8094" t="s">
        <v>26156</v>
      </c>
      <c r="F8094" t="s">
        <v>26157</v>
      </c>
      <c r="G8094" s="2" t="str">
        <f>HYPERLINK("https://probpalata.gov.ru/files/ЮЛ770100243700000.jpeg","Скачать индивидуальный QR-код магазина")</f>
        <v>Скачать индивидуальный QR-код магазина</v>
      </c>
    </row>
    <row r="8095" spans="1:7" x14ac:dyDescent="0.25">
      <c r="A8095" t="s">
        <v>18820</v>
      </c>
      <c r="B8095" t="s">
        <v>26158</v>
      </c>
      <c r="C8095" t="s">
        <v>26154</v>
      </c>
      <c r="D8095" t="s">
        <v>26155</v>
      </c>
      <c r="E8095" t="s">
        <v>26156</v>
      </c>
      <c r="F8095" t="s">
        <v>26159</v>
      </c>
      <c r="G8095" s="2" t="str">
        <f>HYPERLINK("https://probpalata.gov.ru/files/ЮЛ770100243700001.jpeg","Скачать индивидуальный QR-код магазина")</f>
        <v>Скачать индивидуальный QR-код магазина</v>
      </c>
    </row>
    <row r="8096" spans="1:7" x14ac:dyDescent="0.25">
      <c r="A8096" t="s">
        <v>18820</v>
      </c>
      <c r="B8096" t="s">
        <v>26160</v>
      </c>
      <c r="C8096" t="s">
        <v>26161</v>
      </c>
      <c r="D8096" t="s">
        <v>26162</v>
      </c>
      <c r="E8096" t="s">
        <v>26163</v>
      </c>
      <c r="F8096" t="s">
        <v>26164</v>
      </c>
      <c r="G8096" s="2" t="str">
        <f>HYPERLINK("https://probpalata.gov.ru/files/ЮЛ770103686200000.jpeg","Скачать индивидуальный QR-код магазина")</f>
        <v>Скачать индивидуальный QR-код магазина</v>
      </c>
    </row>
    <row r="8097" spans="1:7" x14ac:dyDescent="0.25">
      <c r="A8097" t="s">
        <v>18820</v>
      </c>
      <c r="B8097" t="s">
        <v>26165</v>
      </c>
      <c r="C8097" t="s">
        <v>26166</v>
      </c>
      <c r="D8097" t="s">
        <v>26167</v>
      </c>
      <c r="E8097" t="s">
        <v>26168</v>
      </c>
      <c r="F8097" t="s">
        <v>26169</v>
      </c>
      <c r="G8097" s="2" t="str">
        <f>HYPERLINK("https://probpalata.gov.ru/files/ЮЛ770103704600000.jpeg","Скачать индивидуальный QR-код магазина")</f>
        <v>Скачать индивидуальный QR-код магазина</v>
      </c>
    </row>
    <row r="8098" spans="1:7" x14ac:dyDescent="0.25">
      <c r="A8098" t="s">
        <v>18820</v>
      </c>
      <c r="B8098" t="s">
        <v>26170</v>
      </c>
      <c r="C8098" t="s">
        <v>26171</v>
      </c>
      <c r="D8098" t="s">
        <v>26172</v>
      </c>
      <c r="E8098" t="s">
        <v>26173</v>
      </c>
      <c r="F8098" t="s">
        <v>26174</v>
      </c>
      <c r="G8098" s="2" t="str">
        <f>HYPERLINK("https://probpalata.gov.ru/files/ЮЛ770103982000000.jpeg","Скачать индивидуальный QR-код магазина")</f>
        <v>Скачать индивидуальный QR-код магазина</v>
      </c>
    </row>
    <row r="8099" spans="1:7" x14ac:dyDescent="0.25">
      <c r="A8099" t="s">
        <v>18820</v>
      </c>
      <c r="B8099" t="s">
        <v>26175</v>
      </c>
      <c r="C8099" t="s">
        <v>26176</v>
      </c>
      <c r="D8099" t="s">
        <v>26177</v>
      </c>
      <c r="E8099" t="s">
        <v>26178</v>
      </c>
      <c r="F8099" t="s">
        <v>26179</v>
      </c>
      <c r="G8099" s="2" t="str">
        <f>HYPERLINK("https://probpalata.gov.ru/files/ЮЛ770103713100000.jpeg","Скачать индивидуальный QR-код магазина")</f>
        <v>Скачать индивидуальный QR-код магазина</v>
      </c>
    </row>
    <row r="8100" spans="1:7" x14ac:dyDescent="0.25">
      <c r="A8100" t="s">
        <v>18820</v>
      </c>
      <c r="B8100" t="s">
        <v>26180</v>
      </c>
      <c r="C8100" t="s">
        <v>26181</v>
      </c>
      <c r="D8100" t="s">
        <v>26182</v>
      </c>
      <c r="E8100" t="s">
        <v>26183</v>
      </c>
      <c r="F8100" t="s">
        <v>26184</v>
      </c>
      <c r="G8100" s="2" t="str">
        <f>HYPERLINK("https://probpalata.gov.ru/files/ЮЛ770103740900000.jpeg","Скачать индивидуальный QR-код магазина")</f>
        <v>Скачать индивидуальный QR-код магазина</v>
      </c>
    </row>
    <row r="8101" spans="1:7" x14ac:dyDescent="0.25">
      <c r="A8101" t="s">
        <v>18820</v>
      </c>
      <c r="B8101" t="s">
        <v>26185</v>
      </c>
      <c r="C8101" t="s">
        <v>26181</v>
      </c>
      <c r="D8101" t="s">
        <v>26182</v>
      </c>
      <c r="E8101" t="s">
        <v>26183</v>
      </c>
      <c r="F8101" t="s">
        <v>26186</v>
      </c>
      <c r="G8101" s="2" t="str">
        <f>HYPERLINK("https://probpalata.gov.ru/files/ЮЛ770103740900001.jpeg","Скачать индивидуальный QR-код магазина")</f>
        <v>Скачать индивидуальный QR-код магазина</v>
      </c>
    </row>
    <row r="8102" spans="1:7" x14ac:dyDescent="0.25">
      <c r="A8102" t="s">
        <v>18820</v>
      </c>
      <c r="B8102" t="s">
        <v>26187</v>
      </c>
      <c r="C8102" t="s">
        <v>26188</v>
      </c>
      <c r="D8102" t="s">
        <v>26189</v>
      </c>
      <c r="E8102" t="s">
        <v>26190</v>
      </c>
      <c r="F8102" t="s">
        <v>26191</v>
      </c>
      <c r="G8102" s="2" t="str">
        <f>HYPERLINK("https://probpalata.gov.ru/files/ЮЛ770103729000000.jpeg","Скачать индивидуальный QR-код магазина")</f>
        <v>Скачать индивидуальный QR-код магазина</v>
      </c>
    </row>
    <row r="8103" spans="1:7" x14ac:dyDescent="0.25">
      <c r="A8103" t="s">
        <v>18820</v>
      </c>
      <c r="B8103" t="s">
        <v>26192</v>
      </c>
      <c r="C8103" t="s">
        <v>26193</v>
      </c>
      <c r="D8103" t="s">
        <v>26194</v>
      </c>
      <c r="E8103" t="s">
        <v>26195</v>
      </c>
      <c r="F8103" t="s">
        <v>26196</v>
      </c>
      <c r="G8103" s="2" t="str">
        <f>HYPERLINK("https://probpalata.gov.ru/files/ИП500100774500001.jpeg","Скачать индивидуальный QR-код магазина")</f>
        <v>Скачать индивидуальный QR-код магазина</v>
      </c>
    </row>
    <row r="8104" spans="1:7" x14ac:dyDescent="0.25">
      <c r="A8104" t="s">
        <v>18820</v>
      </c>
      <c r="B8104" t="s">
        <v>26197</v>
      </c>
      <c r="C8104" t="s">
        <v>26198</v>
      </c>
      <c r="D8104" t="s">
        <v>26199</v>
      </c>
      <c r="E8104" t="s">
        <v>26200</v>
      </c>
      <c r="F8104" t="s">
        <v>26201</v>
      </c>
      <c r="G8104" s="2" t="str">
        <f>HYPERLINK("https://probpalata.gov.ru/files/ИП770103897200000.jpeg","Скачать индивидуальный QR-код магазина")</f>
        <v>Скачать индивидуальный QR-код магазина</v>
      </c>
    </row>
    <row r="8105" spans="1:7" x14ac:dyDescent="0.25">
      <c r="A8105" t="s">
        <v>18820</v>
      </c>
      <c r="B8105" t="s">
        <v>26202</v>
      </c>
      <c r="C8105" t="s">
        <v>26203</v>
      </c>
      <c r="D8105" t="s">
        <v>26204</v>
      </c>
      <c r="E8105" t="s">
        <v>26205</v>
      </c>
      <c r="F8105" t="s">
        <v>26206</v>
      </c>
      <c r="G8105" s="2" t="str">
        <f>HYPERLINK("https://probpalata.gov.ru/files/ЮЛ770100327000000.jpeg","Скачать индивидуальный QR-код магазина")</f>
        <v>Скачать индивидуальный QR-код магазина</v>
      </c>
    </row>
    <row r="8106" spans="1:7" x14ac:dyDescent="0.25">
      <c r="A8106" t="s">
        <v>18820</v>
      </c>
      <c r="B8106" t="s">
        <v>26207</v>
      </c>
      <c r="C8106" t="s">
        <v>26203</v>
      </c>
      <c r="D8106" t="s">
        <v>26204</v>
      </c>
      <c r="E8106" t="s">
        <v>26205</v>
      </c>
      <c r="F8106" t="s">
        <v>26208</v>
      </c>
      <c r="G8106" s="2" t="str">
        <f>HYPERLINK("https://probpalata.gov.ru/files/ЮЛ770100327000002.jpeg","Скачать индивидуальный QR-код магазина")</f>
        <v>Скачать индивидуальный QR-код магазина</v>
      </c>
    </row>
    <row r="8107" spans="1:7" x14ac:dyDescent="0.25">
      <c r="A8107" t="s">
        <v>18820</v>
      </c>
      <c r="B8107" t="s">
        <v>26209</v>
      </c>
      <c r="C8107" t="s">
        <v>26203</v>
      </c>
      <c r="D8107" t="s">
        <v>26204</v>
      </c>
      <c r="E8107" t="s">
        <v>26205</v>
      </c>
      <c r="F8107" t="s">
        <v>26210</v>
      </c>
      <c r="G8107" s="2" t="str">
        <f>HYPERLINK("https://probpalata.gov.ru/files/ЮЛ770100327000004.jpeg","Скачать индивидуальный QR-код магазина")</f>
        <v>Скачать индивидуальный QR-код магазина</v>
      </c>
    </row>
    <row r="8108" spans="1:7" x14ac:dyDescent="0.25">
      <c r="A8108" t="s">
        <v>18820</v>
      </c>
      <c r="B8108" t="s">
        <v>26211</v>
      </c>
      <c r="C8108" t="s">
        <v>12941</v>
      </c>
      <c r="D8108" t="s">
        <v>26212</v>
      </c>
      <c r="E8108" t="s">
        <v>26213</v>
      </c>
      <c r="F8108" t="s">
        <v>26214</v>
      </c>
      <c r="G8108" s="2" t="str">
        <f>HYPERLINK("https://probpalata.gov.ru/files/ЮЛ770100202300000.jpeg","Скачать индивидуальный QR-код магазина")</f>
        <v>Скачать индивидуальный QR-код магазина</v>
      </c>
    </row>
    <row r="8109" spans="1:7" x14ac:dyDescent="0.25">
      <c r="A8109" t="s">
        <v>18820</v>
      </c>
      <c r="B8109" t="s">
        <v>26215</v>
      </c>
      <c r="C8109" t="s">
        <v>1501</v>
      </c>
      <c r="D8109" t="s">
        <v>1502</v>
      </c>
      <c r="E8109" t="s">
        <v>1503</v>
      </c>
      <c r="F8109" t="s">
        <v>26216</v>
      </c>
      <c r="G8109" s="2" t="str">
        <f>HYPERLINK("https://probpalata.gov.ru/files/ЮЛ770100439200000.jpeg","Скачать индивидуальный QR-код магазина")</f>
        <v>Скачать индивидуальный QR-код магазина</v>
      </c>
    </row>
    <row r="8110" spans="1:7" x14ac:dyDescent="0.25">
      <c r="A8110" t="s">
        <v>18820</v>
      </c>
      <c r="B8110" t="s">
        <v>26217</v>
      </c>
      <c r="C8110" t="s">
        <v>1501</v>
      </c>
      <c r="D8110" t="s">
        <v>1502</v>
      </c>
      <c r="E8110" t="s">
        <v>1503</v>
      </c>
      <c r="F8110" t="s">
        <v>26218</v>
      </c>
      <c r="G8110" s="2" t="str">
        <f>HYPERLINK("https://probpalata.gov.ru/files/ЮЛ770100439200056.jpeg","Скачать индивидуальный QR-код магазина")</f>
        <v>Скачать индивидуальный QR-код магазина</v>
      </c>
    </row>
    <row r="8111" spans="1:7" x14ac:dyDescent="0.25">
      <c r="A8111" t="s">
        <v>18820</v>
      </c>
      <c r="B8111" t="s">
        <v>26219</v>
      </c>
      <c r="C8111" t="s">
        <v>1501</v>
      </c>
      <c r="D8111" t="s">
        <v>1502</v>
      </c>
      <c r="E8111" t="s">
        <v>1503</v>
      </c>
      <c r="F8111" t="s">
        <v>26220</v>
      </c>
      <c r="G8111" s="2" t="str">
        <f>HYPERLINK("https://probpalata.gov.ru/files/ЮЛ770100439200057.jpeg","Скачать индивидуальный QR-код магазина")</f>
        <v>Скачать индивидуальный QR-код магазина</v>
      </c>
    </row>
    <row r="8112" spans="1:7" x14ac:dyDescent="0.25">
      <c r="A8112" t="s">
        <v>18820</v>
      </c>
      <c r="B8112" t="s">
        <v>26221</v>
      </c>
      <c r="C8112" t="s">
        <v>1501</v>
      </c>
      <c r="D8112" t="s">
        <v>1502</v>
      </c>
      <c r="E8112" t="s">
        <v>1503</v>
      </c>
      <c r="F8112" t="s">
        <v>26222</v>
      </c>
      <c r="G8112" s="2" t="str">
        <f>HYPERLINK("https://probpalata.gov.ru/files/ЮЛ770100439200059.jpeg","Скачать индивидуальный QR-код магазина")</f>
        <v>Скачать индивидуальный QR-код магазина</v>
      </c>
    </row>
    <row r="8113" spans="1:7" x14ac:dyDescent="0.25">
      <c r="A8113" t="s">
        <v>18820</v>
      </c>
      <c r="B8113" t="s">
        <v>26223</v>
      </c>
      <c r="C8113" t="s">
        <v>1501</v>
      </c>
      <c r="D8113" t="s">
        <v>1502</v>
      </c>
      <c r="E8113" t="s">
        <v>1503</v>
      </c>
      <c r="F8113" t="s">
        <v>26224</v>
      </c>
      <c r="G8113" s="2" t="str">
        <f>HYPERLINK("https://probpalata.gov.ru/files/ЮЛ770100439200060.jpeg","Скачать индивидуальный QR-код магазина")</f>
        <v>Скачать индивидуальный QR-код магазина</v>
      </c>
    </row>
    <row r="8114" spans="1:7" x14ac:dyDescent="0.25">
      <c r="A8114" t="s">
        <v>18820</v>
      </c>
      <c r="B8114" t="s">
        <v>26225</v>
      </c>
      <c r="C8114" t="s">
        <v>1501</v>
      </c>
      <c r="D8114" t="s">
        <v>1502</v>
      </c>
      <c r="E8114" t="s">
        <v>1503</v>
      </c>
      <c r="F8114" t="s">
        <v>26226</v>
      </c>
      <c r="G8114" s="2" t="str">
        <f>HYPERLINK("https://probpalata.gov.ru/files/ЮЛ770100439200063.jpeg","Скачать индивидуальный QR-код магазина")</f>
        <v>Скачать индивидуальный QR-код магазина</v>
      </c>
    </row>
    <row r="8115" spans="1:7" x14ac:dyDescent="0.25">
      <c r="A8115" t="s">
        <v>18820</v>
      </c>
      <c r="B8115" t="s">
        <v>26227</v>
      </c>
      <c r="C8115" t="s">
        <v>1501</v>
      </c>
      <c r="D8115" t="s">
        <v>1502</v>
      </c>
      <c r="E8115" t="s">
        <v>1503</v>
      </c>
      <c r="F8115" t="s">
        <v>26228</v>
      </c>
      <c r="G8115" s="2" t="str">
        <f>HYPERLINK("https://probpalata.gov.ru/files/ЮЛ770100439200064.jpeg","Скачать индивидуальный QR-код магазина")</f>
        <v>Скачать индивидуальный QR-код магазина</v>
      </c>
    </row>
    <row r="8116" spans="1:7" x14ac:dyDescent="0.25">
      <c r="A8116" t="s">
        <v>18820</v>
      </c>
      <c r="B8116" t="s">
        <v>26229</v>
      </c>
      <c r="C8116" t="s">
        <v>1501</v>
      </c>
      <c r="D8116" t="s">
        <v>1502</v>
      </c>
      <c r="E8116" t="s">
        <v>1503</v>
      </c>
      <c r="F8116" t="s">
        <v>26230</v>
      </c>
      <c r="G8116" s="2" t="str">
        <f>HYPERLINK("https://probpalata.gov.ru/files/ЮЛ770100439200065.jpeg","Скачать индивидуальный QR-код магазина")</f>
        <v>Скачать индивидуальный QR-код магазина</v>
      </c>
    </row>
    <row r="8117" spans="1:7" x14ac:dyDescent="0.25">
      <c r="A8117" t="s">
        <v>18820</v>
      </c>
      <c r="B8117" t="s">
        <v>26231</v>
      </c>
      <c r="C8117" t="s">
        <v>1501</v>
      </c>
      <c r="D8117" t="s">
        <v>1502</v>
      </c>
      <c r="E8117" t="s">
        <v>1503</v>
      </c>
      <c r="F8117" t="s">
        <v>26232</v>
      </c>
      <c r="G8117" s="2" t="str">
        <f>HYPERLINK("https://probpalata.gov.ru/files/ЮЛ770100439200066.jpeg","Скачать индивидуальный QR-код магазина")</f>
        <v>Скачать индивидуальный QR-код магазина</v>
      </c>
    </row>
    <row r="8118" spans="1:7" x14ac:dyDescent="0.25">
      <c r="A8118" t="s">
        <v>18820</v>
      </c>
      <c r="B8118" t="s">
        <v>26233</v>
      </c>
      <c r="C8118" t="s">
        <v>1501</v>
      </c>
      <c r="D8118" t="s">
        <v>1502</v>
      </c>
      <c r="E8118" t="s">
        <v>1503</v>
      </c>
      <c r="F8118" t="s">
        <v>26234</v>
      </c>
      <c r="G8118" s="2" t="str">
        <f>HYPERLINK("https://probpalata.gov.ru/files/ЮЛ770100439200067.jpeg","Скачать индивидуальный QR-код магазина")</f>
        <v>Скачать индивидуальный QR-код магазина</v>
      </c>
    </row>
    <row r="8119" spans="1:7" x14ac:dyDescent="0.25">
      <c r="A8119" t="s">
        <v>18820</v>
      </c>
      <c r="B8119" t="s">
        <v>26235</v>
      </c>
      <c r="C8119" t="s">
        <v>1501</v>
      </c>
      <c r="D8119" t="s">
        <v>1502</v>
      </c>
      <c r="E8119" t="s">
        <v>1503</v>
      </c>
      <c r="F8119" t="s">
        <v>26236</v>
      </c>
      <c r="G8119" s="2" t="str">
        <f>HYPERLINK("https://probpalata.gov.ru/files/ЮЛ770100439200068.jpeg","Скачать индивидуальный QR-код магазина")</f>
        <v>Скачать индивидуальный QR-код магазина</v>
      </c>
    </row>
    <row r="8120" spans="1:7" x14ac:dyDescent="0.25">
      <c r="A8120" t="s">
        <v>18820</v>
      </c>
      <c r="B8120" t="s">
        <v>26237</v>
      </c>
      <c r="C8120" t="s">
        <v>1501</v>
      </c>
      <c r="D8120" t="s">
        <v>1502</v>
      </c>
      <c r="E8120" t="s">
        <v>1503</v>
      </c>
      <c r="F8120" t="s">
        <v>26238</v>
      </c>
      <c r="G8120" s="2" t="str">
        <f>HYPERLINK("https://probpalata.gov.ru/files/ЮЛ770100439200069.jpeg","Скачать индивидуальный QR-код магазина")</f>
        <v>Скачать индивидуальный QR-код магазина</v>
      </c>
    </row>
    <row r="8121" spans="1:7" x14ac:dyDescent="0.25">
      <c r="A8121" t="s">
        <v>18820</v>
      </c>
      <c r="B8121" t="s">
        <v>26239</v>
      </c>
      <c r="C8121" t="s">
        <v>1501</v>
      </c>
      <c r="D8121" t="s">
        <v>1502</v>
      </c>
      <c r="E8121" t="s">
        <v>1503</v>
      </c>
      <c r="F8121" t="s">
        <v>26240</v>
      </c>
      <c r="G8121" s="2" t="str">
        <f>HYPERLINK("https://probpalata.gov.ru/files/ЮЛ770100439200071.jpeg","Скачать индивидуальный QR-код магазина")</f>
        <v>Скачать индивидуальный QR-код магазина</v>
      </c>
    </row>
    <row r="8122" spans="1:7" x14ac:dyDescent="0.25">
      <c r="A8122" t="s">
        <v>18820</v>
      </c>
      <c r="B8122" t="s">
        <v>26241</v>
      </c>
      <c r="C8122" t="s">
        <v>1501</v>
      </c>
      <c r="D8122" t="s">
        <v>1502</v>
      </c>
      <c r="E8122" t="s">
        <v>1503</v>
      </c>
      <c r="F8122" t="s">
        <v>26242</v>
      </c>
      <c r="G8122" s="2" t="str">
        <f>HYPERLINK("https://probpalata.gov.ru/files/ЮЛ770100439200072.jpeg","Скачать индивидуальный QR-код магазина")</f>
        <v>Скачать индивидуальный QR-код магазина</v>
      </c>
    </row>
    <row r="8123" spans="1:7" x14ac:dyDescent="0.25">
      <c r="A8123" t="s">
        <v>18820</v>
      </c>
      <c r="B8123" t="s">
        <v>26243</v>
      </c>
      <c r="C8123" t="s">
        <v>1501</v>
      </c>
      <c r="D8123" t="s">
        <v>1502</v>
      </c>
      <c r="E8123" t="s">
        <v>1503</v>
      </c>
      <c r="F8123" t="s">
        <v>26244</v>
      </c>
      <c r="G8123" s="2" t="str">
        <f>HYPERLINK("https://probpalata.gov.ru/files/ЮЛ770100439200074.jpeg","Скачать индивидуальный QR-код магазина")</f>
        <v>Скачать индивидуальный QR-код магазина</v>
      </c>
    </row>
    <row r="8124" spans="1:7" x14ac:dyDescent="0.25">
      <c r="A8124" t="s">
        <v>18820</v>
      </c>
      <c r="B8124" t="s">
        <v>26245</v>
      </c>
      <c r="C8124" t="s">
        <v>1501</v>
      </c>
      <c r="D8124" t="s">
        <v>1502</v>
      </c>
      <c r="E8124" t="s">
        <v>1503</v>
      </c>
      <c r="F8124" t="s">
        <v>26246</v>
      </c>
      <c r="G8124" s="2" t="str">
        <f>HYPERLINK("https://probpalata.gov.ru/files/ЮЛ770100439200076.jpeg","Скачать индивидуальный QR-код магазина")</f>
        <v>Скачать индивидуальный QR-код магазина</v>
      </c>
    </row>
    <row r="8125" spans="1:7" x14ac:dyDescent="0.25">
      <c r="A8125" t="s">
        <v>18820</v>
      </c>
      <c r="B8125" t="s">
        <v>26247</v>
      </c>
      <c r="C8125" t="s">
        <v>1501</v>
      </c>
      <c r="D8125" t="s">
        <v>1502</v>
      </c>
      <c r="E8125" t="s">
        <v>1503</v>
      </c>
      <c r="F8125" t="s">
        <v>26248</v>
      </c>
      <c r="G8125" s="2" t="str">
        <f>HYPERLINK("https://probpalata.gov.ru/files/ЮЛ770100439200077.jpeg","Скачать индивидуальный QR-код магазина")</f>
        <v>Скачать индивидуальный QR-код магазина</v>
      </c>
    </row>
    <row r="8126" spans="1:7" x14ac:dyDescent="0.25">
      <c r="A8126" t="s">
        <v>18820</v>
      </c>
      <c r="B8126" t="s">
        <v>26249</v>
      </c>
      <c r="C8126" t="s">
        <v>1501</v>
      </c>
      <c r="D8126" t="s">
        <v>1502</v>
      </c>
      <c r="E8126" t="s">
        <v>1503</v>
      </c>
      <c r="F8126" t="s">
        <v>26250</v>
      </c>
      <c r="G8126" s="2" t="str">
        <f>HYPERLINK("https://probpalata.gov.ru/files/ЮЛ770100439200078.jpeg","Скачать индивидуальный QR-код магазина")</f>
        <v>Скачать индивидуальный QR-код магазина</v>
      </c>
    </row>
    <row r="8127" spans="1:7" x14ac:dyDescent="0.25">
      <c r="A8127" t="s">
        <v>18820</v>
      </c>
      <c r="B8127" t="s">
        <v>26251</v>
      </c>
      <c r="C8127" t="s">
        <v>1501</v>
      </c>
      <c r="D8127" t="s">
        <v>1502</v>
      </c>
      <c r="E8127" t="s">
        <v>1503</v>
      </c>
      <c r="F8127" t="s">
        <v>26252</v>
      </c>
      <c r="G8127" s="2" t="str">
        <f>HYPERLINK("https://probpalata.gov.ru/files/ЮЛ770100439200079.jpeg","Скачать индивидуальный QR-код магазина")</f>
        <v>Скачать индивидуальный QR-код магазина</v>
      </c>
    </row>
    <row r="8128" spans="1:7" x14ac:dyDescent="0.25">
      <c r="A8128" t="s">
        <v>18820</v>
      </c>
      <c r="B8128" t="s">
        <v>26253</v>
      </c>
      <c r="C8128" t="s">
        <v>1501</v>
      </c>
      <c r="D8128" t="s">
        <v>1502</v>
      </c>
      <c r="E8128" t="s">
        <v>1503</v>
      </c>
      <c r="F8128" t="s">
        <v>26254</v>
      </c>
      <c r="G8128" s="2" t="str">
        <f>HYPERLINK("https://probpalata.gov.ru/files/ЮЛ770100439200141.jpeg","Скачать индивидуальный QR-код магазина")</f>
        <v>Скачать индивидуальный QR-код магазина</v>
      </c>
    </row>
    <row r="8129" spans="1:7" x14ac:dyDescent="0.25">
      <c r="A8129" t="s">
        <v>18820</v>
      </c>
      <c r="B8129" t="s">
        <v>26255</v>
      </c>
      <c r="C8129" t="s">
        <v>1501</v>
      </c>
      <c r="D8129" t="s">
        <v>1502</v>
      </c>
      <c r="E8129" t="s">
        <v>1503</v>
      </c>
      <c r="F8129" t="s">
        <v>26256</v>
      </c>
      <c r="G8129" s="2" t="str">
        <f>HYPERLINK("https://probpalata.gov.ru/files/ЮЛ770100439200142.jpeg","Скачать индивидуальный QR-код магазина")</f>
        <v>Скачать индивидуальный QR-код магазина</v>
      </c>
    </row>
    <row r="8130" spans="1:7" x14ac:dyDescent="0.25">
      <c r="A8130" t="s">
        <v>18820</v>
      </c>
      <c r="B8130" t="s">
        <v>26257</v>
      </c>
      <c r="C8130" t="s">
        <v>1501</v>
      </c>
      <c r="D8130" t="s">
        <v>1502</v>
      </c>
      <c r="E8130" t="s">
        <v>1503</v>
      </c>
      <c r="F8130" t="s">
        <v>26258</v>
      </c>
      <c r="G8130" s="2" t="str">
        <f>HYPERLINK("https://probpalata.gov.ru/files/ЮЛ770100439200143.jpeg","Скачать индивидуальный QR-код магазина")</f>
        <v>Скачать индивидуальный QR-код магазина</v>
      </c>
    </row>
    <row r="8131" spans="1:7" x14ac:dyDescent="0.25">
      <c r="A8131" t="s">
        <v>18820</v>
      </c>
      <c r="B8131" t="s">
        <v>26259</v>
      </c>
      <c r="C8131" t="s">
        <v>1501</v>
      </c>
      <c r="D8131" t="s">
        <v>1502</v>
      </c>
      <c r="E8131" t="s">
        <v>1503</v>
      </c>
      <c r="F8131" t="s">
        <v>26260</v>
      </c>
      <c r="G8131" s="2" t="str">
        <f>HYPERLINK("https://probpalata.gov.ru/files/ЮЛ770100439200144.jpeg","Скачать индивидуальный QR-код магазина")</f>
        <v>Скачать индивидуальный QR-код магазина</v>
      </c>
    </row>
    <row r="8132" spans="1:7" x14ac:dyDescent="0.25">
      <c r="A8132" t="s">
        <v>18820</v>
      </c>
      <c r="B8132" t="s">
        <v>26261</v>
      </c>
      <c r="C8132" t="s">
        <v>1501</v>
      </c>
      <c r="D8132" t="s">
        <v>1502</v>
      </c>
      <c r="E8132" t="s">
        <v>1503</v>
      </c>
      <c r="F8132" t="s">
        <v>26262</v>
      </c>
      <c r="G8132" s="2" t="str">
        <f>HYPERLINK("https://probpalata.gov.ru/files/ЮЛ770100439200148.jpeg","Скачать индивидуальный QR-код магазина")</f>
        <v>Скачать индивидуальный QR-код магазина</v>
      </c>
    </row>
    <row r="8133" spans="1:7" x14ac:dyDescent="0.25">
      <c r="A8133" t="s">
        <v>18820</v>
      </c>
      <c r="B8133" t="s">
        <v>26263</v>
      </c>
      <c r="C8133" t="s">
        <v>1501</v>
      </c>
      <c r="D8133" t="s">
        <v>1502</v>
      </c>
      <c r="E8133" t="s">
        <v>1503</v>
      </c>
      <c r="F8133" t="s">
        <v>26264</v>
      </c>
      <c r="G8133" s="2" t="str">
        <f>HYPERLINK("https://probpalata.gov.ru/files/ЮЛ770100439200151.jpeg","Скачать индивидуальный QR-код магазина")</f>
        <v>Скачать индивидуальный QR-код магазина</v>
      </c>
    </row>
    <row r="8134" spans="1:7" x14ac:dyDescent="0.25">
      <c r="A8134" t="s">
        <v>18820</v>
      </c>
      <c r="B8134" t="s">
        <v>26265</v>
      </c>
      <c r="C8134" t="s">
        <v>1501</v>
      </c>
      <c r="D8134" t="s">
        <v>1502</v>
      </c>
      <c r="E8134" t="s">
        <v>1503</v>
      </c>
      <c r="F8134" t="s">
        <v>26266</v>
      </c>
      <c r="G8134" s="2" t="str">
        <f>HYPERLINK("https://probpalata.gov.ru/files/ЮЛ770100439200153.jpeg","Скачать индивидуальный QR-код магазина")</f>
        <v>Скачать индивидуальный QR-код магазина</v>
      </c>
    </row>
    <row r="8135" spans="1:7" x14ac:dyDescent="0.25">
      <c r="A8135" t="s">
        <v>18820</v>
      </c>
      <c r="B8135" t="s">
        <v>26267</v>
      </c>
      <c r="C8135" t="s">
        <v>1501</v>
      </c>
      <c r="D8135" t="s">
        <v>1502</v>
      </c>
      <c r="E8135" t="s">
        <v>1503</v>
      </c>
      <c r="F8135" t="s">
        <v>26268</v>
      </c>
      <c r="G8135" s="2" t="str">
        <f>HYPERLINK("https://probpalata.gov.ru/files/ЮЛ770100439200154.jpeg","Скачать индивидуальный QR-код магазина")</f>
        <v>Скачать индивидуальный QR-код магазина</v>
      </c>
    </row>
    <row r="8136" spans="1:7" x14ac:dyDescent="0.25">
      <c r="A8136" t="s">
        <v>18820</v>
      </c>
      <c r="B8136" t="s">
        <v>26269</v>
      </c>
      <c r="C8136" t="s">
        <v>1501</v>
      </c>
      <c r="D8136" t="s">
        <v>1502</v>
      </c>
      <c r="E8136" t="s">
        <v>1503</v>
      </c>
      <c r="F8136" t="s">
        <v>26270</v>
      </c>
      <c r="G8136" s="2" t="str">
        <f>HYPERLINK("https://probpalata.gov.ru/files/ЮЛ770100439200157.jpeg","Скачать индивидуальный QR-код магазина")</f>
        <v>Скачать индивидуальный QR-код магазина</v>
      </c>
    </row>
    <row r="8137" spans="1:7" x14ac:dyDescent="0.25">
      <c r="A8137" t="s">
        <v>18820</v>
      </c>
      <c r="B8137" t="s">
        <v>26271</v>
      </c>
      <c r="C8137" t="s">
        <v>1501</v>
      </c>
      <c r="D8137" t="s">
        <v>1502</v>
      </c>
      <c r="E8137" t="s">
        <v>1503</v>
      </c>
      <c r="F8137" t="s">
        <v>26272</v>
      </c>
      <c r="G8137" s="2" t="str">
        <f>HYPERLINK("https://probpalata.gov.ru/files/ЮЛ770100439200158.jpeg","Скачать индивидуальный QR-код магазина")</f>
        <v>Скачать индивидуальный QR-код магазина</v>
      </c>
    </row>
    <row r="8138" spans="1:7" x14ac:dyDescent="0.25">
      <c r="A8138" t="s">
        <v>18820</v>
      </c>
      <c r="B8138" t="s">
        <v>26273</v>
      </c>
      <c r="C8138" t="s">
        <v>1501</v>
      </c>
      <c r="D8138" t="s">
        <v>1502</v>
      </c>
      <c r="E8138" t="s">
        <v>1503</v>
      </c>
      <c r="F8138" t="s">
        <v>26274</v>
      </c>
      <c r="G8138" s="2" t="str">
        <f>HYPERLINK("https://probpalata.gov.ru/files/ЮЛ770100439200160.jpeg","Скачать индивидуальный QR-код магазина")</f>
        <v>Скачать индивидуальный QR-код магазина</v>
      </c>
    </row>
    <row r="8139" spans="1:7" x14ac:dyDescent="0.25">
      <c r="A8139" t="s">
        <v>18820</v>
      </c>
      <c r="B8139" t="s">
        <v>26275</v>
      </c>
      <c r="C8139" t="s">
        <v>1501</v>
      </c>
      <c r="D8139" t="s">
        <v>1502</v>
      </c>
      <c r="E8139" t="s">
        <v>1503</v>
      </c>
      <c r="F8139" t="s">
        <v>26276</v>
      </c>
      <c r="G8139" s="2" t="str">
        <f>HYPERLINK("https://probpalata.gov.ru/files/ЮЛ770100439200161.jpeg","Скачать индивидуальный QR-код магазина")</f>
        <v>Скачать индивидуальный QR-код магазина</v>
      </c>
    </row>
    <row r="8140" spans="1:7" x14ac:dyDescent="0.25">
      <c r="A8140" t="s">
        <v>18820</v>
      </c>
      <c r="B8140" t="s">
        <v>26277</v>
      </c>
      <c r="C8140" t="s">
        <v>1501</v>
      </c>
      <c r="D8140" t="s">
        <v>1502</v>
      </c>
      <c r="E8140" t="s">
        <v>1503</v>
      </c>
      <c r="F8140" t="s">
        <v>26278</v>
      </c>
      <c r="G8140" s="2" t="str">
        <f>HYPERLINK("https://probpalata.gov.ru/files/ЮЛ770100439200162.jpeg","Скачать индивидуальный QR-код магазина")</f>
        <v>Скачать индивидуальный QR-код магазина</v>
      </c>
    </row>
    <row r="8141" spans="1:7" x14ac:dyDescent="0.25">
      <c r="A8141" t="s">
        <v>18820</v>
      </c>
      <c r="B8141" t="s">
        <v>26279</v>
      </c>
      <c r="C8141" t="s">
        <v>1501</v>
      </c>
      <c r="D8141" t="s">
        <v>1502</v>
      </c>
      <c r="E8141" t="s">
        <v>1503</v>
      </c>
      <c r="F8141" t="s">
        <v>26280</v>
      </c>
      <c r="G8141" s="2" t="str">
        <f>HYPERLINK("https://probpalata.gov.ru/files/ЮЛ770100439200163.jpeg","Скачать индивидуальный QR-код магазина")</f>
        <v>Скачать индивидуальный QR-код магазина</v>
      </c>
    </row>
    <row r="8142" spans="1:7" x14ac:dyDescent="0.25">
      <c r="A8142" t="s">
        <v>18820</v>
      </c>
      <c r="B8142" t="s">
        <v>26281</v>
      </c>
      <c r="C8142" t="s">
        <v>1501</v>
      </c>
      <c r="D8142" t="s">
        <v>1502</v>
      </c>
      <c r="E8142" t="s">
        <v>1503</v>
      </c>
      <c r="F8142" t="s">
        <v>26282</v>
      </c>
      <c r="G8142" s="2" t="str">
        <f>HYPERLINK("https://probpalata.gov.ru/files/ЮЛ770100439200171.jpeg","Скачать индивидуальный QR-код магазина")</f>
        <v>Скачать индивидуальный QR-код магазина</v>
      </c>
    </row>
    <row r="8143" spans="1:7" x14ac:dyDescent="0.25">
      <c r="A8143" t="s">
        <v>18820</v>
      </c>
      <c r="B8143" t="s">
        <v>26283</v>
      </c>
      <c r="C8143" t="s">
        <v>1501</v>
      </c>
      <c r="D8143" t="s">
        <v>1502</v>
      </c>
      <c r="E8143" t="s">
        <v>1503</v>
      </c>
      <c r="F8143" t="s">
        <v>26284</v>
      </c>
      <c r="G8143" s="2" t="str">
        <f>HYPERLINK("https://probpalata.gov.ru/files/ЮЛ770100439200173.jpeg","Скачать индивидуальный QR-код магазина")</f>
        <v>Скачать индивидуальный QR-код магазина</v>
      </c>
    </row>
    <row r="8144" spans="1:7" x14ac:dyDescent="0.25">
      <c r="A8144" t="s">
        <v>18820</v>
      </c>
      <c r="B8144" t="s">
        <v>26285</v>
      </c>
      <c r="C8144" t="s">
        <v>1501</v>
      </c>
      <c r="D8144" t="s">
        <v>1502</v>
      </c>
      <c r="E8144" t="s">
        <v>1503</v>
      </c>
      <c r="F8144" t="s">
        <v>26286</v>
      </c>
      <c r="G8144" s="2" t="str">
        <f>HYPERLINK("https://probpalata.gov.ru/files/ЮЛ770100439200176.jpeg","Скачать индивидуальный QR-код магазина")</f>
        <v>Скачать индивидуальный QR-код магазина</v>
      </c>
    </row>
    <row r="8145" spans="1:7" x14ac:dyDescent="0.25">
      <c r="A8145" t="s">
        <v>18820</v>
      </c>
      <c r="B8145" t="s">
        <v>26287</v>
      </c>
      <c r="C8145" t="s">
        <v>1501</v>
      </c>
      <c r="D8145" t="s">
        <v>1502</v>
      </c>
      <c r="E8145" t="s">
        <v>1503</v>
      </c>
      <c r="F8145" t="s">
        <v>26288</v>
      </c>
      <c r="G8145" s="2" t="str">
        <f>HYPERLINK("https://probpalata.gov.ru/files/ЮЛ770100439200178.jpeg","Скачать индивидуальный QR-код магазина")</f>
        <v>Скачать индивидуальный QR-код магазина</v>
      </c>
    </row>
    <row r="8146" spans="1:7" x14ac:dyDescent="0.25">
      <c r="A8146" t="s">
        <v>18820</v>
      </c>
      <c r="B8146" t="s">
        <v>26289</v>
      </c>
      <c r="C8146" t="s">
        <v>1501</v>
      </c>
      <c r="D8146" t="s">
        <v>1502</v>
      </c>
      <c r="E8146" t="s">
        <v>1503</v>
      </c>
      <c r="F8146" t="s">
        <v>26290</v>
      </c>
      <c r="G8146" s="2" t="str">
        <f>HYPERLINK("https://probpalata.gov.ru/files/ЮЛ770100439200179.jpeg","Скачать индивидуальный QR-код магазина")</f>
        <v>Скачать индивидуальный QR-код магазина</v>
      </c>
    </row>
    <row r="8147" spans="1:7" x14ac:dyDescent="0.25">
      <c r="A8147" t="s">
        <v>18820</v>
      </c>
      <c r="B8147" t="s">
        <v>26291</v>
      </c>
      <c r="C8147" t="s">
        <v>1501</v>
      </c>
      <c r="D8147" t="s">
        <v>1502</v>
      </c>
      <c r="E8147" t="s">
        <v>1503</v>
      </c>
      <c r="F8147" t="s">
        <v>26292</v>
      </c>
      <c r="G8147" s="2" t="str">
        <f>HYPERLINK("https://probpalata.gov.ru/files/ЮЛ770100439200180.jpeg","Скачать индивидуальный QR-код магазина")</f>
        <v>Скачать индивидуальный QR-код магазина</v>
      </c>
    </row>
    <row r="8148" spans="1:7" x14ac:dyDescent="0.25">
      <c r="A8148" t="s">
        <v>18820</v>
      </c>
      <c r="B8148" t="s">
        <v>26293</v>
      </c>
      <c r="C8148" t="s">
        <v>1501</v>
      </c>
      <c r="D8148" t="s">
        <v>1502</v>
      </c>
      <c r="E8148" t="s">
        <v>1503</v>
      </c>
      <c r="F8148" t="s">
        <v>26294</v>
      </c>
      <c r="G8148" s="2" t="str">
        <f>HYPERLINK("https://probpalata.gov.ru/files/ЮЛ770100439200188.jpeg","Скачать индивидуальный QR-код магазина")</f>
        <v>Скачать индивидуальный QR-код магазина</v>
      </c>
    </row>
    <row r="8149" spans="1:7" x14ac:dyDescent="0.25">
      <c r="A8149" t="s">
        <v>18820</v>
      </c>
      <c r="B8149" t="s">
        <v>26295</v>
      </c>
      <c r="C8149" t="s">
        <v>1501</v>
      </c>
      <c r="D8149" t="s">
        <v>1502</v>
      </c>
      <c r="E8149" t="s">
        <v>1503</v>
      </c>
      <c r="F8149" t="s">
        <v>26296</v>
      </c>
      <c r="G8149" s="2" t="str">
        <f>HYPERLINK("https://probpalata.gov.ru/files/ЮЛ770100439200194.jpeg","Скачать индивидуальный QR-код магазина")</f>
        <v>Скачать индивидуальный QR-код магазина</v>
      </c>
    </row>
    <row r="8150" spans="1:7" x14ac:dyDescent="0.25">
      <c r="A8150" t="s">
        <v>18820</v>
      </c>
      <c r="B8150" t="s">
        <v>26297</v>
      </c>
      <c r="C8150" t="s">
        <v>1501</v>
      </c>
      <c r="D8150" t="s">
        <v>1502</v>
      </c>
      <c r="E8150" t="s">
        <v>1503</v>
      </c>
      <c r="F8150" t="s">
        <v>26298</v>
      </c>
      <c r="G8150" s="2" t="str">
        <f>HYPERLINK("https://probpalata.gov.ru/files/ЮЛ770100439200195.jpeg","Скачать индивидуальный QR-код магазина")</f>
        <v>Скачать индивидуальный QR-код магазина</v>
      </c>
    </row>
    <row r="8151" spans="1:7" x14ac:dyDescent="0.25">
      <c r="A8151" t="s">
        <v>18820</v>
      </c>
      <c r="B8151" t="s">
        <v>26299</v>
      </c>
      <c r="C8151" t="s">
        <v>1501</v>
      </c>
      <c r="D8151" t="s">
        <v>1502</v>
      </c>
      <c r="E8151" t="s">
        <v>1503</v>
      </c>
      <c r="F8151" t="s">
        <v>26300</v>
      </c>
      <c r="G8151" s="2" t="str">
        <f>HYPERLINK("https://probpalata.gov.ru/files/ЮЛ770100439200200.jpeg","Скачать индивидуальный QR-код магазина")</f>
        <v>Скачать индивидуальный QR-код магазина</v>
      </c>
    </row>
    <row r="8152" spans="1:7" x14ac:dyDescent="0.25">
      <c r="A8152" t="s">
        <v>18820</v>
      </c>
      <c r="B8152" t="s">
        <v>26301</v>
      </c>
      <c r="C8152" t="s">
        <v>1501</v>
      </c>
      <c r="D8152" t="s">
        <v>1502</v>
      </c>
      <c r="E8152" t="s">
        <v>1503</v>
      </c>
      <c r="F8152" t="s">
        <v>26302</v>
      </c>
      <c r="G8152" s="2" t="str">
        <f>HYPERLINK("https://probpalata.gov.ru/files/ЮЛ770100439200206.jpeg","Скачать индивидуальный QR-код магазина")</f>
        <v>Скачать индивидуальный QR-код магазина</v>
      </c>
    </row>
    <row r="8153" spans="1:7" x14ac:dyDescent="0.25">
      <c r="A8153" t="s">
        <v>18820</v>
      </c>
      <c r="B8153" t="s">
        <v>26303</v>
      </c>
      <c r="C8153" t="s">
        <v>1501</v>
      </c>
      <c r="D8153" t="s">
        <v>1502</v>
      </c>
      <c r="E8153" t="s">
        <v>1503</v>
      </c>
      <c r="F8153" t="s">
        <v>26304</v>
      </c>
      <c r="G8153" s="2" t="str">
        <f>HYPERLINK("https://probpalata.gov.ru/files/ЮЛ770100439200207.jpeg","Скачать индивидуальный QR-код магазина")</f>
        <v>Скачать индивидуальный QR-код магазина</v>
      </c>
    </row>
    <row r="8154" spans="1:7" x14ac:dyDescent="0.25">
      <c r="A8154" t="s">
        <v>18820</v>
      </c>
      <c r="B8154" t="s">
        <v>26305</v>
      </c>
      <c r="C8154" t="s">
        <v>1501</v>
      </c>
      <c r="D8154" t="s">
        <v>1502</v>
      </c>
      <c r="E8154" t="s">
        <v>1503</v>
      </c>
      <c r="F8154" t="s">
        <v>26306</v>
      </c>
      <c r="G8154" s="2" t="str">
        <f>HYPERLINK("https://probpalata.gov.ru/files/ЮЛ770100439200212.jpeg","Скачать индивидуальный QR-код магазина")</f>
        <v>Скачать индивидуальный QR-код магазина</v>
      </c>
    </row>
    <row r="8155" spans="1:7" x14ac:dyDescent="0.25">
      <c r="A8155" t="s">
        <v>18820</v>
      </c>
      <c r="B8155" t="s">
        <v>26307</v>
      </c>
      <c r="C8155" t="s">
        <v>1501</v>
      </c>
      <c r="D8155" t="s">
        <v>1502</v>
      </c>
      <c r="E8155" t="s">
        <v>1503</v>
      </c>
      <c r="F8155" t="s">
        <v>26308</v>
      </c>
      <c r="G8155" s="2" t="str">
        <f>HYPERLINK("https://probpalata.gov.ru/files/ЮЛ770100439200214.jpeg","Скачать индивидуальный QR-код магазина")</f>
        <v>Скачать индивидуальный QR-код магазина</v>
      </c>
    </row>
    <row r="8156" spans="1:7" x14ac:dyDescent="0.25">
      <c r="A8156" t="s">
        <v>18820</v>
      </c>
      <c r="B8156" t="s">
        <v>26309</v>
      </c>
      <c r="C8156" t="s">
        <v>1501</v>
      </c>
      <c r="D8156" t="s">
        <v>1502</v>
      </c>
      <c r="E8156" t="s">
        <v>1503</v>
      </c>
      <c r="F8156" t="s">
        <v>26310</v>
      </c>
      <c r="G8156" s="2" t="str">
        <f>HYPERLINK("https://probpalata.gov.ru/files/ЮЛ770100439200220.jpeg","Скачать индивидуальный QR-код магазина")</f>
        <v>Скачать индивидуальный QR-код магазина</v>
      </c>
    </row>
    <row r="8157" spans="1:7" x14ac:dyDescent="0.25">
      <c r="A8157" t="s">
        <v>18820</v>
      </c>
      <c r="B8157" t="s">
        <v>26311</v>
      </c>
      <c r="C8157" t="s">
        <v>1501</v>
      </c>
      <c r="D8157" t="s">
        <v>1502</v>
      </c>
      <c r="E8157" t="s">
        <v>1503</v>
      </c>
      <c r="F8157" t="s">
        <v>26312</v>
      </c>
      <c r="G8157" s="2" t="str">
        <f>HYPERLINK("https://probpalata.gov.ru/files/ЮЛ770100439200222.jpeg","Скачать индивидуальный QR-код магазина")</f>
        <v>Скачать индивидуальный QR-код магазина</v>
      </c>
    </row>
    <row r="8158" spans="1:7" x14ac:dyDescent="0.25">
      <c r="A8158" t="s">
        <v>18820</v>
      </c>
      <c r="B8158" t="s">
        <v>26313</v>
      </c>
      <c r="C8158" t="s">
        <v>1501</v>
      </c>
      <c r="D8158" t="s">
        <v>1502</v>
      </c>
      <c r="E8158" t="s">
        <v>1503</v>
      </c>
      <c r="F8158" t="s">
        <v>26314</v>
      </c>
      <c r="G8158" s="2" t="str">
        <f>HYPERLINK("https://probpalata.gov.ru/files/ЮЛ770100439200224.jpeg","Скачать индивидуальный QR-код магазина")</f>
        <v>Скачать индивидуальный QR-код магазина</v>
      </c>
    </row>
    <row r="8159" spans="1:7" x14ac:dyDescent="0.25">
      <c r="A8159" t="s">
        <v>18820</v>
      </c>
      <c r="B8159" t="s">
        <v>26315</v>
      </c>
      <c r="C8159" t="s">
        <v>1501</v>
      </c>
      <c r="D8159" t="s">
        <v>1502</v>
      </c>
      <c r="E8159" t="s">
        <v>1503</v>
      </c>
      <c r="F8159" t="s">
        <v>26316</v>
      </c>
      <c r="G8159" s="2" t="str">
        <f>HYPERLINK("https://probpalata.gov.ru/files/ЮЛ770100439200225.jpeg","Скачать индивидуальный QR-код магазина")</f>
        <v>Скачать индивидуальный QR-код магазина</v>
      </c>
    </row>
    <row r="8160" spans="1:7" x14ac:dyDescent="0.25">
      <c r="A8160" t="s">
        <v>18820</v>
      </c>
      <c r="B8160" t="s">
        <v>26317</v>
      </c>
      <c r="C8160" t="s">
        <v>1501</v>
      </c>
      <c r="D8160" t="s">
        <v>1502</v>
      </c>
      <c r="E8160" t="s">
        <v>1503</v>
      </c>
      <c r="F8160" t="s">
        <v>26318</v>
      </c>
      <c r="G8160" s="2" t="str">
        <f>HYPERLINK("https://probpalata.gov.ru/files/ЮЛ770100439200226.jpeg","Скачать индивидуальный QR-код магазина")</f>
        <v>Скачать индивидуальный QR-код магазина</v>
      </c>
    </row>
    <row r="8161" spans="1:7" x14ac:dyDescent="0.25">
      <c r="A8161" t="s">
        <v>18820</v>
      </c>
      <c r="B8161" t="s">
        <v>26319</v>
      </c>
      <c r="C8161" t="s">
        <v>1501</v>
      </c>
      <c r="D8161" t="s">
        <v>1502</v>
      </c>
      <c r="E8161" t="s">
        <v>1503</v>
      </c>
      <c r="F8161" t="s">
        <v>26320</v>
      </c>
      <c r="G8161" s="2" t="str">
        <f>HYPERLINK("https://probpalata.gov.ru/files/ЮЛ770100439200228.jpeg","Скачать индивидуальный QR-код магазина")</f>
        <v>Скачать индивидуальный QR-код магазина</v>
      </c>
    </row>
    <row r="8162" spans="1:7" x14ac:dyDescent="0.25">
      <c r="A8162" t="s">
        <v>18820</v>
      </c>
      <c r="B8162" t="s">
        <v>26321</v>
      </c>
      <c r="C8162" t="s">
        <v>1501</v>
      </c>
      <c r="D8162" t="s">
        <v>1502</v>
      </c>
      <c r="E8162" t="s">
        <v>1503</v>
      </c>
      <c r="F8162" t="s">
        <v>26322</v>
      </c>
      <c r="G8162" s="2" t="str">
        <f>HYPERLINK("https://probpalata.gov.ru/files/ЮЛ770100439200235.jpeg","Скачать индивидуальный QR-код магазина")</f>
        <v>Скачать индивидуальный QR-код магазина</v>
      </c>
    </row>
    <row r="8163" spans="1:7" x14ac:dyDescent="0.25">
      <c r="A8163" t="s">
        <v>18820</v>
      </c>
      <c r="B8163" t="s">
        <v>26323</v>
      </c>
      <c r="C8163" t="s">
        <v>1501</v>
      </c>
      <c r="D8163" t="s">
        <v>1502</v>
      </c>
      <c r="E8163" t="s">
        <v>1503</v>
      </c>
      <c r="F8163" t="s">
        <v>26324</v>
      </c>
      <c r="G8163" s="2" t="str">
        <f>HYPERLINK("https://probpalata.gov.ru/files/ЮЛ770100439200236.jpeg","Скачать индивидуальный QR-код магазина")</f>
        <v>Скачать индивидуальный QR-код магазина</v>
      </c>
    </row>
    <row r="8164" spans="1:7" x14ac:dyDescent="0.25">
      <c r="A8164" t="s">
        <v>18820</v>
      </c>
      <c r="B8164" t="s">
        <v>26325</v>
      </c>
      <c r="C8164" t="s">
        <v>1501</v>
      </c>
      <c r="D8164" t="s">
        <v>1502</v>
      </c>
      <c r="E8164" t="s">
        <v>1503</v>
      </c>
      <c r="F8164" t="s">
        <v>26326</v>
      </c>
      <c r="G8164" s="2" t="str">
        <f>HYPERLINK("https://probpalata.gov.ru/files/ЮЛ770100439200239.jpeg","Скачать индивидуальный QR-код магазина")</f>
        <v>Скачать индивидуальный QR-код магазина</v>
      </c>
    </row>
    <row r="8165" spans="1:7" x14ac:dyDescent="0.25">
      <c r="A8165" t="s">
        <v>18820</v>
      </c>
      <c r="B8165" t="s">
        <v>26327</v>
      </c>
      <c r="C8165" t="s">
        <v>1501</v>
      </c>
      <c r="D8165" t="s">
        <v>1502</v>
      </c>
      <c r="E8165" t="s">
        <v>1503</v>
      </c>
      <c r="F8165" t="s">
        <v>26328</v>
      </c>
      <c r="G8165" s="2" t="str">
        <f>HYPERLINK("https://probpalata.gov.ru/files/ЮЛ770100439200244.jpeg","Скачать индивидуальный QR-код магазина")</f>
        <v>Скачать индивидуальный QR-код магазина</v>
      </c>
    </row>
    <row r="8166" spans="1:7" x14ac:dyDescent="0.25">
      <c r="A8166" t="s">
        <v>18820</v>
      </c>
      <c r="B8166" t="s">
        <v>26329</v>
      </c>
      <c r="C8166" t="s">
        <v>1501</v>
      </c>
      <c r="D8166" t="s">
        <v>1502</v>
      </c>
      <c r="E8166" t="s">
        <v>1503</v>
      </c>
      <c r="F8166" t="s">
        <v>26330</v>
      </c>
      <c r="G8166" s="2" t="str">
        <f>HYPERLINK("https://probpalata.gov.ru/files/ЮЛ770100439200251.jpeg","Скачать индивидуальный QR-код магазина")</f>
        <v>Скачать индивидуальный QR-код магазина</v>
      </c>
    </row>
    <row r="8167" spans="1:7" x14ac:dyDescent="0.25">
      <c r="A8167" t="s">
        <v>18820</v>
      </c>
      <c r="B8167" t="s">
        <v>26331</v>
      </c>
      <c r="C8167" t="s">
        <v>1501</v>
      </c>
      <c r="D8167" t="s">
        <v>1502</v>
      </c>
      <c r="E8167" t="s">
        <v>1503</v>
      </c>
      <c r="F8167" t="s">
        <v>26332</v>
      </c>
      <c r="G8167" s="2" t="str">
        <f>HYPERLINK("https://probpalata.gov.ru/files/ЮЛ770100439200255.jpeg","Скачать индивидуальный QR-код магазина")</f>
        <v>Скачать индивидуальный QR-код магазина</v>
      </c>
    </row>
    <row r="8168" spans="1:7" x14ac:dyDescent="0.25">
      <c r="A8168" t="s">
        <v>18820</v>
      </c>
      <c r="B8168" t="s">
        <v>26333</v>
      </c>
      <c r="C8168" t="s">
        <v>1501</v>
      </c>
      <c r="D8168" t="s">
        <v>1502</v>
      </c>
      <c r="E8168" t="s">
        <v>1503</v>
      </c>
      <c r="F8168" t="s">
        <v>26334</v>
      </c>
      <c r="G8168" s="2" t="str">
        <f>HYPERLINK("https://probpalata.gov.ru/files/ЮЛ770100439200260.jpeg","Скачать индивидуальный QR-код магазина")</f>
        <v>Скачать индивидуальный QR-код магазина</v>
      </c>
    </row>
    <row r="8169" spans="1:7" x14ac:dyDescent="0.25">
      <c r="A8169" t="s">
        <v>18820</v>
      </c>
      <c r="B8169" t="s">
        <v>26335</v>
      </c>
      <c r="C8169" t="s">
        <v>1501</v>
      </c>
      <c r="D8169" t="s">
        <v>1502</v>
      </c>
      <c r="E8169" t="s">
        <v>1503</v>
      </c>
      <c r="F8169" t="s">
        <v>26336</v>
      </c>
      <c r="G8169" s="2" t="str">
        <f>HYPERLINK("https://probpalata.gov.ru/files/ЮЛ770100439200264.jpeg","Скачать индивидуальный QR-код магазина")</f>
        <v>Скачать индивидуальный QR-код магазина</v>
      </c>
    </row>
    <row r="8170" spans="1:7" x14ac:dyDescent="0.25">
      <c r="A8170" t="s">
        <v>18820</v>
      </c>
      <c r="B8170" t="s">
        <v>26337</v>
      </c>
      <c r="C8170" t="s">
        <v>1501</v>
      </c>
      <c r="D8170" t="s">
        <v>1502</v>
      </c>
      <c r="E8170" t="s">
        <v>1503</v>
      </c>
      <c r="F8170" t="s">
        <v>26338</v>
      </c>
      <c r="G8170" s="2" t="str">
        <f>HYPERLINK("https://probpalata.gov.ru/files/ЮЛ770100439200266.jpeg","Скачать индивидуальный QR-код магазина")</f>
        <v>Скачать индивидуальный QR-код магазина</v>
      </c>
    </row>
    <row r="8171" spans="1:7" x14ac:dyDescent="0.25">
      <c r="A8171" t="s">
        <v>18820</v>
      </c>
      <c r="B8171" t="s">
        <v>26339</v>
      </c>
      <c r="C8171" t="s">
        <v>1501</v>
      </c>
      <c r="D8171" t="s">
        <v>1502</v>
      </c>
      <c r="E8171" t="s">
        <v>1503</v>
      </c>
      <c r="F8171" t="s">
        <v>26340</v>
      </c>
      <c r="G8171" s="2" t="str">
        <f>HYPERLINK("https://probpalata.gov.ru/files/ЮЛ770100439200271.jpeg","Скачать индивидуальный QR-код магазина")</f>
        <v>Скачать индивидуальный QR-код магазина</v>
      </c>
    </row>
    <row r="8172" spans="1:7" x14ac:dyDescent="0.25">
      <c r="A8172" t="s">
        <v>18820</v>
      </c>
      <c r="B8172" t="s">
        <v>26341</v>
      </c>
      <c r="C8172" t="s">
        <v>1501</v>
      </c>
      <c r="D8172" t="s">
        <v>1502</v>
      </c>
      <c r="E8172" t="s">
        <v>1503</v>
      </c>
      <c r="F8172" t="s">
        <v>26342</v>
      </c>
      <c r="G8172" s="2" t="str">
        <f>HYPERLINK("https://probpalata.gov.ru/files/ЮЛ770100439200272.jpeg","Скачать индивидуальный QR-код магазина")</f>
        <v>Скачать индивидуальный QR-код магазина</v>
      </c>
    </row>
    <row r="8173" spans="1:7" x14ac:dyDescent="0.25">
      <c r="A8173" t="s">
        <v>18820</v>
      </c>
      <c r="B8173" t="s">
        <v>26343</v>
      </c>
      <c r="C8173" t="s">
        <v>1501</v>
      </c>
      <c r="D8173" t="s">
        <v>1502</v>
      </c>
      <c r="E8173" t="s">
        <v>1503</v>
      </c>
      <c r="F8173" t="s">
        <v>26344</v>
      </c>
      <c r="G8173" s="2" t="str">
        <f>HYPERLINK("https://probpalata.gov.ru/files/ЮЛ770100439200276.jpeg","Скачать индивидуальный QR-код магазина")</f>
        <v>Скачать индивидуальный QR-код магазина</v>
      </c>
    </row>
    <row r="8174" spans="1:7" x14ac:dyDescent="0.25">
      <c r="A8174" t="s">
        <v>18820</v>
      </c>
      <c r="B8174" t="s">
        <v>26345</v>
      </c>
      <c r="C8174" t="s">
        <v>1501</v>
      </c>
      <c r="D8174" t="s">
        <v>1502</v>
      </c>
      <c r="E8174" t="s">
        <v>1503</v>
      </c>
      <c r="F8174" t="s">
        <v>26346</v>
      </c>
      <c r="G8174" s="2" t="str">
        <f>HYPERLINK("https://probpalata.gov.ru/files/ЮЛ770100439200277.jpeg","Скачать индивидуальный QR-код магазина")</f>
        <v>Скачать индивидуальный QR-код магазина</v>
      </c>
    </row>
    <row r="8175" spans="1:7" x14ac:dyDescent="0.25">
      <c r="A8175" t="s">
        <v>18820</v>
      </c>
      <c r="B8175" t="s">
        <v>26347</v>
      </c>
      <c r="C8175" t="s">
        <v>26348</v>
      </c>
      <c r="D8175" t="s">
        <v>26349</v>
      </c>
      <c r="E8175" t="s">
        <v>26350</v>
      </c>
      <c r="F8175" t="s">
        <v>26351</v>
      </c>
      <c r="G8175" s="2" t="str">
        <f>HYPERLINK("https://probpalata.gov.ru/files/ЮЛ770101289300000.jpeg","Скачать индивидуальный QR-код магазина")</f>
        <v>Скачать индивидуальный QR-код магазина</v>
      </c>
    </row>
    <row r="8176" spans="1:7" x14ac:dyDescent="0.25">
      <c r="A8176" t="s">
        <v>18820</v>
      </c>
      <c r="B8176" t="s">
        <v>26352</v>
      </c>
      <c r="C8176" t="s">
        <v>26353</v>
      </c>
      <c r="D8176" t="s">
        <v>26354</v>
      </c>
      <c r="E8176" t="s">
        <v>26355</v>
      </c>
      <c r="F8176" t="s">
        <v>26356</v>
      </c>
      <c r="G8176" s="2" t="str">
        <f>HYPERLINK("https://probpalata.gov.ru/files/ЮЛ770101039300000.jpeg","Скачать индивидуальный QR-код магазина")</f>
        <v>Скачать индивидуальный QR-код магазина</v>
      </c>
    </row>
    <row r="8177" spans="1:7" x14ac:dyDescent="0.25">
      <c r="A8177" t="s">
        <v>18820</v>
      </c>
      <c r="B8177" t="s">
        <v>26357</v>
      </c>
      <c r="C8177" t="s">
        <v>26358</v>
      </c>
      <c r="D8177" t="s">
        <v>26359</v>
      </c>
      <c r="E8177" t="s">
        <v>26360</v>
      </c>
      <c r="F8177" t="s">
        <v>26361</v>
      </c>
      <c r="G8177" s="2" t="str">
        <f>HYPERLINK("https://probpalata.gov.ru/files/ЮЛ770100457600000.jpeg","Скачать индивидуальный QR-код магазина")</f>
        <v>Скачать индивидуальный QR-код магазина</v>
      </c>
    </row>
    <row r="8178" spans="1:7" x14ac:dyDescent="0.25">
      <c r="A8178" t="s">
        <v>18820</v>
      </c>
      <c r="B8178" t="s">
        <v>26362</v>
      </c>
      <c r="C8178" t="s">
        <v>26363</v>
      </c>
      <c r="D8178" t="s">
        <v>26364</v>
      </c>
      <c r="E8178" t="s">
        <v>26365</v>
      </c>
      <c r="F8178" t="s">
        <v>26366</v>
      </c>
      <c r="G8178" s="2" t="str">
        <f>HYPERLINK("https://probpalata.gov.ru/files/ЮЛ770103592100000.jpeg","Скачать индивидуальный QR-код магазина")</f>
        <v>Скачать индивидуальный QR-код магазина</v>
      </c>
    </row>
    <row r="8179" spans="1:7" x14ac:dyDescent="0.25">
      <c r="A8179" t="s">
        <v>18820</v>
      </c>
      <c r="B8179" t="s">
        <v>26367</v>
      </c>
      <c r="C8179" t="s">
        <v>26368</v>
      </c>
      <c r="D8179" t="s">
        <v>26369</v>
      </c>
      <c r="E8179" t="s">
        <v>26370</v>
      </c>
      <c r="F8179" t="s">
        <v>26371</v>
      </c>
      <c r="G8179" s="2" t="str">
        <f>HYPERLINK("https://probpalata.gov.ru/files/ЮЛ770103568700001.jpeg","Скачать индивидуальный QR-код магазина")</f>
        <v>Скачать индивидуальный QR-код магазина</v>
      </c>
    </row>
    <row r="8180" spans="1:7" x14ac:dyDescent="0.25">
      <c r="A8180" t="s">
        <v>18820</v>
      </c>
      <c r="B8180" t="s">
        <v>26372</v>
      </c>
      <c r="C8180" t="s">
        <v>26368</v>
      </c>
      <c r="D8180" t="s">
        <v>26369</v>
      </c>
      <c r="E8180" t="s">
        <v>26370</v>
      </c>
      <c r="F8180" t="s">
        <v>26373</v>
      </c>
      <c r="G8180" s="2" t="str">
        <f>HYPERLINK("https://probpalata.gov.ru/files/ЮЛ770103568700002.jpeg","Скачать индивидуальный QR-код магазина")</f>
        <v>Скачать индивидуальный QR-код магазина</v>
      </c>
    </row>
    <row r="8181" spans="1:7" x14ac:dyDescent="0.25">
      <c r="A8181" t="s">
        <v>18820</v>
      </c>
      <c r="B8181" t="s">
        <v>26374</v>
      </c>
      <c r="C8181" t="s">
        <v>26375</v>
      </c>
      <c r="D8181" t="s">
        <v>26376</v>
      </c>
      <c r="E8181" t="s">
        <v>26377</v>
      </c>
      <c r="F8181" t="s">
        <v>26378</v>
      </c>
      <c r="G8181" s="2" t="str">
        <f>HYPERLINK("https://probpalata.gov.ru/files/ЮЛ770100242900000.jpeg","Скачать индивидуальный QR-код магазина")</f>
        <v>Скачать индивидуальный QR-код магазина</v>
      </c>
    </row>
    <row r="8182" spans="1:7" x14ac:dyDescent="0.25">
      <c r="A8182" t="s">
        <v>18820</v>
      </c>
      <c r="B8182" t="s">
        <v>26379</v>
      </c>
      <c r="C8182" t="s">
        <v>7852</v>
      </c>
      <c r="D8182" t="s">
        <v>7853</v>
      </c>
      <c r="E8182" t="s">
        <v>7854</v>
      </c>
      <c r="F8182" t="s">
        <v>26380</v>
      </c>
      <c r="G8182" s="2" t="str">
        <f>HYPERLINK("https://probpalata.gov.ru/files/ЮЛ770100029500000.jpeg","Скачать индивидуальный QR-код магазина")</f>
        <v>Скачать индивидуальный QR-код магазина</v>
      </c>
    </row>
    <row r="8183" spans="1:7" x14ac:dyDescent="0.25">
      <c r="A8183" t="s">
        <v>18820</v>
      </c>
      <c r="B8183" t="s">
        <v>26381</v>
      </c>
      <c r="C8183" t="s">
        <v>7852</v>
      </c>
      <c r="D8183" t="s">
        <v>7853</v>
      </c>
      <c r="E8183" t="s">
        <v>7854</v>
      </c>
      <c r="F8183" t="s">
        <v>26382</v>
      </c>
      <c r="G8183" s="2" t="str">
        <f>HYPERLINK("https://probpalata.gov.ru/files/ЮЛ770100029500015.jpeg","Скачать индивидуальный QR-код магазина")</f>
        <v>Скачать индивидуальный QR-код магазина</v>
      </c>
    </row>
    <row r="8184" spans="1:7" x14ac:dyDescent="0.25">
      <c r="A8184" t="s">
        <v>18820</v>
      </c>
      <c r="B8184" t="s">
        <v>22774</v>
      </c>
      <c r="C8184" t="s">
        <v>22775</v>
      </c>
      <c r="D8184" t="s">
        <v>26383</v>
      </c>
      <c r="E8184" t="s">
        <v>26384</v>
      </c>
      <c r="F8184" t="s">
        <v>26385</v>
      </c>
      <c r="G8184" s="2" t="str">
        <f>HYPERLINK("https://probpalata.gov.ru/files/ЮЛ770100928700000.jpeg","Скачать индивидуальный QR-код магазина")</f>
        <v>Скачать индивидуальный QR-код магазина</v>
      </c>
    </row>
    <row r="8185" spans="1:7" x14ac:dyDescent="0.25">
      <c r="A8185" t="s">
        <v>18820</v>
      </c>
      <c r="B8185" t="s">
        <v>26386</v>
      </c>
      <c r="C8185" t="s">
        <v>21600</v>
      </c>
      <c r="D8185" t="s">
        <v>26387</v>
      </c>
      <c r="E8185" t="s">
        <v>26388</v>
      </c>
      <c r="F8185" t="s">
        <v>26389</v>
      </c>
      <c r="G8185" s="2" t="str">
        <f>HYPERLINK("https://probpalata.gov.ru/files/ЮЛ770101650700000.jpeg","Скачать индивидуальный QR-код магазина")</f>
        <v>Скачать индивидуальный QR-код магазина</v>
      </c>
    </row>
    <row r="8186" spans="1:7" x14ac:dyDescent="0.25">
      <c r="A8186" t="s">
        <v>18820</v>
      </c>
      <c r="B8186" t="s">
        <v>26390</v>
      </c>
      <c r="C8186" t="s">
        <v>26391</v>
      </c>
      <c r="D8186" t="s">
        <v>26392</v>
      </c>
      <c r="E8186" t="s">
        <v>26393</v>
      </c>
      <c r="F8186" t="s">
        <v>26394</v>
      </c>
      <c r="G8186" s="2" t="str">
        <f>HYPERLINK("https://probpalata.gov.ru/files/ЮЛ770103185800000.jpeg","Скачать индивидуальный QR-код магазина")</f>
        <v>Скачать индивидуальный QR-код магазина</v>
      </c>
    </row>
    <row r="8187" spans="1:7" x14ac:dyDescent="0.25">
      <c r="A8187" t="s">
        <v>18820</v>
      </c>
      <c r="B8187" t="s">
        <v>26395</v>
      </c>
      <c r="C8187" t="s">
        <v>26396</v>
      </c>
      <c r="D8187" t="s">
        <v>26397</v>
      </c>
      <c r="E8187" t="s">
        <v>26398</v>
      </c>
      <c r="F8187" t="s">
        <v>26399</v>
      </c>
      <c r="G8187" s="2" t="str">
        <f>HYPERLINK("https://probpalata.gov.ru/files/ЮЛ770103607200000.jpeg","Скачать индивидуальный QR-код магазина")</f>
        <v>Скачать индивидуальный QR-код магазина</v>
      </c>
    </row>
    <row r="8188" spans="1:7" x14ac:dyDescent="0.25">
      <c r="A8188" t="s">
        <v>18820</v>
      </c>
      <c r="B8188" t="s">
        <v>26400</v>
      </c>
      <c r="C8188" t="s">
        <v>26401</v>
      </c>
      <c r="D8188" t="s">
        <v>26402</v>
      </c>
      <c r="E8188" t="s">
        <v>26403</v>
      </c>
      <c r="F8188" t="s">
        <v>26404</v>
      </c>
      <c r="G8188" s="2" t="str">
        <f>HYPERLINK("https://probpalata.gov.ru/files/ЮЛ770100938700001.jpeg","Скачать индивидуальный QR-код магазина")</f>
        <v>Скачать индивидуальный QR-код магазина</v>
      </c>
    </row>
    <row r="8189" spans="1:7" x14ac:dyDescent="0.25">
      <c r="A8189" t="s">
        <v>18820</v>
      </c>
      <c r="B8189" t="s">
        <v>26405</v>
      </c>
      <c r="C8189" t="s">
        <v>26401</v>
      </c>
      <c r="D8189" t="s">
        <v>26402</v>
      </c>
      <c r="E8189" t="s">
        <v>26403</v>
      </c>
      <c r="F8189" t="s">
        <v>26406</v>
      </c>
      <c r="G8189" s="2" t="str">
        <f>HYPERLINK("https://probpalata.gov.ru/files/ЮЛ770100938700003.jpeg","Скачать индивидуальный QR-код магазина")</f>
        <v>Скачать индивидуальный QR-код магазина</v>
      </c>
    </row>
    <row r="8190" spans="1:7" x14ac:dyDescent="0.25">
      <c r="A8190" t="s">
        <v>18820</v>
      </c>
      <c r="B8190" t="s">
        <v>26407</v>
      </c>
      <c r="C8190" t="s">
        <v>26401</v>
      </c>
      <c r="D8190" t="s">
        <v>26402</v>
      </c>
      <c r="E8190" t="s">
        <v>26403</v>
      </c>
      <c r="F8190" t="s">
        <v>26408</v>
      </c>
      <c r="G8190" s="2" t="str">
        <f>HYPERLINK("https://probpalata.gov.ru/files/ЮЛ770100938700004.jpeg","Скачать индивидуальный QR-код магазина")</f>
        <v>Скачать индивидуальный QR-код магазина</v>
      </c>
    </row>
    <row r="8191" spans="1:7" x14ac:dyDescent="0.25">
      <c r="A8191" t="s">
        <v>18820</v>
      </c>
      <c r="B8191" t="s">
        <v>26409</v>
      </c>
      <c r="C8191" t="s">
        <v>26401</v>
      </c>
      <c r="D8191" t="s">
        <v>26402</v>
      </c>
      <c r="E8191" t="s">
        <v>26403</v>
      </c>
      <c r="F8191" t="s">
        <v>26410</v>
      </c>
      <c r="G8191" s="2" t="str">
        <f>HYPERLINK("https://probpalata.gov.ru/files/ЮЛ770100938700006.jpeg","Скачать индивидуальный QR-код магазина")</f>
        <v>Скачать индивидуальный QR-код магазина</v>
      </c>
    </row>
    <row r="8192" spans="1:7" x14ac:dyDescent="0.25">
      <c r="A8192" t="s">
        <v>18820</v>
      </c>
      <c r="B8192" t="s">
        <v>26411</v>
      </c>
      <c r="C8192" t="s">
        <v>26401</v>
      </c>
      <c r="D8192" t="s">
        <v>26402</v>
      </c>
      <c r="E8192" t="s">
        <v>26403</v>
      </c>
      <c r="F8192" t="s">
        <v>26412</v>
      </c>
      <c r="G8192" s="2" t="str">
        <f>HYPERLINK("https://probpalata.gov.ru/files/ЮЛ770100938700007.jpeg","Скачать индивидуальный QR-код магазина")</f>
        <v>Скачать индивидуальный QR-код магазина</v>
      </c>
    </row>
    <row r="8193" spans="1:7" x14ac:dyDescent="0.25">
      <c r="A8193" t="s">
        <v>18820</v>
      </c>
      <c r="B8193" t="s">
        <v>26413</v>
      </c>
      <c r="C8193" t="s">
        <v>26401</v>
      </c>
      <c r="D8193" t="s">
        <v>26402</v>
      </c>
      <c r="E8193" t="s">
        <v>26403</v>
      </c>
      <c r="F8193" t="s">
        <v>26414</v>
      </c>
      <c r="G8193" s="2" t="str">
        <f>HYPERLINK("https://probpalata.gov.ru/files/ЮЛ770100938700008.jpeg","Скачать индивидуальный QR-код магазина")</f>
        <v>Скачать индивидуальный QR-код магазина</v>
      </c>
    </row>
    <row r="8194" spans="1:7" x14ac:dyDescent="0.25">
      <c r="A8194" t="s">
        <v>18820</v>
      </c>
      <c r="B8194" t="s">
        <v>26415</v>
      </c>
      <c r="C8194" t="s">
        <v>26401</v>
      </c>
      <c r="D8194" t="s">
        <v>26402</v>
      </c>
      <c r="E8194" t="s">
        <v>26403</v>
      </c>
      <c r="F8194" t="s">
        <v>26416</v>
      </c>
      <c r="G8194" s="2" t="str">
        <f>HYPERLINK("https://probpalata.gov.ru/files/ЮЛ770100938700009.jpeg","Скачать индивидуальный QR-код магазина")</f>
        <v>Скачать индивидуальный QR-код магазина</v>
      </c>
    </row>
    <row r="8195" spans="1:7" x14ac:dyDescent="0.25">
      <c r="A8195" t="s">
        <v>18820</v>
      </c>
      <c r="B8195" t="s">
        <v>26417</v>
      </c>
      <c r="C8195" t="s">
        <v>26401</v>
      </c>
      <c r="D8195" t="s">
        <v>26402</v>
      </c>
      <c r="E8195" t="s">
        <v>26403</v>
      </c>
      <c r="F8195" t="s">
        <v>26418</v>
      </c>
      <c r="G8195" s="2" t="str">
        <f>HYPERLINK("https://probpalata.gov.ru/files/ЮЛ770100938700010.jpeg","Скачать индивидуальный QR-код магазина")</f>
        <v>Скачать индивидуальный QR-код магазина</v>
      </c>
    </row>
    <row r="8196" spans="1:7" x14ac:dyDescent="0.25">
      <c r="A8196" t="s">
        <v>18820</v>
      </c>
      <c r="B8196" t="s">
        <v>26419</v>
      </c>
      <c r="C8196" t="s">
        <v>26401</v>
      </c>
      <c r="D8196" t="s">
        <v>26402</v>
      </c>
      <c r="E8196" t="s">
        <v>26403</v>
      </c>
      <c r="F8196" t="s">
        <v>26420</v>
      </c>
      <c r="G8196" s="2" t="str">
        <f>HYPERLINK("https://probpalata.gov.ru/files/ЮЛ770100938700011.jpeg","Скачать индивидуальный QR-код магазина")</f>
        <v>Скачать индивидуальный QR-код магазина</v>
      </c>
    </row>
    <row r="8197" spans="1:7" x14ac:dyDescent="0.25">
      <c r="A8197" t="s">
        <v>18820</v>
      </c>
      <c r="B8197" t="s">
        <v>26421</v>
      </c>
      <c r="C8197" t="s">
        <v>26401</v>
      </c>
      <c r="D8197" t="s">
        <v>26402</v>
      </c>
      <c r="E8197" t="s">
        <v>26403</v>
      </c>
      <c r="F8197" t="s">
        <v>26422</v>
      </c>
      <c r="G8197" s="2" t="str">
        <f>HYPERLINK("https://probpalata.gov.ru/files/ЮЛ770100938700019.jpeg","Скачать индивидуальный QR-код магазина")</f>
        <v>Скачать индивидуальный QR-код магазина</v>
      </c>
    </row>
    <row r="8198" spans="1:7" x14ac:dyDescent="0.25">
      <c r="A8198" t="s">
        <v>18820</v>
      </c>
      <c r="B8198" t="s">
        <v>26423</v>
      </c>
      <c r="C8198" t="s">
        <v>26401</v>
      </c>
      <c r="D8198" t="s">
        <v>26402</v>
      </c>
      <c r="E8198" t="s">
        <v>26403</v>
      </c>
      <c r="F8198" t="s">
        <v>26424</v>
      </c>
      <c r="G8198" s="2" t="str">
        <f>HYPERLINK("https://probpalata.gov.ru/files/ЮЛ770100938700021.jpeg","Скачать индивидуальный QR-код магазина")</f>
        <v>Скачать индивидуальный QR-код магазина</v>
      </c>
    </row>
    <row r="8199" spans="1:7" x14ac:dyDescent="0.25">
      <c r="A8199" t="s">
        <v>18820</v>
      </c>
      <c r="B8199" t="s">
        <v>23899</v>
      </c>
      <c r="C8199" t="s">
        <v>26401</v>
      </c>
      <c r="D8199" t="s">
        <v>26402</v>
      </c>
      <c r="E8199" t="s">
        <v>26403</v>
      </c>
      <c r="F8199" t="s">
        <v>26425</v>
      </c>
      <c r="G8199" s="2" t="str">
        <f>HYPERLINK("https://probpalata.gov.ru/files/ЮЛ770100938700024.jpeg","Скачать индивидуальный QR-код магазина")</f>
        <v>Скачать индивидуальный QR-код магазина</v>
      </c>
    </row>
    <row r="8200" spans="1:7" x14ac:dyDescent="0.25">
      <c r="A8200" t="s">
        <v>18820</v>
      </c>
      <c r="B8200" t="s">
        <v>26426</v>
      </c>
      <c r="C8200" t="s">
        <v>26401</v>
      </c>
      <c r="D8200" t="s">
        <v>26402</v>
      </c>
      <c r="E8200" t="s">
        <v>26403</v>
      </c>
      <c r="F8200" t="s">
        <v>26427</v>
      </c>
      <c r="G8200" s="2" t="str">
        <f>HYPERLINK("https://probpalata.gov.ru/files/ЮЛ770100938700029.jpeg","Скачать индивидуальный QR-код магазина")</f>
        <v>Скачать индивидуальный QR-код магазина</v>
      </c>
    </row>
    <row r="8201" spans="1:7" x14ac:dyDescent="0.25">
      <c r="A8201" t="s">
        <v>18820</v>
      </c>
      <c r="B8201" t="s">
        <v>26428</v>
      </c>
      <c r="C8201" t="s">
        <v>26401</v>
      </c>
      <c r="D8201" t="s">
        <v>26402</v>
      </c>
      <c r="E8201" t="s">
        <v>26403</v>
      </c>
      <c r="F8201" t="s">
        <v>26429</v>
      </c>
      <c r="G8201" s="2" t="str">
        <f>HYPERLINK("https://probpalata.gov.ru/files/ЮЛ770100938700033.jpeg","Скачать индивидуальный QR-код магазина")</f>
        <v>Скачать индивидуальный QR-код магазина</v>
      </c>
    </row>
    <row r="8202" spans="1:7" x14ac:dyDescent="0.25">
      <c r="A8202" t="s">
        <v>18820</v>
      </c>
      <c r="B8202" t="s">
        <v>26430</v>
      </c>
      <c r="C8202" t="s">
        <v>26401</v>
      </c>
      <c r="D8202" t="s">
        <v>26402</v>
      </c>
      <c r="E8202" t="s">
        <v>26403</v>
      </c>
      <c r="F8202" t="s">
        <v>26431</v>
      </c>
      <c r="G8202" s="2" t="str">
        <f>HYPERLINK("https://probpalata.gov.ru/files/ЮЛ770100938700034.jpeg","Скачать индивидуальный QR-код магазина")</f>
        <v>Скачать индивидуальный QR-код магазина</v>
      </c>
    </row>
    <row r="8203" spans="1:7" x14ac:dyDescent="0.25">
      <c r="A8203" t="s">
        <v>18820</v>
      </c>
      <c r="B8203" t="s">
        <v>26432</v>
      </c>
      <c r="C8203" t="s">
        <v>26401</v>
      </c>
      <c r="D8203" t="s">
        <v>26402</v>
      </c>
      <c r="E8203" t="s">
        <v>26403</v>
      </c>
      <c r="F8203" t="s">
        <v>26433</v>
      </c>
      <c r="G8203" s="2" t="str">
        <f>HYPERLINK("https://probpalata.gov.ru/files/ЮЛ770100938700037.jpeg","Скачать индивидуальный QR-код магазина")</f>
        <v>Скачать индивидуальный QR-код магазина</v>
      </c>
    </row>
    <row r="8204" spans="1:7" x14ac:dyDescent="0.25">
      <c r="A8204" t="s">
        <v>18820</v>
      </c>
      <c r="B8204" t="s">
        <v>26434</v>
      </c>
      <c r="C8204" t="s">
        <v>26435</v>
      </c>
      <c r="D8204" t="s">
        <v>26436</v>
      </c>
      <c r="E8204" t="s">
        <v>26437</v>
      </c>
      <c r="F8204" t="s">
        <v>26438</v>
      </c>
      <c r="G8204" s="2" t="str">
        <f>HYPERLINK("https://probpalata.gov.ru/files/ИП770101885400000.jpeg","Скачать индивидуальный QR-код магазина")</f>
        <v>Скачать индивидуальный QR-код магазина</v>
      </c>
    </row>
    <row r="8205" spans="1:7" x14ac:dyDescent="0.25">
      <c r="A8205" t="s">
        <v>18820</v>
      </c>
      <c r="B8205" t="s">
        <v>26439</v>
      </c>
      <c r="C8205" t="s">
        <v>26440</v>
      </c>
      <c r="D8205" t="s">
        <v>26441</v>
      </c>
      <c r="E8205" t="s">
        <v>26442</v>
      </c>
      <c r="F8205" t="s">
        <v>26443</v>
      </c>
      <c r="G8205" s="2" t="str">
        <f>HYPERLINK("https://probpalata.gov.ru/files/ЮЛ770100295600000.jpeg","Скачать индивидуальный QR-код магазина")</f>
        <v>Скачать индивидуальный QR-код магазина</v>
      </c>
    </row>
    <row r="8206" spans="1:7" x14ac:dyDescent="0.25">
      <c r="A8206" t="s">
        <v>18820</v>
      </c>
      <c r="B8206" t="s">
        <v>26444</v>
      </c>
      <c r="C8206" t="s">
        <v>26445</v>
      </c>
      <c r="D8206" t="s">
        <v>26446</v>
      </c>
      <c r="E8206" t="s">
        <v>26447</v>
      </c>
      <c r="F8206" t="s">
        <v>26448</v>
      </c>
      <c r="G8206" s="2" t="str">
        <f>HYPERLINK("https://probpalata.gov.ru/files/ЮЛ500101422000000.jpeg","Скачать индивидуальный QR-код магазина")</f>
        <v>Скачать индивидуальный QR-код магазина</v>
      </c>
    </row>
    <row r="8207" spans="1:7" x14ac:dyDescent="0.25">
      <c r="A8207" t="s">
        <v>18820</v>
      </c>
      <c r="B8207" t="s">
        <v>26449</v>
      </c>
      <c r="C8207" t="s">
        <v>26450</v>
      </c>
      <c r="D8207" t="s">
        <v>26451</v>
      </c>
      <c r="E8207" t="s">
        <v>26452</v>
      </c>
      <c r="F8207" t="s">
        <v>26453</v>
      </c>
      <c r="G8207" s="2" t="str">
        <f>HYPERLINK("https://probpalata.gov.ru/files/ЮЛ770100032000000.jpeg","Скачать индивидуальный QR-код магазина")</f>
        <v>Скачать индивидуальный QR-код магазина</v>
      </c>
    </row>
    <row r="8208" spans="1:7" x14ac:dyDescent="0.25">
      <c r="A8208" t="s">
        <v>18820</v>
      </c>
      <c r="B8208" t="s">
        <v>26454</v>
      </c>
      <c r="C8208" t="s">
        <v>26455</v>
      </c>
      <c r="D8208" t="s">
        <v>26456</v>
      </c>
      <c r="E8208" t="s">
        <v>26457</v>
      </c>
      <c r="F8208" t="s">
        <v>26458</v>
      </c>
      <c r="G8208" s="2" t="str">
        <f>HYPERLINK("https://probpalata.gov.ru/files/ЮЛ770100216300000.jpeg","Скачать индивидуальный QR-код магазина")</f>
        <v>Скачать индивидуальный QR-код магазина</v>
      </c>
    </row>
    <row r="8209" spans="1:7" x14ac:dyDescent="0.25">
      <c r="A8209" t="s">
        <v>18820</v>
      </c>
      <c r="B8209" t="s">
        <v>26459</v>
      </c>
      <c r="C8209" t="s">
        <v>26460</v>
      </c>
      <c r="D8209" t="s">
        <v>26461</v>
      </c>
      <c r="E8209" t="s">
        <v>26462</v>
      </c>
      <c r="F8209" t="s">
        <v>26463</v>
      </c>
      <c r="G8209" s="2" t="str">
        <f>HYPERLINK("https://probpalata.gov.ru/files/ЮЛ770100374300000.jpeg","Скачать индивидуальный QR-код магазина")</f>
        <v>Скачать индивидуальный QR-код магазина</v>
      </c>
    </row>
    <row r="8210" spans="1:7" x14ac:dyDescent="0.25">
      <c r="A8210" t="s">
        <v>18820</v>
      </c>
      <c r="B8210" t="s">
        <v>26464</v>
      </c>
      <c r="C8210" t="s">
        <v>26465</v>
      </c>
      <c r="D8210" t="s">
        <v>26466</v>
      </c>
      <c r="E8210" t="s">
        <v>26467</v>
      </c>
      <c r="F8210" t="s">
        <v>26468</v>
      </c>
      <c r="G8210" s="2" t="str">
        <f>HYPERLINK("https://probpalata.gov.ru/files/ЮЛ770103536100000.jpeg","Скачать индивидуальный QR-код магазина")</f>
        <v>Скачать индивидуальный QR-код магазина</v>
      </c>
    </row>
    <row r="8211" spans="1:7" x14ac:dyDescent="0.25">
      <c r="A8211" t="s">
        <v>18820</v>
      </c>
      <c r="B8211" t="s">
        <v>26469</v>
      </c>
      <c r="C8211" t="s">
        <v>26470</v>
      </c>
      <c r="D8211" t="s">
        <v>26471</v>
      </c>
      <c r="E8211" t="s">
        <v>26472</v>
      </c>
      <c r="F8211" t="s">
        <v>26473</v>
      </c>
      <c r="G8211" s="2" t="str">
        <f>HYPERLINK("https://probpalata.gov.ru/files/ЮЛ770103433400000.jpeg","Скачать индивидуальный QR-код магазина")</f>
        <v>Скачать индивидуальный QR-код магазина</v>
      </c>
    </row>
    <row r="8212" spans="1:7" x14ac:dyDescent="0.25">
      <c r="A8212" t="s">
        <v>18820</v>
      </c>
      <c r="B8212" t="s">
        <v>26474</v>
      </c>
      <c r="C8212" t="s">
        <v>26475</v>
      </c>
      <c r="D8212" t="s">
        <v>26476</v>
      </c>
      <c r="E8212" t="s">
        <v>26477</v>
      </c>
      <c r="F8212" t="s">
        <v>26478</v>
      </c>
      <c r="G8212" s="2" t="str">
        <f>HYPERLINK("https://probpalata.gov.ru/files/ЮЛ770103153900000.jpeg","Скачать индивидуальный QR-код магазина")</f>
        <v>Скачать индивидуальный QR-код магазина</v>
      </c>
    </row>
    <row r="8213" spans="1:7" x14ac:dyDescent="0.25">
      <c r="A8213" t="s">
        <v>18820</v>
      </c>
      <c r="B8213" t="s">
        <v>21054</v>
      </c>
      <c r="C8213" t="s">
        <v>26479</v>
      </c>
      <c r="D8213" t="s">
        <v>26480</v>
      </c>
      <c r="E8213" t="s">
        <v>26481</v>
      </c>
      <c r="F8213" t="s">
        <v>26482</v>
      </c>
      <c r="G8213" s="2" t="str">
        <f>HYPERLINK("https://probpalata.gov.ru/files/ЮЛ770103236600000.jpeg","Скачать индивидуальный QR-код магазина")</f>
        <v>Скачать индивидуальный QR-код магазина</v>
      </c>
    </row>
    <row r="8214" spans="1:7" x14ac:dyDescent="0.25">
      <c r="A8214" t="s">
        <v>18820</v>
      </c>
      <c r="B8214" t="s">
        <v>26483</v>
      </c>
      <c r="C8214" t="s">
        <v>26484</v>
      </c>
      <c r="D8214" t="s">
        <v>26485</v>
      </c>
      <c r="E8214" t="s">
        <v>26486</v>
      </c>
      <c r="F8214" t="s">
        <v>26487</v>
      </c>
      <c r="G8214" s="2" t="str">
        <f>HYPERLINK("https://probpalata.gov.ru/files/ЮЛ770103594500001.jpeg","Скачать индивидуальный QR-код магазина")</f>
        <v>Скачать индивидуальный QR-код магазина</v>
      </c>
    </row>
    <row r="8215" spans="1:7" x14ac:dyDescent="0.25">
      <c r="A8215" t="s">
        <v>18820</v>
      </c>
      <c r="B8215" t="s">
        <v>26488</v>
      </c>
      <c r="C8215" t="s">
        <v>26489</v>
      </c>
      <c r="D8215" t="s">
        <v>26490</v>
      </c>
      <c r="E8215" t="s">
        <v>26491</v>
      </c>
      <c r="F8215" t="s">
        <v>26492</v>
      </c>
      <c r="G8215" s="2" t="str">
        <f>HYPERLINK("https://probpalata.gov.ru/files/ЮЛ770103551400000.jpeg","Скачать индивидуальный QR-код магазина")</f>
        <v>Скачать индивидуальный QR-код магазина</v>
      </c>
    </row>
    <row r="8216" spans="1:7" x14ac:dyDescent="0.25">
      <c r="A8216" t="s">
        <v>18820</v>
      </c>
      <c r="B8216" t="s">
        <v>26493</v>
      </c>
      <c r="C8216" t="s">
        <v>26494</v>
      </c>
      <c r="D8216" t="s">
        <v>26495</v>
      </c>
      <c r="E8216" t="s">
        <v>26496</v>
      </c>
      <c r="F8216" t="s">
        <v>26497</v>
      </c>
      <c r="G8216" s="2" t="str">
        <f>HYPERLINK("https://probpalata.gov.ru/files/ЮЛ770104096800000.jpeg","Скачать индивидуальный QR-код магазина")</f>
        <v>Скачать индивидуальный QR-код магазина</v>
      </c>
    </row>
    <row r="8217" spans="1:7" x14ac:dyDescent="0.25">
      <c r="A8217" t="s">
        <v>18820</v>
      </c>
      <c r="B8217" t="s">
        <v>26498</v>
      </c>
      <c r="C8217" t="s">
        <v>26499</v>
      </c>
      <c r="D8217" t="s">
        <v>26500</v>
      </c>
      <c r="E8217" t="s">
        <v>26501</v>
      </c>
      <c r="F8217" t="s">
        <v>26502</v>
      </c>
      <c r="G8217" s="2" t="str">
        <f>HYPERLINK("https://probpalata.gov.ru/files/ЮЛ770103755800000.jpeg","Скачать индивидуальный QR-код магазина")</f>
        <v>Скачать индивидуальный QR-код магазина</v>
      </c>
    </row>
    <row r="8218" spans="1:7" x14ac:dyDescent="0.25">
      <c r="A8218" t="s">
        <v>18820</v>
      </c>
      <c r="B8218" t="s">
        <v>22102</v>
      </c>
      <c r="C8218" t="s">
        <v>26499</v>
      </c>
      <c r="D8218" t="s">
        <v>26500</v>
      </c>
      <c r="E8218" t="s">
        <v>26501</v>
      </c>
      <c r="F8218" t="s">
        <v>26503</v>
      </c>
      <c r="G8218" s="2" t="str">
        <f>HYPERLINK("https://probpalata.gov.ru/files/ЮЛ770103755800001.jpeg","Скачать индивидуальный QR-код магазина")</f>
        <v>Скачать индивидуальный QR-код магазина</v>
      </c>
    </row>
    <row r="8219" spans="1:7" x14ac:dyDescent="0.25">
      <c r="A8219" t="s">
        <v>18820</v>
      </c>
      <c r="B8219" t="s">
        <v>26504</v>
      </c>
      <c r="C8219" t="s">
        <v>26505</v>
      </c>
      <c r="D8219" t="s">
        <v>26506</v>
      </c>
      <c r="E8219" t="s">
        <v>26507</v>
      </c>
      <c r="F8219" t="s">
        <v>26508</v>
      </c>
      <c r="G8219" s="2" t="str">
        <f>HYPERLINK("https://probpalata.gov.ru/files/ЮЛ770103970200000.jpeg","Скачать индивидуальный QR-код магазина")</f>
        <v>Скачать индивидуальный QR-код магазина</v>
      </c>
    </row>
    <row r="8220" spans="1:7" x14ac:dyDescent="0.25">
      <c r="A8220" t="s">
        <v>18820</v>
      </c>
      <c r="B8220" t="s">
        <v>26509</v>
      </c>
      <c r="C8220" t="s">
        <v>26510</v>
      </c>
      <c r="D8220" t="s">
        <v>26511</v>
      </c>
      <c r="E8220" t="s">
        <v>26512</v>
      </c>
      <c r="F8220" t="s">
        <v>26513</v>
      </c>
      <c r="G8220" s="2" t="str">
        <f>HYPERLINK("https://probpalata.gov.ru/files/ЮЛ770103785300000.jpeg","Скачать индивидуальный QR-код магазина")</f>
        <v>Скачать индивидуальный QR-код магазина</v>
      </c>
    </row>
    <row r="8221" spans="1:7" x14ac:dyDescent="0.25">
      <c r="A8221" t="s">
        <v>18820</v>
      </c>
      <c r="B8221" t="s">
        <v>26514</v>
      </c>
      <c r="C8221" t="s">
        <v>26515</v>
      </c>
      <c r="D8221" t="s">
        <v>26516</v>
      </c>
      <c r="E8221" t="s">
        <v>26517</v>
      </c>
      <c r="F8221" t="s">
        <v>26518</v>
      </c>
      <c r="G8221" s="2" t="str">
        <f>HYPERLINK("https://probpalata.gov.ru/files/ЮЛ770103345900000.jpeg","Скачать индивидуальный QR-код магазина")</f>
        <v>Скачать индивидуальный QR-код магазина</v>
      </c>
    </row>
    <row r="8222" spans="1:7" x14ac:dyDescent="0.25">
      <c r="A8222" t="s">
        <v>18820</v>
      </c>
      <c r="B8222" t="s">
        <v>26519</v>
      </c>
      <c r="C8222" t="s">
        <v>26520</v>
      </c>
      <c r="D8222" t="s">
        <v>26521</v>
      </c>
      <c r="E8222" t="s">
        <v>26522</v>
      </c>
      <c r="F8222" t="s">
        <v>26523</v>
      </c>
      <c r="G8222" s="2" t="str">
        <f>HYPERLINK("https://probpalata.gov.ru/files/ЮЛ770103615800000.jpeg","Скачать индивидуальный QR-код магазина")</f>
        <v>Скачать индивидуальный QR-код магазина</v>
      </c>
    </row>
    <row r="8223" spans="1:7" x14ac:dyDescent="0.25">
      <c r="A8223" t="s">
        <v>18820</v>
      </c>
      <c r="B8223" t="s">
        <v>26524</v>
      </c>
      <c r="C8223" t="s">
        <v>26525</v>
      </c>
      <c r="D8223" t="s">
        <v>26526</v>
      </c>
      <c r="E8223" t="s">
        <v>26527</v>
      </c>
      <c r="F8223" t="s">
        <v>26528</v>
      </c>
      <c r="G8223" s="2" t="str">
        <f>HYPERLINK("https://probpalata.gov.ru/files/ЮЛ770103708200000.jpeg","Скачать индивидуальный QR-код магазина")</f>
        <v>Скачать индивидуальный QR-код магазина</v>
      </c>
    </row>
    <row r="8224" spans="1:7" x14ac:dyDescent="0.25">
      <c r="A8224" t="s">
        <v>18820</v>
      </c>
      <c r="B8224" t="s">
        <v>26529</v>
      </c>
      <c r="C8224" t="s">
        <v>26530</v>
      </c>
      <c r="D8224" t="s">
        <v>26531</v>
      </c>
      <c r="E8224" t="s">
        <v>26532</v>
      </c>
      <c r="F8224" t="s">
        <v>26533</v>
      </c>
      <c r="G8224" s="2" t="str">
        <f>HYPERLINK("https://probpalata.gov.ru/files/ЮЛ770103760100000.jpeg","Скачать индивидуальный QR-код магазина")</f>
        <v>Скачать индивидуальный QR-код магазина</v>
      </c>
    </row>
    <row r="8225" spans="1:7" x14ac:dyDescent="0.25">
      <c r="A8225" t="s">
        <v>18820</v>
      </c>
      <c r="B8225" t="s">
        <v>26534</v>
      </c>
      <c r="C8225" t="s">
        <v>26535</v>
      </c>
      <c r="D8225" t="s">
        <v>26536</v>
      </c>
      <c r="E8225" t="s">
        <v>26537</v>
      </c>
      <c r="F8225" t="s">
        <v>26538</v>
      </c>
      <c r="G8225" s="2" t="str">
        <f>HYPERLINK("https://probpalata.gov.ru/files/ЮЛ770100610600003.jpeg","Скачать индивидуальный QR-код магазина")</f>
        <v>Скачать индивидуальный QR-код магазина</v>
      </c>
    </row>
    <row r="8226" spans="1:7" x14ac:dyDescent="0.25">
      <c r="A8226" t="s">
        <v>18820</v>
      </c>
      <c r="B8226" t="s">
        <v>26539</v>
      </c>
      <c r="C8226" t="s">
        <v>26535</v>
      </c>
      <c r="D8226" t="s">
        <v>26536</v>
      </c>
      <c r="E8226" t="s">
        <v>26537</v>
      </c>
      <c r="F8226" t="s">
        <v>26540</v>
      </c>
      <c r="G8226" s="2" t="str">
        <f>HYPERLINK("https://probpalata.gov.ru/files/ЮЛ770100610600004.jpeg","Скачать индивидуальный QR-код магазина")</f>
        <v>Скачать индивидуальный QR-код магазина</v>
      </c>
    </row>
    <row r="8227" spans="1:7" x14ac:dyDescent="0.25">
      <c r="A8227" t="s">
        <v>18820</v>
      </c>
      <c r="B8227" t="s">
        <v>26541</v>
      </c>
      <c r="C8227" t="s">
        <v>26542</v>
      </c>
      <c r="D8227" t="s">
        <v>26543</v>
      </c>
      <c r="E8227" t="s">
        <v>26544</v>
      </c>
      <c r="F8227" t="s">
        <v>26545</v>
      </c>
      <c r="G8227" s="2" t="str">
        <f>HYPERLINK("https://probpalata.gov.ru/files/ЮЛ770100481200000.jpeg","Скачать индивидуальный QR-код магазина")</f>
        <v>Скачать индивидуальный QR-код магазина</v>
      </c>
    </row>
    <row r="8228" spans="1:7" x14ac:dyDescent="0.25">
      <c r="A8228" t="s">
        <v>18820</v>
      </c>
      <c r="B8228" t="s">
        <v>26546</v>
      </c>
      <c r="C8228" t="s">
        <v>26547</v>
      </c>
      <c r="D8228" t="s">
        <v>26548</v>
      </c>
      <c r="E8228" t="s">
        <v>26549</v>
      </c>
      <c r="F8228" t="s">
        <v>26550</v>
      </c>
      <c r="G8228" s="2" t="str">
        <f>HYPERLINK("https://probpalata.gov.ru/files/ЮЛ770101167800001.jpeg","Скачать индивидуальный QR-код магазина")</f>
        <v>Скачать индивидуальный QR-код магазина</v>
      </c>
    </row>
    <row r="8229" spans="1:7" x14ac:dyDescent="0.25">
      <c r="A8229" t="s">
        <v>18820</v>
      </c>
      <c r="B8229" t="s">
        <v>26551</v>
      </c>
      <c r="C8229" t="s">
        <v>26547</v>
      </c>
      <c r="D8229" t="s">
        <v>26548</v>
      </c>
      <c r="E8229" t="s">
        <v>26549</v>
      </c>
      <c r="F8229" t="s">
        <v>26552</v>
      </c>
      <c r="G8229" s="2" t="str">
        <f>HYPERLINK("https://probpalata.gov.ru/files/ЮЛ770101167800002.jpeg","Скачать индивидуальный QR-код магазина")</f>
        <v>Скачать индивидуальный QR-код магазина</v>
      </c>
    </row>
    <row r="8230" spans="1:7" x14ac:dyDescent="0.25">
      <c r="A8230" t="s">
        <v>18820</v>
      </c>
      <c r="B8230" t="s">
        <v>26553</v>
      </c>
      <c r="C8230" t="s">
        <v>26547</v>
      </c>
      <c r="D8230" t="s">
        <v>26548</v>
      </c>
      <c r="E8230" t="s">
        <v>26549</v>
      </c>
      <c r="F8230" t="s">
        <v>26554</v>
      </c>
      <c r="G8230" s="2" t="str">
        <f>HYPERLINK("https://probpalata.gov.ru/files/ЮЛ770101167800003.jpeg","Скачать индивидуальный QR-код магазина")</f>
        <v>Скачать индивидуальный QR-код магазина</v>
      </c>
    </row>
    <row r="8231" spans="1:7" x14ac:dyDescent="0.25">
      <c r="A8231" t="s">
        <v>18820</v>
      </c>
      <c r="B8231" t="s">
        <v>26555</v>
      </c>
      <c r="C8231" t="s">
        <v>26547</v>
      </c>
      <c r="D8231" t="s">
        <v>26548</v>
      </c>
      <c r="E8231" t="s">
        <v>26549</v>
      </c>
      <c r="F8231" t="s">
        <v>26556</v>
      </c>
      <c r="G8231" s="2" t="str">
        <f>HYPERLINK("https://probpalata.gov.ru/files/ЮЛ770101167800005.jpeg","Скачать индивидуальный QR-код магазина")</f>
        <v>Скачать индивидуальный QR-код магазина</v>
      </c>
    </row>
    <row r="8232" spans="1:7" x14ac:dyDescent="0.25">
      <c r="A8232" t="s">
        <v>18820</v>
      </c>
      <c r="B8232" t="s">
        <v>26557</v>
      </c>
      <c r="C8232" t="s">
        <v>26547</v>
      </c>
      <c r="D8232" t="s">
        <v>26548</v>
      </c>
      <c r="E8232" t="s">
        <v>26549</v>
      </c>
      <c r="F8232" t="s">
        <v>26558</v>
      </c>
      <c r="G8232" s="2" t="str">
        <f>HYPERLINK("https://probpalata.gov.ru/files/ЮЛ770101167800006.jpeg","Скачать индивидуальный QR-код магазина")</f>
        <v>Скачать индивидуальный QR-код магазина</v>
      </c>
    </row>
    <row r="8233" spans="1:7" x14ac:dyDescent="0.25">
      <c r="A8233" t="s">
        <v>18820</v>
      </c>
      <c r="B8233" t="s">
        <v>26559</v>
      </c>
      <c r="C8233" t="s">
        <v>26547</v>
      </c>
      <c r="D8233" t="s">
        <v>26548</v>
      </c>
      <c r="E8233" t="s">
        <v>26549</v>
      </c>
      <c r="F8233" t="s">
        <v>26560</v>
      </c>
      <c r="G8233" s="2" t="str">
        <f>HYPERLINK("https://probpalata.gov.ru/files/ЮЛ770101167800015.jpeg","Скачать индивидуальный QR-код магазина")</f>
        <v>Скачать индивидуальный QR-код магазина</v>
      </c>
    </row>
    <row r="8234" spans="1:7" x14ac:dyDescent="0.25">
      <c r="A8234" t="s">
        <v>18820</v>
      </c>
      <c r="B8234" t="s">
        <v>26561</v>
      </c>
      <c r="C8234" t="s">
        <v>26547</v>
      </c>
      <c r="D8234" t="s">
        <v>26548</v>
      </c>
      <c r="E8234" t="s">
        <v>26549</v>
      </c>
      <c r="F8234" t="s">
        <v>26562</v>
      </c>
      <c r="G8234" s="2" t="str">
        <f>HYPERLINK("https://probpalata.gov.ru/files/ЮЛ770101167800017.jpeg","Скачать индивидуальный QR-код магазина")</f>
        <v>Скачать индивидуальный QR-код магазина</v>
      </c>
    </row>
    <row r="8235" spans="1:7" x14ac:dyDescent="0.25">
      <c r="A8235" t="s">
        <v>18820</v>
      </c>
      <c r="B8235" t="s">
        <v>26563</v>
      </c>
      <c r="C8235" t="s">
        <v>26547</v>
      </c>
      <c r="D8235" t="s">
        <v>26548</v>
      </c>
      <c r="E8235" t="s">
        <v>26549</v>
      </c>
      <c r="F8235" t="s">
        <v>26564</v>
      </c>
      <c r="G8235" s="2" t="str">
        <f>HYPERLINK("https://probpalata.gov.ru/files/ЮЛ770101167800018.jpeg","Скачать индивидуальный QR-код магазина")</f>
        <v>Скачать индивидуальный QR-код магазина</v>
      </c>
    </row>
    <row r="8236" spans="1:7" x14ac:dyDescent="0.25">
      <c r="A8236" t="s">
        <v>18820</v>
      </c>
      <c r="B8236" t="s">
        <v>26565</v>
      </c>
      <c r="C8236" t="s">
        <v>26547</v>
      </c>
      <c r="D8236" t="s">
        <v>26548</v>
      </c>
      <c r="E8236" t="s">
        <v>26549</v>
      </c>
      <c r="F8236" t="s">
        <v>26566</v>
      </c>
      <c r="G8236" s="2" t="str">
        <f>HYPERLINK("https://probpalata.gov.ru/files/ЮЛ770101167800021.jpeg","Скачать индивидуальный QR-код магазина")</f>
        <v>Скачать индивидуальный QR-код магазина</v>
      </c>
    </row>
    <row r="8237" spans="1:7" x14ac:dyDescent="0.25">
      <c r="A8237" t="s">
        <v>18820</v>
      </c>
      <c r="B8237" t="s">
        <v>26567</v>
      </c>
      <c r="C8237" t="s">
        <v>26547</v>
      </c>
      <c r="D8237" t="s">
        <v>26548</v>
      </c>
      <c r="E8237" t="s">
        <v>26549</v>
      </c>
      <c r="F8237" t="s">
        <v>26568</v>
      </c>
      <c r="G8237" s="2" t="str">
        <f>HYPERLINK("https://probpalata.gov.ru/files/ЮЛ770101167800023.jpeg","Скачать индивидуальный QR-код магазина")</f>
        <v>Скачать индивидуальный QR-код магазина</v>
      </c>
    </row>
    <row r="8238" spans="1:7" x14ac:dyDescent="0.25">
      <c r="A8238" t="s">
        <v>18820</v>
      </c>
      <c r="B8238" t="s">
        <v>26569</v>
      </c>
      <c r="C8238" t="s">
        <v>26547</v>
      </c>
      <c r="D8238" t="s">
        <v>26548</v>
      </c>
      <c r="E8238" t="s">
        <v>26549</v>
      </c>
      <c r="F8238" t="s">
        <v>26570</v>
      </c>
      <c r="G8238" s="2" t="str">
        <f>HYPERLINK("https://probpalata.gov.ru/files/ЮЛ770101167800024.jpeg","Скачать индивидуальный QR-код магазина")</f>
        <v>Скачать индивидуальный QR-код магазина</v>
      </c>
    </row>
    <row r="8239" spans="1:7" x14ac:dyDescent="0.25">
      <c r="A8239" t="s">
        <v>18820</v>
      </c>
      <c r="B8239" t="s">
        <v>26571</v>
      </c>
      <c r="C8239" t="s">
        <v>26572</v>
      </c>
      <c r="D8239" t="s">
        <v>26573</v>
      </c>
      <c r="E8239" t="s">
        <v>26574</v>
      </c>
      <c r="F8239" t="s">
        <v>26575</v>
      </c>
      <c r="G8239" s="2" t="str">
        <f>HYPERLINK("https://probpalata.gov.ru/files/ЮЛ770101270800000.jpeg","Скачать индивидуальный QR-код магазина")</f>
        <v>Скачать индивидуальный QR-код магазина</v>
      </c>
    </row>
    <row r="8240" spans="1:7" x14ac:dyDescent="0.25">
      <c r="A8240" t="s">
        <v>18820</v>
      </c>
      <c r="B8240" t="s">
        <v>26576</v>
      </c>
      <c r="C8240" t="s">
        <v>26577</v>
      </c>
      <c r="D8240" t="s">
        <v>26578</v>
      </c>
      <c r="E8240" t="s">
        <v>26579</v>
      </c>
      <c r="F8240" t="s">
        <v>26580</v>
      </c>
      <c r="G8240" s="2" t="str">
        <f>HYPERLINK("https://probpalata.gov.ru/files/ЮЛ770103410400000.jpeg","Скачать индивидуальный QR-код магазина")</f>
        <v>Скачать индивидуальный QR-код магазина</v>
      </c>
    </row>
    <row r="8241" spans="1:7" x14ac:dyDescent="0.25">
      <c r="A8241" t="s">
        <v>18820</v>
      </c>
      <c r="B8241" t="s">
        <v>25416</v>
      </c>
      <c r="C8241" t="s">
        <v>26577</v>
      </c>
      <c r="D8241" t="s">
        <v>26578</v>
      </c>
      <c r="E8241" t="s">
        <v>26579</v>
      </c>
      <c r="F8241" t="s">
        <v>26581</v>
      </c>
      <c r="G8241" s="2" t="str">
        <f>HYPERLINK("https://probpalata.gov.ru/files/ЮЛ770103410400001.jpeg","Скачать индивидуальный QR-код магазина")</f>
        <v>Скачать индивидуальный QR-код магазина</v>
      </c>
    </row>
    <row r="8242" spans="1:7" x14ac:dyDescent="0.25">
      <c r="A8242" t="s">
        <v>18820</v>
      </c>
      <c r="B8242" t="s">
        <v>26582</v>
      </c>
      <c r="C8242" t="s">
        <v>26577</v>
      </c>
      <c r="D8242" t="s">
        <v>26578</v>
      </c>
      <c r="E8242" t="s">
        <v>26579</v>
      </c>
      <c r="F8242" t="s">
        <v>26583</v>
      </c>
      <c r="G8242" s="2" t="str">
        <f>HYPERLINK("https://probpalata.gov.ru/files/ЮЛ770103410400002.jpeg","Скачать индивидуальный QR-код магазина")</f>
        <v>Скачать индивидуальный QR-код магазина</v>
      </c>
    </row>
    <row r="8243" spans="1:7" x14ac:dyDescent="0.25">
      <c r="A8243" t="s">
        <v>18820</v>
      </c>
      <c r="B8243" t="s">
        <v>26584</v>
      </c>
      <c r="C8243" t="s">
        <v>26577</v>
      </c>
      <c r="D8243" t="s">
        <v>26578</v>
      </c>
      <c r="E8243" t="s">
        <v>26579</v>
      </c>
      <c r="F8243" t="s">
        <v>26585</v>
      </c>
      <c r="G8243" s="2" t="str">
        <f>HYPERLINK("https://probpalata.gov.ru/files/ЮЛ770103410400003.jpeg","Скачать индивидуальный QR-код магазина")</f>
        <v>Скачать индивидуальный QR-код магазина</v>
      </c>
    </row>
    <row r="8244" spans="1:7" x14ac:dyDescent="0.25">
      <c r="A8244" t="s">
        <v>18820</v>
      </c>
      <c r="B8244" t="s">
        <v>26586</v>
      </c>
      <c r="C8244" t="s">
        <v>26577</v>
      </c>
      <c r="D8244" t="s">
        <v>26578</v>
      </c>
      <c r="E8244" t="s">
        <v>26579</v>
      </c>
      <c r="F8244" t="s">
        <v>26587</v>
      </c>
      <c r="G8244" s="2" t="str">
        <f>HYPERLINK("https://probpalata.gov.ru/files/ЮЛ770103410400004.jpeg","Скачать индивидуальный QR-код магазина")</f>
        <v>Скачать индивидуальный QR-код магазина</v>
      </c>
    </row>
    <row r="8245" spans="1:7" x14ac:dyDescent="0.25">
      <c r="A8245" t="s">
        <v>18820</v>
      </c>
      <c r="B8245" t="s">
        <v>26588</v>
      </c>
      <c r="C8245" t="s">
        <v>26589</v>
      </c>
      <c r="D8245" t="s">
        <v>26590</v>
      </c>
      <c r="E8245" t="s">
        <v>26591</v>
      </c>
      <c r="F8245" t="s">
        <v>26592</v>
      </c>
      <c r="G8245" s="2" t="str">
        <f>HYPERLINK("https://probpalata.gov.ru/files/ЮЛ770103948700000.jpeg","Скачать индивидуальный QR-код магазина")</f>
        <v>Скачать индивидуальный QR-код магазина</v>
      </c>
    </row>
    <row r="8246" spans="1:7" x14ac:dyDescent="0.25">
      <c r="A8246" t="s">
        <v>18820</v>
      </c>
      <c r="B8246" t="s">
        <v>26593</v>
      </c>
      <c r="C8246" t="s">
        <v>26594</v>
      </c>
      <c r="D8246" t="s">
        <v>26595</v>
      </c>
      <c r="E8246" t="s">
        <v>26596</v>
      </c>
      <c r="F8246" t="s">
        <v>26597</v>
      </c>
      <c r="G8246" s="2" t="str">
        <f>HYPERLINK("https://probpalata.gov.ru/files/ЮЛ770100657000001.jpeg","Скачать индивидуальный QR-код магазина")</f>
        <v>Скачать индивидуальный QR-код магазина</v>
      </c>
    </row>
    <row r="8247" spans="1:7" x14ac:dyDescent="0.25">
      <c r="A8247" t="s">
        <v>18820</v>
      </c>
      <c r="B8247" t="s">
        <v>26598</v>
      </c>
      <c r="C8247" t="s">
        <v>26594</v>
      </c>
      <c r="D8247" t="s">
        <v>26595</v>
      </c>
      <c r="E8247" t="s">
        <v>26596</v>
      </c>
      <c r="F8247" t="s">
        <v>26599</v>
      </c>
      <c r="G8247" s="2" t="str">
        <f>HYPERLINK("https://probpalata.gov.ru/files/ЮЛ770100657000002.jpeg","Скачать индивидуальный QR-код магазина")</f>
        <v>Скачать индивидуальный QR-код магазина</v>
      </c>
    </row>
    <row r="8248" spans="1:7" x14ac:dyDescent="0.25">
      <c r="A8248" t="s">
        <v>18820</v>
      </c>
      <c r="B8248" t="s">
        <v>26600</v>
      </c>
      <c r="C8248" t="s">
        <v>26601</v>
      </c>
      <c r="D8248" t="s">
        <v>26602</v>
      </c>
      <c r="E8248" t="s">
        <v>26603</v>
      </c>
      <c r="F8248" t="s">
        <v>26604</v>
      </c>
      <c r="G8248" s="2" t="str">
        <f>HYPERLINK("https://probpalata.gov.ru/files/ЮЛ770101932900000.jpeg","Скачать индивидуальный QR-код магазина")</f>
        <v>Скачать индивидуальный QR-код магазина</v>
      </c>
    </row>
    <row r="8249" spans="1:7" x14ac:dyDescent="0.25">
      <c r="A8249" t="s">
        <v>18820</v>
      </c>
      <c r="B8249" t="s">
        <v>26605</v>
      </c>
      <c r="C8249" t="s">
        <v>26606</v>
      </c>
      <c r="D8249" t="s">
        <v>26607</v>
      </c>
      <c r="E8249" t="s">
        <v>26608</v>
      </c>
      <c r="F8249" t="s">
        <v>26609</v>
      </c>
      <c r="G8249" s="2" t="str">
        <f>HYPERLINK("https://probpalata.gov.ru/files/ЮЛ770103054400003.jpeg","Скачать индивидуальный QR-код магазина")</f>
        <v>Скачать индивидуальный QR-код магазина</v>
      </c>
    </row>
    <row r="8250" spans="1:7" x14ac:dyDescent="0.25">
      <c r="A8250" t="s">
        <v>18820</v>
      </c>
      <c r="B8250" t="s">
        <v>26610</v>
      </c>
      <c r="C8250" t="s">
        <v>26611</v>
      </c>
      <c r="D8250" t="s">
        <v>26612</v>
      </c>
      <c r="E8250" t="s">
        <v>26613</v>
      </c>
      <c r="F8250" t="s">
        <v>26614</v>
      </c>
      <c r="G8250" s="2" t="str">
        <f>HYPERLINK("https://probpalata.gov.ru/files/ЮЛ770103086500000.jpeg","Скачать индивидуальный QR-код магазина")</f>
        <v>Скачать индивидуальный QR-код магазина</v>
      </c>
    </row>
    <row r="8251" spans="1:7" x14ac:dyDescent="0.25">
      <c r="A8251" t="s">
        <v>18820</v>
      </c>
      <c r="B8251" t="s">
        <v>26615</v>
      </c>
      <c r="C8251" t="s">
        <v>26616</v>
      </c>
      <c r="D8251" t="s">
        <v>26617</v>
      </c>
      <c r="E8251" t="s">
        <v>26618</v>
      </c>
      <c r="F8251" t="s">
        <v>26619</v>
      </c>
      <c r="G8251" s="2" t="str">
        <f>HYPERLINK("https://probpalata.gov.ru/files/ЮЛ770103549500003.jpeg","Скачать индивидуальный QR-код магазина")</f>
        <v>Скачать индивидуальный QR-код магазина</v>
      </c>
    </row>
    <row r="8252" spans="1:7" x14ac:dyDescent="0.25">
      <c r="A8252" t="s">
        <v>18820</v>
      </c>
      <c r="B8252" t="s">
        <v>26620</v>
      </c>
      <c r="C8252" t="s">
        <v>26616</v>
      </c>
      <c r="D8252" t="s">
        <v>26617</v>
      </c>
      <c r="E8252" t="s">
        <v>26618</v>
      </c>
      <c r="F8252" t="s">
        <v>26621</v>
      </c>
      <c r="G8252" s="2" t="str">
        <f>HYPERLINK("https://probpalata.gov.ru/files/ЮЛ770103549500005.jpeg","Скачать индивидуальный QR-код магазина")</f>
        <v>Скачать индивидуальный QR-код магазина</v>
      </c>
    </row>
    <row r="8253" spans="1:7" x14ac:dyDescent="0.25">
      <c r="A8253" t="s">
        <v>18820</v>
      </c>
      <c r="B8253" t="s">
        <v>26622</v>
      </c>
      <c r="C8253" t="s">
        <v>26616</v>
      </c>
      <c r="D8253" t="s">
        <v>26617</v>
      </c>
      <c r="E8253" t="s">
        <v>26618</v>
      </c>
      <c r="F8253" t="s">
        <v>26623</v>
      </c>
      <c r="G8253" s="2" t="str">
        <f>HYPERLINK("https://probpalata.gov.ru/files/ЮЛ770103549500006.jpeg","Скачать индивидуальный QR-код магазина")</f>
        <v>Скачать индивидуальный QR-код магазина</v>
      </c>
    </row>
    <row r="8254" spans="1:7" x14ac:dyDescent="0.25">
      <c r="A8254" t="s">
        <v>18820</v>
      </c>
      <c r="B8254" t="s">
        <v>26624</v>
      </c>
      <c r="C8254" t="s">
        <v>26625</v>
      </c>
      <c r="D8254" t="s">
        <v>26626</v>
      </c>
      <c r="E8254" t="s">
        <v>26627</v>
      </c>
      <c r="F8254" t="s">
        <v>26628</v>
      </c>
      <c r="G8254" s="2" t="str">
        <f>HYPERLINK("https://probpalata.gov.ru/files/ЮЛ770103765100000.jpeg","Скачать индивидуальный QR-код магазина")</f>
        <v>Скачать индивидуальный QR-код магазина</v>
      </c>
    </row>
    <row r="8255" spans="1:7" x14ac:dyDescent="0.25">
      <c r="A8255" t="s">
        <v>18820</v>
      </c>
      <c r="B8255" t="s">
        <v>26629</v>
      </c>
      <c r="C8255" t="s">
        <v>26630</v>
      </c>
      <c r="D8255" t="s">
        <v>26631</v>
      </c>
      <c r="E8255" t="s">
        <v>26632</v>
      </c>
      <c r="F8255" t="s">
        <v>26633</v>
      </c>
      <c r="G8255" s="2" t="str">
        <f>HYPERLINK("https://probpalata.gov.ru/files/ЮЛ770103946300000.jpeg","Скачать индивидуальный QR-код магазина")</f>
        <v>Скачать индивидуальный QR-код магазина</v>
      </c>
    </row>
    <row r="8256" spans="1:7" x14ac:dyDescent="0.25">
      <c r="A8256" t="s">
        <v>18820</v>
      </c>
      <c r="B8256" t="s">
        <v>26634</v>
      </c>
      <c r="C8256" t="s">
        <v>26635</v>
      </c>
      <c r="D8256" t="s">
        <v>26636</v>
      </c>
      <c r="E8256" t="s">
        <v>26637</v>
      </c>
      <c r="F8256" t="s">
        <v>26638</v>
      </c>
      <c r="G8256" s="2" t="str">
        <f>HYPERLINK("https://probpalata.gov.ru/files/ЮЛ770100820600000.jpeg","Скачать индивидуальный QR-код магазина")</f>
        <v>Скачать индивидуальный QR-код магазина</v>
      </c>
    </row>
    <row r="8257" spans="1:7" x14ac:dyDescent="0.25">
      <c r="A8257" t="s">
        <v>18820</v>
      </c>
      <c r="B8257" t="s">
        <v>26639</v>
      </c>
      <c r="C8257" t="s">
        <v>26635</v>
      </c>
      <c r="D8257" t="s">
        <v>26636</v>
      </c>
      <c r="E8257" t="s">
        <v>26637</v>
      </c>
      <c r="F8257" t="s">
        <v>26640</v>
      </c>
      <c r="G8257" s="2" t="str">
        <f>HYPERLINK("https://probpalata.gov.ru/files/ЮЛ770100820600001.jpeg","Скачать индивидуальный QR-код магазина")</f>
        <v>Скачать индивидуальный QR-код магазина</v>
      </c>
    </row>
    <row r="8258" spans="1:7" x14ac:dyDescent="0.25">
      <c r="A8258" t="s">
        <v>18820</v>
      </c>
      <c r="B8258" t="s">
        <v>26641</v>
      </c>
      <c r="C8258" t="s">
        <v>26635</v>
      </c>
      <c r="D8258" t="s">
        <v>26636</v>
      </c>
      <c r="E8258" t="s">
        <v>26637</v>
      </c>
      <c r="F8258" t="s">
        <v>26642</v>
      </c>
      <c r="G8258" s="2" t="str">
        <f>HYPERLINK("https://probpalata.gov.ru/files/ЮЛ770100820600002.jpeg","Скачать индивидуальный QR-код магазина")</f>
        <v>Скачать индивидуальный QR-код магазина</v>
      </c>
    </row>
    <row r="8259" spans="1:7" x14ac:dyDescent="0.25">
      <c r="A8259" t="s">
        <v>18820</v>
      </c>
      <c r="B8259" t="s">
        <v>26643</v>
      </c>
      <c r="C8259" t="s">
        <v>26635</v>
      </c>
      <c r="D8259" t="s">
        <v>26636</v>
      </c>
      <c r="E8259" t="s">
        <v>26637</v>
      </c>
      <c r="F8259" t="s">
        <v>26644</v>
      </c>
      <c r="G8259" s="2" t="str">
        <f>HYPERLINK("https://probpalata.gov.ru/files/ЮЛ770100820600003.jpeg","Скачать индивидуальный QR-код магазина")</f>
        <v>Скачать индивидуальный QR-код магазина</v>
      </c>
    </row>
    <row r="8260" spans="1:7" x14ac:dyDescent="0.25">
      <c r="A8260" t="s">
        <v>18820</v>
      </c>
      <c r="B8260" t="s">
        <v>26645</v>
      </c>
      <c r="C8260" t="s">
        <v>26646</v>
      </c>
      <c r="D8260" t="s">
        <v>26647</v>
      </c>
      <c r="E8260" t="s">
        <v>26648</v>
      </c>
      <c r="F8260" t="s">
        <v>26649</v>
      </c>
      <c r="G8260" s="2" t="str">
        <f>HYPERLINK("https://probpalata.gov.ru/files/ЮЛ770100326000000.jpeg","Скачать индивидуальный QR-код магазина")</f>
        <v>Скачать индивидуальный QR-код магазина</v>
      </c>
    </row>
    <row r="8261" spans="1:7" x14ac:dyDescent="0.25">
      <c r="A8261" t="s">
        <v>18820</v>
      </c>
      <c r="B8261" t="s">
        <v>26650</v>
      </c>
      <c r="C8261" t="s">
        <v>26651</v>
      </c>
      <c r="D8261" t="s">
        <v>26652</v>
      </c>
      <c r="E8261" t="s">
        <v>26653</v>
      </c>
      <c r="F8261" t="s">
        <v>26654</v>
      </c>
      <c r="G8261" s="2" t="str">
        <f>HYPERLINK("https://probpalata.gov.ru/files/ЮЛ770101972200000.jpeg","Скачать индивидуальный QR-код магазина")</f>
        <v>Скачать индивидуальный QR-код магазина</v>
      </c>
    </row>
    <row r="8262" spans="1:7" x14ac:dyDescent="0.25">
      <c r="A8262" t="s">
        <v>18820</v>
      </c>
      <c r="B8262" t="s">
        <v>26655</v>
      </c>
      <c r="C8262" t="s">
        <v>26656</v>
      </c>
      <c r="D8262" t="s">
        <v>26657</v>
      </c>
      <c r="E8262" t="s">
        <v>26658</v>
      </c>
      <c r="F8262" t="s">
        <v>26659</v>
      </c>
      <c r="G8262" s="2" t="str">
        <f>HYPERLINK("https://probpalata.gov.ru/files/ЮЛ770103229100000.jpeg","Скачать индивидуальный QR-код магазина")</f>
        <v>Скачать индивидуальный QR-код магазина</v>
      </c>
    </row>
    <row r="8263" spans="1:7" x14ac:dyDescent="0.25">
      <c r="A8263" t="s">
        <v>18820</v>
      </c>
      <c r="B8263" t="s">
        <v>26660</v>
      </c>
      <c r="C8263" t="s">
        <v>26661</v>
      </c>
      <c r="D8263" t="s">
        <v>26662</v>
      </c>
      <c r="E8263" t="s">
        <v>26663</v>
      </c>
      <c r="F8263" t="s">
        <v>26664</v>
      </c>
      <c r="G8263" s="2" t="str">
        <f>HYPERLINK("https://probpalata.gov.ru/files/ЮЛ770103206400000.jpeg","Скачать индивидуальный QR-код магазина")</f>
        <v>Скачать индивидуальный QR-код магазина</v>
      </c>
    </row>
    <row r="8264" spans="1:7" x14ac:dyDescent="0.25">
      <c r="A8264" t="s">
        <v>18820</v>
      </c>
      <c r="B8264" t="s">
        <v>26665</v>
      </c>
      <c r="C8264" t="s">
        <v>26666</v>
      </c>
      <c r="D8264" t="s">
        <v>26667</v>
      </c>
      <c r="E8264" t="s">
        <v>26668</v>
      </c>
      <c r="F8264" t="s">
        <v>26669</v>
      </c>
      <c r="G8264" s="2" t="str">
        <f>HYPERLINK("https://probpalata.gov.ru/files/ЮЛ770103262900000.jpeg","Скачать индивидуальный QR-код магазина")</f>
        <v>Скачать индивидуальный QR-код магазина</v>
      </c>
    </row>
    <row r="8265" spans="1:7" x14ac:dyDescent="0.25">
      <c r="A8265" t="s">
        <v>18820</v>
      </c>
      <c r="B8265" t="s">
        <v>22114</v>
      </c>
      <c r="C8265" t="s">
        <v>26670</v>
      </c>
      <c r="D8265" t="s">
        <v>26671</v>
      </c>
      <c r="E8265" t="s">
        <v>26672</v>
      </c>
      <c r="F8265" t="s">
        <v>26673</v>
      </c>
      <c r="G8265" s="2" t="str">
        <f>HYPERLINK("https://probpalata.gov.ru/files/ЮЛ770103568000000.jpeg","Скачать индивидуальный QR-код магазина")</f>
        <v>Скачать индивидуальный QR-код магазина</v>
      </c>
    </row>
    <row r="8266" spans="1:7" x14ac:dyDescent="0.25">
      <c r="A8266" t="s">
        <v>18820</v>
      </c>
      <c r="B8266" t="s">
        <v>26674</v>
      </c>
      <c r="C8266" t="s">
        <v>26675</v>
      </c>
      <c r="D8266" t="s">
        <v>26676</v>
      </c>
      <c r="E8266" t="s">
        <v>26677</v>
      </c>
      <c r="F8266" t="s">
        <v>26678</v>
      </c>
      <c r="G8266" s="2" t="str">
        <f>HYPERLINK("https://probpalata.gov.ru/files/ЮЛ770103550400000.jpeg","Скачать индивидуальный QR-код магазина")</f>
        <v>Скачать индивидуальный QR-код магазина</v>
      </c>
    </row>
    <row r="8267" spans="1:7" x14ac:dyDescent="0.25">
      <c r="A8267" t="s">
        <v>18820</v>
      </c>
      <c r="B8267" t="s">
        <v>26679</v>
      </c>
      <c r="C8267" t="s">
        <v>26680</v>
      </c>
      <c r="D8267" t="s">
        <v>26681</v>
      </c>
      <c r="E8267" t="s">
        <v>26682</v>
      </c>
      <c r="F8267" t="s">
        <v>26683</v>
      </c>
      <c r="G8267" s="2" t="str">
        <f>HYPERLINK("https://probpalata.gov.ru/files/ЮЛ770103780300000.jpeg","Скачать индивидуальный QR-код магазина")</f>
        <v>Скачать индивидуальный QR-код магазина</v>
      </c>
    </row>
    <row r="8268" spans="1:7" x14ac:dyDescent="0.25">
      <c r="A8268" t="s">
        <v>18820</v>
      </c>
      <c r="B8268" t="s">
        <v>26684</v>
      </c>
      <c r="C8268" t="s">
        <v>26685</v>
      </c>
      <c r="D8268" t="s">
        <v>26686</v>
      </c>
      <c r="E8268" t="s">
        <v>26687</v>
      </c>
      <c r="F8268" t="s">
        <v>26688</v>
      </c>
      <c r="G8268" s="2" t="str">
        <f>HYPERLINK("https://probpalata.gov.ru/files/ЮЛ770103851500000.jpeg","Скачать индивидуальный QR-код магазина")</f>
        <v>Скачать индивидуальный QR-код магазина</v>
      </c>
    </row>
    <row r="8269" spans="1:7" x14ac:dyDescent="0.25">
      <c r="A8269" t="s">
        <v>18820</v>
      </c>
      <c r="B8269" t="s">
        <v>26689</v>
      </c>
      <c r="C8269" t="s">
        <v>26690</v>
      </c>
      <c r="D8269" t="s">
        <v>26691</v>
      </c>
      <c r="E8269" t="s">
        <v>26692</v>
      </c>
      <c r="F8269" t="s">
        <v>26693</v>
      </c>
      <c r="G8269" s="2" t="str">
        <f>HYPERLINK("https://probpalata.gov.ru/files/ЮЛ770104056700000.jpeg","Скачать индивидуальный QR-код магазина")</f>
        <v>Скачать индивидуальный QR-код магазина</v>
      </c>
    </row>
    <row r="8270" spans="1:7" x14ac:dyDescent="0.25">
      <c r="A8270" t="s">
        <v>18820</v>
      </c>
      <c r="B8270" t="s">
        <v>26694</v>
      </c>
      <c r="C8270" t="s">
        <v>26695</v>
      </c>
      <c r="D8270" t="s">
        <v>26696</v>
      </c>
      <c r="E8270" t="s">
        <v>26697</v>
      </c>
      <c r="F8270" t="s">
        <v>26698</v>
      </c>
      <c r="G8270" s="2" t="str">
        <f>HYPERLINK("https://probpalata.gov.ru/files/ЮЛ770103226000000.jpeg","Скачать индивидуальный QR-код магазина")</f>
        <v>Скачать индивидуальный QR-код магазина</v>
      </c>
    </row>
    <row r="8271" spans="1:7" x14ac:dyDescent="0.25">
      <c r="A8271" t="s">
        <v>18820</v>
      </c>
      <c r="B8271" t="s">
        <v>26699</v>
      </c>
      <c r="C8271" t="s">
        <v>26695</v>
      </c>
      <c r="D8271" t="s">
        <v>26696</v>
      </c>
      <c r="E8271" t="s">
        <v>26697</v>
      </c>
      <c r="F8271" t="s">
        <v>26700</v>
      </c>
      <c r="G8271" s="2" t="str">
        <f>HYPERLINK("https://probpalata.gov.ru/files/ЮЛ770103226000001.jpeg","Скачать индивидуальный QR-код магазина")</f>
        <v>Скачать индивидуальный QR-код магазина</v>
      </c>
    </row>
    <row r="8272" spans="1:7" x14ac:dyDescent="0.25">
      <c r="A8272" t="s">
        <v>18820</v>
      </c>
      <c r="B8272" t="s">
        <v>26701</v>
      </c>
      <c r="C8272" t="s">
        <v>26702</v>
      </c>
      <c r="D8272" t="s">
        <v>26703</v>
      </c>
      <c r="E8272" t="s">
        <v>26704</v>
      </c>
      <c r="F8272" t="s">
        <v>26705</v>
      </c>
      <c r="G8272" s="2" t="str">
        <f>HYPERLINK("https://probpalata.gov.ru/files/ЮЛ770103375600000.jpeg","Скачать индивидуальный QR-код магазина")</f>
        <v>Скачать индивидуальный QR-код магазина</v>
      </c>
    </row>
    <row r="8273" spans="1:7" x14ac:dyDescent="0.25">
      <c r="A8273" t="s">
        <v>18820</v>
      </c>
      <c r="B8273" t="s">
        <v>26706</v>
      </c>
      <c r="C8273" t="s">
        <v>26707</v>
      </c>
      <c r="D8273" t="s">
        <v>26708</v>
      </c>
      <c r="E8273" t="s">
        <v>26709</v>
      </c>
      <c r="F8273" t="s">
        <v>26710</v>
      </c>
      <c r="G8273" s="2" t="str">
        <f>HYPERLINK("https://probpalata.gov.ru/files/ЮЛ770103575100000.jpeg","Скачать индивидуальный QR-код магазина")</f>
        <v>Скачать индивидуальный QR-код магазина</v>
      </c>
    </row>
    <row r="8274" spans="1:7" x14ac:dyDescent="0.25">
      <c r="A8274" t="s">
        <v>18820</v>
      </c>
      <c r="B8274" t="s">
        <v>26711</v>
      </c>
      <c r="C8274" t="s">
        <v>26712</v>
      </c>
      <c r="D8274" t="s">
        <v>26713</v>
      </c>
      <c r="E8274" t="s">
        <v>26714</v>
      </c>
      <c r="F8274" t="s">
        <v>26715</v>
      </c>
      <c r="G8274" s="2" t="str">
        <f>HYPERLINK("https://probpalata.gov.ru/files/ЮЛ770103956300000.jpeg","Скачать индивидуальный QR-код магазина")</f>
        <v>Скачать индивидуальный QR-код магазина</v>
      </c>
    </row>
    <row r="8275" spans="1:7" x14ac:dyDescent="0.25">
      <c r="A8275" t="s">
        <v>18820</v>
      </c>
      <c r="B8275" t="s">
        <v>26716</v>
      </c>
      <c r="C8275" t="s">
        <v>26717</v>
      </c>
      <c r="D8275" t="s">
        <v>26718</v>
      </c>
      <c r="E8275" t="s">
        <v>26719</v>
      </c>
      <c r="F8275" t="s">
        <v>26720</v>
      </c>
      <c r="G8275" s="2" t="str">
        <f>HYPERLINK("https://probpalata.gov.ru/files/ИП770100385700000.jpeg","Скачать индивидуальный QR-код магазина")</f>
        <v>Скачать индивидуальный QR-код магазина</v>
      </c>
    </row>
    <row r="8276" spans="1:7" x14ac:dyDescent="0.25">
      <c r="A8276" t="s">
        <v>18820</v>
      </c>
      <c r="B8276" t="s">
        <v>26721</v>
      </c>
      <c r="C8276" t="s">
        <v>15618</v>
      </c>
      <c r="D8276" t="s">
        <v>15619</v>
      </c>
      <c r="E8276" t="s">
        <v>15620</v>
      </c>
      <c r="F8276" t="s">
        <v>26722</v>
      </c>
      <c r="G8276" s="2" t="str">
        <f>HYPERLINK("https://probpalata.gov.ru/files/ЮЛ770103502400010.jpeg","Скачать индивидуальный QR-код магазина")</f>
        <v>Скачать индивидуальный QR-код магазина</v>
      </c>
    </row>
    <row r="8277" spans="1:7" x14ac:dyDescent="0.25">
      <c r="A8277" t="s">
        <v>18820</v>
      </c>
      <c r="B8277" t="s">
        <v>23333</v>
      </c>
      <c r="C8277" t="s">
        <v>15618</v>
      </c>
      <c r="D8277" t="s">
        <v>15619</v>
      </c>
      <c r="E8277" t="s">
        <v>15620</v>
      </c>
      <c r="F8277" t="s">
        <v>26723</v>
      </c>
      <c r="G8277" s="2" t="str">
        <f>HYPERLINK("https://probpalata.gov.ru/files/ЮЛ770103502400015.jpeg","Скачать индивидуальный QR-код магазина")</f>
        <v>Скачать индивидуальный QR-код магазина</v>
      </c>
    </row>
    <row r="8278" spans="1:7" x14ac:dyDescent="0.25">
      <c r="A8278" t="s">
        <v>18820</v>
      </c>
      <c r="B8278" t="s">
        <v>26724</v>
      </c>
      <c r="C8278" t="s">
        <v>26725</v>
      </c>
      <c r="D8278" t="s">
        <v>26726</v>
      </c>
      <c r="E8278" t="s">
        <v>26727</v>
      </c>
      <c r="F8278" t="s">
        <v>26728</v>
      </c>
      <c r="G8278" s="2" t="str">
        <f>HYPERLINK("https://probpalata.gov.ru/files/ЮЛ770103544700000.jpeg","Скачать индивидуальный QR-код магазина")</f>
        <v>Скачать индивидуальный QR-код магазина</v>
      </c>
    </row>
    <row r="8279" spans="1:7" x14ac:dyDescent="0.25">
      <c r="A8279" t="s">
        <v>18820</v>
      </c>
      <c r="B8279" t="s">
        <v>26729</v>
      </c>
      <c r="C8279" t="s">
        <v>26730</v>
      </c>
      <c r="D8279" t="s">
        <v>26731</v>
      </c>
      <c r="E8279" t="s">
        <v>26732</v>
      </c>
      <c r="F8279" t="s">
        <v>26733</v>
      </c>
      <c r="G8279" s="2" t="str">
        <f>HYPERLINK("https://probpalata.gov.ru/files/ИП770100760700000.jpeg","Скачать индивидуальный QR-код магазина")</f>
        <v>Скачать индивидуальный QR-код магазина</v>
      </c>
    </row>
    <row r="8280" spans="1:7" x14ac:dyDescent="0.25">
      <c r="A8280" t="s">
        <v>18820</v>
      </c>
      <c r="B8280" t="s">
        <v>26734</v>
      </c>
      <c r="C8280" t="s">
        <v>26735</v>
      </c>
      <c r="D8280" t="s">
        <v>26736</v>
      </c>
      <c r="E8280" t="s">
        <v>26737</v>
      </c>
      <c r="F8280" t="s">
        <v>26738</v>
      </c>
      <c r="G8280" s="2" t="str">
        <f>HYPERLINK("https://probpalata.gov.ru/files/ИП770104103100000.jpeg","Скачать индивидуальный QR-код магазина")</f>
        <v>Скачать индивидуальный QR-код магазина</v>
      </c>
    </row>
    <row r="8281" spans="1:7" x14ac:dyDescent="0.25">
      <c r="A8281" t="s">
        <v>18820</v>
      </c>
      <c r="B8281" t="s">
        <v>26739</v>
      </c>
      <c r="C8281" t="s">
        <v>26740</v>
      </c>
      <c r="D8281" t="s">
        <v>26741</v>
      </c>
      <c r="E8281" t="s">
        <v>26742</v>
      </c>
      <c r="F8281" t="s">
        <v>26743</v>
      </c>
      <c r="G8281" s="2" t="str">
        <f>HYPERLINK("https://probpalata.gov.ru/files/ЮЛ770101283100000.jpeg","Скачать индивидуальный QR-код магазина")</f>
        <v>Скачать индивидуальный QR-код магазина</v>
      </c>
    </row>
    <row r="8282" spans="1:7" x14ac:dyDescent="0.25">
      <c r="A8282" t="s">
        <v>18820</v>
      </c>
      <c r="B8282" t="s">
        <v>26744</v>
      </c>
      <c r="C8282" t="s">
        <v>26745</v>
      </c>
      <c r="D8282" t="s">
        <v>26746</v>
      </c>
      <c r="E8282" t="s">
        <v>26747</v>
      </c>
      <c r="F8282" t="s">
        <v>26748</v>
      </c>
      <c r="G8282" s="2" t="str">
        <f>HYPERLINK("https://probpalata.gov.ru/files/ЮЛ770101257700000.jpeg","Скачать индивидуальный QR-код магазина")</f>
        <v>Скачать индивидуальный QR-код магазина</v>
      </c>
    </row>
    <row r="8283" spans="1:7" x14ac:dyDescent="0.25">
      <c r="A8283" t="s">
        <v>18820</v>
      </c>
      <c r="B8283" t="s">
        <v>26749</v>
      </c>
      <c r="C8283" t="s">
        <v>26750</v>
      </c>
      <c r="D8283" t="s">
        <v>26751</v>
      </c>
      <c r="E8283" t="s">
        <v>26752</v>
      </c>
      <c r="F8283" t="s">
        <v>26753</v>
      </c>
      <c r="G8283" s="2" t="str">
        <f>HYPERLINK("https://probpalata.gov.ru/files/ЮЛ770100814600000.jpeg","Скачать индивидуальный QR-код магазина")</f>
        <v>Скачать индивидуальный QR-код магазина</v>
      </c>
    </row>
    <row r="8284" spans="1:7" x14ac:dyDescent="0.25">
      <c r="A8284" t="s">
        <v>18820</v>
      </c>
      <c r="B8284" t="s">
        <v>26754</v>
      </c>
      <c r="C8284" t="s">
        <v>26755</v>
      </c>
      <c r="D8284" t="s">
        <v>26756</v>
      </c>
      <c r="E8284" t="s">
        <v>26757</v>
      </c>
      <c r="F8284" t="s">
        <v>26758</v>
      </c>
      <c r="G8284" s="2" t="str">
        <f>HYPERLINK("https://probpalata.gov.ru/files/ЮЛ770103296600000.jpeg","Скачать индивидуальный QR-код магазина")</f>
        <v>Скачать индивидуальный QR-код магазина</v>
      </c>
    </row>
    <row r="8285" spans="1:7" x14ac:dyDescent="0.25">
      <c r="A8285" t="s">
        <v>18820</v>
      </c>
      <c r="B8285" t="s">
        <v>26759</v>
      </c>
      <c r="C8285" t="s">
        <v>26755</v>
      </c>
      <c r="D8285" t="s">
        <v>26756</v>
      </c>
      <c r="E8285" t="s">
        <v>26757</v>
      </c>
      <c r="F8285" t="s">
        <v>26760</v>
      </c>
      <c r="G8285" s="2" t="str">
        <f>HYPERLINK("https://probpalata.gov.ru/files/ЮЛ770103296600001.jpeg","Скачать индивидуальный QR-код магазина")</f>
        <v>Скачать индивидуальный QR-код магазина</v>
      </c>
    </row>
    <row r="8286" spans="1:7" x14ac:dyDescent="0.25">
      <c r="A8286" t="s">
        <v>18820</v>
      </c>
      <c r="B8286" t="s">
        <v>26761</v>
      </c>
      <c r="C8286" t="s">
        <v>26755</v>
      </c>
      <c r="D8286" t="s">
        <v>26756</v>
      </c>
      <c r="E8286" t="s">
        <v>26757</v>
      </c>
      <c r="F8286" t="s">
        <v>26762</v>
      </c>
      <c r="G8286" s="2" t="str">
        <f>HYPERLINK("https://probpalata.gov.ru/files/ЮЛ770103296600002.jpeg","Скачать индивидуальный QR-код магазина")</f>
        <v>Скачать индивидуальный QR-код магазина</v>
      </c>
    </row>
    <row r="8287" spans="1:7" x14ac:dyDescent="0.25">
      <c r="A8287" t="s">
        <v>18820</v>
      </c>
      <c r="B8287" t="s">
        <v>26763</v>
      </c>
      <c r="C8287" t="s">
        <v>26764</v>
      </c>
      <c r="D8287" t="s">
        <v>26765</v>
      </c>
      <c r="E8287" t="s">
        <v>26766</v>
      </c>
      <c r="F8287" t="s">
        <v>26767</v>
      </c>
      <c r="G8287" s="2" t="str">
        <f>HYPERLINK("https://probpalata.gov.ru/files/ЮЛ770101971700000.jpeg","Скачать индивидуальный QR-код магазина")</f>
        <v>Скачать индивидуальный QR-код магазина</v>
      </c>
    </row>
    <row r="8288" spans="1:7" x14ac:dyDescent="0.25">
      <c r="A8288" t="s">
        <v>18820</v>
      </c>
      <c r="B8288" t="s">
        <v>26768</v>
      </c>
      <c r="C8288" t="s">
        <v>26769</v>
      </c>
      <c r="D8288" t="s">
        <v>26770</v>
      </c>
      <c r="E8288" t="s">
        <v>26771</v>
      </c>
      <c r="F8288" t="s">
        <v>26772</v>
      </c>
      <c r="G8288" s="2" t="str">
        <f>HYPERLINK("https://probpalata.gov.ru/files/ЮЛ770103355300000.jpeg","Скачать индивидуальный QR-код магазина")</f>
        <v>Скачать индивидуальный QR-код магазина</v>
      </c>
    </row>
    <row r="8289" spans="1:7" x14ac:dyDescent="0.25">
      <c r="A8289" t="s">
        <v>18820</v>
      </c>
      <c r="B8289" t="s">
        <v>26773</v>
      </c>
      <c r="C8289" t="s">
        <v>26769</v>
      </c>
      <c r="D8289" t="s">
        <v>26770</v>
      </c>
      <c r="E8289" t="s">
        <v>26771</v>
      </c>
      <c r="F8289" t="s">
        <v>26774</v>
      </c>
      <c r="G8289" s="2" t="str">
        <f>HYPERLINK("https://probpalata.gov.ru/files/ЮЛ770103355300004.jpeg","Скачать индивидуальный QR-код магазина")</f>
        <v>Скачать индивидуальный QR-код магазина</v>
      </c>
    </row>
    <row r="8290" spans="1:7" x14ac:dyDescent="0.25">
      <c r="A8290" t="s">
        <v>18820</v>
      </c>
      <c r="B8290" t="s">
        <v>26775</v>
      </c>
      <c r="C8290" t="s">
        <v>10096</v>
      </c>
      <c r="D8290" t="s">
        <v>26776</v>
      </c>
      <c r="E8290" t="s">
        <v>26777</v>
      </c>
      <c r="F8290" t="s">
        <v>26778</v>
      </c>
      <c r="G8290" s="2" t="str">
        <f>HYPERLINK("https://probpalata.gov.ru/files/ЮЛ770103503100000.jpeg","Скачать индивидуальный QR-код магазина")</f>
        <v>Скачать индивидуальный QR-код магазина</v>
      </c>
    </row>
    <row r="8291" spans="1:7" x14ac:dyDescent="0.25">
      <c r="A8291" t="s">
        <v>18820</v>
      </c>
      <c r="B8291" t="s">
        <v>26779</v>
      </c>
      <c r="C8291" t="s">
        <v>15623</v>
      </c>
      <c r="D8291" t="s">
        <v>15624</v>
      </c>
      <c r="E8291" t="s">
        <v>15625</v>
      </c>
      <c r="F8291" t="s">
        <v>26780</v>
      </c>
      <c r="G8291" s="2" t="str">
        <f>HYPERLINK("https://probpalata.gov.ru/files/ЮЛ770103641400000.jpeg","Скачать индивидуальный QR-код магазина")</f>
        <v>Скачать индивидуальный QR-код магазина</v>
      </c>
    </row>
    <row r="8292" spans="1:7" x14ac:dyDescent="0.25">
      <c r="A8292" t="s">
        <v>18820</v>
      </c>
      <c r="B8292" t="s">
        <v>26781</v>
      </c>
      <c r="C8292" t="s">
        <v>26782</v>
      </c>
      <c r="D8292" t="s">
        <v>26783</v>
      </c>
      <c r="E8292" t="s">
        <v>26784</v>
      </c>
      <c r="F8292" t="s">
        <v>26785</v>
      </c>
      <c r="G8292" s="2" t="str">
        <f>HYPERLINK("https://probpalata.gov.ru/files/ЮЛ770103823100001.jpeg","Скачать индивидуальный QR-код магазина")</f>
        <v>Скачать индивидуальный QR-код магазина</v>
      </c>
    </row>
    <row r="8293" spans="1:7" x14ac:dyDescent="0.25">
      <c r="A8293" t="s">
        <v>18820</v>
      </c>
      <c r="B8293" t="s">
        <v>26786</v>
      </c>
      <c r="C8293" t="s">
        <v>26787</v>
      </c>
      <c r="D8293" t="s">
        <v>26788</v>
      </c>
      <c r="E8293" t="s">
        <v>26789</v>
      </c>
      <c r="F8293" t="s">
        <v>26790</v>
      </c>
      <c r="G8293" s="2" t="str">
        <f>HYPERLINK("https://probpalata.gov.ru/files/ЮЛ770103908100000.jpeg","Скачать индивидуальный QR-код магазина")</f>
        <v>Скачать индивидуальный QR-код магазина</v>
      </c>
    </row>
    <row r="8294" spans="1:7" x14ac:dyDescent="0.25">
      <c r="A8294" t="s">
        <v>18820</v>
      </c>
      <c r="B8294" t="s">
        <v>26791</v>
      </c>
      <c r="C8294" t="s">
        <v>26792</v>
      </c>
      <c r="D8294" t="s">
        <v>26793</v>
      </c>
      <c r="E8294" t="s">
        <v>26794</v>
      </c>
      <c r="F8294" t="s">
        <v>26795</v>
      </c>
      <c r="G8294" s="2" t="str">
        <f>HYPERLINK("https://probpalata.gov.ru/files/ИП770103939900000.jpeg","Скачать индивидуальный QR-код магазина")</f>
        <v>Скачать индивидуальный QR-код магазина</v>
      </c>
    </row>
    <row r="8295" spans="1:7" x14ac:dyDescent="0.25">
      <c r="A8295" t="s">
        <v>18820</v>
      </c>
      <c r="B8295" t="s">
        <v>26796</v>
      </c>
      <c r="C8295" t="s">
        <v>26797</v>
      </c>
      <c r="D8295" t="s">
        <v>26798</v>
      </c>
      <c r="E8295" t="s">
        <v>26799</v>
      </c>
      <c r="F8295" t="s">
        <v>26800</v>
      </c>
      <c r="G8295" s="2" t="str">
        <f>HYPERLINK("https://probpalata.gov.ru/files/ЮЛ770100710200000.jpeg","Скачать индивидуальный QR-код магазина")</f>
        <v>Скачать индивидуальный QR-код магазина</v>
      </c>
    </row>
    <row r="8296" spans="1:7" x14ac:dyDescent="0.25">
      <c r="A8296" t="s">
        <v>18820</v>
      </c>
      <c r="B8296" t="s">
        <v>26801</v>
      </c>
      <c r="C8296" t="s">
        <v>26797</v>
      </c>
      <c r="D8296" t="s">
        <v>26798</v>
      </c>
      <c r="E8296" t="s">
        <v>26799</v>
      </c>
      <c r="F8296" t="s">
        <v>26802</v>
      </c>
      <c r="G8296" s="2" t="str">
        <f>HYPERLINK("https://probpalata.gov.ru/files/ЮЛ770100710200001.jpeg","Скачать индивидуальный QR-код магазина")</f>
        <v>Скачать индивидуальный QR-код магазина</v>
      </c>
    </row>
    <row r="8297" spans="1:7" x14ac:dyDescent="0.25">
      <c r="A8297" t="s">
        <v>18820</v>
      </c>
      <c r="B8297" t="s">
        <v>26803</v>
      </c>
      <c r="C8297" t="s">
        <v>26797</v>
      </c>
      <c r="D8297" t="s">
        <v>26798</v>
      </c>
      <c r="E8297" t="s">
        <v>26799</v>
      </c>
      <c r="F8297" t="s">
        <v>26804</v>
      </c>
      <c r="G8297" s="2" t="str">
        <f>HYPERLINK("https://probpalata.gov.ru/files/ЮЛ770100710200002.jpeg","Скачать индивидуальный QR-код магазина")</f>
        <v>Скачать индивидуальный QR-код магазина</v>
      </c>
    </row>
    <row r="8298" spans="1:7" x14ac:dyDescent="0.25">
      <c r="A8298" t="s">
        <v>18820</v>
      </c>
      <c r="B8298" t="s">
        <v>26805</v>
      </c>
      <c r="C8298" t="s">
        <v>26806</v>
      </c>
      <c r="D8298" t="s">
        <v>26807</v>
      </c>
      <c r="E8298" t="s">
        <v>26808</v>
      </c>
      <c r="F8298" t="s">
        <v>26809</v>
      </c>
      <c r="G8298" s="2" t="str">
        <f>HYPERLINK("https://probpalata.gov.ru/files/ЮЛ770100712400001.jpeg","Скачать индивидуальный QR-код магазина")</f>
        <v>Скачать индивидуальный QR-код магазина</v>
      </c>
    </row>
    <row r="8299" spans="1:7" x14ac:dyDescent="0.25">
      <c r="A8299" t="s">
        <v>18820</v>
      </c>
      <c r="B8299" t="s">
        <v>26810</v>
      </c>
      <c r="C8299" t="s">
        <v>26806</v>
      </c>
      <c r="D8299" t="s">
        <v>26807</v>
      </c>
      <c r="E8299" t="s">
        <v>26808</v>
      </c>
      <c r="F8299" t="s">
        <v>26811</v>
      </c>
      <c r="G8299" s="2" t="str">
        <f>HYPERLINK("https://probpalata.gov.ru/files/ЮЛ770100712400002.jpeg","Скачать индивидуальный QR-код магазина")</f>
        <v>Скачать индивидуальный QR-код магазина</v>
      </c>
    </row>
    <row r="8300" spans="1:7" x14ac:dyDescent="0.25">
      <c r="A8300" t="s">
        <v>18820</v>
      </c>
      <c r="B8300" t="s">
        <v>26812</v>
      </c>
      <c r="C8300" t="s">
        <v>26813</v>
      </c>
      <c r="D8300" t="s">
        <v>26814</v>
      </c>
      <c r="E8300" t="s">
        <v>26815</v>
      </c>
      <c r="F8300" t="s">
        <v>26816</v>
      </c>
      <c r="G8300" s="2" t="str">
        <f>HYPERLINK("https://probpalata.gov.ru/files/ЮЛ770101743800000.jpeg","Скачать индивидуальный QR-код магазина")</f>
        <v>Скачать индивидуальный QR-код магазина</v>
      </c>
    </row>
    <row r="8301" spans="1:7" x14ac:dyDescent="0.25">
      <c r="A8301" t="s">
        <v>18820</v>
      </c>
      <c r="B8301" t="s">
        <v>26817</v>
      </c>
      <c r="C8301" t="s">
        <v>26818</v>
      </c>
      <c r="D8301" t="s">
        <v>26819</v>
      </c>
      <c r="E8301" t="s">
        <v>26820</v>
      </c>
      <c r="F8301" t="s">
        <v>26821</v>
      </c>
      <c r="G8301" s="2" t="str">
        <f>HYPERLINK("https://probpalata.gov.ru/files/ЮЛ770100114200000.jpeg","Скачать индивидуальный QR-код магазина")</f>
        <v>Скачать индивидуальный QR-код магазина</v>
      </c>
    </row>
    <row r="8302" spans="1:7" x14ac:dyDescent="0.25">
      <c r="A8302" t="s">
        <v>18820</v>
      </c>
      <c r="B8302" t="s">
        <v>26822</v>
      </c>
      <c r="C8302" t="s">
        <v>26823</v>
      </c>
      <c r="D8302" t="s">
        <v>26824</v>
      </c>
      <c r="E8302" t="s">
        <v>26825</v>
      </c>
      <c r="F8302" t="s">
        <v>26826</v>
      </c>
      <c r="G8302" s="2" t="str">
        <f>HYPERLINK("https://probpalata.gov.ru/files/ЮЛ770100253300000.jpeg","Скачать индивидуальный QR-код магазина")</f>
        <v>Скачать индивидуальный QR-код магазина</v>
      </c>
    </row>
    <row r="8303" spans="1:7" x14ac:dyDescent="0.25">
      <c r="A8303" t="s">
        <v>18820</v>
      </c>
      <c r="B8303" t="s">
        <v>26827</v>
      </c>
      <c r="C8303" t="s">
        <v>26828</v>
      </c>
      <c r="D8303" t="s">
        <v>26829</v>
      </c>
      <c r="E8303" t="s">
        <v>26830</v>
      </c>
      <c r="F8303" t="s">
        <v>26831</v>
      </c>
      <c r="G8303" s="2" t="str">
        <f>HYPERLINK("https://probpalata.gov.ru/files/ЮЛ770103502000000.jpeg","Скачать индивидуальный QR-код магазина")</f>
        <v>Скачать индивидуальный QR-код магазина</v>
      </c>
    </row>
    <row r="8304" spans="1:7" x14ac:dyDescent="0.25">
      <c r="A8304" t="s">
        <v>18820</v>
      </c>
      <c r="B8304" t="s">
        <v>26832</v>
      </c>
      <c r="C8304" t="s">
        <v>26833</v>
      </c>
      <c r="D8304" t="s">
        <v>26834</v>
      </c>
      <c r="E8304" t="s">
        <v>26835</v>
      </c>
      <c r="F8304" t="s">
        <v>26836</v>
      </c>
      <c r="G8304" s="2" t="str">
        <f>HYPERLINK("https://probpalata.gov.ru/files/ЮЛ770103553300000.jpeg","Скачать индивидуальный QR-код магазина")</f>
        <v>Скачать индивидуальный QR-код магазина</v>
      </c>
    </row>
    <row r="8305" spans="1:7" x14ac:dyDescent="0.25">
      <c r="A8305" t="s">
        <v>18820</v>
      </c>
      <c r="B8305" t="s">
        <v>26837</v>
      </c>
      <c r="C8305" t="s">
        <v>26838</v>
      </c>
      <c r="D8305" t="s">
        <v>26839</v>
      </c>
      <c r="E8305" t="s">
        <v>26840</v>
      </c>
      <c r="F8305" t="s">
        <v>26841</v>
      </c>
      <c r="G8305" s="2" t="str">
        <f>HYPERLINK("https://probpalata.gov.ru/files/ЮЛ770101244900000.jpeg","Скачать индивидуальный QR-код магазина")</f>
        <v>Скачать индивидуальный QR-код магазина</v>
      </c>
    </row>
    <row r="8306" spans="1:7" x14ac:dyDescent="0.25">
      <c r="A8306" t="s">
        <v>18820</v>
      </c>
      <c r="B8306" t="s">
        <v>26842</v>
      </c>
      <c r="C8306" t="s">
        <v>26843</v>
      </c>
      <c r="D8306" t="s">
        <v>26844</v>
      </c>
      <c r="E8306" t="s">
        <v>26845</v>
      </c>
      <c r="F8306" t="s">
        <v>26846</v>
      </c>
      <c r="G8306" s="2" t="str">
        <f>HYPERLINK("https://probpalata.gov.ru/files/ЮЛ770101321400000.jpeg","Скачать индивидуальный QR-код магазина")</f>
        <v>Скачать индивидуальный QR-код магазина</v>
      </c>
    </row>
    <row r="8307" spans="1:7" x14ac:dyDescent="0.25">
      <c r="A8307" t="s">
        <v>18820</v>
      </c>
      <c r="B8307" t="s">
        <v>26847</v>
      </c>
      <c r="C8307" t="s">
        <v>26848</v>
      </c>
      <c r="D8307" t="s">
        <v>26849</v>
      </c>
      <c r="E8307" t="s">
        <v>26850</v>
      </c>
      <c r="F8307" t="s">
        <v>26851</v>
      </c>
      <c r="G8307" s="2" t="str">
        <f>HYPERLINK("https://probpalata.gov.ru/files/ЮЛ770101889600000.jpeg","Скачать индивидуальный QR-код магазина")</f>
        <v>Скачать индивидуальный QR-код магазина</v>
      </c>
    </row>
    <row r="8308" spans="1:7" x14ac:dyDescent="0.25">
      <c r="A8308" t="s">
        <v>18820</v>
      </c>
      <c r="B8308" t="s">
        <v>26852</v>
      </c>
      <c r="C8308" t="s">
        <v>26853</v>
      </c>
      <c r="D8308" t="s">
        <v>26854</v>
      </c>
      <c r="E8308" t="s">
        <v>26855</v>
      </c>
      <c r="F8308" t="s">
        <v>26856</v>
      </c>
      <c r="G8308" s="2" t="str">
        <f>HYPERLINK("https://probpalata.gov.ru/files/ЮЛ770100242600000.jpeg","Скачать индивидуальный QR-код магазина")</f>
        <v>Скачать индивидуальный QR-код магазина</v>
      </c>
    </row>
    <row r="8309" spans="1:7" x14ac:dyDescent="0.25">
      <c r="A8309" t="s">
        <v>18820</v>
      </c>
      <c r="B8309" t="s">
        <v>26857</v>
      </c>
      <c r="C8309" t="s">
        <v>26853</v>
      </c>
      <c r="D8309" t="s">
        <v>26854</v>
      </c>
      <c r="E8309" t="s">
        <v>26855</v>
      </c>
      <c r="F8309" t="s">
        <v>26858</v>
      </c>
      <c r="G8309" s="2" t="str">
        <f>HYPERLINK("https://probpalata.gov.ru/files/ЮЛ770100242600006.jpeg","Скачать индивидуальный QR-код магазина")</f>
        <v>Скачать индивидуальный QR-код магазина</v>
      </c>
    </row>
    <row r="8310" spans="1:7" x14ac:dyDescent="0.25">
      <c r="A8310" t="s">
        <v>18820</v>
      </c>
      <c r="B8310" t="s">
        <v>26859</v>
      </c>
      <c r="C8310" t="s">
        <v>26853</v>
      </c>
      <c r="D8310" t="s">
        <v>26854</v>
      </c>
      <c r="E8310" t="s">
        <v>26855</v>
      </c>
      <c r="F8310" t="s">
        <v>26860</v>
      </c>
      <c r="G8310" s="2" t="str">
        <f>HYPERLINK("https://probpalata.gov.ru/files/ЮЛ770100242600018.jpeg","Скачать индивидуальный QR-код магазина")</f>
        <v>Скачать индивидуальный QR-код магазина</v>
      </c>
    </row>
    <row r="8311" spans="1:7" x14ac:dyDescent="0.25">
      <c r="A8311" t="s">
        <v>18820</v>
      </c>
      <c r="B8311" t="s">
        <v>26861</v>
      </c>
      <c r="C8311" t="s">
        <v>26853</v>
      </c>
      <c r="D8311" t="s">
        <v>26854</v>
      </c>
      <c r="E8311" t="s">
        <v>26855</v>
      </c>
      <c r="F8311" t="s">
        <v>26862</v>
      </c>
      <c r="G8311" s="2" t="str">
        <f>HYPERLINK("https://probpalata.gov.ru/files/ЮЛ770100242600019.jpeg","Скачать индивидуальный QR-код магазина")</f>
        <v>Скачать индивидуальный QR-код магазина</v>
      </c>
    </row>
    <row r="8312" spans="1:7" x14ac:dyDescent="0.25">
      <c r="A8312" t="s">
        <v>18820</v>
      </c>
      <c r="B8312" t="s">
        <v>26863</v>
      </c>
      <c r="C8312" t="s">
        <v>26853</v>
      </c>
      <c r="D8312" t="s">
        <v>26854</v>
      </c>
      <c r="E8312" t="s">
        <v>26855</v>
      </c>
      <c r="F8312" t="s">
        <v>26864</v>
      </c>
      <c r="G8312" s="2" t="str">
        <f>HYPERLINK("https://probpalata.gov.ru/files/ЮЛ770100242600021.jpeg","Скачать индивидуальный QR-код магазина")</f>
        <v>Скачать индивидуальный QR-код магазина</v>
      </c>
    </row>
    <row r="8313" spans="1:7" x14ac:dyDescent="0.25">
      <c r="A8313" t="s">
        <v>18820</v>
      </c>
      <c r="B8313" t="s">
        <v>26865</v>
      </c>
      <c r="C8313" t="s">
        <v>26853</v>
      </c>
      <c r="D8313" t="s">
        <v>26854</v>
      </c>
      <c r="E8313" t="s">
        <v>26855</v>
      </c>
      <c r="F8313" t="s">
        <v>26866</v>
      </c>
      <c r="G8313" s="2" t="str">
        <f>HYPERLINK("https://probpalata.gov.ru/files/ЮЛ770100242600022.jpeg","Скачать индивидуальный QR-код магазина")</f>
        <v>Скачать индивидуальный QR-код магазина</v>
      </c>
    </row>
    <row r="8314" spans="1:7" x14ac:dyDescent="0.25">
      <c r="A8314" t="s">
        <v>18820</v>
      </c>
      <c r="B8314" t="s">
        <v>24571</v>
      </c>
      <c r="C8314" t="s">
        <v>26853</v>
      </c>
      <c r="D8314" t="s">
        <v>26854</v>
      </c>
      <c r="E8314" t="s">
        <v>26855</v>
      </c>
      <c r="F8314" t="s">
        <v>26867</v>
      </c>
      <c r="G8314" s="2" t="str">
        <f>HYPERLINK("https://probpalata.gov.ru/files/ЮЛ770100242600025.jpeg","Скачать индивидуальный QR-код магазина")</f>
        <v>Скачать индивидуальный QR-код магазина</v>
      </c>
    </row>
    <row r="8315" spans="1:7" x14ac:dyDescent="0.25">
      <c r="A8315" t="s">
        <v>18820</v>
      </c>
      <c r="B8315" t="s">
        <v>24575</v>
      </c>
      <c r="C8315" t="s">
        <v>26853</v>
      </c>
      <c r="D8315" t="s">
        <v>26854</v>
      </c>
      <c r="E8315" t="s">
        <v>26855</v>
      </c>
      <c r="F8315" t="s">
        <v>26868</v>
      </c>
      <c r="G8315" s="2" t="str">
        <f>HYPERLINK("https://probpalata.gov.ru/files/ЮЛ770100242600026.jpeg","Скачать индивидуальный QR-код магазина")</f>
        <v>Скачать индивидуальный QR-код магазина</v>
      </c>
    </row>
    <row r="8316" spans="1:7" x14ac:dyDescent="0.25">
      <c r="A8316" t="s">
        <v>18820</v>
      </c>
      <c r="B8316" t="s">
        <v>26869</v>
      </c>
      <c r="C8316" t="s">
        <v>26853</v>
      </c>
      <c r="D8316" t="s">
        <v>26854</v>
      </c>
      <c r="E8316" t="s">
        <v>26855</v>
      </c>
      <c r="F8316" t="s">
        <v>26870</v>
      </c>
      <c r="G8316" s="2" t="str">
        <f>HYPERLINK("https://probpalata.gov.ru/files/ЮЛ770100242600027.jpeg","Скачать индивидуальный QR-код магазина")</f>
        <v>Скачать индивидуальный QR-код магазина</v>
      </c>
    </row>
    <row r="8317" spans="1:7" x14ac:dyDescent="0.25">
      <c r="A8317" t="s">
        <v>18820</v>
      </c>
      <c r="B8317" t="s">
        <v>24569</v>
      </c>
      <c r="C8317" t="s">
        <v>26853</v>
      </c>
      <c r="D8317" t="s">
        <v>26854</v>
      </c>
      <c r="E8317" t="s">
        <v>26855</v>
      </c>
      <c r="F8317" t="s">
        <v>26871</v>
      </c>
      <c r="G8317" s="2" t="str">
        <f>HYPERLINK("https://probpalata.gov.ru/files/ЮЛ770100242600028.jpeg","Скачать индивидуальный QR-код магазина")</f>
        <v>Скачать индивидуальный QR-код магазина</v>
      </c>
    </row>
    <row r="8318" spans="1:7" x14ac:dyDescent="0.25">
      <c r="A8318" t="s">
        <v>18820</v>
      </c>
      <c r="B8318" t="s">
        <v>26872</v>
      </c>
      <c r="C8318" t="s">
        <v>26853</v>
      </c>
      <c r="D8318" t="s">
        <v>26854</v>
      </c>
      <c r="E8318" t="s">
        <v>26855</v>
      </c>
      <c r="F8318" t="s">
        <v>26873</v>
      </c>
      <c r="G8318" s="2" t="str">
        <f>HYPERLINK("https://probpalata.gov.ru/files/ЮЛ770100242600029.jpeg","Скачать индивидуальный QR-код магазина")</f>
        <v>Скачать индивидуальный QR-код магазина</v>
      </c>
    </row>
    <row r="8319" spans="1:7" x14ac:dyDescent="0.25">
      <c r="A8319" t="s">
        <v>18820</v>
      </c>
      <c r="B8319" t="s">
        <v>24591</v>
      </c>
      <c r="C8319" t="s">
        <v>26853</v>
      </c>
      <c r="D8319" t="s">
        <v>26854</v>
      </c>
      <c r="E8319" t="s">
        <v>26855</v>
      </c>
      <c r="F8319" t="s">
        <v>26874</v>
      </c>
      <c r="G8319" s="2" t="str">
        <f>HYPERLINK("https://probpalata.gov.ru/files/ЮЛ770100242600034.jpeg","Скачать индивидуальный QR-код магазина")</f>
        <v>Скачать индивидуальный QR-код магазина</v>
      </c>
    </row>
    <row r="8320" spans="1:7" x14ac:dyDescent="0.25">
      <c r="A8320" t="s">
        <v>18820</v>
      </c>
      <c r="B8320" t="s">
        <v>26875</v>
      </c>
      <c r="C8320" t="s">
        <v>26853</v>
      </c>
      <c r="D8320" t="s">
        <v>26854</v>
      </c>
      <c r="E8320" t="s">
        <v>26855</v>
      </c>
      <c r="F8320" t="s">
        <v>26876</v>
      </c>
      <c r="G8320" s="2" t="str">
        <f>HYPERLINK("https://probpalata.gov.ru/files/ЮЛ770100242600036.jpeg","Скачать индивидуальный QR-код магазина")</f>
        <v>Скачать индивидуальный QR-код магазина</v>
      </c>
    </row>
    <row r="8321" spans="1:7" x14ac:dyDescent="0.25">
      <c r="A8321" t="s">
        <v>18820</v>
      </c>
      <c r="B8321" t="s">
        <v>24565</v>
      </c>
      <c r="C8321" t="s">
        <v>26853</v>
      </c>
      <c r="D8321" t="s">
        <v>26854</v>
      </c>
      <c r="E8321" t="s">
        <v>26855</v>
      </c>
      <c r="F8321" t="s">
        <v>26877</v>
      </c>
      <c r="G8321" s="2" t="str">
        <f>HYPERLINK("https://probpalata.gov.ru/files/ЮЛ770100242600038.jpeg","Скачать индивидуальный QR-код магазина")</f>
        <v>Скачать индивидуальный QR-код магазина</v>
      </c>
    </row>
    <row r="8322" spans="1:7" x14ac:dyDescent="0.25">
      <c r="A8322" t="s">
        <v>18820</v>
      </c>
      <c r="B8322" t="s">
        <v>24579</v>
      </c>
      <c r="C8322" t="s">
        <v>26853</v>
      </c>
      <c r="D8322" t="s">
        <v>26854</v>
      </c>
      <c r="E8322" t="s">
        <v>26855</v>
      </c>
      <c r="F8322" t="s">
        <v>26878</v>
      </c>
      <c r="G8322" s="2" t="str">
        <f>HYPERLINK("https://probpalata.gov.ru/files/ЮЛ770100242600041.jpeg","Скачать индивидуальный QR-код магазина")</f>
        <v>Скачать индивидуальный QR-код магазина</v>
      </c>
    </row>
    <row r="8323" spans="1:7" x14ac:dyDescent="0.25">
      <c r="A8323" t="s">
        <v>18820</v>
      </c>
      <c r="B8323" t="s">
        <v>26879</v>
      </c>
      <c r="C8323" t="s">
        <v>26853</v>
      </c>
      <c r="D8323" t="s">
        <v>26854</v>
      </c>
      <c r="E8323" t="s">
        <v>26855</v>
      </c>
      <c r="F8323" t="s">
        <v>26880</v>
      </c>
      <c r="G8323" s="2" t="str">
        <f>HYPERLINK("https://probpalata.gov.ru/files/ЮЛ770100242600042.jpeg","Скачать индивидуальный QR-код магазина")</f>
        <v>Скачать индивидуальный QR-код магазина</v>
      </c>
    </row>
    <row r="8324" spans="1:7" x14ac:dyDescent="0.25">
      <c r="A8324" t="s">
        <v>18820</v>
      </c>
      <c r="B8324" t="s">
        <v>24581</v>
      </c>
      <c r="C8324" t="s">
        <v>26853</v>
      </c>
      <c r="D8324" t="s">
        <v>26854</v>
      </c>
      <c r="E8324" t="s">
        <v>26855</v>
      </c>
      <c r="F8324" t="s">
        <v>26881</v>
      </c>
      <c r="G8324" s="2" t="str">
        <f>HYPERLINK("https://probpalata.gov.ru/files/ЮЛ770100242600043.jpeg","Скачать индивидуальный QR-код магазина")</f>
        <v>Скачать индивидуальный QR-код магазина</v>
      </c>
    </row>
    <row r="8325" spans="1:7" x14ac:dyDescent="0.25">
      <c r="A8325" t="s">
        <v>18820</v>
      </c>
      <c r="B8325" t="s">
        <v>26882</v>
      </c>
      <c r="C8325" t="s">
        <v>26853</v>
      </c>
      <c r="D8325" t="s">
        <v>26854</v>
      </c>
      <c r="E8325" t="s">
        <v>26855</v>
      </c>
      <c r="F8325" t="s">
        <v>26883</v>
      </c>
      <c r="G8325" s="2" t="str">
        <f>HYPERLINK("https://probpalata.gov.ru/files/ЮЛ770100242600044.jpeg","Скачать индивидуальный QR-код магазина")</f>
        <v>Скачать индивидуальный QR-код магазина</v>
      </c>
    </row>
    <row r="8326" spans="1:7" x14ac:dyDescent="0.25">
      <c r="A8326" t="s">
        <v>18820</v>
      </c>
      <c r="B8326" t="s">
        <v>26884</v>
      </c>
      <c r="C8326" t="s">
        <v>26853</v>
      </c>
      <c r="D8326" t="s">
        <v>26854</v>
      </c>
      <c r="E8326" t="s">
        <v>26855</v>
      </c>
      <c r="F8326" t="s">
        <v>26885</v>
      </c>
      <c r="G8326" s="2" t="str">
        <f>HYPERLINK("https://probpalata.gov.ru/files/ЮЛ770100242600045.jpeg","Скачать индивидуальный QR-код магазина")</f>
        <v>Скачать индивидуальный QR-код магазина</v>
      </c>
    </row>
    <row r="8327" spans="1:7" x14ac:dyDescent="0.25">
      <c r="A8327" t="s">
        <v>18820</v>
      </c>
      <c r="B8327" t="s">
        <v>26886</v>
      </c>
      <c r="C8327" t="s">
        <v>26853</v>
      </c>
      <c r="D8327" t="s">
        <v>26854</v>
      </c>
      <c r="E8327" t="s">
        <v>26855</v>
      </c>
      <c r="F8327" t="s">
        <v>26887</v>
      </c>
      <c r="G8327" s="2" t="str">
        <f>HYPERLINK("https://probpalata.gov.ru/files/ЮЛ770100242600048.jpeg","Скачать индивидуальный QR-код магазина")</f>
        <v>Скачать индивидуальный QR-код магазина</v>
      </c>
    </row>
    <row r="8328" spans="1:7" x14ac:dyDescent="0.25">
      <c r="A8328" t="s">
        <v>18820</v>
      </c>
      <c r="B8328" t="s">
        <v>24563</v>
      </c>
      <c r="C8328" t="s">
        <v>26853</v>
      </c>
      <c r="D8328" t="s">
        <v>26854</v>
      </c>
      <c r="E8328" t="s">
        <v>26855</v>
      </c>
      <c r="F8328" t="s">
        <v>26888</v>
      </c>
      <c r="G8328" s="2" t="str">
        <f>HYPERLINK("https://probpalata.gov.ru/files/ЮЛ770100242600049.jpeg","Скачать индивидуальный QR-код магазина")</f>
        <v>Скачать индивидуальный QR-код магазина</v>
      </c>
    </row>
    <row r="8329" spans="1:7" x14ac:dyDescent="0.25">
      <c r="A8329" t="s">
        <v>18820</v>
      </c>
      <c r="B8329" t="s">
        <v>26889</v>
      </c>
      <c r="C8329" t="s">
        <v>26853</v>
      </c>
      <c r="D8329" t="s">
        <v>26854</v>
      </c>
      <c r="E8329" t="s">
        <v>26855</v>
      </c>
      <c r="F8329" t="s">
        <v>26890</v>
      </c>
      <c r="G8329" s="2" t="str">
        <f>HYPERLINK("https://probpalata.gov.ru/files/ЮЛ770100242600050.jpeg","Скачать индивидуальный QR-код магазина")</f>
        <v>Скачать индивидуальный QR-код магазина</v>
      </c>
    </row>
    <row r="8330" spans="1:7" x14ac:dyDescent="0.25">
      <c r="A8330" t="s">
        <v>18820</v>
      </c>
      <c r="B8330" t="s">
        <v>24583</v>
      </c>
      <c r="C8330" t="s">
        <v>26853</v>
      </c>
      <c r="D8330" t="s">
        <v>26854</v>
      </c>
      <c r="E8330" t="s">
        <v>26855</v>
      </c>
      <c r="F8330" t="s">
        <v>26891</v>
      </c>
      <c r="G8330" s="2" t="str">
        <f>HYPERLINK("https://probpalata.gov.ru/files/ЮЛ770100242600051.jpeg","Скачать индивидуальный QR-код магазина")</f>
        <v>Скачать индивидуальный QR-код магазина</v>
      </c>
    </row>
    <row r="8331" spans="1:7" x14ac:dyDescent="0.25">
      <c r="A8331" t="s">
        <v>18820</v>
      </c>
      <c r="B8331" t="s">
        <v>24589</v>
      </c>
      <c r="C8331" t="s">
        <v>26853</v>
      </c>
      <c r="D8331" t="s">
        <v>26854</v>
      </c>
      <c r="E8331" t="s">
        <v>26855</v>
      </c>
      <c r="F8331" t="s">
        <v>26892</v>
      </c>
      <c r="G8331" s="2" t="str">
        <f>HYPERLINK("https://probpalata.gov.ru/files/ЮЛ770100242600052.jpeg","Скачать индивидуальный QR-код магазина")</f>
        <v>Скачать индивидуальный QR-код магазина</v>
      </c>
    </row>
    <row r="8332" spans="1:7" x14ac:dyDescent="0.25">
      <c r="A8332" t="s">
        <v>18820</v>
      </c>
      <c r="B8332" t="s">
        <v>24561</v>
      </c>
      <c r="C8332" t="s">
        <v>26853</v>
      </c>
      <c r="D8332" t="s">
        <v>26854</v>
      </c>
      <c r="E8332" t="s">
        <v>26855</v>
      </c>
      <c r="F8332" t="s">
        <v>26893</v>
      </c>
      <c r="G8332" s="2" t="str">
        <f>HYPERLINK("https://probpalata.gov.ru/files/ЮЛ770100242600054.jpeg","Скачать индивидуальный QR-код магазина")</f>
        <v>Скачать индивидуальный QR-код магазина</v>
      </c>
    </row>
    <row r="8333" spans="1:7" x14ac:dyDescent="0.25">
      <c r="A8333" t="s">
        <v>18820</v>
      </c>
      <c r="B8333" t="s">
        <v>24593</v>
      </c>
      <c r="C8333" t="s">
        <v>26853</v>
      </c>
      <c r="D8333" t="s">
        <v>26854</v>
      </c>
      <c r="E8333" t="s">
        <v>26855</v>
      </c>
      <c r="F8333" t="s">
        <v>26894</v>
      </c>
      <c r="G8333" s="2" t="str">
        <f>HYPERLINK("https://probpalata.gov.ru/files/ЮЛ770100242600055.jpeg","Скачать индивидуальный QR-код магазина")</f>
        <v>Скачать индивидуальный QR-код магазина</v>
      </c>
    </row>
    <row r="8334" spans="1:7" x14ac:dyDescent="0.25">
      <c r="A8334" t="s">
        <v>18820</v>
      </c>
      <c r="B8334" t="s">
        <v>26895</v>
      </c>
      <c r="C8334" t="s">
        <v>26853</v>
      </c>
      <c r="D8334" t="s">
        <v>26854</v>
      </c>
      <c r="E8334" t="s">
        <v>26855</v>
      </c>
      <c r="F8334" t="s">
        <v>26896</v>
      </c>
      <c r="G8334" s="2" t="str">
        <f>HYPERLINK("https://probpalata.gov.ru/files/ЮЛ770100242600057.jpeg","Скачать индивидуальный QR-код магазина")</f>
        <v>Скачать индивидуальный QR-код магазина</v>
      </c>
    </row>
    <row r="8335" spans="1:7" x14ac:dyDescent="0.25">
      <c r="A8335" t="s">
        <v>18820</v>
      </c>
      <c r="B8335" t="s">
        <v>24600</v>
      </c>
      <c r="C8335" t="s">
        <v>26853</v>
      </c>
      <c r="D8335" t="s">
        <v>26854</v>
      </c>
      <c r="E8335" t="s">
        <v>26855</v>
      </c>
      <c r="F8335" t="s">
        <v>26897</v>
      </c>
      <c r="G8335" s="2" t="str">
        <f>HYPERLINK("https://probpalata.gov.ru/files/ЮЛ770100242600059.jpeg","Скачать индивидуальный QR-код магазина")</f>
        <v>Скачать индивидуальный QR-код магазина</v>
      </c>
    </row>
    <row r="8336" spans="1:7" x14ac:dyDescent="0.25">
      <c r="A8336" t="s">
        <v>18820</v>
      </c>
      <c r="B8336" t="s">
        <v>26898</v>
      </c>
      <c r="C8336" t="s">
        <v>26853</v>
      </c>
      <c r="D8336" t="s">
        <v>26854</v>
      </c>
      <c r="E8336" t="s">
        <v>26855</v>
      </c>
      <c r="F8336" t="s">
        <v>26899</v>
      </c>
      <c r="G8336" s="2" t="str">
        <f>HYPERLINK("https://probpalata.gov.ru/files/ЮЛ770100242600060.jpeg","Скачать индивидуальный QR-код магазина")</f>
        <v>Скачать индивидуальный QR-код магазина</v>
      </c>
    </row>
    <row r="8337" spans="1:7" x14ac:dyDescent="0.25">
      <c r="A8337" t="s">
        <v>18820</v>
      </c>
      <c r="B8337" t="s">
        <v>26900</v>
      </c>
      <c r="C8337" t="s">
        <v>26901</v>
      </c>
      <c r="D8337" t="s">
        <v>26902</v>
      </c>
      <c r="E8337" t="s">
        <v>26903</v>
      </c>
      <c r="F8337" t="s">
        <v>26904</v>
      </c>
      <c r="G8337" s="2" t="str">
        <f>HYPERLINK("https://probpalata.gov.ru/files/ЮЛ770100403800000.jpeg","Скачать индивидуальный QR-код магазина")</f>
        <v>Скачать индивидуальный QR-код магазина</v>
      </c>
    </row>
    <row r="8338" spans="1:7" x14ac:dyDescent="0.25">
      <c r="A8338" t="s">
        <v>18820</v>
      </c>
      <c r="B8338" t="s">
        <v>26905</v>
      </c>
      <c r="C8338" t="s">
        <v>26906</v>
      </c>
      <c r="D8338" t="s">
        <v>26907</v>
      </c>
      <c r="E8338" t="s">
        <v>26908</v>
      </c>
      <c r="F8338" t="s">
        <v>26909</v>
      </c>
      <c r="G8338" s="2" t="str">
        <f>HYPERLINK("https://probpalata.gov.ru/files/ЮЛ770103188300000.jpeg","Скачать индивидуальный QR-код магазина")</f>
        <v>Скачать индивидуальный QR-код магазина</v>
      </c>
    </row>
    <row r="8339" spans="1:7" x14ac:dyDescent="0.25">
      <c r="A8339" t="s">
        <v>18820</v>
      </c>
      <c r="B8339" t="s">
        <v>18830</v>
      </c>
      <c r="C8339" t="s">
        <v>26910</v>
      </c>
      <c r="D8339" t="s">
        <v>26911</v>
      </c>
      <c r="E8339" t="s">
        <v>26912</v>
      </c>
      <c r="F8339" t="s">
        <v>26913</v>
      </c>
      <c r="G8339" s="2" t="str">
        <f>HYPERLINK("https://probpalata.gov.ru/files/ЮЛ770103956400000.jpeg","Скачать индивидуальный QR-код магазина")</f>
        <v>Скачать индивидуальный QR-код магазина</v>
      </c>
    </row>
    <row r="8340" spans="1:7" x14ac:dyDescent="0.25">
      <c r="A8340" t="s">
        <v>18820</v>
      </c>
      <c r="B8340" t="s">
        <v>26914</v>
      </c>
      <c r="C8340" t="s">
        <v>26915</v>
      </c>
      <c r="D8340" t="s">
        <v>26916</v>
      </c>
      <c r="E8340" t="s">
        <v>26917</v>
      </c>
      <c r="F8340" t="s">
        <v>26918</v>
      </c>
      <c r="G8340" s="2" t="str">
        <f>HYPERLINK("https://probpalata.gov.ru/files/ЮЛ770104107200000.jpeg","Скачать индивидуальный QR-код магазина")</f>
        <v>Скачать индивидуальный QR-код магазина</v>
      </c>
    </row>
    <row r="8341" spans="1:7" x14ac:dyDescent="0.25">
      <c r="A8341" t="s">
        <v>18820</v>
      </c>
      <c r="B8341" t="s">
        <v>26919</v>
      </c>
      <c r="C8341" t="s">
        <v>26920</v>
      </c>
      <c r="D8341" t="s">
        <v>26921</v>
      </c>
      <c r="E8341" t="s">
        <v>26922</v>
      </c>
      <c r="F8341" t="s">
        <v>26923</v>
      </c>
      <c r="G8341" s="2" t="str">
        <f>HYPERLINK("https://probpalata.gov.ru/files/ЮЛ770103980800000.jpeg","Скачать индивидуальный QR-код магазина")</f>
        <v>Скачать индивидуальный QR-код магазина</v>
      </c>
    </row>
    <row r="8342" spans="1:7" x14ac:dyDescent="0.25">
      <c r="A8342" t="s">
        <v>18820</v>
      </c>
      <c r="B8342" t="s">
        <v>26924</v>
      </c>
      <c r="C8342" t="s">
        <v>1853</v>
      </c>
      <c r="D8342" t="s">
        <v>1854</v>
      </c>
      <c r="E8342" t="s">
        <v>1855</v>
      </c>
      <c r="F8342" t="s">
        <v>26925</v>
      </c>
      <c r="G8342" s="2" t="str">
        <f>HYPERLINK("https://probpalata.gov.ru/files/ЮЛ770104000500000.jpeg","Скачать индивидуальный QR-код магазина")</f>
        <v>Скачать индивидуальный QR-код магазина</v>
      </c>
    </row>
    <row r="8343" spans="1:7" x14ac:dyDescent="0.25">
      <c r="A8343" t="s">
        <v>18820</v>
      </c>
      <c r="B8343" t="s">
        <v>26926</v>
      </c>
      <c r="C8343" t="s">
        <v>1853</v>
      </c>
      <c r="D8343" t="s">
        <v>1854</v>
      </c>
      <c r="E8343" t="s">
        <v>1855</v>
      </c>
      <c r="F8343" t="s">
        <v>26927</v>
      </c>
      <c r="G8343" s="2" t="str">
        <f>HYPERLINK("https://probpalata.gov.ru/files/ЮЛ770104000500001.jpeg","Скачать индивидуальный QR-код магазина")</f>
        <v>Скачать индивидуальный QR-код магазина</v>
      </c>
    </row>
    <row r="8344" spans="1:7" x14ac:dyDescent="0.25">
      <c r="A8344" t="s">
        <v>18820</v>
      </c>
      <c r="B8344" t="s">
        <v>26928</v>
      </c>
      <c r="C8344" t="s">
        <v>1853</v>
      </c>
      <c r="D8344" t="s">
        <v>1854</v>
      </c>
      <c r="E8344" t="s">
        <v>1855</v>
      </c>
      <c r="F8344" t="s">
        <v>26929</v>
      </c>
      <c r="G8344" s="2" t="str">
        <f>HYPERLINK("https://probpalata.gov.ru/files/ЮЛ770104000500002.jpeg","Скачать индивидуальный QR-код магазина")</f>
        <v>Скачать индивидуальный QR-код магазина</v>
      </c>
    </row>
    <row r="8345" spans="1:7" x14ac:dyDescent="0.25">
      <c r="A8345" t="s">
        <v>18820</v>
      </c>
      <c r="B8345" t="s">
        <v>26930</v>
      </c>
      <c r="C8345" t="s">
        <v>1853</v>
      </c>
      <c r="D8345" t="s">
        <v>1854</v>
      </c>
      <c r="E8345" t="s">
        <v>1855</v>
      </c>
      <c r="F8345" t="s">
        <v>26931</v>
      </c>
      <c r="G8345" s="2" t="str">
        <f>HYPERLINK("https://probpalata.gov.ru/files/ЮЛ770104000500011.jpeg","Скачать индивидуальный QR-код магазина")</f>
        <v>Скачать индивидуальный QR-код магазина</v>
      </c>
    </row>
    <row r="8346" spans="1:7" x14ac:dyDescent="0.25">
      <c r="A8346" t="s">
        <v>18820</v>
      </c>
      <c r="B8346" t="s">
        <v>26932</v>
      </c>
      <c r="C8346" t="s">
        <v>26933</v>
      </c>
      <c r="D8346" t="s">
        <v>26934</v>
      </c>
      <c r="E8346" t="s">
        <v>26935</v>
      </c>
      <c r="F8346" t="s">
        <v>26936</v>
      </c>
      <c r="G8346" s="2" t="str">
        <f>HYPERLINK("https://probpalata.gov.ru/files/ЮЛ770104033800000.jpeg","Скачать индивидуальный QR-код магазина")</f>
        <v>Скачать индивидуальный QR-код магазина</v>
      </c>
    </row>
    <row r="8347" spans="1:7" x14ac:dyDescent="0.25">
      <c r="A8347" t="s">
        <v>26937</v>
      </c>
      <c r="B8347" t="s">
        <v>26938</v>
      </c>
      <c r="C8347" t="s">
        <v>9495</v>
      </c>
      <c r="D8347" t="s">
        <v>9496</v>
      </c>
      <c r="E8347" t="s">
        <v>9497</v>
      </c>
      <c r="F8347" t="s">
        <v>26939</v>
      </c>
      <c r="G8347" s="2" t="str">
        <f>HYPERLINK("https://probpalata.gov.ru/files/ЮЛ020603117700063.jpeg","Скачать индивидуальный QR-код магазина")</f>
        <v>Скачать индивидуальный QR-код магазина</v>
      </c>
    </row>
    <row r="8348" spans="1:7" x14ac:dyDescent="0.25">
      <c r="A8348" t="s">
        <v>26937</v>
      </c>
      <c r="B8348" t="s">
        <v>26940</v>
      </c>
      <c r="C8348" t="s">
        <v>9495</v>
      </c>
      <c r="D8348" t="s">
        <v>9496</v>
      </c>
      <c r="E8348" t="s">
        <v>9497</v>
      </c>
      <c r="F8348" t="s">
        <v>26941</v>
      </c>
      <c r="G8348" s="2" t="str">
        <f>HYPERLINK("https://probpalata.gov.ru/files/ЮЛ020603117700067.jpeg","Скачать индивидуальный QR-код магазина")</f>
        <v>Скачать индивидуальный QR-код магазина</v>
      </c>
    </row>
    <row r="8349" spans="1:7" x14ac:dyDescent="0.25">
      <c r="A8349" t="s">
        <v>26937</v>
      </c>
      <c r="B8349" t="s">
        <v>26942</v>
      </c>
      <c r="C8349" t="s">
        <v>9495</v>
      </c>
      <c r="D8349" t="s">
        <v>9496</v>
      </c>
      <c r="E8349" t="s">
        <v>9497</v>
      </c>
      <c r="F8349" t="s">
        <v>26943</v>
      </c>
      <c r="G8349" s="2" t="str">
        <f>HYPERLINK("https://probpalata.gov.ru/files/ЮЛ020603117700081.jpeg","Скачать индивидуальный QR-код магазина")</f>
        <v>Скачать индивидуальный QR-код магазина</v>
      </c>
    </row>
    <row r="8350" spans="1:7" x14ac:dyDescent="0.25">
      <c r="A8350" t="s">
        <v>26937</v>
      </c>
      <c r="B8350" t="s">
        <v>26944</v>
      </c>
      <c r="C8350" t="s">
        <v>9495</v>
      </c>
      <c r="D8350" t="s">
        <v>9496</v>
      </c>
      <c r="E8350" t="s">
        <v>9497</v>
      </c>
      <c r="F8350" t="s">
        <v>26945</v>
      </c>
      <c r="G8350" s="2" t="str">
        <f>HYPERLINK("https://probpalata.gov.ru/files/ЮЛ020603117700091.jpeg","Скачать индивидуальный QR-код магазина")</f>
        <v>Скачать индивидуальный QR-код магазина</v>
      </c>
    </row>
    <row r="8351" spans="1:7" x14ac:dyDescent="0.25">
      <c r="A8351" t="s">
        <v>26937</v>
      </c>
      <c r="B8351" t="s">
        <v>26946</v>
      </c>
      <c r="C8351" t="s">
        <v>9495</v>
      </c>
      <c r="D8351" t="s">
        <v>9496</v>
      </c>
      <c r="E8351" t="s">
        <v>9497</v>
      </c>
      <c r="F8351" t="s">
        <v>26947</v>
      </c>
      <c r="G8351" s="2" t="str">
        <f>HYPERLINK("https://probpalata.gov.ru/files/ЮЛ020603117700102.jpeg","Скачать индивидуальный QR-код магазина")</f>
        <v>Скачать индивидуальный QR-код магазина</v>
      </c>
    </row>
    <row r="8352" spans="1:7" x14ac:dyDescent="0.25">
      <c r="A8352" t="s">
        <v>26937</v>
      </c>
      <c r="B8352" t="s">
        <v>26948</v>
      </c>
      <c r="C8352" t="s">
        <v>26949</v>
      </c>
      <c r="D8352" t="s">
        <v>26950</v>
      </c>
      <c r="E8352" t="s">
        <v>26951</v>
      </c>
      <c r="F8352" t="s">
        <v>26952</v>
      </c>
      <c r="G8352" s="2" t="str">
        <f>HYPERLINK("https://probpalata.gov.ru/files/ИП500101725000000.jpeg","Скачать индивидуальный QR-код магазина")</f>
        <v>Скачать индивидуальный QR-код магазина</v>
      </c>
    </row>
    <row r="8353" spans="1:7" x14ac:dyDescent="0.25">
      <c r="A8353" t="s">
        <v>26937</v>
      </c>
      <c r="B8353" t="s">
        <v>26953</v>
      </c>
      <c r="C8353" t="s">
        <v>26954</v>
      </c>
      <c r="D8353" t="s">
        <v>26955</v>
      </c>
      <c r="E8353" t="s">
        <v>26956</v>
      </c>
      <c r="F8353" t="s">
        <v>26957</v>
      </c>
      <c r="G8353" s="2" t="str">
        <f>HYPERLINK("https://probpalata.gov.ru/files/ИП770103679900000.jpeg","Скачать индивидуальный QR-код магазина")</f>
        <v>Скачать индивидуальный QR-код магазина</v>
      </c>
    </row>
    <row r="8354" spans="1:7" x14ac:dyDescent="0.25">
      <c r="A8354" t="s">
        <v>26937</v>
      </c>
      <c r="B8354" t="s">
        <v>26958</v>
      </c>
      <c r="C8354" t="s">
        <v>838</v>
      </c>
      <c r="D8354" t="s">
        <v>839</v>
      </c>
      <c r="E8354" t="s">
        <v>840</v>
      </c>
      <c r="F8354" t="s">
        <v>26959</v>
      </c>
      <c r="G8354" s="2" t="str">
        <f>HYPERLINK("https://probpalata.gov.ru/files/ЮЛ140900343400007.jpeg","Скачать индивидуальный QR-код магазина")</f>
        <v>Скачать индивидуальный QR-код магазина</v>
      </c>
    </row>
    <row r="8355" spans="1:7" x14ac:dyDescent="0.25">
      <c r="A8355" t="s">
        <v>26937</v>
      </c>
      <c r="B8355" t="s">
        <v>26960</v>
      </c>
      <c r="C8355" t="s">
        <v>26961</v>
      </c>
      <c r="D8355" t="s">
        <v>26962</v>
      </c>
      <c r="E8355" t="s">
        <v>26963</v>
      </c>
      <c r="F8355" t="s">
        <v>26964</v>
      </c>
      <c r="G8355" s="2" t="str">
        <f>HYPERLINK("https://probpalata.gov.ru/files/ИП160603968100000.jpeg","Скачать индивидуальный QR-код магазина")</f>
        <v>Скачать индивидуальный QR-код магазина</v>
      </c>
    </row>
    <row r="8356" spans="1:7" x14ac:dyDescent="0.25">
      <c r="A8356" t="s">
        <v>26937</v>
      </c>
      <c r="B8356" t="s">
        <v>26965</v>
      </c>
      <c r="C8356" t="s">
        <v>26966</v>
      </c>
      <c r="D8356" t="s">
        <v>26967</v>
      </c>
      <c r="E8356" t="s">
        <v>26968</v>
      </c>
      <c r="F8356" t="s">
        <v>26969</v>
      </c>
      <c r="G8356" s="2" t="str">
        <f>HYPERLINK("https://probpalata.gov.ru/files/ИП770100867900000.jpeg","Скачать индивидуальный QR-код магазина")</f>
        <v>Скачать индивидуальный QR-код магазина</v>
      </c>
    </row>
    <row r="8357" spans="1:7" x14ac:dyDescent="0.25">
      <c r="A8357" t="s">
        <v>26937</v>
      </c>
      <c r="B8357" t="s">
        <v>26970</v>
      </c>
      <c r="C8357" t="s">
        <v>13224</v>
      </c>
      <c r="D8357" t="s">
        <v>13225</v>
      </c>
      <c r="E8357" t="s">
        <v>13226</v>
      </c>
      <c r="F8357" t="s">
        <v>26971</v>
      </c>
      <c r="G8357" s="2" t="str">
        <f>HYPERLINK("https://probpalata.gov.ru/files/ИП160603156900013.jpeg","Скачать индивидуальный QR-код магазина")</f>
        <v>Скачать индивидуальный QR-код магазина</v>
      </c>
    </row>
    <row r="8358" spans="1:7" x14ac:dyDescent="0.25">
      <c r="A8358" t="s">
        <v>26937</v>
      </c>
      <c r="B8358" t="s">
        <v>26972</v>
      </c>
      <c r="C8358" t="s">
        <v>2647</v>
      </c>
      <c r="D8358" t="s">
        <v>2648</v>
      </c>
      <c r="E8358" t="s">
        <v>2649</v>
      </c>
      <c r="F8358" t="s">
        <v>26973</v>
      </c>
      <c r="G8358" s="2" t="str">
        <f>HYPERLINK("https://probpalata.gov.ru/files/ИП610400007100006.jpeg","Скачать индивидуальный QR-код магазина")</f>
        <v>Скачать индивидуальный QR-код магазина</v>
      </c>
    </row>
    <row r="8359" spans="1:7" x14ac:dyDescent="0.25">
      <c r="A8359" t="s">
        <v>26937</v>
      </c>
      <c r="B8359" t="s">
        <v>26974</v>
      </c>
      <c r="C8359" t="s">
        <v>2647</v>
      </c>
      <c r="D8359" t="s">
        <v>2648</v>
      </c>
      <c r="E8359" t="s">
        <v>2649</v>
      </c>
      <c r="F8359" t="s">
        <v>26975</v>
      </c>
      <c r="G8359" s="2" t="str">
        <f>HYPERLINK("https://probpalata.gov.ru/files/ИП610400007100017.jpeg","Скачать индивидуальный QR-код магазина")</f>
        <v>Скачать индивидуальный QR-код магазина</v>
      </c>
    </row>
    <row r="8360" spans="1:7" x14ac:dyDescent="0.25">
      <c r="A8360" t="s">
        <v>26937</v>
      </c>
      <c r="B8360" t="s">
        <v>26976</v>
      </c>
      <c r="C8360" t="s">
        <v>2647</v>
      </c>
      <c r="D8360" t="s">
        <v>2648</v>
      </c>
      <c r="E8360" t="s">
        <v>2649</v>
      </c>
      <c r="F8360" t="s">
        <v>26977</v>
      </c>
      <c r="G8360" s="2" t="str">
        <f>HYPERLINK("https://probpalata.gov.ru/files/ИП610400007100022.jpeg","Скачать индивидуальный QR-код магазина")</f>
        <v>Скачать индивидуальный QR-код магазина</v>
      </c>
    </row>
    <row r="8361" spans="1:7" x14ac:dyDescent="0.25">
      <c r="A8361" t="s">
        <v>26937</v>
      </c>
      <c r="B8361" t="s">
        <v>26978</v>
      </c>
      <c r="C8361" t="s">
        <v>2647</v>
      </c>
      <c r="D8361" t="s">
        <v>2648</v>
      </c>
      <c r="E8361" t="s">
        <v>2649</v>
      </c>
      <c r="F8361" t="s">
        <v>26979</v>
      </c>
      <c r="G8361" s="2" t="str">
        <f>HYPERLINK("https://probpalata.gov.ru/files/ИП610400007100023.jpeg","Скачать индивидуальный QR-код магазина")</f>
        <v>Скачать индивидуальный QR-код магазина</v>
      </c>
    </row>
    <row r="8362" spans="1:7" x14ac:dyDescent="0.25">
      <c r="A8362" t="s">
        <v>26937</v>
      </c>
      <c r="B8362" t="s">
        <v>26980</v>
      </c>
      <c r="C8362" t="s">
        <v>2647</v>
      </c>
      <c r="D8362" t="s">
        <v>2648</v>
      </c>
      <c r="E8362" t="s">
        <v>2649</v>
      </c>
      <c r="F8362" t="s">
        <v>26981</v>
      </c>
      <c r="G8362" s="2" t="str">
        <f>HYPERLINK("https://probpalata.gov.ru/files/ИП610400007100026.jpeg","Скачать индивидуальный QR-код магазина")</f>
        <v>Скачать индивидуальный QR-код магазина</v>
      </c>
    </row>
    <row r="8363" spans="1:7" x14ac:dyDescent="0.25">
      <c r="A8363" t="s">
        <v>26937</v>
      </c>
      <c r="B8363" t="s">
        <v>26982</v>
      </c>
      <c r="C8363" t="s">
        <v>2647</v>
      </c>
      <c r="D8363" t="s">
        <v>2648</v>
      </c>
      <c r="E8363" t="s">
        <v>2649</v>
      </c>
      <c r="F8363" t="s">
        <v>26983</v>
      </c>
      <c r="G8363" s="2" t="str">
        <f>HYPERLINK("https://probpalata.gov.ru/files/ИП610400007100029.jpeg","Скачать индивидуальный QR-код магазина")</f>
        <v>Скачать индивидуальный QR-код магазина</v>
      </c>
    </row>
    <row r="8364" spans="1:7" x14ac:dyDescent="0.25">
      <c r="A8364" t="s">
        <v>26937</v>
      </c>
      <c r="B8364" t="s">
        <v>26984</v>
      </c>
      <c r="C8364" t="s">
        <v>2647</v>
      </c>
      <c r="D8364" t="s">
        <v>2648</v>
      </c>
      <c r="E8364" t="s">
        <v>2649</v>
      </c>
      <c r="F8364" t="s">
        <v>26985</v>
      </c>
      <c r="G8364" s="2" t="str">
        <f>HYPERLINK("https://probpalata.gov.ru/files/ИП610400007100039.jpeg","Скачать индивидуальный QR-код магазина")</f>
        <v>Скачать индивидуальный QR-код магазина</v>
      </c>
    </row>
    <row r="8365" spans="1:7" x14ac:dyDescent="0.25">
      <c r="A8365" t="s">
        <v>26937</v>
      </c>
      <c r="B8365" t="s">
        <v>26986</v>
      </c>
      <c r="C8365" t="s">
        <v>13607</v>
      </c>
      <c r="D8365" t="s">
        <v>13608</v>
      </c>
      <c r="E8365" t="s">
        <v>13609</v>
      </c>
      <c r="F8365" t="s">
        <v>26987</v>
      </c>
      <c r="G8365" s="2" t="str">
        <f>HYPERLINK("https://probpalata.gov.ru/files/ЮЛ230403107400005.jpeg","Скачать индивидуальный QR-код магазина")</f>
        <v>Скачать индивидуальный QR-код магазина</v>
      </c>
    </row>
    <row r="8366" spans="1:7" x14ac:dyDescent="0.25">
      <c r="A8366" t="s">
        <v>26937</v>
      </c>
      <c r="B8366" t="s">
        <v>26988</v>
      </c>
      <c r="C8366" t="s">
        <v>26989</v>
      </c>
      <c r="D8366" t="s">
        <v>26990</v>
      </c>
      <c r="E8366" t="s">
        <v>26991</v>
      </c>
      <c r="F8366" t="s">
        <v>26992</v>
      </c>
      <c r="G8366" s="2" t="str">
        <f>HYPERLINK("https://probpalata.gov.ru/files/ИП500103876500000.jpeg","Скачать индивидуальный QR-код магазина")</f>
        <v>Скачать индивидуальный QR-код магазина</v>
      </c>
    </row>
    <row r="8367" spans="1:7" x14ac:dyDescent="0.25">
      <c r="A8367" t="s">
        <v>26937</v>
      </c>
      <c r="B8367" t="s">
        <v>26993</v>
      </c>
      <c r="C8367" t="s">
        <v>19166</v>
      </c>
      <c r="D8367" t="s">
        <v>19167</v>
      </c>
      <c r="E8367" t="s">
        <v>19168</v>
      </c>
      <c r="F8367" t="s">
        <v>26994</v>
      </c>
      <c r="G8367" s="2" t="str">
        <f>HYPERLINK("https://probpalata.gov.ru/files/ЮЛ230403149800009.jpeg","Скачать индивидуальный QR-код магазина")</f>
        <v>Скачать индивидуальный QR-код магазина</v>
      </c>
    </row>
    <row r="8368" spans="1:7" x14ac:dyDescent="0.25">
      <c r="A8368" t="s">
        <v>26937</v>
      </c>
      <c r="B8368" t="s">
        <v>26995</v>
      </c>
      <c r="C8368" t="s">
        <v>19166</v>
      </c>
      <c r="D8368" t="s">
        <v>19167</v>
      </c>
      <c r="E8368" t="s">
        <v>19168</v>
      </c>
      <c r="F8368" t="s">
        <v>26996</v>
      </c>
      <c r="G8368" s="2" t="str">
        <f>HYPERLINK("https://probpalata.gov.ru/files/ЮЛ230403149800021.jpeg","Скачать индивидуальный QR-код магазина")</f>
        <v>Скачать индивидуальный QR-код магазина</v>
      </c>
    </row>
    <row r="8369" spans="1:7" x14ac:dyDescent="0.25">
      <c r="A8369" t="s">
        <v>26937</v>
      </c>
      <c r="B8369" t="s">
        <v>26997</v>
      </c>
      <c r="C8369" t="s">
        <v>19203</v>
      </c>
      <c r="D8369" t="s">
        <v>19204</v>
      </c>
      <c r="E8369" t="s">
        <v>19205</v>
      </c>
      <c r="F8369" t="s">
        <v>26998</v>
      </c>
      <c r="G8369" s="2" t="str">
        <f>HYPERLINK("https://probpalata.gov.ru/files/ЮЛ240800402400002.jpeg","Скачать индивидуальный QR-код магазина")</f>
        <v>Скачать индивидуальный QR-код магазина</v>
      </c>
    </row>
    <row r="8370" spans="1:7" x14ac:dyDescent="0.25">
      <c r="A8370" t="s">
        <v>26937</v>
      </c>
      <c r="B8370" t="s">
        <v>26999</v>
      </c>
      <c r="C8370" t="s">
        <v>19203</v>
      </c>
      <c r="D8370" t="s">
        <v>19204</v>
      </c>
      <c r="E8370" t="s">
        <v>19205</v>
      </c>
      <c r="F8370" t="s">
        <v>27000</v>
      </c>
      <c r="G8370" s="2" t="str">
        <f>HYPERLINK("https://probpalata.gov.ru/files/ЮЛ240800402400010.jpeg","Скачать индивидуальный QR-код магазина")</f>
        <v>Скачать индивидуальный QR-код магазина</v>
      </c>
    </row>
    <row r="8371" spans="1:7" x14ac:dyDescent="0.25">
      <c r="A8371" t="s">
        <v>26937</v>
      </c>
      <c r="B8371" t="s">
        <v>27001</v>
      </c>
      <c r="C8371" t="s">
        <v>19203</v>
      </c>
      <c r="D8371" t="s">
        <v>19204</v>
      </c>
      <c r="E8371" t="s">
        <v>19205</v>
      </c>
      <c r="F8371" t="s">
        <v>27002</v>
      </c>
      <c r="G8371" s="2" t="str">
        <f>HYPERLINK("https://probpalata.gov.ru/files/ЮЛ240800402400017.jpeg","Скачать индивидуальный QR-код магазина")</f>
        <v>Скачать индивидуальный QR-код магазина</v>
      </c>
    </row>
    <row r="8372" spans="1:7" x14ac:dyDescent="0.25">
      <c r="A8372" t="s">
        <v>26937</v>
      </c>
      <c r="B8372" t="s">
        <v>27003</v>
      </c>
      <c r="C8372" t="s">
        <v>27004</v>
      </c>
      <c r="D8372" t="s">
        <v>27005</v>
      </c>
      <c r="E8372" t="s">
        <v>27006</v>
      </c>
      <c r="F8372" t="s">
        <v>27007</v>
      </c>
      <c r="G8372" s="2" t="str">
        <f>HYPERLINK("https://probpalata.gov.ru/files/ИП770100666500000.jpeg","Скачать индивидуальный QR-код магазина")</f>
        <v>Скачать индивидуальный QR-код магазина</v>
      </c>
    </row>
    <row r="8373" spans="1:7" x14ac:dyDescent="0.25">
      <c r="A8373" t="s">
        <v>26937</v>
      </c>
      <c r="B8373" t="s">
        <v>27008</v>
      </c>
      <c r="C8373" t="s">
        <v>27009</v>
      </c>
      <c r="D8373" t="s">
        <v>27010</v>
      </c>
      <c r="E8373" t="s">
        <v>27011</v>
      </c>
      <c r="F8373" t="s">
        <v>27012</v>
      </c>
      <c r="G8373" s="2" t="str">
        <f>HYPERLINK("https://probpalata.gov.ru/files/ИП240800186600003.jpeg","Скачать индивидуальный QR-код магазина")</f>
        <v>Скачать индивидуальный QR-код магазина</v>
      </c>
    </row>
    <row r="8374" spans="1:7" x14ac:dyDescent="0.25">
      <c r="A8374" t="s">
        <v>26937</v>
      </c>
      <c r="B8374" t="s">
        <v>27013</v>
      </c>
      <c r="C8374" t="s">
        <v>27014</v>
      </c>
      <c r="D8374" t="s">
        <v>27015</v>
      </c>
      <c r="E8374" t="s">
        <v>27016</v>
      </c>
      <c r="F8374" t="s">
        <v>27017</v>
      </c>
      <c r="G8374" s="2" t="str">
        <f>HYPERLINK("https://probpalata.gov.ru/files/ИП500100302200000.jpeg","Скачать индивидуальный QR-код магазина")</f>
        <v>Скачать индивидуальный QR-код магазина</v>
      </c>
    </row>
    <row r="8375" spans="1:7" x14ac:dyDescent="0.25">
      <c r="A8375" t="s">
        <v>26937</v>
      </c>
      <c r="B8375" t="s">
        <v>27018</v>
      </c>
      <c r="C8375" t="s">
        <v>27014</v>
      </c>
      <c r="D8375" t="s">
        <v>27015</v>
      </c>
      <c r="E8375" t="s">
        <v>27016</v>
      </c>
      <c r="F8375" t="s">
        <v>27019</v>
      </c>
      <c r="G8375" s="2" t="str">
        <f>HYPERLINK("https://probpalata.gov.ru/files/ИП500100302200001.jpeg","Скачать индивидуальный QR-код магазина")</f>
        <v>Скачать индивидуальный QR-код магазина</v>
      </c>
    </row>
    <row r="8376" spans="1:7" x14ac:dyDescent="0.25">
      <c r="A8376" t="s">
        <v>26937</v>
      </c>
      <c r="B8376" t="s">
        <v>27020</v>
      </c>
      <c r="C8376" t="s">
        <v>27014</v>
      </c>
      <c r="D8376" t="s">
        <v>27015</v>
      </c>
      <c r="E8376" t="s">
        <v>27016</v>
      </c>
      <c r="F8376" t="s">
        <v>27021</v>
      </c>
      <c r="G8376" s="2" t="str">
        <f>HYPERLINK("https://probpalata.gov.ru/files/ИП500100302200002.jpeg","Скачать индивидуальный QR-код магазина")</f>
        <v>Скачать индивидуальный QR-код магазина</v>
      </c>
    </row>
    <row r="8377" spans="1:7" x14ac:dyDescent="0.25">
      <c r="A8377" t="s">
        <v>26937</v>
      </c>
      <c r="B8377" t="s">
        <v>27022</v>
      </c>
      <c r="C8377" t="s">
        <v>27014</v>
      </c>
      <c r="D8377" t="s">
        <v>27015</v>
      </c>
      <c r="E8377" t="s">
        <v>27016</v>
      </c>
      <c r="F8377" t="s">
        <v>27023</v>
      </c>
      <c r="G8377" s="2" t="str">
        <f>HYPERLINK("https://probpalata.gov.ru/files/ИП500100302200004.jpeg","Скачать индивидуальный QR-код магазина")</f>
        <v>Скачать индивидуальный QR-код магазина</v>
      </c>
    </row>
    <row r="8378" spans="1:7" x14ac:dyDescent="0.25">
      <c r="A8378" t="s">
        <v>26937</v>
      </c>
      <c r="B8378" t="s">
        <v>27024</v>
      </c>
      <c r="C8378" t="s">
        <v>19250</v>
      </c>
      <c r="D8378" t="s">
        <v>19251</v>
      </c>
      <c r="E8378" t="s">
        <v>19252</v>
      </c>
      <c r="F8378" t="s">
        <v>27025</v>
      </c>
      <c r="G8378" s="2" t="str">
        <f>HYPERLINK("https://probpalata.gov.ru/files/ЮЛ260501309700003.jpeg","Скачать индивидуальный QR-код магазина")</f>
        <v>Скачать индивидуальный QR-код магазина</v>
      </c>
    </row>
    <row r="8379" spans="1:7" x14ac:dyDescent="0.25">
      <c r="A8379" t="s">
        <v>26937</v>
      </c>
      <c r="B8379" t="s">
        <v>27026</v>
      </c>
      <c r="C8379" t="s">
        <v>27027</v>
      </c>
      <c r="D8379" t="s">
        <v>27028</v>
      </c>
      <c r="E8379" t="s">
        <v>27029</v>
      </c>
      <c r="F8379" t="s">
        <v>27030</v>
      </c>
      <c r="G8379" s="2" t="str">
        <f>HYPERLINK("https://probpalata.gov.ru/files/ИП770100806700000.jpeg","Скачать индивидуальный QR-код магазина")</f>
        <v>Скачать индивидуальный QR-код магазина</v>
      </c>
    </row>
    <row r="8380" spans="1:7" x14ac:dyDescent="0.25">
      <c r="A8380" t="s">
        <v>26937</v>
      </c>
      <c r="B8380" t="s">
        <v>27031</v>
      </c>
      <c r="C8380" t="s">
        <v>1721</v>
      </c>
      <c r="D8380" t="s">
        <v>1722</v>
      </c>
      <c r="E8380" t="s">
        <v>1723</v>
      </c>
      <c r="F8380" t="s">
        <v>27032</v>
      </c>
      <c r="G8380" s="2" t="str">
        <f>HYPERLINK("https://probpalata.gov.ru/files/ИП340400993200011.jpeg","Скачать индивидуальный QR-код магазина")</f>
        <v>Скачать индивидуальный QR-код магазина</v>
      </c>
    </row>
    <row r="8381" spans="1:7" x14ac:dyDescent="0.25">
      <c r="A8381" t="s">
        <v>26937</v>
      </c>
      <c r="B8381" t="s">
        <v>27033</v>
      </c>
      <c r="C8381" t="s">
        <v>1721</v>
      </c>
      <c r="D8381" t="s">
        <v>1722</v>
      </c>
      <c r="E8381" t="s">
        <v>1723</v>
      </c>
      <c r="F8381" t="s">
        <v>27034</v>
      </c>
      <c r="G8381" s="2" t="str">
        <f>HYPERLINK("https://probpalata.gov.ru/files/ИП340400993200012.jpeg","Скачать индивидуальный QR-код магазина")</f>
        <v>Скачать индивидуальный QR-код магазина</v>
      </c>
    </row>
    <row r="8382" spans="1:7" x14ac:dyDescent="0.25">
      <c r="A8382" t="s">
        <v>26937</v>
      </c>
      <c r="B8382" t="s">
        <v>27035</v>
      </c>
      <c r="C8382" t="s">
        <v>1721</v>
      </c>
      <c r="D8382" t="s">
        <v>1722</v>
      </c>
      <c r="E8382" t="s">
        <v>1723</v>
      </c>
      <c r="F8382" t="s">
        <v>27036</v>
      </c>
      <c r="G8382" s="2" t="str">
        <f>HYPERLINK("https://probpalata.gov.ru/files/ИП340400993200013.jpeg","Скачать индивидуальный QR-код магазина")</f>
        <v>Скачать индивидуальный QR-код магазина</v>
      </c>
    </row>
    <row r="8383" spans="1:7" x14ac:dyDescent="0.25">
      <c r="A8383" t="s">
        <v>26937</v>
      </c>
      <c r="B8383" t="s">
        <v>27037</v>
      </c>
      <c r="C8383" t="s">
        <v>1721</v>
      </c>
      <c r="D8383" t="s">
        <v>1722</v>
      </c>
      <c r="E8383" t="s">
        <v>1723</v>
      </c>
      <c r="F8383" t="s">
        <v>27038</v>
      </c>
      <c r="G8383" s="2" t="str">
        <f>HYPERLINK("https://probpalata.gov.ru/files/ИП340400993200014.jpeg","Скачать индивидуальный QR-код магазина")</f>
        <v>Скачать индивидуальный QR-код магазина</v>
      </c>
    </row>
    <row r="8384" spans="1:7" x14ac:dyDescent="0.25">
      <c r="A8384" t="s">
        <v>26937</v>
      </c>
      <c r="B8384" t="s">
        <v>27039</v>
      </c>
      <c r="C8384" t="s">
        <v>1721</v>
      </c>
      <c r="D8384" t="s">
        <v>1722</v>
      </c>
      <c r="E8384" t="s">
        <v>1723</v>
      </c>
      <c r="F8384" t="s">
        <v>27040</v>
      </c>
      <c r="G8384" s="2" t="str">
        <f>HYPERLINK("https://probpalata.gov.ru/files/ИП340400993200020.jpeg","Скачать индивидуальный QR-код магазина")</f>
        <v>Скачать индивидуальный QR-код магазина</v>
      </c>
    </row>
    <row r="8385" spans="1:7" x14ac:dyDescent="0.25">
      <c r="A8385" t="s">
        <v>26937</v>
      </c>
      <c r="B8385" t="s">
        <v>27041</v>
      </c>
      <c r="C8385" t="s">
        <v>1721</v>
      </c>
      <c r="D8385" t="s">
        <v>1722</v>
      </c>
      <c r="E8385" t="s">
        <v>1723</v>
      </c>
      <c r="F8385" t="s">
        <v>27042</v>
      </c>
      <c r="G8385" s="2" t="str">
        <f>HYPERLINK("https://probpalata.gov.ru/files/ИП340400993200021.jpeg","Скачать индивидуальный QR-код магазина")</f>
        <v>Скачать индивидуальный QR-код магазина</v>
      </c>
    </row>
    <row r="8386" spans="1:7" x14ac:dyDescent="0.25">
      <c r="A8386" t="s">
        <v>26937</v>
      </c>
      <c r="B8386" t="s">
        <v>27043</v>
      </c>
      <c r="C8386" t="s">
        <v>1721</v>
      </c>
      <c r="D8386" t="s">
        <v>1722</v>
      </c>
      <c r="E8386" t="s">
        <v>1723</v>
      </c>
      <c r="F8386" t="s">
        <v>27044</v>
      </c>
      <c r="G8386" s="2" t="str">
        <f>HYPERLINK("https://probpalata.gov.ru/files/ИП340400993200025.jpeg","Скачать индивидуальный QR-код магазина")</f>
        <v>Скачать индивидуальный QR-код магазина</v>
      </c>
    </row>
    <row r="8387" spans="1:7" x14ac:dyDescent="0.25">
      <c r="A8387" t="s">
        <v>26937</v>
      </c>
      <c r="B8387" t="s">
        <v>27045</v>
      </c>
      <c r="C8387" t="s">
        <v>27046</v>
      </c>
      <c r="D8387" t="s">
        <v>27047</v>
      </c>
      <c r="E8387" t="s">
        <v>27048</v>
      </c>
      <c r="F8387" t="s">
        <v>27049</v>
      </c>
      <c r="G8387" s="2" t="str">
        <f>HYPERLINK("https://probpalata.gov.ru/files/ИП500104076300000.jpeg","Скачать индивидуальный QR-код магазина")</f>
        <v>Скачать индивидуальный QR-код магазина</v>
      </c>
    </row>
    <row r="8388" spans="1:7" x14ac:dyDescent="0.25">
      <c r="A8388" t="s">
        <v>26937</v>
      </c>
      <c r="B8388" t="s">
        <v>27050</v>
      </c>
      <c r="C8388" t="s">
        <v>27051</v>
      </c>
      <c r="D8388" t="s">
        <v>27052</v>
      </c>
      <c r="E8388" t="s">
        <v>27053</v>
      </c>
      <c r="F8388" t="s">
        <v>27054</v>
      </c>
      <c r="G8388" s="2" t="str">
        <f>HYPERLINK("https://probpalata.gov.ru/files/ИП500100510700000.jpeg","Скачать индивидуальный QR-код магазина")</f>
        <v>Скачать индивидуальный QR-код магазина</v>
      </c>
    </row>
    <row r="8389" spans="1:7" x14ac:dyDescent="0.25">
      <c r="A8389" t="s">
        <v>26937</v>
      </c>
      <c r="B8389" t="s">
        <v>27055</v>
      </c>
      <c r="C8389" t="s">
        <v>27056</v>
      </c>
      <c r="D8389" t="s">
        <v>27057</v>
      </c>
      <c r="E8389" t="s">
        <v>27058</v>
      </c>
      <c r="F8389" t="s">
        <v>27059</v>
      </c>
      <c r="G8389" s="2" t="str">
        <f>HYPERLINK("https://probpalata.gov.ru/files/ИП340404067400000.jpeg","Скачать индивидуальный QR-код магазина")</f>
        <v>Скачать индивидуальный QR-код магазина</v>
      </c>
    </row>
    <row r="8390" spans="1:7" x14ac:dyDescent="0.25">
      <c r="A8390" t="s">
        <v>26937</v>
      </c>
      <c r="B8390" t="s">
        <v>27060</v>
      </c>
      <c r="C8390" t="s">
        <v>1727</v>
      </c>
      <c r="D8390" t="s">
        <v>1728</v>
      </c>
      <c r="E8390" t="s">
        <v>1729</v>
      </c>
      <c r="F8390" t="s">
        <v>27061</v>
      </c>
      <c r="G8390" s="2" t="str">
        <f>HYPERLINK("https://probpalata.gov.ru/files/ЮЛ340400964300005.jpeg","Скачать индивидуальный QR-код магазина")</f>
        <v>Скачать индивидуальный QR-код магазина</v>
      </c>
    </row>
    <row r="8391" spans="1:7" x14ac:dyDescent="0.25">
      <c r="A8391" t="s">
        <v>26937</v>
      </c>
      <c r="B8391" t="s">
        <v>27062</v>
      </c>
      <c r="C8391" t="s">
        <v>1727</v>
      </c>
      <c r="D8391" t="s">
        <v>1728</v>
      </c>
      <c r="E8391" t="s">
        <v>1729</v>
      </c>
      <c r="F8391" t="s">
        <v>27063</v>
      </c>
      <c r="G8391" s="2" t="str">
        <f>HYPERLINK("https://probpalata.gov.ru/files/ЮЛ340400964300006.jpeg","Скачать индивидуальный QR-код магазина")</f>
        <v>Скачать индивидуальный QR-код магазина</v>
      </c>
    </row>
    <row r="8392" spans="1:7" x14ac:dyDescent="0.25">
      <c r="A8392" t="s">
        <v>26937</v>
      </c>
      <c r="B8392" t="s">
        <v>27064</v>
      </c>
      <c r="C8392" t="s">
        <v>1727</v>
      </c>
      <c r="D8392" t="s">
        <v>1728</v>
      </c>
      <c r="E8392" t="s">
        <v>1729</v>
      </c>
      <c r="F8392" t="s">
        <v>27065</v>
      </c>
      <c r="G8392" s="2" t="str">
        <f>HYPERLINK("https://probpalata.gov.ru/files/ЮЛ340400964300007.jpeg","Скачать индивидуальный QR-код магазина")</f>
        <v>Скачать индивидуальный QR-код магазина</v>
      </c>
    </row>
    <row r="8393" spans="1:7" x14ac:dyDescent="0.25">
      <c r="A8393" t="s">
        <v>26937</v>
      </c>
      <c r="B8393" t="s">
        <v>27037</v>
      </c>
      <c r="C8393" t="s">
        <v>1727</v>
      </c>
      <c r="D8393" t="s">
        <v>1728</v>
      </c>
      <c r="E8393" t="s">
        <v>1729</v>
      </c>
      <c r="F8393" t="s">
        <v>27066</v>
      </c>
      <c r="G8393" s="2" t="str">
        <f>HYPERLINK("https://probpalata.gov.ru/files/ЮЛ340400964300012.jpeg","Скачать индивидуальный QR-код магазина")</f>
        <v>Скачать индивидуальный QR-код магазина</v>
      </c>
    </row>
    <row r="8394" spans="1:7" x14ac:dyDescent="0.25">
      <c r="A8394" t="s">
        <v>26937</v>
      </c>
      <c r="B8394" t="s">
        <v>27039</v>
      </c>
      <c r="C8394" t="s">
        <v>1727</v>
      </c>
      <c r="D8394" t="s">
        <v>1728</v>
      </c>
      <c r="E8394" t="s">
        <v>1729</v>
      </c>
      <c r="F8394" t="s">
        <v>27067</v>
      </c>
      <c r="G8394" s="2" t="str">
        <f>HYPERLINK("https://probpalata.gov.ru/files/ЮЛ340400964300021.jpeg","Скачать индивидуальный QR-код магазина")</f>
        <v>Скачать индивидуальный QR-код магазина</v>
      </c>
    </row>
    <row r="8395" spans="1:7" x14ac:dyDescent="0.25">
      <c r="A8395" t="s">
        <v>26937</v>
      </c>
      <c r="B8395" t="s">
        <v>27041</v>
      </c>
      <c r="C8395" t="s">
        <v>1727</v>
      </c>
      <c r="D8395" t="s">
        <v>1728</v>
      </c>
      <c r="E8395" t="s">
        <v>1729</v>
      </c>
      <c r="F8395" t="s">
        <v>27068</v>
      </c>
      <c r="G8395" s="2" t="str">
        <f>HYPERLINK("https://probpalata.gov.ru/files/ЮЛ340400964300022.jpeg","Скачать индивидуальный QR-код магазина")</f>
        <v>Скачать индивидуальный QR-код магазина</v>
      </c>
    </row>
    <row r="8396" spans="1:7" x14ac:dyDescent="0.25">
      <c r="A8396" t="s">
        <v>26937</v>
      </c>
      <c r="B8396" t="s">
        <v>27043</v>
      </c>
      <c r="C8396" t="s">
        <v>1727</v>
      </c>
      <c r="D8396" t="s">
        <v>1728</v>
      </c>
      <c r="E8396" t="s">
        <v>1729</v>
      </c>
      <c r="F8396" t="s">
        <v>27069</v>
      </c>
      <c r="G8396" s="2" t="str">
        <f>HYPERLINK("https://probpalata.gov.ru/files/ЮЛ340400964300026.jpeg","Скачать индивидуальный QR-код магазина")</f>
        <v>Скачать индивидуальный QR-код магазина</v>
      </c>
    </row>
    <row r="8397" spans="1:7" x14ac:dyDescent="0.25">
      <c r="A8397" t="s">
        <v>26937</v>
      </c>
      <c r="B8397" t="s">
        <v>27070</v>
      </c>
      <c r="C8397" t="s">
        <v>6505</v>
      </c>
      <c r="D8397" t="s">
        <v>6506</v>
      </c>
      <c r="E8397" t="s">
        <v>6507</v>
      </c>
      <c r="F8397" t="s">
        <v>27071</v>
      </c>
      <c r="G8397" s="2" t="str">
        <f>HYPERLINK("https://probpalata.gov.ru/files/ИП370200427400008.jpeg","Скачать индивидуальный QR-код магазина")</f>
        <v>Скачать индивидуальный QR-код магазина</v>
      </c>
    </row>
    <row r="8398" spans="1:7" x14ac:dyDescent="0.25">
      <c r="A8398" t="s">
        <v>26937</v>
      </c>
      <c r="B8398" t="s">
        <v>27072</v>
      </c>
      <c r="C8398" t="s">
        <v>6552</v>
      </c>
      <c r="D8398" t="s">
        <v>6553</v>
      </c>
      <c r="E8398" t="s">
        <v>6554</v>
      </c>
      <c r="F8398" t="s">
        <v>27073</v>
      </c>
      <c r="G8398" s="2" t="str">
        <f>HYPERLINK("https://probpalata.gov.ru/files/ИП500100420800013.jpeg","Скачать индивидуальный QR-код магазина")</f>
        <v>Скачать индивидуальный QR-код магазина</v>
      </c>
    </row>
    <row r="8399" spans="1:7" x14ac:dyDescent="0.25">
      <c r="A8399" t="s">
        <v>26937</v>
      </c>
      <c r="B8399" t="s">
        <v>27074</v>
      </c>
      <c r="C8399" t="s">
        <v>6552</v>
      </c>
      <c r="D8399" t="s">
        <v>6553</v>
      </c>
      <c r="E8399" t="s">
        <v>6554</v>
      </c>
      <c r="F8399" t="s">
        <v>27075</v>
      </c>
      <c r="G8399" s="2" t="str">
        <f>HYPERLINK("https://probpalata.gov.ru/files/ИП500100420800014.jpeg","Скачать индивидуальный QR-код магазина")</f>
        <v>Скачать индивидуальный QR-код магазина</v>
      </c>
    </row>
    <row r="8400" spans="1:7" x14ac:dyDescent="0.25">
      <c r="A8400" t="s">
        <v>26937</v>
      </c>
      <c r="B8400" t="s">
        <v>27076</v>
      </c>
      <c r="C8400" t="s">
        <v>27077</v>
      </c>
      <c r="D8400" t="s">
        <v>27078</v>
      </c>
      <c r="E8400" t="s">
        <v>27079</v>
      </c>
      <c r="F8400" t="s">
        <v>27080</v>
      </c>
      <c r="G8400" s="2" t="str">
        <f>HYPERLINK("https://probpalata.gov.ru/files/ИП500100666400000.jpeg","Скачать индивидуальный QR-код магазина")</f>
        <v>Скачать индивидуальный QR-код магазина</v>
      </c>
    </row>
    <row r="8401" spans="1:7" x14ac:dyDescent="0.25">
      <c r="A8401" t="s">
        <v>26937</v>
      </c>
      <c r="B8401" t="s">
        <v>27081</v>
      </c>
      <c r="C8401" t="s">
        <v>16736</v>
      </c>
      <c r="D8401" t="s">
        <v>27082</v>
      </c>
      <c r="E8401" t="s">
        <v>27083</v>
      </c>
      <c r="F8401" t="s">
        <v>27084</v>
      </c>
      <c r="G8401" s="2" t="str">
        <f>HYPERLINK("https://probpalata.gov.ru/files/ЮЛ380801716300000.jpeg","Скачать индивидуальный QR-код магазина")</f>
        <v>Скачать индивидуальный QR-код магазина</v>
      </c>
    </row>
    <row r="8402" spans="1:7" x14ac:dyDescent="0.25">
      <c r="A8402" t="s">
        <v>26937</v>
      </c>
      <c r="B8402" t="s">
        <v>27085</v>
      </c>
      <c r="C8402" t="s">
        <v>16736</v>
      </c>
      <c r="D8402" t="s">
        <v>27082</v>
      </c>
      <c r="E8402" t="s">
        <v>27083</v>
      </c>
      <c r="F8402" t="s">
        <v>27086</v>
      </c>
      <c r="G8402" s="2" t="str">
        <f>HYPERLINK("https://probpalata.gov.ru/files/ЮЛ380801716300001.jpeg","Скачать индивидуальный QR-код магазина")</f>
        <v>Скачать индивидуальный QR-код магазина</v>
      </c>
    </row>
    <row r="8403" spans="1:7" x14ac:dyDescent="0.25">
      <c r="A8403" t="s">
        <v>26937</v>
      </c>
      <c r="B8403" t="s">
        <v>27087</v>
      </c>
      <c r="C8403" t="s">
        <v>19432</v>
      </c>
      <c r="D8403" t="s">
        <v>19433</v>
      </c>
      <c r="E8403" t="s">
        <v>19434</v>
      </c>
      <c r="F8403" t="s">
        <v>27088</v>
      </c>
      <c r="G8403" s="2" t="str">
        <f>HYPERLINK("https://probpalata.gov.ru/files/ИП390303698700002.jpeg","Скачать индивидуальный QR-код магазина")</f>
        <v>Скачать индивидуальный QR-код магазина</v>
      </c>
    </row>
    <row r="8404" spans="1:7" x14ac:dyDescent="0.25">
      <c r="A8404" t="s">
        <v>26937</v>
      </c>
      <c r="B8404" t="s">
        <v>27089</v>
      </c>
      <c r="C8404" t="s">
        <v>27090</v>
      </c>
      <c r="D8404" t="s">
        <v>27091</v>
      </c>
      <c r="E8404" t="s">
        <v>27092</v>
      </c>
      <c r="F8404" t="s">
        <v>27093</v>
      </c>
      <c r="G8404" s="2" t="str">
        <f>HYPERLINK("https://probpalata.gov.ru/files/ИП500103916600000.jpeg","Скачать индивидуальный QR-код магазина")</f>
        <v>Скачать индивидуальный QR-код магазина</v>
      </c>
    </row>
    <row r="8405" spans="1:7" x14ac:dyDescent="0.25">
      <c r="A8405" t="s">
        <v>26937</v>
      </c>
      <c r="B8405" t="s">
        <v>27094</v>
      </c>
      <c r="C8405" t="s">
        <v>2171</v>
      </c>
      <c r="D8405" t="s">
        <v>2172</v>
      </c>
      <c r="E8405" t="s">
        <v>2173</v>
      </c>
      <c r="F8405" t="s">
        <v>27095</v>
      </c>
      <c r="G8405" s="2" t="str">
        <f>HYPERLINK("https://probpalata.gov.ru/files/ЮЛ500100602500000.jpeg","Скачать индивидуальный QR-код магазина")</f>
        <v>Скачать индивидуальный QR-код магазина</v>
      </c>
    </row>
    <row r="8406" spans="1:7" x14ac:dyDescent="0.25">
      <c r="A8406" t="s">
        <v>26937</v>
      </c>
      <c r="B8406" t="s">
        <v>27096</v>
      </c>
      <c r="C8406" t="s">
        <v>2171</v>
      </c>
      <c r="D8406" t="s">
        <v>2172</v>
      </c>
      <c r="E8406" t="s">
        <v>2173</v>
      </c>
      <c r="F8406" t="s">
        <v>27097</v>
      </c>
      <c r="G8406" s="2" t="str">
        <f>HYPERLINK("https://probpalata.gov.ru/files/ЮЛ500100602500001.jpeg","Скачать индивидуальный QR-код магазина")</f>
        <v>Скачать индивидуальный QR-код магазина</v>
      </c>
    </row>
    <row r="8407" spans="1:7" x14ac:dyDescent="0.25">
      <c r="A8407" t="s">
        <v>26937</v>
      </c>
      <c r="B8407" t="s">
        <v>27098</v>
      </c>
      <c r="C8407" t="s">
        <v>2171</v>
      </c>
      <c r="D8407" t="s">
        <v>2172</v>
      </c>
      <c r="E8407" t="s">
        <v>2173</v>
      </c>
      <c r="F8407" t="s">
        <v>27099</v>
      </c>
      <c r="G8407" s="2" t="str">
        <f>HYPERLINK("https://probpalata.gov.ru/files/ЮЛ500100602500006.jpeg","Скачать индивидуальный QR-код магазина")</f>
        <v>Скачать индивидуальный QR-код магазина</v>
      </c>
    </row>
    <row r="8408" spans="1:7" x14ac:dyDescent="0.25">
      <c r="A8408" t="s">
        <v>26937</v>
      </c>
      <c r="B8408" t="s">
        <v>27100</v>
      </c>
      <c r="C8408" t="s">
        <v>2171</v>
      </c>
      <c r="D8408" t="s">
        <v>2172</v>
      </c>
      <c r="E8408" t="s">
        <v>2173</v>
      </c>
      <c r="F8408" t="s">
        <v>27101</v>
      </c>
      <c r="G8408" s="2" t="str">
        <f>HYPERLINK("https://probpalata.gov.ru/files/ЮЛ500100602500008.jpeg","Скачать индивидуальный QR-код магазина")</f>
        <v>Скачать индивидуальный QR-код магазина</v>
      </c>
    </row>
    <row r="8409" spans="1:7" x14ac:dyDescent="0.25">
      <c r="A8409" t="s">
        <v>26937</v>
      </c>
      <c r="B8409" t="s">
        <v>27102</v>
      </c>
      <c r="C8409" t="s">
        <v>2171</v>
      </c>
      <c r="D8409" t="s">
        <v>2172</v>
      </c>
      <c r="E8409" t="s">
        <v>2173</v>
      </c>
      <c r="F8409" t="s">
        <v>27103</v>
      </c>
      <c r="G8409" s="2" t="str">
        <f>HYPERLINK("https://probpalata.gov.ru/files/ЮЛ500100602500009.jpeg","Скачать индивидуальный QR-код магазина")</f>
        <v>Скачать индивидуальный QR-код магазина</v>
      </c>
    </row>
    <row r="8410" spans="1:7" x14ac:dyDescent="0.25">
      <c r="A8410" t="s">
        <v>26937</v>
      </c>
      <c r="B8410" t="s">
        <v>27104</v>
      </c>
      <c r="C8410" t="s">
        <v>2171</v>
      </c>
      <c r="D8410" t="s">
        <v>2172</v>
      </c>
      <c r="E8410" t="s">
        <v>2173</v>
      </c>
      <c r="F8410" t="s">
        <v>27105</v>
      </c>
      <c r="G8410" s="2" t="str">
        <f>HYPERLINK("https://probpalata.gov.ru/files/ЮЛ500100602500041.jpeg","Скачать индивидуальный QR-код магазина")</f>
        <v>Скачать индивидуальный QR-код магазина</v>
      </c>
    </row>
    <row r="8411" spans="1:7" x14ac:dyDescent="0.25">
      <c r="A8411" t="s">
        <v>26937</v>
      </c>
      <c r="B8411" t="s">
        <v>27106</v>
      </c>
      <c r="C8411" t="s">
        <v>2171</v>
      </c>
      <c r="D8411" t="s">
        <v>2172</v>
      </c>
      <c r="E8411" t="s">
        <v>2173</v>
      </c>
      <c r="F8411" t="s">
        <v>27107</v>
      </c>
      <c r="G8411" s="2" t="str">
        <f>HYPERLINK("https://probpalata.gov.ru/files/ЮЛ500100602500050.jpeg","Скачать индивидуальный QR-код магазина")</f>
        <v>Скачать индивидуальный QR-код магазина</v>
      </c>
    </row>
    <row r="8412" spans="1:7" x14ac:dyDescent="0.25">
      <c r="A8412" t="s">
        <v>26937</v>
      </c>
      <c r="B8412" t="s">
        <v>27108</v>
      </c>
      <c r="C8412" t="s">
        <v>27109</v>
      </c>
      <c r="D8412" t="s">
        <v>27110</v>
      </c>
      <c r="E8412" t="s">
        <v>27111</v>
      </c>
      <c r="F8412" t="s">
        <v>27112</v>
      </c>
      <c r="G8412" s="2" t="str">
        <f>HYPERLINK("https://probpalata.gov.ru/files/ИП770103678100000.jpeg","Скачать индивидуальный QR-код магазина")</f>
        <v>Скачать индивидуальный QR-код магазина</v>
      </c>
    </row>
    <row r="8413" spans="1:7" x14ac:dyDescent="0.25">
      <c r="A8413" t="s">
        <v>26937</v>
      </c>
      <c r="B8413" t="s">
        <v>27113</v>
      </c>
      <c r="C8413" t="s">
        <v>27114</v>
      </c>
      <c r="D8413" t="s">
        <v>27115</v>
      </c>
      <c r="E8413" t="s">
        <v>27116</v>
      </c>
      <c r="F8413" t="s">
        <v>27117</v>
      </c>
      <c r="G8413" s="2" t="str">
        <f>HYPERLINK("https://probpalata.gov.ru/files/ИП440204089500000.jpeg","Скачать индивидуальный QR-код магазина")</f>
        <v>Скачать индивидуальный QR-код магазина</v>
      </c>
    </row>
    <row r="8414" spans="1:7" x14ac:dyDescent="0.25">
      <c r="A8414" t="s">
        <v>26937</v>
      </c>
      <c r="B8414" t="s">
        <v>27118</v>
      </c>
      <c r="C8414" t="s">
        <v>27119</v>
      </c>
      <c r="D8414" t="s">
        <v>27120</v>
      </c>
      <c r="E8414" t="s">
        <v>27121</v>
      </c>
      <c r="F8414" t="s">
        <v>27122</v>
      </c>
      <c r="G8414" s="2" t="str">
        <f>HYPERLINK("https://probpalata.gov.ru/files/ИП500100225400000.jpeg","Скачать индивидуальный QR-код магазина")</f>
        <v>Скачать индивидуальный QR-код магазина</v>
      </c>
    </row>
    <row r="8415" spans="1:7" x14ac:dyDescent="0.25">
      <c r="A8415" t="s">
        <v>26937</v>
      </c>
      <c r="B8415" t="s">
        <v>27123</v>
      </c>
      <c r="C8415" t="s">
        <v>2185</v>
      </c>
      <c r="D8415" t="s">
        <v>2186</v>
      </c>
      <c r="E8415" t="s">
        <v>2187</v>
      </c>
      <c r="F8415" t="s">
        <v>27124</v>
      </c>
      <c r="G8415" s="2" t="str">
        <f>HYPERLINK("https://probpalata.gov.ru/files/ЮЛ480100215000006.jpeg","Скачать индивидуальный QR-код магазина")</f>
        <v>Скачать индивидуальный QR-код магазина</v>
      </c>
    </row>
    <row r="8416" spans="1:7" x14ac:dyDescent="0.25">
      <c r="A8416" t="s">
        <v>26937</v>
      </c>
      <c r="B8416" t="s">
        <v>27125</v>
      </c>
      <c r="C8416" t="s">
        <v>27126</v>
      </c>
      <c r="D8416" t="s">
        <v>27127</v>
      </c>
      <c r="E8416" t="s">
        <v>27128</v>
      </c>
      <c r="F8416" t="s">
        <v>27129</v>
      </c>
      <c r="G8416" s="2" t="str">
        <f>HYPERLINK("https://probpalata.gov.ru/files/ИП500101287200000.jpeg","Скачать индивидуальный QR-код магазина")</f>
        <v>Скачать индивидуальный QR-код магазина</v>
      </c>
    </row>
    <row r="8417" spans="1:7" x14ac:dyDescent="0.25">
      <c r="A8417" t="s">
        <v>26937</v>
      </c>
      <c r="B8417" t="s">
        <v>27130</v>
      </c>
      <c r="C8417" t="s">
        <v>27131</v>
      </c>
      <c r="D8417" t="s">
        <v>27132</v>
      </c>
      <c r="E8417" t="s">
        <v>27133</v>
      </c>
      <c r="F8417" t="s">
        <v>27134</v>
      </c>
      <c r="G8417" s="2" t="str">
        <f>HYPERLINK("https://probpalata.gov.ru/files/ИП500100360500001.jpeg","Скачать индивидуальный QR-код магазина")</f>
        <v>Скачать индивидуальный QR-код магазина</v>
      </c>
    </row>
    <row r="8418" spans="1:7" x14ac:dyDescent="0.25">
      <c r="A8418" t="s">
        <v>26937</v>
      </c>
      <c r="B8418" t="s">
        <v>27135</v>
      </c>
      <c r="C8418" t="s">
        <v>27131</v>
      </c>
      <c r="D8418" t="s">
        <v>27132</v>
      </c>
      <c r="E8418" t="s">
        <v>27133</v>
      </c>
      <c r="F8418" t="s">
        <v>27136</v>
      </c>
      <c r="G8418" s="2" t="str">
        <f>HYPERLINK("https://probpalata.gov.ru/files/ИП500100360500002.jpeg","Скачать индивидуальный QR-код магазина")</f>
        <v>Скачать индивидуальный QR-код магазина</v>
      </c>
    </row>
    <row r="8419" spans="1:7" x14ac:dyDescent="0.25">
      <c r="A8419" t="s">
        <v>26937</v>
      </c>
      <c r="B8419" t="s">
        <v>27137</v>
      </c>
      <c r="C8419" t="s">
        <v>27131</v>
      </c>
      <c r="D8419" t="s">
        <v>27132</v>
      </c>
      <c r="E8419" t="s">
        <v>27133</v>
      </c>
      <c r="F8419" t="s">
        <v>27138</v>
      </c>
      <c r="G8419" s="2" t="str">
        <f>HYPERLINK("https://probpalata.gov.ru/files/ИП500100360500003.jpeg","Скачать индивидуальный QR-код магазина")</f>
        <v>Скачать индивидуальный QR-код магазина</v>
      </c>
    </row>
    <row r="8420" spans="1:7" x14ac:dyDescent="0.25">
      <c r="A8420" t="s">
        <v>26937</v>
      </c>
      <c r="B8420" t="s">
        <v>27139</v>
      </c>
      <c r="C8420" t="s">
        <v>27131</v>
      </c>
      <c r="D8420" t="s">
        <v>27132</v>
      </c>
      <c r="E8420" t="s">
        <v>27133</v>
      </c>
      <c r="F8420" t="s">
        <v>27140</v>
      </c>
      <c r="G8420" s="2" t="str">
        <f>HYPERLINK("https://probpalata.gov.ru/files/ИП500100360500004.jpeg","Скачать индивидуальный QR-код магазина")</f>
        <v>Скачать индивидуальный QR-код магазина</v>
      </c>
    </row>
    <row r="8421" spans="1:7" x14ac:dyDescent="0.25">
      <c r="A8421" t="s">
        <v>26937</v>
      </c>
      <c r="B8421" t="s">
        <v>27141</v>
      </c>
      <c r="C8421" t="s">
        <v>27131</v>
      </c>
      <c r="D8421" t="s">
        <v>27132</v>
      </c>
      <c r="E8421" t="s">
        <v>27133</v>
      </c>
      <c r="F8421" t="s">
        <v>27142</v>
      </c>
      <c r="G8421" s="2" t="str">
        <f>HYPERLINK("https://probpalata.gov.ru/files/ИП500100360500005.jpeg","Скачать индивидуальный QR-код магазина")</f>
        <v>Скачать индивидуальный QR-код магазина</v>
      </c>
    </row>
    <row r="8422" spans="1:7" x14ac:dyDescent="0.25">
      <c r="A8422" t="s">
        <v>26937</v>
      </c>
      <c r="B8422" t="s">
        <v>27143</v>
      </c>
      <c r="C8422" t="s">
        <v>27131</v>
      </c>
      <c r="D8422" t="s">
        <v>27132</v>
      </c>
      <c r="E8422" t="s">
        <v>27133</v>
      </c>
      <c r="F8422" t="s">
        <v>27144</v>
      </c>
      <c r="G8422" s="2" t="str">
        <f>HYPERLINK("https://probpalata.gov.ru/files/ИП500100360500006.jpeg","Скачать индивидуальный QR-код магазина")</f>
        <v>Скачать индивидуальный QR-код магазина</v>
      </c>
    </row>
    <row r="8423" spans="1:7" x14ac:dyDescent="0.25">
      <c r="A8423" t="s">
        <v>26937</v>
      </c>
      <c r="B8423" t="s">
        <v>27145</v>
      </c>
      <c r="C8423" t="s">
        <v>27131</v>
      </c>
      <c r="D8423" t="s">
        <v>27132</v>
      </c>
      <c r="E8423" t="s">
        <v>27133</v>
      </c>
      <c r="F8423" t="s">
        <v>27146</v>
      </c>
      <c r="G8423" s="2" t="str">
        <f>HYPERLINK("https://probpalata.gov.ru/files/ИП500100360500007.jpeg","Скачать индивидуальный QR-код магазина")</f>
        <v>Скачать индивидуальный QR-код магазина</v>
      </c>
    </row>
    <row r="8424" spans="1:7" x14ac:dyDescent="0.25">
      <c r="A8424" t="s">
        <v>26937</v>
      </c>
      <c r="B8424" t="s">
        <v>27147</v>
      </c>
      <c r="C8424" t="s">
        <v>27131</v>
      </c>
      <c r="D8424" t="s">
        <v>27132</v>
      </c>
      <c r="E8424" t="s">
        <v>27133</v>
      </c>
      <c r="F8424" t="s">
        <v>27148</v>
      </c>
      <c r="G8424" s="2" t="str">
        <f>HYPERLINK("https://probpalata.gov.ru/files/ИП500100360500008.jpeg","Скачать индивидуальный QR-код магазина")</f>
        <v>Скачать индивидуальный QR-код магазина</v>
      </c>
    </row>
    <row r="8425" spans="1:7" x14ac:dyDescent="0.25">
      <c r="A8425" t="s">
        <v>26937</v>
      </c>
      <c r="B8425" t="s">
        <v>27149</v>
      </c>
      <c r="C8425" t="s">
        <v>27131</v>
      </c>
      <c r="D8425" t="s">
        <v>27132</v>
      </c>
      <c r="E8425" t="s">
        <v>27133</v>
      </c>
      <c r="F8425" t="s">
        <v>27150</v>
      </c>
      <c r="G8425" s="2" t="str">
        <f>HYPERLINK("https://probpalata.gov.ru/files/ИП500100360500009.jpeg","Скачать индивидуальный QR-код магазина")</f>
        <v>Скачать индивидуальный QR-код магазина</v>
      </c>
    </row>
    <row r="8426" spans="1:7" x14ac:dyDescent="0.25">
      <c r="A8426" t="s">
        <v>26937</v>
      </c>
      <c r="B8426" t="s">
        <v>27151</v>
      </c>
      <c r="C8426" t="s">
        <v>27152</v>
      </c>
      <c r="D8426" t="s">
        <v>27153</v>
      </c>
      <c r="E8426" t="s">
        <v>27154</v>
      </c>
      <c r="F8426" t="s">
        <v>27155</v>
      </c>
      <c r="G8426" s="2" t="str">
        <f>HYPERLINK("https://probpalata.gov.ru/files/ЮЛ500101563300000.jpeg","Скачать индивидуальный QR-код магазина")</f>
        <v>Скачать индивидуальный QR-код магазина</v>
      </c>
    </row>
    <row r="8427" spans="1:7" x14ac:dyDescent="0.25">
      <c r="A8427" t="s">
        <v>26937</v>
      </c>
      <c r="B8427" t="s">
        <v>27156</v>
      </c>
      <c r="C8427" t="s">
        <v>27157</v>
      </c>
      <c r="D8427" t="s">
        <v>27158</v>
      </c>
      <c r="E8427" t="s">
        <v>27159</v>
      </c>
      <c r="F8427" t="s">
        <v>27160</v>
      </c>
      <c r="G8427" s="2" t="str">
        <f>HYPERLINK("https://probpalata.gov.ru/files/ЮЛ500100029800000.jpeg","Скачать индивидуальный QR-код магазина")</f>
        <v>Скачать индивидуальный QR-код магазина</v>
      </c>
    </row>
    <row r="8428" spans="1:7" x14ac:dyDescent="0.25">
      <c r="A8428" t="s">
        <v>26937</v>
      </c>
      <c r="B8428" t="s">
        <v>27161</v>
      </c>
      <c r="C8428" t="s">
        <v>19591</v>
      </c>
      <c r="D8428" t="s">
        <v>19592</v>
      </c>
      <c r="E8428" t="s">
        <v>19593</v>
      </c>
      <c r="F8428" t="s">
        <v>27162</v>
      </c>
      <c r="G8428" s="2" t="str">
        <f>HYPERLINK("https://probpalata.gov.ru/files/ЮЛ500100408700000.jpeg","Скачать индивидуальный QR-код магазина")</f>
        <v>Скачать индивидуальный QR-код магазина</v>
      </c>
    </row>
    <row r="8429" spans="1:7" x14ac:dyDescent="0.25">
      <c r="A8429" t="s">
        <v>26937</v>
      </c>
      <c r="B8429" t="s">
        <v>27163</v>
      </c>
      <c r="C8429" t="s">
        <v>27164</v>
      </c>
      <c r="D8429" t="s">
        <v>27165</v>
      </c>
      <c r="E8429" t="s">
        <v>27166</v>
      </c>
      <c r="F8429" t="s">
        <v>27167</v>
      </c>
      <c r="G8429" s="2" t="str">
        <f>HYPERLINK("https://probpalata.gov.ru/files/ЮЛ500100418700000.jpeg","Скачать индивидуальный QR-код магазина")</f>
        <v>Скачать индивидуальный QR-код магазина</v>
      </c>
    </row>
    <row r="8430" spans="1:7" x14ac:dyDescent="0.25">
      <c r="A8430" t="s">
        <v>26937</v>
      </c>
      <c r="B8430" t="s">
        <v>27168</v>
      </c>
      <c r="C8430" t="s">
        <v>17446</v>
      </c>
      <c r="D8430" t="s">
        <v>17447</v>
      </c>
      <c r="E8430" t="s">
        <v>17448</v>
      </c>
      <c r="F8430" t="s">
        <v>27169</v>
      </c>
      <c r="G8430" s="2" t="str">
        <f>HYPERLINK("https://probpalata.gov.ru/files/ИП500100400700000.jpeg","Скачать индивидуальный QR-код магазина")</f>
        <v>Скачать индивидуальный QR-код магазина</v>
      </c>
    </row>
    <row r="8431" spans="1:7" x14ac:dyDescent="0.25">
      <c r="A8431" t="s">
        <v>26937</v>
      </c>
      <c r="B8431" t="s">
        <v>27170</v>
      </c>
      <c r="C8431" t="s">
        <v>17446</v>
      </c>
      <c r="D8431" t="s">
        <v>17447</v>
      </c>
      <c r="E8431" t="s">
        <v>17448</v>
      </c>
      <c r="F8431" t="s">
        <v>27171</v>
      </c>
      <c r="G8431" s="2" t="str">
        <f>HYPERLINK("https://probpalata.gov.ru/files/ИП500100400700002.jpeg","Скачать индивидуальный QR-код магазина")</f>
        <v>Скачать индивидуальный QR-код магазина</v>
      </c>
    </row>
    <row r="8432" spans="1:7" x14ac:dyDescent="0.25">
      <c r="A8432" t="s">
        <v>26937</v>
      </c>
      <c r="B8432" t="s">
        <v>27172</v>
      </c>
      <c r="C8432" t="s">
        <v>17446</v>
      </c>
      <c r="D8432" t="s">
        <v>17447</v>
      </c>
      <c r="E8432" t="s">
        <v>17448</v>
      </c>
      <c r="F8432" t="s">
        <v>27173</v>
      </c>
      <c r="G8432" s="2" t="str">
        <f>HYPERLINK("https://probpalata.gov.ru/files/ИП500100400700003.jpeg","Скачать индивидуальный QR-код магазина")</f>
        <v>Скачать индивидуальный QR-код магазина</v>
      </c>
    </row>
    <row r="8433" spans="1:7" x14ac:dyDescent="0.25">
      <c r="A8433" t="s">
        <v>26937</v>
      </c>
      <c r="B8433" t="s">
        <v>27174</v>
      </c>
      <c r="C8433" t="s">
        <v>17446</v>
      </c>
      <c r="D8433" t="s">
        <v>17447</v>
      </c>
      <c r="E8433" t="s">
        <v>17448</v>
      </c>
      <c r="F8433" t="s">
        <v>27175</v>
      </c>
      <c r="G8433" s="2" t="str">
        <f>HYPERLINK("https://probpalata.gov.ru/files/ИП500100400700005.jpeg","Скачать индивидуальный QR-код магазина")</f>
        <v>Скачать индивидуальный QR-код магазина</v>
      </c>
    </row>
    <row r="8434" spans="1:7" x14ac:dyDescent="0.25">
      <c r="A8434" t="s">
        <v>26937</v>
      </c>
      <c r="B8434" t="s">
        <v>27176</v>
      </c>
      <c r="C8434" t="s">
        <v>27177</v>
      </c>
      <c r="D8434" t="s">
        <v>27178</v>
      </c>
      <c r="E8434" t="s">
        <v>27179</v>
      </c>
      <c r="F8434" t="s">
        <v>27180</v>
      </c>
      <c r="G8434" s="2" t="str">
        <f>HYPERLINK("https://probpalata.gov.ru/files/ЮЛ500100604300000.jpeg","Скачать индивидуальный QR-код магазина")</f>
        <v>Скачать индивидуальный QR-код магазина</v>
      </c>
    </row>
    <row r="8435" spans="1:7" x14ac:dyDescent="0.25">
      <c r="A8435" t="s">
        <v>26937</v>
      </c>
      <c r="B8435" t="s">
        <v>27181</v>
      </c>
      <c r="C8435" t="s">
        <v>27177</v>
      </c>
      <c r="D8435" t="s">
        <v>27178</v>
      </c>
      <c r="E8435" t="s">
        <v>27179</v>
      </c>
      <c r="F8435" t="s">
        <v>27182</v>
      </c>
      <c r="G8435" s="2" t="str">
        <f>HYPERLINK("https://probpalata.gov.ru/files/ЮЛ500100604300002.jpeg","Скачать индивидуальный QR-код магазина")</f>
        <v>Скачать индивидуальный QR-код магазина</v>
      </c>
    </row>
    <row r="8436" spans="1:7" x14ac:dyDescent="0.25">
      <c r="A8436" t="s">
        <v>26937</v>
      </c>
      <c r="B8436" t="s">
        <v>27183</v>
      </c>
      <c r="C8436" t="s">
        <v>27184</v>
      </c>
      <c r="D8436" t="s">
        <v>27185</v>
      </c>
      <c r="E8436" t="s">
        <v>27186</v>
      </c>
      <c r="F8436" t="s">
        <v>27187</v>
      </c>
      <c r="G8436" s="2" t="str">
        <f>HYPERLINK("https://probpalata.gov.ru/files/ИП500101433800000.jpeg","Скачать индивидуальный QR-код магазина")</f>
        <v>Скачать индивидуальный QR-код магазина</v>
      </c>
    </row>
    <row r="8437" spans="1:7" x14ac:dyDescent="0.25">
      <c r="A8437" t="s">
        <v>26937</v>
      </c>
      <c r="B8437" t="s">
        <v>27188</v>
      </c>
      <c r="C8437" t="s">
        <v>19611</v>
      </c>
      <c r="D8437" t="s">
        <v>19612</v>
      </c>
      <c r="E8437" t="s">
        <v>19613</v>
      </c>
      <c r="F8437" t="s">
        <v>27189</v>
      </c>
      <c r="G8437" s="2" t="str">
        <f>HYPERLINK("https://probpalata.gov.ru/files/ИП500100355200002.jpeg","Скачать индивидуальный QR-код магазина")</f>
        <v>Скачать индивидуальный QR-код магазина</v>
      </c>
    </row>
    <row r="8438" spans="1:7" x14ac:dyDescent="0.25">
      <c r="A8438" t="s">
        <v>26937</v>
      </c>
      <c r="B8438" t="s">
        <v>27190</v>
      </c>
      <c r="C8438" t="s">
        <v>19611</v>
      </c>
      <c r="D8438" t="s">
        <v>19612</v>
      </c>
      <c r="E8438" t="s">
        <v>19613</v>
      </c>
      <c r="F8438" t="s">
        <v>27191</v>
      </c>
      <c r="G8438" s="2" t="str">
        <f>HYPERLINK("https://probpalata.gov.ru/files/ИП500100355200004.jpeg","Скачать индивидуальный QR-код магазина")</f>
        <v>Скачать индивидуальный QR-код магазина</v>
      </c>
    </row>
    <row r="8439" spans="1:7" x14ac:dyDescent="0.25">
      <c r="A8439" t="s">
        <v>26937</v>
      </c>
      <c r="B8439" t="s">
        <v>27192</v>
      </c>
      <c r="C8439" t="s">
        <v>19611</v>
      </c>
      <c r="D8439" t="s">
        <v>19612</v>
      </c>
      <c r="E8439" t="s">
        <v>19613</v>
      </c>
      <c r="F8439" t="s">
        <v>27193</v>
      </c>
      <c r="G8439" s="2" t="str">
        <f>HYPERLINK("https://probpalata.gov.ru/files/ИП500100355200005.jpeg","Скачать индивидуальный QR-код магазина")</f>
        <v>Скачать индивидуальный QR-код магазина</v>
      </c>
    </row>
    <row r="8440" spans="1:7" x14ac:dyDescent="0.25">
      <c r="A8440" t="s">
        <v>26937</v>
      </c>
      <c r="B8440" t="s">
        <v>27194</v>
      </c>
      <c r="C8440" t="s">
        <v>19611</v>
      </c>
      <c r="D8440" t="s">
        <v>19612</v>
      </c>
      <c r="E8440" t="s">
        <v>19613</v>
      </c>
      <c r="F8440" t="s">
        <v>27195</v>
      </c>
      <c r="G8440" s="2" t="str">
        <f>HYPERLINK("https://probpalata.gov.ru/files/ИП500100355200006.jpeg","Скачать индивидуальный QR-код магазина")</f>
        <v>Скачать индивидуальный QR-код магазина</v>
      </c>
    </row>
    <row r="8441" spans="1:7" x14ac:dyDescent="0.25">
      <c r="A8441" t="s">
        <v>26937</v>
      </c>
      <c r="B8441" t="s">
        <v>27196</v>
      </c>
      <c r="C8441" t="s">
        <v>19611</v>
      </c>
      <c r="D8441" t="s">
        <v>19612</v>
      </c>
      <c r="E8441" t="s">
        <v>19613</v>
      </c>
      <c r="F8441" t="s">
        <v>27197</v>
      </c>
      <c r="G8441" s="2" t="str">
        <f>HYPERLINK("https://probpalata.gov.ru/files/ИП500100355200007.jpeg","Скачать индивидуальный QR-код магазина")</f>
        <v>Скачать индивидуальный QR-код магазина</v>
      </c>
    </row>
    <row r="8442" spans="1:7" x14ac:dyDescent="0.25">
      <c r="A8442" t="s">
        <v>26937</v>
      </c>
      <c r="B8442" t="s">
        <v>27198</v>
      </c>
      <c r="C8442" t="s">
        <v>19611</v>
      </c>
      <c r="D8442" t="s">
        <v>19612</v>
      </c>
      <c r="E8442" t="s">
        <v>19613</v>
      </c>
      <c r="F8442" t="s">
        <v>27199</v>
      </c>
      <c r="G8442" s="2" t="str">
        <f>HYPERLINK("https://probpalata.gov.ru/files/ИП500100355200008.jpeg","Скачать индивидуальный QR-код магазина")</f>
        <v>Скачать индивидуальный QR-код магазина</v>
      </c>
    </row>
    <row r="8443" spans="1:7" x14ac:dyDescent="0.25">
      <c r="A8443" t="s">
        <v>26937</v>
      </c>
      <c r="B8443" t="s">
        <v>27200</v>
      </c>
      <c r="C8443" t="s">
        <v>19611</v>
      </c>
      <c r="D8443" t="s">
        <v>19612</v>
      </c>
      <c r="E8443" t="s">
        <v>19613</v>
      </c>
      <c r="F8443" t="s">
        <v>27201</v>
      </c>
      <c r="G8443" s="2" t="str">
        <f>HYPERLINK("https://probpalata.gov.ru/files/ИП500100355200013.jpeg","Скачать индивидуальный QR-код магазина")</f>
        <v>Скачать индивидуальный QR-код магазина</v>
      </c>
    </row>
    <row r="8444" spans="1:7" x14ac:dyDescent="0.25">
      <c r="A8444" t="s">
        <v>26937</v>
      </c>
      <c r="B8444" t="s">
        <v>27202</v>
      </c>
      <c r="C8444" t="s">
        <v>27203</v>
      </c>
      <c r="D8444" t="s">
        <v>27204</v>
      </c>
      <c r="E8444" t="s">
        <v>27205</v>
      </c>
      <c r="F8444" t="s">
        <v>27206</v>
      </c>
      <c r="G8444" s="2" t="str">
        <f>HYPERLINK("https://probpalata.gov.ru/files/ИП500101671800000.jpeg","Скачать индивидуальный QR-код магазина")</f>
        <v>Скачать индивидуальный QR-код магазина</v>
      </c>
    </row>
    <row r="8445" spans="1:7" x14ac:dyDescent="0.25">
      <c r="A8445" t="s">
        <v>26937</v>
      </c>
      <c r="B8445" t="s">
        <v>27207</v>
      </c>
      <c r="C8445" t="s">
        <v>14736</v>
      </c>
      <c r="D8445" t="s">
        <v>14737</v>
      </c>
      <c r="E8445" t="s">
        <v>14738</v>
      </c>
      <c r="F8445" t="s">
        <v>27208</v>
      </c>
      <c r="G8445" s="2" t="str">
        <f>HYPERLINK("https://probpalata.gov.ru/files/ЮЛ500100649400000.jpeg","Скачать индивидуальный QR-код магазина")</f>
        <v>Скачать индивидуальный QR-код магазина</v>
      </c>
    </row>
    <row r="8446" spans="1:7" x14ac:dyDescent="0.25">
      <c r="A8446" t="s">
        <v>26937</v>
      </c>
      <c r="B8446" t="s">
        <v>27209</v>
      </c>
      <c r="C8446" t="s">
        <v>14736</v>
      </c>
      <c r="D8446" t="s">
        <v>14737</v>
      </c>
      <c r="E8446" t="s">
        <v>14738</v>
      </c>
      <c r="F8446" t="s">
        <v>27210</v>
      </c>
      <c r="G8446" s="2" t="str">
        <f>HYPERLINK("https://probpalata.gov.ru/files/ЮЛ500100649400005.jpeg","Скачать индивидуальный QR-код магазина")</f>
        <v>Скачать индивидуальный QR-код магазина</v>
      </c>
    </row>
    <row r="8447" spans="1:7" x14ac:dyDescent="0.25">
      <c r="A8447" t="s">
        <v>26937</v>
      </c>
      <c r="B8447" t="s">
        <v>27211</v>
      </c>
      <c r="C8447" t="s">
        <v>14736</v>
      </c>
      <c r="D8447" t="s">
        <v>14737</v>
      </c>
      <c r="E8447" t="s">
        <v>14738</v>
      </c>
      <c r="F8447" t="s">
        <v>27212</v>
      </c>
      <c r="G8447" s="2" t="str">
        <f>HYPERLINK("https://probpalata.gov.ru/files/ЮЛ500100649400012.jpeg","Скачать индивидуальный QR-код магазина")</f>
        <v>Скачать индивидуальный QR-код магазина</v>
      </c>
    </row>
    <row r="8448" spans="1:7" x14ac:dyDescent="0.25">
      <c r="A8448" t="s">
        <v>26937</v>
      </c>
      <c r="B8448" t="s">
        <v>27213</v>
      </c>
      <c r="C8448" t="s">
        <v>14736</v>
      </c>
      <c r="D8448" t="s">
        <v>14737</v>
      </c>
      <c r="E8448" t="s">
        <v>14738</v>
      </c>
      <c r="F8448" t="s">
        <v>27214</v>
      </c>
      <c r="G8448" s="2" t="str">
        <f>HYPERLINK("https://probpalata.gov.ru/files/ЮЛ500100649400014.jpeg","Скачать индивидуальный QR-код магазина")</f>
        <v>Скачать индивидуальный QR-код магазина</v>
      </c>
    </row>
    <row r="8449" spans="1:7" x14ac:dyDescent="0.25">
      <c r="A8449" t="s">
        <v>26937</v>
      </c>
      <c r="B8449" t="s">
        <v>27215</v>
      </c>
      <c r="C8449" t="s">
        <v>14736</v>
      </c>
      <c r="D8449" t="s">
        <v>14737</v>
      </c>
      <c r="E8449" t="s">
        <v>14738</v>
      </c>
      <c r="F8449" t="s">
        <v>27216</v>
      </c>
      <c r="G8449" s="2" t="str">
        <f>HYPERLINK("https://probpalata.gov.ru/files/ЮЛ500100649400015.jpeg","Скачать индивидуальный QR-код магазина")</f>
        <v>Скачать индивидуальный QR-код магазина</v>
      </c>
    </row>
    <row r="8450" spans="1:7" x14ac:dyDescent="0.25">
      <c r="A8450" t="s">
        <v>26937</v>
      </c>
      <c r="B8450" t="s">
        <v>27217</v>
      </c>
      <c r="C8450" t="s">
        <v>14736</v>
      </c>
      <c r="D8450" t="s">
        <v>14737</v>
      </c>
      <c r="E8450" t="s">
        <v>14738</v>
      </c>
      <c r="F8450" t="s">
        <v>27218</v>
      </c>
      <c r="G8450" s="2" t="str">
        <f>HYPERLINK("https://probpalata.gov.ru/files/ЮЛ500100649400016.jpeg","Скачать индивидуальный QR-код магазина")</f>
        <v>Скачать индивидуальный QR-код магазина</v>
      </c>
    </row>
    <row r="8451" spans="1:7" x14ac:dyDescent="0.25">
      <c r="A8451" t="s">
        <v>26937</v>
      </c>
      <c r="B8451" t="s">
        <v>27219</v>
      </c>
      <c r="C8451" t="s">
        <v>14736</v>
      </c>
      <c r="D8451" t="s">
        <v>14737</v>
      </c>
      <c r="E8451" t="s">
        <v>14738</v>
      </c>
      <c r="F8451" t="s">
        <v>27220</v>
      </c>
      <c r="G8451" s="2" t="str">
        <f>HYPERLINK("https://probpalata.gov.ru/files/ЮЛ500100649400026.jpeg","Скачать индивидуальный QR-код магазина")</f>
        <v>Скачать индивидуальный QR-код магазина</v>
      </c>
    </row>
    <row r="8452" spans="1:7" x14ac:dyDescent="0.25">
      <c r="A8452" t="s">
        <v>26937</v>
      </c>
      <c r="B8452" t="s">
        <v>27221</v>
      </c>
      <c r="C8452" t="s">
        <v>14736</v>
      </c>
      <c r="D8452" t="s">
        <v>14737</v>
      </c>
      <c r="E8452" t="s">
        <v>14738</v>
      </c>
      <c r="F8452" t="s">
        <v>27222</v>
      </c>
      <c r="G8452" s="2" t="str">
        <f>HYPERLINK("https://probpalata.gov.ru/files/ЮЛ500100649400027.jpeg","Скачать индивидуальный QR-код магазина")</f>
        <v>Скачать индивидуальный QR-код магазина</v>
      </c>
    </row>
    <row r="8453" spans="1:7" x14ac:dyDescent="0.25">
      <c r="A8453" t="s">
        <v>26937</v>
      </c>
      <c r="B8453" t="s">
        <v>27223</v>
      </c>
      <c r="C8453" t="s">
        <v>14736</v>
      </c>
      <c r="D8453" t="s">
        <v>14737</v>
      </c>
      <c r="E8453" t="s">
        <v>14738</v>
      </c>
      <c r="F8453" t="s">
        <v>27224</v>
      </c>
      <c r="G8453" s="2" t="str">
        <f>HYPERLINK("https://probpalata.gov.ru/files/ЮЛ500100649400029.jpeg","Скачать индивидуальный QR-код магазина")</f>
        <v>Скачать индивидуальный QR-код магазина</v>
      </c>
    </row>
    <row r="8454" spans="1:7" x14ac:dyDescent="0.25">
      <c r="A8454" t="s">
        <v>26937</v>
      </c>
      <c r="B8454" t="s">
        <v>27225</v>
      </c>
      <c r="C8454" t="s">
        <v>14736</v>
      </c>
      <c r="D8454" t="s">
        <v>14737</v>
      </c>
      <c r="E8454" t="s">
        <v>14738</v>
      </c>
      <c r="F8454" t="s">
        <v>27226</v>
      </c>
      <c r="G8454" s="2" t="str">
        <f>HYPERLINK("https://probpalata.gov.ru/files/ЮЛ500100649400035.jpeg","Скачать индивидуальный QR-код магазина")</f>
        <v>Скачать индивидуальный QR-код магазина</v>
      </c>
    </row>
    <row r="8455" spans="1:7" x14ac:dyDescent="0.25">
      <c r="A8455" t="s">
        <v>26937</v>
      </c>
      <c r="B8455" t="s">
        <v>27227</v>
      </c>
      <c r="C8455" t="s">
        <v>14736</v>
      </c>
      <c r="D8455" t="s">
        <v>14737</v>
      </c>
      <c r="E8455" t="s">
        <v>14738</v>
      </c>
      <c r="F8455" t="s">
        <v>27228</v>
      </c>
      <c r="G8455" s="2" t="str">
        <f>HYPERLINK("https://probpalata.gov.ru/files/ЮЛ500100649400045.jpeg","Скачать индивидуальный QR-код магазина")</f>
        <v>Скачать индивидуальный QR-код магазина</v>
      </c>
    </row>
    <row r="8456" spans="1:7" x14ac:dyDescent="0.25">
      <c r="A8456" t="s">
        <v>26937</v>
      </c>
      <c r="B8456" t="s">
        <v>27229</v>
      </c>
      <c r="C8456" t="s">
        <v>14736</v>
      </c>
      <c r="D8456" t="s">
        <v>14737</v>
      </c>
      <c r="E8456" t="s">
        <v>14738</v>
      </c>
      <c r="F8456" t="s">
        <v>27230</v>
      </c>
      <c r="G8456" s="2" t="str">
        <f>HYPERLINK("https://probpalata.gov.ru/files/ЮЛ500100649400049.jpeg","Скачать индивидуальный QR-код магазина")</f>
        <v>Скачать индивидуальный QR-код магазина</v>
      </c>
    </row>
    <row r="8457" spans="1:7" x14ac:dyDescent="0.25">
      <c r="A8457" t="s">
        <v>26937</v>
      </c>
      <c r="B8457" t="s">
        <v>27231</v>
      </c>
      <c r="C8457" t="s">
        <v>14736</v>
      </c>
      <c r="D8457" t="s">
        <v>14737</v>
      </c>
      <c r="E8457" t="s">
        <v>14738</v>
      </c>
      <c r="F8457" t="s">
        <v>27232</v>
      </c>
      <c r="G8457" s="2" t="str">
        <f>HYPERLINK("https://probpalata.gov.ru/files/ЮЛ500100649400058.jpeg","Скачать индивидуальный QR-код магазина")</f>
        <v>Скачать индивидуальный QR-код магазина</v>
      </c>
    </row>
    <row r="8458" spans="1:7" x14ac:dyDescent="0.25">
      <c r="A8458" t="s">
        <v>26937</v>
      </c>
      <c r="B8458" t="s">
        <v>27233</v>
      </c>
      <c r="C8458" t="s">
        <v>14736</v>
      </c>
      <c r="D8458" t="s">
        <v>14737</v>
      </c>
      <c r="E8458" t="s">
        <v>14738</v>
      </c>
      <c r="F8458" t="s">
        <v>27234</v>
      </c>
      <c r="G8458" s="2" t="str">
        <f>HYPERLINK("https://probpalata.gov.ru/files/ЮЛ500100649400072.jpeg","Скачать индивидуальный QR-код магазина")</f>
        <v>Скачать индивидуальный QR-код магазина</v>
      </c>
    </row>
    <row r="8459" spans="1:7" x14ac:dyDescent="0.25">
      <c r="A8459" t="s">
        <v>26937</v>
      </c>
      <c r="B8459" t="s">
        <v>27235</v>
      </c>
      <c r="C8459" t="s">
        <v>27236</v>
      </c>
      <c r="D8459" t="s">
        <v>27237</v>
      </c>
      <c r="E8459" t="s">
        <v>27238</v>
      </c>
      <c r="F8459" t="s">
        <v>27239</v>
      </c>
      <c r="G8459" s="2" t="str">
        <f>HYPERLINK("https://probpalata.gov.ru/files/ИП500103786000000.jpeg","Скачать индивидуальный QR-код магазина")</f>
        <v>Скачать индивидуальный QR-код магазина</v>
      </c>
    </row>
    <row r="8460" spans="1:7" x14ac:dyDescent="0.25">
      <c r="A8460" t="s">
        <v>26937</v>
      </c>
      <c r="B8460" t="s">
        <v>27235</v>
      </c>
      <c r="C8460" t="s">
        <v>13294</v>
      </c>
      <c r="D8460" t="s">
        <v>27240</v>
      </c>
      <c r="E8460" t="s">
        <v>27241</v>
      </c>
      <c r="F8460" t="s">
        <v>27242</v>
      </c>
      <c r="G8460" s="2" t="str">
        <f>HYPERLINK("https://probpalata.gov.ru/files/ЮЛ500100650300000.jpeg","Скачать индивидуальный QR-код магазина")</f>
        <v>Скачать индивидуальный QR-код магазина</v>
      </c>
    </row>
    <row r="8461" spans="1:7" x14ac:dyDescent="0.25">
      <c r="A8461" t="s">
        <v>26937</v>
      </c>
      <c r="B8461" t="s">
        <v>27243</v>
      </c>
      <c r="C8461" t="s">
        <v>13294</v>
      </c>
      <c r="D8461" t="s">
        <v>27240</v>
      </c>
      <c r="E8461" t="s">
        <v>27241</v>
      </c>
      <c r="F8461" t="s">
        <v>27244</v>
      </c>
      <c r="G8461" s="2" t="str">
        <f>HYPERLINK("https://probpalata.gov.ru/files/ЮЛ500100650300001.jpeg","Скачать индивидуальный QR-код магазина")</f>
        <v>Скачать индивидуальный QR-код магазина</v>
      </c>
    </row>
    <row r="8462" spans="1:7" x14ac:dyDescent="0.25">
      <c r="A8462" t="s">
        <v>26937</v>
      </c>
      <c r="B8462" t="s">
        <v>27245</v>
      </c>
      <c r="C8462" t="s">
        <v>27246</v>
      </c>
      <c r="D8462" t="s">
        <v>27247</v>
      </c>
      <c r="E8462" t="s">
        <v>27248</v>
      </c>
      <c r="F8462" t="s">
        <v>27249</v>
      </c>
      <c r="G8462" s="2" t="str">
        <f>HYPERLINK("https://probpalata.gov.ru/files/ИП500101293000001.jpeg","Скачать индивидуальный QR-код магазина")</f>
        <v>Скачать индивидуальный QR-код магазина</v>
      </c>
    </row>
    <row r="8463" spans="1:7" x14ac:dyDescent="0.25">
      <c r="A8463" t="s">
        <v>26937</v>
      </c>
      <c r="B8463" t="s">
        <v>27250</v>
      </c>
      <c r="C8463" t="s">
        <v>27251</v>
      </c>
      <c r="D8463" t="s">
        <v>27252</v>
      </c>
      <c r="E8463" t="s">
        <v>27253</v>
      </c>
      <c r="F8463" t="s">
        <v>27254</v>
      </c>
      <c r="G8463" s="2" t="str">
        <f>HYPERLINK("https://probpalata.gov.ru/files/ИП500100943400000.jpeg","Скачать индивидуальный QR-код магазина")</f>
        <v>Скачать индивидуальный QR-код магазина</v>
      </c>
    </row>
    <row r="8464" spans="1:7" x14ac:dyDescent="0.25">
      <c r="A8464" t="s">
        <v>26937</v>
      </c>
      <c r="B8464" t="s">
        <v>27255</v>
      </c>
      <c r="C8464" t="s">
        <v>27256</v>
      </c>
      <c r="D8464" t="s">
        <v>27257</v>
      </c>
      <c r="E8464" t="s">
        <v>27258</v>
      </c>
      <c r="F8464" t="s">
        <v>27259</v>
      </c>
      <c r="G8464" s="2" t="str">
        <f>HYPERLINK("https://probpalata.gov.ru/files/ЮЛ500101084600000.jpeg","Скачать индивидуальный QR-код магазина")</f>
        <v>Скачать индивидуальный QR-код магазина</v>
      </c>
    </row>
    <row r="8465" spans="1:7" x14ac:dyDescent="0.25">
      <c r="A8465" t="s">
        <v>26937</v>
      </c>
      <c r="B8465" t="s">
        <v>27260</v>
      </c>
      <c r="C8465" t="s">
        <v>27261</v>
      </c>
      <c r="D8465" t="s">
        <v>27262</v>
      </c>
      <c r="E8465" t="s">
        <v>27263</v>
      </c>
      <c r="F8465" t="s">
        <v>27264</v>
      </c>
      <c r="G8465" s="2" t="str">
        <f>HYPERLINK("https://probpalata.gov.ru/files/ИП500100465400000.jpeg","Скачать индивидуальный QR-код магазина")</f>
        <v>Скачать индивидуальный QR-код магазина</v>
      </c>
    </row>
    <row r="8466" spans="1:7" x14ac:dyDescent="0.25">
      <c r="A8466" t="s">
        <v>26937</v>
      </c>
      <c r="B8466" t="s">
        <v>27265</v>
      </c>
      <c r="C8466" t="s">
        <v>27266</v>
      </c>
      <c r="D8466" t="s">
        <v>27267</v>
      </c>
      <c r="E8466" t="s">
        <v>27268</v>
      </c>
      <c r="F8466" t="s">
        <v>27269</v>
      </c>
      <c r="G8466" s="2" t="str">
        <f>HYPERLINK("https://probpalata.gov.ru/files/ИП500100463400000.jpeg","Скачать индивидуальный QR-код магазина")</f>
        <v>Скачать индивидуальный QR-код магазина</v>
      </c>
    </row>
    <row r="8467" spans="1:7" x14ac:dyDescent="0.25">
      <c r="A8467" t="s">
        <v>26937</v>
      </c>
      <c r="B8467" t="s">
        <v>27270</v>
      </c>
      <c r="C8467" t="s">
        <v>27271</v>
      </c>
      <c r="D8467" t="s">
        <v>27272</v>
      </c>
      <c r="E8467" t="s">
        <v>27273</v>
      </c>
      <c r="F8467" t="s">
        <v>27274</v>
      </c>
      <c r="G8467" s="2" t="str">
        <f>HYPERLINK("https://probpalata.gov.ru/files/ИП500100948400000.jpeg","Скачать индивидуальный QR-код магазина")</f>
        <v>Скачать индивидуальный QR-код магазина</v>
      </c>
    </row>
    <row r="8468" spans="1:7" x14ac:dyDescent="0.25">
      <c r="A8468" t="s">
        <v>26937</v>
      </c>
      <c r="B8468" t="s">
        <v>27275</v>
      </c>
      <c r="C8468" t="s">
        <v>27276</v>
      </c>
      <c r="D8468" t="s">
        <v>27277</v>
      </c>
      <c r="E8468" t="s">
        <v>27278</v>
      </c>
      <c r="F8468" t="s">
        <v>27279</v>
      </c>
      <c r="G8468" s="2" t="str">
        <f>HYPERLINK("https://probpalata.gov.ru/files/ИП500100706100000.jpeg","Скачать индивидуальный QR-код магазина")</f>
        <v>Скачать индивидуальный QR-код магазина</v>
      </c>
    </row>
    <row r="8469" spans="1:7" x14ac:dyDescent="0.25">
      <c r="A8469" t="s">
        <v>26937</v>
      </c>
      <c r="B8469" t="s">
        <v>27280</v>
      </c>
      <c r="C8469" t="s">
        <v>27281</v>
      </c>
      <c r="D8469" t="s">
        <v>27282</v>
      </c>
      <c r="E8469" t="s">
        <v>27283</v>
      </c>
      <c r="F8469" t="s">
        <v>27284</v>
      </c>
      <c r="G8469" s="2" t="str">
        <f>HYPERLINK("https://probpalata.gov.ru/files/ИП500100473300000.jpeg","Скачать индивидуальный QR-код магазина")</f>
        <v>Скачать индивидуальный QR-код магазина</v>
      </c>
    </row>
    <row r="8470" spans="1:7" x14ac:dyDescent="0.25">
      <c r="A8470" t="s">
        <v>26937</v>
      </c>
      <c r="B8470" t="s">
        <v>27285</v>
      </c>
      <c r="C8470" t="s">
        <v>27286</v>
      </c>
      <c r="D8470" t="s">
        <v>27287</v>
      </c>
      <c r="E8470" t="s">
        <v>27288</v>
      </c>
      <c r="F8470" t="s">
        <v>27289</v>
      </c>
      <c r="G8470" s="2" t="str">
        <f>HYPERLINK("https://probpalata.gov.ru/files/ИП500100083300000.jpeg","Скачать индивидуальный QR-код магазина")</f>
        <v>Скачать индивидуальный QR-код магазина</v>
      </c>
    </row>
    <row r="8471" spans="1:7" x14ac:dyDescent="0.25">
      <c r="A8471" t="s">
        <v>26937</v>
      </c>
      <c r="B8471" t="s">
        <v>27290</v>
      </c>
      <c r="C8471" t="s">
        <v>27291</v>
      </c>
      <c r="D8471" t="s">
        <v>27292</v>
      </c>
      <c r="E8471" t="s">
        <v>27293</v>
      </c>
      <c r="F8471" t="s">
        <v>27294</v>
      </c>
      <c r="G8471" s="2" t="str">
        <f>HYPERLINK("https://probpalata.gov.ru/files/ИП500100552200000.jpeg","Скачать индивидуальный QR-код магазина")</f>
        <v>Скачать индивидуальный QR-код магазина</v>
      </c>
    </row>
    <row r="8472" spans="1:7" x14ac:dyDescent="0.25">
      <c r="A8472" t="s">
        <v>26937</v>
      </c>
      <c r="B8472" t="s">
        <v>27295</v>
      </c>
      <c r="C8472" t="s">
        <v>27291</v>
      </c>
      <c r="D8472" t="s">
        <v>27292</v>
      </c>
      <c r="E8472" t="s">
        <v>27293</v>
      </c>
      <c r="F8472" t="s">
        <v>27296</v>
      </c>
      <c r="G8472" s="2" t="str">
        <f>HYPERLINK("https://probpalata.gov.ru/files/ИП500100552200001.jpeg","Скачать индивидуальный QR-код магазина")</f>
        <v>Скачать индивидуальный QR-код магазина</v>
      </c>
    </row>
    <row r="8473" spans="1:7" x14ac:dyDescent="0.25">
      <c r="A8473" t="s">
        <v>26937</v>
      </c>
      <c r="B8473" t="s">
        <v>27297</v>
      </c>
      <c r="C8473" t="s">
        <v>27298</v>
      </c>
      <c r="D8473" t="s">
        <v>27299</v>
      </c>
      <c r="E8473" t="s">
        <v>27300</v>
      </c>
      <c r="F8473" t="s">
        <v>27301</v>
      </c>
      <c r="G8473" s="2" t="str">
        <f>HYPERLINK("https://probpalata.gov.ru/files/ИП500100526400000.jpeg","Скачать индивидуальный QR-код магазина")</f>
        <v>Скачать индивидуальный QR-код магазина</v>
      </c>
    </row>
    <row r="8474" spans="1:7" x14ac:dyDescent="0.25">
      <c r="A8474" t="s">
        <v>26937</v>
      </c>
      <c r="B8474" t="s">
        <v>27302</v>
      </c>
      <c r="C8474" t="s">
        <v>27303</v>
      </c>
      <c r="D8474" t="s">
        <v>27304</v>
      </c>
      <c r="E8474" t="s">
        <v>27305</v>
      </c>
      <c r="F8474" t="s">
        <v>27306</v>
      </c>
      <c r="G8474" s="2" t="str">
        <f>HYPERLINK("https://probpalata.gov.ru/files/ЮЛ500100201300000.jpeg","Скачать индивидуальный QR-код магазина")</f>
        <v>Скачать индивидуальный QR-код магазина</v>
      </c>
    </row>
    <row r="8475" spans="1:7" x14ac:dyDescent="0.25">
      <c r="A8475" t="s">
        <v>26937</v>
      </c>
      <c r="B8475" t="s">
        <v>27307</v>
      </c>
      <c r="C8475" t="s">
        <v>27303</v>
      </c>
      <c r="D8475" t="s">
        <v>27304</v>
      </c>
      <c r="E8475" t="s">
        <v>27305</v>
      </c>
      <c r="F8475" t="s">
        <v>27308</v>
      </c>
      <c r="G8475" s="2" t="str">
        <f>HYPERLINK("https://probpalata.gov.ru/files/ЮЛ500100201300002.jpeg","Скачать индивидуальный QR-код магазина")</f>
        <v>Скачать индивидуальный QR-код магазина</v>
      </c>
    </row>
    <row r="8476" spans="1:7" x14ac:dyDescent="0.25">
      <c r="A8476" t="s">
        <v>26937</v>
      </c>
      <c r="B8476" t="s">
        <v>27309</v>
      </c>
      <c r="C8476" t="s">
        <v>27303</v>
      </c>
      <c r="D8476" t="s">
        <v>27304</v>
      </c>
      <c r="E8476" t="s">
        <v>27305</v>
      </c>
      <c r="F8476" t="s">
        <v>27310</v>
      </c>
      <c r="G8476" s="2" t="str">
        <f>HYPERLINK("https://probpalata.gov.ru/files/ЮЛ500100201300004.jpeg","Скачать индивидуальный QR-код магазина")</f>
        <v>Скачать индивидуальный QR-код магазина</v>
      </c>
    </row>
    <row r="8477" spans="1:7" x14ac:dyDescent="0.25">
      <c r="A8477" t="s">
        <v>26937</v>
      </c>
      <c r="B8477" t="s">
        <v>27311</v>
      </c>
      <c r="C8477" t="s">
        <v>27303</v>
      </c>
      <c r="D8477" t="s">
        <v>27304</v>
      </c>
      <c r="E8477" t="s">
        <v>27305</v>
      </c>
      <c r="F8477" t="s">
        <v>27312</v>
      </c>
      <c r="G8477" s="2" t="str">
        <f>HYPERLINK("https://probpalata.gov.ru/files/ЮЛ500100201300006.jpeg","Скачать индивидуальный QR-код магазина")</f>
        <v>Скачать индивидуальный QR-код магазина</v>
      </c>
    </row>
    <row r="8478" spans="1:7" x14ac:dyDescent="0.25">
      <c r="A8478" t="s">
        <v>26937</v>
      </c>
      <c r="B8478" t="s">
        <v>27313</v>
      </c>
      <c r="C8478" t="s">
        <v>671</v>
      </c>
      <c r="D8478" t="s">
        <v>672</v>
      </c>
      <c r="E8478" t="s">
        <v>673</v>
      </c>
      <c r="F8478" t="s">
        <v>27314</v>
      </c>
      <c r="G8478" s="2" t="str">
        <f>HYPERLINK("https://probpalata.gov.ru/files/ИП500100445500033.jpeg","Скачать индивидуальный QR-код магазина")</f>
        <v>Скачать индивидуальный QR-код магазина</v>
      </c>
    </row>
    <row r="8479" spans="1:7" x14ac:dyDescent="0.25">
      <c r="A8479" t="s">
        <v>26937</v>
      </c>
      <c r="B8479" t="s">
        <v>27315</v>
      </c>
      <c r="C8479" t="s">
        <v>671</v>
      </c>
      <c r="D8479" t="s">
        <v>672</v>
      </c>
      <c r="E8479" t="s">
        <v>673</v>
      </c>
      <c r="F8479" t="s">
        <v>27316</v>
      </c>
      <c r="G8479" s="2" t="str">
        <f>HYPERLINK("https://probpalata.gov.ru/files/ИП500100445500042.jpeg","Скачать индивидуальный QR-код магазина")</f>
        <v>Скачать индивидуальный QR-код магазина</v>
      </c>
    </row>
    <row r="8480" spans="1:7" x14ac:dyDescent="0.25">
      <c r="A8480" t="s">
        <v>26937</v>
      </c>
      <c r="B8480" t="s">
        <v>27317</v>
      </c>
      <c r="C8480" t="s">
        <v>671</v>
      </c>
      <c r="D8480" t="s">
        <v>672</v>
      </c>
      <c r="E8480" t="s">
        <v>673</v>
      </c>
      <c r="F8480" t="s">
        <v>27318</v>
      </c>
      <c r="G8480" s="2" t="str">
        <f>HYPERLINK("https://probpalata.gov.ru/files/ИП500100445500063.jpeg","Скачать индивидуальный QR-код магазина")</f>
        <v>Скачать индивидуальный QR-код магазина</v>
      </c>
    </row>
    <row r="8481" spans="1:7" x14ac:dyDescent="0.25">
      <c r="A8481" t="s">
        <v>26937</v>
      </c>
      <c r="B8481" t="s">
        <v>27319</v>
      </c>
      <c r="C8481" t="s">
        <v>27320</v>
      </c>
      <c r="D8481" t="s">
        <v>27321</v>
      </c>
      <c r="E8481" t="s">
        <v>27322</v>
      </c>
      <c r="F8481" t="s">
        <v>27323</v>
      </c>
      <c r="G8481" s="2" t="str">
        <f>HYPERLINK("https://probpalata.gov.ru/files/ИП500103320900000.jpeg","Скачать индивидуальный QR-код магазина")</f>
        <v>Скачать индивидуальный QR-код магазина</v>
      </c>
    </row>
    <row r="8482" spans="1:7" x14ac:dyDescent="0.25">
      <c r="A8482" t="s">
        <v>26937</v>
      </c>
      <c r="B8482" t="s">
        <v>27324</v>
      </c>
      <c r="C8482" t="s">
        <v>27325</v>
      </c>
      <c r="D8482" t="s">
        <v>27326</v>
      </c>
      <c r="E8482" t="s">
        <v>27327</v>
      </c>
      <c r="F8482" t="s">
        <v>27328</v>
      </c>
      <c r="G8482" s="2" t="str">
        <f>HYPERLINK("https://probpalata.gov.ru/files/ИП500100249600000.jpeg","Скачать индивидуальный QR-код магазина")</f>
        <v>Скачать индивидуальный QR-код магазина</v>
      </c>
    </row>
    <row r="8483" spans="1:7" x14ac:dyDescent="0.25">
      <c r="A8483" t="s">
        <v>26937</v>
      </c>
      <c r="B8483" t="s">
        <v>27329</v>
      </c>
      <c r="C8483" t="s">
        <v>27330</v>
      </c>
      <c r="D8483" t="s">
        <v>27331</v>
      </c>
      <c r="E8483" t="s">
        <v>27332</v>
      </c>
      <c r="F8483" t="s">
        <v>27333</v>
      </c>
      <c r="G8483" s="2" t="str">
        <f>HYPERLINK("https://probpalata.gov.ru/files/ИП500100357000000.jpeg","Скачать индивидуальный QR-код магазина")</f>
        <v>Скачать индивидуальный QR-код магазина</v>
      </c>
    </row>
    <row r="8484" spans="1:7" x14ac:dyDescent="0.25">
      <c r="A8484" t="s">
        <v>26937</v>
      </c>
      <c r="B8484" t="s">
        <v>27334</v>
      </c>
      <c r="C8484" t="s">
        <v>3069</v>
      </c>
      <c r="D8484" t="s">
        <v>3070</v>
      </c>
      <c r="E8484" t="s">
        <v>3071</v>
      </c>
      <c r="F8484" t="s">
        <v>27335</v>
      </c>
      <c r="G8484" s="2" t="str">
        <f>HYPERLINK("https://probpalata.gov.ru/files/ИП500100862700002.jpeg","Скачать индивидуальный QR-код магазина")</f>
        <v>Скачать индивидуальный QR-код магазина</v>
      </c>
    </row>
    <row r="8485" spans="1:7" x14ac:dyDescent="0.25">
      <c r="A8485" t="s">
        <v>26937</v>
      </c>
      <c r="B8485" t="s">
        <v>27336</v>
      </c>
      <c r="C8485" t="s">
        <v>27337</v>
      </c>
      <c r="D8485" t="s">
        <v>27338</v>
      </c>
      <c r="E8485" t="s">
        <v>27339</v>
      </c>
      <c r="F8485" t="s">
        <v>27340</v>
      </c>
      <c r="G8485" s="2" t="str">
        <f>HYPERLINK("https://probpalata.gov.ru/files/ЮЛ500100652000000.jpeg","Скачать индивидуальный QR-код магазина")</f>
        <v>Скачать индивидуальный QR-код магазина</v>
      </c>
    </row>
    <row r="8486" spans="1:7" x14ac:dyDescent="0.25">
      <c r="A8486" t="s">
        <v>26937</v>
      </c>
      <c r="B8486" t="s">
        <v>27341</v>
      </c>
      <c r="C8486" t="s">
        <v>27342</v>
      </c>
      <c r="D8486" t="s">
        <v>27343</v>
      </c>
      <c r="E8486" t="s">
        <v>27344</v>
      </c>
      <c r="F8486" t="s">
        <v>27345</v>
      </c>
      <c r="G8486" s="2" t="str">
        <f>HYPERLINK("https://probpalata.gov.ru/files/ИП500103566600000.jpeg","Скачать индивидуальный QR-код магазина")</f>
        <v>Скачать индивидуальный QR-код магазина</v>
      </c>
    </row>
    <row r="8487" spans="1:7" x14ac:dyDescent="0.25">
      <c r="A8487" t="s">
        <v>26937</v>
      </c>
      <c r="B8487" t="s">
        <v>27346</v>
      </c>
      <c r="C8487" t="s">
        <v>27347</v>
      </c>
      <c r="D8487" t="s">
        <v>27348</v>
      </c>
      <c r="E8487" t="s">
        <v>27349</v>
      </c>
      <c r="F8487" t="s">
        <v>27350</v>
      </c>
      <c r="G8487" s="2" t="str">
        <f>HYPERLINK("https://probpalata.gov.ru/files/ЮЛ500100191400000.jpeg","Скачать индивидуальный QR-код магазина")</f>
        <v>Скачать индивидуальный QR-код магазина</v>
      </c>
    </row>
    <row r="8488" spans="1:7" x14ac:dyDescent="0.25">
      <c r="A8488" t="s">
        <v>26937</v>
      </c>
      <c r="B8488" t="s">
        <v>27351</v>
      </c>
      <c r="C8488" t="s">
        <v>27352</v>
      </c>
      <c r="D8488" t="s">
        <v>27353</v>
      </c>
      <c r="E8488" t="s">
        <v>27354</v>
      </c>
      <c r="F8488" t="s">
        <v>27355</v>
      </c>
      <c r="G8488" s="2" t="str">
        <f>HYPERLINK("https://probpalata.gov.ru/files/ИП500103744500000.jpeg","Скачать индивидуальный QR-код магазина")</f>
        <v>Скачать индивидуальный QR-код магазина</v>
      </c>
    </row>
    <row r="8489" spans="1:7" x14ac:dyDescent="0.25">
      <c r="A8489" t="s">
        <v>26937</v>
      </c>
      <c r="B8489" t="s">
        <v>27356</v>
      </c>
      <c r="C8489" t="s">
        <v>27357</v>
      </c>
      <c r="D8489" t="s">
        <v>27358</v>
      </c>
      <c r="E8489" t="s">
        <v>27359</v>
      </c>
      <c r="F8489" t="s">
        <v>27360</v>
      </c>
      <c r="G8489" s="2" t="str">
        <f>HYPERLINK("https://probpalata.gov.ru/files/ИП500101588400000.jpeg","Скачать индивидуальный QR-код магазина")</f>
        <v>Скачать индивидуальный QR-код магазина</v>
      </c>
    </row>
    <row r="8490" spans="1:7" x14ac:dyDescent="0.25">
      <c r="A8490" t="s">
        <v>26937</v>
      </c>
      <c r="B8490" t="s">
        <v>27361</v>
      </c>
      <c r="C8490" t="s">
        <v>27362</v>
      </c>
      <c r="D8490" t="s">
        <v>27363</v>
      </c>
      <c r="E8490" t="s">
        <v>27364</v>
      </c>
      <c r="F8490" t="s">
        <v>27365</v>
      </c>
      <c r="G8490" s="2" t="str">
        <f>HYPERLINK("https://probpalata.gov.ru/files/ИП500103870500000.jpeg","Скачать индивидуальный QR-код магазина")</f>
        <v>Скачать индивидуальный QR-код магазина</v>
      </c>
    </row>
    <row r="8491" spans="1:7" x14ac:dyDescent="0.25">
      <c r="A8491" t="s">
        <v>26937</v>
      </c>
      <c r="B8491" t="s">
        <v>27366</v>
      </c>
      <c r="C8491" t="s">
        <v>27367</v>
      </c>
      <c r="D8491" t="s">
        <v>27368</v>
      </c>
      <c r="E8491" t="s">
        <v>27369</v>
      </c>
      <c r="F8491" t="s">
        <v>27370</v>
      </c>
      <c r="G8491" s="2" t="str">
        <f>HYPERLINK("https://probpalata.gov.ru/files/ИП500101757100000.jpeg","Скачать индивидуальный QR-код магазина")</f>
        <v>Скачать индивидуальный QR-код магазина</v>
      </c>
    </row>
    <row r="8492" spans="1:7" x14ac:dyDescent="0.25">
      <c r="A8492" t="s">
        <v>26937</v>
      </c>
      <c r="B8492" t="s">
        <v>27371</v>
      </c>
      <c r="C8492" t="s">
        <v>27372</v>
      </c>
      <c r="D8492" t="s">
        <v>27373</v>
      </c>
      <c r="E8492" t="s">
        <v>27374</v>
      </c>
      <c r="F8492" t="s">
        <v>27375</v>
      </c>
      <c r="G8492" s="2" t="str">
        <f>HYPERLINK("https://probpalata.gov.ru/files/ИП500103319000000.jpeg","Скачать индивидуальный QR-код магазина")</f>
        <v>Скачать индивидуальный QR-код магазина</v>
      </c>
    </row>
    <row r="8493" spans="1:7" x14ac:dyDescent="0.25">
      <c r="A8493" t="s">
        <v>26937</v>
      </c>
      <c r="B8493" t="s">
        <v>27376</v>
      </c>
      <c r="C8493" t="s">
        <v>27377</v>
      </c>
      <c r="D8493" t="s">
        <v>27378</v>
      </c>
      <c r="E8493" t="s">
        <v>27379</v>
      </c>
      <c r="F8493" t="s">
        <v>27380</v>
      </c>
      <c r="G8493" s="2" t="str">
        <f>HYPERLINK("https://probpalata.gov.ru/files/ИП770101054300000.jpeg","Скачать индивидуальный QR-код магазина")</f>
        <v>Скачать индивидуальный QR-код магазина</v>
      </c>
    </row>
    <row r="8494" spans="1:7" x14ac:dyDescent="0.25">
      <c r="A8494" t="s">
        <v>26937</v>
      </c>
      <c r="B8494" t="s">
        <v>27381</v>
      </c>
      <c r="C8494" t="s">
        <v>27377</v>
      </c>
      <c r="D8494" t="s">
        <v>27378</v>
      </c>
      <c r="E8494" t="s">
        <v>27379</v>
      </c>
      <c r="F8494" t="s">
        <v>27382</v>
      </c>
      <c r="G8494" s="2" t="str">
        <f>HYPERLINK("https://probpalata.gov.ru/files/ИП770101054300001.jpeg","Скачать индивидуальный QR-код магазина")</f>
        <v>Скачать индивидуальный QR-код магазина</v>
      </c>
    </row>
    <row r="8495" spans="1:7" x14ac:dyDescent="0.25">
      <c r="A8495" t="s">
        <v>26937</v>
      </c>
      <c r="B8495" t="s">
        <v>27383</v>
      </c>
      <c r="C8495" t="s">
        <v>27384</v>
      </c>
      <c r="D8495" t="s">
        <v>27385</v>
      </c>
      <c r="E8495" t="s">
        <v>27386</v>
      </c>
      <c r="F8495" t="s">
        <v>27387</v>
      </c>
      <c r="G8495" s="2" t="str">
        <f>HYPERLINK("https://probpalata.gov.ru/files/ИП500100665700000.jpeg","Скачать индивидуальный QR-код магазина")</f>
        <v>Скачать индивидуальный QR-код магазина</v>
      </c>
    </row>
    <row r="8496" spans="1:7" x14ac:dyDescent="0.25">
      <c r="A8496" t="s">
        <v>26937</v>
      </c>
      <c r="B8496" t="s">
        <v>27388</v>
      </c>
      <c r="C8496" t="s">
        <v>27389</v>
      </c>
      <c r="D8496" t="s">
        <v>27390</v>
      </c>
      <c r="E8496" t="s">
        <v>27391</v>
      </c>
      <c r="F8496" t="s">
        <v>27392</v>
      </c>
      <c r="G8496" s="2" t="str">
        <f>HYPERLINK("https://probpalata.gov.ru/files/ЮЛ500101667500000.jpeg","Скачать индивидуальный QR-код магазина")</f>
        <v>Скачать индивидуальный QR-код магазина</v>
      </c>
    </row>
    <row r="8497" spans="1:7" x14ac:dyDescent="0.25">
      <c r="A8497" t="s">
        <v>26937</v>
      </c>
      <c r="B8497" t="s">
        <v>27393</v>
      </c>
      <c r="C8497" t="s">
        <v>27394</v>
      </c>
      <c r="D8497" t="s">
        <v>27395</v>
      </c>
      <c r="E8497" t="s">
        <v>27396</v>
      </c>
      <c r="F8497" t="s">
        <v>27397</v>
      </c>
      <c r="G8497" s="2" t="str">
        <f>HYPERLINK("https://probpalata.gov.ru/files/ЮЛ500100228100000.jpeg","Скачать индивидуальный QR-код магазина")</f>
        <v>Скачать индивидуальный QR-код магазина</v>
      </c>
    </row>
    <row r="8498" spans="1:7" x14ac:dyDescent="0.25">
      <c r="A8498" t="s">
        <v>26937</v>
      </c>
      <c r="B8498" t="s">
        <v>27398</v>
      </c>
      <c r="C8498" t="s">
        <v>19830</v>
      </c>
      <c r="D8498" t="s">
        <v>19831</v>
      </c>
      <c r="E8498" t="s">
        <v>19832</v>
      </c>
      <c r="F8498" t="s">
        <v>27399</v>
      </c>
      <c r="G8498" s="2" t="str">
        <f>HYPERLINK("https://probpalata.gov.ru/files/ИП500100468300001.jpeg","Скачать индивидуальный QR-код магазина")</f>
        <v>Скачать индивидуальный QR-код магазина</v>
      </c>
    </row>
    <row r="8499" spans="1:7" x14ac:dyDescent="0.25">
      <c r="A8499" t="s">
        <v>26937</v>
      </c>
      <c r="B8499" t="s">
        <v>27400</v>
      </c>
      <c r="C8499" t="s">
        <v>19830</v>
      </c>
      <c r="D8499" t="s">
        <v>19831</v>
      </c>
      <c r="E8499" t="s">
        <v>19832</v>
      </c>
      <c r="F8499" t="s">
        <v>27401</v>
      </c>
      <c r="G8499" s="2" t="str">
        <f>HYPERLINK("https://probpalata.gov.ru/files/ИП500100468300002.jpeg","Скачать индивидуальный QR-код магазина")</f>
        <v>Скачать индивидуальный QR-код магазина</v>
      </c>
    </row>
    <row r="8500" spans="1:7" x14ac:dyDescent="0.25">
      <c r="A8500" t="s">
        <v>26937</v>
      </c>
      <c r="B8500" t="s">
        <v>27402</v>
      </c>
      <c r="C8500" t="s">
        <v>19830</v>
      </c>
      <c r="D8500" t="s">
        <v>19831</v>
      </c>
      <c r="E8500" t="s">
        <v>19832</v>
      </c>
      <c r="F8500" t="s">
        <v>27403</v>
      </c>
      <c r="G8500" s="2" t="str">
        <f>HYPERLINK("https://probpalata.gov.ru/files/ИП500100468300003.jpeg","Скачать индивидуальный QR-код магазина")</f>
        <v>Скачать индивидуальный QR-код магазина</v>
      </c>
    </row>
    <row r="8501" spans="1:7" x14ac:dyDescent="0.25">
      <c r="A8501" t="s">
        <v>26937</v>
      </c>
      <c r="B8501" t="s">
        <v>27404</v>
      </c>
      <c r="C8501" t="s">
        <v>19830</v>
      </c>
      <c r="D8501" t="s">
        <v>19831</v>
      </c>
      <c r="E8501" t="s">
        <v>19832</v>
      </c>
      <c r="F8501" t="s">
        <v>27405</v>
      </c>
      <c r="G8501" s="2" t="str">
        <f>HYPERLINK("https://probpalata.gov.ru/files/ИП500100468300005.jpeg","Скачать индивидуальный QR-код магазина")</f>
        <v>Скачать индивидуальный QR-код магазина</v>
      </c>
    </row>
    <row r="8502" spans="1:7" x14ac:dyDescent="0.25">
      <c r="A8502" t="s">
        <v>26937</v>
      </c>
      <c r="B8502" t="s">
        <v>27406</v>
      </c>
      <c r="C8502" t="s">
        <v>19830</v>
      </c>
      <c r="D8502" t="s">
        <v>19831</v>
      </c>
      <c r="E8502" t="s">
        <v>19832</v>
      </c>
      <c r="F8502" t="s">
        <v>27407</v>
      </c>
      <c r="G8502" s="2" t="str">
        <f>HYPERLINK("https://probpalata.gov.ru/files/ИП500100468300006.jpeg","Скачать индивидуальный QR-код магазина")</f>
        <v>Скачать индивидуальный QR-код магазина</v>
      </c>
    </row>
    <row r="8503" spans="1:7" x14ac:dyDescent="0.25">
      <c r="A8503" t="s">
        <v>26937</v>
      </c>
      <c r="B8503" t="s">
        <v>27408</v>
      </c>
      <c r="C8503" t="s">
        <v>19830</v>
      </c>
      <c r="D8503" t="s">
        <v>19831</v>
      </c>
      <c r="E8503" t="s">
        <v>19832</v>
      </c>
      <c r="F8503" t="s">
        <v>27409</v>
      </c>
      <c r="G8503" s="2" t="str">
        <f>HYPERLINK("https://probpalata.gov.ru/files/ИП500100468300008.jpeg","Скачать индивидуальный QR-код магазина")</f>
        <v>Скачать индивидуальный QR-код магазина</v>
      </c>
    </row>
    <row r="8504" spans="1:7" x14ac:dyDescent="0.25">
      <c r="A8504" t="s">
        <v>26937</v>
      </c>
      <c r="B8504" t="s">
        <v>27410</v>
      </c>
      <c r="C8504" t="s">
        <v>19830</v>
      </c>
      <c r="D8504" t="s">
        <v>19831</v>
      </c>
      <c r="E8504" t="s">
        <v>19832</v>
      </c>
      <c r="F8504" t="s">
        <v>27411</v>
      </c>
      <c r="G8504" s="2" t="str">
        <f>HYPERLINK("https://probpalata.gov.ru/files/ИП500100468300009.jpeg","Скачать индивидуальный QR-код магазина")</f>
        <v>Скачать индивидуальный QR-код магазина</v>
      </c>
    </row>
    <row r="8505" spans="1:7" x14ac:dyDescent="0.25">
      <c r="A8505" t="s">
        <v>26937</v>
      </c>
      <c r="B8505" t="s">
        <v>27412</v>
      </c>
      <c r="C8505" t="s">
        <v>19830</v>
      </c>
      <c r="D8505" t="s">
        <v>19831</v>
      </c>
      <c r="E8505" t="s">
        <v>19832</v>
      </c>
      <c r="F8505" t="s">
        <v>27413</v>
      </c>
      <c r="G8505" s="2" t="str">
        <f>HYPERLINK("https://probpalata.gov.ru/files/ИП500100468300010.jpeg","Скачать индивидуальный QR-код магазина")</f>
        <v>Скачать индивидуальный QR-код магазина</v>
      </c>
    </row>
    <row r="8506" spans="1:7" x14ac:dyDescent="0.25">
      <c r="A8506" t="s">
        <v>26937</v>
      </c>
      <c r="B8506" t="s">
        <v>27414</v>
      </c>
      <c r="C8506" t="s">
        <v>19830</v>
      </c>
      <c r="D8506" t="s">
        <v>19831</v>
      </c>
      <c r="E8506" t="s">
        <v>19832</v>
      </c>
      <c r="F8506" t="s">
        <v>27415</v>
      </c>
      <c r="G8506" s="2" t="str">
        <f>HYPERLINK("https://probpalata.gov.ru/files/ИП500100468300011.jpeg","Скачать индивидуальный QR-код магазина")</f>
        <v>Скачать индивидуальный QR-код магазина</v>
      </c>
    </row>
    <row r="8507" spans="1:7" x14ac:dyDescent="0.25">
      <c r="A8507" t="s">
        <v>26937</v>
      </c>
      <c r="B8507" t="s">
        <v>27416</v>
      </c>
      <c r="C8507" t="s">
        <v>19830</v>
      </c>
      <c r="D8507" t="s">
        <v>19831</v>
      </c>
      <c r="E8507" t="s">
        <v>19832</v>
      </c>
      <c r="F8507" t="s">
        <v>27417</v>
      </c>
      <c r="G8507" s="2" t="str">
        <f>HYPERLINK("https://probpalata.gov.ru/files/ИП500100468300012.jpeg","Скачать индивидуальный QR-код магазина")</f>
        <v>Скачать индивидуальный QR-код магазина</v>
      </c>
    </row>
    <row r="8508" spans="1:7" x14ac:dyDescent="0.25">
      <c r="A8508" t="s">
        <v>26937</v>
      </c>
      <c r="B8508" t="s">
        <v>27418</v>
      </c>
      <c r="C8508" t="s">
        <v>19830</v>
      </c>
      <c r="D8508" t="s">
        <v>19831</v>
      </c>
      <c r="E8508" t="s">
        <v>19832</v>
      </c>
      <c r="F8508" t="s">
        <v>27419</v>
      </c>
      <c r="G8508" s="2" t="str">
        <f>HYPERLINK("https://probpalata.gov.ru/files/ИП500100468300013.jpeg","Скачать индивидуальный QR-код магазина")</f>
        <v>Скачать индивидуальный QR-код магазина</v>
      </c>
    </row>
    <row r="8509" spans="1:7" x14ac:dyDescent="0.25">
      <c r="A8509" t="s">
        <v>26937</v>
      </c>
      <c r="B8509" t="s">
        <v>27420</v>
      </c>
      <c r="C8509" t="s">
        <v>19830</v>
      </c>
      <c r="D8509" t="s">
        <v>19831</v>
      </c>
      <c r="E8509" t="s">
        <v>19832</v>
      </c>
      <c r="F8509" t="s">
        <v>27421</v>
      </c>
      <c r="G8509" s="2" t="str">
        <f>HYPERLINK("https://probpalata.gov.ru/files/ИП500100468300014.jpeg","Скачать индивидуальный QR-код магазина")</f>
        <v>Скачать индивидуальный QR-код магазина</v>
      </c>
    </row>
    <row r="8510" spans="1:7" x14ac:dyDescent="0.25">
      <c r="A8510" t="s">
        <v>26937</v>
      </c>
      <c r="B8510" t="s">
        <v>27422</v>
      </c>
      <c r="C8510" t="s">
        <v>19830</v>
      </c>
      <c r="D8510" t="s">
        <v>19831</v>
      </c>
      <c r="E8510" t="s">
        <v>19832</v>
      </c>
      <c r="F8510" t="s">
        <v>27423</v>
      </c>
      <c r="G8510" s="2" t="str">
        <f>HYPERLINK("https://probpalata.gov.ru/files/ИП500100468300016.jpeg","Скачать индивидуальный QR-код магазина")</f>
        <v>Скачать индивидуальный QR-код магазина</v>
      </c>
    </row>
    <row r="8511" spans="1:7" x14ac:dyDescent="0.25">
      <c r="A8511" t="s">
        <v>26937</v>
      </c>
      <c r="B8511" t="s">
        <v>27424</v>
      </c>
      <c r="C8511" t="s">
        <v>19830</v>
      </c>
      <c r="D8511" t="s">
        <v>19831</v>
      </c>
      <c r="E8511" t="s">
        <v>19832</v>
      </c>
      <c r="F8511" t="s">
        <v>27425</v>
      </c>
      <c r="G8511" s="2" t="str">
        <f>HYPERLINK("https://probpalata.gov.ru/files/ИП500100468300019.jpeg","Скачать индивидуальный QR-код магазина")</f>
        <v>Скачать индивидуальный QR-код магазина</v>
      </c>
    </row>
    <row r="8512" spans="1:7" x14ac:dyDescent="0.25">
      <c r="A8512" t="s">
        <v>26937</v>
      </c>
      <c r="B8512" t="s">
        <v>27426</v>
      </c>
      <c r="C8512" t="s">
        <v>19830</v>
      </c>
      <c r="D8512" t="s">
        <v>19831</v>
      </c>
      <c r="E8512" t="s">
        <v>19832</v>
      </c>
      <c r="F8512" t="s">
        <v>27427</v>
      </c>
      <c r="G8512" s="2" t="str">
        <f>HYPERLINK("https://probpalata.gov.ru/files/ИП500100468300020.jpeg","Скачать индивидуальный QR-код магазина")</f>
        <v>Скачать индивидуальный QR-код магазина</v>
      </c>
    </row>
    <row r="8513" spans="1:7" x14ac:dyDescent="0.25">
      <c r="A8513" t="s">
        <v>26937</v>
      </c>
      <c r="B8513" t="s">
        <v>27428</v>
      </c>
      <c r="C8513" t="s">
        <v>19830</v>
      </c>
      <c r="D8513" t="s">
        <v>19831</v>
      </c>
      <c r="E8513" t="s">
        <v>19832</v>
      </c>
      <c r="F8513" t="s">
        <v>27429</v>
      </c>
      <c r="G8513" s="2" t="str">
        <f>HYPERLINK("https://probpalata.gov.ru/files/ИП500100468300023.jpeg","Скачать индивидуальный QR-код магазина")</f>
        <v>Скачать индивидуальный QR-код магазина</v>
      </c>
    </row>
    <row r="8514" spans="1:7" x14ac:dyDescent="0.25">
      <c r="A8514" t="s">
        <v>26937</v>
      </c>
      <c r="B8514" t="s">
        <v>27430</v>
      </c>
      <c r="C8514" t="s">
        <v>19830</v>
      </c>
      <c r="D8514" t="s">
        <v>19831</v>
      </c>
      <c r="E8514" t="s">
        <v>19832</v>
      </c>
      <c r="F8514" t="s">
        <v>27431</v>
      </c>
      <c r="G8514" s="2" t="str">
        <f>HYPERLINK("https://probpalata.gov.ru/files/ИП500100468300025.jpeg","Скачать индивидуальный QR-код магазина")</f>
        <v>Скачать индивидуальный QR-код магазина</v>
      </c>
    </row>
    <row r="8515" spans="1:7" x14ac:dyDescent="0.25">
      <c r="A8515" t="s">
        <v>26937</v>
      </c>
      <c r="B8515" t="s">
        <v>27432</v>
      </c>
      <c r="C8515" t="s">
        <v>27433</v>
      </c>
      <c r="D8515" t="s">
        <v>27434</v>
      </c>
      <c r="E8515" t="s">
        <v>27435</v>
      </c>
      <c r="F8515" t="s">
        <v>27436</v>
      </c>
      <c r="G8515" s="2" t="str">
        <f>HYPERLINK("https://probpalata.gov.ru/files/ИП770100314800006.jpeg","Скачать индивидуальный QR-код магазина")</f>
        <v>Скачать индивидуальный QR-код магазина</v>
      </c>
    </row>
    <row r="8516" spans="1:7" x14ac:dyDescent="0.25">
      <c r="A8516" t="s">
        <v>26937</v>
      </c>
      <c r="B8516" t="s">
        <v>27437</v>
      </c>
      <c r="C8516" t="s">
        <v>27438</v>
      </c>
      <c r="D8516" t="s">
        <v>27439</v>
      </c>
      <c r="E8516" t="s">
        <v>27440</v>
      </c>
      <c r="F8516" t="s">
        <v>27441</v>
      </c>
      <c r="G8516" s="2" t="str">
        <f>HYPERLINK("https://probpalata.gov.ru/files/ИП500103279300000.jpeg","Скачать индивидуальный QR-код магазина")</f>
        <v>Скачать индивидуальный QR-код магазина</v>
      </c>
    </row>
    <row r="8517" spans="1:7" x14ac:dyDescent="0.25">
      <c r="A8517" t="s">
        <v>26937</v>
      </c>
      <c r="B8517" t="s">
        <v>27442</v>
      </c>
      <c r="C8517" t="s">
        <v>27443</v>
      </c>
      <c r="D8517" t="s">
        <v>27444</v>
      </c>
      <c r="E8517" t="s">
        <v>27445</v>
      </c>
      <c r="F8517" t="s">
        <v>27446</v>
      </c>
      <c r="G8517" s="2" t="str">
        <f>HYPERLINK("https://probpalata.gov.ru/files/ЮЛ500100796000000.jpeg","Скачать индивидуальный QR-код магазина")</f>
        <v>Скачать индивидуальный QR-код магазина</v>
      </c>
    </row>
    <row r="8518" spans="1:7" x14ac:dyDescent="0.25">
      <c r="A8518" t="s">
        <v>26937</v>
      </c>
      <c r="B8518" t="s">
        <v>27447</v>
      </c>
      <c r="C8518" t="s">
        <v>27448</v>
      </c>
      <c r="D8518" t="s">
        <v>27449</v>
      </c>
      <c r="E8518" t="s">
        <v>27450</v>
      </c>
      <c r="F8518" t="s">
        <v>27451</v>
      </c>
      <c r="G8518" s="2" t="str">
        <f>HYPERLINK("https://probpalata.gov.ru/files/ИП500100270900000.jpeg","Скачать индивидуальный QR-код магазина")</f>
        <v>Скачать индивидуальный QR-код магазина</v>
      </c>
    </row>
    <row r="8519" spans="1:7" x14ac:dyDescent="0.25">
      <c r="A8519" t="s">
        <v>26937</v>
      </c>
      <c r="B8519" t="s">
        <v>27452</v>
      </c>
      <c r="C8519" t="s">
        <v>27453</v>
      </c>
      <c r="D8519" t="s">
        <v>27454</v>
      </c>
      <c r="E8519" t="s">
        <v>27455</v>
      </c>
      <c r="F8519" t="s">
        <v>27456</v>
      </c>
      <c r="G8519" s="2" t="str">
        <f>HYPERLINK("https://probpalata.gov.ru/files/ЮЛ500100282900000.jpeg","Скачать индивидуальный QR-код магазина")</f>
        <v>Скачать индивидуальный QR-код магазина</v>
      </c>
    </row>
    <row r="8520" spans="1:7" x14ac:dyDescent="0.25">
      <c r="A8520" t="s">
        <v>26937</v>
      </c>
      <c r="B8520" t="s">
        <v>27457</v>
      </c>
      <c r="C8520" t="s">
        <v>27458</v>
      </c>
      <c r="D8520" t="s">
        <v>27459</v>
      </c>
      <c r="E8520" t="s">
        <v>27460</v>
      </c>
      <c r="F8520" t="s">
        <v>27461</v>
      </c>
      <c r="G8520" s="2" t="str">
        <f>HYPERLINK("https://probpalata.gov.ru/files/ЮЛ500100850300000.jpeg","Скачать индивидуальный QR-код магазина")</f>
        <v>Скачать индивидуальный QR-код магазина</v>
      </c>
    </row>
    <row r="8521" spans="1:7" x14ac:dyDescent="0.25">
      <c r="A8521" t="s">
        <v>26937</v>
      </c>
      <c r="B8521" t="s">
        <v>27462</v>
      </c>
      <c r="C8521" t="s">
        <v>27458</v>
      </c>
      <c r="D8521" t="s">
        <v>27459</v>
      </c>
      <c r="E8521" t="s">
        <v>27460</v>
      </c>
      <c r="F8521" t="s">
        <v>27463</v>
      </c>
      <c r="G8521" s="2" t="str">
        <f>HYPERLINK("https://probpalata.gov.ru/files/ЮЛ500100850300001.jpeg","Скачать индивидуальный QR-код магазина")</f>
        <v>Скачать индивидуальный QR-код магазина</v>
      </c>
    </row>
    <row r="8522" spans="1:7" x14ac:dyDescent="0.25">
      <c r="A8522" t="s">
        <v>26937</v>
      </c>
      <c r="B8522" t="s">
        <v>27464</v>
      </c>
      <c r="C8522" t="s">
        <v>27458</v>
      </c>
      <c r="D8522" t="s">
        <v>27459</v>
      </c>
      <c r="E8522" t="s">
        <v>27460</v>
      </c>
      <c r="F8522" t="s">
        <v>27465</v>
      </c>
      <c r="G8522" s="2" t="str">
        <f>HYPERLINK("https://probpalata.gov.ru/files/ЮЛ500100850300002.jpeg","Скачать индивидуальный QR-код магазина")</f>
        <v>Скачать индивидуальный QR-код магазина</v>
      </c>
    </row>
    <row r="8523" spans="1:7" x14ac:dyDescent="0.25">
      <c r="A8523" t="s">
        <v>26937</v>
      </c>
      <c r="B8523" t="s">
        <v>27466</v>
      </c>
      <c r="C8523" t="s">
        <v>27467</v>
      </c>
      <c r="D8523" t="s">
        <v>27468</v>
      </c>
      <c r="E8523" t="s">
        <v>27469</v>
      </c>
      <c r="F8523" t="s">
        <v>27470</v>
      </c>
      <c r="G8523" s="2" t="str">
        <f>HYPERLINK("https://probpalata.gov.ru/files/ЮЛ500100217300000.jpeg","Скачать индивидуальный QR-код магазина")</f>
        <v>Скачать индивидуальный QR-код магазина</v>
      </c>
    </row>
    <row r="8524" spans="1:7" x14ac:dyDescent="0.25">
      <c r="A8524" t="s">
        <v>26937</v>
      </c>
      <c r="B8524" t="s">
        <v>27471</v>
      </c>
      <c r="C8524" t="s">
        <v>27472</v>
      </c>
      <c r="D8524" t="s">
        <v>27473</v>
      </c>
      <c r="E8524" t="s">
        <v>27474</v>
      </c>
      <c r="F8524" t="s">
        <v>27475</v>
      </c>
      <c r="G8524" s="2" t="str">
        <f>HYPERLINK("https://probpalata.gov.ru/files/ЮЛ500101609300000.jpeg","Скачать индивидуальный QR-код магазина")</f>
        <v>Скачать индивидуальный QR-код магазина</v>
      </c>
    </row>
    <row r="8525" spans="1:7" x14ac:dyDescent="0.25">
      <c r="A8525" t="s">
        <v>26937</v>
      </c>
      <c r="B8525" t="s">
        <v>27476</v>
      </c>
      <c r="C8525" t="s">
        <v>27472</v>
      </c>
      <c r="D8525" t="s">
        <v>27473</v>
      </c>
      <c r="E8525" t="s">
        <v>27474</v>
      </c>
      <c r="F8525" t="s">
        <v>27477</v>
      </c>
      <c r="G8525" s="2" t="str">
        <f>HYPERLINK("https://probpalata.gov.ru/files/ЮЛ500101609300001.jpeg","Скачать индивидуальный QR-код магазина")</f>
        <v>Скачать индивидуальный QR-код магазина</v>
      </c>
    </row>
    <row r="8526" spans="1:7" x14ac:dyDescent="0.25">
      <c r="A8526" t="s">
        <v>26937</v>
      </c>
      <c r="B8526" t="s">
        <v>27478</v>
      </c>
      <c r="C8526" t="s">
        <v>27472</v>
      </c>
      <c r="D8526" t="s">
        <v>27473</v>
      </c>
      <c r="E8526" t="s">
        <v>27474</v>
      </c>
      <c r="F8526" t="s">
        <v>27479</v>
      </c>
      <c r="G8526" s="2" t="str">
        <f>HYPERLINK("https://probpalata.gov.ru/files/ЮЛ500101609300002.jpeg","Скачать индивидуальный QR-код магазина")</f>
        <v>Скачать индивидуальный QR-код магазина</v>
      </c>
    </row>
    <row r="8527" spans="1:7" x14ac:dyDescent="0.25">
      <c r="A8527" t="s">
        <v>26937</v>
      </c>
      <c r="B8527" t="s">
        <v>27480</v>
      </c>
      <c r="C8527" t="s">
        <v>27472</v>
      </c>
      <c r="D8527" t="s">
        <v>27473</v>
      </c>
      <c r="E8527" t="s">
        <v>27474</v>
      </c>
      <c r="F8527" t="s">
        <v>27481</v>
      </c>
      <c r="G8527" s="2" t="str">
        <f>HYPERLINK("https://probpalata.gov.ru/files/ЮЛ500101609300003.jpeg","Скачать индивидуальный QR-код магазина")</f>
        <v>Скачать индивидуальный QR-код магазина</v>
      </c>
    </row>
    <row r="8528" spans="1:7" x14ac:dyDescent="0.25">
      <c r="A8528" t="s">
        <v>26937</v>
      </c>
      <c r="B8528" t="s">
        <v>27482</v>
      </c>
      <c r="C8528" t="s">
        <v>27483</v>
      </c>
      <c r="D8528" t="s">
        <v>27484</v>
      </c>
      <c r="E8528" t="s">
        <v>27485</v>
      </c>
      <c r="F8528" t="s">
        <v>27486</v>
      </c>
      <c r="G8528" s="2" t="str">
        <f>HYPERLINK("https://probpalata.gov.ru/files/ЮЛ500102007400000.jpeg","Скачать индивидуальный QR-код магазина")</f>
        <v>Скачать индивидуальный QR-код магазина</v>
      </c>
    </row>
    <row r="8529" spans="1:7" x14ac:dyDescent="0.25">
      <c r="A8529" t="s">
        <v>26937</v>
      </c>
      <c r="B8529" t="s">
        <v>27487</v>
      </c>
      <c r="C8529" t="s">
        <v>27488</v>
      </c>
      <c r="D8529" t="s">
        <v>27489</v>
      </c>
      <c r="E8529" t="s">
        <v>27490</v>
      </c>
      <c r="F8529" t="s">
        <v>27491</v>
      </c>
      <c r="G8529" s="2" t="str">
        <f>HYPERLINK("https://probpalata.gov.ru/files/ЮЛ500103413700000.jpeg","Скачать индивидуальный QR-код магазина")</f>
        <v>Скачать индивидуальный QR-код магазина</v>
      </c>
    </row>
    <row r="8530" spans="1:7" x14ac:dyDescent="0.25">
      <c r="A8530" t="s">
        <v>26937</v>
      </c>
      <c r="B8530" t="s">
        <v>27492</v>
      </c>
      <c r="C8530" t="s">
        <v>27493</v>
      </c>
      <c r="D8530" t="s">
        <v>27494</v>
      </c>
      <c r="E8530" t="s">
        <v>27495</v>
      </c>
      <c r="F8530" t="s">
        <v>27496</v>
      </c>
      <c r="G8530" s="2" t="str">
        <f>HYPERLINK("https://probpalata.gov.ru/files/ЮЛ500103590000000.jpeg","Скачать индивидуальный QR-код магазина")</f>
        <v>Скачать индивидуальный QR-код магазина</v>
      </c>
    </row>
    <row r="8531" spans="1:7" x14ac:dyDescent="0.25">
      <c r="A8531" t="s">
        <v>26937</v>
      </c>
      <c r="B8531" t="s">
        <v>27497</v>
      </c>
      <c r="C8531" t="s">
        <v>27493</v>
      </c>
      <c r="D8531" t="s">
        <v>27494</v>
      </c>
      <c r="E8531" t="s">
        <v>27495</v>
      </c>
      <c r="F8531" t="s">
        <v>27498</v>
      </c>
      <c r="G8531" s="2" t="str">
        <f>HYPERLINK("https://probpalata.gov.ru/files/ЮЛ500103590000001.jpeg","Скачать индивидуальный QR-код магазина")</f>
        <v>Скачать индивидуальный QR-код магазина</v>
      </c>
    </row>
    <row r="8532" spans="1:7" x14ac:dyDescent="0.25">
      <c r="A8532" t="s">
        <v>26937</v>
      </c>
      <c r="B8532" t="s">
        <v>27499</v>
      </c>
      <c r="C8532" t="s">
        <v>11670</v>
      </c>
      <c r="D8532" t="s">
        <v>27500</v>
      </c>
      <c r="E8532" t="s">
        <v>27501</v>
      </c>
      <c r="F8532" t="s">
        <v>27502</v>
      </c>
      <c r="G8532" s="2" t="str">
        <f>HYPERLINK("https://probpalata.gov.ru/files/ЮЛ500103876200000.jpeg","Скачать индивидуальный QR-код магазина")</f>
        <v>Скачать индивидуальный QR-код магазина</v>
      </c>
    </row>
    <row r="8533" spans="1:7" x14ac:dyDescent="0.25">
      <c r="A8533" t="s">
        <v>26937</v>
      </c>
      <c r="B8533" t="s">
        <v>27503</v>
      </c>
      <c r="C8533" t="s">
        <v>11670</v>
      </c>
      <c r="D8533" t="s">
        <v>27500</v>
      </c>
      <c r="E8533" t="s">
        <v>27501</v>
      </c>
      <c r="F8533" t="s">
        <v>27504</v>
      </c>
      <c r="G8533" s="2" t="str">
        <f>HYPERLINK("https://probpalata.gov.ru/files/ЮЛ500103876200001.jpeg","Скачать индивидуальный QR-код магазина")</f>
        <v>Скачать индивидуальный QR-код магазина</v>
      </c>
    </row>
    <row r="8534" spans="1:7" x14ac:dyDescent="0.25">
      <c r="A8534" t="s">
        <v>26937</v>
      </c>
      <c r="B8534" t="s">
        <v>27505</v>
      </c>
      <c r="C8534" t="s">
        <v>19911</v>
      </c>
      <c r="D8534" t="s">
        <v>19912</v>
      </c>
      <c r="E8534" t="s">
        <v>19913</v>
      </c>
      <c r="F8534" t="s">
        <v>27506</v>
      </c>
      <c r="G8534" s="2" t="str">
        <f>HYPERLINK("https://probpalata.gov.ru/files/ЮЛ500103876000000.jpeg","Скачать индивидуальный QR-код магазина")</f>
        <v>Скачать индивидуальный QR-код магазина</v>
      </c>
    </row>
    <row r="8535" spans="1:7" x14ac:dyDescent="0.25">
      <c r="A8535" t="s">
        <v>26937</v>
      </c>
      <c r="B8535" t="s">
        <v>27507</v>
      </c>
      <c r="C8535" t="s">
        <v>19911</v>
      </c>
      <c r="D8535" t="s">
        <v>19912</v>
      </c>
      <c r="E8535" t="s">
        <v>19913</v>
      </c>
      <c r="F8535" t="s">
        <v>27508</v>
      </c>
      <c r="G8535" s="2" t="str">
        <f>HYPERLINK("https://probpalata.gov.ru/files/ЮЛ500103876000001.jpeg","Скачать индивидуальный QR-код магазина")</f>
        <v>Скачать индивидуальный QR-код магазина</v>
      </c>
    </row>
    <row r="8536" spans="1:7" x14ac:dyDescent="0.25">
      <c r="A8536" t="s">
        <v>26937</v>
      </c>
      <c r="B8536" t="s">
        <v>27509</v>
      </c>
      <c r="C8536" t="s">
        <v>27510</v>
      </c>
      <c r="D8536" t="s">
        <v>27511</v>
      </c>
      <c r="E8536" t="s">
        <v>27512</v>
      </c>
      <c r="F8536" t="s">
        <v>27513</v>
      </c>
      <c r="G8536" s="2" t="str">
        <f>HYPERLINK("https://probpalata.gov.ru/files/ИП500100169200000.jpeg","Скачать индивидуальный QR-код магазина")</f>
        <v>Скачать индивидуальный QR-код магазина</v>
      </c>
    </row>
    <row r="8537" spans="1:7" x14ac:dyDescent="0.25">
      <c r="A8537" t="s">
        <v>26937</v>
      </c>
      <c r="B8537" t="s">
        <v>27514</v>
      </c>
      <c r="C8537" t="s">
        <v>27515</v>
      </c>
      <c r="D8537" t="s">
        <v>27516</v>
      </c>
      <c r="E8537" t="s">
        <v>27517</v>
      </c>
      <c r="F8537" t="s">
        <v>27518</v>
      </c>
      <c r="G8537" s="2" t="str">
        <f>HYPERLINK("https://probpalata.gov.ru/files/ЮЛ500100949500000.jpeg","Скачать индивидуальный QR-код магазина")</f>
        <v>Скачать индивидуальный QR-код магазина</v>
      </c>
    </row>
    <row r="8538" spans="1:7" x14ac:dyDescent="0.25">
      <c r="A8538" t="s">
        <v>26937</v>
      </c>
      <c r="B8538" t="s">
        <v>27519</v>
      </c>
      <c r="C8538" t="s">
        <v>27520</v>
      </c>
      <c r="D8538" t="s">
        <v>27521</v>
      </c>
      <c r="E8538" t="s">
        <v>27522</v>
      </c>
      <c r="F8538" t="s">
        <v>27523</v>
      </c>
      <c r="G8538" s="2" t="str">
        <f>HYPERLINK("https://probpalata.gov.ru/files/ИП480101582300000.jpeg","Скачать индивидуальный QR-код магазина")</f>
        <v>Скачать индивидуальный QR-код магазина</v>
      </c>
    </row>
    <row r="8539" spans="1:7" x14ac:dyDescent="0.25">
      <c r="A8539" t="s">
        <v>26937</v>
      </c>
      <c r="B8539" t="s">
        <v>27524</v>
      </c>
      <c r="C8539" t="s">
        <v>27525</v>
      </c>
      <c r="D8539" t="s">
        <v>27526</v>
      </c>
      <c r="E8539" t="s">
        <v>27527</v>
      </c>
      <c r="F8539" t="s">
        <v>27528</v>
      </c>
      <c r="G8539" s="2" t="str">
        <f>HYPERLINK("https://probpalata.gov.ru/files/ИП500100055000000.jpeg","Скачать индивидуальный QR-код магазина")</f>
        <v>Скачать индивидуальный QR-код магазина</v>
      </c>
    </row>
    <row r="8540" spans="1:7" x14ac:dyDescent="0.25">
      <c r="A8540" t="s">
        <v>26937</v>
      </c>
      <c r="B8540" t="s">
        <v>27529</v>
      </c>
      <c r="C8540" t="s">
        <v>27530</v>
      </c>
      <c r="D8540" t="s">
        <v>27531</v>
      </c>
      <c r="E8540" t="s">
        <v>27532</v>
      </c>
      <c r="F8540" t="s">
        <v>27533</v>
      </c>
      <c r="G8540" s="2" t="str">
        <f>HYPERLINK("https://probpalata.gov.ru/files/ИП500101711100000.jpeg","Скачать индивидуальный QR-код магазина")</f>
        <v>Скачать индивидуальный QR-код магазина</v>
      </c>
    </row>
    <row r="8541" spans="1:7" x14ac:dyDescent="0.25">
      <c r="A8541" t="s">
        <v>26937</v>
      </c>
      <c r="B8541" t="s">
        <v>27534</v>
      </c>
      <c r="C8541" t="s">
        <v>27535</v>
      </c>
      <c r="D8541" t="s">
        <v>27536</v>
      </c>
      <c r="E8541" t="s">
        <v>27537</v>
      </c>
      <c r="F8541" t="s">
        <v>27538</v>
      </c>
      <c r="G8541" s="2" t="str">
        <f>HYPERLINK("https://probpalata.gov.ru/files/ИП500101219800000.jpeg","Скачать индивидуальный QR-код магазина")</f>
        <v>Скачать индивидуальный QR-код магазина</v>
      </c>
    </row>
    <row r="8542" spans="1:7" x14ac:dyDescent="0.25">
      <c r="A8542" t="s">
        <v>26937</v>
      </c>
      <c r="B8542" t="s">
        <v>27539</v>
      </c>
      <c r="C8542" t="s">
        <v>27540</v>
      </c>
      <c r="D8542" t="s">
        <v>27541</v>
      </c>
      <c r="E8542" t="s">
        <v>27542</v>
      </c>
      <c r="F8542" t="s">
        <v>27543</v>
      </c>
      <c r="G8542" s="2" t="str">
        <f>HYPERLINK("https://probpalata.gov.ru/files/ИП500100405500000.jpeg","Скачать индивидуальный QR-код магазина")</f>
        <v>Скачать индивидуальный QR-код магазина</v>
      </c>
    </row>
    <row r="8543" spans="1:7" x14ac:dyDescent="0.25">
      <c r="A8543" t="s">
        <v>26937</v>
      </c>
      <c r="B8543" t="s">
        <v>27544</v>
      </c>
      <c r="C8543" t="s">
        <v>27540</v>
      </c>
      <c r="D8543" t="s">
        <v>27541</v>
      </c>
      <c r="E8543" t="s">
        <v>27542</v>
      </c>
      <c r="F8543" t="s">
        <v>27545</v>
      </c>
      <c r="G8543" s="2" t="str">
        <f>HYPERLINK("https://probpalata.gov.ru/files/ИП500100405500001.jpeg","Скачать индивидуальный QR-код магазина")</f>
        <v>Скачать индивидуальный QR-код магазина</v>
      </c>
    </row>
    <row r="8544" spans="1:7" x14ac:dyDescent="0.25">
      <c r="A8544" t="s">
        <v>26937</v>
      </c>
      <c r="B8544" t="s">
        <v>27546</v>
      </c>
      <c r="C8544" t="s">
        <v>27540</v>
      </c>
      <c r="D8544" t="s">
        <v>27541</v>
      </c>
      <c r="E8544" t="s">
        <v>27542</v>
      </c>
      <c r="F8544" t="s">
        <v>27547</v>
      </c>
      <c r="G8544" s="2" t="str">
        <f>HYPERLINK("https://probpalata.gov.ru/files/ИП500100405500002.jpeg","Скачать индивидуальный QR-код магазина")</f>
        <v>Скачать индивидуальный QR-код магазина</v>
      </c>
    </row>
    <row r="8545" spans="1:7" x14ac:dyDescent="0.25">
      <c r="A8545" t="s">
        <v>26937</v>
      </c>
      <c r="B8545" t="s">
        <v>27548</v>
      </c>
      <c r="C8545" t="s">
        <v>27540</v>
      </c>
      <c r="D8545" t="s">
        <v>27541</v>
      </c>
      <c r="E8545" t="s">
        <v>27542</v>
      </c>
      <c r="F8545" t="s">
        <v>27549</v>
      </c>
      <c r="G8545" s="2" t="str">
        <f>HYPERLINK("https://probpalata.gov.ru/files/ИП500100405500003.jpeg","Скачать индивидуальный QR-код магазина")</f>
        <v>Скачать индивидуальный QR-код магазина</v>
      </c>
    </row>
    <row r="8546" spans="1:7" x14ac:dyDescent="0.25">
      <c r="A8546" t="s">
        <v>26937</v>
      </c>
      <c r="B8546" t="s">
        <v>27550</v>
      </c>
      <c r="C8546" t="s">
        <v>27540</v>
      </c>
      <c r="D8546" t="s">
        <v>27541</v>
      </c>
      <c r="E8546" t="s">
        <v>27542</v>
      </c>
      <c r="F8546" t="s">
        <v>27551</v>
      </c>
      <c r="G8546" s="2" t="str">
        <f>HYPERLINK("https://probpalata.gov.ru/files/ИП500100405500004.jpeg","Скачать индивидуальный QR-код магазина")</f>
        <v>Скачать индивидуальный QR-код магазина</v>
      </c>
    </row>
    <row r="8547" spans="1:7" x14ac:dyDescent="0.25">
      <c r="A8547" t="s">
        <v>26937</v>
      </c>
      <c r="B8547" t="s">
        <v>27552</v>
      </c>
      <c r="C8547" t="s">
        <v>27540</v>
      </c>
      <c r="D8547" t="s">
        <v>27541</v>
      </c>
      <c r="E8547" t="s">
        <v>27542</v>
      </c>
      <c r="F8547" t="s">
        <v>27553</v>
      </c>
      <c r="G8547" s="2" t="str">
        <f>HYPERLINK("https://probpalata.gov.ru/files/ИП500100405500005.jpeg","Скачать индивидуальный QR-код магазина")</f>
        <v>Скачать индивидуальный QR-код магазина</v>
      </c>
    </row>
    <row r="8548" spans="1:7" x14ac:dyDescent="0.25">
      <c r="A8548" t="s">
        <v>26937</v>
      </c>
      <c r="B8548" t="s">
        <v>27554</v>
      </c>
      <c r="C8548" t="s">
        <v>27540</v>
      </c>
      <c r="D8548" t="s">
        <v>27541</v>
      </c>
      <c r="E8548" t="s">
        <v>27542</v>
      </c>
      <c r="F8548" t="s">
        <v>27555</v>
      </c>
      <c r="G8548" s="2" t="str">
        <f>HYPERLINK("https://probpalata.gov.ru/files/ИП500100405500006.jpeg","Скачать индивидуальный QR-код магазина")</f>
        <v>Скачать индивидуальный QR-код магазина</v>
      </c>
    </row>
    <row r="8549" spans="1:7" x14ac:dyDescent="0.25">
      <c r="A8549" t="s">
        <v>26937</v>
      </c>
      <c r="B8549" t="s">
        <v>27556</v>
      </c>
      <c r="C8549" t="s">
        <v>27540</v>
      </c>
      <c r="D8549" t="s">
        <v>27541</v>
      </c>
      <c r="E8549" t="s">
        <v>27542</v>
      </c>
      <c r="F8549" t="s">
        <v>27557</v>
      </c>
      <c r="G8549" s="2" t="str">
        <f>HYPERLINK("https://probpalata.gov.ru/files/ИП500100405500007.jpeg","Скачать индивидуальный QR-код магазина")</f>
        <v>Скачать индивидуальный QR-код магазина</v>
      </c>
    </row>
    <row r="8550" spans="1:7" x14ac:dyDescent="0.25">
      <c r="A8550" t="s">
        <v>26937</v>
      </c>
      <c r="B8550" t="s">
        <v>27558</v>
      </c>
      <c r="C8550" t="s">
        <v>27540</v>
      </c>
      <c r="D8550" t="s">
        <v>27541</v>
      </c>
      <c r="E8550" t="s">
        <v>27542</v>
      </c>
      <c r="F8550" t="s">
        <v>27559</v>
      </c>
      <c r="G8550" s="2" t="str">
        <f>HYPERLINK("https://probpalata.gov.ru/files/ИП500100405500008.jpeg","Скачать индивидуальный QR-код магазина")</f>
        <v>Скачать индивидуальный QR-код магазина</v>
      </c>
    </row>
    <row r="8551" spans="1:7" x14ac:dyDescent="0.25">
      <c r="A8551" t="s">
        <v>26937</v>
      </c>
      <c r="B8551" t="s">
        <v>27560</v>
      </c>
      <c r="C8551" t="s">
        <v>27540</v>
      </c>
      <c r="D8551" t="s">
        <v>27541</v>
      </c>
      <c r="E8551" t="s">
        <v>27542</v>
      </c>
      <c r="F8551" t="s">
        <v>27561</v>
      </c>
      <c r="G8551" s="2" t="str">
        <f>HYPERLINK("https://probpalata.gov.ru/files/ИП500100405500009.jpeg","Скачать индивидуальный QR-код магазина")</f>
        <v>Скачать индивидуальный QR-код магазина</v>
      </c>
    </row>
    <row r="8552" spans="1:7" x14ac:dyDescent="0.25">
      <c r="A8552" t="s">
        <v>26937</v>
      </c>
      <c r="B8552" t="s">
        <v>27562</v>
      </c>
      <c r="C8552" t="s">
        <v>27540</v>
      </c>
      <c r="D8552" t="s">
        <v>27541</v>
      </c>
      <c r="E8552" t="s">
        <v>27542</v>
      </c>
      <c r="F8552" t="s">
        <v>27563</v>
      </c>
      <c r="G8552" s="2" t="str">
        <f>HYPERLINK("https://probpalata.gov.ru/files/ИП500100405500010.jpeg","Скачать индивидуальный QR-код магазина")</f>
        <v>Скачать индивидуальный QR-код магазина</v>
      </c>
    </row>
    <row r="8553" spans="1:7" x14ac:dyDescent="0.25">
      <c r="A8553" t="s">
        <v>26937</v>
      </c>
      <c r="B8553" t="s">
        <v>27564</v>
      </c>
      <c r="C8553" t="s">
        <v>27540</v>
      </c>
      <c r="D8553" t="s">
        <v>27541</v>
      </c>
      <c r="E8553" t="s">
        <v>27542</v>
      </c>
      <c r="F8553" t="s">
        <v>27565</v>
      </c>
      <c r="G8553" s="2" t="str">
        <f>HYPERLINK("https://probpalata.gov.ru/files/ИП500100405500012.jpeg","Скачать индивидуальный QR-код магазина")</f>
        <v>Скачать индивидуальный QR-код магазина</v>
      </c>
    </row>
    <row r="8554" spans="1:7" x14ac:dyDescent="0.25">
      <c r="A8554" t="s">
        <v>26937</v>
      </c>
      <c r="B8554" t="s">
        <v>27566</v>
      </c>
      <c r="C8554" t="s">
        <v>27567</v>
      </c>
      <c r="D8554" t="s">
        <v>27568</v>
      </c>
      <c r="E8554" t="s">
        <v>27569</v>
      </c>
      <c r="F8554" t="s">
        <v>27570</v>
      </c>
      <c r="G8554" s="2" t="str">
        <f>HYPERLINK("https://probpalata.gov.ru/files/ИП500103722000000.jpeg","Скачать индивидуальный QR-код магазина")</f>
        <v>Скачать индивидуальный QR-код магазина</v>
      </c>
    </row>
    <row r="8555" spans="1:7" x14ac:dyDescent="0.25">
      <c r="A8555" t="s">
        <v>26937</v>
      </c>
      <c r="B8555" t="s">
        <v>27571</v>
      </c>
      <c r="C8555" t="s">
        <v>19961</v>
      </c>
      <c r="D8555" t="s">
        <v>19962</v>
      </c>
      <c r="E8555" t="s">
        <v>19963</v>
      </c>
      <c r="F8555" t="s">
        <v>27572</v>
      </c>
      <c r="G8555" s="2" t="str">
        <f>HYPERLINK("https://probpalata.gov.ru/files/ЮЛ500100318800001.jpeg","Скачать индивидуальный QR-код магазина")</f>
        <v>Скачать индивидуальный QR-код магазина</v>
      </c>
    </row>
    <row r="8556" spans="1:7" x14ac:dyDescent="0.25">
      <c r="A8556" t="s">
        <v>26937</v>
      </c>
      <c r="B8556" t="s">
        <v>27573</v>
      </c>
      <c r="C8556" t="s">
        <v>19961</v>
      </c>
      <c r="D8556" t="s">
        <v>19962</v>
      </c>
      <c r="E8556" t="s">
        <v>19963</v>
      </c>
      <c r="F8556" t="s">
        <v>27574</v>
      </c>
      <c r="G8556" s="2" t="str">
        <f>HYPERLINK("https://probpalata.gov.ru/files/ЮЛ500100318800002.jpeg","Скачать индивидуальный QR-код магазина")</f>
        <v>Скачать индивидуальный QR-код магазина</v>
      </c>
    </row>
    <row r="8557" spans="1:7" x14ac:dyDescent="0.25">
      <c r="A8557" t="s">
        <v>26937</v>
      </c>
      <c r="B8557" t="s">
        <v>27539</v>
      </c>
      <c r="C8557" t="s">
        <v>19961</v>
      </c>
      <c r="D8557" t="s">
        <v>19962</v>
      </c>
      <c r="E8557" t="s">
        <v>19963</v>
      </c>
      <c r="F8557" t="s">
        <v>27575</v>
      </c>
      <c r="G8557" s="2" t="str">
        <f>HYPERLINK("https://probpalata.gov.ru/files/ЮЛ500100318800003.jpeg","Скачать индивидуальный QR-код магазина")</f>
        <v>Скачать индивидуальный QR-код магазина</v>
      </c>
    </row>
    <row r="8558" spans="1:7" x14ac:dyDescent="0.25">
      <c r="A8558" t="s">
        <v>26937</v>
      </c>
      <c r="B8558" t="s">
        <v>27576</v>
      </c>
      <c r="C8558" t="s">
        <v>19961</v>
      </c>
      <c r="D8558" t="s">
        <v>19962</v>
      </c>
      <c r="E8558" t="s">
        <v>19963</v>
      </c>
      <c r="F8558" t="s">
        <v>27577</v>
      </c>
      <c r="G8558" s="2" t="str">
        <f>HYPERLINK("https://probpalata.gov.ru/files/ЮЛ500100318800004.jpeg","Скачать индивидуальный QR-код магазина")</f>
        <v>Скачать индивидуальный QR-код магазина</v>
      </c>
    </row>
    <row r="8559" spans="1:7" x14ac:dyDescent="0.25">
      <c r="A8559" t="s">
        <v>26937</v>
      </c>
      <c r="B8559" t="s">
        <v>27548</v>
      </c>
      <c r="C8559" t="s">
        <v>19961</v>
      </c>
      <c r="D8559" t="s">
        <v>19962</v>
      </c>
      <c r="E8559" t="s">
        <v>19963</v>
      </c>
      <c r="F8559" t="s">
        <v>27578</v>
      </c>
      <c r="G8559" s="2" t="str">
        <f>HYPERLINK("https://probpalata.gov.ru/files/ЮЛ500100318800005.jpeg","Скачать индивидуальный QR-код магазина")</f>
        <v>Скачать индивидуальный QR-код магазина</v>
      </c>
    </row>
    <row r="8560" spans="1:7" x14ac:dyDescent="0.25">
      <c r="A8560" t="s">
        <v>26937</v>
      </c>
      <c r="B8560" t="s">
        <v>27579</v>
      </c>
      <c r="C8560" t="s">
        <v>19961</v>
      </c>
      <c r="D8560" t="s">
        <v>19962</v>
      </c>
      <c r="E8560" t="s">
        <v>19963</v>
      </c>
      <c r="F8560" t="s">
        <v>27580</v>
      </c>
      <c r="G8560" s="2" t="str">
        <f>HYPERLINK("https://probpalata.gov.ru/files/ЮЛ500100318800008.jpeg","Скачать индивидуальный QR-код магазина")</f>
        <v>Скачать индивидуальный QR-код магазина</v>
      </c>
    </row>
    <row r="8561" spans="1:7" x14ac:dyDescent="0.25">
      <c r="A8561" t="s">
        <v>26937</v>
      </c>
      <c r="B8561" t="s">
        <v>27581</v>
      </c>
      <c r="C8561" t="s">
        <v>19961</v>
      </c>
      <c r="D8561" t="s">
        <v>19962</v>
      </c>
      <c r="E8561" t="s">
        <v>19963</v>
      </c>
      <c r="F8561" t="s">
        <v>27582</v>
      </c>
      <c r="G8561" s="2" t="str">
        <f>HYPERLINK("https://probpalata.gov.ru/files/ЮЛ500100318800009.jpeg","Скачать индивидуальный QR-код магазина")</f>
        <v>Скачать индивидуальный QR-код магазина</v>
      </c>
    </row>
    <row r="8562" spans="1:7" x14ac:dyDescent="0.25">
      <c r="A8562" t="s">
        <v>26937</v>
      </c>
      <c r="B8562" t="s">
        <v>27564</v>
      </c>
      <c r="C8562" t="s">
        <v>19961</v>
      </c>
      <c r="D8562" t="s">
        <v>19962</v>
      </c>
      <c r="E8562" t="s">
        <v>19963</v>
      </c>
      <c r="F8562" t="s">
        <v>27583</v>
      </c>
      <c r="G8562" s="2" t="str">
        <f>HYPERLINK("https://probpalata.gov.ru/files/ЮЛ500100318800010.jpeg","Скачать индивидуальный QR-код магазина")</f>
        <v>Скачать индивидуальный QR-код магазина</v>
      </c>
    </row>
    <row r="8563" spans="1:7" x14ac:dyDescent="0.25">
      <c r="A8563" t="s">
        <v>26937</v>
      </c>
      <c r="B8563" t="s">
        <v>27584</v>
      </c>
      <c r="C8563" t="s">
        <v>19961</v>
      </c>
      <c r="D8563" t="s">
        <v>19962</v>
      </c>
      <c r="E8563" t="s">
        <v>19963</v>
      </c>
      <c r="F8563" t="s">
        <v>27585</v>
      </c>
      <c r="G8563" s="2" t="str">
        <f>HYPERLINK("https://probpalata.gov.ru/files/ЮЛ500100318800011.jpeg","Скачать индивидуальный QR-код магазина")</f>
        <v>Скачать индивидуальный QR-код магазина</v>
      </c>
    </row>
    <row r="8564" spans="1:7" x14ac:dyDescent="0.25">
      <c r="A8564" t="s">
        <v>26937</v>
      </c>
      <c r="B8564" t="s">
        <v>27586</v>
      </c>
      <c r="C8564" t="s">
        <v>27587</v>
      </c>
      <c r="D8564" t="s">
        <v>27588</v>
      </c>
      <c r="E8564" t="s">
        <v>27589</v>
      </c>
      <c r="F8564" t="s">
        <v>27590</v>
      </c>
      <c r="G8564" s="2" t="str">
        <f>HYPERLINK("https://probpalata.gov.ru/files/ЮЛ500101533500000.jpeg","Скачать индивидуальный QR-код магазина")</f>
        <v>Скачать индивидуальный QR-код магазина</v>
      </c>
    </row>
    <row r="8565" spans="1:7" x14ac:dyDescent="0.25">
      <c r="A8565" t="s">
        <v>26937</v>
      </c>
      <c r="B8565" t="s">
        <v>27591</v>
      </c>
      <c r="C8565" t="s">
        <v>27592</v>
      </c>
      <c r="D8565" t="s">
        <v>27593</v>
      </c>
      <c r="E8565" t="s">
        <v>27594</v>
      </c>
      <c r="F8565" t="s">
        <v>27595</v>
      </c>
      <c r="G8565" s="2" t="str">
        <f>HYPERLINK("https://probpalata.gov.ru/files/ЮЛ500101396300000.jpeg","Скачать индивидуальный QR-код магазина")</f>
        <v>Скачать индивидуальный QR-код магазина</v>
      </c>
    </row>
    <row r="8566" spans="1:7" x14ac:dyDescent="0.25">
      <c r="A8566" t="s">
        <v>26937</v>
      </c>
      <c r="B8566" t="s">
        <v>27596</v>
      </c>
      <c r="C8566" t="s">
        <v>27597</v>
      </c>
      <c r="D8566" t="s">
        <v>27598</v>
      </c>
      <c r="E8566" t="s">
        <v>27599</v>
      </c>
      <c r="F8566" t="s">
        <v>27600</v>
      </c>
      <c r="G8566" s="2" t="str">
        <f>HYPERLINK("https://probpalata.gov.ru/files/ЮЛ500100086400000.jpeg","Скачать индивидуальный QR-код магазина")</f>
        <v>Скачать индивидуальный QR-код магазина</v>
      </c>
    </row>
    <row r="8567" spans="1:7" x14ac:dyDescent="0.25">
      <c r="A8567" t="s">
        <v>26937</v>
      </c>
      <c r="B8567" t="s">
        <v>27601</v>
      </c>
      <c r="C8567" t="s">
        <v>27602</v>
      </c>
      <c r="D8567" t="s">
        <v>27603</v>
      </c>
      <c r="E8567" t="s">
        <v>27604</v>
      </c>
      <c r="F8567" t="s">
        <v>27605</v>
      </c>
      <c r="G8567" s="2" t="str">
        <f>HYPERLINK("https://probpalata.gov.ru/files/ЮЛ500101214700000.jpeg","Скачать индивидуальный QR-код магазина")</f>
        <v>Скачать индивидуальный QR-код магазина</v>
      </c>
    </row>
    <row r="8568" spans="1:7" x14ac:dyDescent="0.25">
      <c r="A8568" t="s">
        <v>26937</v>
      </c>
      <c r="B8568" t="s">
        <v>27606</v>
      </c>
      <c r="C8568" t="s">
        <v>27607</v>
      </c>
      <c r="D8568" t="s">
        <v>27608</v>
      </c>
      <c r="E8568" t="s">
        <v>27609</v>
      </c>
      <c r="F8568" t="s">
        <v>27610</v>
      </c>
      <c r="G8568" s="2" t="str">
        <f>HYPERLINK("https://probpalata.gov.ru/files/ЮЛ500100292200001.jpeg","Скачать индивидуальный QR-код магазина")</f>
        <v>Скачать индивидуальный QR-код магазина</v>
      </c>
    </row>
    <row r="8569" spans="1:7" x14ac:dyDescent="0.25">
      <c r="A8569" t="s">
        <v>26937</v>
      </c>
      <c r="B8569" t="s">
        <v>27550</v>
      </c>
      <c r="C8569" t="s">
        <v>27607</v>
      </c>
      <c r="D8569" t="s">
        <v>27608</v>
      </c>
      <c r="E8569" t="s">
        <v>27609</v>
      </c>
      <c r="F8569" t="s">
        <v>27611</v>
      </c>
      <c r="G8569" s="2" t="str">
        <f>HYPERLINK("https://probpalata.gov.ru/files/ЮЛ500100292200002.jpeg","Скачать индивидуальный QR-код магазина")</f>
        <v>Скачать индивидуальный QR-код магазина</v>
      </c>
    </row>
    <row r="8570" spans="1:7" x14ac:dyDescent="0.25">
      <c r="A8570" t="s">
        <v>26937</v>
      </c>
      <c r="B8570" t="s">
        <v>27612</v>
      </c>
      <c r="C8570" t="s">
        <v>27607</v>
      </c>
      <c r="D8570" t="s">
        <v>27608</v>
      </c>
      <c r="E8570" t="s">
        <v>27609</v>
      </c>
      <c r="F8570" t="s">
        <v>27613</v>
      </c>
      <c r="G8570" s="2" t="str">
        <f>HYPERLINK("https://probpalata.gov.ru/files/ЮЛ500100292200004.jpeg","Скачать индивидуальный QR-код магазина")</f>
        <v>Скачать индивидуальный QR-код магазина</v>
      </c>
    </row>
    <row r="8571" spans="1:7" x14ac:dyDescent="0.25">
      <c r="A8571" t="s">
        <v>26937</v>
      </c>
      <c r="B8571" t="s">
        <v>27558</v>
      </c>
      <c r="C8571" t="s">
        <v>27607</v>
      </c>
      <c r="D8571" t="s">
        <v>27608</v>
      </c>
      <c r="E8571" t="s">
        <v>27609</v>
      </c>
      <c r="F8571" t="s">
        <v>27614</v>
      </c>
      <c r="G8571" s="2" t="str">
        <f>HYPERLINK("https://probpalata.gov.ru/files/ЮЛ500100292200006.jpeg","Скачать индивидуальный QR-код магазина")</f>
        <v>Скачать индивидуальный QR-код магазина</v>
      </c>
    </row>
    <row r="8572" spans="1:7" x14ac:dyDescent="0.25">
      <c r="A8572" t="s">
        <v>26937</v>
      </c>
      <c r="B8572" t="s">
        <v>27615</v>
      </c>
      <c r="C8572" t="s">
        <v>27607</v>
      </c>
      <c r="D8572" t="s">
        <v>27608</v>
      </c>
      <c r="E8572" t="s">
        <v>27609</v>
      </c>
      <c r="F8572" t="s">
        <v>27616</v>
      </c>
      <c r="G8572" s="2" t="str">
        <f>HYPERLINK("https://probpalata.gov.ru/files/ЮЛ500100292200007.jpeg","Скачать индивидуальный QR-код магазина")</f>
        <v>Скачать индивидуальный QR-код магазина</v>
      </c>
    </row>
    <row r="8573" spans="1:7" x14ac:dyDescent="0.25">
      <c r="A8573" t="s">
        <v>26937</v>
      </c>
      <c r="B8573" t="s">
        <v>27617</v>
      </c>
      <c r="C8573" t="s">
        <v>27607</v>
      </c>
      <c r="D8573" t="s">
        <v>27608</v>
      </c>
      <c r="E8573" t="s">
        <v>27609</v>
      </c>
      <c r="F8573" t="s">
        <v>27618</v>
      </c>
      <c r="G8573" s="2" t="str">
        <f>HYPERLINK("https://probpalata.gov.ru/files/ЮЛ500100292200009.jpeg","Скачать индивидуальный QR-код магазина")</f>
        <v>Скачать индивидуальный QR-код магазина</v>
      </c>
    </row>
    <row r="8574" spans="1:7" x14ac:dyDescent="0.25">
      <c r="A8574" t="s">
        <v>26937</v>
      </c>
      <c r="B8574" t="s">
        <v>27619</v>
      </c>
      <c r="C8574" t="s">
        <v>27607</v>
      </c>
      <c r="D8574" t="s">
        <v>27608</v>
      </c>
      <c r="E8574" t="s">
        <v>27609</v>
      </c>
      <c r="F8574" t="s">
        <v>27620</v>
      </c>
      <c r="G8574" s="2" t="str">
        <f>HYPERLINK("https://probpalata.gov.ru/files/ЮЛ500100292200010.jpeg","Скачать индивидуальный QR-код магазина")</f>
        <v>Скачать индивидуальный QR-код магазина</v>
      </c>
    </row>
    <row r="8575" spans="1:7" x14ac:dyDescent="0.25">
      <c r="A8575" t="s">
        <v>26937</v>
      </c>
      <c r="B8575" t="s">
        <v>27621</v>
      </c>
      <c r="C8575" t="s">
        <v>27607</v>
      </c>
      <c r="D8575" t="s">
        <v>27608</v>
      </c>
      <c r="E8575" t="s">
        <v>27609</v>
      </c>
      <c r="F8575" t="s">
        <v>27622</v>
      </c>
      <c r="G8575" s="2" t="str">
        <f>HYPERLINK("https://probpalata.gov.ru/files/ЮЛ500100292200011.jpeg","Скачать индивидуальный QR-код магазина")</f>
        <v>Скачать индивидуальный QR-код магазина</v>
      </c>
    </row>
    <row r="8576" spans="1:7" x14ac:dyDescent="0.25">
      <c r="A8576" t="s">
        <v>26937</v>
      </c>
      <c r="B8576" t="s">
        <v>27623</v>
      </c>
      <c r="C8576" t="s">
        <v>27607</v>
      </c>
      <c r="D8576" t="s">
        <v>27608</v>
      </c>
      <c r="E8576" t="s">
        <v>27609</v>
      </c>
      <c r="F8576" t="s">
        <v>27624</v>
      </c>
      <c r="G8576" s="2" t="str">
        <f>HYPERLINK("https://probpalata.gov.ru/files/ЮЛ500100292200012.jpeg","Скачать индивидуальный QR-код магазина")</f>
        <v>Скачать индивидуальный QR-код магазина</v>
      </c>
    </row>
    <row r="8577" spans="1:7" x14ac:dyDescent="0.25">
      <c r="A8577" t="s">
        <v>26937</v>
      </c>
      <c r="B8577" t="s">
        <v>27625</v>
      </c>
      <c r="C8577" t="s">
        <v>27607</v>
      </c>
      <c r="D8577" t="s">
        <v>27608</v>
      </c>
      <c r="E8577" t="s">
        <v>27609</v>
      </c>
      <c r="F8577" t="s">
        <v>27626</v>
      </c>
      <c r="G8577" s="2" t="str">
        <f>HYPERLINK("https://probpalata.gov.ru/files/ЮЛ500100292200013.jpeg","Скачать индивидуальный QR-код магазина")</f>
        <v>Скачать индивидуальный QR-код магазина</v>
      </c>
    </row>
    <row r="8578" spans="1:7" x14ac:dyDescent="0.25">
      <c r="A8578" t="s">
        <v>26937</v>
      </c>
      <c r="B8578" t="s">
        <v>27627</v>
      </c>
      <c r="C8578" t="s">
        <v>27607</v>
      </c>
      <c r="D8578" t="s">
        <v>27608</v>
      </c>
      <c r="E8578" t="s">
        <v>27609</v>
      </c>
      <c r="F8578" t="s">
        <v>27628</v>
      </c>
      <c r="G8578" s="2" t="str">
        <f>HYPERLINK("https://probpalata.gov.ru/files/ЮЛ500100292200016.jpeg","Скачать индивидуальный QR-код магазина")</f>
        <v>Скачать индивидуальный QR-код магазина</v>
      </c>
    </row>
    <row r="8579" spans="1:7" x14ac:dyDescent="0.25">
      <c r="A8579" t="s">
        <v>26937</v>
      </c>
      <c r="B8579" t="s">
        <v>27629</v>
      </c>
      <c r="C8579" t="s">
        <v>3074</v>
      </c>
      <c r="D8579" t="s">
        <v>3075</v>
      </c>
      <c r="E8579" t="s">
        <v>3076</v>
      </c>
      <c r="F8579" t="s">
        <v>27630</v>
      </c>
      <c r="G8579" s="2" t="str">
        <f>HYPERLINK("https://probpalata.gov.ru/files/ЮЛ500100252900001.jpeg","Скачать индивидуальный QR-код магазина")</f>
        <v>Скачать индивидуальный QR-код магазина</v>
      </c>
    </row>
    <row r="8580" spans="1:7" x14ac:dyDescent="0.25">
      <c r="A8580" t="s">
        <v>26937</v>
      </c>
      <c r="B8580" t="s">
        <v>27631</v>
      </c>
      <c r="C8580" t="s">
        <v>3074</v>
      </c>
      <c r="D8580" t="s">
        <v>3075</v>
      </c>
      <c r="E8580" t="s">
        <v>3076</v>
      </c>
      <c r="F8580" t="s">
        <v>27632</v>
      </c>
      <c r="G8580" s="2" t="str">
        <f>HYPERLINK("https://probpalata.gov.ru/files/ЮЛ500100252900002.jpeg","Скачать индивидуальный QR-код магазина")</f>
        <v>Скачать индивидуальный QR-код магазина</v>
      </c>
    </row>
    <row r="8581" spans="1:7" x14ac:dyDescent="0.25">
      <c r="A8581" t="s">
        <v>26937</v>
      </c>
      <c r="B8581" t="s">
        <v>27633</v>
      </c>
      <c r="C8581" t="s">
        <v>3074</v>
      </c>
      <c r="D8581" t="s">
        <v>3075</v>
      </c>
      <c r="E8581" t="s">
        <v>3076</v>
      </c>
      <c r="F8581" t="s">
        <v>27634</v>
      </c>
      <c r="G8581" s="2" t="str">
        <f>HYPERLINK("https://probpalata.gov.ru/files/ЮЛ500100252900003.jpeg","Скачать индивидуальный QR-код магазина")</f>
        <v>Скачать индивидуальный QR-код магазина</v>
      </c>
    </row>
    <row r="8582" spans="1:7" x14ac:dyDescent="0.25">
      <c r="A8582" t="s">
        <v>26937</v>
      </c>
      <c r="B8582" t="s">
        <v>27635</v>
      </c>
      <c r="C8582" t="s">
        <v>3074</v>
      </c>
      <c r="D8582" t="s">
        <v>3075</v>
      </c>
      <c r="E8582" t="s">
        <v>3076</v>
      </c>
      <c r="F8582" t="s">
        <v>27636</v>
      </c>
      <c r="G8582" s="2" t="str">
        <f>HYPERLINK("https://probpalata.gov.ru/files/ЮЛ500100252900005.jpeg","Скачать индивидуальный QR-код магазина")</f>
        <v>Скачать индивидуальный QR-код магазина</v>
      </c>
    </row>
    <row r="8583" spans="1:7" x14ac:dyDescent="0.25">
      <c r="A8583" t="s">
        <v>26937</v>
      </c>
      <c r="B8583" t="s">
        <v>27637</v>
      </c>
      <c r="C8583" t="s">
        <v>3074</v>
      </c>
      <c r="D8583" t="s">
        <v>3075</v>
      </c>
      <c r="E8583" t="s">
        <v>3076</v>
      </c>
      <c r="F8583" t="s">
        <v>27638</v>
      </c>
      <c r="G8583" s="2" t="str">
        <f>HYPERLINK("https://probpalata.gov.ru/files/ЮЛ500100252900007.jpeg","Скачать индивидуальный QR-код магазина")</f>
        <v>Скачать индивидуальный QR-код магазина</v>
      </c>
    </row>
    <row r="8584" spans="1:7" x14ac:dyDescent="0.25">
      <c r="A8584" t="s">
        <v>26937</v>
      </c>
      <c r="B8584" t="s">
        <v>27639</v>
      </c>
      <c r="C8584" t="s">
        <v>3074</v>
      </c>
      <c r="D8584" t="s">
        <v>3075</v>
      </c>
      <c r="E8584" t="s">
        <v>3076</v>
      </c>
      <c r="F8584" t="s">
        <v>27640</v>
      </c>
      <c r="G8584" s="2" t="str">
        <f>HYPERLINK("https://probpalata.gov.ru/files/ЮЛ500100252900008.jpeg","Скачать индивидуальный QR-код магазина")</f>
        <v>Скачать индивидуальный QR-код магазина</v>
      </c>
    </row>
    <row r="8585" spans="1:7" x14ac:dyDescent="0.25">
      <c r="A8585" t="s">
        <v>26937</v>
      </c>
      <c r="B8585" t="s">
        <v>27641</v>
      </c>
      <c r="C8585" t="s">
        <v>3074</v>
      </c>
      <c r="D8585" t="s">
        <v>3075</v>
      </c>
      <c r="E8585" t="s">
        <v>3076</v>
      </c>
      <c r="F8585" t="s">
        <v>27642</v>
      </c>
      <c r="G8585" s="2" t="str">
        <f>HYPERLINK("https://probpalata.gov.ru/files/ЮЛ500100252900009.jpeg","Скачать индивидуальный QR-код магазина")</f>
        <v>Скачать индивидуальный QR-код магазина</v>
      </c>
    </row>
    <row r="8586" spans="1:7" x14ac:dyDescent="0.25">
      <c r="A8586" t="s">
        <v>26937</v>
      </c>
      <c r="B8586" t="s">
        <v>26944</v>
      </c>
      <c r="C8586" t="s">
        <v>3074</v>
      </c>
      <c r="D8586" t="s">
        <v>3075</v>
      </c>
      <c r="E8586" t="s">
        <v>3076</v>
      </c>
      <c r="F8586" t="s">
        <v>27643</v>
      </c>
      <c r="G8586" s="2" t="str">
        <f>HYPERLINK("https://probpalata.gov.ru/files/ЮЛ500100252900010.jpeg","Скачать индивидуальный QR-код магазина")</f>
        <v>Скачать индивидуальный QR-код магазина</v>
      </c>
    </row>
    <row r="8587" spans="1:7" x14ac:dyDescent="0.25">
      <c r="A8587" t="s">
        <v>26937</v>
      </c>
      <c r="B8587" t="s">
        <v>27562</v>
      </c>
      <c r="C8587" t="s">
        <v>3074</v>
      </c>
      <c r="D8587" t="s">
        <v>3075</v>
      </c>
      <c r="E8587" t="s">
        <v>3076</v>
      </c>
      <c r="F8587" t="s">
        <v>27644</v>
      </c>
      <c r="G8587" s="2" t="str">
        <f>HYPERLINK("https://probpalata.gov.ru/files/ЮЛ500100252900012.jpeg","Скачать индивидуальный QR-код магазина")</f>
        <v>Скачать индивидуальный QR-код магазина</v>
      </c>
    </row>
    <row r="8588" spans="1:7" x14ac:dyDescent="0.25">
      <c r="A8588" t="s">
        <v>26937</v>
      </c>
      <c r="B8588" t="s">
        <v>27645</v>
      </c>
      <c r="C8588" t="s">
        <v>3074</v>
      </c>
      <c r="D8588" t="s">
        <v>3075</v>
      </c>
      <c r="E8588" t="s">
        <v>3076</v>
      </c>
      <c r="F8588" t="s">
        <v>27646</v>
      </c>
      <c r="G8588" s="2" t="str">
        <f>HYPERLINK("https://probpalata.gov.ru/files/ЮЛ500100252900013.jpeg","Скачать индивидуальный QR-код магазина")</f>
        <v>Скачать индивидуальный QR-код магазина</v>
      </c>
    </row>
    <row r="8589" spans="1:7" x14ac:dyDescent="0.25">
      <c r="A8589" t="s">
        <v>26937</v>
      </c>
      <c r="B8589" t="s">
        <v>27647</v>
      </c>
      <c r="C8589" t="s">
        <v>3074</v>
      </c>
      <c r="D8589" t="s">
        <v>3075</v>
      </c>
      <c r="E8589" t="s">
        <v>3076</v>
      </c>
      <c r="F8589" t="s">
        <v>27648</v>
      </c>
      <c r="G8589" s="2" t="str">
        <f>HYPERLINK("https://probpalata.gov.ru/files/ЮЛ500100252900014.jpeg","Скачать индивидуальный QR-код магазина")</f>
        <v>Скачать индивидуальный QR-код магазина</v>
      </c>
    </row>
    <row r="8590" spans="1:7" x14ac:dyDescent="0.25">
      <c r="A8590" t="s">
        <v>26937</v>
      </c>
      <c r="B8590" t="s">
        <v>27649</v>
      </c>
      <c r="C8590" t="s">
        <v>3074</v>
      </c>
      <c r="D8590" t="s">
        <v>3075</v>
      </c>
      <c r="E8590" t="s">
        <v>3076</v>
      </c>
      <c r="F8590" t="s">
        <v>27650</v>
      </c>
      <c r="G8590" s="2" t="str">
        <f>HYPERLINK("https://probpalata.gov.ru/files/ЮЛ500100252900015.jpeg","Скачать индивидуальный QR-код магазина")</f>
        <v>Скачать индивидуальный QR-код магазина</v>
      </c>
    </row>
    <row r="8591" spans="1:7" x14ac:dyDescent="0.25">
      <c r="A8591" t="s">
        <v>26937</v>
      </c>
      <c r="B8591" t="s">
        <v>27651</v>
      </c>
      <c r="C8591" t="s">
        <v>3074</v>
      </c>
      <c r="D8591" t="s">
        <v>3075</v>
      </c>
      <c r="E8591" t="s">
        <v>3076</v>
      </c>
      <c r="F8591" t="s">
        <v>27652</v>
      </c>
      <c r="G8591" s="2" t="str">
        <f>HYPERLINK("https://probpalata.gov.ru/files/ЮЛ500100252900016.jpeg","Скачать индивидуальный QR-код магазина")</f>
        <v>Скачать индивидуальный QR-код магазина</v>
      </c>
    </row>
    <row r="8592" spans="1:7" x14ac:dyDescent="0.25">
      <c r="A8592" t="s">
        <v>26937</v>
      </c>
      <c r="B8592" t="s">
        <v>27653</v>
      </c>
      <c r="C8592" t="s">
        <v>3074</v>
      </c>
      <c r="D8592" t="s">
        <v>3075</v>
      </c>
      <c r="E8592" t="s">
        <v>3076</v>
      </c>
      <c r="F8592" t="s">
        <v>27654</v>
      </c>
      <c r="G8592" s="2" t="str">
        <f>HYPERLINK("https://probpalata.gov.ru/files/ЮЛ500100252900019.jpeg","Скачать индивидуальный QR-код магазина")</f>
        <v>Скачать индивидуальный QR-код магазина</v>
      </c>
    </row>
    <row r="8593" spans="1:7" x14ac:dyDescent="0.25">
      <c r="A8593" t="s">
        <v>26937</v>
      </c>
      <c r="B8593" t="s">
        <v>27548</v>
      </c>
      <c r="C8593" t="s">
        <v>19965</v>
      </c>
      <c r="D8593" t="s">
        <v>19966</v>
      </c>
      <c r="E8593" t="s">
        <v>19967</v>
      </c>
      <c r="F8593" t="s">
        <v>27655</v>
      </c>
      <c r="G8593" s="2" t="str">
        <f>HYPERLINK("https://probpalata.gov.ru/files/ЮЛ500103584300001.jpeg","Скачать индивидуальный QR-код магазина")</f>
        <v>Скачать индивидуальный QR-код магазина</v>
      </c>
    </row>
    <row r="8594" spans="1:7" x14ac:dyDescent="0.25">
      <c r="A8594" t="s">
        <v>26937</v>
      </c>
      <c r="B8594" t="s">
        <v>27656</v>
      </c>
      <c r="C8594" t="s">
        <v>19965</v>
      </c>
      <c r="D8594" t="s">
        <v>19966</v>
      </c>
      <c r="E8594" t="s">
        <v>19967</v>
      </c>
      <c r="F8594" t="s">
        <v>27657</v>
      </c>
      <c r="G8594" s="2" t="str">
        <f>HYPERLINK("https://probpalata.gov.ru/files/ЮЛ500103584300002.jpeg","Скачать индивидуальный QR-код магазина")</f>
        <v>Скачать индивидуальный QR-код магазина</v>
      </c>
    </row>
    <row r="8595" spans="1:7" x14ac:dyDescent="0.25">
      <c r="A8595" t="s">
        <v>26937</v>
      </c>
      <c r="B8595" t="s">
        <v>27658</v>
      </c>
      <c r="C8595" t="s">
        <v>19965</v>
      </c>
      <c r="D8595" t="s">
        <v>19966</v>
      </c>
      <c r="E8595" t="s">
        <v>19967</v>
      </c>
      <c r="F8595" t="s">
        <v>27659</v>
      </c>
      <c r="G8595" s="2" t="str">
        <f>HYPERLINK("https://probpalata.gov.ru/files/ЮЛ500103584300003.jpeg","Скачать индивидуальный QR-код магазина")</f>
        <v>Скачать индивидуальный QR-код магазина</v>
      </c>
    </row>
    <row r="8596" spans="1:7" x14ac:dyDescent="0.25">
      <c r="A8596" t="s">
        <v>26937</v>
      </c>
      <c r="B8596" t="s">
        <v>27552</v>
      </c>
      <c r="C8596" t="s">
        <v>19965</v>
      </c>
      <c r="D8596" t="s">
        <v>19966</v>
      </c>
      <c r="E8596" t="s">
        <v>19967</v>
      </c>
      <c r="F8596" t="s">
        <v>27660</v>
      </c>
      <c r="G8596" s="2" t="str">
        <f>HYPERLINK("https://probpalata.gov.ru/files/ЮЛ500103584300005.jpeg","Скачать индивидуальный QR-код магазина")</f>
        <v>Скачать индивидуальный QR-код магазина</v>
      </c>
    </row>
    <row r="8597" spans="1:7" x14ac:dyDescent="0.25">
      <c r="A8597" t="s">
        <v>26937</v>
      </c>
      <c r="B8597" t="s">
        <v>27661</v>
      </c>
      <c r="C8597" t="s">
        <v>19965</v>
      </c>
      <c r="D8597" t="s">
        <v>19966</v>
      </c>
      <c r="E8597" t="s">
        <v>19967</v>
      </c>
      <c r="F8597" t="s">
        <v>27662</v>
      </c>
      <c r="G8597" s="2" t="str">
        <f>HYPERLINK("https://probpalata.gov.ru/files/ЮЛ500103584300006.jpeg","Скачать индивидуальный QR-код магазина")</f>
        <v>Скачать индивидуальный QR-код магазина</v>
      </c>
    </row>
    <row r="8598" spans="1:7" x14ac:dyDescent="0.25">
      <c r="A8598" t="s">
        <v>26937</v>
      </c>
      <c r="B8598" t="s">
        <v>27663</v>
      </c>
      <c r="C8598" t="s">
        <v>19965</v>
      </c>
      <c r="D8598" t="s">
        <v>19966</v>
      </c>
      <c r="E8598" t="s">
        <v>19967</v>
      </c>
      <c r="F8598" t="s">
        <v>27664</v>
      </c>
      <c r="G8598" s="2" t="str">
        <f>HYPERLINK("https://probpalata.gov.ru/files/ЮЛ500103584300008.jpeg","Скачать индивидуальный QR-код магазина")</f>
        <v>Скачать индивидуальный QR-код магазина</v>
      </c>
    </row>
    <row r="8599" spans="1:7" x14ac:dyDescent="0.25">
      <c r="A8599" t="s">
        <v>26937</v>
      </c>
      <c r="B8599" t="s">
        <v>27584</v>
      </c>
      <c r="C8599" t="s">
        <v>19965</v>
      </c>
      <c r="D8599" t="s">
        <v>19966</v>
      </c>
      <c r="E8599" t="s">
        <v>19967</v>
      </c>
      <c r="F8599" t="s">
        <v>27665</v>
      </c>
      <c r="G8599" s="2" t="str">
        <f>HYPERLINK("https://probpalata.gov.ru/files/ЮЛ500103584300009.jpeg","Скачать индивидуальный QR-код магазина")</f>
        <v>Скачать индивидуальный QR-код магазина</v>
      </c>
    </row>
    <row r="8600" spans="1:7" x14ac:dyDescent="0.25">
      <c r="A8600" t="s">
        <v>26937</v>
      </c>
      <c r="B8600" t="s">
        <v>27666</v>
      </c>
      <c r="C8600" t="s">
        <v>19965</v>
      </c>
      <c r="D8600" t="s">
        <v>19966</v>
      </c>
      <c r="E8600" t="s">
        <v>19967</v>
      </c>
      <c r="F8600" t="s">
        <v>27667</v>
      </c>
      <c r="G8600" s="2" t="str">
        <f>HYPERLINK("https://probpalata.gov.ru/files/ЮЛ500103584300010.jpeg","Скачать индивидуальный QR-код магазина")</f>
        <v>Скачать индивидуальный QR-код магазина</v>
      </c>
    </row>
    <row r="8601" spans="1:7" x14ac:dyDescent="0.25">
      <c r="A8601" t="s">
        <v>26937</v>
      </c>
      <c r="B8601" t="s">
        <v>27668</v>
      </c>
      <c r="C8601" t="s">
        <v>27669</v>
      </c>
      <c r="D8601" t="s">
        <v>27670</v>
      </c>
      <c r="E8601" t="s">
        <v>27671</v>
      </c>
      <c r="F8601" t="s">
        <v>27672</v>
      </c>
      <c r="G8601" s="2" t="str">
        <f>HYPERLINK("https://probpalata.gov.ru/files/ИП770100045600000.jpeg","Скачать индивидуальный QR-код магазина")</f>
        <v>Скачать индивидуальный QR-код магазина</v>
      </c>
    </row>
    <row r="8602" spans="1:7" x14ac:dyDescent="0.25">
      <c r="A8602" t="s">
        <v>26937</v>
      </c>
      <c r="B8602" t="s">
        <v>27673</v>
      </c>
      <c r="C8602" t="s">
        <v>27674</v>
      </c>
      <c r="D8602" t="s">
        <v>27675</v>
      </c>
      <c r="E8602" t="s">
        <v>27676</v>
      </c>
      <c r="F8602" t="s">
        <v>27677</v>
      </c>
      <c r="G8602" s="2" t="str">
        <f>HYPERLINK("https://probpalata.gov.ru/files/ИП500100722800000.jpeg","Скачать индивидуальный QR-код магазина")</f>
        <v>Скачать индивидуальный QR-код магазина</v>
      </c>
    </row>
    <row r="8603" spans="1:7" x14ac:dyDescent="0.25">
      <c r="A8603" t="s">
        <v>26937</v>
      </c>
      <c r="B8603" t="s">
        <v>27678</v>
      </c>
      <c r="C8603" t="s">
        <v>27674</v>
      </c>
      <c r="D8603" t="s">
        <v>27675</v>
      </c>
      <c r="E8603" t="s">
        <v>27676</v>
      </c>
      <c r="F8603" t="s">
        <v>27679</v>
      </c>
      <c r="G8603" s="2" t="str">
        <f>HYPERLINK("https://probpalata.gov.ru/files/ИП500100722800001.jpeg","Скачать индивидуальный QR-код магазина")</f>
        <v>Скачать индивидуальный QR-код магазина</v>
      </c>
    </row>
    <row r="8604" spans="1:7" x14ac:dyDescent="0.25">
      <c r="A8604" t="s">
        <v>26937</v>
      </c>
      <c r="B8604" t="s">
        <v>27680</v>
      </c>
      <c r="C8604" t="s">
        <v>27674</v>
      </c>
      <c r="D8604" t="s">
        <v>27675</v>
      </c>
      <c r="E8604" t="s">
        <v>27676</v>
      </c>
      <c r="F8604" t="s">
        <v>27681</v>
      </c>
      <c r="G8604" s="2" t="str">
        <f>HYPERLINK("https://probpalata.gov.ru/files/ИП500100722800002.jpeg","Скачать индивидуальный QR-код магазина")</f>
        <v>Скачать индивидуальный QR-код магазина</v>
      </c>
    </row>
    <row r="8605" spans="1:7" x14ac:dyDescent="0.25">
      <c r="A8605" t="s">
        <v>26937</v>
      </c>
      <c r="B8605" t="s">
        <v>27682</v>
      </c>
      <c r="C8605" t="s">
        <v>27674</v>
      </c>
      <c r="D8605" t="s">
        <v>27675</v>
      </c>
      <c r="E8605" t="s">
        <v>27676</v>
      </c>
      <c r="F8605" t="s">
        <v>27683</v>
      </c>
      <c r="G8605" s="2" t="str">
        <f>HYPERLINK("https://probpalata.gov.ru/files/ИП500100722800004.jpeg","Скачать индивидуальный QR-код магазина")</f>
        <v>Скачать индивидуальный QR-код магазина</v>
      </c>
    </row>
    <row r="8606" spans="1:7" x14ac:dyDescent="0.25">
      <c r="A8606" t="s">
        <v>26937</v>
      </c>
      <c r="B8606" t="s">
        <v>27684</v>
      </c>
      <c r="C8606" t="s">
        <v>27685</v>
      </c>
      <c r="D8606" t="s">
        <v>27686</v>
      </c>
      <c r="E8606" t="s">
        <v>27687</v>
      </c>
      <c r="F8606" t="s">
        <v>27688</v>
      </c>
      <c r="G8606" s="2" t="str">
        <f>HYPERLINK("https://probpalata.gov.ru/files/ИП770101461600000.jpeg","Скачать индивидуальный QR-код магазина")</f>
        <v>Скачать индивидуальный QR-код магазина</v>
      </c>
    </row>
    <row r="8607" spans="1:7" x14ac:dyDescent="0.25">
      <c r="A8607" t="s">
        <v>26937</v>
      </c>
      <c r="B8607" t="s">
        <v>27689</v>
      </c>
      <c r="C8607" t="s">
        <v>27685</v>
      </c>
      <c r="D8607" t="s">
        <v>27686</v>
      </c>
      <c r="E8607" t="s">
        <v>27687</v>
      </c>
      <c r="F8607" t="s">
        <v>27690</v>
      </c>
      <c r="G8607" s="2" t="str">
        <f>HYPERLINK("https://probpalata.gov.ru/files/ИП770101461600006.jpeg","Скачать индивидуальный QR-код магазина")</f>
        <v>Скачать индивидуальный QR-код магазина</v>
      </c>
    </row>
    <row r="8608" spans="1:7" x14ac:dyDescent="0.25">
      <c r="A8608" t="s">
        <v>26937</v>
      </c>
      <c r="B8608" t="s">
        <v>27691</v>
      </c>
      <c r="C8608" t="s">
        <v>27685</v>
      </c>
      <c r="D8608" t="s">
        <v>27686</v>
      </c>
      <c r="E8608" t="s">
        <v>27687</v>
      </c>
      <c r="F8608" t="s">
        <v>27692</v>
      </c>
      <c r="G8608" s="2" t="str">
        <f>HYPERLINK("https://probpalata.gov.ru/files/ИП770101461600007.jpeg","Скачать индивидуальный QR-код магазина")</f>
        <v>Скачать индивидуальный QR-код магазина</v>
      </c>
    </row>
    <row r="8609" spans="1:7" x14ac:dyDescent="0.25">
      <c r="A8609" t="s">
        <v>26937</v>
      </c>
      <c r="B8609" t="s">
        <v>27693</v>
      </c>
      <c r="C8609" t="s">
        <v>27685</v>
      </c>
      <c r="D8609" t="s">
        <v>27686</v>
      </c>
      <c r="E8609" t="s">
        <v>27687</v>
      </c>
      <c r="F8609" t="s">
        <v>27694</v>
      </c>
      <c r="G8609" s="2" t="str">
        <f>HYPERLINK("https://probpalata.gov.ru/files/ИП770101461600008.jpeg","Скачать индивидуальный QR-код магазина")</f>
        <v>Скачать индивидуальный QR-код магазина</v>
      </c>
    </row>
    <row r="8610" spans="1:7" x14ac:dyDescent="0.25">
      <c r="A8610" t="s">
        <v>26937</v>
      </c>
      <c r="B8610" t="s">
        <v>27695</v>
      </c>
      <c r="C8610" t="s">
        <v>27685</v>
      </c>
      <c r="D8610" t="s">
        <v>27686</v>
      </c>
      <c r="E8610" t="s">
        <v>27687</v>
      </c>
      <c r="F8610" t="s">
        <v>27696</v>
      </c>
      <c r="G8610" s="2" t="str">
        <f>HYPERLINK("https://probpalata.gov.ru/files/ИП770101461600010.jpeg","Скачать индивидуальный QR-код магазина")</f>
        <v>Скачать индивидуальный QR-код магазина</v>
      </c>
    </row>
    <row r="8611" spans="1:7" x14ac:dyDescent="0.25">
      <c r="A8611" t="s">
        <v>26937</v>
      </c>
      <c r="B8611" t="s">
        <v>27697</v>
      </c>
      <c r="C8611" t="s">
        <v>27685</v>
      </c>
      <c r="D8611" t="s">
        <v>27686</v>
      </c>
      <c r="E8611" t="s">
        <v>27687</v>
      </c>
      <c r="F8611" t="s">
        <v>27698</v>
      </c>
      <c r="G8611" s="2" t="str">
        <f>HYPERLINK("https://probpalata.gov.ru/files/ИП770101461600011.jpeg","Скачать индивидуальный QR-код магазина")</f>
        <v>Скачать индивидуальный QR-код магазина</v>
      </c>
    </row>
    <row r="8612" spans="1:7" x14ac:dyDescent="0.25">
      <c r="A8612" t="s">
        <v>26937</v>
      </c>
      <c r="B8612" t="s">
        <v>27699</v>
      </c>
      <c r="C8612" t="s">
        <v>27700</v>
      </c>
      <c r="D8612" t="s">
        <v>27701</v>
      </c>
      <c r="E8612" t="s">
        <v>27702</v>
      </c>
      <c r="F8612" t="s">
        <v>27703</v>
      </c>
      <c r="G8612" s="2" t="str">
        <f>HYPERLINK("https://probpalata.gov.ru/files/ИП770100806100000.jpeg","Скачать индивидуальный QR-код магазина")</f>
        <v>Скачать индивидуальный QR-код магазина</v>
      </c>
    </row>
    <row r="8613" spans="1:7" x14ac:dyDescent="0.25">
      <c r="A8613" t="s">
        <v>26937</v>
      </c>
      <c r="B8613" t="s">
        <v>27704</v>
      </c>
      <c r="C8613" t="s">
        <v>27705</v>
      </c>
      <c r="D8613" t="s">
        <v>27706</v>
      </c>
      <c r="E8613" t="s">
        <v>27707</v>
      </c>
      <c r="F8613" t="s">
        <v>27708</v>
      </c>
      <c r="G8613" s="2" t="str">
        <f>HYPERLINK("https://probpalata.gov.ru/files/ИП770100922900000.jpeg","Скачать индивидуальный QR-код магазина")</f>
        <v>Скачать индивидуальный QR-код магазина</v>
      </c>
    </row>
    <row r="8614" spans="1:7" x14ac:dyDescent="0.25">
      <c r="A8614" t="s">
        <v>26937</v>
      </c>
      <c r="B8614" t="s">
        <v>27709</v>
      </c>
      <c r="C8614" t="s">
        <v>21232</v>
      </c>
      <c r="D8614" t="s">
        <v>27710</v>
      </c>
      <c r="E8614" t="s">
        <v>27711</v>
      </c>
      <c r="F8614" t="s">
        <v>27712</v>
      </c>
      <c r="G8614" s="2" t="str">
        <f>HYPERLINK("https://probpalata.gov.ru/files/ЮЛ500101503800000.jpeg","Скачать индивидуальный QR-код магазина")</f>
        <v>Скачать индивидуальный QR-код магазина</v>
      </c>
    </row>
    <row r="8615" spans="1:7" x14ac:dyDescent="0.25">
      <c r="A8615" t="s">
        <v>26937</v>
      </c>
      <c r="B8615" t="s">
        <v>27713</v>
      </c>
      <c r="C8615" t="s">
        <v>27714</v>
      </c>
      <c r="D8615" t="s">
        <v>27715</v>
      </c>
      <c r="E8615" t="s">
        <v>27716</v>
      </c>
      <c r="F8615" t="s">
        <v>27717</v>
      </c>
      <c r="G8615" s="2" t="str">
        <f>HYPERLINK("https://probpalata.gov.ru/files/ЮЛ500101037800000.jpeg","Скачать индивидуальный QR-код магазина")</f>
        <v>Скачать индивидуальный QR-код магазина</v>
      </c>
    </row>
    <row r="8616" spans="1:7" x14ac:dyDescent="0.25">
      <c r="A8616" t="s">
        <v>26937</v>
      </c>
      <c r="B8616" t="s">
        <v>27718</v>
      </c>
      <c r="C8616" t="s">
        <v>27719</v>
      </c>
      <c r="D8616" t="s">
        <v>27720</v>
      </c>
      <c r="E8616" t="s">
        <v>27721</v>
      </c>
      <c r="F8616" t="s">
        <v>27722</v>
      </c>
      <c r="G8616" s="2" t="str">
        <f>HYPERLINK("https://probpalata.gov.ru/files/ИП500100352500000.jpeg","Скачать индивидуальный QR-код магазина")</f>
        <v>Скачать индивидуальный QR-код магазина</v>
      </c>
    </row>
    <row r="8617" spans="1:7" x14ac:dyDescent="0.25">
      <c r="A8617" t="s">
        <v>26937</v>
      </c>
      <c r="B8617" t="s">
        <v>27723</v>
      </c>
      <c r="C8617" t="s">
        <v>27719</v>
      </c>
      <c r="D8617" t="s">
        <v>27720</v>
      </c>
      <c r="E8617" t="s">
        <v>27721</v>
      </c>
      <c r="F8617" t="s">
        <v>27724</v>
      </c>
      <c r="G8617" s="2" t="str">
        <f>HYPERLINK("https://probpalata.gov.ru/files/ИП500100352500002.jpeg","Скачать индивидуальный QR-код магазина")</f>
        <v>Скачать индивидуальный QR-код магазина</v>
      </c>
    </row>
    <row r="8618" spans="1:7" x14ac:dyDescent="0.25">
      <c r="A8618" t="s">
        <v>26937</v>
      </c>
      <c r="B8618" t="s">
        <v>27725</v>
      </c>
      <c r="C8618" t="s">
        <v>27719</v>
      </c>
      <c r="D8618" t="s">
        <v>27720</v>
      </c>
      <c r="E8618" t="s">
        <v>27721</v>
      </c>
      <c r="F8618" t="s">
        <v>27726</v>
      </c>
      <c r="G8618" s="2" t="str">
        <f>HYPERLINK("https://probpalata.gov.ru/files/ИП500100352500003.jpeg","Скачать индивидуальный QR-код магазина")</f>
        <v>Скачать индивидуальный QR-код магазина</v>
      </c>
    </row>
    <row r="8619" spans="1:7" x14ac:dyDescent="0.25">
      <c r="A8619" t="s">
        <v>26937</v>
      </c>
      <c r="B8619" t="s">
        <v>27727</v>
      </c>
      <c r="C8619" t="s">
        <v>27719</v>
      </c>
      <c r="D8619" t="s">
        <v>27720</v>
      </c>
      <c r="E8619" t="s">
        <v>27721</v>
      </c>
      <c r="F8619" t="s">
        <v>27728</v>
      </c>
      <c r="G8619" s="2" t="str">
        <f>HYPERLINK("https://probpalata.gov.ru/files/ИП500100352500004.jpeg","Скачать индивидуальный QR-код магазина")</f>
        <v>Скачать индивидуальный QR-код магазина</v>
      </c>
    </row>
    <row r="8620" spans="1:7" x14ac:dyDescent="0.25">
      <c r="A8620" t="s">
        <v>26937</v>
      </c>
      <c r="B8620" t="s">
        <v>27729</v>
      </c>
      <c r="C8620" t="s">
        <v>27719</v>
      </c>
      <c r="D8620" t="s">
        <v>27720</v>
      </c>
      <c r="E8620" t="s">
        <v>27721</v>
      </c>
      <c r="F8620" t="s">
        <v>27730</v>
      </c>
      <c r="G8620" s="2" t="str">
        <f>HYPERLINK("https://probpalata.gov.ru/files/ИП500100352500006.jpeg","Скачать индивидуальный QR-код магазина")</f>
        <v>Скачать индивидуальный QR-код магазина</v>
      </c>
    </row>
    <row r="8621" spans="1:7" x14ac:dyDescent="0.25">
      <c r="A8621" t="s">
        <v>26937</v>
      </c>
      <c r="B8621" t="s">
        <v>27731</v>
      </c>
      <c r="C8621" t="s">
        <v>27719</v>
      </c>
      <c r="D8621" t="s">
        <v>27720</v>
      </c>
      <c r="E8621" t="s">
        <v>27721</v>
      </c>
      <c r="F8621" t="s">
        <v>27732</v>
      </c>
      <c r="G8621" s="2" t="str">
        <f>HYPERLINK("https://probpalata.gov.ru/files/ИП500100352500007.jpeg","Скачать индивидуальный QR-код магазина")</f>
        <v>Скачать индивидуальный QR-код магазина</v>
      </c>
    </row>
    <row r="8622" spans="1:7" x14ac:dyDescent="0.25">
      <c r="A8622" t="s">
        <v>26937</v>
      </c>
      <c r="B8622" t="s">
        <v>27733</v>
      </c>
      <c r="C8622" t="s">
        <v>27719</v>
      </c>
      <c r="D8622" t="s">
        <v>27720</v>
      </c>
      <c r="E8622" t="s">
        <v>27721</v>
      </c>
      <c r="F8622" t="s">
        <v>27734</v>
      </c>
      <c r="G8622" s="2" t="str">
        <f>HYPERLINK("https://probpalata.gov.ru/files/ИП500100352500009.jpeg","Скачать индивидуальный QR-код магазина")</f>
        <v>Скачать индивидуальный QR-код магазина</v>
      </c>
    </row>
    <row r="8623" spans="1:7" x14ac:dyDescent="0.25">
      <c r="A8623" t="s">
        <v>26937</v>
      </c>
      <c r="B8623" t="s">
        <v>27735</v>
      </c>
      <c r="C8623" t="s">
        <v>27719</v>
      </c>
      <c r="D8623" t="s">
        <v>27720</v>
      </c>
      <c r="E8623" t="s">
        <v>27721</v>
      </c>
      <c r="F8623" t="s">
        <v>27736</v>
      </c>
      <c r="G8623" s="2" t="str">
        <f>HYPERLINK("https://probpalata.gov.ru/files/ИП500100352500010.jpeg","Скачать индивидуальный QR-код магазина")</f>
        <v>Скачать индивидуальный QR-код магазина</v>
      </c>
    </row>
    <row r="8624" spans="1:7" x14ac:dyDescent="0.25">
      <c r="A8624" t="s">
        <v>26937</v>
      </c>
      <c r="B8624" t="s">
        <v>27737</v>
      </c>
      <c r="C8624" t="s">
        <v>27719</v>
      </c>
      <c r="D8624" t="s">
        <v>27720</v>
      </c>
      <c r="E8624" t="s">
        <v>27721</v>
      </c>
      <c r="F8624" t="s">
        <v>27738</v>
      </c>
      <c r="G8624" s="2" t="str">
        <f>HYPERLINK("https://probpalata.gov.ru/files/ИП500100352500011.jpeg","Скачать индивидуальный QR-код магазина")</f>
        <v>Скачать индивидуальный QR-код магазина</v>
      </c>
    </row>
    <row r="8625" spans="1:7" x14ac:dyDescent="0.25">
      <c r="A8625" t="s">
        <v>26937</v>
      </c>
      <c r="B8625" t="s">
        <v>27739</v>
      </c>
      <c r="C8625" t="s">
        <v>27740</v>
      </c>
      <c r="D8625" t="s">
        <v>27741</v>
      </c>
      <c r="E8625" t="s">
        <v>27742</v>
      </c>
      <c r="F8625" t="s">
        <v>27743</v>
      </c>
      <c r="G8625" s="2" t="str">
        <f>HYPERLINK("https://probpalata.gov.ru/files/ИП500100717900000.jpeg","Скачать индивидуальный QR-код магазина")</f>
        <v>Скачать индивидуальный QR-код магазина</v>
      </c>
    </row>
    <row r="8626" spans="1:7" x14ac:dyDescent="0.25">
      <c r="A8626" t="s">
        <v>26937</v>
      </c>
      <c r="B8626" t="s">
        <v>27744</v>
      </c>
      <c r="C8626" t="s">
        <v>27740</v>
      </c>
      <c r="D8626" t="s">
        <v>27741</v>
      </c>
      <c r="E8626" t="s">
        <v>27742</v>
      </c>
      <c r="F8626" t="s">
        <v>27745</v>
      </c>
      <c r="G8626" s="2" t="str">
        <f>HYPERLINK("https://probpalata.gov.ru/files/ИП500100717900002.jpeg","Скачать индивидуальный QR-код магазина")</f>
        <v>Скачать индивидуальный QR-код магазина</v>
      </c>
    </row>
    <row r="8627" spans="1:7" x14ac:dyDescent="0.25">
      <c r="A8627" t="s">
        <v>26937</v>
      </c>
      <c r="B8627" t="s">
        <v>27746</v>
      </c>
      <c r="C8627" t="s">
        <v>27740</v>
      </c>
      <c r="D8627" t="s">
        <v>27741</v>
      </c>
      <c r="E8627" t="s">
        <v>27742</v>
      </c>
      <c r="F8627" t="s">
        <v>27747</v>
      </c>
      <c r="G8627" s="2" t="str">
        <f>HYPERLINK("https://probpalata.gov.ru/files/ИП500100717900003.jpeg","Скачать индивидуальный QR-код магазина")</f>
        <v>Скачать индивидуальный QR-код магазина</v>
      </c>
    </row>
    <row r="8628" spans="1:7" x14ac:dyDescent="0.25">
      <c r="A8628" t="s">
        <v>26937</v>
      </c>
      <c r="B8628" t="s">
        <v>27748</v>
      </c>
      <c r="C8628" t="s">
        <v>27740</v>
      </c>
      <c r="D8628" t="s">
        <v>27741</v>
      </c>
      <c r="E8628" t="s">
        <v>27742</v>
      </c>
      <c r="F8628" t="s">
        <v>27749</v>
      </c>
      <c r="G8628" s="2" t="str">
        <f>HYPERLINK("https://probpalata.gov.ru/files/ИП500100717900005.jpeg","Скачать индивидуальный QR-код магазина")</f>
        <v>Скачать индивидуальный QR-код магазина</v>
      </c>
    </row>
    <row r="8629" spans="1:7" x14ac:dyDescent="0.25">
      <c r="A8629" t="s">
        <v>26937</v>
      </c>
      <c r="B8629" t="s">
        <v>27750</v>
      </c>
      <c r="C8629" t="s">
        <v>27740</v>
      </c>
      <c r="D8629" t="s">
        <v>27741</v>
      </c>
      <c r="E8629" t="s">
        <v>27742</v>
      </c>
      <c r="F8629" t="s">
        <v>27751</v>
      </c>
      <c r="G8629" s="2" t="str">
        <f>HYPERLINK("https://probpalata.gov.ru/files/ИП500100717900006.jpeg","Скачать индивидуальный QR-код магазина")</f>
        <v>Скачать индивидуальный QR-код магазина</v>
      </c>
    </row>
    <row r="8630" spans="1:7" x14ac:dyDescent="0.25">
      <c r="A8630" t="s">
        <v>26937</v>
      </c>
      <c r="B8630" t="s">
        <v>27752</v>
      </c>
      <c r="C8630" t="s">
        <v>27740</v>
      </c>
      <c r="D8630" t="s">
        <v>27741</v>
      </c>
      <c r="E8630" t="s">
        <v>27742</v>
      </c>
      <c r="F8630" t="s">
        <v>27753</v>
      </c>
      <c r="G8630" s="2" t="str">
        <f>HYPERLINK("https://probpalata.gov.ru/files/ИП500100717900007.jpeg","Скачать индивидуальный QR-код магазина")</f>
        <v>Скачать индивидуальный QR-код магазина</v>
      </c>
    </row>
    <row r="8631" spans="1:7" x14ac:dyDescent="0.25">
      <c r="A8631" t="s">
        <v>26937</v>
      </c>
      <c r="B8631" t="s">
        <v>27754</v>
      </c>
      <c r="C8631" t="s">
        <v>27755</v>
      </c>
      <c r="D8631" t="s">
        <v>27756</v>
      </c>
      <c r="E8631" t="s">
        <v>27757</v>
      </c>
      <c r="F8631" t="s">
        <v>27758</v>
      </c>
      <c r="G8631" s="2" t="str">
        <f>HYPERLINK("https://probpalata.gov.ru/files/ИП500100455900000.jpeg","Скачать индивидуальный QR-код магазина")</f>
        <v>Скачать индивидуальный QR-код магазина</v>
      </c>
    </row>
    <row r="8632" spans="1:7" x14ac:dyDescent="0.25">
      <c r="A8632" t="s">
        <v>26937</v>
      </c>
      <c r="B8632" t="s">
        <v>27759</v>
      </c>
      <c r="C8632" t="s">
        <v>27760</v>
      </c>
      <c r="D8632" t="s">
        <v>27761</v>
      </c>
      <c r="E8632" t="s">
        <v>27762</v>
      </c>
      <c r="F8632" t="s">
        <v>27763</v>
      </c>
      <c r="G8632" s="2" t="str">
        <f>HYPERLINK("https://probpalata.gov.ru/files/ИП500101669600000.jpeg","Скачать индивидуальный QR-код магазина")</f>
        <v>Скачать индивидуальный QR-код магазина</v>
      </c>
    </row>
    <row r="8633" spans="1:7" x14ac:dyDescent="0.25">
      <c r="A8633" t="s">
        <v>26937</v>
      </c>
      <c r="B8633" t="s">
        <v>27764</v>
      </c>
      <c r="C8633" t="s">
        <v>27765</v>
      </c>
      <c r="D8633" t="s">
        <v>27766</v>
      </c>
      <c r="E8633" t="s">
        <v>27767</v>
      </c>
      <c r="F8633" t="s">
        <v>27768</v>
      </c>
      <c r="G8633" s="2" t="str">
        <f>HYPERLINK("https://probpalata.gov.ru/files/ЮЛ500100958600001.jpeg","Скачать индивидуальный QR-код магазина")</f>
        <v>Скачать индивидуальный QR-код магазина</v>
      </c>
    </row>
    <row r="8634" spans="1:7" x14ac:dyDescent="0.25">
      <c r="A8634" t="s">
        <v>26937</v>
      </c>
      <c r="B8634" t="s">
        <v>27769</v>
      </c>
      <c r="C8634" t="s">
        <v>14765</v>
      </c>
      <c r="D8634" t="s">
        <v>14766</v>
      </c>
      <c r="E8634" t="s">
        <v>14767</v>
      </c>
      <c r="F8634" t="s">
        <v>27770</v>
      </c>
      <c r="G8634" s="2" t="str">
        <f>HYPERLINK("https://probpalata.gov.ru/files/ЮЛ500100279300000.jpeg","Скачать индивидуальный QR-код магазина")</f>
        <v>Скачать индивидуальный QR-код магазина</v>
      </c>
    </row>
    <row r="8635" spans="1:7" x14ac:dyDescent="0.25">
      <c r="A8635" t="s">
        <v>26937</v>
      </c>
      <c r="B8635" t="s">
        <v>27771</v>
      </c>
      <c r="C8635" t="s">
        <v>14765</v>
      </c>
      <c r="D8635" t="s">
        <v>14766</v>
      </c>
      <c r="E8635" t="s">
        <v>14767</v>
      </c>
      <c r="F8635" t="s">
        <v>27772</v>
      </c>
      <c r="G8635" s="2" t="str">
        <f>HYPERLINK("https://probpalata.gov.ru/files/ЮЛ500100279300018.jpeg","Скачать индивидуальный QR-код магазина")</f>
        <v>Скачать индивидуальный QR-код магазина</v>
      </c>
    </row>
    <row r="8636" spans="1:7" x14ac:dyDescent="0.25">
      <c r="A8636" t="s">
        <v>26937</v>
      </c>
      <c r="B8636" t="s">
        <v>27773</v>
      </c>
      <c r="C8636" t="s">
        <v>20036</v>
      </c>
      <c r="D8636" t="s">
        <v>20037</v>
      </c>
      <c r="E8636" t="s">
        <v>20038</v>
      </c>
      <c r="F8636" t="s">
        <v>27774</v>
      </c>
      <c r="G8636" s="2" t="str">
        <f>HYPERLINK("https://probpalata.gov.ru/files/ЮЛ500100990300000.jpeg","Скачать индивидуальный QR-код магазина")</f>
        <v>Скачать индивидуальный QR-код магазина</v>
      </c>
    </row>
    <row r="8637" spans="1:7" x14ac:dyDescent="0.25">
      <c r="A8637" t="s">
        <v>26937</v>
      </c>
      <c r="B8637" t="s">
        <v>27775</v>
      </c>
      <c r="C8637" t="s">
        <v>3489</v>
      </c>
      <c r="D8637" t="s">
        <v>27776</v>
      </c>
      <c r="E8637" t="s">
        <v>27777</v>
      </c>
      <c r="F8637" t="s">
        <v>27778</v>
      </c>
      <c r="G8637" s="2" t="str">
        <f>HYPERLINK("https://probpalata.gov.ru/files/ЮЛ500101634000000.jpeg","Скачать индивидуальный QR-код магазина")</f>
        <v>Скачать индивидуальный QR-код магазина</v>
      </c>
    </row>
    <row r="8638" spans="1:7" x14ac:dyDescent="0.25">
      <c r="A8638" t="s">
        <v>26937</v>
      </c>
      <c r="B8638" t="s">
        <v>27779</v>
      </c>
      <c r="C8638" t="s">
        <v>27780</v>
      </c>
      <c r="D8638" t="s">
        <v>27781</v>
      </c>
      <c r="E8638" t="s">
        <v>27782</v>
      </c>
      <c r="F8638" t="s">
        <v>27783</v>
      </c>
      <c r="G8638" s="2" t="str">
        <f>HYPERLINK("https://probpalata.gov.ru/files/ЮЛ500100375400000.jpeg","Скачать индивидуальный QR-код магазина")</f>
        <v>Скачать индивидуальный QR-код магазина</v>
      </c>
    </row>
    <row r="8639" spans="1:7" x14ac:dyDescent="0.25">
      <c r="A8639" t="s">
        <v>26937</v>
      </c>
      <c r="B8639" t="s">
        <v>27784</v>
      </c>
      <c r="C8639" t="s">
        <v>27785</v>
      </c>
      <c r="D8639" t="s">
        <v>27786</v>
      </c>
      <c r="E8639" t="s">
        <v>27787</v>
      </c>
      <c r="F8639" t="s">
        <v>27788</v>
      </c>
      <c r="G8639" s="2" t="str">
        <f>HYPERLINK("https://probpalata.gov.ru/files/ИП500103978800000.jpeg","Скачать индивидуальный QR-код магазина")</f>
        <v>Скачать индивидуальный QR-код магазина</v>
      </c>
    </row>
    <row r="8640" spans="1:7" x14ac:dyDescent="0.25">
      <c r="A8640" t="s">
        <v>26937</v>
      </c>
      <c r="B8640" t="s">
        <v>27789</v>
      </c>
      <c r="C8640" t="s">
        <v>27790</v>
      </c>
      <c r="D8640" t="s">
        <v>27791</v>
      </c>
      <c r="E8640" t="s">
        <v>27792</v>
      </c>
      <c r="F8640" t="s">
        <v>27793</v>
      </c>
      <c r="G8640" s="2" t="str">
        <f>HYPERLINK("https://probpalata.gov.ru/files/ЮЛ500100056400000.jpeg","Скачать индивидуальный QR-код магазина")</f>
        <v>Скачать индивидуальный QR-код магазина</v>
      </c>
    </row>
    <row r="8641" spans="1:7" x14ac:dyDescent="0.25">
      <c r="A8641" t="s">
        <v>26937</v>
      </c>
      <c r="B8641" t="s">
        <v>27794</v>
      </c>
      <c r="C8641" t="s">
        <v>27795</v>
      </c>
      <c r="D8641" t="s">
        <v>27796</v>
      </c>
      <c r="E8641" t="s">
        <v>27797</v>
      </c>
      <c r="F8641" t="s">
        <v>27798</v>
      </c>
      <c r="G8641" s="2" t="str">
        <f>HYPERLINK("https://probpalata.gov.ru/files/ИП500101600200000.jpeg","Скачать индивидуальный QR-код магазина")</f>
        <v>Скачать индивидуальный QR-код магазина</v>
      </c>
    </row>
    <row r="8642" spans="1:7" x14ac:dyDescent="0.25">
      <c r="A8642" t="s">
        <v>26937</v>
      </c>
      <c r="B8642" t="s">
        <v>27799</v>
      </c>
      <c r="C8642" t="s">
        <v>27795</v>
      </c>
      <c r="D8642" t="s">
        <v>27796</v>
      </c>
      <c r="E8642" t="s">
        <v>27797</v>
      </c>
      <c r="F8642" t="s">
        <v>27800</v>
      </c>
      <c r="G8642" s="2" t="str">
        <f>HYPERLINK("https://probpalata.gov.ru/files/ИП500101600200001.jpeg","Скачать индивидуальный QR-код магазина")</f>
        <v>Скачать индивидуальный QR-код магазина</v>
      </c>
    </row>
    <row r="8643" spans="1:7" x14ac:dyDescent="0.25">
      <c r="A8643" t="s">
        <v>26937</v>
      </c>
      <c r="B8643" t="s">
        <v>27801</v>
      </c>
      <c r="C8643" t="s">
        <v>27802</v>
      </c>
      <c r="D8643" t="s">
        <v>27803</v>
      </c>
      <c r="E8643" t="s">
        <v>27804</v>
      </c>
      <c r="F8643" t="s">
        <v>27805</v>
      </c>
      <c r="G8643" s="2" t="str">
        <f>HYPERLINK("https://probpalata.gov.ru/files/ИП500100377800000.jpeg","Скачать индивидуальный QR-код магазина")</f>
        <v>Скачать индивидуальный QR-код магазина</v>
      </c>
    </row>
    <row r="8644" spans="1:7" x14ac:dyDescent="0.25">
      <c r="A8644" t="s">
        <v>26937</v>
      </c>
      <c r="B8644" t="s">
        <v>27806</v>
      </c>
      <c r="C8644" t="s">
        <v>27802</v>
      </c>
      <c r="D8644" t="s">
        <v>27803</v>
      </c>
      <c r="E8644" t="s">
        <v>27804</v>
      </c>
      <c r="F8644" t="s">
        <v>27807</v>
      </c>
      <c r="G8644" s="2" t="str">
        <f>HYPERLINK("https://probpalata.gov.ru/files/ИП500100377800002.jpeg","Скачать индивидуальный QR-код магазина")</f>
        <v>Скачать индивидуальный QR-код магазина</v>
      </c>
    </row>
    <row r="8645" spans="1:7" x14ac:dyDescent="0.25">
      <c r="A8645" t="s">
        <v>26937</v>
      </c>
      <c r="B8645" t="s">
        <v>27808</v>
      </c>
      <c r="C8645" t="s">
        <v>27802</v>
      </c>
      <c r="D8645" t="s">
        <v>27803</v>
      </c>
      <c r="E8645" t="s">
        <v>27804</v>
      </c>
      <c r="F8645" t="s">
        <v>27809</v>
      </c>
      <c r="G8645" s="2" t="str">
        <f>HYPERLINK("https://probpalata.gov.ru/files/ИП500100377800003.jpeg","Скачать индивидуальный QR-код магазина")</f>
        <v>Скачать индивидуальный QR-код магазина</v>
      </c>
    </row>
    <row r="8646" spans="1:7" x14ac:dyDescent="0.25">
      <c r="A8646" t="s">
        <v>26937</v>
      </c>
      <c r="B8646" t="s">
        <v>27810</v>
      </c>
      <c r="C8646" t="s">
        <v>27802</v>
      </c>
      <c r="D8646" t="s">
        <v>27803</v>
      </c>
      <c r="E8646" t="s">
        <v>27804</v>
      </c>
      <c r="F8646" t="s">
        <v>27811</v>
      </c>
      <c r="G8646" s="2" t="str">
        <f>HYPERLINK("https://probpalata.gov.ru/files/ИП500100377800004.jpeg","Скачать индивидуальный QR-код магазина")</f>
        <v>Скачать индивидуальный QR-код магазина</v>
      </c>
    </row>
    <row r="8647" spans="1:7" x14ac:dyDescent="0.25">
      <c r="A8647" t="s">
        <v>26937</v>
      </c>
      <c r="B8647" t="s">
        <v>27812</v>
      </c>
      <c r="C8647" t="s">
        <v>27802</v>
      </c>
      <c r="D8647" t="s">
        <v>27803</v>
      </c>
      <c r="E8647" t="s">
        <v>27804</v>
      </c>
      <c r="F8647" t="s">
        <v>27813</v>
      </c>
      <c r="G8647" s="2" t="str">
        <f>HYPERLINK("https://probpalata.gov.ru/files/ИП500100377800005.jpeg","Скачать индивидуальный QR-код магазина")</f>
        <v>Скачать индивидуальный QR-код магазина</v>
      </c>
    </row>
    <row r="8648" spans="1:7" x14ac:dyDescent="0.25">
      <c r="A8648" t="s">
        <v>26937</v>
      </c>
      <c r="B8648" t="s">
        <v>27814</v>
      </c>
      <c r="C8648" t="s">
        <v>27802</v>
      </c>
      <c r="D8648" t="s">
        <v>27803</v>
      </c>
      <c r="E8648" t="s">
        <v>27804</v>
      </c>
      <c r="F8648" t="s">
        <v>27815</v>
      </c>
      <c r="G8648" s="2" t="str">
        <f>HYPERLINK("https://probpalata.gov.ru/files/ИП500100377800006.jpeg","Скачать индивидуальный QR-код магазина")</f>
        <v>Скачать индивидуальный QR-код магазина</v>
      </c>
    </row>
    <row r="8649" spans="1:7" x14ac:dyDescent="0.25">
      <c r="A8649" t="s">
        <v>26937</v>
      </c>
      <c r="B8649" t="s">
        <v>27816</v>
      </c>
      <c r="C8649" t="s">
        <v>27802</v>
      </c>
      <c r="D8649" t="s">
        <v>27803</v>
      </c>
      <c r="E8649" t="s">
        <v>27804</v>
      </c>
      <c r="F8649" t="s">
        <v>27817</v>
      </c>
      <c r="G8649" s="2" t="str">
        <f>HYPERLINK("https://probpalata.gov.ru/files/ИП500100377800007.jpeg","Скачать индивидуальный QR-код магазина")</f>
        <v>Скачать индивидуальный QR-код магазина</v>
      </c>
    </row>
    <row r="8650" spans="1:7" x14ac:dyDescent="0.25">
      <c r="A8650" t="s">
        <v>26937</v>
      </c>
      <c r="B8650" t="s">
        <v>27818</v>
      </c>
      <c r="C8650" t="s">
        <v>27802</v>
      </c>
      <c r="D8650" t="s">
        <v>27803</v>
      </c>
      <c r="E8650" t="s">
        <v>27804</v>
      </c>
      <c r="F8650" t="s">
        <v>27819</v>
      </c>
      <c r="G8650" s="2" t="str">
        <f>HYPERLINK("https://probpalata.gov.ru/files/ИП500100377800008.jpeg","Скачать индивидуальный QR-код магазина")</f>
        <v>Скачать индивидуальный QR-код магазина</v>
      </c>
    </row>
    <row r="8651" spans="1:7" x14ac:dyDescent="0.25">
      <c r="A8651" t="s">
        <v>26937</v>
      </c>
      <c r="B8651" t="s">
        <v>27820</v>
      </c>
      <c r="C8651" t="s">
        <v>27802</v>
      </c>
      <c r="D8651" t="s">
        <v>27803</v>
      </c>
      <c r="E8651" t="s">
        <v>27804</v>
      </c>
      <c r="F8651" t="s">
        <v>27821</v>
      </c>
      <c r="G8651" s="2" t="str">
        <f>HYPERLINK("https://probpalata.gov.ru/files/ИП500100377800009.jpeg","Скачать индивидуальный QR-код магазина")</f>
        <v>Скачать индивидуальный QR-код магазина</v>
      </c>
    </row>
    <row r="8652" spans="1:7" x14ac:dyDescent="0.25">
      <c r="A8652" t="s">
        <v>26937</v>
      </c>
      <c r="B8652" t="s">
        <v>27822</v>
      </c>
      <c r="C8652" t="s">
        <v>3087</v>
      </c>
      <c r="D8652" t="s">
        <v>3088</v>
      </c>
      <c r="E8652" t="s">
        <v>3089</v>
      </c>
      <c r="F8652" t="s">
        <v>27823</v>
      </c>
      <c r="G8652" s="2" t="str">
        <f>HYPERLINK("https://probpalata.gov.ru/files/ИП500100468400000.jpeg","Скачать индивидуальный QR-код магазина")</f>
        <v>Скачать индивидуальный QR-код магазина</v>
      </c>
    </row>
    <row r="8653" spans="1:7" x14ac:dyDescent="0.25">
      <c r="A8653" t="s">
        <v>26937</v>
      </c>
      <c r="B8653" t="s">
        <v>27824</v>
      </c>
      <c r="C8653" t="s">
        <v>3087</v>
      </c>
      <c r="D8653" t="s">
        <v>3088</v>
      </c>
      <c r="E8653" t="s">
        <v>3089</v>
      </c>
      <c r="F8653" t="s">
        <v>27825</v>
      </c>
      <c r="G8653" s="2" t="str">
        <f>HYPERLINK("https://probpalata.gov.ru/files/ИП500100468400001.jpeg","Скачать индивидуальный QR-код магазина")</f>
        <v>Скачать индивидуальный QR-код магазина</v>
      </c>
    </row>
    <row r="8654" spans="1:7" x14ac:dyDescent="0.25">
      <c r="A8654" t="s">
        <v>26937</v>
      </c>
      <c r="B8654" t="s">
        <v>27826</v>
      </c>
      <c r="C8654" t="s">
        <v>3087</v>
      </c>
      <c r="D8654" t="s">
        <v>3088</v>
      </c>
      <c r="E8654" t="s">
        <v>3089</v>
      </c>
      <c r="F8654" t="s">
        <v>27827</v>
      </c>
      <c r="G8654" s="2" t="str">
        <f>HYPERLINK("https://probpalata.gov.ru/files/ИП500100468400006.jpeg","Скачать индивидуальный QR-код магазина")</f>
        <v>Скачать индивидуальный QR-код магазина</v>
      </c>
    </row>
    <row r="8655" spans="1:7" x14ac:dyDescent="0.25">
      <c r="A8655" t="s">
        <v>26937</v>
      </c>
      <c r="B8655" t="s">
        <v>27828</v>
      </c>
      <c r="C8655" t="s">
        <v>3087</v>
      </c>
      <c r="D8655" t="s">
        <v>3088</v>
      </c>
      <c r="E8655" t="s">
        <v>3089</v>
      </c>
      <c r="F8655" t="s">
        <v>27829</v>
      </c>
      <c r="G8655" s="2" t="str">
        <f>HYPERLINK("https://probpalata.gov.ru/files/ИП500100468400010.jpeg","Скачать индивидуальный QR-код магазина")</f>
        <v>Скачать индивидуальный QR-код магазина</v>
      </c>
    </row>
    <row r="8656" spans="1:7" x14ac:dyDescent="0.25">
      <c r="A8656" t="s">
        <v>26937</v>
      </c>
      <c r="B8656" t="s">
        <v>27830</v>
      </c>
      <c r="C8656" t="s">
        <v>3087</v>
      </c>
      <c r="D8656" t="s">
        <v>3088</v>
      </c>
      <c r="E8656" t="s">
        <v>3089</v>
      </c>
      <c r="F8656" t="s">
        <v>27831</v>
      </c>
      <c r="G8656" s="2" t="str">
        <f>HYPERLINK("https://probpalata.gov.ru/files/ИП500100468400011.jpeg","Скачать индивидуальный QR-код магазина")</f>
        <v>Скачать индивидуальный QR-код магазина</v>
      </c>
    </row>
    <row r="8657" spans="1:7" x14ac:dyDescent="0.25">
      <c r="A8657" t="s">
        <v>26937</v>
      </c>
      <c r="B8657" t="s">
        <v>27832</v>
      </c>
      <c r="C8657" t="s">
        <v>3087</v>
      </c>
      <c r="D8657" t="s">
        <v>3088</v>
      </c>
      <c r="E8657" t="s">
        <v>3089</v>
      </c>
      <c r="F8657" t="s">
        <v>27833</v>
      </c>
      <c r="G8657" s="2" t="str">
        <f>HYPERLINK("https://probpalata.gov.ru/files/ИП500100468400014.jpeg","Скачать индивидуальный QR-код магазина")</f>
        <v>Скачать индивидуальный QR-код магазина</v>
      </c>
    </row>
    <row r="8658" spans="1:7" x14ac:dyDescent="0.25">
      <c r="A8658" t="s">
        <v>26937</v>
      </c>
      <c r="B8658" t="s">
        <v>27834</v>
      </c>
      <c r="C8658" t="s">
        <v>27835</v>
      </c>
      <c r="D8658" t="s">
        <v>27836</v>
      </c>
      <c r="E8658" t="s">
        <v>27837</v>
      </c>
      <c r="F8658" t="s">
        <v>27838</v>
      </c>
      <c r="G8658" s="2" t="str">
        <f>HYPERLINK("https://probpalata.gov.ru/files/ИП500101775000000.jpeg","Скачать индивидуальный QR-код магазина")</f>
        <v>Скачать индивидуальный QR-код магазина</v>
      </c>
    </row>
    <row r="8659" spans="1:7" x14ac:dyDescent="0.25">
      <c r="A8659" t="s">
        <v>26937</v>
      </c>
      <c r="B8659" t="s">
        <v>27839</v>
      </c>
      <c r="C8659" t="s">
        <v>27840</v>
      </c>
      <c r="D8659" t="s">
        <v>27841</v>
      </c>
      <c r="E8659" t="s">
        <v>27842</v>
      </c>
      <c r="F8659" t="s">
        <v>27843</v>
      </c>
      <c r="G8659" s="2" t="str">
        <f>HYPERLINK("https://probpalata.gov.ru/files/ЮЛ500100226400000.jpeg","Скачать индивидуальный QR-код магазина")</f>
        <v>Скачать индивидуальный QR-код магазина</v>
      </c>
    </row>
    <row r="8660" spans="1:7" x14ac:dyDescent="0.25">
      <c r="A8660" t="s">
        <v>26937</v>
      </c>
      <c r="B8660" t="s">
        <v>27844</v>
      </c>
      <c r="C8660" t="s">
        <v>20056</v>
      </c>
      <c r="D8660" t="s">
        <v>20057</v>
      </c>
      <c r="E8660" t="s">
        <v>20058</v>
      </c>
      <c r="F8660" t="s">
        <v>27845</v>
      </c>
      <c r="G8660" s="2" t="str">
        <f>HYPERLINK("https://probpalata.gov.ru/files/ИП500100595700000.jpeg","Скачать индивидуальный QR-код магазина")</f>
        <v>Скачать индивидуальный QR-код магазина</v>
      </c>
    </row>
    <row r="8661" spans="1:7" x14ac:dyDescent="0.25">
      <c r="A8661" t="s">
        <v>26937</v>
      </c>
      <c r="B8661" t="s">
        <v>27846</v>
      </c>
      <c r="C8661" t="s">
        <v>20056</v>
      </c>
      <c r="D8661" t="s">
        <v>20057</v>
      </c>
      <c r="E8661" t="s">
        <v>20058</v>
      </c>
      <c r="F8661" t="s">
        <v>27847</v>
      </c>
      <c r="G8661" s="2" t="str">
        <f>HYPERLINK("https://probpalata.gov.ru/files/ИП500100595700001.jpeg","Скачать индивидуальный QR-код магазина")</f>
        <v>Скачать индивидуальный QR-код магазина</v>
      </c>
    </row>
    <row r="8662" spans="1:7" x14ac:dyDescent="0.25">
      <c r="A8662" t="s">
        <v>26937</v>
      </c>
      <c r="B8662" t="s">
        <v>27848</v>
      </c>
      <c r="C8662" t="s">
        <v>20056</v>
      </c>
      <c r="D8662" t="s">
        <v>20057</v>
      </c>
      <c r="E8662" t="s">
        <v>20058</v>
      </c>
      <c r="F8662" t="s">
        <v>27849</v>
      </c>
      <c r="G8662" s="2" t="str">
        <f>HYPERLINK("https://probpalata.gov.ru/files/ИП500100595700002.jpeg","Скачать индивидуальный QR-код магазина")</f>
        <v>Скачать индивидуальный QR-код магазина</v>
      </c>
    </row>
    <row r="8663" spans="1:7" x14ac:dyDescent="0.25">
      <c r="A8663" t="s">
        <v>26937</v>
      </c>
      <c r="B8663" t="s">
        <v>27850</v>
      </c>
      <c r="C8663" t="s">
        <v>27851</v>
      </c>
      <c r="D8663" t="s">
        <v>27852</v>
      </c>
      <c r="E8663" t="s">
        <v>27853</v>
      </c>
      <c r="F8663" t="s">
        <v>27854</v>
      </c>
      <c r="G8663" s="2" t="str">
        <f>HYPERLINK("https://probpalata.gov.ru/files/ЮЛ500100654400000.jpeg","Скачать индивидуальный QR-код магазина")</f>
        <v>Скачать индивидуальный QR-код магазина</v>
      </c>
    </row>
    <row r="8664" spans="1:7" x14ac:dyDescent="0.25">
      <c r="A8664" t="s">
        <v>26937</v>
      </c>
      <c r="B8664" t="s">
        <v>27855</v>
      </c>
      <c r="C8664" t="s">
        <v>27851</v>
      </c>
      <c r="D8664" t="s">
        <v>27852</v>
      </c>
      <c r="E8664" t="s">
        <v>27853</v>
      </c>
      <c r="F8664" t="s">
        <v>27856</v>
      </c>
      <c r="G8664" s="2" t="str">
        <f>HYPERLINK("https://probpalata.gov.ru/files/ЮЛ500100654400002.jpeg","Скачать индивидуальный QR-код магазина")</f>
        <v>Скачать индивидуальный QR-код магазина</v>
      </c>
    </row>
    <row r="8665" spans="1:7" x14ac:dyDescent="0.25">
      <c r="A8665" t="s">
        <v>26937</v>
      </c>
      <c r="B8665" t="s">
        <v>27857</v>
      </c>
      <c r="C8665" t="s">
        <v>27851</v>
      </c>
      <c r="D8665" t="s">
        <v>27852</v>
      </c>
      <c r="E8665" t="s">
        <v>27853</v>
      </c>
      <c r="F8665" t="s">
        <v>27858</v>
      </c>
      <c r="G8665" s="2" t="str">
        <f>HYPERLINK("https://probpalata.gov.ru/files/ЮЛ500100654400004.jpeg","Скачать индивидуальный QR-код магазина")</f>
        <v>Скачать индивидуальный QR-код магазина</v>
      </c>
    </row>
    <row r="8666" spans="1:7" x14ac:dyDescent="0.25">
      <c r="A8666" t="s">
        <v>26937</v>
      </c>
      <c r="B8666" t="s">
        <v>27859</v>
      </c>
      <c r="C8666" t="s">
        <v>27851</v>
      </c>
      <c r="D8666" t="s">
        <v>27852</v>
      </c>
      <c r="E8666" t="s">
        <v>27853</v>
      </c>
      <c r="F8666" t="s">
        <v>27860</v>
      </c>
      <c r="G8666" s="2" t="str">
        <f>HYPERLINK("https://probpalata.gov.ru/files/ЮЛ500100654400005.jpeg","Скачать индивидуальный QR-код магазина")</f>
        <v>Скачать индивидуальный QR-код магазина</v>
      </c>
    </row>
    <row r="8667" spans="1:7" x14ac:dyDescent="0.25">
      <c r="A8667" t="s">
        <v>26937</v>
      </c>
      <c r="B8667" t="s">
        <v>27861</v>
      </c>
      <c r="C8667" t="s">
        <v>27851</v>
      </c>
      <c r="D8667" t="s">
        <v>27852</v>
      </c>
      <c r="E8667" t="s">
        <v>27853</v>
      </c>
      <c r="F8667" t="s">
        <v>27862</v>
      </c>
      <c r="G8667" s="2" t="str">
        <f>HYPERLINK("https://probpalata.gov.ru/files/ЮЛ500100654400006.jpeg","Скачать индивидуальный QR-код магазина")</f>
        <v>Скачать индивидуальный QR-код магазина</v>
      </c>
    </row>
    <row r="8668" spans="1:7" x14ac:dyDescent="0.25">
      <c r="A8668" t="s">
        <v>26937</v>
      </c>
      <c r="B8668" t="s">
        <v>27863</v>
      </c>
      <c r="C8668" t="s">
        <v>27851</v>
      </c>
      <c r="D8668" t="s">
        <v>27852</v>
      </c>
      <c r="E8668" t="s">
        <v>27853</v>
      </c>
      <c r="F8668" t="s">
        <v>27864</v>
      </c>
      <c r="G8668" s="2" t="str">
        <f>HYPERLINK("https://probpalata.gov.ru/files/ЮЛ500100654400008.jpeg","Скачать индивидуальный QR-код магазина")</f>
        <v>Скачать индивидуальный QR-код магазина</v>
      </c>
    </row>
    <row r="8669" spans="1:7" x14ac:dyDescent="0.25">
      <c r="A8669" t="s">
        <v>26937</v>
      </c>
      <c r="B8669" t="s">
        <v>27865</v>
      </c>
      <c r="C8669" t="s">
        <v>27866</v>
      </c>
      <c r="D8669" t="s">
        <v>27867</v>
      </c>
      <c r="E8669" t="s">
        <v>27868</v>
      </c>
      <c r="F8669" t="s">
        <v>27869</v>
      </c>
      <c r="G8669" s="2" t="str">
        <f>HYPERLINK("https://probpalata.gov.ru/files/ИП500100291200000.jpeg","Скачать индивидуальный QR-код магазина")</f>
        <v>Скачать индивидуальный QR-код магазина</v>
      </c>
    </row>
    <row r="8670" spans="1:7" x14ac:dyDescent="0.25">
      <c r="A8670" t="s">
        <v>26937</v>
      </c>
      <c r="B8670" t="s">
        <v>27870</v>
      </c>
      <c r="C8670" t="s">
        <v>27866</v>
      </c>
      <c r="D8670" t="s">
        <v>27867</v>
      </c>
      <c r="E8670" t="s">
        <v>27868</v>
      </c>
      <c r="F8670" t="s">
        <v>27871</v>
      </c>
      <c r="G8670" s="2" t="str">
        <f>HYPERLINK("https://probpalata.gov.ru/files/ИП500100291200001.jpeg","Скачать индивидуальный QR-код магазина")</f>
        <v>Скачать индивидуальный QR-код магазина</v>
      </c>
    </row>
    <row r="8671" spans="1:7" x14ac:dyDescent="0.25">
      <c r="A8671" t="s">
        <v>26937</v>
      </c>
      <c r="B8671" t="s">
        <v>27872</v>
      </c>
      <c r="C8671" t="s">
        <v>27873</v>
      </c>
      <c r="D8671" t="s">
        <v>27874</v>
      </c>
      <c r="E8671" t="s">
        <v>27875</v>
      </c>
      <c r="F8671" t="s">
        <v>27876</v>
      </c>
      <c r="G8671" s="2" t="str">
        <f>HYPERLINK("https://probpalata.gov.ru/files/ИП500100664200000.jpeg","Скачать индивидуальный QR-код магазина")</f>
        <v>Скачать индивидуальный QR-код магазина</v>
      </c>
    </row>
    <row r="8672" spans="1:7" x14ac:dyDescent="0.25">
      <c r="A8672" t="s">
        <v>26937</v>
      </c>
      <c r="B8672" t="s">
        <v>27877</v>
      </c>
      <c r="C8672" t="s">
        <v>27873</v>
      </c>
      <c r="D8672" t="s">
        <v>27874</v>
      </c>
      <c r="E8672" t="s">
        <v>27875</v>
      </c>
      <c r="F8672" t="s">
        <v>27878</v>
      </c>
      <c r="G8672" s="2" t="str">
        <f>HYPERLINK("https://probpalata.gov.ru/files/ИП500100664200001.jpeg","Скачать индивидуальный QR-код магазина")</f>
        <v>Скачать индивидуальный QR-код магазина</v>
      </c>
    </row>
    <row r="8673" spans="1:7" x14ac:dyDescent="0.25">
      <c r="A8673" t="s">
        <v>26937</v>
      </c>
      <c r="B8673" t="s">
        <v>27879</v>
      </c>
      <c r="C8673" t="s">
        <v>27880</v>
      </c>
      <c r="D8673" t="s">
        <v>27881</v>
      </c>
      <c r="E8673" t="s">
        <v>27882</v>
      </c>
      <c r="F8673" t="s">
        <v>27883</v>
      </c>
      <c r="G8673" s="2" t="str">
        <f>HYPERLINK("https://probpalata.gov.ru/files/ИП500101898900000.jpeg","Скачать индивидуальный QR-код магазина")</f>
        <v>Скачать индивидуальный QR-код магазина</v>
      </c>
    </row>
    <row r="8674" spans="1:7" x14ac:dyDescent="0.25">
      <c r="A8674" t="s">
        <v>26937</v>
      </c>
      <c r="B8674" t="s">
        <v>27884</v>
      </c>
      <c r="C8674" t="s">
        <v>20071</v>
      </c>
      <c r="D8674" t="s">
        <v>20072</v>
      </c>
      <c r="E8674" t="s">
        <v>20073</v>
      </c>
      <c r="F8674" t="s">
        <v>27885</v>
      </c>
      <c r="G8674" s="2" t="str">
        <f>HYPERLINK("https://probpalata.gov.ru/files/ЮЛ500100052700001.jpeg","Скачать индивидуальный QR-код магазина")</f>
        <v>Скачать индивидуальный QR-код магазина</v>
      </c>
    </row>
    <row r="8675" spans="1:7" x14ac:dyDescent="0.25">
      <c r="A8675" t="s">
        <v>26937</v>
      </c>
      <c r="B8675" t="s">
        <v>27886</v>
      </c>
      <c r="C8675" t="s">
        <v>20071</v>
      </c>
      <c r="D8675" t="s">
        <v>20072</v>
      </c>
      <c r="E8675" t="s">
        <v>20073</v>
      </c>
      <c r="F8675" t="s">
        <v>27887</v>
      </c>
      <c r="G8675" s="2" t="str">
        <f>HYPERLINK("https://probpalata.gov.ru/files/ЮЛ500100052700002.jpeg","Скачать индивидуальный QR-код магазина")</f>
        <v>Скачать индивидуальный QR-код магазина</v>
      </c>
    </row>
    <row r="8676" spans="1:7" x14ac:dyDescent="0.25">
      <c r="A8676" t="s">
        <v>26937</v>
      </c>
      <c r="B8676" t="s">
        <v>27888</v>
      </c>
      <c r="C8676" t="s">
        <v>27889</v>
      </c>
      <c r="D8676" t="s">
        <v>27890</v>
      </c>
      <c r="E8676" t="s">
        <v>27891</v>
      </c>
      <c r="F8676" t="s">
        <v>27892</v>
      </c>
      <c r="G8676" s="2" t="str">
        <f>HYPERLINK("https://probpalata.gov.ru/files/ИП770100824400000.jpeg","Скачать индивидуальный QR-код магазина")</f>
        <v>Скачать индивидуальный QR-код магазина</v>
      </c>
    </row>
    <row r="8677" spans="1:7" x14ac:dyDescent="0.25">
      <c r="A8677" t="s">
        <v>26937</v>
      </c>
      <c r="B8677" t="s">
        <v>27893</v>
      </c>
      <c r="C8677" t="s">
        <v>27889</v>
      </c>
      <c r="D8677" t="s">
        <v>27890</v>
      </c>
      <c r="E8677" t="s">
        <v>27891</v>
      </c>
      <c r="F8677" t="s">
        <v>27894</v>
      </c>
      <c r="G8677" s="2" t="str">
        <f>HYPERLINK("https://probpalata.gov.ru/files/ИП770100824400006.jpeg","Скачать индивидуальный QR-код магазина")</f>
        <v>Скачать индивидуальный QR-код магазина</v>
      </c>
    </row>
    <row r="8678" spans="1:7" x14ac:dyDescent="0.25">
      <c r="A8678" t="s">
        <v>26937</v>
      </c>
      <c r="B8678" t="s">
        <v>27895</v>
      </c>
      <c r="C8678" t="s">
        <v>27889</v>
      </c>
      <c r="D8678" t="s">
        <v>27890</v>
      </c>
      <c r="E8678" t="s">
        <v>27891</v>
      </c>
      <c r="F8678" t="s">
        <v>27896</v>
      </c>
      <c r="G8678" s="2" t="str">
        <f>HYPERLINK("https://probpalata.gov.ru/files/ИП770100824400007.jpeg","Скачать индивидуальный QR-код магазина")</f>
        <v>Скачать индивидуальный QR-код магазина</v>
      </c>
    </row>
    <row r="8679" spans="1:7" x14ac:dyDescent="0.25">
      <c r="A8679" t="s">
        <v>26937</v>
      </c>
      <c r="B8679" t="s">
        <v>27897</v>
      </c>
      <c r="C8679" t="s">
        <v>27898</v>
      </c>
      <c r="D8679" t="s">
        <v>27899</v>
      </c>
      <c r="E8679" t="s">
        <v>27900</v>
      </c>
      <c r="F8679" t="s">
        <v>27901</v>
      </c>
      <c r="G8679" s="2" t="str">
        <f>HYPERLINK("https://probpalata.gov.ru/files/ИП500103686800000.jpeg","Скачать индивидуальный QR-код магазина")</f>
        <v>Скачать индивидуальный QR-код магазина</v>
      </c>
    </row>
    <row r="8680" spans="1:7" x14ac:dyDescent="0.25">
      <c r="A8680" t="s">
        <v>26937</v>
      </c>
      <c r="B8680" t="s">
        <v>27902</v>
      </c>
      <c r="C8680" t="s">
        <v>27903</v>
      </c>
      <c r="D8680" t="s">
        <v>27904</v>
      </c>
      <c r="E8680" t="s">
        <v>27905</v>
      </c>
      <c r="F8680" t="s">
        <v>27906</v>
      </c>
      <c r="G8680" s="2" t="str">
        <f>HYPERLINK("https://probpalata.gov.ru/files/ИП500100484100000.jpeg","Скачать индивидуальный QR-код магазина")</f>
        <v>Скачать индивидуальный QR-код магазина</v>
      </c>
    </row>
    <row r="8681" spans="1:7" x14ac:dyDescent="0.25">
      <c r="A8681" t="s">
        <v>26937</v>
      </c>
      <c r="B8681" t="s">
        <v>27907</v>
      </c>
      <c r="C8681" t="s">
        <v>27908</v>
      </c>
      <c r="D8681" t="s">
        <v>27909</v>
      </c>
      <c r="E8681" t="s">
        <v>27910</v>
      </c>
      <c r="F8681" t="s">
        <v>27911</v>
      </c>
      <c r="G8681" s="2" t="str">
        <f>HYPERLINK("https://probpalata.gov.ru/files/ИП500100216700000.jpeg","Скачать индивидуальный QR-код магазина")</f>
        <v>Скачать индивидуальный QR-код магазина</v>
      </c>
    </row>
    <row r="8682" spans="1:7" x14ac:dyDescent="0.25">
      <c r="A8682" t="s">
        <v>26937</v>
      </c>
      <c r="B8682" t="s">
        <v>27912</v>
      </c>
      <c r="C8682" t="s">
        <v>27908</v>
      </c>
      <c r="D8682" t="s">
        <v>27909</v>
      </c>
      <c r="E8682" t="s">
        <v>27910</v>
      </c>
      <c r="F8682" t="s">
        <v>27913</v>
      </c>
      <c r="G8682" s="2" t="str">
        <f>HYPERLINK("https://probpalata.gov.ru/files/ИП500100216700001.jpeg","Скачать индивидуальный QR-код магазина")</f>
        <v>Скачать индивидуальный QR-код магазина</v>
      </c>
    </row>
    <row r="8683" spans="1:7" x14ac:dyDescent="0.25">
      <c r="A8683" t="s">
        <v>26937</v>
      </c>
      <c r="B8683" t="s">
        <v>27914</v>
      </c>
      <c r="C8683" t="s">
        <v>20087</v>
      </c>
      <c r="D8683" t="s">
        <v>20088</v>
      </c>
      <c r="E8683" t="s">
        <v>20089</v>
      </c>
      <c r="F8683" t="s">
        <v>27915</v>
      </c>
      <c r="G8683" s="2" t="str">
        <f>HYPERLINK("https://probpalata.gov.ru/files/ИП500100734600002.jpeg","Скачать индивидуальный QR-код магазина")</f>
        <v>Скачать индивидуальный QR-код магазина</v>
      </c>
    </row>
    <row r="8684" spans="1:7" x14ac:dyDescent="0.25">
      <c r="A8684" t="s">
        <v>26937</v>
      </c>
      <c r="B8684" t="s">
        <v>27916</v>
      </c>
      <c r="C8684" t="s">
        <v>20092</v>
      </c>
      <c r="D8684" t="s">
        <v>20093</v>
      </c>
      <c r="E8684" t="s">
        <v>20094</v>
      </c>
      <c r="F8684" t="s">
        <v>27917</v>
      </c>
      <c r="G8684" s="2" t="str">
        <f>HYPERLINK("https://probpalata.gov.ru/files/ЮЛ500101580700000.jpeg","Скачать индивидуальный QR-код магазина")</f>
        <v>Скачать индивидуальный QR-код магазина</v>
      </c>
    </row>
    <row r="8685" spans="1:7" x14ac:dyDescent="0.25">
      <c r="A8685" t="s">
        <v>26937</v>
      </c>
      <c r="B8685" t="s">
        <v>27918</v>
      </c>
      <c r="C8685" t="s">
        <v>16672</v>
      </c>
      <c r="D8685" t="s">
        <v>27919</v>
      </c>
      <c r="E8685" t="s">
        <v>27920</v>
      </c>
      <c r="F8685" t="s">
        <v>27921</v>
      </c>
      <c r="G8685" s="2" t="str">
        <f>HYPERLINK("https://probpalata.gov.ru/files/ЮЛ500101051800000.jpeg","Скачать индивидуальный QR-код магазина")</f>
        <v>Скачать индивидуальный QR-код магазина</v>
      </c>
    </row>
    <row r="8686" spans="1:7" x14ac:dyDescent="0.25">
      <c r="A8686" t="s">
        <v>26937</v>
      </c>
      <c r="B8686" t="s">
        <v>27922</v>
      </c>
      <c r="C8686" t="s">
        <v>27923</v>
      </c>
      <c r="D8686" t="s">
        <v>27924</v>
      </c>
      <c r="E8686" t="s">
        <v>27925</v>
      </c>
      <c r="F8686" t="s">
        <v>27926</v>
      </c>
      <c r="G8686" s="2" t="str">
        <f>HYPERLINK("https://probpalata.gov.ru/files/ЮЛ500100489800000.jpeg","Скачать индивидуальный QR-код магазина")</f>
        <v>Скачать индивидуальный QR-код магазина</v>
      </c>
    </row>
    <row r="8687" spans="1:7" x14ac:dyDescent="0.25">
      <c r="A8687" t="s">
        <v>26937</v>
      </c>
      <c r="B8687" t="s">
        <v>27927</v>
      </c>
      <c r="C8687" t="s">
        <v>27923</v>
      </c>
      <c r="D8687" t="s">
        <v>27924</v>
      </c>
      <c r="E8687" t="s">
        <v>27925</v>
      </c>
      <c r="F8687" t="s">
        <v>27928</v>
      </c>
      <c r="G8687" s="2" t="str">
        <f>HYPERLINK("https://probpalata.gov.ru/files/ЮЛ500100489800001.jpeg","Скачать индивидуальный QR-код магазина")</f>
        <v>Скачать индивидуальный QR-код магазина</v>
      </c>
    </row>
    <row r="8688" spans="1:7" x14ac:dyDescent="0.25">
      <c r="A8688" t="s">
        <v>26937</v>
      </c>
      <c r="B8688" t="s">
        <v>27929</v>
      </c>
      <c r="C8688" t="s">
        <v>4769</v>
      </c>
      <c r="D8688" t="s">
        <v>27930</v>
      </c>
      <c r="E8688" t="s">
        <v>27931</v>
      </c>
      <c r="F8688" t="s">
        <v>27932</v>
      </c>
      <c r="G8688" s="2" t="str">
        <f>HYPERLINK("https://probpalata.gov.ru/files/ЮЛ500100630900000.jpeg","Скачать индивидуальный QR-код магазина")</f>
        <v>Скачать индивидуальный QR-код магазина</v>
      </c>
    </row>
    <row r="8689" spans="1:7" x14ac:dyDescent="0.25">
      <c r="A8689" t="s">
        <v>26937</v>
      </c>
      <c r="B8689" t="s">
        <v>27933</v>
      </c>
      <c r="C8689" t="s">
        <v>27934</v>
      </c>
      <c r="D8689" t="s">
        <v>27935</v>
      </c>
      <c r="E8689" t="s">
        <v>27936</v>
      </c>
      <c r="F8689" t="s">
        <v>27937</v>
      </c>
      <c r="G8689" s="2" t="str">
        <f>HYPERLINK("https://probpalata.gov.ru/files/ЮЛ500103390200000.jpeg","Скачать индивидуальный QR-код магазина")</f>
        <v>Скачать индивидуальный QR-код магазина</v>
      </c>
    </row>
    <row r="8690" spans="1:7" x14ac:dyDescent="0.25">
      <c r="A8690" t="s">
        <v>26937</v>
      </c>
      <c r="B8690" t="s">
        <v>27938</v>
      </c>
      <c r="C8690" t="s">
        <v>27939</v>
      </c>
      <c r="D8690" t="s">
        <v>27940</v>
      </c>
      <c r="E8690" t="s">
        <v>27941</v>
      </c>
      <c r="F8690" t="s">
        <v>27942</v>
      </c>
      <c r="G8690" s="2" t="str">
        <f>HYPERLINK("https://probpalata.gov.ru/files/ЮЛ500103508300000.jpeg","Скачать индивидуальный QR-код магазина")</f>
        <v>Скачать индивидуальный QR-код магазина</v>
      </c>
    </row>
    <row r="8691" spans="1:7" x14ac:dyDescent="0.25">
      <c r="A8691" t="s">
        <v>26937</v>
      </c>
      <c r="B8691" t="s">
        <v>27943</v>
      </c>
      <c r="C8691" t="s">
        <v>27944</v>
      </c>
      <c r="D8691" t="s">
        <v>27945</v>
      </c>
      <c r="E8691" t="s">
        <v>27946</v>
      </c>
      <c r="F8691" t="s">
        <v>27947</v>
      </c>
      <c r="G8691" s="2" t="str">
        <f>HYPERLINK("https://probpalata.gov.ru/files/ЮЛ500100094000000.jpeg","Скачать индивидуальный QR-код магазина")</f>
        <v>Скачать индивидуальный QR-код магазина</v>
      </c>
    </row>
    <row r="8692" spans="1:7" x14ac:dyDescent="0.25">
      <c r="A8692" t="s">
        <v>26937</v>
      </c>
      <c r="B8692" t="s">
        <v>27948</v>
      </c>
      <c r="C8692" t="s">
        <v>3592</v>
      </c>
      <c r="D8692" t="s">
        <v>27949</v>
      </c>
      <c r="E8692" t="s">
        <v>27950</v>
      </c>
      <c r="F8692" t="s">
        <v>27951</v>
      </c>
      <c r="G8692" s="2" t="str">
        <f>HYPERLINK("https://probpalata.gov.ru/files/ЮЛ500100361900000.jpeg","Скачать индивидуальный QR-код магазина")</f>
        <v>Скачать индивидуальный QR-код магазина</v>
      </c>
    </row>
    <row r="8693" spans="1:7" x14ac:dyDescent="0.25">
      <c r="A8693" t="s">
        <v>26937</v>
      </c>
      <c r="B8693" t="s">
        <v>27952</v>
      </c>
      <c r="C8693" t="s">
        <v>27953</v>
      </c>
      <c r="D8693" t="s">
        <v>27954</v>
      </c>
      <c r="E8693" t="s">
        <v>27955</v>
      </c>
      <c r="F8693" t="s">
        <v>27956</v>
      </c>
      <c r="G8693" s="2" t="str">
        <f>HYPERLINK("https://probpalata.gov.ru/files/ИП500101397500000.jpeg","Скачать индивидуальный QR-код магазина")</f>
        <v>Скачать индивидуальный QR-код магазина</v>
      </c>
    </row>
    <row r="8694" spans="1:7" x14ac:dyDescent="0.25">
      <c r="A8694" t="s">
        <v>26937</v>
      </c>
      <c r="B8694" t="s">
        <v>27957</v>
      </c>
      <c r="C8694" t="s">
        <v>27958</v>
      </c>
      <c r="D8694" t="s">
        <v>27959</v>
      </c>
      <c r="E8694" t="s">
        <v>27960</v>
      </c>
      <c r="F8694" t="s">
        <v>27961</v>
      </c>
      <c r="G8694" s="2" t="str">
        <f>HYPERLINK("https://probpalata.gov.ru/files/ИП500100248900000.jpeg","Скачать индивидуальный QR-код магазина")</f>
        <v>Скачать индивидуальный QR-код магазина</v>
      </c>
    </row>
    <row r="8695" spans="1:7" x14ac:dyDescent="0.25">
      <c r="A8695" t="s">
        <v>26937</v>
      </c>
      <c r="B8695" t="s">
        <v>27962</v>
      </c>
      <c r="C8695" t="s">
        <v>27958</v>
      </c>
      <c r="D8695" t="s">
        <v>27959</v>
      </c>
      <c r="E8695" t="s">
        <v>27960</v>
      </c>
      <c r="F8695" t="s">
        <v>27963</v>
      </c>
      <c r="G8695" s="2" t="str">
        <f>HYPERLINK("https://probpalata.gov.ru/files/ИП500100248900001.jpeg","Скачать индивидуальный QR-код магазина")</f>
        <v>Скачать индивидуальный QR-код магазина</v>
      </c>
    </row>
    <row r="8696" spans="1:7" x14ac:dyDescent="0.25">
      <c r="A8696" t="s">
        <v>26937</v>
      </c>
      <c r="B8696" t="s">
        <v>27964</v>
      </c>
      <c r="C8696" t="s">
        <v>27958</v>
      </c>
      <c r="D8696" t="s">
        <v>27959</v>
      </c>
      <c r="E8696" t="s">
        <v>27960</v>
      </c>
      <c r="F8696" t="s">
        <v>27965</v>
      </c>
      <c r="G8696" s="2" t="str">
        <f>HYPERLINK("https://probpalata.gov.ru/files/ИП500100248900002.jpeg","Скачать индивидуальный QR-код магазина")</f>
        <v>Скачать индивидуальный QR-код магазина</v>
      </c>
    </row>
    <row r="8697" spans="1:7" x14ac:dyDescent="0.25">
      <c r="A8697" t="s">
        <v>26937</v>
      </c>
      <c r="B8697" t="s">
        <v>27966</v>
      </c>
      <c r="C8697" t="s">
        <v>27958</v>
      </c>
      <c r="D8697" t="s">
        <v>27959</v>
      </c>
      <c r="E8697" t="s">
        <v>27960</v>
      </c>
      <c r="F8697" t="s">
        <v>27967</v>
      </c>
      <c r="G8697" s="2" t="str">
        <f>HYPERLINK("https://probpalata.gov.ru/files/ИП500100248900003.jpeg","Скачать индивидуальный QR-код магазина")</f>
        <v>Скачать индивидуальный QR-код магазина</v>
      </c>
    </row>
    <row r="8698" spans="1:7" x14ac:dyDescent="0.25">
      <c r="A8698" t="s">
        <v>26937</v>
      </c>
      <c r="B8698" t="s">
        <v>27968</v>
      </c>
      <c r="C8698" t="s">
        <v>27958</v>
      </c>
      <c r="D8698" t="s">
        <v>27959</v>
      </c>
      <c r="E8698" t="s">
        <v>27960</v>
      </c>
      <c r="F8698" t="s">
        <v>27969</v>
      </c>
      <c r="G8698" s="2" t="str">
        <f>HYPERLINK("https://probpalata.gov.ru/files/ИП500100248900006.jpeg","Скачать индивидуальный QR-код магазина")</f>
        <v>Скачать индивидуальный QR-код магазина</v>
      </c>
    </row>
    <row r="8699" spans="1:7" x14ac:dyDescent="0.25">
      <c r="A8699" t="s">
        <v>26937</v>
      </c>
      <c r="B8699" t="s">
        <v>27970</v>
      </c>
      <c r="C8699" t="s">
        <v>27958</v>
      </c>
      <c r="D8699" t="s">
        <v>27959</v>
      </c>
      <c r="E8699" t="s">
        <v>27960</v>
      </c>
      <c r="F8699" t="s">
        <v>27971</v>
      </c>
      <c r="G8699" s="2" t="str">
        <f>HYPERLINK("https://probpalata.gov.ru/files/ИП500100248900008.jpeg","Скачать индивидуальный QR-код магазина")</f>
        <v>Скачать индивидуальный QR-код магазина</v>
      </c>
    </row>
    <row r="8700" spans="1:7" x14ac:dyDescent="0.25">
      <c r="A8700" t="s">
        <v>26937</v>
      </c>
      <c r="B8700" t="s">
        <v>27972</v>
      </c>
      <c r="C8700" t="s">
        <v>27958</v>
      </c>
      <c r="D8700" t="s">
        <v>27959</v>
      </c>
      <c r="E8700" t="s">
        <v>27960</v>
      </c>
      <c r="F8700" t="s">
        <v>27973</v>
      </c>
      <c r="G8700" s="2" t="str">
        <f>HYPERLINK("https://probpalata.gov.ru/files/ИП500100248900010.jpeg","Скачать индивидуальный QR-код магазина")</f>
        <v>Скачать индивидуальный QR-код магазина</v>
      </c>
    </row>
    <row r="8701" spans="1:7" x14ac:dyDescent="0.25">
      <c r="A8701" t="s">
        <v>26937</v>
      </c>
      <c r="B8701" t="s">
        <v>27974</v>
      </c>
      <c r="C8701" t="s">
        <v>27975</v>
      </c>
      <c r="D8701" t="s">
        <v>27976</v>
      </c>
      <c r="E8701" t="s">
        <v>27977</v>
      </c>
      <c r="F8701" t="s">
        <v>27978</v>
      </c>
      <c r="G8701" s="2" t="str">
        <f>HYPERLINK("https://probpalata.gov.ru/files/ИП500103262600000.jpeg","Скачать индивидуальный QR-код магазина")</f>
        <v>Скачать индивидуальный QR-код магазина</v>
      </c>
    </row>
    <row r="8702" spans="1:7" x14ac:dyDescent="0.25">
      <c r="A8702" t="s">
        <v>26937</v>
      </c>
      <c r="B8702" t="s">
        <v>27979</v>
      </c>
      <c r="C8702" t="s">
        <v>27980</v>
      </c>
      <c r="D8702" t="s">
        <v>27981</v>
      </c>
      <c r="E8702" t="s">
        <v>27982</v>
      </c>
      <c r="F8702" t="s">
        <v>27983</v>
      </c>
      <c r="G8702" s="2" t="str">
        <f>HYPERLINK("https://probpalata.gov.ru/files/ЮЛ500100227500000.jpeg","Скачать индивидуальный QR-код магазина")</f>
        <v>Скачать индивидуальный QR-код магазина</v>
      </c>
    </row>
    <row r="8703" spans="1:7" x14ac:dyDescent="0.25">
      <c r="A8703" t="s">
        <v>26937</v>
      </c>
      <c r="B8703" t="s">
        <v>27984</v>
      </c>
      <c r="C8703" t="s">
        <v>27980</v>
      </c>
      <c r="D8703" t="s">
        <v>27981</v>
      </c>
      <c r="E8703" t="s">
        <v>27982</v>
      </c>
      <c r="F8703" t="s">
        <v>27985</v>
      </c>
      <c r="G8703" s="2" t="str">
        <f>HYPERLINK("https://probpalata.gov.ru/files/ЮЛ500100227500002.jpeg","Скачать индивидуальный QR-код магазина")</f>
        <v>Скачать индивидуальный QR-код магазина</v>
      </c>
    </row>
    <row r="8704" spans="1:7" x14ac:dyDescent="0.25">
      <c r="A8704" t="s">
        <v>26937</v>
      </c>
      <c r="B8704" t="s">
        <v>27986</v>
      </c>
      <c r="C8704" t="s">
        <v>27980</v>
      </c>
      <c r="D8704" t="s">
        <v>27981</v>
      </c>
      <c r="E8704" t="s">
        <v>27982</v>
      </c>
      <c r="F8704" t="s">
        <v>27987</v>
      </c>
      <c r="G8704" s="2" t="str">
        <f>HYPERLINK("https://probpalata.gov.ru/files/ЮЛ500100227500003.jpeg","Скачать индивидуальный QR-код магазина")</f>
        <v>Скачать индивидуальный QR-код магазина</v>
      </c>
    </row>
    <row r="8705" spans="1:7" x14ac:dyDescent="0.25">
      <c r="A8705" t="s">
        <v>26937</v>
      </c>
      <c r="B8705" t="s">
        <v>27988</v>
      </c>
      <c r="C8705" t="s">
        <v>27980</v>
      </c>
      <c r="D8705" t="s">
        <v>27981</v>
      </c>
      <c r="E8705" t="s">
        <v>27982</v>
      </c>
      <c r="F8705" t="s">
        <v>27989</v>
      </c>
      <c r="G8705" s="2" t="str">
        <f>HYPERLINK("https://probpalata.gov.ru/files/ЮЛ500100227500004.jpeg","Скачать индивидуальный QR-код магазина")</f>
        <v>Скачать индивидуальный QR-код магазина</v>
      </c>
    </row>
    <row r="8706" spans="1:7" x14ac:dyDescent="0.25">
      <c r="A8706" t="s">
        <v>26937</v>
      </c>
      <c r="B8706" t="s">
        <v>27990</v>
      </c>
      <c r="C8706" t="s">
        <v>27980</v>
      </c>
      <c r="D8706" t="s">
        <v>27981</v>
      </c>
      <c r="E8706" t="s">
        <v>27982</v>
      </c>
      <c r="F8706" t="s">
        <v>27991</v>
      </c>
      <c r="G8706" s="2" t="str">
        <f>HYPERLINK("https://probpalata.gov.ru/files/ЮЛ500100227500005.jpeg","Скачать индивидуальный QR-код магазина")</f>
        <v>Скачать индивидуальный QR-код магазина</v>
      </c>
    </row>
    <row r="8707" spans="1:7" x14ac:dyDescent="0.25">
      <c r="A8707" t="s">
        <v>26937</v>
      </c>
      <c r="B8707" t="s">
        <v>27992</v>
      </c>
      <c r="C8707" t="s">
        <v>27980</v>
      </c>
      <c r="D8707" t="s">
        <v>27981</v>
      </c>
      <c r="E8707" t="s">
        <v>27982</v>
      </c>
      <c r="F8707" t="s">
        <v>27993</v>
      </c>
      <c r="G8707" s="2" t="str">
        <f>HYPERLINK("https://probpalata.gov.ru/files/ЮЛ500100227500006.jpeg","Скачать индивидуальный QR-код магазина")</f>
        <v>Скачать индивидуальный QR-код магазина</v>
      </c>
    </row>
    <row r="8708" spans="1:7" x14ac:dyDescent="0.25">
      <c r="A8708" t="s">
        <v>26937</v>
      </c>
      <c r="B8708" t="s">
        <v>27994</v>
      </c>
      <c r="C8708" t="s">
        <v>27995</v>
      </c>
      <c r="D8708" t="s">
        <v>27996</v>
      </c>
      <c r="E8708" t="s">
        <v>27997</v>
      </c>
      <c r="F8708" t="s">
        <v>27998</v>
      </c>
      <c r="G8708" s="2" t="str">
        <f>HYPERLINK("https://probpalata.gov.ru/files/ИП500101290200000.jpeg","Скачать индивидуальный QR-код магазина")</f>
        <v>Скачать индивидуальный QR-код магазина</v>
      </c>
    </row>
    <row r="8709" spans="1:7" x14ac:dyDescent="0.25">
      <c r="A8709" t="s">
        <v>26937</v>
      </c>
      <c r="B8709" t="s">
        <v>27999</v>
      </c>
      <c r="C8709" t="s">
        <v>27995</v>
      </c>
      <c r="D8709" t="s">
        <v>27996</v>
      </c>
      <c r="E8709" t="s">
        <v>27997</v>
      </c>
      <c r="F8709" t="s">
        <v>28000</v>
      </c>
      <c r="G8709" s="2" t="str">
        <f>HYPERLINK("https://probpalata.gov.ru/files/ИП500101290200001.jpeg","Скачать индивидуальный QR-код магазина")</f>
        <v>Скачать индивидуальный QR-код магазина</v>
      </c>
    </row>
    <row r="8710" spans="1:7" x14ac:dyDescent="0.25">
      <c r="A8710" t="s">
        <v>26937</v>
      </c>
      <c r="B8710" t="s">
        <v>27183</v>
      </c>
      <c r="C8710" t="s">
        <v>20101</v>
      </c>
      <c r="D8710" t="s">
        <v>20102</v>
      </c>
      <c r="E8710" t="s">
        <v>20103</v>
      </c>
      <c r="F8710" t="s">
        <v>28001</v>
      </c>
      <c r="G8710" s="2" t="str">
        <f>HYPERLINK("https://probpalata.gov.ru/files/ИП500101404200000.jpeg","Скачать индивидуальный QR-код магазина")</f>
        <v>Скачать индивидуальный QR-код магазина</v>
      </c>
    </row>
    <row r="8711" spans="1:7" x14ac:dyDescent="0.25">
      <c r="A8711" t="s">
        <v>26937</v>
      </c>
      <c r="B8711" t="s">
        <v>28002</v>
      </c>
      <c r="C8711" t="s">
        <v>28003</v>
      </c>
      <c r="D8711" t="s">
        <v>28004</v>
      </c>
      <c r="E8711" t="s">
        <v>28005</v>
      </c>
      <c r="F8711" t="s">
        <v>28006</v>
      </c>
      <c r="G8711" s="2" t="str">
        <f>HYPERLINK("https://probpalata.gov.ru/files/ИП500101219700000.jpeg","Скачать индивидуальный QR-код магазина")</f>
        <v>Скачать индивидуальный QR-код магазина</v>
      </c>
    </row>
    <row r="8712" spans="1:7" x14ac:dyDescent="0.25">
      <c r="A8712" t="s">
        <v>26937</v>
      </c>
      <c r="B8712" t="s">
        <v>28007</v>
      </c>
      <c r="C8712" t="s">
        <v>28008</v>
      </c>
      <c r="D8712" t="s">
        <v>28009</v>
      </c>
      <c r="E8712" t="s">
        <v>28010</v>
      </c>
      <c r="F8712" t="s">
        <v>28011</v>
      </c>
      <c r="G8712" s="2" t="str">
        <f>HYPERLINK("https://probpalata.gov.ru/files/ЮЛ500100278300002.jpeg","Скачать индивидуальный QR-код магазина")</f>
        <v>Скачать индивидуальный QR-код магазина</v>
      </c>
    </row>
    <row r="8713" spans="1:7" x14ac:dyDescent="0.25">
      <c r="A8713" t="s">
        <v>26937</v>
      </c>
      <c r="B8713" t="s">
        <v>28012</v>
      </c>
      <c r="C8713" t="s">
        <v>28008</v>
      </c>
      <c r="D8713" t="s">
        <v>28009</v>
      </c>
      <c r="E8713" t="s">
        <v>28010</v>
      </c>
      <c r="F8713" t="s">
        <v>28013</v>
      </c>
      <c r="G8713" s="2" t="str">
        <f>HYPERLINK("https://probpalata.gov.ru/files/ЮЛ500100278300015.jpeg","Скачать индивидуальный QR-код магазина")</f>
        <v>Скачать индивидуальный QR-код магазина</v>
      </c>
    </row>
    <row r="8714" spans="1:7" x14ac:dyDescent="0.25">
      <c r="A8714" t="s">
        <v>26937</v>
      </c>
      <c r="B8714" t="s">
        <v>28014</v>
      </c>
      <c r="C8714" t="s">
        <v>28008</v>
      </c>
      <c r="D8714" t="s">
        <v>28009</v>
      </c>
      <c r="E8714" t="s">
        <v>28010</v>
      </c>
      <c r="F8714" t="s">
        <v>28015</v>
      </c>
      <c r="G8714" s="2" t="str">
        <f>HYPERLINK("https://probpalata.gov.ru/files/ЮЛ500100278300023.jpeg","Скачать индивидуальный QR-код магазина")</f>
        <v>Скачать индивидуальный QR-код магазина</v>
      </c>
    </row>
    <row r="8715" spans="1:7" x14ac:dyDescent="0.25">
      <c r="A8715" t="s">
        <v>26937</v>
      </c>
      <c r="B8715" t="s">
        <v>28016</v>
      </c>
      <c r="C8715" t="s">
        <v>28008</v>
      </c>
      <c r="D8715" t="s">
        <v>28009</v>
      </c>
      <c r="E8715" t="s">
        <v>28010</v>
      </c>
      <c r="F8715" t="s">
        <v>28017</v>
      </c>
      <c r="G8715" s="2" t="str">
        <f>HYPERLINK("https://probpalata.gov.ru/files/ЮЛ500100278300025.jpeg","Скачать индивидуальный QR-код магазина")</f>
        <v>Скачать индивидуальный QR-код магазина</v>
      </c>
    </row>
    <row r="8716" spans="1:7" x14ac:dyDescent="0.25">
      <c r="A8716" t="s">
        <v>26937</v>
      </c>
      <c r="B8716" t="s">
        <v>28018</v>
      </c>
      <c r="C8716" t="s">
        <v>28019</v>
      </c>
      <c r="D8716" t="s">
        <v>28020</v>
      </c>
      <c r="E8716" t="s">
        <v>28021</v>
      </c>
      <c r="F8716" t="s">
        <v>28022</v>
      </c>
      <c r="G8716" s="2" t="str">
        <f>HYPERLINK("https://probpalata.gov.ru/files/ЮЛ500100046900000.jpeg","Скачать индивидуальный QR-код магазина")</f>
        <v>Скачать индивидуальный QR-код магазина</v>
      </c>
    </row>
    <row r="8717" spans="1:7" x14ac:dyDescent="0.25">
      <c r="A8717" t="s">
        <v>26937</v>
      </c>
      <c r="B8717" t="s">
        <v>28023</v>
      </c>
      <c r="C8717" t="s">
        <v>28024</v>
      </c>
      <c r="D8717" t="s">
        <v>28025</v>
      </c>
      <c r="E8717" t="s">
        <v>28026</v>
      </c>
      <c r="F8717" t="s">
        <v>28027</v>
      </c>
      <c r="G8717" s="2" t="str">
        <f>HYPERLINK("https://probpalata.gov.ru/files/ЮЛ500101736500000.jpeg","Скачать индивидуальный QR-код магазина")</f>
        <v>Скачать индивидуальный QR-код магазина</v>
      </c>
    </row>
    <row r="8718" spans="1:7" x14ac:dyDescent="0.25">
      <c r="A8718" t="s">
        <v>26937</v>
      </c>
      <c r="B8718" t="s">
        <v>28028</v>
      </c>
      <c r="C8718" t="s">
        <v>20118</v>
      </c>
      <c r="D8718" t="s">
        <v>20119</v>
      </c>
      <c r="E8718" t="s">
        <v>20120</v>
      </c>
      <c r="F8718" t="s">
        <v>28029</v>
      </c>
      <c r="G8718" s="2" t="str">
        <f>HYPERLINK("https://probpalata.gov.ru/files/ИП770100538300001.jpeg","Скачать индивидуальный QR-код магазина")</f>
        <v>Скачать индивидуальный QR-код магазина</v>
      </c>
    </row>
    <row r="8719" spans="1:7" x14ac:dyDescent="0.25">
      <c r="A8719" t="s">
        <v>26937</v>
      </c>
      <c r="B8719" t="s">
        <v>28030</v>
      </c>
      <c r="C8719" t="s">
        <v>28031</v>
      </c>
      <c r="D8719" t="s">
        <v>28032</v>
      </c>
      <c r="E8719" t="s">
        <v>28033</v>
      </c>
      <c r="F8719" t="s">
        <v>28034</v>
      </c>
      <c r="G8719" s="2" t="str">
        <f>HYPERLINK("https://probpalata.gov.ru/files/ИП500103486400000.jpeg","Скачать индивидуальный QR-код магазина")</f>
        <v>Скачать индивидуальный QR-код магазина</v>
      </c>
    </row>
    <row r="8720" spans="1:7" x14ac:dyDescent="0.25">
      <c r="A8720" t="s">
        <v>26937</v>
      </c>
      <c r="B8720" t="s">
        <v>28035</v>
      </c>
      <c r="C8720" t="s">
        <v>28031</v>
      </c>
      <c r="D8720" t="s">
        <v>28032</v>
      </c>
      <c r="E8720" t="s">
        <v>28033</v>
      </c>
      <c r="F8720" t="s">
        <v>28036</v>
      </c>
      <c r="G8720" s="2" t="str">
        <f>HYPERLINK("https://probpalata.gov.ru/files/ИП500103486400001.jpeg","Скачать индивидуальный QR-код магазина")</f>
        <v>Скачать индивидуальный QR-код магазина</v>
      </c>
    </row>
    <row r="8721" spans="1:7" x14ac:dyDescent="0.25">
      <c r="A8721" t="s">
        <v>26937</v>
      </c>
      <c r="B8721" t="s">
        <v>28037</v>
      </c>
      <c r="C8721" t="s">
        <v>3096</v>
      </c>
      <c r="D8721" t="s">
        <v>3097</v>
      </c>
      <c r="E8721" t="s">
        <v>3098</v>
      </c>
      <c r="F8721" t="s">
        <v>28038</v>
      </c>
      <c r="G8721" s="2" t="str">
        <f>HYPERLINK("https://probpalata.gov.ru/files/ИП500100218600000.jpeg","Скачать индивидуальный QR-код магазина")</f>
        <v>Скачать индивидуальный QR-код магазина</v>
      </c>
    </row>
    <row r="8722" spans="1:7" x14ac:dyDescent="0.25">
      <c r="A8722" t="s">
        <v>26937</v>
      </c>
      <c r="B8722" t="s">
        <v>28039</v>
      </c>
      <c r="C8722" t="s">
        <v>3096</v>
      </c>
      <c r="D8722" t="s">
        <v>3097</v>
      </c>
      <c r="E8722" t="s">
        <v>3098</v>
      </c>
      <c r="F8722" t="s">
        <v>28040</v>
      </c>
      <c r="G8722" s="2" t="str">
        <f>HYPERLINK("https://probpalata.gov.ru/files/ИП500100218600001.jpeg","Скачать индивидуальный QR-код магазина")</f>
        <v>Скачать индивидуальный QR-код магазина</v>
      </c>
    </row>
    <row r="8723" spans="1:7" x14ac:dyDescent="0.25">
      <c r="A8723" t="s">
        <v>26937</v>
      </c>
      <c r="B8723" t="s">
        <v>28041</v>
      </c>
      <c r="C8723" t="s">
        <v>3096</v>
      </c>
      <c r="D8723" t="s">
        <v>3097</v>
      </c>
      <c r="E8723" t="s">
        <v>3098</v>
      </c>
      <c r="F8723" t="s">
        <v>28042</v>
      </c>
      <c r="G8723" s="2" t="str">
        <f>HYPERLINK("https://probpalata.gov.ru/files/ИП500100218600002.jpeg","Скачать индивидуальный QR-код магазина")</f>
        <v>Скачать индивидуальный QR-код магазина</v>
      </c>
    </row>
    <row r="8724" spans="1:7" x14ac:dyDescent="0.25">
      <c r="A8724" t="s">
        <v>26937</v>
      </c>
      <c r="B8724" t="s">
        <v>28043</v>
      </c>
      <c r="C8724" t="s">
        <v>28044</v>
      </c>
      <c r="D8724" t="s">
        <v>28045</v>
      </c>
      <c r="E8724" t="s">
        <v>28046</v>
      </c>
      <c r="F8724" t="s">
        <v>28047</v>
      </c>
      <c r="G8724" s="2" t="str">
        <f>HYPERLINK("https://probpalata.gov.ru/files/ИП500101448100000.jpeg","Скачать индивидуальный QR-код магазина")</f>
        <v>Скачать индивидуальный QR-код магазина</v>
      </c>
    </row>
    <row r="8725" spans="1:7" x14ac:dyDescent="0.25">
      <c r="A8725" t="s">
        <v>26937</v>
      </c>
      <c r="B8725" t="s">
        <v>28048</v>
      </c>
      <c r="C8725" t="s">
        <v>28049</v>
      </c>
      <c r="D8725" t="s">
        <v>28050</v>
      </c>
      <c r="E8725" t="s">
        <v>28051</v>
      </c>
      <c r="F8725" t="s">
        <v>28052</v>
      </c>
      <c r="G8725" s="2" t="str">
        <f>HYPERLINK("https://probpalata.gov.ru/files/ИП770100893400000.jpeg","Скачать индивидуальный QR-код магазина")</f>
        <v>Скачать индивидуальный QR-код магазина</v>
      </c>
    </row>
    <row r="8726" spans="1:7" x14ac:dyDescent="0.25">
      <c r="A8726" t="s">
        <v>26937</v>
      </c>
      <c r="B8726" t="s">
        <v>28053</v>
      </c>
      <c r="C8726" t="s">
        <v>28049</v>
      </c>
      <c r="D8726" t="s">
        <v>28050</v>
      </c>
      <c r="E8726" t="s">
        <v>28051</v>
      </c>
      <c r="F8726" t="s">
        <v>28054</v>
      </c>
      <c r="G8726" s="2" t="str">
        <f>HYPERLINK("https://probpalata.gov.ru/files/ИП770100893400003.jpeg","Скачать индивидуальный QR-код магазина")</f>
        <v>Скачать индивидуальный QR-код магазина</v>
      </c>
    </row>
    <row r="8727" spans="1:7" x14ac:dyDescent="0.25">
      <c r="A8727" t="s">
        <v>26937</v>
      </c>
      <c r="B8727" t="s">
        <v>28055</v>
      </c>
      <c r="C8727" t="s">
        <v>28049</v>
      </c>
      <c r="D8727" t="s">
        <v>28050</v>
      </c>
      <c r="E8727" t="s">
        <v>28051</v>
      </c>
      <c r="F8727" t="s">
        <v>28056</v>
      </c>
      <c r="G8727" s="2" t="str">
        <f>HYPERLINK("https://probpalata.gov.ru/files/ИП770100893400004.jpeg","Скачать индивидуальный QR-код магазина")</f>
        <v>Скачать индивидуальный QR-код магазина</v>
      </c>
    </row>
    <row r="8728" spans="1:7" x14ac:dyDescent="0.25">
      <c r="A8728" t="s">
        <v>26937</v>
      </c>
      <c r="B8728" t="s">
        <v>28057</v>
      </c>
      <c r="C8728" t="s">
        <v>28058</v>
      </c>
      <c r="D8728" t="s">
        <v>28059</v>
      </c>
      <c r="E8728" t="s">
        <v>28060</v>
      </c>
      <c r="F8728" t="s">
        <v>28061</v>
      </c>
      <c r="G8728" s="2" t="str">
        <f>HYPERLINK("https://probpalata.gov.ru/files/ЮЛ500100476100000.jpeg","Скачать индивидуальный QR-код магазина")</f>
        <v>Скачать индивидуальный QR-код магазина</v>
      </c>
    </row>
    <row r="8729" spans="1:7" x14ac:dyDescent="0.25">
      <c r="A8729" t="s">
        <v>26937</v>
      </c>
      <c r="B8729" t="s">
        <v>28062</v>
      </c>
      <c r="C8729" t="s">
        <v>28058</v>
      </c>
      <c r="D8729" t="s">
        <v>28059</v>
      </c>
      <c r="E8729" t="s">
        <v>28060</v>
      </c>
      <c r="F8729" t="s">
        <v>28063</v>
      </c>
      <c r="G8729" s="2" t="str">
        <f>HYPERLINK("https://probpalata.gov.ru/files/ЮЛ500100476100002.jpeg","Скачать индивидуальный QR-код магазина")</f>
        <v>Скачать индивидуальный QR-код магазина</v>
      </c>
    </row>
    <row r="8730" spans="1:7" x14ac:dyDescent="0.25">
      <c r="A8730" t="s">
        <v>26937</v>
      </c>
      <c r="B8730" t="s">
        <v>28064</v>
      </c>
      <c r="C8730" t="s">
        <v>28058</v>
      </c>
      <c r="D8730" t="s">
        <v>28059</v>
      </c>
      <c r="E8730" t="s">
        <v>28060</v>
      </c>
      <c r="F8730" t="s">
        <v>28065</v>
      </c>
      <c r="G8730" s="2" t="str">
        <f>HYPERLINK("https://probpalata.gov.ru/files/ЮЛ500100476100007.jpeg","Скачать индивидуальный QR-код магазина")</f>
        <v>Скачать индивидуальный QR-код магазина</v>
      </c>
    </row>
    <row r="8731" spans="1:7" x14ac:dyDescent="0.25">
      <c r="A8731" t="s">
        <v>26937</v>
      </c>
      <c r="B8731" t="s">
        <v>28066</v>
      </c>
      <c r="C8731" t="s">
        <v>28067</v>
      </c>
      <c r="D8731" t="s">
        <v>28068</v>
      </c>
      <c r="E8731" t="s">
        <v>28069</v>
      </c>
      <c r="F8731" t="s">
        <v>28070</v>
      </c>
      <c r="G8731" s="2" t="str">
        <f>HYPERLINK("https://probpalata.gov.ru/files/ЮЛ500100196700001.jpeg","Скачать индивидуальный QR-код магазина")</f>
        <v>Скачать индивидуальный QR-код магазина</v>
      </c>
    </row>
    <row r="8732" spans="1:7" x14ac:dyDescent="0.25">
      <c r="A8732" t="s">
        <v>26937</v>
      </c>
      <c r="B8732" t="s">
        <v>28071</v>
      </c>
      <c r="C8732" t="s">
        <v>28067</v>
      </c>
      <c r="D8732" t="s">
        <v>28068</v>
      </c>
      <c r="E8732" t="s">
        <v>28069</v>
      </c>
      <c r="F8732" t="s">
        <v>28072</v>
      </c>
      <c r="G8732" s="2" t="str">
        <f>HYPERLINK("https://probpalata.gov.ru/files/ЮЛ500100196700003.jpeg","Скачать индивидуальный QR-код магазина")</f>
        <v>Скачать индивидуальный QR-код магазина</v>
      </c>
    </row>
    <row r="8733" spans="1:7" x14ac:dyDescent="0.25">
      <c r="A8733" t="s">
        <v>26937</v>
      </c>
      <c r="B8733" t="s">
        <v>28073</v>
      </c>
      <c r="C8733" t="s">
        <v>28074</v>
      </c>
      <c r="D8733" t="s">
        <v>28075</v>
      </c>
      <c r="E8733" t="s">
        <v>28076</v>
      </c>
      <c r="F8733" t="s">
        <v>28077</v>
      </c>
      <c r="G8733" s="2" t="str">
        <f>HYPERLINK("https://probpalata.gov.ru/files/ИП500100351800000.jpeg","Скачать индивидуальный QR-код магазина")</f>
        <v>Скачать индивидуальный QR-код магазина</v>
      </c>
    </row>
    <row r="8734" spans="1:7" x14ac:dyDescent="0.25">
      <c r="A8734" t="s">
        <v>26937</v>
      </c>
      <c r="B8734" t="s">
        <v>28078</v>
      </c>
      <c r="C8734" t="s">
        <v>28079</v>
      </c>
      <c r="D8734" t="s">
        <v>28080</v>
      </c>
      <c r="E8734" t="s">
        <v>28081</v>
      </c>
      <c r="F8734" t="s">
        <v>28082</v>
      </c>
      <c r="G8734" s="2" t="str">
        <f>HYPERLINK("https://probpalata.gov.ru/files/ИП500100125600000.jpeg","Скачать индивидуальный QR-код магазина")</f>
        <v>Скачать индивидуальный QR-код магазина</v>
      </c>
    </row>
    <row r="8735" spans="1:7" x14ac:dyDescent="0.25">
      <c r="A8735" t="s">
        <v>26937</v>
      </c>
      <c r="B8735" t="s">
        <v>28083</v>
      </c>
      <c r="C8735" t="s">
        <v>28084</v>
      </c>
      <c r="D8735" t="s">
        <v>28085</v>
      </c>
      <c r="E8735" t="s">
        <v>28086</v>
      </c>
      <c r="F8735" t="s">
        <v>28087</v>
      </c>
      <c r="G8735" s="2" t="str">
        <f>HYPERLINK("https://probpalata.gov.ru/files/ИП500100241900000.jpeg","Скачать индивидуальный QR-код магазина")</f>
        <v>Скачать индивидуальный QR-код магазина</v>
      </c>
    </row>
    <row r="8736" spans="1:7" x14ac:dyDescent="0.25">
      <c r="A8736" t="s">
        <v>26937</v>
      </c>
      <c r="B8736" t="s">
        <v>28088</v>
      </c>
      <c r="C8736" t="s">
        <v>28089</v>
      </c>
      <c r="D8736" t="s">
        <v>28090</v>
      </c>
      <c r="E8736" t="s">
        <v>28091</v>
      </c>
      <c r="F8736" t="s">
        <v>28092</v>
      </c>
      <c r="G8736" s="2" t="str">
        <f>HYPERLINK("https://probpalata.gov.ru/files/ЮЛ500100197900000.jpeg","Скачать индивидуальный QR-код магазина")</f>
        <v>Скачать индивидуальный QR-код магазина</v>
      </c>
    </row>
    <row r="8737" spans="1:7" x14ac:dyDescent="0.25">
      <c r="A8737" t="s">
        <v>26937</v>
      </c>
      <c r="B8737" t="s">
        <v>28093</v>
      </c>
      <c r="C8737" t="s">
        <v>28089</v>
      </c>
      <c r="D8737" t="s">
        <v>28090</v>
      </c>
      <c r="E8737" t="s">
        <v>28091</v>
      </c>
      <c r="F8737" t="s">
        <v>28094</v>
      </c>
      <c r="G8737" s="2" t="str">
        <f>HYPERLINK("https://probpalata.gov.ru/files/ЮЛ500100197900003.jpeg","Скачать индивидуальный QR-код магазина")</f>
        <v>Скачать индивидуальный QR-код магазина</v>
      </c>
    </row>
    <row r="8738" spans="1:7" x14ac:dyDescent="0.25">
      <c r="A8738" t="s">
        <v>26937</v>
      </c>
      <c r="B8738" t="s">
        <v>28095</v>
      </c>
      <c r="C8738" t="s">
        <v>28096</v>
      </c>
      <c r="D8738" t="s">
        <v>28097</v>
      </c>
      <c r="E8738" t="s">
        <v>28098</v>
      </c>
      <c r="F8738" t="s">
        <v>28099</v>
      </c>
      <c r="G8738" s="2" t="str">
        <f>HYPERLINK("https://probpalata.gov.ru/files/ИП500100129500000.jpeg","Скачать индивидуальный QR-код магазина")</f>
        <v>Скачать индивидуальный QR-код магазина</v>
      </c>
    </row>
    <row r="8739" spans="1:7" x14ac:dyDescent="0.25">
      <c r="A8739" t="s">
        <v>26937</v>
      </c>
      <c r="B8739" t="s">
        <v>28100</v>
      </c>
      <c r="C8739" t="s">
        <v>28096</v>
      </c>
      <c r="D8739" t="s">
        <v>28097</v>
      </c>
      <c r="E8739" t="s">
        <v>28098</v>
      </c>
      <c r="F8739" t="s">
        <v>28101</v>
      </c>
      <c r="G8739" s="2" t="str">
        <f>HYPERLINK("https://probpalata.gov.ru/files/ИП500100129500003.jpeg","Скачать индивидуальный QR-код магазина")</f>
        <v>Скачать индивидуальный QR-код магазина</v>
      </c>
    </row>
    <row r="8740" spans="1:7" x14ac:dyDescent="0.25">
      <c r="A8740" t="s">
        <v>26937</v>
      </c>
      <c r="B8740" t="s">
        <v>28102</v>
      </c>
      <c r="C8740" t="s">
        <v>28103</v>
      </c>
      <c r="D8740" t="s">
        <v>28104</v>
      </c>
      <c r="E8740" t="s">
        <v>28105</v>
      </c>
      <c r="F8740" t="s">
        <v>28106</v>
      </c>
      <c r="G8740" s="2" t="str">
        <f>HYPERLINK("https://probpalata.gov.ru/files/ИП500101226100000.jpeg","Скачать индивидуальный QR-код магазина")</f>
        <v>Скачать индивидуальный QR-код магазина</v>
      </c>
    </row>
    <row r="8741" spans="1:7" x14ac:dyDescent="0.25">
      <c r="A8741" t="s">
        <v>26937</v>
      </c>
      <c r="B8741" t="s">
        <v>28107</v>
      </c>
      <c r="C8741" t="s">
        <v>28108</v>
      </c>
      <c r="D8741" t="s">
        <v>28109</v>
      </c>
      <c r="E8741" t="s">
        <v>28110</v>
      </c>
      <c r="F8741" t="s">
        <v>28111</v>
      </c>
      <c r="G8741" s="2" t="str">
        <f>HYPERLINK("https://probpalata.gov.ru/files/ЮЛ500101352200000.jpeg","Скачать индивидуальный QR-код магазина")</f>
        <v>Скачать индивидуальный QR-код магазина</v>
      </c>
    </row>
    <row r="8742" spans="1:7" x14ac:dyDescent="0.25">
      <c r="A8742" t="s">
        <v>26937</v>
      </c>
      <c r="B8742" t="s">
        <v>28112</v>
      </c>
      <c r="C8742" t="s">
        <v>28113</v>
      </c>
      <c r="D8742" t="s">
        <v>28114</v>
      </c>
      <c r="E8742" t="s">
        <v>28115</v>
      </c>
      <c r="F8742" t="s">
        <v>28116</v>
      </c>
      <c r="G8742" s="2" t="str">
        <f>HYPERLINK("https://probpalata.gov.ru/files/ЮЛ500103834000001.jpeg","Скачать индивидуальный QR-код магазина")</f>
        <v>Скачать индивидуальный QR-код магазина</v>
      </c>
    </row>
    <row r="8743" spans="1:7" x14ac:dyDescent="0.25">
      <c r="A8743" t="s">
        <v>26937</v>
      </c>
      <c r="B8743" t="s">
        <v>28117</v>
      </c>
      <c r="C8743" t="s">
        <v>28118</v>
      </c>
      <c r="D8743" t="s">
        <v>28119</v>
      </c>
      <c r="E8743" t="s">
        <v>28120</v>
      </c>
      <c r="F8743" t="s">
        <v>28121</v>
      </c>
      <c r="G8743" s="2" t="str">
        <f>HYPERLINK("https://probpalata.gov.ru/files/ИП500100240300000.jpeg","Скачать индивидуальный QR-код магазина")</f>
        <v>Скачать индивидуальный QR-код магазина</v>
      </c>
    </row>
    <row r="8744" spans="1:7" x14ac:dyDescent="0.25">
      <c r="A8744" t="s">
        <v>26937</v>
      </c>
      <c r="B8744" t="s">
        <v>28122</v>
      </c>
      <c r="C8744" t="s">
        <v>28123</v>
      </c>
      <c r="D8744" t="s">
        <v>28124</v>
      </c>
      <c r="E8744" t="s">
        <v>28125</v>
      </c>
      <c r="F8744" t="s">
        <v>28126</v>
      </c>
      <c r="G8744" s="2" t="str">
        <f>HYPERLINK("https://probpalata.gov.ru/files/ЮЛ500101577500000.jpeg","Скачать индивидуальный QR-код магазина")</f>
        <v>Скачать индивидуальный QR-код магазина</v>
      </c>
    </row>
    <row r="8745" spans="1:7" x14ac:dyDescent="0.25">
      <c r="A8745" t="s">
        <v>26937</v>
      </c>
      <c r="B8745" t="s">
        <v>28127</v>
      </c>
      <c r="C8745" t="s">
        <v>28128</v>
      </c>
      <c r="D8745" t="s">
        <v>28129</v>
      </c>
      <c r="E8745" t="s">
        <v>28130</v>
      </c>
      <c r="F8745" t="s">
        <v>28131</v>
      </c>
      <c r="G8745" s="2" t="str">
        <f>HYPERLINK("https://probpalata.gov.ru/files/ЮЛ500100471100001.jpeg","Скачать индивидуальный QR-код магазина")</f>
        <v>Скачать индивидуальный QR-код магазина</v>
      </c>
    </row>
    <row r="8746" spans="1:7" x14ac:dyDescent="0.25">
      <c r="A8746" t="s">
        <v>26937</v>
      </c>
      <c r="B8746" t="s">
        <v>28132</v>
      </c>
      <c r="C8746" t="s">
        <v>28133</v>
      </c>
      <c r="D8746" t="s">
        <v>28134</v>
      </c>
      <c r="E8746" t="s">
        <v>28135</v>
      </c>
      <c r="F8746" t="s">
        <v>28136</v>
      </c>
      <c r="G8746" s="2" t="str">
        <f>HYPERLINK("https://probpalata.gov.ru/files/ЮЛ500101463300002.jpeg","Скачать индивидуальный QR-код магазина")</f>
        <v>Скачать индивидуальный QR-код магазина</v>
      </c>
    </row>
    <row r="8747" spans="1:7" x14ac:dyDescent="0.25">
      <c r="A8747" t="s">
        <v>26937</v>
      </c>
      <c r="B8747" t="s">
        <v>28137</v>
      </c>
      <c r="C8747" t="s">
        <v>28133</v>
      </c>
      <c r="D8747" t="s">
        <v>28134</v>
      </c>
      <c r="E8747" t="s">
        <v>28135</v>
      </c>
      <c r="F8747" t="s">
        <v>28138</v>
      </c>
      <c r="G8747" s="2" t="str">
        <f>HYPERLINK("https://probpalata.gov.ru/files/ЮЛ500101463300003.jpeg","Скачать индивидуальный QR-код магазина")</f>
        <v>Скачать индивидуальный QR-код магазина</v>
      </c>
    </row>
    <row r="8748" spans="1:7" x14ac:dyDescent="0.25">
      <c r="A8748" t="s">
        <v>26937</v>
      </c>
      <c r="B8748" t="s">
        <v>28139</v>
      </c>
      <c r="C8748" t="s">
        <v>28133</v>
      </c>
      <c r="D8748" t="s">
        <v>28134</v>
      </c>
      <c r="E8748" t="s">
        <v>28135</v>
      </c>
      <c r="F8748" t="s">
        <v>28140</v>
      </c>
      <c r="G8748" s="2" t="str">
        <f>HYPERLINK("https://probpalata.gov.ru/files/ЮЛ500101463300009.jpeg","Скачать индивидуальный QR-код магазина")</f>
        <v>Скачать индивидуальный QR-код магазина</v>
      </c>
    </row>
    <row r="8749" spans="1:7" x14ac:dyDescent="0.25">
      <c r="A8749" t="s">
        <v>26937</v>
      </c>
      <c r="B8749" t="s">
        <v>28141</v>
      </c>
      <c r="C8749" t="s">
        <v>28142</v>
      </c>
      <c r="D8749" t="s">
        <v>28143</v>
      </c>
      <c r="E8749" t="s">
        <v>28144</v>
      </c>
      <c r="F8749" t="s">
        <v>28145</v>
      </c>
      <c r="G8749" s="2" t="str">
        <f>HYPERLINK("https://probpalata.gov.ru/files/ЮЛ500101750400000.jpeg","Скачать индивидуальный QR-код магазина")</f>
        <v>Скачать индивидуальный QR-код магазина</v>
      </c>
    </row>
    <row r="8750" spans="1:7" x14ac:dyDescent="0.25">
      <c r="A8750" t="s">
        <v>26937</v>
      </c>
      <c r="B8750" t="s">
        <v>28146</v>
      </c>
      <c r="C8750" t="s">
        <v>28147</v>
      </c>
      <c r="D8750" t="s">
        <v>28148</v>
      </c>
      <c r="E8750" t="s">
        <v>28149</v>
      </c>
      <c r="F8750" t="s">
        <v>28150</v>
      </c>
      <c r="G8750" s="2" t="str">
        <f>HYPERLINK("https://probpalata.gov.ru/files/ЮЛ500101895200000.jpeg","Скачать индивидуальный QR-код магазина")</f>
        <v>Скачать индивидуальный QR-код магазина</v>
      </c>
    </row>
    <row r="8751" spans="1:7" x14ac:dyDescent="0.25">
      <c r="A8751" t="s">
        <v>26937</v>
      </c>
      <c r="B8751" t="s">
        <v>28151</v>
      </c>
      <c r="C8751" t="s">
        <v>28152</v>
      </c>
      <c r="D8751" t="s">
        <v>28153</v>
      </c>
      <c r="E8751" t="s">
        <v>28154</v>
      </c>
      <c r="F8751" t="s">
        <v>28155</v>
      </c>
      <c r="G8751" s="2" t="str">
        <f>HYPERLINK("https://probpalata.gov.ru/files/ЮЛ500103343700001.jpeg","Скачать индивидуальный QR-код магазина")</f>
        <v>Скачать индивидуальный QR-код магазина</v>
      </c>
    </row>
    <row r="8752" spans="1:7" x14ac:dyDescent="0.25">
      <c r="A8752" t="s">
        <v>26937</v>
      </c>
      <c r="B8752" t="s">
        <v>28156</v>
      </c>
      <c r="C8752" t="s">
        <v>2039</v>
      </c>
      <c r="D8752" t="s">
        <v>28157</v>
      </c>
      <c r="E8752" t="s">
        <v>28158</v>
      </c>
      <c r="F8752" t="s">
        <v>28159</v>
      </c>
      <c r="G8752" s="2" t="str">
        <f>HYPERLINK("https://probpalata.gov.ru/files/ЮЛ500104081700000.jpeg","Скачать индивидуальный QR-код магазина")</f>
        <v>Скачать индивидуальный QR-код магазина</v>
      </c>
    </row>
    <row r="8753" spans="1:7" x14ac:dyDescent="0.25">
      <c r="A8753" t="s">
        <v>26937</v>
      </c>
      <c r="B8753" t="s">
        <v>28160</v>
      </c>
      <c r="C8753" t="s">
        <v>28161</v>
      </c>
      <c r="D8753" t="s">
        <v>28162</v>
      </c>
      <c r="E8753" t="s">
        <v>28163</v>
      </c>
      <c r="F8753" t="s">
        <v>28164</v>
      </c>
      <c r="G8753" s="2" t="str">
        <f>HYPERLINK("https://probpalata.gov.ru/files/ЮЛ500101602600000.jpeg","Скачать индивидуальный QR-код магазина")</f>
        <v>Скачать индивидуальный QR-код магазина</v>
      </c>
    </row>
    <row r="8754" spans="1:7" x14ac:dyDescent="0.25">
      <c r="A8754" t="s">
        <v>26937</v>
      </c>
      <c r="B8754" t="s">
        <v>28165</v>
      </c>
      <c r="C8754" t="s">
        <v>28166</v>
      </c>
      <c r="D8754" t="s">
        <v>28167</v>
      </c>
      <c r="E8754" t="s">
        <v>28168</v>
      </c>
      <c r="F8754" t="s">
        <v>28169</v>
      </c>
      <c r="G8754" s="2" t="str">
        <f>HYPERLINK("https://probpalata.gov.ru/files/ЮЛ500101219900000.jpeg","Скачать индивидуальный QR-код магазина")</f>
        <v>Скачать индивидуальный QR-код магазина</v>
      </c>
    </row>
    <row r="8755" spans="1:7" x14ac:dyDescent="0.25">
      <c r="A8755" t="s">
        <v>26937</v>
      </c>
      <c r="B8755" t="s">
        <v>28170</v>
      </c>
      <c r="C8755" t="s">
        <v>28171</v>
      </c>
      <c r="D8755" t="s">
        <v>28172</v>
      </c>
      <c r="E8755" t="s">
        <v>28173</v>
      </c>
      <c r="F8755" t="s">
        <v>28174</v>
      </c>
      <c r="G8755" s="2" t="str">
        <f>HYPERLINK("https://probpalata.gov.ru/files/ИП500101318600000.jpeg","Скачать индивидуальный QR-код магазина")</f>
        <v>Скачать индивидуальный QR-код магазина</v>
      </c>
    </row>
    <row r="8756" spans="1:7" x14ac:dyDescent="0.25">
      <c r="A8756" t="s">
        <v>26937</v>
      </c>
      <c r="B8756" t="s">
        <v>28175</v>
      </c>
      <c r="C8756" t="s">
        <v>28171</v>
      </c>
      <c r="D8756" t="s">
        <v>28172</v>
      </c>
      <c r="E8756" t="s">
        <v>28173</v>
      </c>
      <c r="F8756" t="s">
        <v>28176</v>
      </c>
      <c r="G8756" s="2" t="str">
        <f>HYPERLINK("https://probpalata.gov.ru/files/ИП500101318600001.jpeg","Скачать индивидуальный QR-код магазина")</f>
        <v>Скачать индивидуальный QR-код магазина</v>
      </c>
    </row>
    <row r="8757" spans="1:7" x14ac:dyDescent="0.25">
      <c r="A8757" t="s">
        <v>26937</v>
      </c>
      <c r="B8757" t="s">
        <v>27329</v>
      </c>
      <c r="C8757" t="s">
        <v>28177</v>
      </c>
      <c r="D8757" t="s">
        <v>28178</v>
      </c>
      <c r="E8757" t="s">
        <v>28179</v>
      </c>
      <c r="F8757" t="s">
        <v>28180</v>
      </c>
      <c r="G8757" s="2" t="str">
        <f>HYPERLINK("https://probpalata.gov.ru/files/ИП500103764100000.jpeg","Скачать индивидуальный QR-код магазина")</f>
        <v>Скачать индивидуальный QR-код магазина</v>
      </c>
    </row>
    <row r="8758" spans="1:7" x14ac:dyDescent="0.25">
      <c r="A8758" t="s">
        <v>26937</v>
      </c>
      <c r="B8758" t="s">
        <v>28181</v>
      </c>
      <c r="C8758" t="s">
        <v>28182</v>
      </c>
      <c r="D8758" t="s">
        <v>28183</v>
      </c>
      <c r="E8758" t="s">
        <v>28184</v>
      </c>
      <c r="F8758" t="s">
        <v>28185</v>
      </c>
      <c r="G8758" s="2" t="str">
        <f>HYPERLINK("https://probpalata.gov.ru/files/ИП500100375500000.jpeg","Скачать индивидуальный QR-код магазина")</f>
        <v>Скачать индивидуальный QR-код магазина</v>
      </c>
    </row>
    <row r="8759" spans="1:7" x14ac:dyDescent="0.25">
      <c r="A8759" t="s">
        <v>26937</v>
      </c>
      <c r="B8759" t="s">
        <v>28186</v>
      </c>
      <c r="C8759" t="s">
        <v>28187</v>
      </c>
      <c r="D8759" t="s">
        <v>28188</v>
      </c>
      <c r="E8759" t="s">
        <v>28189</v>
      </c>
      <c r="F8759" t="s">
        <v>28190</v>
      </c>
      <c r="G8759" s="2" t="str">
        <f>HYPERLINK("https://probpalata.gov.ru/files/ИП770100546200000.jpeg","Скачать индивидуальный QR-код магазина")</f>
        <v>Скачать индивидуальный QR-код магазина</v>
      </c>
    </row>
    <row r="8760" spans="1:7" x14ac:dyDescent="0.25">
      <c r="A8760" t="s">
        <v>26937</v>
      </c>
      <c r="B8760" t="s">
        <v>28191</v>
      </c>
      <c r="C8760" t="s">
        <v>20217</v>
      </c>
      <c r="D8760" t="s">
        <v>20218</v>
      </c>
      <c r="E8760" t="s">
        <v>20219</v>
      </c>
      <c r="F8760" t="s">
        <v>28192</v>
      </c>
      <c r="G8760" s="2" t="str">
        <f>HYPERLINK("https://probpalata.gov.ru/files/ИП470300104000002.jpeg","Скачать индивидуальный QR-код магазина")</f>
        <v>Скачать индивидуальный QR-код магазина</v>
      </c>
    </row>
    <row r="8761" spans="1:7" x14ac:dyDescent="0.25">
      <c r="A8761" t="s">
        <v>26937</v>
      </c>
      <c r="B8761" t="s">
        <v>28193</v>
      </c>
      <c r="C8761" t="s">
        <v>28194</v>
      </c>
      <c r="D8761" t="s">
        <v>28195</v>
      </c>
      <c r="E8761" t="s">
        <v>28196</v>
      </c>
      <c r="F8761" t="s">
        <v>28197</v>
      </c>
      <c r="G8761" s="2" t="str">
        <f>HYPERLINK("https://probpalata.gov.ru/files/ИП500100466000000.jpeg","Скачать индивидуальный QR-код магазина")</f>
        <v>Скачать индивидуальный QR-код магазина</v>
      </c>
    </row>
    <row r="8762" spans="1:7" x14ac:dyDescent="0.25">
      <c r="A8762" t="s">
        <v>26937</v>
      </c>
      <c r="B8762" t="s">
        <v>28198</v>
      </c>
      <c r="C8762" t="s">
        <v>28194</v>
      </c>
      <c r="D8762" t="s">
        <v>28195</v>
      </c>
      <c r="E8762" t="s">
        <v>28196</v>
      </c>
      <c r="F8762" t="s">
        <v>28199</v>
      </c>
      <c r="G8762" s="2" t="str">
        <f>HYPERLINK("https://probpalata.gov.ru/files/ИП500100466000002.jpeg","Скачать индивидуальный QR-код магазина")</f>
        <v>Скачать индивидуальный QR-код магазина</v>
      </c>
    </row>
    <row r="8763" spans="1:7" x14ac:dyDescent="0.25">
      <c r="A8763" t="s">
        <v>26937</v>
      </c>
      <c r="B8763" t="s">
        <v>28200</v>
      </c>
      <c r="C8763" t="s">
        <v>28194</v>
      </c>
      <c r="D8763" t="s">
        <v>28195</v>
      </c>
      <c r="E8763" t="s">
        <v>28196</v>
      </c>
      <c r="F8763" t="s">
        <v>28201</v>
      </c>
      <c r="G8763" s="2" t="str">
        <f>HYPERLINK("https://probpalata.gov.ru/files/ИП500100466000003.jpeg","Скачать индивидуальный QR-код магазина")</f>
        <v>Скачать индивидуальный QR-код магазина</v>
      </c>
    </row>
    <row r="8764" spans="1:7" x14ac:dyDescent="0.25">
      <c r="A8764" t="s">
        <v>26937</v>
      </c>
      <c r="B8764" t="s">
        <v>28202</v>
      </c>
      <c r="C8764" t="s">
        <v>28194</v>
      </c>
      <c r="D8764" t="s">
        <v>28195</v>
      </c>
      <c r="E8764" t="s">
        <v>28196</v>
      </c>
      <c r="F8764" t="s">
        <v>28203</v>
      </c>
      <c r="G8764" s="2" t="str">
        <f>HYPERLINK("https://probpalata.gov.ru/files/ИП500100466000004.jpeg","Скачать индивидуальный QR-код магазина")</f>
        <v>Скачать индивидуальный QR-код магазина</v>
      </c>
    </row>
    <row r="8765" spans="1:7" x14ac:dyDescent="0.25">
      <c r="A8765" t="s">
        <v>26937</v>
      </c>
      <c r="B8765" t="s">
        <v>28204</v>
      </c>
      <c r="C8765" t="s">
        <v>10732</v>
      </c>
      <c r="D8765" t="s">
        <v>10733</v>
      </c>
      <c r="E8765" t="s">
        <v>10734</v>
      </c>
      <c r="F8765" t="s">
        <v>28205</v>
      </c>
      <c r="G8765" s="2" t="str">
        <f>HYPERLINK("https://probpalata.gov.ru/files/ИП440200426400025.jpeg","Скачать индивидуальный QR-код магазина")</f>
        <v>Скачать индивидуальный QR-код магазина</v>
      </c>
    </row>
    <row r="8766" spans="1:7" x14ac:dyDescent="0.25">
      <c r="A8766" t="s">
        <v>26937</v>
      </c>
      <c r="B8766" t="s">
        <v>28206</v>
      </c>
      <c r="C8766" t="s">
        <v>10732</v>
      </c>
      <c r="D8766" t="s">
        <v>10733</v>
      </c>
      <c r="E8766" t="s">
        <v>10734</v>
      </c>
      <c r="F8766" t="s">
        <v>28207</v>
      </c>
      <c r="G8766" s="2" t="str">
        <f>HYPERLINK("https://probpalata.gov.ru/files/ИП440200426400031.jpeg","Скачать индивидуальный QR-код магазина")</f>
        <v>Скачать индивидуальный QR-код магазина</v>
      </c>
    </row>
    <row r="8767" spans="1:7" x14ac:dyDescent="0.25">
      <c r="A8767" t="s">
        <v>26937</v>
      </c>
      <c r="B8767" t="s">
        <v>28208</v>
      </c>
      <c r="C8767" t="s">
        <v>28209</v>
      </c>
      <c r="D8767" t="s">
        <v>28210</v>
      </c>
      <c r="E8767" t="s">
        <v>28211</v>
      </c>
      <c r="F8767" t="s">
        <v>28212</v>
      </c>
      <c r="G8767" s="2" t="str">
        <f>HYPERLINK("https://probpalata.gov.ru/files/ИП500100095200002.jpeg","Скачать индивидуальный QR-код магазина")</f>
        <v>Скачать индивидуальный QR-код магазина</v>
      </c>
    </row>
    <row r="8768" spans="1:7" x14ac:dyDescent="0.25">
      <c r="A8768" t="s">
        <v>26937</v>
      </c>
      <c r="B8768" t="s">
        <v>28213</v>
      </c>
      <c r="C8768" t="s">
        <v>28209</v>
      </c>
      <c r="D8768" t="s">
        <v>28210</v>
      </c>
      <c r="E8768" t="s">
        <v>28211</v>
      </c>
      <c r="F8768" t="s">
        <v>28214</v>
      </c>
      <c r="G8768" s="2" t="str">
        <f>HYPERLINK("https://probpalata.gov.ru/files/ИП500100095200003.jpeg","Скачать индивидуальный QR-код магазина")</f>
        <v>Скачать индивидуальный QR-код магазина</v>
      </c>
    </row>
    <row r="8769" spans="1:7" x14ac:dyDescent="0.25">
      <c r="A8769" t="s">
        <v>26937</v>
      </c>
      <c r="B8769" t="s">
        <v>28215</v>
      </c>
      <c r="C8769" t="s">
        <v>28209</v>
      </c>
      <c r="D8769" t="s">
        <v>28210</v>
      </c>
      <c r="E8769" t="s">
        <v>28211</v>
      </c>
      <c r="F8769" t="s">
        <v>28216</v>
      </c>
      <c r="G8769" s="2" t="str">
        <f>HYPERLINK("https://probpalata.gov.ru/files/ИП500100095200004.jpeg","Скачать индивидуальный QR-код магазина")</f>
        <v>Скачать индивидуальный QR-код магазина</v>
      </c>
    </row>
    <row r="8770" spans="1:7" x14ac:dyDescent="0.25">
      <c r="A8770" t="s">
        <v>26937</v>
      </c>
      <c r="B8770" t="s">
        <v>28217</v>
      </c>
      <c r="C8770" t="s">
        <v>28218</v>
      </c>
      <c r="D8770" t="s">
        <v>28219</v>
      </c>
      <c r="E8770" t="s">
        <v>28220</v>
      </c>
      <c r="F8770" t="s">
        <v>28221</v>
      </c>
      <c r="G8770" s="2" t="str">
        <f>HYPERLINK("https://probpalata.gov.ru/files/ИП500101040800000.jpeg","Скачать индивидуальный QR-код магазина")</f>
        <v>Скачать индивидуальный QR-код магазина</v>
      </c>
    </row>
    <row r="8771" spans="1:7" x14ac:dyDescent="0.25">
      <c r="A8771" t="s">
        <v>26937</v>
      </c>
      <c r="B8771" t="s">
        <v>28222</v>
      </c>
      <c r="C8771" t="s">
        <v>28218</v>
      </c>
      <c r="D8771" t="s">
        <v>28219</v>
      </c>
      <c r="E8771" t="s">
        <v>28220</v>
      </c>
      <c r="F8771" t="s">
        <v>28223</v>
      </c>
      <c r="G8771" s="2" t="str">
        <f>HYPERLINK("https://probpalata.gov.ru/files/ИП500101040800001.jpeg","Скачать индивидуальный QR-код магазина")</f>
        <v>Скачать индивидуальный QR-код магазина</v>
      </c>
    </row>
    <row r="8772" spans="1:7" x14ac:dyDescent="0.25">
      <c r="A8772" t="s">
        <v>26937</v>
      </c>
      <c r="B8772" t="s">
        <v>28224</v>
      </c>
      <c r="C8772" t="s">
        <v>28218</v>
      </c>
      <c r="D8772" t="s">
        <v>28219</v>
      </c>
      <c r="E8772" t="s">
        <v>28220</v>
      </c>
      <c r="F8772" t="s">
        <v>28225</v>
      </c>
      <c r="G8772" s="2" t="str">
        <f>HYPERLINK("https://probpalata.gov.ru/files/ИП500101040800002.jpeg","Скачать индивидуальный QR-код магазина")</f>
        <v>Скачать индивидуальный QR-код магазина</v>
      </c>
    </row>
    <row r="8773" spans="1:7" x14ac:dyDescent="0.25">
      <c r="A8773" t="s">
        <v>26937</v>
      </c>
      <c r="B8773" t="s">
        <v>28226</v>
      </c>
      <c r="C8773" t="s">
        <v>28218</v>
      </c>
      <c r="D8773" t="s">
        <v>28219</v>
      </c>
      <c r="E8773" t="s">
        <v>28220</v>
      </c>
      <c r="F8773" t="s">
        <v>28227</v>
      </c>
      <c r="G8773" s="2" t="str">
        <f>HYPERLINK("https://probpalata.gov.ru/files/ИП500101040800003.jpeg","Скачать индивидуальный QR-код магазина")</f>
        <v>Скачать индивидуальный QR-код магазина</v>
      </c>
    </row>
    <row r="8774" spans="1:7" x14ac:dyDescent="0.25">
      <c r="A8774" t="s">
        <v>26937</v>
      </c>
      <c r="B8774" t="s">
        <v>28228</v>
      </c>
      <c r="C8774" t="s">
        <v>28218</v>
      </c>
      <c r="D8774" t="s">
        <v>28219</v>
      </c>
      <c r="E8774" t="s">
        <v>28220</v>
      </c>
      <c r="F8774" t="s">
        <v>28229</v>
      </c>
      <c r="G8774" s="2" t="str">
        <f>HYPERLINK("https://probpalata.gov.ru/files/ИП500101040800004.jpeg","Скачать индивидуальный QR-код магазина")</f>
        <v>Скачать индивидуальный QR-код магазина</v>
      </c>
    </row>
    <row r="8775" spans="1:7" x14ac:dyDescent="0.25">
      <c r="A8775" t="s">
        <v>26937</v>
      </c>
      <c r="B8775" t="s">
        <v>28230</v>
      </c>
      <c r="C8775" t="s">
        <v>28218</v>
      </c>
      <c r="D8775" t="s">
        <v>28219</v>
      </c>
      <c r="E8775" t="s">
        <v>28220</v>
      </c>
      <c r="F8775" t="s">
        <v>28231</v>
      </c>
      <c r="G8775" s="2" t="str">
        <f>HYPERLINK("https://probpalata.gov.ru/files/ИП500101040800005.jpeg","Скачать индивидуальный QR-код магазина")</f>
        <v>Скачать индивидуальный QR-код магазина</v>
      </c>
    </row>
    <row r="8776" spans="1:7" x14ac:dyDescent="0.25">
      <c r="A8776" t="s">
        <v>26937</v>
      </c>
      <c r="B8776" t="s">
        <v>28232</v>
      </c>
      <c r="C8776" t="s">
        <v>2481</v>
      </c>
      <c r="D8776" t="s">
        <v>28233</v>
      </c>
      <c r="E8776" t="s">
        <v>28234</v>
      </c>
      <c r="F8776" t="s">
        <v>28235</v>
      </c>
      <c r="G8776" s="2" t="str">
        <f>HYPERLINK("https://probpalata.gov.ru/files/ЮЛ500100200800000.jpeg","Скачать индивидуальный QR-код магазина")</f>
        <v>Скачать индивидуальный QR-код магазина</v>
      </c>
    </row>
    <row r="8777" spans="1:7" x14ac:dyDescent="0.25">
      <c r="A8777" t="s">
        <v>26937</v>
      </c>
      <c r="B8777" t="s">
        <v>28236</v>
      </c>
      <c r="C8777" t="s">
        <v>28237</v>
      </c>
      <c r="D8777" t="s">
        <v>28238</v>
      </c>
      <c r="E8777" t="s">
        <v>28239</v>
      </c>
      <c r="F8777" t="s">
        <v>28240</v>
      </c>
      <c r="G8777" s="2" t="str">
        <f>HYPERLINK("https://probpalata.gov.ru/files/ЮЛ500101450200000.jpeg","Скачать индивидуальный QR-код магазина")</f>
        <v>Скачать индивидуальный QR-код магазина</v>
      </c>
    </row>
    <row r="8778" spans="1:7" x14ac:dyDescent="0.25">
      <c r="A8778" t="s">
        <v>26937</v>
      </c>
      <c r="B8778" t="s">
        <v>28241</v>
      </c>
      <c r="C8778" t="s">
        <v>28242</v>
      </c>
      <c r="D8778" t="s">
        <v>28243</v>
      </c>
      <c r="E8778" t="s">
        <v>28244</v>
      </c>
      <c r="F8778" t="s">
        <v>28245</v>
      </c>
      <c r="G8778" s="2" t="str">
        <f>HYPERLINK("https://probpalata.gov.ru/files/ЮЛ500100200100000.jpeg","Скачать индивидуальный QR-код магазина")</f>
        <v>Скачать индивидуальный QR-код магазина</v>
      </c>
    </row>
    <row r="8779" spans="1:7" x14ac:dyDescent="0.25">
      <c r="A8779" t="s">
        <v>26937</v>
      </c>
      <c r="B8779" t="s">
        <v>28246</v>
      </c>
      <c r="C8779" t="s">
        <v>28247</v>
      </c>
      <c r="D8779" t="s">
        <v>28248</v>
      </c>
      <c r="E8779" t="s">
        <v>28249</v>
      </c>
      <c r="F8779" t="s">
        <v>28250</v>
      </c>
      <c r="G8779" s="2" t="str">
        <f>HYPERLINK("https://probpalata.gov.ru/files/ЮЛ500100695000000.jpeg","Скачать индивидуальный QR-код магазина")</f>
        <v>Скачать индивидуальный QR-код магазина</v>
      </c>
    </row>
    <row r="8780" spans="1:7" x14ac:dyDescent="0.25">
      <c r="A8780" t="s">
        <v>26937</v>
      </c>
      <c r="B8780" t="s">
        <v>28251</v>
      </c>
      <c r="C8780" t="s">
        <v>28252</v>
      </c>
      <c r="D8780" t="s">
        <v>28253</v>
      </c>
      <c r="E8780" t="s">
        <v>28254</v>
      </c>
      <c r="F8780" t="s">
        <v>28255</v>
      </c>
      <c r="G8780" s="2" t="str">
        <f>HYPERLINK("https://probpalata.gov.ru/files/ЮЛ500103215300000.jpeg","Скачать индивидуальный QR-код магазина")</f>
        <v>Скачать индивидуальный QR-код магазина</v>
      </c>
    </row>
    <row r="8781" spans="1:7" x14ac:dyDescent="0.25">
      <c r="A8781" t="s">
        <v>26937</v>
      </c>
      <c r="B8781" t="s">
        <v>28256</v>
      </c>
      <c r="C8781" t="s">
        <v>28257</v>
      </c>
      <c r="D8781" t="s">
        <v>28258</v>
      </c>
      <c r="E8781" t="s">
        <v>28259</v>
      </c>
      <c r="F8781" t="s">
        <v>28260</v>
      </c>
      <c r="G8781" s="2" t="str">
        <f>HYPERLINK("https://probpalata.gov.ru/files/ИП500103223800000.jpeg","Скачать индивидуальный QR-код магазина")</f>
        <v>Скачать индивидуальный QR-код магазина</v>
      </c>
    </row>
    <row r="8782" spans="1:7" x14ac:dyDescent="0.25">
      <c r="A8782" t="s">
        <v>26937</v>
      </c>
      <c r="B8782" t="s">
        <v>28261</v>
      </c>
      <c r="C8782" t="s">
        <v>28262</v>
      </c>
      <c r="D8782" t="s">
        <v>28263</v>
      </c>
      <c r="E8782" t="s">
        <v>28264</v>
      </c>
      <c r="F8782" t="s">
        <v>28265</v>
      </c>
      <c r="G8782" s="2" t="str">
        <f>HYPERLINK("https://probpalata.gov.ru/files/ИП500100085500002.jpeg","Скачать индивидуальный QR-код магазина")</f>
        <v>Скачать индивидуальный QR-код магазина</v>
      </c>
    </row>
    <row r="8783" spans="1:7" x14ac:dyDescent="0.25">
      <c r="A8783" t="s">
        <v>26937</v>
      </c>
      <c r="B8783" t="s">
        <v>28266</v>
      </c>
      <c r="C8783" t="s">
        <v>28262</v>
      </c>
      <c r="D8783" t="s">
        <v>28263</v>
      </c>
      <c r="E8783" t="s">
        <v>28264</v>
      </c>
      <c r="F8783" t="s">
        <v>28267</v>
      </c>
      <c r="G8783" s="2" t="str">
        <f>HYPERLINK("https://probpalata.gov.ru/files/ИП500100085500003.jpeg","Скачать индивидуальный QR-код магазина")</f>
        <v>Скачать индивидуальный QR-код магазина</v>
      </c>
    </row>
    <row r="8784" spans="1:7" x14ac:dyDescent="0.25">
      <c r="A8784" t="s">
        <v>26937</v>
      </c>
      <c r="B8784" t="s">
        <v>28268</v>
      </c>
      <c r="C8784" t="s">
        <v>28269</v>
      </c>
      <c r="D8784" t="s">
        <v>28270</v>
      </c>
      <c r="E8784" t="s">
        <v>28271</v>
      </c>
      <c r="F8784" t="s">
        <v>28272</v>
      </c>
      <c r="G8784" s="2" t="str">
        <f>HYPERLINK("https://probpalata.gov.ru/files/ИП500100205700002.jpeg","Скачать индивидуальный QR-код магазина")</f>
        <v>Скачать индивидуальный QR-код магазина</v>
      </c>
    </row>
    <row r="8785" spans="1:7" x14ac:dyDescent="0.25">
      <c r="A8785" t="s">
        <v>26937</v>
      </c>
      <c r="B8785" t="s">
        <v>28273</v>
      </c>
      <c r="C8785" t="s">
        <v>28274</v>
      </c>
      <c r="D8785" t="s">
        <v>28275</v>
      </c>
      <c r="E8785" t="s">
        <v>28276</v>
      </c>
      <c r="F8785" t="s">
        <v>28277</v>
      </c>
      <c r="G8785" s="2" t="str">
        <f>HYPERLINK("https://probpalata.gov.ru/files/ИП500100398400000.jpeg","Скачать индивидуальный QR-код магазина")</f>
        <v>Скачать индивидуальный QR-код магазина</v>
      </c>
    </row>
    <row r="8786" spans="1:7" x14ac:dyDescent="0.25">
      <c r="A8786" t="s">
        <v>26937</v>
      </c>
      <c r="B8786" t="s">
        <v>28278</v>
      </c>
      <c r="C8786" t="s">
        <v>28279</v>
      </c>
      <c r="D8786" t="s">
        <v>28280</v>
      </c>
      <c r="E8786" t="s">
        <v>28281</v>
      </c>
      <c r="F8786" t="s">
        <v>28282</v>
      </c>
      <c r="G8786" s="2" t="str">
        <f>HYPERLINK("https://probpalata.gov.ru/files/ИП500100453600000.jpeg","Скачать индивидуальный QR-код магазина")</f>
        <v>Скачать индивидуальный QR-код магазина</v>
      </c>
    </row>
    <row r="8787" spans="1:7" x14ac:dyDescent="0.25">
      <c r="A8787" t="s">
        <v>26937</v>
      </c>
      <c r="B8787" t="s">
        <v>28283</v>
      </c>
      <c r="C8787" t="s">
        <v>28279</v>
      </c>
      <c r="D8787" t="s">
        <v>28280</v>
      </c>
      <c r="E8787" t="s">
        <v>28281</v>
      </c>
      <c r="F8787" t="s">
        <v>28284</v>
      </c>
      <c r="G8787" s="2" t="str">
        <f>HYPERLINK("https://probpalata.gov.ru/files/ИП500100453600004.jpeg","Скачать индивидуальный QR-код магазина")</f>
        <v>Скачать индивидуальный QR-код магазина</v>
      </c>
    </row>
    <row r="8788" spans="1:7" x14ac:dyDescent="0.25">
      <c r="A8788" t="s">
        <v>26937</v>
      </c>
      <c r="B8788" t="s">
        <v>28285</v>
      </c>
      <c r="C8788" t="s">
        <v>28286</v>
      </c>
      <c r="D8788" t="s">
        <v>28287</v>
      </c>
      <c r="E8788" t="s">
        <v>28288</v>
      </c>
      <c r="F8788" t="s">
        <v>28289</v>
      </c>
      <c r="G8788" s="2" t="str">
        <f>HYPERLINK("https://probpalata.gov.ru/files/ЮЛ500100199300000.jpeg","Скачать индивидуальный QR-код магазина")</f>
        <v>Скачать индивидуальный QR-код магазина</v>
      </c>
    </row>
    <row r="8789" spans="1:7" x14ac:dyDescent="0.25">
      <c r="A8789" t="s">
        <v>26937</v>
      </c>
      <c r="B8789" t="s">
        <v>28290</v>
      </c>
      <c r="C8789" t="s">
        <v>28291</v>
      </c>
      <c r="D8789" t="s">
        <v>28292</v>
      </c>
      <c r="E8789" t="s">
        <v>28293</v>
      </c>
      <c r="F8789" t="s">
        <v>28294</v>
      </c>
      <c r="G8789" s="2" t="str">
        <f>HYPERLINK("https://probpalata.gov.ru/files/ИП500101404600000.jpeg","Скачать индивидуальный QR-код магазина")</f>
        <v>Скачать индивидуальный QR-код магазина</v>
      </c>
    </row>
    <row r="8790" spans="1:7" x14ac:dyDescent="0.25">
      <c r="A8790" t="s">
        <v>26937</v>
      </c>
      <c r="B8790" t="s">
        <v>28295</v>
      </c>
      <c r="C8790" t="s">
        <v>28296</v>
      </c>
      <c r="D8790" t="s">
        <v>28297</v>
      </c>
      <c r="E8790" t="s">
        <v>28298</v>
      </c>
      <c r="F8790" t="s">
        <v>28299</v>
      </c>
      <c r="G8790" s="2" t="str">
        <f>HYPERLINK("https://probpalata.gov.ru/files/ИП500101936500000.jpeg","Скачать индивидуальный QR-код магазина")</f>
        <v>Скачать индивидуальный QR-код магазина</v>
      </c>
    </row>
    <row r="8791" spans="1:7" x14ac:dyDescent="0.25">
      <c r="A8791" t="s">
        <v>26937</v>
      </c>
      <c r="B8791" t="s">
        <v>28300</v>
      </c>
      <c r="C8791" t="s">
        <v>28301</v>
      </c>
      <c r="D8791" t="s">
        <v>28302</v>
      </c>
      <c r="E8791" t="s">
        <v>28303</v>
      </c>
      <c r="F8791" t="s">
        <v>28304</v>
      </c>
      <c r="G8791" s="2" t="str">
        <f>HYPERLINK("https://probpalata.gov.ru/files/ИП500101684200000.jpeg","Скачать индивидуальный QR-код магазина")</f>
        <v>Скачать индивидуальный QR-код магазина</v>
      </c>
    </row>
    <row r="8792" spans="1:7" x14ac:dyDescent="0.25">
      <c r="A8792" t="s">
        <v>26937</v>
      </c>
      <c r="B8792" t="s">
        <v>28305</v>
      </c>
      <c r="C8792" t="s">
        <v>28306</v>
      </c>
      <c r="D8792" t="s">
        <v>28307</v>
      </c>
      <c r="E8792" t="s">
        <v>28308</v>
      </c>
      <c r="F8792" t="s">
        <v>28309</v>
      </c>
      <c r="G8792" s="2" t="str">
        <f>HYPERLINK("https://probpalata.gov.ru/files/ИП500103028100000.jpeg","Скачать индивидуальный QR-код магазина")</f>
        <v>Скачать индивидуальный QR-код магазина</v>
      </c>
    </row>
    <row r="8793" spans="1:7" x14ac:dyDescent="0.25">
      <c r="A8793" t="s">
        <v>26937</v>
      </c>
      <c r="B8793" t="s">
        <v>28310</v>
      </c>
      <c r="C8793" t="s">
        <v>28311</v>
      </c>
      <c r="D8793" t="s">
        <v>28312</v>
      </c>
      <c r="E8793" t="s">
        <v>28313</v>
      </c>
      <c r="F8793" t="s">
        <v>28314</v>
      </c>
      <c r="G8793" s="2" t="str">
        <f>HYPERLINK("https://probpalata.gov.ru/files/ИП770100759700000.jpeg","Скачать индивидуальный QR-код магазина")</f>
        <v>Скачать индивидуальный QR-код магазина</v>
      </c>
    </row>
    <row r="8794" spans="1:7" x14ac:dyDescent="0.25">
      <c r="A8794" t="s">
        <v>26937</v>
      </c>
      <c r="B8794" t="s">
        <v>28315</v>
      </c>
      <c r="C8794" t="s">
        <v>28316</v>
      </c>
      <c r="D8794" t="s">
        <v>28317</v>
      </c>
      <c r="E8794" t="s">
        <v>28318</v>
      </c>
      <c r="F8794" t="s">
        <v>28319</v>
      </c>
      <c r="G8794" s="2" t="str">
        <f>HYPERLINK("https://probpalata.gov.ru/files/ИП630603782000000.jpeg","Скачать индивидуальный QR-код магазина")</f>
        <v>Скачать индивидуальный QR-код магазина</v>
      </c>
    </row>
    <row r="8795" spans="1:7" x14ac:dyDescent="0.25">
      <c r="A8795" t="s">
        <v>26937</v>
      </c>
      <c r="B8795" t="s">
        <v>28320</v>
      </c>
      <c r="C8795" t="s">
        <v>28321</v>
      </c>
      <c r="D8795" t="s">
        <v>28322</v>
      </c>
      <c r="E8795" t="s">
        <v>28323</v>
      </c>
      <c r="F8795" t="s">
        <v>28324</v>
      </c>
      <c r="G8795" s="2" t="str">
        <f>HYPERLINK("https://probpalata.gov.ru/files/ИП500101632900000.jpeg","Скачать индивидуальный QR-код магазина")</f>
        <v>Скачать индивидуальный QR-код магазина</v>
      </c>
    </row>
    <row r="8796" spans="1:7" x14ac:dyDescent="0.25">
      <c r="A8796" t="s">
        <v>26937</v>
      </c>
      <c r="B8796" t="s">
        <v>28325</v>
      </c>
      <c r="C8796" t="s">
        <v>28321</v>
      </c>
      <c r="D8796" t="s">
        <v>28322</v>
      </c>
      <c r="E8796" t="s">
        <v>28323</v>
      </c>
      <c r="F8796" t="s">
        <v>28326</v>
      </c>
      <c r="G8796" s="2" t="str">
        <f>HYPERLINK("https://probpalata.gov.ru/files/ИП500101632900001.jpeg","Скачать индивидуальный QR-код магазина")</f>
        <v>Скачать индивидуальный QR-код магазина</v>
      </c>
    </row>
    <row r="8797" spans="1:7" x14ac:dyDescent="0.25">
      <c r="A8797" t="s">
        <v>26937</v>
      </c>
      <c r="B8797" t="s">
        <v>28327</v>
      </c>
      <c r="C8797" t="s">
        <v>28328</v>
      </c>
      <c r="D8797" t="s">
        <v>28329</v>
      </c>
      <c r="E8797" t="s">
        <v>28330</v>
      </c>
      <c r="F8797" t="s">
        <v>28331</v>
      </c>
      <c r="G8797" s="2" t="str">
        <f>HYPERLINK("https://probpalata.gov.ru/files/ИП500103825700000.jpeg","Скачать индивидуальный QR-код магазина")</f>
        <v>Скачать индивидуальный QR-код магазина</v>
      </c>
    </row>
    <row r="8798" spans="1:7" x14ac:dyDescent="0.25">
      <c r="A8798" t="s">
        <v>26937</v>
      </c>
      <c r="B8798" t="s">
        <v>28332</v>
      </c>
      <c r="C8798" t="s">
        <v>28333</v>
      </c>
      <c r="D8798" t="s">
        <v>28334</v>
      </c>
      <c r="E8798" t="s">
        <v>28335</v>
      </c>
      <c r="F8798" t="s">
        <v>28336</v>
      </c>
      <c r="G8798" s="2" t="str">
        <f>HYPERLINK("https://probpalata.gov.ru/files/ИП500101666000000.jpeg","Скачать индивидуальный QR-код магазина")</f>
        <v>Скачать индивидуальный QR-код магазина</v>
      </c>
    </row>
    <row r="8799" spans="1:7" x14ac:dyDescent="0.25">
      <c r="A8799" t="s">
        <v>26937</v>
      </c>
      <c r="B8799" t="s">
        <v>28337</v>
      </c>
      <c r="C8799" t="s">
        <v>28338</v>
      </c>
      <c r="D8799" t="s">
        <v>28339</v>
      </c>
      <c r="E8799" t="s">
        <v>28340</v>
      </c>
      <c r="F8799" t="s">
        <v>28341</v>
      </c>
      <c r="G8799" s="2" t="str">
        <f>HYPERLINK("https://probpalata.gov.ru/files/ЮЛ500103056000000.jpeg","Скачать индивидуальный QR-код магазина")</f>
        <v>Скачать индивидуальный QR-код магазина</v>
      </c>
    </row>
    <row r="8800" spans="1:7" x14ac:dyDescent="0.25">
      <c r="A8800" t="s">
        <v>26937</v>
      </c>
      <c r="B8800" t="s">
        <v>28342</v>
      </c>
      <c r="C8800" t="s">
        <v>28343</v>
      </c>
      <c r="D8800" t="s">
        <v>28344</v>
      </c>
      <c r="E8800" t="s">
        <v>28345</v>
      </c>
      <c r="F8800" t="s">
        <v>28346</v>
      </c>
      <c r="G8800" s="2" t="str">
        <f>HYPERLINK("https://probpalata.gov.ru/files/ИП500101142400000.jpeg","Скачать индивидуальный QR-код магазина")</f>
        <v>Скачать индивидуальный QR-код магазина</v>
      </c>
    </row>
    <row r="8801" spans="1:7" x14ac:dyDescent="0.25">
      <c r="A8801" t="s">
        <v>26937</v>
      </c>
      <c r="B8801" t="s">
        <v>28347</v>
      </c>
      <c r="C8801" t="s">
        <v>28348</v>
      </c>
      <c r="D8801" t="s">
        <v>28349</v>
      </c>
      <c r="E8801" t="s">
        <v>28350</v>
      </c>
      <c r="F8801" t="s">
        <v>28351</v>
      </c>
      <c r="G8801" s="2" t="str">
        <f>HYPERLINK("https://probpalata.gov.ru/files/ИП500103464700000.jpeg","Скачать индивидуальный QR-код магазина")</f>
        <v>Скачать индивидуальный QR-код магазина</v>
      </c>
    </row>
    <row r="8802" spans="1:7" x14ac:dyDescent="0.25">
      <c r="A8802" t="s">
        <v>26937</v>
      </c>
      <c r="B8802" t="s">
        <v>28352</v>
      </c>
      <c r="C8802" t="s">
        <v>1735</v>
      </c>
      <c r="D8802" t="s">
        <v>1736</v>
      </c>
      <c r="E8802" t="s">
        <v>1737</v>
      </c>
      <c r="F8802" t="s">
        <v>28353</v>
      </c>
      <c r="G8802" s="2" t="str">
        <f>HYPERLINK("https://probpalata.gov.ru/files/ЮЛ520603376600045.jpeg","Скачать индивидуальный QR-код магазина")</f>
        <v>Скачать индивидуальный QR-код магазина</v>
      </c>
    </row>
    <row r="8803" spans="1:7" x14ac:dyDescent="0.25">
      <c r="A8803" t="s">
        <v>26937</v>
      </c>
      <c r="B8803" t="s">
        <v>28354</v>
      </c>
      <c r="C8803" t="s">
        <v>1735</v>
      </c>
      <c r="D8803" t="s">
        <v>1736</v>
      </c>
      <c r="E8803" t="s">
        <v>1737</v>
      </c>
      <c r="F8803" t="s">
        <v>28355</v>
      </c>
      <c r="G8803" s="2" t="str">
        <f>HYPERLINK("https://probpalata.gov.ru/files/ЮЛ520603376600056.jpeg","Скачать индивидуальный QR-код магазина")</f>
        <v>Скачать индивидуальный QR-код магазина</v>
      </c>
    </row>
    <row r="8804" spans="1:7" x14ac:dyDescent="0.25">
      <c r="A8804" t="s">
        <v>26937</v>
      </c>
      <c r="B8804" t="s">
        <v>28356</v>
      </c>
      <c r="C8804" t="s">
        <v>1735</v>
      </c>
      <c r="D8804" t="s">
        <v>1736</v>
      </c>
      <c r="E8804" t="s">
        <v>1737</v>
      </c>
      <c r="F8804" t="s">
        <v>28357</v>
      </c>
      <c r="G8804" s="2" t="str">
        <f>HYPERLINK("https://probpalata.gov.ru/files/ЮЛ520603376600076.jpeg","Скачать индивидуальный QR-код магазина")</f>
        <v>Скачать индивидуальный QR-код магазина</v>
      </c>
    </row>
    <row r="8805" spans="1:7" x14ac:dyDescent="0.25">
      <c r="A8805" t="s">
        <v>26937</v>
      </c>
      <c r="B8805" t="s">
        <v>28358</v>
      </c>
      <c r="C8805" t="s">
        <v>1735</v>
      </c>
      <c r="D8805" t="s">
        <v>1736</v>
      </c>
      <c r="E8805" t="s">
        <v>1737</v>
      </c>
      <c r="F8805" t="s">
        <v>28359</v>
      </c>
      <c r="G8805" s="2" t="str">
        <f>HYPERLINK("https://probpalata.gov.ru/files/ЮЛ520603376600105.jpeg","Скачать индивидуальный QR-код магазина")</f>
        <v>Скачать индивидуальный QR-код магазина</v>
      </c>
    </row>
    <row r="8806" spans="1:7" x14ac:dyDescent="0.25">
      <c r="A8806" t="s">
        <v>26937</v>
      </c>
      <c r="B8806" t="s">
        <v>28360</v>
      </c>
      <c r="C8806" t="s">
        <v>1735</v>
      </c>
      <c r="D8806" t="s">
        <v>1736</v>
      </c>
      <c r="E8806" t="s">
        <v>1737</v>
      </c>
      <c r="F8806" t="s">
        <v>28361</v>
      </c>
      <c r="G8806" s="2" t="str">
        <f>HYPERLINK("https://probpalata.gov.ru/files/ЮЛ520603376600138.jpeg","Скачать индивидуальный QR-код магазина")</f>
        <v>Скачать индивидуальный QR-код магазина</v>
      </c>
    </row>
    <row r="8807" spans="1:7" x14ac:dyDescent="0.25">
      <c r="A8807" t="s">
        <v>26937</v>
      </c>
      <c r="B8807" t="s">
        <v>28362</v>
      </c>
      <c r="C8807" t="s">
        <v>20350</v>
      </c>
      <c r="D8807" t="s">
        <v>20351</v>
      </c>
      <c r="E8807" t="s">
        <v>20352</v>
      </c>
      <c r="F8807" t="s">
        <v>28363</v>
      </c>
      <c r="G8807" s="2" t="str">
        <f>HYPERLINK("https://probpalata.gov.ru/files/ЮЛ520601352600016.jpeg","Скачать индивидуальный QR-код магазина")</f>
        <v>Скачать индивидуальный QR-код магазина</v>
      </c>
    </row>
    <row r="8808" spans="1:7" x14ac:dyDescent="0.25">
      <c r="A8808" t="s">
        <v>26937</v>
      </c>
      <c r="B8808" t="s">
        <v>28364</v>
      </c>
      <c r="C8808" t="s">
        <v>20350</v>
      </c>
      <c r="D8808" t="s">
        <v>20351</v>
      </c>
      <c r="E8808" t="s">
        <v>20352</v>
      </c>
      <c r="F8808" t="s">
        <v>28365</v>
      </c>
      <c r="G8808" s="2" t="str">
        <f>HYPERLINK("https://probpalata.gov.ru/files/ЮЛ520601352600018.jpeg","Скачать индивидуальный QR-код магазина")</f>
        <v>Скачать индивидуальный QR-код магазина</v>
      </c>
    </row>
    <row r="8809" spans="1:7" x14ac:dyDescent="0.25">
      <c r="A8809" t="s">
        <v>26937</v>
      </c>
      <c r="B8809" t="s">
        <v>28366</v>
      </c>
      <c r="C8809" t="s">
        <v>20350</v>
      </c>
      <c r="D8809" t="s">
        <v>20351</v>
      </c>
      <c r="E8809" t="s">
        <v>20352</v>
      </c>
      <c r="F8809" t="s">
        <v>28367</v>
      </c>
      <c r="G8809" s="2" t="str">
        <f>HYPERLINK("https://probpalata.gov.ru/files/ЮЛ520601352600020.jpeg","Скачать индивидуальный QR-код магазина")</f>
        <v>Скачать индивидуальный QR-код магазина</v>
      </c>
    </row>
    <row r="8810" spans="1:7" x14ac:dyDescent="0.25">
      <c r="A8810" t="s">
        <v>26937</v>
      </c>
      <c r="B8810" t="s">
        <v>28368</v>
      </c>
      <c r="C8810" t="s">
        <v>20350</v>
      </c>
      <c r="D8810" t="s">
        <v>20351</v>
      </c>
      <c r="E8810" t="s">
        <v>20352</v>
      </c>
      <c r="F8810" t="s">
        <v>28369</v>
      </c>
      <c r="G8810" s="2" t="str">
        <f>HYPERLINK("https://probpalata.gov.ru/files/ЮЛ520601352600028.jpeg","Скачать индивидуальный QR-код магазина")</f>
        <v>Скачать индивидуальный QR-код магазина</v>
      </c>
    </row>
    <row r="8811" spans="1:7" x14ac:dyDescent="0.25">
      <c r="A8811" t="s">
        <v>26937</v>
      </c>
      <c r="B8811" t="s">
        <v>28366</v>
      </c>
      <c r="C8811" t="s">
        <v>20350</v>
      </c>
      <c r="D8811" t="s">
        <v>20351</v>
      </c>
      <c r="E8811" t="s">
        <v>20352</v>
      </c>
      <c r="F8811" t="s">
        <v>28370</v>
      </c>
      <c r="G8811" s="2" t="str">
        <f>HYPERLINK("https://probpalata.gov.ru/files/ЮЛ520601352600033.jpeg","Скачать индивидуальный QR-код магазина")</f>
        <v>Скачать индивидуальный QR-код магазина</v>
      </c>
    </row>
    <row r="8812" spans="1:7" x14ac:dyDescent="0.25">
      <c r="A8812" t="s">
        <v>26937</v>
      </c>
      <c r="B8812" t="s">
        <v>28371</v>
      </c>
      <c r="C8812" t="s">
        <v>28372</v>
      </c>
      <c r="D8812" t="s">
        <v>28373</v>
      </c>
      <c r="E8812" t="s">
        <v>28374</v>
      </c>
      <c r="F8812" t="s">
        <v>28375</v>
      </c>
      <c r="G8812" s="2" t="str">
        <f>HYPERLINK("https://probpalata.gov.ru/files/ИП500101055700000.jpeg","Скачать индивидуальный QR-код магазина")</f>
        <v>Скачать индивидуальный QR-код магазина</v>
      </c>
    </row>
    <row r="8813" spans="1:7" x14ac:dyDescent="0.25">
      <c r="A8813" t="s">
        <v>26937</v>
      </c>
      <c r="B8813" t="s">
        <v>28376</v>
      </c>
      <c r="C8813" t="s">
        <v>28377</v>
      </c>
      <c r="D8813" t="s">
        <v>28378</v>
      </c>
      <c r="E8813" t="s">
        <v>28379</v>
      </c>
      <c r="F8813" t="s">
        <v>28380</v>
      </c>
      <c r="G8813" s="2" t="str">
        <f>HYPERLINK("https://probpalata.gov.ru/files/ИП500100372700000.jpeg","Скачать индивидуальный QR-код магазина")</f>
        <v>Скачать индивидуальный QR-код магазина</v>
      </c>
    </row>
    <row r="8814" spans="1:7" x14ac:dyDescent="0.25">
      <c r="A8814" t="s">
        <v>26937</v>
      </c>
      <c r="B8814" t="s">
        <v>28381</v>
      </c>
      <c r="C8814" t="s">
        <v>28377</v>
      </c>
      <c r="D8814" t="s">
        <v>28378</v>
      </c>
      <c r="E8814" t="s">
        <v>28379</v>
      </c>
      <c r="F8814" t="s">
        <v>28382</v>
      </c>
      <c r="G8814" s="2" t="str">
        <f>HYPERLINK("https://probpalata.gov.ru/files/ИП500100372700001.jpeg","Скачать индивидуальный QR-код магазина")</f>
        <v>Скачать индивидуальный QR-код магазина</v>
      </c>
    </row>
    <row r="8815" spans="1:7" x14ac:dyDescent="0.25">
      <c r="A8815" t="s">
        <v>26937</v>
      </c>
      <c r="B8815" t="s">
        <v>28383</v>
      </c>
      <c r="C8815" t="s">
        <v>28377</v>
      </c>
      <c r="D8815" t="s">
        <v>28378</v>
      </c>
      <c r="E8815" t="s">
        <v>28379</v>
      </c>
      <c r="F8815" t="s">
        <v>28384</v>
      </c>
      <c r="G8815" s="2" t="str">
        <f>HYPERLINK("https://probpalata.gov.ru/files/ИП500100372700005.jpeg","Скачать индивидуальный QR-код магазина")</f>
        <v>Скачать индивидуальный QR-код магазина</v>
      </c>
    </row>
    <row r="8816" spans="1:7" x14ac:dyDescent="0.25">
      <c r="A8816" t="s">
        <v>26937</v>
      </c>
      <c r="B8816" t="s">
        <v>28385</v>
      </c>
      <c r="C8816" t="s">
        <v>28377</v>
      </c>
      <c r="D8816" t="s">
        <v>28378</v>
      </c>
      <c r="E8816" t="s">
        <v>28379</v>
      </c>
      <c r="F8816" t="s">
        <v>28386</v>
      </c>
      <c r="G8816" s="2" t="str">
        <f>HYPERLINK("https://probpalata.gov.ru/files/ИП500100372700007.jpeg","Скачать индивидуальный QR-код магазина")</f>
        <v>Скачать индивидуальный QR-код магазина</v>
      </c>
    </row>
    <row r="8817" spans="1:7" x14ac:dyDescent="0.25">
      <c r="A8817" t="s">
        <v>26937</v>
      </c>
      <c r="B8817" t="s">
        <v>28387</v>
      </c>
      <c r="C8817" t="s">
        <v>3127</v>
      </c>
      <c r="D8817" t="s">
        <v>3128</v>
      </c>
      <c r="E8817" t="s">
        <v>3129</v>
      </c>
      <c r="F8817" t="s">
        <v>28388</v>
      </c>
      <c r="G8817" s="2" t="str">
        <f>HYPERLINK("https://probpalata.gov.ru/files/ИП500100388700000.jpeg","Скачать индивидуальный QR-код магазина")</f>
        <v>Скачать индивидуальный QR-код магазина</v>
      </c>
    </row>
    <row r="8818" spans="1:7" x14ac:dyDescent="0.25">
      <c r="A8818" t="s">
        <v>26937</v>
      </c>
      <c r="B8818" t="s">
        <v>28389</v>
      </c>
      <c r="C8818" t="s">
        <v>3127</v>
      </c>
      <c r="D8818" t="s">
        <v>3128</v>
      </c>
      <c r="E8818" t="s">
        <v>3129</v>
      </c>
      <c r="F8818" t="s">
        <v>28390</v>
      </c>
      <c r="G8818" s="2" t="str">
        <f>HYPERLINK("https://probpalata.gov.ru/files/ИП500100388700004.jpeg","Скачать индивидуальный QR-код магазина")</f>
        <v>Скачать индивидуальный QR-код магазина</v>
      </c>
    </row>
    <row r="8819" spans="1:7" x14ac:dyDescent="0.25">
      <c r="A8819" t="s">
        <v>26937</v>
      </c>
      <c r="B8819" t="s">
        <v>27615</v>
      </c>
      <c r="C8819" t="s">
        <v>3127</v>
      </c>
      <c r="D8819" t="s">
        <v>3128</v>
      </c>
      <c r="E8819" t="s">
        <v>3129</v>
      </c>
      <c r="F8819" t="s">
        <v>28391</v>
      </c>
      <c r="G8819" s="2" t="str">
        <f>HYPERLINK("https://probpalata.gov.ru/files/ИП500100388700005.jpeg","Скачать индивидуальный QR-код магазина")</f>
        <v>Скачать индивидуальный QR-код магазина</v>
      </c>
    </row>
    <row r="8820" spans="1:7" x14ac:dyDescent="0.25">
      <c r="A8820" t="s">
        <v>26937</v>
      </c>
      <c r="B8820" t="s">
        <v>28392</v>
      </c>
      <c r="C8820" t="s">
        <v>3127</v>
      </c>
      <c r="D8820" t="s">
        <v>3128</v>
      </c>
      <c r="E8820" t="s">
        <v>3129</v>
      </c>
      <c r="F8820" t="s">
        <v>28393</v>
      </c>
      <c r="G8820" s="2" t="str">
        <f>HYPERLINK("https://probpalata.gov.ru/files/ИП500100388700008.jpeg","Скачать индивидуальный QR-код магазина")</f>
        <v>Скачать индивидуальный QR-код магазина</v>
      </c>
    </row>
    <row r="8821" spans="1:7" x14ac:dyDescent="0.25">
      <c r="A8821" t="s">
        <v>26937</v>
      </c>
      <c r="B8821" t="s">
        <v>27651</v>
      </c>
      <c r="C8821" t="s">
        <v>3127</v>
      </c>
      <c r="D8821" t="s">
        <v>3128</v>
      </c>
      <c r="E8821" t="s">
        <v>3129</v>
      </c>
      <c r="F8821" t="s">
        <v>28394</v>
      </c>
      <c r="G8821" s="2" t="str">
        <f>HYPERLINK("https://probpalata.gov.ru/files/ИП500100388700009.jpeg","Скачать индивидуальный QR-код магазина")</f>
        <v>Скачать индивидуальный QR-код магазина</v>
      </c>
    </row>
    <row r="8822" spans="1:7" x14ac:dyDescent="0.25">
      <c r="A8822" t="s">
        <v>26937</v>
      </c>
      <c r="B8822" t="s">
        <v>28066</v>
      </c>
      <c r="C8822" t="s">
        <v>3127</v>
      </c>
      <c r="D8822" t="s">
        <v>3128</v>
      </c>
      <c r="E8822" t="s">
        <v>3129</v>
      </c>
      <c r="F8822" t="s">
        <v>28395</v>
      </c>
      <c r="G8822" s="2" t="str">
        <f>HYPERLINK("https://probpalata.gov.ru/files/ИП500100388700010.jpeg","Скачать индивидуальный QR-код магазина")</f>
        <v>Скачать индивидуальный QR-код магазина</v>
      </c>
    </row>
    <row r="8823" spans="1:7" x14ac:dyDescent="0.25">
      <c r="A8823" t="s">
        <v>26937</v>
      </c>
      <c r="B8823" t="s">
        <v>28396</v>
      </c>
      <c r="C8823" t="s">
        <v>3127</v>
      </c>
      <c r="D8823" t="s">
        <v>3128</v>
      </c>
      <c r="E8823" t="s">
        <v>3129</v>
      </c>
      <c r="F8823" t="s">
        <v>28397</v>
      </c>
      <c r="G8823" s="2" t="str">
        <f>HYPERLINK("https://probpalata.gov.ru/files/ИП500100388700011.jpeg","Скачать индивидуальный QR-код магазина")</f>
        <v>Скачать индивидуальный QR-код магазина</v>
      </c>
    </row>
    <row r="8824" spans="1:7" x14ac:dyDescent="0.25">
      <c r="A8824" t="s">
        <v>26937</v>
      </c>
      <c r="B8824" t="s">
        <v>27581</v>
      </c>
      <c r="C8824" t="s">
        <v>3127</v>
      </c>
      <c r="D8824" t="s">
        <v>3128</v>
      </c>
      <c r="E8824" t="s">
        <v>3129</v>
      </c>
      <c r="F8824" t="s">
        <v>28398</v>
      </c>
      <c r="G8824" s="2" t="str">
        <f>HYPERLINK("https://probpalata.gov.ru/files/ИП500100388700012.jpeg","Скачать индивидуальный QR-код магазина")</f>
        <v>Скачать индивидуальный QR-код магазина</v>
      </c>
    </row>
    <row r="8825" spans="1:7" x14ac:dyDescent="0.25">
      <c r="A8825" t="s">
        <v>26937</v>
      </c>
      <c r="B8825" t="s">
        <v>28399</v>
      </c>
      <c r="C8825" t="s">
        <v>703</v>
      </c>
      <c r="D8825" t="s">
        <v>704</v>
      </c>
      <c r="E8825" t="s">
        <v>705</v>
      </c>
      <c r="F8825" t="s">
        <v>28400</v>
      </c>
      <c r="G8825" s="2" t="str">
        <f>HYPERLINK("https://probpalata.gov.ru/files/ИП610400426600002.jpeg","Скачать индивидуальный QR-код магазина")</f>
        <v>Скачать индивидуальный QR-код магазина</v>
      </c>
    </row>
    <row r="8826" spans="1:7" x14ac:dyDescent="0.25">
      <c r="A8826" t="s">
        <v>26937</v>
      </c>
      <c r="B8826" t="s">
        <v>28401</v>
      </c>
      <c r="C8826" t="s">
        <v>703</v>
      </c>
      <c r="D8826" t="s">
        <v>704</v>
      </c>
      <c r="E8826" t="s">
        <v>705</v>
      </c>
      <c r="F8826" t="s">
        <v>28402</v>
      </c>
      <c r="G8826" s="2" t="str">
        <f>HYPERLINK("https://probpalata.gov.ru/files/ИП610400426600016.jpeg","Скачать индивидуальный QR-код магазина")</f>
        <v>Скачать индивидуальный QR-код магазина</v>
      </c>
    </row>
    <row r="8827" spans="1:7" x14ac:dyDescent="0.25">
      <c r="A8827" t="s">
        <v>26937</v>
      </c>
      <c r="B8827" t="s">
        <v>28403</v>
      </c>
      <c r="C8827" t="s">
        <v>703</v>
      </c>
      <c r="D8827" t="s">
        <v>704</v>
      </c>
      <c r="E8827" t="s">
        <v>705</v>
      </c>
      <c r="F8827" t="s">
        <v>28404</v>
      </c>
      <c r="G8827" s="2" t="str">
        <f>HYPERLINK("https://probpalata.gov.ru/files/ИП610400426600020.jpeg","Скачать индивидуальный QR-код магазина")</f>
        <v>Скачать индивидуальный QR-код магазина</v>
      </c>
    </row>
    <row r="8828" spans="1:7" x14ac:dyDescent="0.25">
      <c r="A8828" t="s">
        <v>26937</v>
      </c>
      <c r="B8828" t="s">
        <v>28405</v>
      </c>
      <c r="C8828" t="s">
        <v>703</v>
      </c>
      <c r="D8828" t="s">
        <v>704</v>
      </c>
      <c r="E8828" t="s">
        <v>705</v>
      </c>
      <c r="F8828" t="s">
        <v>28406</v>
      </c>
      <c r="G8828" s="2" t="str">
        <f>HYPERLINK("https://probpalata.gov.ru/files/ИП610400426600028.jpeg","Скачать индивидуальный QR-код магазина")</f>
        <v>Скачать индивидуальный QR-код магазина</v>
      </c>
    </row>
    <row r="8829" spans="1:7" x14ac:dyDescent="0.25">
      <c r="A8829" t="s">
        <v>26937</v>
      </c>
      <c r="B8829" t="s">
        <v>28407</v>
      </c>
      <c r="C8829" t="s">
        <v>703</v>
      </c>
      <c r="D8829" t="s">
        <v>704</v>
      </c>
      <c r="E8829" t="s">
        <v>705</v>
      </c>
      <c r="F8829" t="s">
        <v>28408</v>
      </c>
      <c r="G8829" s="2" t="str">
        <f>HYPERLINK("https://probpalata.gov.ru/files/ИП610400426600030.jpeg","Скачать индивидуальный QR-код магазина")</f>
        <v>Скачать индивидуальный QR-код магазина</v>
      </c>
    </row>
    <row r="8830" spans="1:7" x14ac:dyDescent="0.25">
      <c r="A8830" t="s">
        <v>26937</v>
      </c>
      <c r="B8830" t="s">
        <v>28409</v>
      </c>
      <c r="C8830" t="s">
        <v>28410</v>
      </c>
      <c r="D8830" t="s">
        <v>28411</v>
      </c>
      <c r="E8830" t="s">
        <v>28412</v>
      </c>
      <c r="F8830" t="s">
        <v>28413</v>
      </c>
      <c r="G8830" s="2" t="str">
        <f>HYPERLINK("https://probpalata.gov.ru/files/ИП500100602100000.jpeg","Скачать индивидуальный QR-код магазина")</f>
        <v>Скачать индивидуальный QR-код магазина</v>
      </c>
    </row>
    <row r="8831" spans="1:7" x14ac:dyDescent="0.25">
      <c r="A8831" t="s">
        <v>26937</v>
      </c>
      <c r="B8831" t="s">
        <v>28414</v>
      </c>
      <c r="C8831" t="s">
        <v>3133</v>
      </c>
      <c r="D8831" t="s">
        <v>3134</v>
      </c>
      <c r="E8831" t="s">
        <v>3135</v>
      </c>
      <c r="F8831" t="s">
        <v>28415</v>
      </c>
      <c r="G8831" s="2" t="str">
        <f>HYPERLINK("https://probpalata.gov.ru/files/ИП610401294100005.jpeg","Скачать индивидуальный QR-код магазина")</f>
        <v>Скачать индивидуальный QR-код магазина</v>
      </c>
    </row>
    <row r="8832" spans="1:7" x14ac:dyDescent="0.25">
      <c r="A8832" t="s">
        <v>26937</v>
      </c>
      <c r="B8832" t="s">
        <v>28416</v>
      </c>
      <c r="C8832" t="s">
        <v>3133</v>
      </c>
      <c r="D8832" t="s">
        <v>3134</v>
      </c>
      <c r="E8832" t="s">
        <v>3135</v>
      </c>
      <c r="F8832" t="s">
        <v>28417</v>
      </c>
      <c r="G8832" s="2" t="str">
        <f>HYPERLINK("https://probpalata.gov.ru/files/ИП610401294100006.jpeg","Скачать индивидуальный QR-код магазина")</f>
        <v>Скачать индивидуальный QR-код магазина</v>
      </c>
    </row>
    <row r="8833" spans="1:7" x14ac:dyDescent="0.25">
      <c r="A8833" t="s">
        <v>26937</v>
      </c>
      <c r="B8833" t="s">
        <v>28418</v>
      </c>
      <c r="C8833" t="s">
        <v>3133</v>
      </c>
      <c r="D8833" t="s">
        <v>3134</v>
      </c>
      <c r="E8833" t="s">
        <v>3135</v>
      </c>
      <c r="F8833" t="s">
        <v>28419</v>
      </c>
      <c r="G8833" s="2" t="str">
        <f>HYPERLINK("https://probpalata.gov.ru/files/ИП610401294100008.jpeg","Скачать индивидуальный QR-код магазина")</f>
        <v>Скачать индивидуальный QR-код магазина</v>
      </c>
    </row>
    <row r="8834" spans="1:7" x14ac:dyDescent="0.25">
      <c r="A8834" t="s">
        <v>26937</v>
      </c>
      <c r="B8834" t="s">
        <v>28420</v>
      </c>
      <c r="C8834" t="s">
        <v>3133</v>
      </c>
      <c r="D8834" t="s">
        <v>3134</v>
      </c>
      <c r="E8834" t="s">
        <v>3135</v>
      </c>
      <c r="F8834" t="s">
        <v>28421</v>
      </c>
      <c r="G8834" s="2" t="str">
        <f>HYPERLINK("https://probpalata.gov.ru/files/ИП610401294100015.jpeg","Скачать индивидуальный QR-код магазина")</f>
        <v>Скачать индивидуальный QR-код магазина</v>
      </c>
    </row>
    <row r="8835" spans="1:7" x14ac:dyDescent="0.25">
      <c r="A8835" t="s">
        <v>26937</v>
      </c>
      <c r="B8835" t="s">
        <v>28422</v>
      </c>
      <c r="C8835" t="s">
        <v>3133</v>
      </c>
      <c r="D8835" t="s">
        <v>3134</v>
      </c>
      <c r="E8835" t="s">
        <v>3135</v>
      </c>
      <c r="F8835" t="s">
        <v>28423</v>
      </c>
      <c r="G8835" s="2" t="str">
        <f>HYPERLINK("https://probpalata.gov.ru/files/ИП610401294100016.jpeg","Скачать индивидуальный QR-код магазина")</f>
        <v>Скачать индивидуальный QR-код магазина</v>
      </c>
    </row>
    <row r="8836" spans="1:7" x14ac:dyDescent="0.25">
      <c r="A8836" t="s">
        <v>26937</v>
      </c>
      <c r="B8836" t="s">
        <v>28424</v>
      </c>
      <c r="C8836" t="s">
        <v>3133</v>
      </c>
      <c r="D8836" t="s">
        <v>3134</v>
      </c>
      <c r="E8836" t="s">
        <v>3135</v>
      </c>
      <c r="F8836" t="s">
        <v>28425</v>
      </c>
      <c r="G8836" s="2" t="str">
        <f>HYPERLINK("https://probpalata.gov.ru/files/ИП610401294100018.jpeg","Скачать индивидуальный QR-код магазина")</f>
        <v>Скачать индивидуальный QR-код магазина</v>
      </c>
    </row>
    <row r="8837" spans="1:7" x14ac:dyDescent="0.25">
      <c r="A8837" t="s">
        <v>26937</v>
      </c>
      <c r="B8837" t="s">
        <v>28426</v>
      </c>
      <c r="C8837" t="s">
        <v>3133</v>
      </c>
      <c r="D8837" t="s">
        <v>3134</v>
      </c>
      <c r="E8837" t="s">
        <v>3135</v>
      </c>
      <c r="F8837" t="s">
        <v>28427</v>
      </c>
      <c r="G8837" s="2" t="str">
        <f>HYPERLINK("https://probpalata.gov.ru/files/ИП610401294100022.jpeg","Скачать индивидуальный QR-код магазина")</f>
        <v>Скачать индивидуальный QR-код магазина</v>
      </c>
    </row>
    <row r="8838" spans="1:7" x14ac:dyDescent="0.25">
      <c r="A8838" t="s">
        <v>26937</v>
      </c>
      <c r="B8838" t="s">
        <v>28428</v>
      </c>
      <c r="C8838" t="s">
        <v>3133</v>
      </c>
      <c r="D8838" t="s">
        <v>3134</v>
      </c>
      <c r="E8838" t="s">
        <v>3135</v>
      </c>
      <c r="F8838" t="s">
        <v>28429</v>
      </c>
      <c r="G8838" s="2" t="str">
        <f>HYPERLINK("https://probpalata.gov.ru/files/ИП610401294100028.jpeg","Скачать индивидуальный QR-код магазина")</f>
        <v>Скачать индивидуальный QR-код магазина</v>
      </c>
    </row>
    <row r="8839" spans="1:7" x14ac:dyDescent="0.25">
      <c r="A8839" t="s">
        <v>26937</v>
      </c>
      <c r="B8839" t="s">
        <v>28430</v>
      </c>
      <c r="C8839" t="s">
        <v>3133</v>
      </c>
      <c r="D8839" t="s">
        <v>3134</v>
      </c>
      <c r="E8839" t="s">
        <v>3135</v>
      </c>
      <c r="F8839" t="s">
        <v>28431</v>
      </c>
      <c r="G8839" s="2" t="str">
        <f>HYPERLINK("https://probpalata.gov.ru/files/ИП610401294100031.jpeg","Скачать индивидуальный QR-код магазина")</f>
        <v>Скачать индивидуальный QR-код магазина</v>
      </c>
    </row>
    <row r="8840" spans="1:7" x14ac:dyDescent="0.25">
      <c r="A8840" t="s">
        <v>26937</v>
      </c>
      <c r="B8840" t="s">
        <v>28432</v>
      </c>
      <c r="C8840" t="s">
        <v>3133</v>
      </c>
      <c r="D8840" t="s">
        <v>3134</v>
      </c>
      <c r="E8840" t="s">
        <v>3135</v>
      </c>
      <c r="F8840" t="s">
        <v>28433</v>
      </c>
      <c r="G8840" s="2" t="str">
        <f>HYPERLINK("https://probpalata.gov.ru/files/ИП610401294100032.jpeg","Скачать индивидуальный QR-код магазина")</f>
        <v>Скачать индивидуальный QR-код магазина</v>
      </c>
    </row>
    <row r="8841" spans="1:7" x14ac:dyDescent="0.25">
      <c r="A8841" t="s">
        <v>26937</v>
      </c>
      <c r="B8841" t="s">
        <v>28434</v>
      </c>
      <c r="C8841" t="s">
        <v>3133</v>
      </c>
      <c r="D8841" t="s">
        <v>3134</v>
      </c>
      <c r="E8841" t="s">
        <v>3135</v>
      </c>
      <c r="F8841" t="s">
        <v>28435</v>
      </c>
      <c r="G8841" s="2" t="str">
        <f>HYPERLINK("https://probpalata.gov.ru/files/ИП610401294100033.jpeg","Скачать индивидуальный QR-код магазина")</f>
        <v>Скачать индивидуальный QR-код магазина</v>
      </c>
    </row>
    <row r="8842" spans="1:7" x14ac:dyDescent="0.25">
      <c r="A8842" t="s">
        <v>26937</v>
      </c>
      <c r="B8842" t="s">
        <v>28436</v>
      </c>
      <c r="C8842" t="s">
        <v>3133</v>
      </c>
      <c r="D8842" t="s">
        <v>3134</v>
      </c>
      <c r="E8842" t="s">
        <v>3135</v>
      </c>
      <c r="F8842" t="s">
        <v>28437</v>
      </c>
      <c r="G8842" s="2" t="str">
        <f>HYPERLINK("https://probpalata.gov.ru/files/ИП610401294100034.jpeg","Скачать индивидуальный QR-код магазина")</f>
        <v>Скачать индивидуальный QR-код магазина</v>
      </c>
    </row>
    <row r="8843" spans="1:7" x14ac:dyDescent="0.25">
      <c r="A8843" t="s">
        <v>26937</v>
      </c>
      <c r="B8843" t="s">
        <v>28438</v>
      </c>
      <c r="C8843" t="s">
        <v>3133</v>
      </c>
      <c r="D8843" t="s">
        <v>3134</v>
      </c>
      <c r="E8843" t="s">
        <v>3135</v>
      </c>
      <c r="F8843" t="s">
        <v>28439</v>
      </c>
      <c r="G8843" s="2" t="str">
        <f>HYPERLINK("https://probpalata.gov.ru/files/ИП610401294100035.jpeg","Скачать индивидуальный QR-код магазина")</f>
        <v>Скачать индивидуальный QR-код магазина</v>
      </c>
    </row>
    <row r="8844" spans="1:7" x14ac:dyDescent="0.25">
      <c r="A8844" t="s">
        <v>26937</v>
      </c>
      <c r="B8844" t="s">
        <v>28440</v>
      </c>
      <c r="C8844" t="s">
        <v>3133</v>
      </c>
      <c r="D8844" t="s">
        <v>3134</v>
      </c>
      <c r="E8844" t="s">
        <v>3135</v>
      </c>
      <c r="F8844" t="s">
        <v>28441</v>
      </c>
      <c r="G8844" s="2" t="str">
        <f>HYPERLINK("https://probpalata.gov.ru/files/ИП610401294100036.jpeg","Скачать индивидуальный QR-код магазина")</f>
        <v>Скачать индивидуальный QR-код магазина</v>
      </c>
    </row>
    <row r="8845" spans="1:7" x14ac:dyDescent="0.25">
      <c r="A8845" t="s">
        <v>26937</v>
      </c>
      <c r="B8845" t="s">
        <v>28442</v>
      </c>
      <c r="C8845" t="s">
        <v>3133</v>
      </c>
      <c r="D8845" t="s">
        <v>3134</v>
      </c>
      <c r="E8845" t="s">
        <v>3135</v>
      </c>
      <c r="F8845" t="s">
        <v>28443</v>
      </c>
      <c r="G8845" s="2" t="str">
        <f>HYPERLINK("https://probpalata.gov.ru/files/ИП610401294100040.jpeg","Скачать индивидуальный QR-код магазина")</f>
        <v>Скачать индивидуальный QR-код магазина</v>
      </c>
    </row>
    <row r="8846" spans="1:7" x14ac:dyDescent="0.25">
      <c r="A8846" t="s">
        <v>26937</v>
      </c>
      <c r="B8846" t="s">
        <v>28444</v>
      </c>
      <c r="C8846" t="s">
        <v>3133</v>
      </c>
      <c r="D8846" t="s">
        <v>3134</v>
      </c>
      <c r="E8846" t="s">
        <v>3135</v>
      </c>
      <c r="F8846" t="s">
        <v>28445</v>
      </c>
      <c r="G8846" s="2" t="str">
        <f>HYPERLINK("https://probpalata.gov.ru/files/ИП610401294100044.jpeg","Скачать индивидуальный QR-код магазина")</f>
        <v>Скачать индивидуальный QR-код магазина</v>
      </c>
    </row>
    <row r="8847" spans="1:7" x14ac:dyDescent="0.25">
      <c r="A8847" t="s">
        <v>26937</v>
      </c>
      <c r="B8847" t="s">
        <v>28446</v>
      </c>
      <c r="C8847" t="s">
        <v>20544</v>
      </c>
      <c r="D8847" t="s">
        <v>20545</v>
      </c>
      <c r="E8847" t="s">
        <v>20546</v>
      </c>
      <c r="F8847" t="s">
        <v>28447</v>
      </c>
      <c r="G8847" s="2" t="str">
        <f>HYPERLINK("https://probpalata.gov.ru/files/ИП620100530500002.jpeg","Скачать индивидуальный QR-код магазина")</f>
        <v>Скачать индивидуальный QR-код магазина</v>
      </c>
    </row>
    <row r="8848" spans="1:7" x14ac:dyDescent="0.25">
      <c r="A8848" t="s">
        <v>26937</v>
      </c>
      <c r="B8848" t="s">
        <v>28448</v>
      </c>
      <c r="C8848" t="s">
        <v>20544</v>
      </c>
      <c r="D8848" t="s">
        <v>20545</v>
      </c>
      <c r="E8848" t="s">
        <v>20546</v>
      </c>
      <c r="F8848" t="s">
        <v>28449</v>
      </c>
      <c r="G8848" s="2" t="str">
        <f>HYPERLINK("https://probpalata.gov.ru/files/ИП620100530500006.jpeg","Скачать индивидуальный QR-код магазина")</f>
        <v>Скачать индивидуальный QR-код магазина</v>
      </c>
    </row>
    <row r="8849" spans="1:7" x14ac:dyDescent="0.25">
      <c r="A8849" t="s">
        <v>26937</v>
      </c>
      <c r="B8849" t="s">
        <v>28450</v>
      </c>
      <c r="C8849" t="s">
        <v>20544</v>
      </c>
      <c r="D8849" t="s">
        <v>20545</v>
      </c>
      <c r="E8849" t="s">
        <v>20546</v>
      </c>
      <c r="F8849" t="s">
        <v>28451</v>
      </c>
      <c r="G8849" s="2" t="str">
        <f>HYPERLINK("https://probpalata.gov.ru/files/ИП620100530500012.jpeg","Скачать индивидуальный QR-код магазина")</f>
        <v>Скачать индивидуальный QR-код магазина</v>
      </c>
    </row>
    <row r="8850" spans="1:7" x14ac:dyDescent="0.25">
      <c r="A8850" t="s">
        <v>26937</v>
      </c>
      <c r="B8850" t="s">
        <v>28452</v>
      </c>
      <c r="C8850" t="s">
        <v>2197</v>
      </c>
      <c r="D8850" t="s">
        <v>2198</v>
      </c>
      <c r="E8850" t="s">
        <v>2199</v>
      </c>
      <c r="F8850" t="s">
        <v>28453</v>
      </c>
      <c r="G8850" s="2" t="str">
        <f>HYPERLINK("https://probpalata.gov.ru/files/ИП630601425400047.jpeg","Скачать индивидуальный QR-код магазина")</f>
        <v>Скачать индивидуальный QR-код магазина</v>
      </c>
    </row>
    <row r="8851" spans="1:7" x14ac:dyDescent="0.25">
      <c r="A8851" t="s">
        <v>26937</v>
      </c>
      <c r="B8851" t="s">
        <v>28454</v>
      </c>
      <c r="C8851" t="s">
        <v>20575</v>
      </c>
      <c r="D8851" t="s">
        <v>20576</v>
      </c>
      <c r="E8851" t="s">
        <v>20577</v>
      </c>
      <c r="F8851" t="s">
        <v>28455</v>
      </c>
      <c r="G8851" s="2" t="str">
        <f>HYPERLINK("https://probpalata.gov.ru/files/ЮЛ630600190100008.jpeg","Скачать индивидуальный QR-код магазина")</f>
        <v>Скачать индивидуальный QR-код магазина</v>
      </c>
    </row>
    <row r="8852" spans="1:7" x14ac:dyDescent="0.25">
      <c r="A8852" t="s">
        <v>26937</v>
      </c>
      <c r="B8852" t="s">
        <v>28456</v>
      </c>
      <c r="C8852" t="s">
        <v>20575</v>
      </c>
      <c r="D8852" t="s">
        <v>20576</v>
      </c>
      <c r="E8852" t="s">
        <v>20577</v>
      </c>
      <c r="F8852" t="s">
        <v>28457</v>
      </c>
      <c r="G8852" s="2" t="str">
        <f>HYPERLINK("https://probpalata.gov.ru/files/ЮЛ630600190100009.jpeg","Скачать индивидуальный QR-код магазина")</f>
        <v>Скачать индивидуальный QR-код магазина</v>
      </c>
    </row>
    <row r="8853" spans="1:7" x14ac:dyDescent="0.25">
      <c r="A8853" t="s">
        <v>26937</v>
      </c>
      <c r="B8853" t="s">
        <v>28458</v>
      </c>
      <c r="C8853" t="s">
        <v>2204</v>
      </c>
      <c r="D8853" t="s">
        <v>2205</v>
      </c>
      <c r="E8853" t="s">
        <v>2206</v>
      </c>
      <c r="F8853" t="s">
        <v>28459</v>
      </c>
      <c r="G8853" s="2" t="str">
        <f>HYPERLINK("https://probpalata.gov.ru/files/ЮЛ630603037200074.jpeg","Скачать индивидуальный QR-код магазина")</f>
        <v>Скачать индивидуальный QR-код магазина</v>
      </c>
    </row>
    <row r="8854" spans="1:7" x14ac:dyDescent="0.25">
      <c r="A8854" t="s">
        <v>26937</v>
      </c>
      <c r="B8854" t="s">
        <v>27750</v>
      </c>
      <c r="C8854" t="s">
        <v>2204</v>
      </c>
      <c r="D8854" t="s">
        <v>2205</v>
      </c>
      <c r="E8854" t="s">
        <v>2206</v>
      </c>
      <c r="F8854" t="s">
        <v>28460</v>
      </c>
      <c r="G8854" s="2" t="str">
        <f>HYPERLINK("https://probpalata.gov.ru/files/ЮЛ630603037200100.jpeg","Скачать индивидуальный QR-код магазина")</f>
        <v>Скачать индивидуальный QR-код магазина</v>
      </c>
    </row>
    <row r="8855" spans="1:7" x14ac:dyDescent="0.25">
      <c r="A8855" t="s">
        <v>26937</v>
      </c>
      <c r="B8855" t="s">
        <v>28461</v>
      </c>
      <c r="C8855" t="s">
        <v>20671</v>
      </c>
      <c r="D8855" t="s">
        <v>20672</v>
      </c>
      <c r="E8855" t="s">
        <v>20673</v>
      </c>
      <c r="F8855" t="s">
        <v>28462</v>
      </c>
      <c r="G8855" s="2" t="str">
        <f>HYPERLINK("https://probpalata.gov.ru/files/ИП640600464600000.jpeg","Скачать индивидуальный QR-код магазина")</f>
        <v>Скачать индивидуальный QR-код магазина</v>
      </c>
    </row>
    <row r="8856" spans="1:7" x14ac:dyDescent="0.25">
      <c r="A8856" t="s">
        <v>26937</v>
      </c>
      <c r="B8856" t="s">
        <v>28463</v>
      </c>
      <c r="C8856" t="s">
        <v>20671</v>
      </c>
      <c r="D8856" t="s">
        <v>20672</v>
      </c>
      <c r="E8856" t="s">
        <v>20673</v>
      </c>
      <c r="F8856" t="s">
        <v>28464</v>
      </c>
      <c r="G8856" s="2" t="str">
        <f>HYPERLINK("https://probpalata.gov.ru/files/ИП640600464600009.jpeg","Скачать индивидуальный QR-код магазина")</f>
        <v>Скачать индивидуальный QR-код магазина</v>
      </c>
    </row>
    <row r="8857" spans="1:7" x14ac:dyDescent="0.25">
      <c r="A8857" t="s">
        <v>26937</v>
      </c>
      <c r="B8857" t="s">
        <v>28465</v>
      </c>
      <c r="C8857" t="s">
        <v>28466</v>
      </c>
      <c r="D8857" t="s">
        <v>28467</v>
      </c>
      <c r="E8857" t="s">
        <v>28468</v>
      </c>
      <c r="F8857" t="s">
        <v>28469</v>
      </c>
      <c r="G8857" s="2" t="str">
        <f>HYPERLINK("https://probpalata.gov.ru/files/ИП660704087000000.jpeg","Скачать индивидуальный QR-код магазина")</f>
        <v>Скачать индивидуальный QR-код магазина</v>
      </c>
    </row>
    <row r="8858" spans="1:7" x14ac:dyDescent="0.25">
      <c r="A8858" t="s">
        <v>26937</v>
      </c>
      <c r="B8858" t="s">
        <v>28470</v>
      </c>
      <c r="C8858" t="s">
        <v>28471</v>
      </c>
      <c r="D8858" t="s">
        <v>28472</v>
      </c>
      <c r="E8858" t="s">
        <v>28473</v>
      </c>
      <c r="F8858" t="s">
        <v>28474</v>
      </c>
      <c r="G8858" s="2" t="str">
        <f>HYPERLINK("https://probpalata.gov.ru/files/ЮЛ660701581400000.jpeg","Скачать индивидуальный QR-код магазина")</f>
        <v>Скачать индивидуальный QR-код магазина</v>
      </c>
    </row>
    <row r="8859" spans="1:7" x14ac:dyDescent="0.25">
      <c r="A8859" t="s">
        <v>26937</v>
      </c>
      <c r="B8859" t="s">
        <v>28475</v>
      </c>
      <c r="C8859" t="s">
        <v>28476</v>
      </c>
      <c r="D8859" t="s">
        <v>28477</v>
      </c>
      <c r="E8859" t="s">
        <v>28478</v>
      </c>
      <c r="F8859" t="s">
        <v>28479</v>
      </c>
      <c r="G8859" s="2" t="str">
        <f>HYPERLINK("https://probpalata.gov.ru/files/ИП660701844400000.jpeg","Скачать индивидуальный QR-код магазина")</f>
        <v>Скачать индивидуальный QR-код магазина</v>
      </c>
    </row>
    <row r="8860" spans="1:7" x14ac:dyDescent="0.25">
      <c r="A8860" t="s">
        <v>26937</v>
      </c>
      <c r="B8860" t="s">
        <v>28480</v>
      </c>
      <c r="C8860" t="s">
        <v>28481</v>
      </c>
      <c r="D8860" t="s">
        <v>28482</v>
      </c>
      <c r="E8860" t="s">
        <v>28483</v>
      </c>
      <c r="F8860" t="s">
        <v>28484</v>
      </c>
      <c r="G8860" s="2" t="str">
        <f>HYPERLINK("https://probpalata.gov.ru/files/ИП670100585200002.jpeg","Скачать индивидуальный QR-код магазина")</f>
        <v>Скачать индивидуальный QR-код магазина</v>
      </c>
    </row>
    <row r="8861" spans="1:7" x14ac:dyDescent="0.25">
      <c r="A8861" t="s">
        <v>26937</v>
      </c>
      <c r="B8861" t="s">
        <v>28485</v>
      </c>
      <c r="C8861" t="s">
        <v>28486</v>
      </c>
      <c r="D8861" t="s">
        <v>28487</v>
      </c>
      <c r="E8861" t="s">
        <v>28488</v>
      </c>
      <c r="F8861" t="s">
        <v>28489</v>
      </c>
      <c r="G8861" s="2" t="str">
        <f>HYPERLINK("https://probpalata.gov.ru/files/ИП670103700100000.jpeg","Скачать индивидуальный QR-код магазина")</f>
        <v>Скачать индивидуальный QR-код магазина</v>
      </c>
    </row>
    <row r="8862" spans="1:7" x14ac:dyDescent="0.25">
      <c r="A8862" t="s">
        <v>26937</v>
      </c>
      <c r="B8862" t="s">
        <v>28490</v>
      </c>
      <c r="C8862" t="s">
        <v>28486</v>
      </c>
      <c r="D8862" t="s">
        <v>28487</v>
      </c>
      <c r="E8862" t="s">
        <v>28488</v>
      </c>
      <c r="F8862" t="s">
        <v>28491</v>
      </c>
      <c r="G8862" s="2" t="str">
        <f>HYPERLINK("https://probpalata.gov.ru/files/ИП670103700100001.jpeg","Скачать индивидуальный QR-код магазина")</f>
        <v>Скачать индивидуальный QR-код магазина</v>
      </c>
    </row>
    <row r="8863" spans="1:7" x14ac:dyDescent="0.25">
      <c r="A8863" t="s">
        <v>26937</v>
      </c>
      <c r="B8863" t="s">
        <v>28492</v>
      </c>
      <c r="C8863" t="s">
        <v>28486</v>
      </c>
      <c r="D8863" t="s">
        <v>28487</v>
      </c>
      <c r="E8863" t="s">
        <v>28488</v>
      </c>
      <c r="F8863" t="s">
        <v>28493</v>
      </c>
      <c r="G8863" s="2" t="str">
        <f>HYPERLINK("https://probpalata.gov.ru/files/ИП670103700100002.jpeg","Скачать индивидуальный QR-код магазина")</f>
        <v>Скачать индивидуальный QR-код магазина</v>
      </c>
    </row>
    <row r="8864" spans="1:7" x14ac:dyDescent="0.25">
      <c r="A8864" t="s">
        <v>26937</v>
      </c>
      <c r="B8864" t="s">
        <v>28494</v>
      </c>
      <c r="C8864" t="s">
        <v>28486</v>
      </c>
      <c r="D8864" t="s">
        <v>28487</v>
      </c>
      <c r="E8864" t="s">
        <v>28488</v>
      </c>
      <c r="F8864" t="s">
        <v>28495</v>
      </c>
      <c r="G8864" s="2" t="str">
        <f>HYPERLINK("https://probpalata.gov.ru/files/ИП670103700100003.jpeg","Скачать индивидуальный QR-код магазина")</f>
        <v>Скачать индивидуальный QR-код магазина</v>
      </c>
    </row>
    <row r="8865" spans="1:7" x14ac:dyDescent="0.25">
      <c r="A8865" t="s">
        <v>26937</v>
      </c>
      <c r="B8865" t="s">
        <v>28496</v>
      </c>
      <c r="C8865" t="s">
        <v>28486</v>
      </c>
      <c r="D8865" t="s">
        <v>28487</v>
      </c>
      <c r="E8865" t="s">
        <v>28488</v>
      </c>
      <c r="F8865" t="s">
        <v>28497</v>
      </c>
      <c r="G8865" s="2" t="str">
        <f>HYPERLINK("https://probpalata.gov.ru/files/ИП670103700100004.jpeg","Скачать индивидуальный QR-код магазина")</f>
        <v>Скачать индивидуальный QR-код магазина</v>
      </c>
    </row>
    <row r="8866" spans="1:7" x14ac:dyDescent="0.25">
      <c r="A8866" t="s">
        <v>26937</v>
      </c>
      <c r="B8866" t="s">
        <v>28498</v>
      </c>
      <c r="C8866" t="s">
        <v>16760</v>
      </c>
      <c r="D8866" t="s">
        <v>16761</v>
      </c>
      <c r="E8866" t="s">
        <v>16762</v>
      </c>
      <c r="F8866" t="s">
        <v>28499</v>
      </c>
      <c r="G8866" s="2" t="str">
        <f>HYPERLINK("https://probpalata.gov.ru/files/ИП700801161100006.jpeg","Скачать индивидуальный QR-код магазина")</f>
        <v>Скачать индивидуальный QR-код магазина</v>
      </c>
    </row>
    <row r="8867" spans="1:7" x14ac:dyDescent="0.25">
      <c r="A8867" t="s">
        <v>26937</v>
      </c>
      <c r="B8867" t="s">
        <v>28500</v>
      </c>
      <c r="C8867" t="s">
        <v>16760</v>
      </c>
      <c r="D8867" t="s">
        <v>16761</v>
      </c>
      <c r="E8867" t="s">
        <v>16762</v>
      </c>
      <c r="F8867" t="s">
        <v>28501</v>
      </c>
      <c r="G8867" s="2" t="str">
        <f>HYPERLINK("https://probpalata.gov.ru/files/ИП700801161100007.jpeg","Скачать индивидуальный QR-код магазина")</f>
        <v>Скачать индивидуальный QR-код магазина</v>
      </c>
    </row>
    <row r="8868" spans="1:7" x14ac:dyDescent="0.25">
      <c r="A8868" t="s">
        <v>26937</v>
      </c>
      <c r="B8868" t="s">
        <v>28502</v>
      </c>
      <c r="C8868" t="s">
        <v>28503</v>
      </c>
      <c r="D8868" t="s">
        <v>28504</v>
      </c>
      <c r="E8868" t="s">
        <v>28505</v>
      </c>
      <c r="F8868" t="s">
        <v>28506</v>
      </c>
      <c r="G8868" s="2" t="str">
        <f>HYPERLINK("https://probpalata.gov.ru/files/ИП500100085300000.jpeg","Скачать индивидуальный QR-код магазина")</f>
        <v>Скачать индивидуальный QR-код магазина</v>
      </c>
    </row>
    <row r="8869" spans="1:7" x14ac:dyDescent="0.25">
      <c r="A8869" t="s">
        <v>26937</v>
      </c>
      <c r="B8869" t="s">
        <v>28507</v>
      </c>
      <c r="C8869" t="s">
        <v>28503</v>
      </c>
      <c r="D8869" t="s">
        <v>28504</v>
      </c>
      <c r="E8869" t="s">
        <v>28505</v>
      </c>
      <c r="F8869" t="s">
        <v>28508</v>
      </c>
      <c r="G8869" s="2" t="str">
        <f>HYPERLINK("https://probpalata.gov.ru/files/ИП500100085300004.jpeg","Скачать индивидуальный QR-код магазина")</f>
        <v>Скачать индивидуальный QR-код магазина</v>
      </c>
    </row>
    <row r="8870" spans="1:7" x14ac:dyDescent="0.25">
      <c r="A8870" t="s">
        <v>26937</v>
      </c>
      <c r="B8870" t="s">
        <v>28509</v>
      </c>
      <c r="C8870" t="s">
        <v>28503</v>
      </c>
      <c r="D8870" t="s">
        <v>28504</v>
      </c>
      <c r="E8870" t="s">
        <v>28505</v>
      </c>
      <c r="F8870" t="s">
        <v>28510</v>
      </c>
      <c r="G8870" s="2" t="str">
        <f>HYPERLINK("https://probpalata.gov.ru/files/ИП500100085300006.jpeg","Скачать индивидуальный QR-код магазина")</f>
        <v>Скачать индивидуальный QR-код магазина</v>
      </c>
    </row>
    <row r="8871" spans="1:7" x14ac:dyDescent="0.25">
      <c r="A8871" t="s">
        <v>26937</v>
      </c>
      <c r="B8871" t="s">
        <v>28511</v>
      </c>
      <c r="C8871" t="s">
        <v>28503</v>
      </c>
      <c r="D8871" t="s">
        <v>28504</v>
      </c>
      <c r="E8871" t="s">
        <v>28505</v>
      </c>
      <c r="F8871" t="s">
        <v>28512</v>
      </c>
      <c r="G8871" s="2" t="str">
        <f>HYPERLINK("https://probpalata.gov.ru/files/ИП500100085300008.jpeg","Скачать индивидуальный QR-код магазина")</f>
        <v>Скачать индивидуальный QR-код магазина</v>
      </c>
    </row>
    <row r="8872" spans="1:7" x14ac:dyDescent="0.25">
      <c r="A8872" t="s">
        <v>26937</v>
      </c>
      <c r="B8872" t="s">
        <v>28513</v>
      </c>
      <c r="C8872" t="s">
        <v>28503</v>
      </c>
      <c r="D8872" t="s">
        <v>28504</v>
      </c>
      <c r="E8872" t="s">
        <v>28505</v>
      </c>
      <c r="F8872" t="s">
        <v>28514</v>
      </c>
      <c r="G8872" s="2" t="str">
        <f>HYPERLINK("https://probpalata.gov.ru/files/ИП500100085300009.jpeg","Скачать индивидуальный QR-код магазина")</f>
        <v>Скачать индивидуальный QR-код магазина</v>
      </c>
    </row>
    <row r="8873" spans="1:7" x14ac:dyDescent="0.25">
      <c r="A8873" t="s">
        <v>26937</v>
      </c>
      <c r="B8873" t="s">
        <v>28515</v>
      </c>
      <c r="C8873" t="s">
        <v>28503</v>
      </c>
      <c r="D8873" t="s">
        <v>28504</v>
      </c>
      <c r="E8873" t="s">
        <v>28505</v>
      </c>
      <c r="F8873" t="s">
        <v>28516</v>
      </c>
      <c r="G8873" s="2" t="str">
        <f>HYPERLINK("https://probpalata.gov.ru/files/ИП500100085300011.jpeg","Скачать индивидуальный QR-код магазина")</f>
        <v>Скачать индивидуальный QR-код магазина</v>
      </c>
    </row>
    <row r="8874" spans="1:7" x14ac:dyDescent="0.25">
      <c r="A8874" t="s">
        <v>26937</v>
      </c>
      <c r="B8874" t="s">
        <v>28517</v>
      </c>
      <c r="C8874" t="s">
        <v>28518</v>
      </c>
      <c r="D8874" t="s">
        <v>28519</v>
      </c>
      <c r="E8874" t="s">
        <v>28520</v>
      </c>
      <c r="F8874" t="s">
        <v>28521</v>
      </c>
      <c r="G8874" s="2" t="str">
        <f>HYPERLINK("https://probpalata.gov.ru/files/ИП710100489000000.jpeg","Скачать индивидуальный QR-код магазина")</f>
        <v>Скачать индивидуальный QR-код магазина</v>
      </c>
    </row>
    <row r="8875" spans="1:7" x14ac:dyDescent="0.25">
      <c r="A8875" t="s">
        <v>26937</v>
      </c>
      <c r="B8875" t="s">
        <v>28522</v>
      </c>
      <c r="C8875" t="s">
        <v>20941</v>
      </c>
      <c r="D8875" t="s">
        <v>20942</v>
      </c>
      <c r="E8875" t="s">
        <v>20943</v>
      </c>
      <c r="F8875" t="s">
        <v>28523</v>
      </c>
      <c r="G8875" s="2" t="str">
        <f>HYPERLINK("https://probpalata.gov.ru/files/ИП770101973600005.jpeg","Скачать индивидуальный QR-код магазина")</f>
        <v>Скачать индивидуальный QR-код магазина</v>
      </c>
    </row>
    <row r="8876" spans="1:7" x14ac:dyDescent="0.25">
      <c r="A8876" t="s">
        <v>26937</v>
      </c>
      <c r="B8876" t="s">
        <v>28524</v>
      </c>
      <c r="C8876" t="s">
        <v>20941</v>
      </c>
      <c r="D8876" t="s">
        <v>20942</v>
      </c>
      <c r="E8876" t="s">
        <v>20943</v>
      </c>
      <c r="F8876" t="s">
        <v>28525</v>
      </c>
      <c r="G8876" s="2" t="str">
        <f>HYPERLINK("https://probpalata.gov.ru/files/ИП770101973600006.jpeg","Скачать индивидуальный QR-код магазина")</f>
        <v>Скачать индивидуальный QR-код магазина</v>
      </c>
    </row>
    <row r="8877" spans="1:7" x14ac:dyDescent="0.25">
      <c r="A8877" t="s">
        <v>26937</v>
      </c>
      <c r="B8877" t="s">
        <v>28526</v>
      </c>
      <c r="C8877" t="s">
        <v>1745</v>
      </c>
      <c r="D8877" t="s">
        <v>1746</v>
      </c>
      <c r="E8877" t="s">
        <v>1747</v>
      </c>
      <c r="F8877" t="s">
        <v>28527</v>
      </c>
      <c r="G8877" s="2" t="str">
        <f>HYPERLINK("https://probpalata.gov.ru/files/ЮЛ770100201500440.jpeg","Скачать индивидуальный QR-код магазина")</f>
        <v>Скачать индивидуальный QR-код магазина</v>
      </c>
    </row>
    <row r="8878" spans="1:7" x14ac:dyDescent="0.25">
      <c r="A8878" t="s">
        <v>26937</v>
      </c>
      <c r="B8878" t="s">
        <v>27039</v>
      </c>
      <c r="C8878" t="s">
        <v>1745</v>
      </c>
      <c r="D8878" t="s">
        <v>1746</v>
      </c>
      <c r="E8878" t="s">
        <v>1747</v>
      </c>
      <c r="F8878" t="s">
        <v>28528</v>
      </c>
      <c r="G8878" s="2" t="str">
        <f>HYPERLINK("https://probpalata.gov.ru/files/ЮЛ770100201500548.jpeg","Скачать индивидуальный QR-код магазина")</f>
        <v>Скачать индивидуальный QR-код магазина</v>
      </c>
    </row>
    <row r="8879" spans="1:7" x14ac:dyDescent="0.25">
      <c r="A8879" t="s">
        <v>26937</v>
      </c>
      <c r="B8879" t="s">
        <v>28529</v>
      </c>
      <c r="C8879" t="s">
        <v>1745</v>
      </c>
      <c r="D8879" t="s">
        <v>1746</v>
      </c>
      <c r="E8879" t="s">
        <v>1747</v>
      </c>
      <c r="F8879" t="s">
        <v>28530</v>
      </c>
      <c r="G8879" s="2" t="str">
        <f>HYPERLINK("https://probpalata.gov.ru/files/ЮЛ770100201500555.jpeg","Скачать индивидуальный QR-код магазина")</f>
        <v>Скачать индивидуальный QR-код магазина</v>
      </c>
    </row>
    <row r="8880" spans="1:7" x14ac:dyDescent="0.25">
      <c r="A8880" t="s">
        <v>26937</v>
      </c>
      <c r="B8880" t="s">
        <v>28531</v>
      </c>
      <c r="C8880" t="s">
        <v>1745</v>
      </c>
      <c r="D8880" t="s">
        <v>1746</v>
      </c>
      <c r="E8880" t="s">
        <v>1747</v>
      </c>
      <c r="F8880" t="s">
        <v>28532</v>
      </c>
      <c r="G8880" s="2" t="str">
        <f>HYPERLINK("https://probpalata.gov.ru/files/ЮЛ770100201500560.jpeg","Скачать индивидуальный QR-код магазина")</f>
        <v>Скачать индивидуальный QR-код магазина</v>
      </c>
    </row>
    <row r="8881" spans="1:7" x14ac:dyDescent="0.25">
      <c r="A8881" t="s">
        <v>26937</v>
      </c>
      <c r="B8881" t="s">
        <v>28533</v>
      </c>
      <c r="C8881" t="s">
        <v>1745</v>
      </c>
      <c r="D8881" t="s">
        <v>1746</v>
      </c>
      <c r="E8881" t="s">
        <v>1747</v>
      </c>
      <c r="F8881" t="s">
        <v>28534</v>
      </c>
      <c r="G8881" s="2" t="str">
        <f>HYPERLINK("https://probpalata.gov.ru/files/ЮЛ770100201500568.jpeg","Скачать индивидуальный QR-код магазина")</f>
        <v>Скачать индивидуальный QR-код магазина</v>
      </c>
    </row>
    <row r="8882" spans="1:7" x14ac:dyDescent="0.25">
      <c r="A8882" t="s">
        <v>26937</v>
      </c>
      <c r="B8882" t="s">
        <v>28535</v>
      </c>
      <c r="C8882" t="s">
        <v>1745</v>
      </c>
      <c r="D8882" t="s">
        <v>1746</v>
      </c>
      <c r="E8882" t="s">
        <v>1747</v>
      </c>
      <c r="F8882" t="s">
        <v>28536</v>
      </c>
      <c r="G8882" s="2" t="str">
        <f>HYPERLINK("https://probpalata.gov.ru/files/ЮЛ770100201500572.jpeg","Скачать индивидуальный QR-код магазина")</f>
        <v>Скачать индивидуальный QR-код магазина</v>
      </c>
    </row>
    <row r="8883" spans="1:7" x14ac:dyDescent="0.25">
      <c r="A8883" t="s">
        <v>26937</v>
      </c>
      <c r="B8883" t="s">
        <v>28537</v>
      </c>
      <c r="C8883" t="s">
        <v>1745</v>
      </c>
      <c r="D8883" t="s">
        <v>1746</v>
      </c>
      <c r="E8883" t="s">
        <v>1747</v>
      </c>
      <c r="F8883" t="s">
        <v>28538</v>
      </c>
      <c r="G8883" s="2" t="str">
        <f>HYPERLINK("https://probpalata.gov.ru/files/ЮЛ770100201500577.jpeg","Скачать индивидуальный QR-код магазина")</f>
        <v>Скачать индивидуальный QR-код магазина</v>
      </c>
    </row>
    <row r="8884" spans="1:7" x14ac:dyDescent="0.25">
      <c r="A8884" t="s">
        <v>26937</v>
      </c>
      <c r="B8884" t="s">
        <v>28539</v>
      </c>
      <c r="C8884" t="s">
        <v>1745</v>
      </c>
      <c r="D8884" t="s">
        <v>1746</v>
      </c>
      <c r="E8884" t="s">
        <v>1747</v>
      </c>
      <c r="F8884" t="s">
        <v>28540</v>
      </c>
      <c r="G8884" s="2" t="str">
        <f>HYPERLINK("https://probpalata.gov.ru/files/ЮЛ770100201500694.jpeg","Скачать индивидуальный QR-код магазина")</f>
        <v>Скачать индивидуальный QR-код магазина</v>
      </c>
    </row>
    <row r="8885" spans="1:7" x14ac:dyDescent="0.25">
      <c r="A8885" t="s">
        <v>26937</v>
      </c>
      <c r="B8885" t="s">
        <v>28541</v>
      </c>
      <c r="C8885" t="s">
        <v>28542</v>
      </c>
      <c r="D8885" t="s">
        <v>28543</v>
      </c>
      <c r="E8885" t="s">
        <v>28544</v>
      </c>
      <c r="F8885" t="s">
        <v>28545</v>
      </c>
      <c r="G8885" s="2" t="str">
        <f>HYPERLINK("https://probpalata.gov.ru/files/ЮЛ770101869500000.jpeg","Скачать индивидуальный QR-код магазина")</f>
        <v>Скачать индивидуальный QR-код магазина</v>
      </c>
    </row>
    <row r="8886" spans="1:7" x14ac:dyDescent="0.25">
      <c r="A8886" t="s">
        <v>26937</v>
      </c>
      <c r="B8886" t="s">
        <v>28546</v>
      </c>
      <c r="C8886" t="s">
        <v>28547</v>
      </c>
      <c r="D8886" t="s">
        <v>28548</v>
      </c>
      <c r="E8886" t="s">
        <v>28549</v>
      </c>
      <c r="F8886" t="s">
        <v>28550</v>
      </c>
      <c r="G8886" s="2" t="str">
        <f>HYPERLINK("https://probpalata.gov.ru/files/ЮЛ770100977800003.jpeg","Скачать индивидуальный QR-код магазина")</f>
        <v>Скачать индивидуальный QR-код магазина</v>
      </c>
    </row>
    <row r="8887" spans="1:7" x14ac:dyDescent="0.25">
      <c r="A8887" t="s">
        <v>26937</v>
      </c>
      <c r="B8887" t="s">
        <v>28551</v>
      </c>
      <c r="C8887" t="s">
        <v>28547</v>
      </c>
      <c r="D8887" t="s">
        <v>28548</v>
      </c>
      <c r="E8887" t="s">
        <v>28549</v>
      </c>
      <c r="F8887" t="s">
        <v>28552</v>
      </c>
      <c r="G8887" s="2" t="str">
        <f>HYPERLINK("https://probpalata.gov.ru/files/ЮЛ770100977800004.jpeg","Скачать индивидуальный QR-код магазина")</f>
        <v>Скачать индивидуальный QR-код магазина</v>
      </c>
    </row>
    <row r="8888" spans="1:7" x14ac:dyDescent="0.25">
      <c r="A8888" t="s">
        <v>26937</v>
      </c>
      <c r="B8888" t="s">
        <v>28553</v>
      </c>
      <c r="C8888" t="s">
        <v>28554</v>
      </c>
      <c r="D8888" t="s">
        <v>28555</v>
      </c>
      <c r="E8888" t="s">
        <v>28556</v>
      </c>
      <c r="F8888" t="s">
        <v>28557</v>
      </c>
      <c r="G8888" s="2" t="str">
        <f>HYPERLINK("https://probpalata.gov.ru/files/ЮЛ770100649000000.jpeg","Скачать индивидуальный QR-код магазина")</f>
        <v>Скачать индивидуальный QR-код магазина</v>
      </c>
    </row>
    <row r="8889" spans="1:7" x14ac:dyDescent="0.25">
      <c r="A8889" t="s">
        <v>26937</v>
      </c>
      <c r="B8889" t="s">
        <v>28558</v>
      </c>
      <c r="C8889" t="s">
        <v>28559</v>
      </c>
      <c r="D8889" t="s">
        <v>28560</v>
      </c>
      <c r="E8889" t="s">
        <v>28561</v>
      </c>
      <c r="F8889" t="s">
        <v>28562</v>
      </c>
      <c r="G8889" s="2" t="str">
        <f>HYPERLINK("https://probpalata.gov.ru/files/ИП770101694800000.jpeg","Скачать индивидуальный QR-код магазина")</f>
        <v>Скачать индивидуальный QR-код магазина</v>
      </c>
    </row>
    <row r="8890" spans="1:7" x14ac:dyDescent="0.25">
      <c r="A8890" t="s">
        <v>26937</v>
      </c>
      <c r="B8890" t="s">
        <v>28563</v>
      </c>
      <c r="C8890" t="s">
        <v>6274</v>
      </c>
      <c r="D8890" t="s">
        <v>21371</v>
      </c>
      <c r="E8890" t="s">
        <v>21372</v>
      </c>
      <c r="F8890" t="s">
        <v>28564</v>
      </c>
      <c r="G8890" s="2" t="str">
        <f>HYPERLINK("https://probpalata.gov.ru/files/ЮЛ770100736200003.jpeg","Скачать индивидуальный QR-код магазина")</f>
        <v>Скачать индивидуальный QR-код магазина</v>
      </c>
    </row>
    <row r="8891" spans="1:7" x14ac:dyDescent="0.25">
      <c r="A8891" t="s">
        <v>26937</v>
      </c>
      <c r="B8891" t="s">
        <v>28565</v>
      </c>
      <c r="C8891" t="s">
        <v>6274</v>
      </c>
      <c r="D8891" t="s">
        <v>21371</v>
      </c>
      <c r="E8891" t="s">
        <v>21372</v>
      </c>
      <c r="F8891" t="s">
        <v>28566</v>
      </c>
      <c r="G8891" s="2" t="str">
        <f>HYPERLINK("https://probpalata.gov.ru/files/ЮЛ770100736200021.jpeg","Скачать индивидуальный QR-код магазина")</f>
        <v>Скачать индивидуальный QR-код магазина</v>
      </c>
    </row>
    <row r="8892" spans="1:7" x14ac:dyDescent="0.25">
      <c r="A8892" t="s">
        <v>26937</v>
      </c>
      <c r="B8892" t="s">
        <v>28567</v>
      </c>
      <c r="C8892" t="s">
        <v>6274</v>
      </c>
      <c r="D8892" t="s">
        <v>21371</v>
      </c>
      <c r="E8892" t="s">
        <v>21372</v>
      </c>
      <c r="F8892" t="s">
        <v>28568</v>
      </c>
      <c r="G8892" s="2" t="str">
        <f>HYPERLINK("https://probpalata.gov.ru/files/ЮЛ770100736200022.jpeg","Скачать индивидуальный QR-код магазина")</f>
        <v>Скачать индивидуальный QR-код магазина</v>
      </c>
    </row>
    <row r="8893" spans="1:7" x14ac:dyDescent="0.25">
      <c r="A8893" t="s">
        <v>26937</v>
      </c>
      <c r="B8893" t="s">
        <v>28569</v>
      </c>
      <c r="C8893" t="s">
        <v>6274</v>
      </c>
      <c r="D8893" t="s">
        <v>21371</v>
      </c>
      <c r="E8893" t="s">
        <v>21372</v>
      </c>
      <c r="F8893" t="s">
        <v>28570</v>
      </c>
      <c r="G8893" s="2" t="str">
        <f>HYPERLINK("https://probpalata.gov.ru/files/ЮЛ770100736200024.jpeg","Скачать индивидуальный QR-код магазина")</f>
        <v>Скачать индивидуальный QR-код магазина</v>
      </c>
    </row>
    <row r="8894" spans="1:7" x14ac:dyDescent="0.25">
      <c r="A8894" t="s">
        <v>26937</v>
      </c>
      <c r="B8894" t="s">
        <v>28571</v>
      </c>
      <c r="C8894" t="s">
        <v>28572</v>
      </c>
      <c r="D8894" t="s">
        <v>28573</v>
      </c>
      <c r="E8894" t="s">
        <v>28574</v>
      </c>
      <c r="F8894" t="s">
        <v>28575</v>
      </c>
      <c r="G8894" s="2" t="str">
        <f>HYPERLINK("https://probpalata.gov.ru/files/ИП770100405800000.jpeg","Скачать индивидуальный QR-код магазина")</f>
        <v>Скачать индивидуальный QR-код магазина</v>
      </c>
    </row>
    <row r="8895" spans="1:7" x14ac:dyDescent="0.25">
      <c r="A8895" t="s">
        <v>26937</v>
      </c>
      <c r="B8895" t="s">
        <v>28576</v>
      </c>
      <c r="C8895" t="s">
        <v>6274</v>
      </c>
      <c r="D8895" t="s">
        <v>21483</v>
      </c>
      <c r="E8895" t="s">
        <v>21484</v>
      </c>
      <c r="F8895" t="s">
        <v>28577</v>
      </c>
      <c r="G8895" s="2" t="str">
        <f>HYPERLINK("https://probpalata.gov.ru/files/ЮЛ770100717700018.jpeg","Скачать индивидуальный QR-код магазина")</f>
        <v>Скачать индивидуальный QR-код магазина</v>
      </c>
    </row>
    <row r="8896" spans="1:7" x14ac:dyDescent="0.25">
      <c r="A8896" t="s">
        <v>26937</v>
      </c>
      <c r="B8896" t="s">
        <v>28578</v>
      </c>
      <c r="C8896" t="s">
        <v>6274</v>
      </c>
      <c r="D8896" t="s">
        <v>21483</v>
      </c>
      <c r="E8896" t="s">
        <v>21484</v>
      </c>
      <c r="F8896" t="s">
        <v>28579</v>
      </c>
      <c r="G8896" s="2" t="str">
        <f>HYPERLINK("https://probpalata.gov.ru/files/ЮЛ770100717700019.jpeg","Скачать индивидуальный QR-код магазина")</f>
        <v>Скачать индивидуальный QR-код магазина</v>
      </c>
    </row>
    <row r="8897" spans="1:7" x14ac:dyDescent="0.25">
      <c r="A8897" t="s">
        <v>26937</v>
      </c>
      <c r="B8897" t="s">
        <v>28580</v>
      </c>
      <c r="C8897" t="s">
        <v>28581</v>
      </c>
      <c r="D8897" t="s">
        <v>28582</v>
      </c>
      <c r="E8897" t="s">
        <v>28583</v>
      </c>
      <c r="F8897" t="s">
        <v>28584</v>
      </c>
      <c r="G8897" s="2" t="str">
        <f>HYPERLINK("https://probpalata.gov.ru/files/ЮЛ770101278900000.jpeg","Скачать индивидуальный QR-код магазина")</f>
        <v>Скачать индивидуальный QR-код магазина</v>
      </c>
    </row>
    <row r="8898" spans="1:7" x14ac:dyDescent="0.25">
      <c r="A8898" t="s">
        <v>26937</v>
      </c>
      <c r="B8898" t="s">
        <v>28585</v>
      </c>
      <c r="C8898" t="s">
        <v>15003</v>
      </c>
      <c r="D8898" t="s">
        <v>15004</v>
      </c>
      <c r="E8898" t="s">
        <v>15005</v>
      </c>
      <c r="F8898" t="s">
        <v>28586</v>
      </c>
      <c r="G8898" s="2" t="str">
        <f>HYPERLINK("https://probpalata.gov.ru/files/ЮЛ770100264000000.jpeg","Скачать индивидуальный QR-код магазина")</f>
        <v>Скачать индивидуальный QR-код магазина</v>
      </c>
    </row>
    <row r="8899" spans="1:7" x14ac:dyDescent="0.25">
      <c r="A8899" t="s">
        <v>26937</v>
      </c>
      <c r="B8899" t="s">
        <v>28587</v>
      </c>
      <c r="C8899" t="s">
        <v>15003</v>
      </c>
      <c r="D8899" t="s">
        <v>15004</v>
      </c>
      <c r="E8899" t="s">
        <v>15005</v>
      </c>
      <c r="F8899" t="s">
        <v>28588</v>
      </c>
      <c r="G8899" s="2" t="str">
        <f>HYPERLINK("https://probpalata.gov.ru/files/ЮЛ770100264000010.jpeg","Скачать индивидуальный QR-код магазина")</f>
        <v>Скачать индивидуальный QR-код магазина</v>
      </c>
    </row>
    <row r="8900" spans="1:7" x14ac:dyDescent="0.25">
      <c r="A8900" t="s">
        <v>26937</v>
      </c>
      <c r="B8900" t="s">
        <v>28589</v>
      </c>
      <c r="C8900" t="s">
        <v>15003</v>
      </c>
      <c r="D8900" t="s">
        <v>15004</v>
      </c>
      <c r="E8900" t="s">
        <v>15005</v>
      </c>
      <c r="F8900" t="s">
        <v>28590</v>
      </c>
      <c r="G8900" s="2" t="str">
        <f>HYPERLINK("https://probpalata.gov.ru/files/ЮЛ770100264000011.jpeg","Скачать индивидуальный QR-код магазина")</f>
        <v>Скачать индивидуальный QR-код магазина</v>
      </c>
    </row>
    <row r="8901" spans="1:7" x14ac:dyDescent="0.25">
      <c r="A8901" t="s">
        <v>26937</v>
      </c>
      <c r="B8901" t="s">
        <v>28591</v>
      </c>
      <c r="C8901" t="s">
        <v>15003</v>
      </c>
      <c r="D8901" t="s">
        <v>15004</v>
      </c>
      <c r="E8901" t="s">
        <v>15005</v>
      </c>
      <c r="F8901" t="s">
        <v>28592</v>
      </c>
      <c r="G8901" s="2" t="str">
        <f>HYPERLINK("https://probpalata.gov.ru/files/ЮЛ770100264000020.jpeg","Скачать индивидуальный QR-код магазина")</f>
        <v>Скачать индивидуальный QR-код магазина</v>
      </c>
    </row>
    <row r="8902" spans="1:7" x14ac:dyDescent="0.25">
      <c r="A8902" t="s">
        <v>26937</v>
      </c>
      <c r="B8902" t="s">
        <v>28593</v>
      </c>
      <c r="C8902" t="s">
        <v>15003</v>
      </c>
      <c r="D8902" t="s">
        <v>15004</v>
      </c>
      <c r="E8902" t="s">
        <v>15005</v>
      </c>
      <c r="F8902" t="s">
        <v>28594</v>
      </c>
      <c r="G8902" s="2" t="str">
        <f>HYPERLINK("https://probpalata.gov.ru/files/ЮЛ770100264000021.jpeg","Скачать индивидуальный QR-код магазина")</f>
        <v>Скачать индивидуальный QR-код магазина</v>
      </c>
    </row>
    <row r="8903" spans="1:7" x14ac:dyDescent="0.25">
      <c r="A8903" t="s">
        <v>26937</v>
      </c>
      <c r="B8903" t="s">
        <v>28595</v>
      </c>
      <c r="C8903" t="s">
        <v>15003</v>
      </c>
      <c r="D8903" t="s">
        <v>15004</v>
      </c>
      <c r="E8903" t="s">
        <v>15005</v>
      </c>
      <c r="F8903" t="s">
        <v>28596</v>
      </c>
      <c r="G8903" s="2" t="str">
        <f>HYPERLINK("https://probpalata.gov.ru/files/ЮЛ770100264000022.jpeg","Скачать индивидуальный QR-код магазина")</f>
        <v>Скачать индивидуальный QR-код магазина</v>
      </c>
    </row>
    <row r="8904" spans="1:7" x14ac:dyDescent="0.25">
      <c r="A8904" t="s">
        <v>26937</v>
      </c>
      <c r="B8904" t="s">
        <v>28597</v>
      </c>
      <c r="C8904" t="s">
        <v>15003</v>
      </c>
      <c r="D8904" t="s">
        <v>15004</v>
      </c>
      <c r="E8904" t="s">
        <v>15005</v>
      </c>
      <c r="F8904" t="s">
        <v>28598</v>
      </c>
      <c r="G8904" s="2" t="str">
        <f>HYPERLINK("https://probpalata.gov.ru/files/ЮЛ770100264000028.jpeg","Скачать индивидуальный QR-код магазина")</f>
        <v>Скачать индивидуальный QR-код магазина</v>
      </c>
    </row>
    <row r="8905" spans="1:7" x14ac:dyDescent="0.25">
      <c r="A8905" t="s">
        <v>26937</v>
      </c>
      <c r="B8905" t="s">
        <v>28599</v>
      </c>
      <c r="C8905" t="s">
        <v>15003</v>
      </c>
      <c r="D8905" t="s">
        <v>15004</v>
      </c>
      <c r="E8905" t="s">
        <v>15005</v>
      </c>
      <c r="F8905" t="s">
        <v>28600</v>
      </c>
      <c r="G8905" s="2" t="str">
        <f>HYPERLINK("https://probpalata.gov.ru/files/ЮЛ770100264000029.jpeg","Скачать индивидуальный QR-код магазина")</f>
        <v>Скачать индивидуальный QR-код магазина</v>
      </c>
    </row>
    <row r="8906" spans="1:7" x14ac:dyDescent="0.25">
      <c r="A8906" t="s">
        <v>26937</v>
      </c>
      <c r="B8906" t="s">
        <v>28601</v>
      </c>
      <c r="C8906" t="s">
        <v>15003</v>
      </c>
      <c r="D8906" t="s">
        <v>15004</v>
      </c>
      <c r="E8906" t="s">
        <v>15005</v>
      </c>
      <c r="F8906" t="s">
        <v>28602</v>
      </c>
      <c r="G8906" s="2" t="str">
        <f>HYPERLINK("https://probpalata.gov.ru/files/ЮЛ770100264000033.jpeg","Скачать индивидуальный QR-код магазина")</f>
        <v>Скачать индивидуальный QR-код магазина</v>
      </c>
    </row>
    <row r="8907" spans="1:7" x14ac:dyDescent="0.25">
      <c r="A8907" t="s">
        <v>26937</v>
      </c>
      <c r="B8907" t="s">
        <v>28603</v>
      </c>
      <c r="C8907" t="s">
        <v>21558</v>
      </c>
      <c r="D8907" t="s">
        <v>21559</v>
      </c>
      <c r="E8907" t="s">
        <v>21560</v>
      </c>
      <c r="F8907" t="s">
        <v>28604</v>
      </c>
      <c r="G8907" s="2" t="str">
        <f>HYPERLINK("https://probpalata.gov.ru/files/ЮЛ770100325900001.jpeg","Скачать индивидуальный QR-код магазина")</f>
        <v>Скачать индивидуальный QR-код магазина</v>
      </c>
    </row>
    <row r="8908" spans="1:7" x14ac:dyDescent="0.25">
      <c r="A8908" t="s">
        <v>26937</v>
      </c>
      <c r="B8908" t="s">
        <v>28605</v>
      </c>
      <c r="C8908" t="s">
        <v>21558</v>
      </c>
      <c r="D8908" t="s">
        <v>21559</v>
      </c>
      <c r="E8908" t="s">
        <v>21560</v>
      </c>
      <c r="F8908" t="s">
        <v>28606</v>
      </c>
      <c r="G8908" s="2" t="str">
        <f>HYPERLINK("https://probpalata.gov.ru/files/ЮЛ770100325900002.jpeg","Скачать индивидуальный QR-код магазина")</f>
        <v>Скачать индивидуальный QR-код магазина</v>
      </c>
    </row>
    <row r="8909" spans="1:7" x14ac:dyDescent="0.25">
      <c r="A8909" t="s">
        <v>26937</v>
      </c>
      <c r="B8909" t="s">
        <v>28607</v>
      </c>
      <c r="C8909" t="s">
        <v>28608</v>
      </c>
      <c r="D8909" t="s">
        <v>28609</v>
      </c>
      <c r="E8909" t="s">
        <v>28610</v>
      </c>
      <c r="F8909" t="s">
        <v>28611</v>
      </c>
      <c r="G8909" s="2" t="str">
        <f>HYPERLINK("https://probpalata.gov.ru/files/ЮЛ770100604100000.jpeg","Скачать индивидуальный QR-код магазина")</f>
        <v>Скачать индивидуальный QR-код магазина</v>
      </c>
    </row>
    <row r="8910" spans="1:7" x14ac:dyDescent="0.25">
      <c r="A8910" t="s">
        <v>26937</v>
      </c>
      <c r="B8910" t="s">
        <v>28612</v>
      </c>
      <c r="C8910" t="s">
        <v>28613</v>
      </c>
      <c r="D8910" t="s">
        <v>28614</v>
      </c>
      <c r="E8910" t="s">
        <v>28615</v>
      </c>
      <c r="F8910" t="s">
        <v>28616</v>
      </c>
      <c r="G8910" s="2" t="str">
        <f>HYPERLINK("https://probpalata.gov.ru/files/ЮЛ500100707200000.jpeg","Скачать индивидуальный QR-код магазина")</f>
        <v>Скачать индивидуальный QR-код магазина</v>
      </c>
    </row>
    <row r="8911" spans="1:7" x14ac:dyDescent="0.25">
      <c r="A8911" t="s">
        <v>26937</v>
      </c>
      <c r="B8911" t="s">
        <v>28617</v>
      </c>
      <c r="C8911" t="s">
        <v>9662</v>
      </c>
      <c r="D8911" t="s">
        <v>9663</v>
      </c>
      <c r="E8911" t="s">
        <v>9664</v>
      </c>
      <c r="F8911" t="s">
        <v>28618</v>
      </c>
      <c r="G8911" s="2" t="str">
        <f>HYPERLINK("https://probpalata.gov.ru/files/ЮЛ400100866000002.jpeg","Скачать индивидуальный QR-код магазина")</f>
        <v>Скачать индивидуальный QR-код магазина</v>
      </c>
    </row>
    <row r="8912" spans="1:7" x14ac:dyDescent="0.25">
      <c r="A8912" t="s">
        <v>26937</v>
      </c>
      <c r="B8912" t="s">
        <v>28619</v>
      </c>
      <c r="C8912" t="s">
        <v>21746</v>
      </c>
      <c r="D8912" t="s">
        <v>21747</v>
      </c>
      <c r="E8912" t="s">
        <v>21748</v>
      </c>
      <c r="F8912" t="s">
        <v>28620</v>
      </c>
      <c r="G8912" s="2" t="str">
        <f>HYPERLINK("https://probpalata.gov.ru/files/ЮЛ770100150600027.jpeg","Скачать индивидуальный QR-код магазина")</f>
        <v>Скачать индивидуальный QR-код магазина</v>
      </c>
    </row>
    <row r="8913" spans="1:7" x14ac:dyDescent="0.25">
      <c r="A8913" t="s">
        <v>26937</v>
      </c>
      <c r="B8913" t="s">
        <v>28621</v>
      </c>
      <c r="C8913" t="s">
        <v>15012</v>
      </c>
      <c r="D8913" t="s">
        <v>15013</v>
      </c>
      <c r="E8913" t="s">
        <v>15014</v>
      </c>
      <c r="F8913" t="s">
        <v>28622</v>
      </c>
      <c r="G8913" s="2" t="str">
        <f>HYPERLINK("https://probpalata.gov.ru/files/ЮЛ770100301000007.jpeg","Скачать индивидуальный QR-код магазина")</f>
        <v>Скачать индивидуальный QR-код магазина</v>
      </c>
    </row>
    <row r="8914" spans="1:7" x14ac:dyDescent="0.25">
      <c r="A8914" t="s">
        <v>26937</v>
      </c>
      <c r="B8914" t="s">
        <v>28623</v>
      </c>
      <c r="C8914" t="s">
        <v>15012</v>
      </c>
      <c r="D8914" t="s">
        <v>15013</v>
      </c>
      <c r="E8914" t="s">
        <v>15014</v>
      </c>
      <c r="F8914" t="s">
        <v>28624</v>
      </c>
      <c r="G8914" s="2" t="str">
        <f>HYPERLINK("https://probpalata.gov.ru/files/ЮЛ770100301000008.jpeg","Скачать индивидуальный QR-код магазина")</f>
        <v>Скачать индивидуальный QR-код магазина</v>
      </c>
    </row>
    <row r="8915" spans="1:7" x14ac:dyDescent="0.25">
      <c r="A8915" t="s">
        <v>26937</v>
      </c>
      <c r="B8915" t="s">
        <v>28625</v>
      </c>
      <c r="C8915" t="s">
        <v>28626</v>
      </c>
      <c r="D8915" t="s">
        <v>28627</v>
      </c>
      <c r="E8915" t="s">
        <v>28628</v>
      </c>
      <c r="F8915" t="s">
        <v>28629</v>
      </c>
      <c r="G8915" s="2" t="str">
        <f>HYPERLINK("https://probpalata.gov.ru/files/ЮЛ500101610400000.jpeg","Скачать индивидуальный QR-код магазина")</f>
        <v>Скачать индивидуальный QR-код магазина</v>
      </c>
    </row>
    <row r="8916" spans="1:7" x14ac:dyDescent="0.25">
      <c r="A8916" t="s">
        <v>26937</v>
      </c>
      <c r="B8916" t="s">
        <v>28630</v>
      </c>
      <c r="C8916" t="s">
        <v>15017</v>
      </c>
      <c r="D8916" t="s">
        <v>15018</v>
      </c>
      <c r="E8916" t="s">
        <v>15019</v>
      </c>
      <c r="F8916" t="s">
        <v>28631</v>
      </c>
      <c r="G8916" s="2" t="str">
        <f>HYPERLINK("https://probpalata.gov.ru/files/ЮЛ770101500300011.jpeg","Скачать индивидуальный QR-код магазина")</f>
        <v>Скачать индивидуальный QR-код магазина</v>
      </c>
    </row>
    <row r="8917" spans="1:7" x14ac:dyDescent="0.25">
      <c r="A8917" t="s">
        <v>26937</v>
      </c>
      <c r="B8917" t="s">
        <v>28632</v>
      </c>
      <c r="C8917" t="s">
        <v>15024</v>
      </c>
      <c r="D8917" t="s">
        <v>15025</v>
      </c>
      <c r="E8917" t="s">
        <v>15026</v>
      </c>
      <c r="F8917" t="s">
        <v>28633</v>
      </c>
      <c r="G8917" s="2" t="str">
        <f>HYPERLINK("https://probpalata.gov.ru/files/ЮЛ770100794500003.jpeg","Скачать индивидуальный QR-код магазина")</f>
        <v>Скачать индивидуальный QR-код магазина</v>
      </c>
    </row>
    <row r="8918" spans="1:7" x14ac:dyDescent="0.25">
      <c r="A8918" t="s">
        <v>26937</v>
      </c>
      <c r="B8918" t="s">
        <v>28634</v>
      </c>
      <c r="C8918" t="s">
        <v>21889</v>
      </c>
      <c r="D8918" t="s">
        <v>21890</v>
      </c>
      <c r="E8918" t="s">
        <v>21891</v>
      </c>
      <c r="F8918" t="s">
        <v>28635</v>
      </c>
      <c r="G8918" s="2" t="str">
        <f>HYPERLINK("https://probpalata.gov.ru/files/ИП770100821000017.jpeg","Скачать индивидуальный QR-код магазина")</f>
        <v>Скачать индивидуальный QR-код магазина</v>
      </c>
    </row>
    <row r="8919" spans="1:7" x14ac:dyDescent="0.25">
      <c r="A8919" t="s">
        <v>26937</v>
      </c>
      <c r="B8919" t="s">
        <v>28636</v>
      </c>
      <c r="C8919" t="s">
        <v>21889</v>
      </c>
      <c r="D8919" t="s">
        <v>21890</v>
      </c>
      <c r="E8919" t="s">
        <v>21891</v>
      </c>
      <c r="F8919" t="s">
        <v>28637</v>
      </c>
      <c r="G8919" s="2" t="str">
        <f>HYPERLINK("https://probpalata.gov.ru/files/ИП770100821000019.jpeg","Скачать индивидуальный QR-код магазина")</f>
        <v>Скачать индивидуальный QR-код магазина</v>
      </c>
    </row>
    <row r="8920" spans="1:7" x14ac:dyDescent="0.25">
      <c r="A8920" t="s">
        <v>26937</v>
      </c>
      <c r="B8920" t="s">
        <v>28638</v>
      </c>
      <c r="C8920" t="s">
        <v>21889</v>
      </c>
      <c r="D8920" t="s">
        <v>21890</v>
      </c>
      <c r="E8920" t="s">
        <v>21891</v>
      </c>
      <c r="F8920" t="s">
        <v>28639</v>
      </c>
      <c r="G8920" s="2" t="str">
        <f>HYPERLINK("https://probpalata.gov.ru/files/ИП770100821000021.jpeg","Скачать индивидуальный QR-код магазина")</f>
        <v>Скачать индивидуальный QR-код магазина</v>
      </c>
    </row>
    <row r="8921" spans="1:7" x14ac:dyDescent="0.25">
      <c r="A8921" t="s">
        <v>26937</v>
      </c>
      <c r="B8921" t="s">
        <v>28640</v>
      </c>
      <c r="C8921" t="s">
        <v>28641</v>
      </c>
      <c r="D8921" t="s">
        <v>28642</v>
      </c>
      <c r="E8921" t="s">
        <v>28643</v>
      </c>
      <c r="F8921" t="s">
        <v>28644</v>
      </c>
      <c r="G8921" s="2" t="str">
        <f>HYPERLINK("https://probpalata.gov.ru/files/ИП770101956000000.jpeg","Скачать индивидуальный QR-код магазина")</f>
        <v>Скачать индивидуальный QR-код магазина</v>
      </c>
    </row>
    <row r="8922" spans="1:7" x14ac:dyDescent="0.25">
      <c r="A8922" t="s">
        <v>26937</v>
      </c>
      <c r="B8922" t="s">
        <v>28645</v>
      </c>
      <c r="C8922" t="s">
        <v>28646</v>
      </c>
      <c r="D8922" t="s">
        <v>28647</v>
      </c>
      <c r="E8922" t="s">
        <v>28648</v>
      </c>
      <c r="F8922" t="s">
        <v>28649</v>
      </c>
      <c r="G8922" s="2" t="str">
        <f>HYPERLINK("https://probpalata.gov.ru/files/ИП770100892500000.jpeg","Скачать индивидуальный QR-код магазина")</f>
        <v>Скачать индивидуальный QR-код магазина</v>
      </c>
    </row>
    <row r="8923" spans="1:7" x14ac:dyDescent="0.25">
      <c r="A8923" t="s">
        <v>26937</v>
      </c>
      <c r="B8923" t="s">
        <v>28650</v>
      </c>
      <c r="C8923" t="s">
        <v>28651</v>
      </c>
      <c r="D8923" t="s">
        <v>28652</v>
      </c>
      <c r="E8923" t="s">
        <v>28653</v>
      </c>
      <c r="F8923" t="s">
        <v>28654</v>
      </c>
      <c r="G8923" s="2" t="str">
        <f>HYPERLINK("https://probpalata.gov.ru/files/ИП770101458000000.jpeg","Скачать индивидуальный QR-код магазина")</f>
        <v>Скачать индивидуальный QR-код магазина</v>
      </c>
    </row>
    <row r="8924" spans="1:7" x14ac:dyDescent="0.25">
      <c r="A8924" t="s">
        <v>26937</v>
      </c>
      <c r="B8924" t="s">
        <v>28655</v>
      </c>
      <c r="C8924" t="s">
        <v>3157</v>
      </c>
      <c r="D8924" t="s">
        <v>3158</v>
      </c>
      <c r="E8924" t="s">
        <v>3159</v>
      </c>
      <c r="F8924" t="s">
        <v>28656</v>
      </c>
      <c r="G8924" s="2" t="str">
        <f>HYPERLINK("https://probpalata.gov.ru/files/ИП770100417900007.jpeg","Скачать индивидуальный QR-код магазина")</f>
        <v>Скачать индивидуальный QR-код магазина</v>
      </c>
    </row>
    <row r="8925" spans="1:7" x14ac:dyDescent="0.25">
      <c r="A8925" t="s">
        <v>26937</v>
      </c>
      <c r="B8925" t="s">
        <v>28657</v>
      </c>
      <c r="C8925" t="s">
        <v>22203</v>
      </c>
      <c r="D8925" t="s">
        <v>22204</v>
      </c>
      <c r="E8925" t="s">
        <v>22205</v>
      </c>
      <c r="F8925" t="s">
        <v>28658</v>
      </c>
      <c r="G8925" s="2" t="str">
        <f>HYPERLINK("https://probpalata.gov.ru/files/ИП770101268000000.jpeg","Скачать индивидуальный QR-код магазина")</f>
        <v>Скачать индивидуальный QR-код магазина</v>
      </c>
    </row>
    <row r="8926" spans="1:7" x14ac:dyDescent="0.25">
      <c r="A8926" t="s">
        <v>26937</v>
      </c>
      <c r="B8926" t="s">
        <v>28659</v>
      </c>
      <c r="C8926" t="s">
        <v>28660</v>
      </c>
      <c r="D8926" t="s">
        <v>28661</v>
      </c>
      <c r="E8926" t="s">
        <v>28662</v>
      </c>
      <c r="F8926" t="s">
        <v>28663</v>
      </c>
      <c r="G8926" s="2" t="str">
        <f>HYPERLINK("https://probpalata.gov.ru/files/ИП770100627100000.jpeg","Скачать индивидуальный QR-код магазина")</f>
        <v>Скачать индивидуальный QR-код магазина</v>
      </c>
    </row>
    <row r="8927" spans="1:7" x14ac:dyDescent="0.25">
      <c r="A8927" t="s">
        <v>26937</v>
      </c>
      <c r="B8927" t="s">
        <v>28664</v>
      </c>
      <c r="C8927" t="s">
        <v>22243</v>
      </c>
      <c r="D8927" t="s">
        <v>22244</v>
      </c>
      <c r="E8927" t="s">
        <v>22245</v>
      </c>
      <c r="F8927" t="s">
        <v>28665</v>
      </c>
      <c r="G8927" s="2" t="str">
        <f>HYPERLINK("https://probpalata.gov.ru/files/ИП500102011000003.jpeg","Скачать индивидуальный QR-код магазина")</f>
        <v>Скачать индивидуальный QR-код магазина</v>
      </c>
    </row>
    <row r="8928" spans="1:7" x14ac:dyDescent="0.25">
      <c r="A8928" t="s">
        <v>26937</v>
      </c>
      <c r="B8928" t="s">
        <v>28666</v>
      </c>
      <c r="C8928" t="s">
        <v>28667</v>
      </c>
      <c r="D8928" t="s">
        <v>28668</v>
      </c>
      <c r="E8928" t="s">
        <v>28669</v>
      </c>
      <c r="F8928" t="s">
        <v>28670</v>
      </c>
      <c r="G8928" s="2" t="str">
        <f>HYPERLINK("https://probpalata.gov.ru/files/ИП770101228300000.jpeg","Скачать индивидуальный QR-код магазина")</f>
        <v>Скачать индивидуальный QR-код магазина</v>
      </c>
    </row>
    <row r="8929" spans="1:7" x14ac:dyDescent="0.25">
      <c r="A8929" t="s">
        <v>26937</v>
      </c>
      <c r="B8929" t="s">
        <v>28671</v>
      </c>
      <c r="C8929" t="s">
        <v>22339</v>
      </c>
      <c r="D8929" t="s">
        <v>22340</v>
      </c>
      <c r="E8929" t="s">
        <v>22341</v>
      </c>
      <c r="F8929" t="s">
        <v>28672</v>
      </c>
      <c r="G8929" s="2" t="str">
        <f>HYPERLINK("https://probpalata.gov.ru/files/ИП770100276900001.jpeg","Скачать индивидуальный QR-код магазина")</f>
        <v>Скачать индивидуальный QR-код магазина</v>
      </c>
    </row>
    <row r="8930" spans="1:7" x14ac:dyDescent="0.25">
      <c r="A8930" t="s">
        <v>26937</v>
      </c>
      <c r="B8930" t="s">
        <v>28673</v>
      </c>
      <c r="C8930" t="s">
        <v>22359</v>
      </c>
      <c r="D8930" t="s">
        <v>22360</v>
      </c>
      <c r="E8930" t="s">
        <v>22361</v>
      </c>
      <c r="F8930" t="s">
        <v>28674</v>
      </c>
      <c r="G8930" s="2" t="str">
        <f>HYPERLINK("https://probpalata.gov.ru/files/ЮЛ770101330100001.jpeg","Скачать индивидуальный QR-код магазина")</f>
        <v>Скачать индивидуальный QR-код магазина</v>
      </c>
    </row>
    <row r="8931" spans="1:7" x14ac:dyDescent="0.25">
      <c r="A8931" t="s">
        <v>26937</v>
      </c>
      <c r="B8931" t="s">
        <v>28675</v>
      </c>
      <c r="C8931" t="s">
        <v>28676</v>
      </c>
      <c r="D8931" t="s">
        <v>28677</v>
      </c>
      <c r="E8931" t="s">
        <v>28678</v>
      </c>
      <c r="F8931" t="s">
        <v>28679</v>
      </c>
      <c r="G8931" s="2" t="str">
        <f>HYPERLINK("https://probpalata.gov.ru/files/ИП000100769700000.jpeg","Скачать индивидуальный QR-код магазина")</f>
        <v>Скачать индивидуальный QR-код магазина</v>
      </c>
    </row>
    <row r="8932" spans="1:7" x14ac:dyDescent="0.25">
      <c r="A8932" t="s">
        <v>26937</v>
      </c>
      <c r="B8932" t="s">
        <v>28680</v>
      </c>
      <c r="C8932" t="s">
        <v>713</v>
      </c>
      <c r="D8932" t="s">
        <v>714</v>
      </c>
      <c r="E8932" t="s">
        <v>715</v>
      </c>
      <c r="F8932" t="s">
        <v>28681</v>
      </c>
      <c r="G8932" s="2" t="str">
        <f>HYPERLINK("https://probpalata.gov.ru/files/ЮЛ770101216600002.jpeg","Скачать индивидуальный QR-код магазина")</f>
        <v>Скачать индивидуальный QR-код магазина</v>
      </c>
    </row>
    <row r="8933" spans="1:7" x14ac:dyDescent="0.25">
      <c r="A8933" t="s">
        <v>26937</v>
      </c>
      <c r="B8933" t="s">
        <v>28682</v>
      </c>
      <c r="C8933" t="s">
        <v>713</v>
      </c>
      <c r="D8933" t="s">
        <v>714</v>
      </c>
      <c r="E8933" t="s">
        <v>715</v>
      </c>
      <c r="F8933" t="s">
        <v>28683</v>
      </c>
      <c r="G8933" s="2" t="str">
        <f>HYPERLINK("https://probpalata.gov.ru/files/ЮЛ770101216600003.jpeg","Скачать индивидуальный QR-код магазина")</f>
        <v>Скачать индивидуальный QR-код магазина</v>
      </c>
    </row>
    <row r="8934" spans="1:7" x14ac:dyDescent="0.25">
      <c r="A8934" t="s">
        <v>26937</v>
      </c>
      <c r="B8934" t="s">
        <v>28684</v>
      </c>
      <c r="C8934" t="s">
        <v>713</v>
      </c>
      <c r="D8934" t="s">
        <v>714</v>
      </c>
      <c r="E8934" t="s">
        <v>715</v>
      </c>
      <c r="F8934" t="s">
        <v>28685</v>
      </c>
      <c r="G8934" s="2" t="str">
        <f>HYPERLINK("https://probpalata.gov.ru/files/ЮЛ770101216600005.jpeg","Скачать индивидуальный QR-код магазина")</f>
        <v>Скачать индивидуальный QR-код магазина</v>
      </c>
    </row>
    <row r="8935" spans="1:7" x14ac:dyDescent="0.25">
      <c r="A8935" t="s">
        <v>26937</v>
      </c>
      <c r="B8935" t="s">
        <v>28686</v>
      </c>
      <c r="C8935" t="s">
        <v>713</v>
      </c>
      <c r="D8935" t="s">
        <v>714</v>
      </c>
      <c r="E8935" t="s">
        <v>715</v>
      </c>
      <c r="F8935" t="s">
        <v>28687</v>
      </c>
      <c r="G8935" s="2" t="str">
        <f>HYPERLINK("https://probpalata.gov.ru/files/ЮЛ770101216600015.jpeg","Скачать индивидуальный QR-код магазина")</f>
        <v>Скачать индивидуальный QR-код магазина</v>
      </c>
    </row>
    <row r="8936" spans="1:7" x14ac:dyDescent="0.25">
      <c r="A8936" t="s">
        <v>26937</v>
      </c>
      <c r="B8936" t="s">
        <v>28688</v>
      </c>
      <c r="C8936" t="s">
        <v>713</v>
      </c>
      <c r="D8936" t="s">
        <v>714</v>
      </c>
      <c r="E8936" t="s">
        <v>715</v>
      </c>
      <c r="F8936" t="s">
        <v>28689</v>
      </c>
      <c r="G8936" s="2" t="str">
        <f>HYPERLINK("https://probpalata.gov.ru/files/ЮЛ770101216600019.jpeg","Скачать индивидуальный QR-код магазина")</f>
        <v>Скачать индивидуальный QR-код магазина</v>
      </c>
    </row>
    <row r="8937" spans="1:7" x14ac:dyDescent="0.25">
      <c r="A8937" t="s">
        <v>26937</v>
      </c>
      <c r="B8937" t="s">
        <v>28690</v>
      </c>
      <c r="C8937" t="s">
        <v>713</v>
      </c>
      <c r="D8937" t="s">
        <v>714</v>
      </c>
      <c r="E8937" t="s">
        <v>715</v>
      </c>
      <c r="F8937" t="s">
        <v>28691</v>
      </c>
      <c r="G8937" s="2" t="str">
        <f>HYPERLINK("https://probpalata.gov.ru/files/ЮЛ770101216600022.jpeg","Скачать индивидуальный QR-код магазина")</f>
        <v>Скачать индивидуальный QR-код магазина</v>
      </c>
    </row>
    <row r="8938" spans="1:7" x14ac:dyDescent="0.25">
      <c r="A8938" t="s">
        <v>26937</v>
      </c>
      <c r="B8938" t="s">
        <v>28692</v>
      </c>
      <c r="C8938" t="s">
        <v>713</v>
      </c>
      <c r="D8938" t="s">
        <v>714</v>
      </c>
      <c r="E8938" t="s">
        <v>715</v>
      </c>
      <c r="F8938" t="s">
        <v>28693</v>
      </c>
      <c r="G8938" s="2" t="str">
        <f>HYPERLINK("https://probpalata.gov.ru/files/ЮЛ770101216600023.jpeg","Скачать индивидуальный QR-код магазина")</f>
        <v>Скачать индивидуальный QR-код магазина</v>
      </c>
    </row>
    <row r="8939" spans="1:7" x14ac:dyDescent="0.25">
      <c r="A8939" t="s">
        <v>26937</v>
      </c>
      <c r="B8939" t="s">
        <v>28694</v>
      </c>
      <c r="C8939" t="s">
        <v>713</v>
      </c>
      <c r="D8939" t="s">
        <v>714</v>
      </c>
      <c r="E8939" t="s">
        <v>715</v>
      </c>
      <c r="F8939" t="s">
        <v>28695</v>
      </c>
      <c r="G8939" s="2" t="str">
        <f>HYPERLINK("https://probpalata.gov.ru/files/ЮЛ770101216600024.jpeg","Скачать индивидуальный QR-код магазина")</f>
        <v>Скачать индивидуальный QR-код магазина</v>
      </c>
    </row>
    <row r="8940" spans="1:7" x14ac:dyDescent="0.25">
      <c r="A8940" t="s">
        <v>26937</v>
      </c>
      <c r="B8940" t="s">
        <v>28696</v>
      </c>
      <c r="C8940" t="s">
        <v>713</v>
      </c>
      <c r="D8940" t="s">
        <v>714</v>
      </c>
      <c r="E8940" t="s">
        <v>715</v>
      </c>
      <c r="F8940" t="s">
        <v>28697</v>
      </c>
      <c r="G8940" s="2" t="str">
        <f>HYPERLINK("https://probpalata.gov.ru/files/ЮЛ770101216600033.jpeg","Скачать индивидуальный QR-код магазина")</f>
        <v>Скачать индивидуальный QR-код магазина</v>
      </c>
    </row>
    <row r="8941" spans="1:7" x14ac:dyDescent="0.25">
      <c r="A8941" t="s">
        <v>26937</v>
      </c>
      <c r="B8941" t="s">
        <v>28698</v>
      </c>
      <c r="C8941" t="s">
        <v>713</v>
      </c>
      <c r="D8941" t="s">
        <v>714</v>
      </c>
      <c r="E8941" t="s">
        <v>715</v>
      </c>
      <c r="F8941" t="s">
        <v>28699</v>
      </c>
      <c r="G8941" s="2" t="str">
        <f>HYPERLINK("https://probpalata.gov.ru/files/ЮЛ770101216600045.jpeg","Скачать индивидуальный QR-код магазина")</f>
        <v>Скачать индивидуальный QR-код магазина</v>
      </c>
    </row>
    <row r="8942" spans="1:7" x14ac:dyDescent="0.25">
      <c r="A8942" t="s">
        <v>26937</v>
      </c>
      <c r="B8942" t="s">
        <v>28700</v>
      </c>
      <c r="C8942" t="s">
        <v>713</v>
      </c>
      <c r="D8942" t="s">
        <v>714</v>
      </c>
      <c r="E8942" t="s">
        <v>715</v>
      </c>
      <c r="F8942" t="s">
        <v>28701</v>
      </c>
      <c r="G8942" s="2" t="str">
        <f>HYPERLINK("https://probpalata.gov.ru/files/ЮЛ770101216600050.jpeg","Скачать индивидуальный QR-код магазина")</f>
        <v>Скачать индивидуальный QR-код магазина</v>
      </c>
    </row>
    <row r="8943" spans="1:7" x14ac:dyDescent="0.25">
      <c r="A8943" t="s">
        <v>26937</v>
      </c>
      <c r="B8943" t="s">
        <v>28702</v>
      </c>
      <c r="C8943" t="s">
        <v>713</v>
      </c>
      <c r="D8943" t="s">
        <v>714</v>
      </c>
      <c r="E8943" t="s">
        <v>715</v>
      </c>
      <c r="F8943" t="s">
        <v>28703</v>
      </c>
      <c r="G8943" s="2" t="str">
        <f>HYPERLINK("https://probpalata.gov.ru/files/ЮЛ770101216600053.jpeg","Скачать индивидуальный QR-код магазина")</f>
        <v>Скачать индивидуальный QR-код магазина</v>
      </c>
    </row>
    <row r="8944" spans="1:7" x14ac:dyDescent="0.25">
      <c r="A8944" t="s">
        <v>26937</v>
      </c>
      <c r="B8944" t="s">
        <v>28704</v>
      </c>
      <c r="C8944" t="s">
        <v>713</v>
      </c>
      <c r="D8944" t="s">
        <v>714</v>
      </c>
      <c r="E8944" t="s">
        <v>715</v>
      </c>
      <c r="F8944" t="s">
        <v>28705</v>
      </c>
      <c r="G8944" s="2" t="str">
        <f>HYPERLINK("https://probpalata.gov.ru/files/ЮЛ770101216600055.jpeg","Скачать индивидуальный QR-код магазина")</f>
        <v>Скачать индивидуальный QR-код магазина</v>
      </c>
    </row>
    <row r="8945" spans="1:7" x14ac:dyDescent="0.25">
      <c r="A8945" t="s">
        <v>26937</v>
      </c>
      <c r="B8945" t="s">
        <v>28706</v>
      </c>
      <c r="C8945" t="s">
        <v>713</v>
      </c>
      <c r="D8945" t="s">
        <v>714</v>
      </c>
      <c r="E8945" t="s">
        <v>715</v>
      </c>
      <c r="F8945" t="s">
        <v>28707</v>
      </c>
      <c r="G8945" s="2" t="str">
        <f>HYPERLINK("https://probpalata.gov.ru/files/ЮЛ770101216600061.jpeg","Скачать индивидуальный QR-код магазина")</f>
        <v>Скачать индивидуальный QR-код магазина</v>
      </c>
    </row>
    <row r="8946" spans="1:7" x14ac:dyDescent="0.25">
      <c r="A8946" t="s">
        <v>26937</v>
      </c>
      <c r="B8946" t="s">
        <v>28708</v>
      </c>
      <c r="C8946" t="s">
        <v>713</v>
      </c>
      <c r="D8946" t="s">
        <v>714</v>
      </c>
      <c r="E8946" t="s">
        <v>715</v>
      </c>
      <c r="F8946" t="s">
        <v>28709</v>
      </c>
      <c r="G8946" s="2" t="str">
        <f>HYPERLINK("https://probpalata.gov.ru/files/ЮЛ770101216600062.jpeg","Скачать индивидуальный QR-код магазина")</f>
        <v>Скачать индивидуальный QR-код магазина</v>
      </c>
    </row>
    <row r="8947" spans="1:7" x14ac:dyDescent="0.25">
      <c r="A8947" t="s">
        <v>26937</v>
      </c>
      <c r="B8947" t="s">
        <v>28710</v>
      </c>
      <c r="C8947" t="s">
        <v>713</v>
      </c>
      <c r="D8947" t="s">
        <v>714</v>
      </c>
      <c r="E8947" t="s">
        <v>715</v>
      </c>
      <c r="F8947" t="s">
        <v>28711</v>
      </c>
      <c r="G8947" s="2" t="str">
        <f>HYPERLINK("https://probpalata.gov.ru/files/ЮЛ770101216600063.jpeg","Скачать индивидуальный QR-код магазина")</f>
        <v>Скачать индивидуальный QR-код магазина</v>
      </c>
    </row>
    <row r="8948" spans="1:7" x14ac:dyDescent="0.25">
      <c r="A8948" t="s">
        <v>26937</v>
      </c>
      <c r="B8948" t="s">
        <v>28712</v>
      </c>
      <c r="C8948" t="s">
        <v>713</v>
      </c>
      <c r="D8948" t="s">
        <v>714</v>
      </c>
      <c r="E8948" t="s">
        <v>715</v>
      </c>
      <c r="F8948" t="s">
        <v>28713</v>
      </c>
      <c r="G8948" s="2" t="str">
        <f>HYPERLINK("https://probpalata.gov.ru/files/ЮЛ770101216600064.jpeg","Скачать индивидуальный QR-код магазина")</f>
        <v>Скачать индивидуальный QR-код магазина</v>
      </c>
    </row>
    <row r="8949" spans="1:7" x14ac:dyDescent="0.25">
      <c r="A8949" t="s">
        <v>26937</v>
      </c>
      <c r="B8949" t="s">
        <v>28714</v>
      </c>
      <c r="C8949" t="s">
        <v>713</v>
      </c>
      <c r="D8949" t="s">
        <v>714</v>
      </c>
      <c r="E8949" t="s">
        <v>715</v>
      </c>
      <c r="F8949" t="s">
        <v>28715</v>
      </c>
      <c r="G8949" s="2" t="str">
        <f>HYPERLINK("https://probpalata.gov.ru/files/ЮЛ770101216600065.jpeg","Скачать индивидуальный QR-код магазина")</f>
        <v>Скачать индивидуальный QR-код магазина</v>
      </c>
    </row>
    <row r="8950" spans="1:7" x14ac:dyDescent="0.25">
      <c r="A8950" t="s">
        <v>26937</v>
      </c>
      <c r="B8950" t="s">
        <v>28716</v>
      </c>
      <c r="C8950" t="s">
        <v>713</v>
      </c>
      <c r="D8950" t="s">
        <v>714</v>
      </c>
      <c r="E8950" t="s">
        <v>715</v>
      </c>
      <c r="F8950" t="s">
        <v>28717</v>
      </c>
      <c r="G8950" s="2" t="str">
        <f>HYPERLINK("https://probpalata.gov.ru/files/ЮЛ770101216600069.jpeg","Скачать индивидуальный QR-код магазина")</f>
        <v>Скачать индивидуальный QR-код магазина</v>
      </c>
    </row>
    <row r="8951" spans="1:7" x14ac:dyDescent="0.25">
      <c r="A8951" t="s">
        <v>26937</v>
      </c>
      <c r="B8951" t="s">
        <v>28718</v>
      </c>
      <c r="C8951" t="s">
        <v>713</v>
      </c>
      <c r="D8951" t="s">
        <v>714</v>
      </c>
      <c r="E8951" t="s">
        <v>715</v>
      </c>
      <c r="F8951" t="s">
        <v>28719</v>
      </c>
      <c r="G8951" s="2" t="str">
        <f>HYPERLINK("https://probpalata.gov.ru/files/ЮЛ770101216600073.jpeg","Скачать индивидуальный QR-код магазина")</f>
        <v>Скачать индивидуальный QR-код магазина</v>
      </c>
    </row>
    <row r="8952" spans="1:7" x14ac:dyDescent="0.25">
      <c r="A8952" t="s">
        <v>26937</v>
      </c>
      <c r="B8952" t="s">
        <v>28720</v>
      </c>
      <c r="C8952" t="s">
        <v>713</v>
      </c>
      <c r="D8952" t="s">
        <v>714</v>
      </c>
      <c r="E8952" t="s">
        <v>715</v>
      </c>
      <c r="F8952" t="s">
        <v>28721</v>
      </c>
      <c r="G8952" s="2" t="str">
        <f>HYPERLINK("https://probpalata.gov.ru/files/ЮЛ770101216600076.jpeg","Скачать индивидуальный QR-код магазина")</f>
        <v>Скачать индивидуальный QR-код магазина</v>
      </c>
    </row>
    <row r="8953" spans="1:7" x14ac:dyDescent="0.25">
      <c r="A8953" t="s">
        <v>26937</v>
      </c>
      <c r="B8953" t="s">
        <v>28722</v>
      </c>
      <c r="C8953" t="s">
        <v>713</v>
      </c>
      <c r="D8953" t="s">
        <v>714</v>
      </c>
      <c r="E8953" t="s">
        <v>715</v>
      </c>
      <c r="F8953" t="s">
        <v>28723</v>
      </c>
      <c r="G8953" s="2" t="str">
        <f>HYPERLINK("https://probpalata.gov.ru/files/ЮЛ770101216600080.jpeg","Скачать индивидуальный QR-код магазина")</f>
        <v>Скачать индивидуальный QR-код магазина</v>
      </c>
    </row>
    <row r="8954" spans="1:7" x14ac:dyDescent="0.25">
      <c r="A8954" t="s">
        <v>26937</v>
      </c>
      <c r="B8954" t="s">
        <v>28724</v>
      </c>
      <c r="C8954" t="s">
        <v>713</v>
      </c>
      <c r="D8954" t="s">
        <v>714</v>
      </c>
      <c r="E8954" t="s">
        <v>715</v>
      </c>
      <c r="F8954" t="s">
        <v>28725</v>
      </c>
      <c r="G8954" s="2" t="str">
        <f>HYPERLINK("https://probpalata.gov.ru/files/ЮЛ770101216600124.jpeg","Скачать индивидуальный QR-код магазина")</f>
        <v>Скачать индивидуальный QR-код магазина</v>
      </c>
    </row>
    <row r="8955" spans="1:7" x14ac:dyDescent="0.25">
      <c r="A8955" t="s">
        <v>26937</v>
      </c>
      <c r="B8955" t="s">
        <v>28726</v>
      </c>
      <c r="C8955" t="s">
        <v>713</v>
      </c>
      <c r="D8955" t="s">
        <v>714</v>
      </c>
      <c r="E8955" t="s">
        <v>715</v>
      </c>
      <c r="F8955" t="s">
        <v>28727</v>
      </c>
      <c r="G8955" s="2" t="str">
        <f>HYPERLINK("https://probpalata.gov.ru/files/ЮЛ770101216600130.jpeg","Скачать индивидуальный QR-код магазина")</f>
        <v>Скачать индивидуальный QR-код магазина</v>
      </c>
    </row>
    <row r="8956" spans="1:7" x14ac:dyDescent="0.25">
      <c r="A8956" t="s">
        <v>26937</v>
      </c>
      <c r="B8956" t="s">
        <v>28728</v>
      </c>
      <c r="C8956" t="s">
        <v>713</v>
      </c>
      <c r="D8956" t="s">
        <v>714</v>
      </c>
      <c r="E8956" t="s">
        <v>715</v>
      </c>
      <c r="F8956" t="s">
        <v>28729</v>
      </c>
      <c r="G8956" s="2" t="str">
        <f>HYPERLINK("https://probpalata.gov.ru/files/ЮЛ770101216600206.jpeg","Скачать индивидуальный QR-код магазина")</f>
        <v>Скачать индивидуальный QR-код магазина</v>
      </c>
    </row>
    <row r="8957" spans="1:7" x14ac:dyDescent="0.25">
      <c r="A8957" t="s">
        <v>26937</v>
      </c>
      <c r="B8957" t="s">
        <v>28730</v>
      </c>
      <c r="C8957" t="s">
        <v>713</v>
      </c>
      <c r="D8957" t="s">
        <v>714</v>
      </c>
      <c r="E8957" t="s">
        <v>715</v>
      </c>
      <c r="F8957" t="s">
        <v>28731</v>
      </c>
      <c r="G8957" s="2" t="str">
        <f>HYPERLINK("https://probpalata.gov.ru/files/ЮЛ770101216600229.jpeg","Скачать индивидуальный QR-код магазина")</f>
        <v>Скачать индивидуальный QR-код магазина</v>
      </c>
    </row>
    <row r="8958" spans="1:7" x14ac:dyDescent="0.25">
      <c r="A8958" t="s">
        <v>26937</v>
      </c>
      <c r="B8958" t="s">
        <v>28732</v>
      </c>
      <c r="C8958" t="s">
        <v>713</v>
      </c>
      <c r="D8958" t="s">
        <v>714</v>
      </c>
      <c r="E8958" t="s">
        <v>715</v>
      </c>
      <c r="F8958" t="s">
        <v>28733</v>
      </c>
      <c r="G8958" s="2" t="str">
        <f>HYPERLINK("https://probpalata.gov.ru/files/ЮЛ770101216600240.jpeg","Скачать индивидуальный QR-код магазина")</f>
        <v>Скачать индивидуальный QR-код магазина</v>
      </c>
    </row>
    <row r="8959" spans="1:7" x14ac:dyDescent="0.25">
      <c r="A8959" t="s">
        <v>26937</v>
      </c>
      <c r="B8959" t="s">
        <v>28734</v>
      </c>
      <c r="C8959" t="s">
        <v>713</v>
      </c>
      <c r="D8959" t="s">
        <v>714</v>
      </c>
      <c r="E8959" t="s">
        <v>715</v>
      </c>
      <c r="F8959" t="s">
        <v>28735</v>
      </c>
      <c r="G8959" s="2" t="str">
        <f>HYPERLINK("https://probpalata.gov.ru/files/ЮЛ770101216600242.jpeg","Скачать индивидуальный QR-код магазина")</f>
        <v>Скачать индивидуальный QR-код магазина</v>
      </c>
    </row>
    <row r="8960" spans="1:7" x14ac:dyDescent="0.25">
      <c r="A8960" t="s">
        <v>26937</v>
      </c>
      <c r="B8960" t="s">
        <v>28736</v>
      </c>
      <c r="C8960" t="s">
        <v>713</v>
      </c>
      <c r="D8960" t="s">
        <v>714</v>
      </c>
      <c r="E8960" t="s">
        <v>715</v>
      </c>
      <c r="F8960" t="s">
        <v>28737</v>
      </c>
      <c r="G8960" s="2" t="str">
        <f>HYPERLINK("https://probpalata.gov.ru/files/ЮЛ770101216600246.jpeg","Скачать индивидуальный QR-код магазина")</f>
        <v>Скачать индивидуальный QR-код магазина</v>
      </c>
    </row>
    <row r="8961" spans="1:7" x14ac:dyDescent="0.25">
      <c r="A8961" t="s">
        <v>26937</v>
      </c>
      <c r="B8961" t="s">
        <v>28738</v>
      </c>
      <c r="C8961" t="s">
        <v>713</v>
      </c>
      <c r="D8961" t="s">
        <v>714</v>
      </c>
      <c r="E8961" t="s">
        <v>715</v>
      </c>
      <c r="F8961" t="s">
        <v>28739</v>
      </c>
      <c r="G8961" s="2" t="str">
        <f>HYPERLINK("https://probpalata.gov.ru/files/ЮЛ770101216600249.jpeg","Скачать индивидуальный QR-код магазина")</f>
        <v>Скачать индивидуальный QR-код магазина</v>
      </c>
    </row>
    <row r="8962" spans="1:7" x14ac:dyDescent="0.25">
      <c r="A8962" t="s">
        <v>26937</v>
      </c>
      <c r="B8962" t="s">
        <v>28740</v>
      </c>
      <c r="C8962" t="s">
        <v>713</v>
      </c>
      <c r="D8962" t="s">
        <v>714</v>
      </c>
      <c r="E8962" t="s">
        <v>715</v>
      </c>
      <c r="F8962" t="s">
        <v>28741</v>
      </c>
      <c r="G8962" s="2" t="str">
        <f>HYPERLINK("https://probpalata.gov.ru/files/ЮЛ770101216600250.jpeg","Скачать индивидуальный QR-код магазина")</f>
        <v>Скачать индивидуальный QR-код магазина</v>
      </c>
    </row>
    <row r="8963" spans="1:7" x14ac:dyDescent="0.25">
      <c r="A8963" t="s">
        <v>26937</v>
      </c>
      <c r="B8963" t="s">
        <v>28742</v>
      </c>
      <c r="C8963" t="s">
        <v>713</v>
      </c>
      <c r="D8963" t="s">
        <v>714</v>
      </c>
      <c r="E8963" t="s">
        <v>715</v>
      </c>
      <c r="F8963" t="s">
        <v>28743</v>
      </c>
      <c r="G8963" s="2" t="str">
        <f>HYPERLINK("https://probpalata.gov.ru/files/ЮЛ770101216600277.jpeg","Скачать индивидуальный QR-код магазина")</f>
        <v>Скачать индивидуальный QR-код магазина</v>
      </c>
    </row>
    <row r="8964" spans="1:7" x14ac:dyDescent="0.25">
      <c r="A8964" t="s">
        <v>26937</v>
      </c>
      <c r="B8964" t="s">
        <v>28744</v>
      </c>
      <c r="C8964" t="s">
        <v>713</v>
      </c>
      <c r="D8964" t="s">
        <v>714</v>
      </c>
      <c r="E8964" t="s">
        <v>715</v>
      </c>
      <c r="F8964" t="s">
        <v>28745</v>
      </c>
      <c r="G8964" s="2" t="str">
        <f>HYPERLINK("https://probpalata.gov.ru/files/ЮЛ770101216600286.jpeg","Скачать индивидуальный QR-код магазина")</f>
        <v>Скачать индивидуальный QR-код магазина</v>
      </c>
    </row>
    <row r="8965" spans="1:7" x14ac:dyDescent="0.25">
      <c r="A8965" t="s">
        <v>26937</v>
      </c>
      <c r="B8965" t="s">
        <v>28746</v>
      </c>
      <c r="C8965" t="s">
        <v>713</v>
      </c>
      <c r="D8965" t="s">
        <v>714</v>
      </c>
      <c r="E8965" t="s">
        <v>715</v>
      </c>
      <c r="F8965" t="s">
        <v>28747</v>
      </c>
      <c r="G8965" s="2" t="str">
        <f>HYPERLINK("https://probpalata.gov.ru/files/ЮЛ770101216600320.jpeg","Скачать индивидуальный QR-код магазина")</f>
        <v>Скачать индивидуальный QR-код магазина</v>
      </c>
    </row>
    <row r="8966" spans="1:7" x14ac:dyDescent="0.25">
      <c r="A8966" t="s">
        <v>26937</v>
      </c>
      <c r="B8966" t="s">
        <v>28748</v>
      </c>
      <c r="C8966" t="s">
        <v>713</v>
      </c>
      <c r="D8966" t="s">
        <v>714</v>
      </c>
      <c r="E8966" t="s">
        <v>715</v>
      </c>
      <c r="F8966" t="s">
        <v>28749</v>
      </c>
      <c r="G8966" s="2" t="str">
        <f>HYPERLINK("https://probpalata.gov.ru/files/ЮЛ770101216600330.jpeg","Скачать индивидуальный QR-код магазина")</f>
        <v>Скачать индивидуальный QR-код магазина</v>
      </c>
    </row>
    <row r="8967" spans="1:7" x14ac:dyDescent="0.25">
      <c r="A8967" t="s">
        <v>26937</v>
      </c>
      <c r="B8967" t="s">
        <v>28750</v>
      </c>
      <c r="C8967" t="s">
        <v>713</v>
      </c>
      <c r="D8967" t="s">
        <v>714</v>
      </c>
      <c r="E8967" t="s">
        <v>715</v>
      </c>
      <c r="F8967" t="s">
        <v>28751</v>
      </c>
      <c r="G8967" s="2" t="str">
        <f>HYPERLINK("https://probpalata.gov.ru/files/ЮЛ770101216600334.jpeg","Скачать индивидуальный QR-код магазина")</f>
        <v>Скачать индивидуальный QR-код магазина</v>
      </c>
    </row>
    <row r="8968" spans="1:7" x14ac:dyDescent="0.25">
      <c r="A8968" t="s">
        <v>26937</v>
      </c>
      <c r="B8968" t="s">
        <v>28752</v>
      </c>
      <c r="C8968" t="s">
        <v>713</v>
      </c>
      <c r="D8968" t="s">
        <v>714</v>
      </c>
      <c r="E8968" t="s">
        <v>715</v>
      </c>
      <c r="F8968" t="s">
        <v>28753</v>
      </c>
      <c r="G8968" s="2" t="str">
        <f>HYPERLINK("https://probpalata.gov.ru/files/ЮЛ770101216600339.jpeg","Скачать индивидуальный QR-код магазина")</f>
        <v>Скачать индивидуальный QR-код магазина</v>
      </c>
    </row>
    <row r="8969" spans="1:7" x14ac:dyDescent="0.25">
      <c r="A8969" t="s">
        <v>26937</v>
      </c>
      <c r="B8969" t="s">
        <v>28754</v>
      </c>
      <c r="C8969" t="s">
        <v>713</v>
      </c>
      <c r="D8969" t="s">
        <v>714</v>
      </c>
      <c r="E8969" t="s">
        <v>715</v>
      </c>
      <c r="F8969" t="s">
        <v>28755</v>
      </c>
      <c r="G8969" s="2" t="str">
        <f>HYPERLINK("https://probpalata.gov.ru/files/ЮЛ770101216600346.jpeg","Скачать индивидуальный QR-код магазина")</f>
        <v>Скачать индивидуальный QR-код магазина</v>
      </c>
    </row>
    <row r="8970" spans="1:7" x14ac:dyDescent="0.25">
      <c r="A8970" t="s">
        <v>26937</v>
      </c>
      <c r="B8970" t="s">
        <v>28756</v>
      </c>
      <c r="C8970" t="s">
        <v>713</v>
      </c>
      <c r="D8970" t="s">
        <v>714</v>
      </c>
      <c r="E8970" t="s">
        <v>715</v>
      </c>
      <c r="F8970" t="s">
        <v>28757</v>
      </c>
      <c r="G8970" s="2" t="str">
        <f>HYPERLINK("https://probpalata.gov.ru/files/ЮЛ770101216600351.jpeg","Скачать индивидуальный QR-код магазина")</f>
        <v>Скачать индивидуальный QR-код магазина</v>
      </c>
    </row>
    <row r="8971" spans="1:7" x14ac:dyDescent="0.25">
      <c r="A8971" t="s">
        <v>26937</v>
      </c>
      <c r="B8971" t="s">
        <v>28758</v>
      </c>
      <c r="C8971" t="s">
        <v>713</v>
      </c>
      <c r="D8971" t="s">
        <v>714</v>
      </c>
      <c r="E8971" t="s">
        <v>715</v>
      </c>
      <c r="F8971" t="s">
        <v>28759</v>
      </c>
      <c r="G8971" s="2" t="str">
        <f>HYPERLINK("https://probpalata.gov.ru/files/ЮЛ770101216600364.jpeg","Скачать индивидуальный QR-код магазина")</f>
        <v>Скачать индивидуальный QR-код магазина</v>
      </c>
    </row>
    <row r="8972" spans="1:7" x14ac:dyDescent="0.25">
      <c r="A8972" t="s">
        <v>26937</v>
      </c>
      <c r="B8972" t="s">
        <v>28760</v>
      </c>
      <c r="C8972" t="s">
        <v>713</v>
      </c>
      <c r="D8972" t="s">
        <v>714</v>
      </c>
      <c r="E8972" t="s">
        <v>715</v>
      </c>
      <c r="F8972" t="s">
        <v>28761</v>
      </c>
      <c r="G8972" s="2" t="str">
        <f>HYPERLINK("https://probpalata.gov.ru/files/ЮЛ770101216600365.jpeg","Скачать индивидуальный QR-код магазина")</f>
        <v>Скачать индивидуальный QR-код магазина</v>
      </c>
    </row>
    <row r="8973" spans="1:7" x14ac:dyDescent="0.25">
      <c r="A8973" t="s">
        <v>26937</v>
      </c>
      <c r="B8973" t="s">
        <v>28762</v>
      </c>
      <c r="C8973" t="s">
        <v>713</v>
      </c>
      <c r="D8973" t="s">
        <v>714</v>
      </c>
      <c r="E8973" t="s">
        <v>715</v>
      </c>
      <c r="F8973" t="s">
        <v>28763</v>
      </c>
      <c r="G8973" s="2" t="str">
        <f>HYPERLINK("https://probpalata.gov.ru/files/ЮЛ770101216600383.jpeg","Скачать индивидуальный QR-код магазина")</f>
        <v>Скачать индивидуальный QR-код магазина</v>
      </c>
    </row>
    <row r="8974" spans="1:7" x14ac:dyDescent="0.25">
      <c r="A8974" t="s">
        <v>26937</v>
      </c>
      <c r="B8974" t="s">
        <v>28764</v>
      </c>
      <c r="C8974" t="s">
        <v>713</v>
      </c>
      <c r="D8974" t="s">
        <v>714</v>
      </c>
      <c r="E8974" t="s">
        <v>715</v>
      </c>
      <c r="F8974" t="s">
        <v>28765</v>
      </c>
      <c r="G8974" s="2" t="str">
        <f>HYPERLINK("https://probpalata.gov.ru/files/ЮЛ770101216600384.jpeg","Скачать индивидуальный QR-код магазина")</f>
        <v>Скачать индивидуальный QR-код магазина</v>
      </c>
    </row>
    <row r="8975" spans="1:7" x14ac:dyDescent="0.25">
      <c r="A8975" t="s">
        <v>26937</v>
      </c>
      <c r="B8975" t="s">
        <v>28766</v>
      </c>
      <c r="C8975" t="s">
        <v>713</v>
      </c>
      <c r="D8975" t="s">
        <v>714</v>
      </c>
      <c r="E8975" t="s">
        <v>715</v>
      </c>
      <c r="F8975" t="s">
        <v>28767</v>
      </c>
      <c r="G8975" s="2" t="str">
        <f>HYPERLINK("https://probpalata.gov.ru/files/ЮЛ770101216600440.jpeg","Скачать индивидуальный QR-код магазина")</f>
        <v>Скачать индивидуальный QR-код магазина</v>
      </c>
    </row>
    <row r="8976" spans="1:7" x14ac:dyDescent="0.25">
      <c r="A8976" t="s">
        <v>26937</v>
      </c>
      <c r="B8976" t="s">
        <v>28768</v>
      </c>
      <c r="C8976" t="s">
        <v>713</v>
      </c>
      <c r="D8976" t="s">
        <v>714</v>
      </c>
      <c r="E8976" t="s">
        <v>715</v>
      </c>
      <c r="F8976" t="s">
        <v>28769</v>
      </c>
      <c r="G8976" s="2" t="str">
        <f>HYPERLINK("https://probpalata.gov.ru/files/ЮЛ770101216600443.jpeg","Скачать индивидуальный QR-код магазина")</f>
        <v>Скачать индивидуальный QR-код магазина</v>
      </c>
    </row>
    <row r="8977" spans="1:7" x14ac:dyDescent="0.25">
      <c r="A8977" t="s">
        <v>26937</v>
      </c>
      <c r="B8977" t="s">
        <v>28770</v>
      </c>
      <c r="C8977" t="s">
        <v>713</v>
      </c>
      <c r="D8977" t="s">
        <v>714</v>
      </c>
      <c r="E8977" t="s">
        <v>715</v>
      </c>
      <c r="F8977" t="s">
        <v>28771</v>
      </c>
      <c r="G8977" s="2" t="str">
        <f>HYPERLINK("https://probpalata.gov.ru/files/ЮЛ770101216600448.jpeg","Скачать индивидуальный QR-код магазина")</f>
        <v>Скачать индивидуальный QR-код магазина</v>
      </c>
    </row>
    <row r="8978" spans="1:7" x14ac:dyDescent="0.25">
      <c r="A8978" t="s">
        <v>26937</v>
      </c>
      <c r="B8978" t="s">
        <v>28772</v>
      </c>
      <c r="C8978" t="s">
        <v>713</v>
      </c>
      <c r="D8978" t="s">
        <v>714</v>
      </c>
      <c r="E8978" t="s">
        <v>715</v>
      </c>
      <c r="F8978" t="s">
        <v>28773</v>
      </c>
      <c r="G8978" s="2" t="str">
        <f>HYPERLINK("https://probpalata.gov.ru/files/ЮЛ770101216600454.jpeg","Скачать индивидуальный QR-код магазина")</f>
        <v>Скачать индивидуальный QR-код магазина</v>
      </c>
    </row>
    <row r="8979" spans="1:7" x14ac:dyDescent="0.25">
      <c r="A8979" t="s">
        <v>26937</v>
      </c>
      <c r="B8979" t="s">
        <v>28774</v>
      </c>
      <c r="C8979" t="s">
        <v>713</v>
      </c>
      <c r="D8979" t="s">
        <v>714</v>
      </c>
      <c r="E8979" t="s">
        <v>715</v>
      </c>
      <c r="F8979" t="s">
        <v>28775</v>
      </c>
      <c r="G8979" s="2" t="str">
        <f>HYPERLINK("https://probpalata.gov.ru/files/ЮЛ770101216600455.jpeg","Скачать индивидуальный QR-код магазина")</f>
        <v>Скачать индивидуальный QR-код магазина</v>
      </c>
    </row>
    <row r="8980" spans="1:7" x14ac:dyDescent="0.25">
      <c r="A8980" t="s">
        <v>26937</v>
      </c>
      <c r="B8980" t="s">
        <v>28776</v>
      </c>
      <c r="C8980" t="s">
        <v>713</v>
      </c>
      <c r="D8980" t="s">
        <v>714</v>
      </c>
      <c r="E8980" t="s">
        <v>715</v>
      </c>
      <c r="F8980" t="s">
        <v>28777</v>
      </c>
      <c r="G8980" s="2" t="str">
        <f>HYPERLINK("https://probpalata.gov.ru/files/ЮЛ770101216600457.jpeg","Скачать индивидуальный QR-код магазина")</f>
        <v>Скачать индивидуальный QR-код магазина</v>
      </c>
    </row>
    <row r="8981" spans="1:7" x14ac:dyDescent="0.25">
      <c r="A8981" t="s">
        <v>26937</v>
      </c>
      <c r="B8981" t="s">
        <v>28778</v>
      </c>
      <c r="C8981" t="s">
        <v>713</v>
      </c>
      <c r="D8981" t="s">
        <v>714</v>
      </c>
      <c r="E8981" t="s">
        <v>715</v>
      </c>
      <c r="F8981" t="s">
        <v>28779</v>
      </c>
      <c r="G8981" s="2" t="str">
        <f>HYPERLINK("https://probpalata.gov.ru/files/ЮЛ770101216600459.jpeg","Скачать индивидуальный QR-код магазина")</f>
        <v>Скачать индивидуальный QR-код магазина</v>
      </c>
    </row>
    <row r="8982" spans="1:7" x14ac:dyDescent="0.25">
      <c r="A8982" t="s">
        <v>26937</v>
      </c>
      <c r="B8982" t="s">
        <v>28780</v>
      </c>
      <c r="C8982" t="s">
        <v>713</v>
      </c>
      <c r="D8982" t="s">
        <v>714</v>
      </c>
      <c r="E8982" t="s">
        <v>715</v>
      </c>
      <c r="F8982" t="s">
        <v>28781</v>
      </c>
      <c r="G8982" s="2" t="str">
        <f>HYPERLINK("https://probpalata.gov.ru/files/ЮЛ770101216600528.jpeg","Скачать индивидуальный QR-код магазина")</f>
        <v>Скачать индивидуальный QR-код магазина</v>
      </c>
    </row>
    <row r="8983" spans="1:7" x14ac:dyDescent="0.25">
      <c r="A8983" t="s">
        <v>26937</v>
      </c>
      <c r="B8983" t="s">
        <v>28782</v>
      </c>
      <c r="C8983" t="s">
        <v>713</v>
      </c>
      <c r="D8983" t="s">
        <v>714</v>
      </c>
      <c r="E8983" t="s">
        <v>715</v>
      </c>
      <c r="F8983" t="s">
        <v>28783</v>
      </c>
      <c r="G8983" s="2" t="str">
        <f>HYPERLINK("https://probpalata.gov.ru/files/ЮЛ770101216600547.jpeg","Скачать индивидуальный QR-код магазина")</f>
        <v>Скачать индивидуальный QR-код магазина</v>
      </c>
    </row>
    <row r="8984" spans="1:7" x14ac:dyDescent="0.25">
      <c r="A8984" t="s">
        <v>26937</v>
      </c>
      <c r="B8984" t="s">
        <v>28784</v>
      </c>
      <c r="C8984" t="s">
        <v>713</v>
      </c>
      <c r="D8984" t="s">
        <v>714</v>
      </c>
      <c r="E8984" t="s">
        <v>715</v>
      </c>
      <c r="F8984" t="s">
        <v>28785</v>
      </c>
      <c r="G8984" s="2" t="str">
        <f>HYPERLINK("https://probpalata.gov.ru/files/ЮЛ770101216600561.jpeg","Скачать индивидуальный QR-код магазина")</f>
        <v>Скачать индивидуальный QR-код магазина</v>
      </c>
    </row>
    <row r="8985" spans="1:7" x14ac:dyDescent="0.25">
      <c r="A8985" t="s">
        <v>26937</v>
      </c>
      <c r="B8985" t="s">
        <v>28786</v>
      </c>
      <c r="C8985" t="s">
        <v>713</v>
      </c>
      <c r="D8985" t="s">
        <v>714</v>
      </c>
      <c r="E8985" t="s">
        <v>715</v>
      </c>
      <c r="F8985" t="s">
        <v>28787</v>
      </c>
      <c r="G8985" s="2" t="str">
        <f>HYPERLINK("https://probpalata.gov.ru/files/ЮЛ770101216600574.jpeg","Скачать индивидуальный QR-код магазина")</f>
        <v>Скачать индивидуальный QR-код магазина</v>
      </c>
    </row>
    <row r="8986" spans="1:7" x14ac:dyDescent="0.25">
      <c r="A8986" t="s">
        <v>26937</v>
      </c>
      <c r="B8986" t="s">
        <v>28788</v>
      </c>
      <c r="C8986" t="s">
        <v>713</v>
      </c>
      <c r="D8986" t="s">
        <v>714</v>
      </c>
      <c r="E8986" t="s">
        <v>715</v>
      </c>
      <c r="F8986" t="s">
        <v>28789</v>
      </c>
      <c r="G8986" s="2" t="str">
        <f>HYPERLINK("https://probpalata.gov.ru/files/ЮЛ770101216600582.jpeg","Скачать индивидуальный QR-код магазина")</f>
        <v>Скачать индивидуальный QR-код магазина</v>
      </c>
    </row>
    <row r="8987" spans="1:7" x14ac:dyDescent="0.25">
      <c r="A8987" t="s">
        <v>26937</v>
      </c>
      <c r="B8987" t="s">
        <v>28790</v>
      </c>
      <c r="C8987" t="s">
        <v>713</v>
      </c>
      <c r="D8987" t="s">
        <v>714</v>
      </c>
      <c r="E8987" t="s">
        <v>715</v>
      </c>
      <c r="F8987" t="s">
        <v>28791</v>
      </c>
      <c r="G8987" s="2" t="str">
        <f>HYPERLINK("https://probpalata.gov.ru/files/ЮЛ770101216600584.jpeg","Скачать индивидуальный QR-код магазина")</f>
        <v>Скачать индивидуальный QR-код магазина</v>
      </c>
    </row>
    <row r="8988" spans="1:7" x14ac:dyDescent="0.25">
      <c r="A8988" t="s">
        <v>26937</v>
      </c>
      <c r="B8988" t="s">
        <v>28792</v>
      </c>
      <c r="C8988" t="s">
        <v>713</v>
      </c>
      <c r="D8988" t="s">
        <v>714</v>
      </c>
      <c r="E8988" t="s">
        <v>715</v>
      </c>
      <c r="F8988" t="s">
        <v>28793</v>
      </c>
      <c r="G8988" s="2" t="str">
        <f>HYPERLINK("https://probpalata.gov.ru/files/ЮЛ770101216600588.jpeg","Скачать индивидуальный QR-код магазина")</f>
        <v>Скачать индивидуальный QR-код магазина</v>
      </c>
    </row>
    <row r="8989" spans="1:7" x14ac:dyDescent="0.25">
      <c r="A8989" t="s">
        <v>26937</v>
      </c>
      <c r="B8989" t="s">
        <v>28794</v>
      </c>
      <c r="C8989" t="s">
        <v>713</v>
      </c>
      <c r="D8989" t="s">
        <v>714</v>
      </c>
      <c r="E8989" t="s">
        <v>715</v>
      </c>
      <c r="F8989" t="s">
        <v>28795</v>
      </c>
      <c r="G8989" s="2" t="str">
        <f>HYPERLINK("https://probpalata.gov.ru/files/ЮЛ770101216600612.jpeg","Скачать индивидуальный QR-код магазина")</f>
        <v>Скачать индивидуальный QR-код магазина</v>
      </c>
    </row>
    <row r="8990" spans="1:7" x14ac:dyDescent="0.25">
      <c r="A8990" t="s">
        <v>26937</v>
      </c>
      <c r="B8990" t="s">
        <v>28796</v>
      </c>
      <c r="C8990" t="s">
        <v>713</v>
      </c>
      <c r="D8990" t="s">
        <v>714</v>
      </c>
      <c r="E8990" t="s">
        <v>715</v>
      </c>
      <c r="F8990" t="s">
        <v>28797</v>
      </c>
      <c r="G8990" s="2" t="str">
        <f>HYPERLINK("https://probpalata.gov.ru/files/ЮЛ770101216600625.jpeg","Скачать индивидуальный QR-код магазина")</f>
        <v>Скачать индивидуальный QR-код магазина</v>
      </c>
    </row>
    <row r="8991" spans="1:7" x14ac:dyDescent="0.25">
      <c r="A8991" t="s">
        <v>26937</v>
      </c>
      <c r="B8991" t="s">
        <v>28798</v>
      </c>
      <c r="C8991" t="s">
        <v>713</v>
      </c>
      <c r="D8991" t="s">
        <v>714</v>
      </c>
      <c r="E8991" t="s">
        <v>715</v>
      </c>
      <c r="F8991" t="s">
        <v>28799</v>
      </c>
      <c r="G8991" s="2" t="str">
        <f>HYPERLINK("https://probpalata.gov.ru/files/ЮЛ770101216600649.jpeg","Скачать индивидуальный QR-код магазина")</f>
        <v>Скачать индивидуальный QR-код магазина</v>
      </c>
    </row>
    <row r="8992" spans="1:7" x14ac:dyDescent="0.25">
      <c r="A8992" t="s">
        <v>26937</v>
      </c>
      <c r="B8992" t="s">
        <v>28800</v>
      </c>
      <c r="C8992" t="s">
        <v>713</v>
      </c>
      <c r="D8992" t="s">
        <v>714</v>
      </c>
      <c r="E8992" t="s">
        <v>715</v>
      </c>
      <c r="F8992" t="s">
        <v>28801</v>
      </c>
      <c r="G8992" s="2" t="str">
        <f>HYPERLINK("https://probpalata.gov.ru/files/ЮЛ770101216600657.jpeg","Скачать индивидуальный QR-код магазина")</f>
        <v>Скачать индивидуальный QR-код магазина</v>
      </c>
    </row>
    <row r="8993" spans="1:7" x14ac:dyDescent="0.25">
      <c r="A8993" t="s">
        <v>26937</v>
      </c>
      <c r="B8993" t="s">
        <v>28802</v>
      </c>
      <c r="C8993" t="s">
        <v>713</v>
      </c>
      <c r="D8993" t="s">
        <v>714</v>
      </c>
      <c r="E8993" t="s">
        <v>715</v>
      </c>
      <c r="F8993" t="s">
        <v>28803</v>
      </c>
      <c r="G8993" s="2" t="str">
        <f>HYPERLINK("https://probpalata.gov.ru/files/ЮЛ770101216600678.jpeg","Скачать индивидуальный QR-код магазина")</f>
        <v>Скачать индивидуальный QR-код магазина</v>
      </c>
    </row>
    <row r="8994" spans="1:7" x14ac:dyDescent="0.25">
      <c r="A8994" t="s">
        <v>26937</v>
      </c>
      <c r="B8994" t="s">
        <v>28804</v>
      </c>
      <c r="C8994" t="s">
        <v>713</v>
      </c>
      <c r="D8994" t="s">
        <v>714</v>
      </c>
      <c r="E8994" t="s">
        <v>715</v>
      </c>
      <c r="F8994" t="s">
        <v>28805</v>
      </c>
      <c r="G8994" s="2" t="str">
        <f>HYPERLINK("https://probpalata.gov.ru/files/ЮЛ770101216600681.jpeg","Скачать индивидуальный QR-код магазина")</f>
        <v>Скачать индивидуальный QR-код магазина</v>
      </c>
    </row>
    <row r="8995" spans="1:7" x14ac:dyDescent="0.25">
      <c r="A8995" t="s">
        <v>26937</v>
      </c>
      <c r="B8995" t="s">
        <v>28806</v>
      </c>
      <c r="C8995" t="s">
        <v>713</v>
      </c>
      <c r="D8995" t="s">
        <v>714</v>
      </c>
      <c r="E8995" t="s">
        <v>715</v>
      </c>
      <c r="F8995" t="s">
        <v>28807</v>
      </c>
      <c r="G8995" s="2" t="str">
        <f>HYPERLINK("https://probpalata.gov.ru/files/ЮЛ770101216600684.jpeg","Скачать индивидуальный QR-код магазина")</f>
        <v>Скачать индивидуальный QR-код магазина</v>
      </c>
    </row>
    <row r="8996" spans="1:7" x14ac:dyDescent="0.25">
      <c r="A8996" t="s">
        <v>26937</v>
      </c>
      <c r="B8996" t="s">
        <v>28808</v>
      </c>
      <c r="C8996" t="s">
        <v>713</v>
      </c>
      <c r="D8996" t="s">
        <v>714</v>
      </c>
      <c r="E8996" t="s">
        <v>715</v>
      </c>
      <c r="F8996" t="s">
        <v>28809</v>
      </c>
      <c r="G8996" s="2" t="str">
        <f>HYPERLINK("https://probpalata.gov.ru/files/ЮЛ770101216600686.jpeg","Скачать индивидуальный QR-код магазина")</f>
        <v>Скачать индивидуальный QR-код магазина</v>
      </c>
    </row>
    <row r="8997" spans="1:7" x14ac:dyDescent="0.25">
      <c r="A8997" t="s">
        <v>26937</v>
      </c>
      <c r="B8997" t="s">
        <v>28810</v>
      </c>
      <c r="C8997" t="s">
        <v>713</v>
      </c>
      <c r="D8997" t="s">
        <v>714</v>
      </c>
      <c r="E8997" t="s">
        <v>715</v>
      </c>
      <c r="F8997" t="s">
        <v>28811</v>
      </c>
      <c r="G8997" s="2" t="str">
        <f>HYPERLINK("https://probpalata.gov.ru/files/ЮЛ770101216600687.jpeg","Скачать индивидуальный QR-код магазина")</f>
        <v>Скачать индивидуальный QR-код магазина</v>
      </c>
    </row>
    <row r="8998" spans="1:7" x14ac:dyDescent="0.25">
      <c r="A8998" t="s">
        <v>26937</v>
      </c>
      <c r="B8998" t="s">
        <v>28812</v>
      </c>
      <c r="C8998" t="s">
        <v>713</v>
      </c>
      <c r="D8998" t="s">
        <v>714</v>
      </c>
      <c r="E8998" t="s">
        <v>715</v>
      </c>
      <c r="F8998" t="s">
        <v>28813</v>
      </c>
      <c r="G8998" s="2" t="str">
        <f>HYPERLINK("https://probpalata.gov.ru/files/ЮЛ770101216600690.jpeg","Скачать индивидуальный QR-код магазина")</f>
        <v>Скачать индивидуальный QR-код магазина</v>
      </c>
    </row>
    <row r="8999" spans="1:7" x14ac:dyDescent="0.25">
      <c r="A8999" t="s">
        <v>26937</v>
      </c>
      <c r="B8999" t="s">
        <v>28814</v>
      </c>
      <c r="C8999" t="s">
        <v>713</v>
      </c>
      <c r="D8999" t="s">
        <v>714</v>
      </c>
      <c r="E8999" t="s">
        <v>715</v>
      </c>
      <c r="F8999" t="s">
        <v>28815</v>
      </c>
      <c r="G8999" s="2" t="str">
        <f>HYPERLINK("https://probpalata.gov.ru/files/ЮЛ770101216600692.jpeg","Скачать индивидуальный QR-код магазина")</f>
        <v>Скачать индивидуальный QR-код магазина</v>
      </c>
    </row>
    <row r="9000" spans="1:7" x14ac:dyDescent="0.25">
      <c r="A9000" t="s">
        <v>26937</v>
      </c>
      <c r="B9000" t="s">
        <v>28816</v>
      </c>
      <c r="C9000" t="s">
        <v>713</v>
      </c>
      <c r="D9000" t="s">
        <v>714</v>
      </c>
      <c r="E9000" t="s">
        <v>715</v>
      </c>
      <c r="F9000" t="s">
        <v>28817</v>
      </c>
      <c r="G9000" s="2" t="str">
        <f>HYPERLINK("https://probpalata.gov.ru/files/ЮЛ770101216600694.jpeg","Скачать индивидуальный QR-код магазина")</f>
        <v>Скачать индивидуальный QR-код магазина</v>
      </c>
    </row>
    <row r="9001" spans="1:7" x14ac:dyDescent="0.25">
      <c r="A9001" t="s">
        <v>26937</v>
      </c>
      <c r="B9001" t="s">
        <v>28818</v>
      </c>
      <c r="C9001" t="s">
        <v>713</v>
      </c>
      <c r="D9001" t="s">
        <v>714</v>
      </c>
      <c r="E9001" t="s">
        <v>715</v>
      </c>
      <c r="F9001" t="s">
        <v>28819</v>
      </c>
      <c r="G9001" s="2" t="str">
        <f>HYPERLINK("https://probpalata.gov.ru/files/ЮЛ770101216600697.jpeg","Скачать индивидуальный QR-код магазина")</f>
        <v>Скачать индивидуальный QR-код магазина</v>
      </c>
    </row>
    <row r="9002" spans="1:7" x14ac:dyDescent="0.25">
      <c r="A9002" t="s">
        <v>26937</v>
      </c>
      <c r="B9002" t="s">
        <v>28820</v>
      </c>
      <c r="C9002" t="s">
        <v>713</v>
      </c>
      <c r="D9002" t="s">
        <v>714</v>
      </c>
      <c r="E9002" t="s">
        <v>715</v>
      </c>
      <c r="F9002" t="s">
        <v>28821</v>
      </c>
      <c r="G9002" s="2" t="str">
        <f>HYPERLINK("https://probpalata.gov.ru/files/ЮЛ770101216600698.jpeg","Скачать индивидуальный QR-код магазина")</f>
        <v>Скачать индивидуальный QR-код магазина</v>
      </c>
    </row>
    <row r="9003" spans="1:7" x14ac:dyDescent="0.25">
      <c r="A9003" t="s">
        <v>26937</v>
      </c>
      <c r="B9003" t="s">
        <v>28822</v>
      </c>
      <c r="C9003" t="s">
        <v>713</v>
      </c>
      <c r="D9003" t="s">
        <v>714</v>
      </c>
      <c r="E9003" t="s">
        <v>715</v>
      </c>
      <c r="F9003" t="s">
        <v>28823</v>
      </c>
      <c r="G9003" s="2" t="str">
        <f>HYPERLINK("https://probpalata.gov.ru/files/ЮЛ770101216600701.jpeg","Скачать индивидуальный QR-код магазина")</f>
        <v>Скачать индивидуальный QR-код магазина</v>
      </c>
    </row>
    <row r="9004" spans="1:7" x14ac:dyDescent="0.25">
      <c r="A9004" t="s">
        <v>26937</v>
      </c>
      <c r="B9004" t="s">
        <v>28824</v>
      </c>
      <c r="C9004" t="s">
        <v>713</v>
      </c>
      <c r="D9004" t="s">
        <v>714</v>
      </c>
      <c r="E9004" t="s">
        <v>715</v>
      </c>
      <c r="F9004" t="s">
        <v>28825</v>
      </c>
      <c r="G9004" s="2" t="str">
        <f>HYPERLINK("https://probpalata.gov.ru/files/ЮЛ770101216600735.jpeg","Скачать индивидуальный QR-код магазина")</f>
        <v>Скачать индивидуальный QR-код магазина</v>
      </c>
    </row>
    <row r="9005" spans="1:7" x14ac:dyDescent="0.25">
      <c r="A9005" t="s">
        <v>26937</v>
      </c>
      <c r="B9005" t="s">
        <v>28826</v>
      </c>
      <c r="C9005" t="s">
        <v>713</v>
      </c>
      <c r="D9005" t="s">
        <v>714</v>
      </c>
      <c r="E9005" t="s">
        <v>715</v>
      </c>
      <c r="F9005" t="s">
        <v>28827</v>
      </c>
      <c r="G9005" s="2" t="str">
        <f>HYPERLINK("https://probpalata.gov.ru/files/ЮЛ770101216600776.jpeg","Скачать индивидуальный QR-код магазина")</f>
        <v>Скачать индивидуальный QR-код магазина</v>
      </c>
    </row>
    <row r="9006" spans="1:7" x14ac:dyDescent="0.25">
      <c r="A9006" t="s">
        <v>26937</v>
      </c>
      <c r="B9006" t="s">
        <v>28828</v>
      </c>
      <c r="C9006" t="s">
        <v>713</v>
      </c>
      <c r="D9006" t="s">
        <v>714</v>
      </c>
      <c r="E9006" t="s">
        <v>715</v>
      </c>
      <c r="F9006" t="s">
        <v>28829</v>
      </c>
      <c r="G9006" s="2" t="str">
        <f>HYPERLINK("https://probpalata.gov.ru/files/ЮЛ770101216600804.jpeg","Скачать индивидуальный QR-код магазина")</f>
        <v>Скачать индивидуальный QR-код магазина</v>
      </c>
    </row>
    <row r="9007" spans="1:7" x14ac:dyDescent="0.25">
      <c r="A9007" t="s">
        <v>26937</v>
      </c>
      <c r="B9007" t="s">
        <v>28830</v>
      </c>
      <c r="C9007" t="s">
        <v>713</v>
      </c>
      <c r="D9007" t="s">
        <v>714</v>
      </c>
      <c r="E9007" t="s">
        <v>715</v>
      </c>
      <c r="F9007" t="s">
        <v>28831</v>
      </c>
      <c r="G9007" s="2" t="str">
        <f>HYPERLINK("https://probpalata.gov.ru/files/ЮЛ770101216600817.jpeg","Скачать индивидуальный QR-код магазина")</f>
        <v>Скачать индивидуальный QR-код магазина</v>
      </c>
    </row>
    <row r="9008" spans="1:7" x14ac:dyDescent="0.25">
      <c r="A9008" t="s">
        <v>26937</v>
      </c>
      <c r="B9008" t="s">
        <v>28832</v>
      </c>
      <c r="C9008" t="s">
        <v>713</v>
      </c>
      <c r="D9008" t="s">
        <v>714</v>
      </c>
      <c r="E9008" t="s">
        <v>715</v>
      </c>
      <c r="F9008" t="s">
        <v>28833</v>
      </c>
      <c r="G9008" s="2" t="str">
        <f>HYPERLINK("https://probpalata.gov.ru/files/ЮЛ770101216600840.jpeg","Скачать индивидуальный QR-код магазина")</f>
        <v>Скачать индивидуальный QR-код магазина</v>
      </c>
    </row>
    <row r="9009" spans="1:7" x14ac:dyDescent="0.25">
      <c r="A9009" t="s">
        <v>26937</v>
      </c>
      <c r="B9009" t="s">
        <v>28834</v>
      </c>
      <c r="C9009" t="s">
        <v>713</v>
      </c>
      <c r="D9009" t="s">
        <v>714</v>
      </c>
      <c r="E9009" t="s">
        <v>715</v>
      </c>
      <c r="F9009" t="s">
        <v>28835</v>
      </c>
      <c r="G9009" s="2" t="str">
        <f>HYPERLINK("https://probpalata.gov.ru/files/ЮЛ770101216600845.jpeg","Скачать индивидуальный QR-код магазина")</f>
        <v>Скачать индивидуальный QR-код магазина</v>
      </c>
    </row>
    <row r="9010" spans="1:7" x14ac:dyDescent="0.25">
      <c r="A9010" t="s">
        <v>26937</v>
      </c>
      <c r="B9010" t="s">
        <v>28836</v>
      </c>
      <c r="C9010" t="s">
        <v>713</v>
      </c>
      <c r="D9010" t="s">
        <v>714</v>
      </c>
      <c r="E9010" t="s">
        <v>715</v>
      </c>
      <c r="F9010" t="s">
        <v>28837</v>
      </c>
      <c r="G9010" s="2" t="str">
        <f>HYPERLINK("https://probpalata.gov.ru/files/ЮЛ770101216600850.jpeg","Скачать индивидуальный QR-код магазина")</f>
        <v>Скачать индивидуальный QR-код магазина</v>
      </c>
    </row>
    <row r="9011" spans="1:7" x14ac:dyDescent="0.25">
      <c r="A9011" t="s">
        <v>26937</v>
      </c>
      <c r="B9011" t="s">
        <v>28838</v>
      </c>
      <c r="C9011" t="s">
        <v>713</v>
      </c>
      <c r="D9011" t="s">
        <v>714</v>
      </c>
      <c r="E9011" t="s">
        <v>715</v>
      </c>
      <c r="F9011" t="s">
        <v>28839</v>
      </c>
      <c r="G9011" s="2" t="str">
        <f>HYPERLINK("https://probpalata.gov.ru/files/ЮЛ770101216600852.jpeg","Скачать индивидуальный QR-код магазина")</f>
        <v>Скачать индивидуальный QR-код магазина</v>
      </c>
    </row>
    <row r="9012" spans="1:7" x14ac:dyDescent="0.25">
      <c r="A9012" t="s">
        <v>26937</v>
      </c>
      <c r="B9012" t="s">
        <v>28840</v>
      </c>
      <c r="C9012" t="s">
        <v>713</v>
      </c>
      <c r="D9012" t="s">
        <v>714</v>
      </c>
      <c r="E9012" t="s">
        <v>715</v>
      </c>
      <c r="F9012" t="s">
        <v>28841</v>
      </c>
      <c r="G9012" s="2" t="str">
        <f>HYPERLINK("https://probpalata.gov.ru/files/ЮЛ770101216600888.jpeg","Скачать индивидуальный QR-код магазина")</f>
        <v>Скачать индивидуальный QR-код магазина</v>
      </c>
    </row>
    <row r="9013" spans="1:7" x14ac:dyDescent="0.25">
      <c r="A9013" t="s">
        <v>26937</v>
      </c>
      <c r="B9013" t="s">
        <v>28842</v>
      </c>
      <c r="C9013" t="s">
        <v>713</v>
      </c>
      <c r="D9013" t="s">
        <v>714</v>
      </c>
      <c r="E9013" t="s">
        <v>715</v>
      </c>
      <c r="F9013" t="s">
        <v>28843</v>
      </c>
      <c r="G9013" s="2" t="str">
        <f>HYPERLINK("https://probpalata.gov.ru/files/ЮЛ770101216600895.jpeg","Скачать индивидуальный QR-код магазина")</f>
        <v>Скачать индивидуальный QR-код магазина</v>
      </c>
    </row>
    <row r="9014" spans="1:7" x14ac:dyDescent="0.25">
      <c r="A9014" t="s">
        <v>26937</v>
      </c>
      <c r="B9014" t="s">
        <v>28844</v>
      </c>
      <c r="C9014" t="s">
        <v>713</v>
      </c>
      <c r="D9014" t="s">
        <v>714</v>
      </c>
      <c r="E9014" t="s">
        <v>715</v>
      </c>
      <c r="F9014" t="s">
        <v>28845</v>
      </c>
      <c r="G9014" s="2" t="str">
        <f>HYPERLINK("https://probpalata.gov.ru/files/ЮЛ770101216600907.jpeg","Скачать индивидуальный QR-код магазина")</f>
        <v>Скачать индивидуальный QR-код магазина</v>
      </c>
    </row>
    <row r="9015" spans="1:7" x14ac:dyDescent="0.25">
      <c r="A9015" t="s">
        <v>26937</v>
      </c>
      <c r="B9015" t="s">
        <v>28846</v>
      </c>
      <c r="C9015" t="s">
        <v>713</v>
      </c>
      <c r="D9015" t="s">
        <v>714</v>
      </c>
      <c r="E9015" t="s">
        <v>715</v>
      </c>
      <c r="F9015" t="s">
        <v>28847</v>
      </c>
      <c r="G9015" s="2" t="str">
        <f>HYPERLINK("https://probpalata.gov.ru/files/ЮЛ770101216600933.jpeg","Скачать индивидуальный QR-код магазина")</f>
        <v>Скачать индивидуальный QR-код магазина</v>
      </c>
    </row>
    <row r="9016" spans="1:7" x14ac:dyDescent="0.25">
      <c r="A9016" t="s">
        <v>26937</v>
      </c>
      <c r="B9016" t="s">
        <v>28848</v>
      </c>
      <c r="C9016" t="s">
        <v>713</v>
      </c>
      <c r="D9016" t="s">
        <v>714</v>
      </c>
      <c r="E9016" t="s">
        <v>715</v>
      </c>
      <c r="F9016" t="s">
        <v>28849</v>
      </c>
      <c r="G9016" s="2" t="str">
        <f>HYPERLINK("https://probpalata.gov.ru/files/ЮЛ770101216600948.jpeg","Скачать индивидуальный QR-код магазина")</f>
        <v>Скачать индивидуальный QR-код магазина</v>
      </c>
    </row>
    <row r="9017" spans="1:7" x14ac:dyDescent="0.25">
      <c r="A9017" t="s">
        <v>26937</v>
      </c>
      <c r="B9017" t="s">
        <v>28850</v>
      </c>
      <c r="C9017" t="s">
        <v>713</v>
      </c>
      <c r="D9017" t="s">
        <v>714</v>
      </c>
      <c r="E9017" t="s">
        <v>715</v>
      </c>
      <c r="F9017" t="s">
        <v>28851</v>
      </c>
      <c r="G9017" s="2" t="str">
        <f>HYPERLINK("https://probpalata.gov.ru/files/ЮЛ770101216600955.jpeg","Скачать индивидуальный QR-код магазина")</f>
        <v>Скачать индивидуальный QR-код магазина</v>
      </c>
    </row>
    <row r="9018" spans="1:7" x14ac:dyDescent="0.25">
      <c r="A9018" t="s">
        <v>26937</v>
      </c>
      <c r="B9018" t="s">
        <v>28852</v>
      </c>
      <c r="C9018" t="s">
        <v>713</v>
      </c>
      <c r="D9018" t="s">
        <v>714</v>
      </c>
      <c r="E9018" t="s">
        <v>715</v>
      </c>
      <c r="F9018" t="s">
        <v>28853</v>
      </c>
      <c r="G9018" s="2" t="str">
        <f>HYPERLINK("https://probpalata.gov.ru/files/ЮЛ770101216601004.jpeg","Скачать индивидуальный QR-код магазина")</f>
        <v>Скачать индивидуальный QR-код магазина</v>
      </c>
    </row>
    <row r="9019" spans="1:7" x14ac:dyDescent="0.25">
      <c r="A9019" t="s">
        <v>26937</v>
      </c>
      <c r="B9019" t="s">
        <v>28854</v>
      </c>
      <c r="C9019" t="s">
        <v>1745</v>
      </c>
      <c r="D9019" t="s">
        <v>22746</v>
      </c>
      <c r="E9019" t="s">
        <v>22747</v>
      </c>
      <c r="F9019" t="s">
        <v>28855</v>
      </c>
      <c r="G9019" s="2" t="str">
        <f>HYPERLINK("https://probpalata.gov.ru/files/ЮЛ770103145400003.jpeg","Скачать индивидуальный QR-код магазина")</f>
        <v>Скачать индивидуальный QR-код магазина</v>
      </c>
    </row>
    <row r="9020" spans="1:7" x14ac:dyDescent="0.25">
      <c r="A9020" t="s">
        <v>26937</v>
      </c>
      <c r="B9020" t="s">
        <v>28856</v>
      </c>
      <c r="C9020" t="s">
        <v>1745</v>
      </c>
      <c r="D9020" t="s">
        <v>22746</v>
      </c>
      <c r="E9020" t="s">
        <v>22747</v>
      </c>
      <c r="F9020" t="s">
        <v>28857</v>
      </c>
      <c r="G9020" s="2" t="str">
        <f>HYPERLINK("https://probpalata.gov.ru/files/ЮЛ770103145400004.jpeg","Скачать индивидуальный QR-код магазина")</f>
        <v>Скачать индивидуальный QR-код магазина</v>
      </c>
    </row>
    <row r="9021" spans="1:7" x14ac:dyDescent="0.25">
      <c r="A9021" t="s">
        <v>26937</v>
      </c>
      <c r="B9021" t="s">
        <v>28858</v>
      </c>
      <c r="C9021" t="s">
        <v>1745</v>
      </c>
      <c r="D9021" t="s">
        <v>22746</v>
      </c>
      <c r="E9021" t="s">
        <v>22747</v>
      </c>
      <c r="F9021" t="s">
        <v>28859</v>
      </c>
      <c r="G9021" s="2" t="str">
        <f>HYPERLINK("https://probpalata.gov.ru/files/ЮЛ770103145400005.jpeg","Скачать индивидуальный QR-код магазина")</f>
        <v>Скачать индивидуальный QR-код магазина</v>
      </c>
    </row>
    <row r="9022" spans="1:7" x14ac:dyDescent="0.25">
      <c r="A9022" t="s">
        <v>26937</v>
      </c>
      <c r="B9022" t="s">
        <v>28860</v>
      </c>
      <c r="C9022" t="s">
        <v>1745</v>
      </c>
      <c r="D9022" t="s">
        <v>22746</v>
      </c>
      <c r="E9022" t="s">
        <v>22747</v>
      </c>
      <c r="F9022" t="s">
        <v>28861</v>
      </c>
      <c r="G9022" s="2" t="str">
        <f>HYPERLINK("https://probpalata.gov.ru/files/ЮЛ770103145400007.jpeg","Скачать индивидуальный QR-код магазина")</f>
        <v>Скачать индивидуальный QR-код магазина</v>
      </c>
    </row>
    <row r="9023" spans="1:7" x14ac:dyDescent="0.25">
      <c r="A9023" t="s">
        <v>26937</v>
      </c>
      <c r="B9023" t="s">
        <v>28862</v>
      </c>
      <c r="C9023" t="s">
        <v>1745</v>
      </c>
      <c r="D9023" t="s">
        <v>22746</v>
      </c>
      <c r="E9023" t="s">
        <v>22747</v>
      </c>
      <c r="F9023" t="s">
        <v>28863</v>
      </c>
      <c r="G9023" s="2" t="str">
        <f>HYPERLINK("https://probpalata.gov.ru/files/ЮЛ770103145400009.jpeg","Скачать индивидуальный QR-код магазина")</f>
        <v>Скачать индивидуальный QR-код магазина</v>
      </c>
    </row>
    <row r="9024" spans="1:7" x14ac:dyDescent="0.25">
      <c r="A9024" t="s">
        <v>26937</v>
      </c>
      <c r="B9024" t="s">
        <v>28864</v>
      </c>
      <c r="C9024" t="s">
        <v>1745</v>
      </c>
      <c r="D9024" t="s">
        <v>22746</v>
      </c>
      <c r="E9024" t="s">
        <v>22747</v>
      </c>
      <c r="F9024" t="s">
        <v>28865</v>
      </c>
      <c r="G9024" s="2" t="str">
        <f>HYPERLINK("https://probpalata.gov.ru/files/ЮЛ770103145400011.jpeg","Скачать индивидуальный QR-код магазина")</f>
        <v>Скачать индивидуальный QR-код магазина</v>
      </c>
    </row>
    <row r="9025" spans="1:7" x14ac:dyDescent="0.25">
      <c r="A9025" t="s">
        <v>26937</v>
      </c>
      <c r="B9025" t="s">
        <v>28866</v>
      </c>
      <c r="C9025" t="s">
        <v>22820</v>
      </c>
      <c r="D9025" t="s">
        <v>22821</v>
      </c>
      <c r="E9025" t="s">
        <v>22822</v>
      </c>
      <c r="F9025" t="s">
        <v>28867</v>
      </c>
      <c r="G9025" s="2" t="str">
        <f>HYPERLINK("https://probpalata.gov.ru/files/ИП770103449300001.jpeg","Скачать индивидуальный QR-код магазина")</f>
        <v>Скачать индивидуальный QR-код магазина</v>
      </c>
    </row>
    <row r="9026" spans="1:7" x14ac:dyDescent="0.25">
      <c r="A9026" t="s">
        <v>26937</v>
      </c>
      <c r="B9026" t="s">
        <v>28868</v>
      </c>
      <c r="C9026" t="s">
        <v>28869</v>
      </c>
      <c r="D9026" t="s">
        <v>28870</v>
      </c>
      <c r="E9026" t="s">
        <v>28871</v>
      </c>
      <c r="F9026" t="s">
        <v>28872</v>
      </c>
      <c r="G9026" s="2" t="str">
        <f>HYPERLINK("https://probpalata.gov.ru/files/ИП770100715000000.jpeg","Скачать индивидуальный QR-код магазина")</f>
        <v>Скачать индивидуальный QR-код магазина</v>
      </c>
    </row>
    <row r="9027" spans="1:7" x14ac:dyDescent="0.25">
      <c r="A9027" t="s">
        <v>26937</v>
      </c>
      <c r="B9027" t="s">
        <v>28873</v>
      </c>
      <c r="C9027" t="s">
        <v>22832</v>
      </c>
      <c r="D9027" t="s">
        <v>22833</v>
      </c>
      <c r="E9027" t="s">
        <v>22834</v>
      </c>
      <c r="F9027" t="s">
        <v>28874</v>
      </c>
      <c r="G9027" s="2" t="str">
        <f>HYPERLINK("https://probpalata.gov.ru/files/ЮЛ770100511600002.jpeg","Скачать индивидуальный QR-код магазина")</f>
        <v>Скачать индивидуальный QR-код магазина</v>
      </c>
    </row>
    <row r="9028" spans="1:7" x14ac:dyDescent="0.25">
      <c r="A9028" t="s">
        <v>26937</v>
      </c>
      <c r="B9028" t="s">
        <v>28875</v>
      </c>
      <c r="C9028" t="s">
        <v>22832</v>
      </c>
      <c r="D9028" t="s">
        <v>22833</v>
      </c>
      <c r="E9028" t="s">
        <v>22834</v>
      </c>
      <c r="F9028" t="s">
        <v>28876</v>
      </c>
      <c r="G9028" s="2" t="str">
        <f>HYPERLINK("https://probpalata.gov.ru/files/ЮЛ770100511600003.jpeg","Скачать индивидуальный QR-код магазина")</f>
        <v>Скачать индивидуальный QR-код магазина</v>
      </c>
    </row>
    <row r="9029" spans="1:7" x14ac:dyDescent="0.25">
      <c r="A9029" t="s">
        <v>26937</v>
      </c>
      <c r="B9029" t="s">
        <v>28877</v>
      </c>
      <c r="C9029" t="s">
        <v>28878</v>
      </c>
      <c r="D9029" t="s">
        <v>28879</v>
      </c>
      <c r="E9029" t="s">
        <v>28880</v>
      </c>
      <c r="F9029" t="s">
        <v>28881</v>
      </c>
      <c r="G9029" s="2" t="str">
        <f>HYPERLINK("https://probpalata.gov.ru/files/ЮЛ770101169100000.jpeg","Скачать индивидуальный QR-код магазина")</f>
        <v>Скачать индивидуальный QR-код магазина</v>
      </c>
    </row>
    <row r="9030" spans="1:7" x14ac:dyDescent="0.25">
      <c r="A9030" t="s">
        <v>26937</v>
      </c>
      <c r="B9030" t="s">
        <v>28882</v>
      </c>
      <c r="C9030" t="s">
        <v>28883</v>
      </c>
      <c r="D9030" t="s">
        <v>28884</v>
      </c>
      <c r="E9030" t="s">
        <v>28885</v>
      </c>
      <c r="F9030" t="s">
        <v>28886</v>
      </c>
      <c r="G9030" s="2" t="str">
        <f>HYPERLINK("https://probpalata.gov.ru/files/ЮЛ770101699000000.jpeg","Скачать индивидуальный QR-код магазина")</f>
        <v>Скачать индивидуальный QR-код магазина</v>
      </c>
    </row>
    <row r="9031" spans="1:7" x14ac:dyDescent="0.25">
      <c r="A9031" t="s">
        <v>26937</v>
      </c>
      <c r="B9031" t="s">
        <v>28887</v>
      </c>
      <c r="C9031" t="s">
        <v>28888</v>
      </c>
      <c r="D9031" t="s">
        <v>28889</v>
      </c>
      <c r="E9031" t="s">
        <v>28890</v>
      </c>
      <c r="F9031" t="s">
        <v>28891</v>
      </c>
      <c r="G9031" s="2" t="str">
        <f>HYPERLINK("https://probpalata.gov.ru/files/ИП770103615200000.jpeg","Скачать индивидуальный QR-код магазина")</f>
        <v>Скачать индивидуальный QR-код магазина</v>
      </c>
    </row>
    <row r="9032" spans="1:7" x14ac:dyDescent="0.25">
      <c r="A9032" t="s">
        <v>26937</v>
      </c>
      <c r="B9032" t="s">
        <v>28892</v>
      </c>
      <c r="C9032" t="s">
        <v>23045</v>
      </c>
      <c r="D9032" t="s">
        <v>23046</v>
      </c>
      <c r="E9032" t="s">
        <v>23047</v>
      </c>
      <c r="F9032" t="s">
        <v>28893</v>
      </c>
      <c r="G9032" s="2" t="str">
        <f>HYPERLINK("https://probpalata.gov.ru/files/ИП770100521400001.jpeg","Скачать индивидуальный QR-код магазина")</f>
        <v>Скачать индивидуальный QR-код магазина</v>
      </c>
    </row>
    <row r="9033" spans="1:7" x14ac:dyDescent="0.25">
      <c r="A9033" t="s">
        <v>26937</v>
      </c>
      <c r="B9033" t="s">
        <v>28894</v>
      </c>
      <c r="C9033" t="s">
        <v>28895</v>
      </c>
      <c r="D9033" t="s">
        <v>28896</v>
      </c>
      <c r="E9033" t="s">
        <v>28897</v>
      </c>
      <c r="F9033" t="s">
        <v>28898</v>
      </c>
      <c r="G9033" s="2" t="str">
        <f>HYPERLINK("https://probpalata.gov.ru/files/ЮЛ770100458300000.jpeg","Скачать индивидуальный QR-код магазина")</f>
        <v>Скачать индивидуальный QR-код магазина</v>
      </c>
    </row>
    <row r="9034" spans="1:7" x14ac:dyDescent="0.25">
      <c r="A9034" t="s">
        <v>26937</v>
      </c>
      <c r="B9034" t="s">
        <v>28899</v>
      </c>
      <c r="C9034" t="s">
        <v>28895</v>
      </c>
      <c r="D9034" t="s">
        <v>28896</v>
      </c>
      <c r="E9034" t="s">
        <v>28897</v>
      </c>
      <c r="F9034" t="s">
        <v>28900</v>
      </c>
      <c r="G9034" s="2" t="str">
        <f>HYPERLINK("https://probpalata.gov.ru/files/ЮЛ770100458300001.jpeg","Скачать индивидуальный QR-код магазина")</f>
        <v>Скачать индивидуальный QR-код магазина</v>
      </c>
    </row>
    <row r="9035" spans="1:7" x14ac:dyDescent="0.25">
      <c r="A9035" t="s">
        <v>26937</v>
      </c>
      <c r="B9035" t="s">
        <v>28901</v>
      </c>
      <c r="C9035" t="s">
        <v>28902</v>
      </c>
      <c r="D9035" t="s">
        <v>28903</v>
      </c>
      <c r="E9035" t="s">
        <v>28904</v>
      </c>
      <c r="F9035" t="s">
        <v>28905</v>
      </c>
      <c r="G9035" s="2" t="str">
        <f>HYPERLINK("https://probpalata.gov.ru/files/ИП770103317300000.jpeg","Скачать индивидуальный QR-код магазина")</f>
        <v>Скачать индивидуальный QR-код магазина</v>
      </c>
    </row>
    <row r="9036" spans="1:7" x14ac:dyDescent="0.25">
      <c r="A9036" t="s">
        <v>26937</v>
      </c>
      <c r="B9036" t="s">
        <v>28906</v>
      </c>
      <c r="C9036" t="s">
        <v>28907</v>
      </c>
      <c r="D9036" t="s">
        <v>28908</v>
      </c>
      <c r="E9036" t="s">
        <v>28909</v>
      </c>
      <c r="F9036" t="s">
        <v>28910</v>
      </c>
      <c r="G9036" s="2" t="str">
        <f>HYPERLINK("https://probpalata.gov.ru/files/ИП770101328200000.jpeg","Скачать индивидуальный QR-код магазина")</f>
        <v>Скачать индивидуальный QR-код магазина</v>
      </c>
    </row>
    <row r="9037" spans="1:7" x14ac:dyDescent="0.25">
      <c r="A9037" t="s">
        <v>26937</v>
      </c>
      <c r="B9037" t="s">
        <v>28911</v>
      </c>
      <c r="C9037" t="s">
        <v>28912</v>
      </c>
      <c r="D9037" t="s">
        <v>28913</v>
      </c>
      <c r="E9037" t="s">
        <v>28914</v>
      </c>
      <c r="F9037" t="s">
        <v>28915</v>
      </c>
      <c r="G9037" s="2" t="str">
        <f>HYPERLINK("https://probpalata.gov.ru/files/ИП770101332700000.jpeg","Скачать индивидуальный QR-код магазина")</f>
        <v>Скачать индивидуальный QR-код магазина</v>
      </c>
    </row>
    <row r="9038" spans="1:7" x14ac:dyDescent="0.25">
      <c r="A9038" t="s">
        <v>26937</v>
      </c>
      <c r="B9038" t="s">
        <v>28916</v>
      </c>
      <c r="C9038" t="s">
        <v>28917</v>
      </c>
      <c r="D9038" t="s">
        <v>28918</v>
      </c>
      <c r="E9038" t="s">
        <v>28919</v>
      </c>
      <c r="F9038" t="s">
        <v>28920</v>
      </c>
      <c r="G9038" s="2" t="str">
        <f>HYPERLINK("https://probpalata.gov.ru/files/ЮЛ500100227000000.jpeg","Скачать индивидуальный QR-код магазина")</f>
        <v>Скачать индивидуальный QR-код магазина</v>
      </c>
    </row>
    <row r="9039" spans="1:7" x14ac:dyDescent="0.25">
      <c r="A9039" t="s">
        <v>26937</v>
      </c>
      <c r="B9039" t="s">
        <v>28921</v>
      </c>
      <c r="C9039" t="s">
        <v>15111</v>
      </c>
      <c r="D9039" t="s">
        <v>15112</v>
      </c>
      <c r="E9039" t="s">
        <v>15113</v>
      </c>
      <c r="F9039" t="s">
        <v>28922</v>
      </c>
      <c r="G9039" s="2" t="str">
        <f>HYPERLINK("https://probpalata.gov.ru/files/ЮЛ770101053400003.jpeg","Скачать индивидуальный QR-код магазина")</f>
        <v>Скачать индивидуальный QR-код магазина</v>
      </c>
    </row>
    <row r="9040" spans="1:7" x14ac:dyDescent="0.25">
      <c r="A9040" t="s">
        <v>26937</v>
      </c>
      <c r="B9040" t="s">
        <v>28923</v>
      </c>
      <c r="C9040" t="s">
        <v>15111</v>
      </c>
      <c r="D9040" t="s">
        <v>15112</v>
      </c>
      <c r="E9040" t="s">
        <v>15113</v>
      </c>
      <c r="F9040" t="s">
        <v>28924</v>
      </c>
      <c r="G9040" s="2" t="str">
        <f>HYPERLINK("https://probpalata.gov.ru/files/ЮЛ770101053400004.jpeg","Скачать индивидуальный QR-код магазина")</f>
        <v>Скачать индивидуальный QR-код магазина</v>
      </c>
    </row>
    <row r="9041" spans="1:7" x14ac:dyDescent="0.25">
      <c r="A9041" t="s">
        <v>26937</v>
      </c>
      <c r="B9041" t="s">
        <v>28925</v>
      </c>
      <c r="C9041" t="s">
        <v>15111</v>
      </c>
      <c r="D9041" t="s">
        <v>15112</v>
      </c>
      <c r="E9041" t="s">
        <v>15113</v>
      </c>
      <c r="F9041" t="s">
        <v>28926</v>
      </c>
      <c r="G9041" s="2" t="str">
        <f>HYPERLINK("https://probpalata.gov.ru/files/ЮЛ770101053400005.jpeg","Скачать индивидуальный QR-код магазина")</f>
        <v>Скачать индивидуальный QR-код магазина</v>
      </c>
    </row>
    <row r="9042" spans="1:7" x14ac:dyDescent="0.25">
      <c r="A9042" t="s">
        <v>26937</v>
      </c>
      <c r="B9042" t="s">
        <v>28927</v>
      </c>
      <c r="C9042" t="s">
        <v>28928</v>
      </c>
      <c r="D9042" t="s">
        <v>28929</v>
      </c>
      <c r="E9042" t="s">
        <v>28930</v>
      </c>
      <c r="F9042" t="s">
        <v>28931</v>
      </c>
      <c r="G9042" s="2" t="str">
        <f>HYPERLINK("https://probpalata.gov.ru/files/ИП770101860700000.jpeg","Скачать индивидуальный QR-код магазина")</f>
        <v>Скачать индивидуальный QR-код магазина</v>
      </c>
    </row>
    <row r="9043" spans="1:7" x14ac:dyDescent="0.25">
      <c r="A9043" t="s">
        <v>26937</v>
      </c>
      <c r="B9043" t="s">
        <v>28932</v>
      </c>
      <c r="C9043" t="s">
        <v>23283</v>
      </c>
      <c r="D9043" t="s">
        <v>23284</v>
      </c>
      <c r="E9043" t="s">
        <v>23285</v>
      </c>
      <c r="F9043" t="s">
        <v>28933</v>
      </c>
      <c r="G9043" s="2" t="str">
        <f>HYPERLINK("https://probpalata.gov.ru/files/ИП770100891600001.jpeg","Скачать индивидуальный QR-код магазина")</f>
        <v>Скачать индивидуальный QR-код магазина</v>
      </c>
    </row>
    <row r="9044" spans="1:7" x14ac:dyDescent="0.25">
      <c r="A9044" t="s">
        <v>26937</v>
      </c>
      <c r="B9044" t="s">
        <v>28934</v>
      </c>
      <c r="C9044" t="s">
        <v>28935</v>
      </c>
      <c r="D9044" t="s">
        <v>28936</v>
      </c>
      <c r="E9044" t="s">
        <v>28937</v>
      </c>
      <c r="F9044" t="s">
        <v>28938</v>
      </c>
      <c r="G9044" s="2" t="str">
        <f>HYPERLINK("https://probpalata.gov.ru/files/ИП770100959200000.jpeg","Скачать индивидуальный QR-код магазина")</f>
        <v>Скачать индивидуальный QR-код магазина</v>
      </c>
    </row>
    <row r="9045" spans="1:7" x14ac:dyDescent="0.25">
      <c r="A9045" t="s">
        <v>26937</v>
      </c>
      <c r="B9045" t="s">
        <v>28939</v>
      </c>
      <c r="C9045" t="s">
        <v>28935</v>
      </c>
      <c r="D9045" t="s">
        <v>28936</v>
      </c>
      <c r="E9045" t="s">
        <v>28937</v>
      </c>
      <c r="F9045" t="s">
        <v>28940</v>
      </c>
      <c r="G9045" s="2" t="str">
        <f>HYPERLINK("https://probpalata.gov.ru/files/ИП770100959200002.jpeg","Скачать индивидуальный QR-код магазина")</f>
        <v>Скачать индивидуальный QR-код магазина</v>
      </c>
    </row>
    <row r="9046" spans="1:7" x14ac:dyDescent="0.25">
      <c r="A9046" t="s">
        <v>26937</v>
      </c>
      <c r="B9046" t="s">
        <v>28941</v>
      </c>
      <c r="C9046" t="s">
        <v>28935</v>
      </c>
      <c r="D9046" t="s">
        <v>28936</v>
      </c>
      <c r="E9046" t="s">
        <v>28937</v>
      </c>
      <c r="F9046" t="s">
        <v>28942</v>
      </c>
      <c r="G9046" s="2" t="str">
        <f>HYPERLINK("https://probpalata.gov.ru/files/ИП770100959200006.jpeg","Скачать индивидуальный QR-код магазина")</f>
        <v>Скачать индивидуальный QR-код магазина</v>
      </c>
    </row>
    <row r="9047" spans="1:7" x14ac:dyDescent="0.25">
      <c r="A9047" t="s">
        <v>26937</v>
      </c>
      <c r="B9047" t="s">
        <v>28943</v>
      </c>
      <c r="C9047" t="s">
        <v>28944</v>
      </c>
      <c r="D9047" t="s">
        <v>28945</v>
      </c>
      <c r="E9047" t="s">
        <v>28946</v>
      </c>
      <c r="F9047" t="s">
        <v>28947</v>
      </c>
      <c r="G9047" s="2" t="str">
        <f>HYPERLINK("https://probpalata.gov.ru/files/ЮЛ770100373300002.jpeg","Скачать индивидуальный QR-код магазина")</f>
        <v>Скачать индивидуальный QR-код магазина</v>
      </c>
    </row>
    <row r="9048" spans="1:7" x14ac:dyDescent="0.25">
      <c r="A9048" t="s">
        <v>26937</v>
      </c>
      <c r="B9048" t="s">
        <v>28948</v>
      </c>
      <c r="C9048" t="s">
        <v>28944</v>
      </c>
      <c r="D9048" t="s">
        <v>28945</v>
      </c>
      <c r="E9048" t="s">
        <v>28946</v>
      </c>
      <c r="F9048" t="s">
        <v>28949</v>
      </c>
      <c r="G9048" s="2" t="str">
        <f>HYPERLINK("https://probpalata.gov.ru/files/ЮЛ770100373300003.jpeg","Скачать индивидуальный QR-код магазина")</f>
        <v>Скачать индивидуальный QR-код магазина</v>
      </c>
    </row>
    <row r="9049" spans="1:7" x14ac:dyDescent="0.25">
      <c r="A9049" t="s">
        <v>26937</v>
      </c>
      <c r="B9049" t="s">
        <v>28950</v>
      </c>
      <c r="C9049" t="s">
        <v>23319</v>
      </c>
      <c r="D9049" t="s">
        <v>23320</v>
      </c>
      <c r="E9049" t="s">
        <v>23321</v>
      </c>
      <c r="F9049" t="s">
        <v>28951</v>
      </c>
      <c r="G9049" s="2" t="str">
        <f>HYPERLINK("https://probpalata.gov.ru/files/ИП770100662900001.jpeg","Скачать индивидуальный QR-код магазина")</f>
        <v>Скачать индивидуальный QR-код магазина</v>
      </c>
    </row>
    <row r="9050" spans="1:7" x14ac:dyDescent="0.25">
      <c r="A9050" t="s">
        <v>26937</v>
      </c>
      <c r="B9050" t="s">
        <v>28952</v>
      </c>
      <c r="C9050" t="s">
        <v>23319</v>
      </c>
      <c r="D9050" t="s">
        <v>23320</v>
      </c>
      <c r="E9050" t="s">
        <v>23321</v>
      </c>
      <c r="F9050" t="s">
        <v>28953</v>
      </c>
      <c r="G9050" s="2" t="str">
        <f>HYPERLINK("https://probpalata.gov.ru/files/ИП770100662900002.jpeg","Скачать индивидуальный QR-код магазина")</f>
        <v>Скачать индивидуальный QR-код магазина</v>
      </c>
    </row>
    <row r="9051" spans="1:7" x14ac:dyDescent="0.25">
      <c r="A9051" t="s">
        <v>26937</v>
      </c>
      <c r="B9051" t="s">
        <v>28954</v>
      </c>
      <c r="C9051" t="s">
        <v>23319</v>
      </c>
      <c r="D9051" t="s">
        <v>23320</v>
      </c>
      <c r="E9051" t="s">
        <v>23321</v>
      </c>
      <c r="F9051" t="s">
        <v>28955</v>
      </c>
      <c r="G9051" s="2" t="str">
        <f>HYPERLINK("https://probpalata.gov.ru/files/ИП770100662900004.jpeg","Скачать индивидуальный QR-код магазина")</f>
        <v>Скачать индивидуальный QR-код магазина</v>
      </c>
    </row>
    <row r="9052" spans="1:7" x14ac:dyDescent="0.25">
      <c r="A9052" t="s">
        <v>26937</v>
      </c>
      <c r="B9052" t="s">
        <v>28956</v>
      </c>
      <c r="C9052" t="s">
        <v>23319</v>
      </c>
      <c r="D9052" t="s">
        <v>23320</v>
      </c>
      <c r="E9052" t="s">
        <v>23321</v>
      </c>
      <c r="F9052" t="s">
        <v>28957</v>
      </c>
      <c r="G9052" s="2" t="str">
        <f>HYPERLINK("https://probpalata.gov.ru/files/ИП770100662900005.jpeg","Скачать индивидуальный QR-код магазина")</f>
        <v>Скачать индивидуальный QR-код магазина</v>
      </c>
    </row>
    <row r="9053" spans="1:7" x14ac:dyDescent="0.25">
      <c r="A9053" t="s">
        <v>26937</v>
      </c>
      <c r="B9053" t="s">
        <v>28958</v>
      </c>
      <c r="C9053" t="s">
        <v>23319</v>
      </c>
      <c r="D9053" t="s">
        <v>23320</v>
      </c>
      <c r="E9053" t="s">
        <v>23321</v>
      </c>
      <c r="F9053" t="s">
        <v>28959</v>
      </c>
      <c r="G9053" s="2" t="str">
        <f>HYPERLINK("https://probpalata.gov.ru/files/ИП770100662900006.jpeg","Скачать индивидуальный QR-код магазина")</f>
        <v>Скачать индивидуальный QR-код магазина</v>
      </c>
    </row>
    <row r="9054" spans="1:7" x14ac:dyDescent="0.25">
      <c r="A9054" t="s">
        <v>26937</v>
      </c>
      <c r="B9054" t="s">
        <v>28960</v>
      </c>
      <c r="C9054" t="s">
        <v>23319</v>
      </c>
      <c r="D9054" t="s">
        <v>23320</v>
      </c>
      <c r="E9054" t="s">
        <v>23321</v>
      </c>
      <c r="F9054" t="s">
        <v>28961</v>
      </c>
      <c r="G9054" s="2" t="str">
        <f>HYPERLINK("https://probpalata.gov.ru/files/ИП770100662900007.jpeg","Скачать индивидуальный QR-код магазина")</f>
        <v>Скачать индивидуальный QR-код магазина</v>
      </c>
    </row>
    <row r="9055" spans="1:7" x14ac:dyDescent="0.25">
      <c r="A9055" t="s">
        <v>26937</v>
      </c>
      <c r="B9055" t="s">
        <v>28962</v>
      </c>
      <c r="C9055" t="s">
        <v>23319</v>
      </c>
      <c r="D9055" t="s">
        <v>23320</v>
      </c>
      <c r="E9055" t="s">
        <v>23321</v>
      </c>
      <c r="F9055" t="s">
        <v>28963</v>
      </c>
      <c r="G9055" s="2" t="str">
        <f>HYPERLINK("https://probpalata.gov.ru/files/ИП770100662900008.jpeg","Скачать индивидуальный QR-код магазина")</f>
        <v>Скачать индивидуальный QR-код магазина</v>
      </c>
    </row>
    <row r="9056" spans="1:7" x14ac:dyDescent="0.25">
      <c r="A9056" t="s">
        <v>26937</v>
      </c>
      <c r="B9056" t="s">
        <v>28964</v>
      </c>
      <c r="C9056" t="s">
        <v>23319</v>
      </c>
      <c r="D9056" t="s">
        <v>23320</v>
      </c>
      <c r="E9056" t="s">
        <v>23321</v>
      </c>
      <c r="F9056" t="s">
        <v>28965</v>
      </c>
      <c r="G9056" s="2" t="str">
        <f>HYPERLINK("https://probpalata.gov.ru/files/ИП770100662900009.jpeg","Скачать индивидуальный QR-код магазина")</f>
        <v>Скачать индивидуальный QR-код магазина</v>
      </c>
    </row>
    <row r="9057" spans="1:7" x14ac:dyDescent="0.25">
      <c r="A9057" t="s">
        <v>26937</v>
      </c>
      <c r="B9057" t="s">
        <v>28966</v>
      </c>
      <c r="C9057" t="s">
        <v>1416</v>
      </c>
      <c r="D9057" t="s">
        <v>1417</v>
      </c>
      <c r="E9057" t="s">
        <v>1418</v>
      </c>
      <c r="F9057" t="s">
        <v>28967</v>
      </c>
      <c r="G9057" s="2" t="str">
        <f>HYPERLINK("https://probpalata.gov.ru/files/ЮЛ770100419400024.jpeg","Скачать индивидуальный QR-код магазина")</f>
        <v>Скачать индивидуальный QR-код магазина</v>
      </c>
    </row>
    <row r="9058" spans="1:7" x14ac:dyDescent="0.25">
      <c r="A9058" t="s">
        <v>26937</v>
      </c>
      <c r="B9058" t="s">
        <v>28968</v>
      </c>
      <c r="C9058" t="s">
        <v>1416</v>
      </c>
      <c r="D9058" t="s">
        <v>1417</v>
      </c>
      <c r="E9058" t="s">
        <v>1418</v>
      </c>
      <c r="F9058" t="s">
        <v>28969</v>
      </c>
      <c r="G9058" s="2" t="str">
        <f>HYPERLINK("https://probpalata.gov.ru/files/ЮЛ770100419400027.jpeg","Скачать индивидуальный QR-код магазина")</f>
        <v>Скачать индивидуальный QR-код магазина</v>
      </c>
    </row>
    <row r="9059" spans="1:7" x14ac:dyDescent="0.25">
      <c r="A9059" t="s">
        <v>26937</v>
      </c>
      <c r="B9059" t="s">
        <v>28970</v>
      </c>
      <c r="C9059" t="s">
        <v>1416</v>
      </c>
      <c r="D9059" t="s">
        <v>1417</v>
      </c>
      <c r="E9059" t="s">
        <v>1418</v>
      </c>
      <c r="F9059" t="s">
        <v>28971</v>
      </c>
      <c r="G9059" s="2" t="str">
        <f>HYPERLINK("https://probpalata.gov.ru/files/ЮЛ770100419400029.jpeg","Скачать индивидуальный QR-код магазина")</f>
        <v>Скачать индивидуальный QR-код магазина</v>
      </c>
    </row>
    <row r="9060" spans="1:7" x14ac:dyDescent="0.25">
      <c r="A9060" t="s">
        <v>26937</v>
      </c>
      <c r="B9060" t="s">
        <v>28972</v>
      </c>
      <c r="C9060" t="s">
        <v>1416</v>
      </c>
      <c r="D9060" t="s">
        <v>1417</v>
      </c>
      <c r="E9060" t="s">
        <v>1418</v>
      </c>
      <c r="F9060" t="s">
        <v>28973</v>
      </c>
      <c r="G9060" s="2" t="str">
        <f>HYPERLINK("https://probpalata.gov.ru/files/ЮЛ770100419400030.jpeg","Скачать индивидуальный QR-код магазина")</f>
        <v>Скачать индивидуальный QR-код магазина</v>
      </c>
    </row>
    <row r="9061" spans="1:7" x14ac:dyDescent="0.25">
      <c r="A9061" t="s">
        <v>26937</v>
      </c>
      <c r="B9061" t="s">
        <v>27832</v>
      </c>
      <c r="C9061" t="s">
        <v>1416</v>
      </c>
      <c r="D9061" t="s">
        <v>1417</v>
      </c>
      <c r="E9061" t="s">
        <v>1418</v>
      </c>
      <c r="F9061" t="s">
        <v>28974</v>
      </c>
      <c r="G9061" s="2" t="str">
        <f>HYPERLINK("https://probpalata.gov.ru/files/ЮЛ770100419400032.jpeg","Скачать индивидуальный QR-код магазина")</f>
        <v>Скачать индивидуальный QR-код магазина</v>
      </c>
    </row>
    <row r="9062" spans="1:7" x14ac:dyDescent="0.25">
      <c r="A9062" t="s">
        <v>26937</v>
      </c>
      <c r="B9062" t="s">
        <v>28975</v>
      </c>
      <c r="C9062" t="s">
        <v>1416</v>
      </c>
      <c r="D9062" t="s">
        <v>1417</v>
      </c>
      <c r="E9062" t="s">
        <v>1418</v>
      </c>
      <c r="F9062" t="s">
        <v>28976</v>
      </c>
      <c r="G9062" s="2" t="str">
        <f>HYPERLINK("https://probpalata.gov.ru/files/ЮЛ770100419400035.jpeg","Скачать индивидуальный QR-код магазина")</f>
        <v>Скачать индивидуальный QR-код магазина</v>
      </c>
    </row>
    <row r="9063" spans="1:7" x14ac:dyDescent="0.25">
      <c r="A9063" t="s">
        <v>26937</v>
      </c>
      <c r="B9063" t="s">
        <v>28977</v>
      </c>
      <c r="C9063" t="s">
        <v>1416</v>
      </c>
      <c r="D9063" t="s">
        <v>1417</v>
      </c>
      <c r="E9063" t="s">
        <v>1418</v>
      </c>
      <c r="F9063" t="s">
        <v>28978</v>
      </c>
      <c r="G9063" s="2" t="str">
        <f>HYPERLINK("https://probpalata.gov.ru/files/ЮЛ770100419400050.jpeg","Скачать индивидуальный QR-код магазина")</f>
        <v>Скачать индивидуальный QR-код магазина</v>
      </c>
    </row>
    <row r="9064" spans="1:7" x14ac:dyDescent="0.25">
      <c r="A9064" t="s">
        <v>26937</v>
      </c>
      <c r="B9064" t="s">
        <v>28979</v>
      </c>
      <c r="C9064" t="s">
        <v>1416</v>
      </c>
      <c r="D9064" t="s">
        <v>1417</v>
      </c>
      <c r="E9064" t="s">
        <v>1418</v>
      </c>
      <c r="F9064" t="s">
        <v>28980</v>
      </c>
      <c r="G9064" s="2" t="str">
        <f>HYPERLINK("https://probpalata.gov.ru/files/ЮЛ770100419400053.jpeg","Скачать индивидуальный QR-код магазина")</f>
        <v>Скачать индивидуальный QR-код магазина</v>
      </c>
    </row>
    <row r="9065" spans="1:7" x14ac:dyDescent="0.25">
      <c r="A9065" t="s">
        <v>26937</v>
      </c>
      <c r="B9065" t="s">
        <v>28981</v>
      </c>
      <c r="C9065" t="s">
        <v>1416</v>
      </c>
      <c r="D9065" t="s">
        <v>1417</v>
      </c>
      <c r="E9065" t="s">
        <v>1418</v>
      </c>
      <c r="F9065" t="s">
        <v>28982</v>
      </c>
      <c r="G9065" s="2" t="str">
        <f>HYPERLINK("https://probpalata.gov.ru/files/ЮЛ770100419400135.jpeg","Скачать индивидуальный QR-код магазина")</f>
        <v>Скачать индивидуальный QR-код магазина</v>
      </c>
    </row>
    <row r="9066" spans="1:7" x14ac:dyDescent="0.25">
      <c r="A9066" t="s">
        <v>26937</v>
      </c>
      <c r="B9066" t="s">
        <v>28399</v>
      </c>
      <c r="C9066" t="s">
        <v>1416</v>
      </c>
      <c r="D9066" t="s">
        <v>1417</v>
      </c>
      <c r="E9066" t="s">
        <v>1418</v>
      </c>
      <c r="F9066" t="s">
        <v>28983</v>
      </c>
      <c r="G9066" s="2" t="str">
        <f>HYPERLINK("https://probpalata.gov.ru/files/ЮЛ770100419400139.jpeg","Скачать индивидуальный QR-код магазина")</f>
        <v>Скачать индивидуальный QR-код магазина</v>
      </c>
    </row>
    <row r="9067" spans="1:7" x14ac:dyDescent="0.25">
      <c r="A9067" t="s">
        <v>26937</v>
      </c>
      <c r="B9067" t="s">
        <v>28463</v>
      </c>
      <c r="C9067" t="s">
        <v>1416</v>
      </c>
      <c r="D9067" t="s">
        <v>1417</v>
      </c>
      <c r="E9067" t="s">
        <v>1418</v>
      </c>
      <c r="F9067" t="s">
        <v>28984</v>
      </c>
      <c r="G9067" s="2" t="str">
        <f>HYPERLINK("https://probpalata.gov.ru/files/ЮЛ770100419400140.jpeg","Скачать индивидуальный QR-код магазина")</f>
        <v>Скачать индивидуальный QR-код магазина</v>
      </c>
    </row>
    <row r="9068" spans="1:7" x14ac:dyDescent="0.25">
      <c r="A9068" t="s">
        <v>26937</v>
      </c>
      <c r="B9068" t="s">
        <v>28985</v>
      </c>
      <c r="C9068" t="s">
        <v>1416</v>
      </c>
      <c r="D9068" t="s">
        <v>1417</v>
      </c>
      <c r="E9068" t="s">
        <v>1418</v>
      </c>
      <c r="F9068" t="s">
        <v>28986</v>
      </c>
      <c r="G9068" s="2" t="str">
        <f>HYPERLINK("https://probpalata.gov.ru/files/ЮЛ770100419400143.jpeg","Скачать индивидуальный QR-код магазина")</f>
        <v>Скачать индивидуальный QR-код магазина</v>
      </c>
    </row>
    <row r="9069" spans="1:7" x14ac:dyDescent="0.25">
      <c r="A9069" t="s">
        <v>26937</v>
      </c>
      <c r="B9069" t="s">
        <v>28987</v>
      </c>
      <c r="C9069" t="s">
        <v>1416</v>
      </c>
      <c r="D9069" t="s">
        <v>1417</v>
      </c>
      <c r="E9069" t="s">
        <v>1418</v>
      </c>
      <c r="F9069" t="s">
        <v>28988</v>
      </c>
      <c r="G9069" s="2" t="str">
        <f>HYPERLINK("https://probpalata.gov.ru/files/ЮЛ770100419400150.jpeg","Скачать индивидуальный QR-код магазина")</f>
        <v>Скачать индивидуальный QR-код магазина</v>
      </c>
    </row>
    <row r="9070" spans="1:7" x14ac:dyDescent="0.25">
      <c r="A9070" t="s">
        <v>26937</v>
      </c>
      <c r="B9070" t="s">
        <v>28989</v>
      </c>
      <c r="C9070" t="s">
        <v>1416</v>
      </c>
      <c r="D9070" t="s">
        <v>1417</v>
      </c>
      <c r="E9070" t="s">
        <v>1418</v>
      </c>
      <c r="F9070" t="s">
        <v>28990</v>
      </c>
      <c r="G9070" s="2" t="str">
        <f>HYPERLINK("https://probpalata.gov.ru/files/ЮЛ770100419400152.jpeg","Скачать индивидуальный QR-код магазина")</f>
        <v>Скачать индивидуальный QR-код магазина</v>
      </c>
    </row>
    <row r="9071" spans="1:7" x14ac:dyDescent="0.25">
      <c r="A9071" t="s">
        <v>26937</v>
      </c>
      <c r="B9071" t="s">
        <v>28991</v>
      </c>
      <c r="C9071" t="s">
        <v>1416</v>
      </c>
      <c r="D9071" t="s">
        <v>1417</v>
      </c>
      <c r="E9071" t="s">
        <v>1418</v>
      </c>
      <c r="F9071" t="s">
        <v>28992</v>
      </c>
      <c r="G9071" s="2" t="str">
        <f>HYPERLINK("https://probpalata.gov.ru/files/ЮЛ770100419400160.jpeg","Скачать индивидуальный QR-код магазина")</f>
        <v>Скачать индивидуальный QR-код магазина</v>
      </c>
    </row>
    <row r="9072" spans="1:7" x14ac:dyDescent="0.25">
      <c r="A9072" t="s">
        <v>26937</v>
      </c>
      <c r="B9072" t="s">
        <v>28993</v>
      </c>
      <c r="C9072" t="s">
        <v>1416</v>
      </c>
      <c r="D9072" t="s">
        <v>1417</v>
      </c>
      <c r="E9072" t="s">
        <v>1418</v>
      </c>
      <c r="F9072" t="s">
        <v>28994</v>
      </c>
      <c r="G9072" s="2" t="str">
        <f>HYPERLINK("https://probpalata.gov.ru/files/ЮЛ770100419400161.jpeg","Скачать индивидуальный QR-код магазина")</f>
        <v>Скачать индивидуальный QR-код магазина</v>
      </c>
    </row>
    <row r="9073" spans="1:7" x14ac:dyDescent="0.25">
      <c r="A9073" t="s">
        <v>26937</v>
      </c>
      <c r="B9073" t="s">
        <v>28995</v>
      </c>
      <c r="C9073" t="s">
        <v>1416</v>
      </c>
      <c r="D9073" t="s">
        <v>1417</v>
      </c>
      <c r="E9073" t="s">
        <v>1418</v>
      </c>
      <c r="F9073" t="s">
        <v>28996</v>
      </c>
      <c r="G9073" s="2" t="str">
        <f>HYPERLINK("https://probpalata.gov.ru/files/ЮЛ770100419400216.jpeg","Скачать индивидуальный QR-код магазина")</f>
        <v>Скачать индивидуальный QR-код магазина</v>
      </c>
    </row>
    <row r="9074" spans="1:7" x14ac:dyDescent="0.25">
      <c r="A9074" t="s">
        <v>26937</v>
      </c>
      <c r="B9074" t="s">
        <v>28997</v>
      </c>
      <c r="C9074" t="s">
        <v>1416</v>
      </c>
      <c r="D9074" t="s">
        <v>1417</v>
      </c>
      <c r="E9074" t="s">
        <v>1418</v>
      </c>
      <c r="F9074" t="s">
        <v>28998</v>
      </c>
      <c r="G9074" s="2" t="str">
        <f>HYPERLINK("https://probpalata.gov.ru/files/ЮЛ770100419400220.jpeg","Скачать индивидуальный QR-код магазина")</f>
        <v>Скачать индивидуальный QR-код магазина</v>
      </c>
    </row>
    <row r="9075" spans="1:7" x14ac:dyDescent="0.25">
      <c r="A9075" t="s">
        <v>26937</v>
      </c>
      <c r="B9075" t="s">
        <v>28999</v>
      </c>
      <c r="C9075" t="s">
        <v>1416</v>
      </c>
      <c r="D9075" t="s">
        <v>1417</v>
      </c>
      <c r="E9075" t="s">
        <v>1418</v>
      </c>
      <c r="F9075" t="s">
        <v>29000</v>
      </c>
      <c r="G9075" s="2" t="str">
        <f>HYPERLINK("https://probpalata.gov.ru/files/ЮЛ770100419400228.jpeg","Скачать индивидуальный QR-код магазина")</f>
        <v>Скачать индивидуальный QR-код магазина</v>
      </c>
    </row>
    <row r="9076" spans="1:7" x14ac:dyDescent="0.25">
      <c r="A9076" t="s">
        <v>26937</v>
      </c>
      <c r="B9076" t="s">
        <v>29001</v>
      </c>
      <c r="C9076" t="s">
        <v>1416</v>
      </c>
      <c r="D9076" t="s">
        <v>1417</v>
      </c>
      <c r="E9076" t="s">
        <v>1418</v>
      </c>
      <c r="F9076" t="s">
        <v>29002</v>
      </c>
      <c r="G9076" s="2" t="str">
        <f>HYPERLINK("https://probpalata.gov.ru/files/ЮЛ770100419400229.jpeg","Скачать индивидуальный QR-код магазина")</f>
        <v>Скачать индивидуальный QR-код магазина</v>
      </c>
    </row>
    <row r="9077" spans="1:7" x14ac:dyDescent="0.25">
      <c r="A9077" t="s">
        <v>26937</v>
      </c>
      <c r="B9077" t="s">
        <v>29003</v>
      </c>
      <c r="C9077" t="s">
        <v>1416</v>
      </c>
      <c r="D9077" t="s">
        <v>1417</v>
      </c>
      <c r="E9077" t="s">
        <v>1418</v>
      </c>
      <c r="F9077" t="s">
        <v>29004</v>
      </c>
      <c r="G9077" s="2" t="str">
        <f>HYPERLINK("https://probpalata.gov.ru/files/ЮЛ770100419400242.jpeg","Скачать индивидуальный QR-код магазина")</f>
        <v>Скачать индивидуальный QR-код магазина</v>
      </c>
    </row>
    <row r="9078" spans="1:7" x14ac:dyDescent="0.25">
      <c r="A9078" t="s">
        <v>26937</v>
      </c>
      <c r="B9078" t="s">
        <v>29005</v>
      </c>
      <c r="C9078" t="s">
        <v>1416</v>
      </c>
      <c r="D9078" t="s">
        <v>1417</v>
      </c>
      <c r="E9078" t="s">
        <v>1418</v>
      </c>
      <c r="F9078" t="s">
        <v>29006</v>
      </c>
      <c r="G9078" s="2" t="str">
        <f>HYPERLINK("https://probpalata.gov.ru/files/ЮЛ770100419400245.jpeg","Скачать индивидуальный QR-код магазина")</f>
        <v>Скачать индивидуальный QR-код магазина</v>
      </c>
    </row>
    <row r="9079" spans="1:7" x14ac:dyDescent="0.25">
      <c r="A9079" t="s">
        <v>26937</v>
      </c>
      <c r="B9079" t="s">
        <v>29007</v>
      </c>
      <c r="C9079" t="s">
        <v>23503</v>
      </c>
      <c r="D9079" t="s">
        <v>23504</v>
      </c>
      <c r="E9079" t="s">
        <v>23505</v>
      </c>
      <c r="F9079" t="s">
        <v>29008</v>
      </c>
      <c r="G9079" s="2" t="str">
        <f>HYPERLINK("https://probpalata.gov.ru/files/ЮЛ770100219100002.jpeg","Скачать индивидуальный QR-код магазина")</f>
        <v>Скачать индивидуальный QR-код магазина</v>
      </c>
    </row>
    <row r="9080" spans="1:7" x14ac:dyDescent="0.25">
      <c r="A9080" t="s">
        <v>26937</v>
      </c>
      <c r="B9080" t="s">
        <v>29009</v>
      </c>
      <c r="C9080" t="s">
        <v>23503</v>
      </c>
      <c r="D9080" t="s">
        <v>23504</v>
      </c>
      <c r="E9080" t="s">
        <v>23505</v>
      </c>
      <c r="F9080" t="s">
        <v>29010</v>
      </c>
      <c r="G9080" s="2" t="str">
        <f>HYPERLINK("https://probpalata.gov.ru/files/ЮЛ770100219100013.jpeg","Скачать индивидуальный QR-код магазина")</f>
        <v>Скачать индивидуальный QR-код магазина</v>
      </c>
    </row>
    <row r="9081" spans="1:7" x14ac:dyDescent="0.25">
      <c r="A9081" t="s">
        <v>26937</v>
      </c>
      <c r="B9081" t="s">
        <v>29011</v>
      </c>
      <c r="C9081" t="s">
        <v>23503</v>
      </c>
      <c r="D9081" t="s">
        <v>23504</v>
      </c>
      <c r="E9081" t="s">
        <v>23505</v>
      </c>
      <c r="F9081" t="s">
        <v>29012</v>
      </c>
      <c r="G9081" s="2" t="str">
        <f>HYPERLINK("https://probpalata.gov.ru/files/ЮЛ770100219100014.jpeg","Скачать индивидуальный QR-код магазина")</f>
        <v>Скачать индивидуальный QR-код магазина</v>
      </c>
    </row>
    <row r="9082" spans="1:7" x14ac:dyDescent="0.25">
      <c r="A9082" t="s">
        <v>26937</v>
      </c>
      <c r="B9082" t="s">
        <v>29013</v>
      </c>
      <c r="C9082" t="s">
        <v>29014</v>
      </c>
      <c r="D9082" t="s">
        <v>29015</v>
      </c>
      <c r="E9082" t="s">
        <v>29016</v>
      </c>
      <c r="F9082" t="s">
        <v>29017</v>
      </c>
      <c r="G9082" s="2" t="str">
        <f>HYPERLINK("https://probpalata.gov.ru/files/ИП770103698200000.jpeg","Скачать индивидуальный QR-код магазина")</f>
        <v>Скачать индивидуальный QR-код магазина</v>
      </c>
    </row>
    <row r="9083" spans="1:7" x14ac:dyDescent="0.25">
      <c r="A9083" t="s">
        <v>26937</v>
      </c>
      <c r="B9083" t="s">
        <v>29018</v>
      </c>
      <c r="C9083" t="s">
        <v>29019</v>
      </c>
      <c r="D9083" t="s">
        <v>29020</v>
      </c>
      <c r="E9083" t="s">
        <v>29021</v>
      </c>
      <c r="F9083" t="s">
        <v>29022</v>
      </c>
      <c r="G9083" s="2" t="str">
        <f>HYPERLINK("https://probpalata.gov.ru/files/ЮЛ770101651900001.jpeg","Скачать индивидуальный QR-код магазина")</f>
        <v>Скачать индивидуальный QR-код магазина</v>
      </c>
    </row>
    <row r="9084" spans="1:7" x14ac:dyDescent="0.25">
      <c r="A9084" t="s">
        <v>26937</v>
      </c>
      <c r="B9084" t="s">
        <v>29023</v>
      </c>
      <c r="C9084" t="s">
        <v>29024</v>
      </c>
      <c r="D9084" t="s">
        <v>29025</v>
      </c>
      <c r="E9084" t="s">
        <v>29026</v>
      </c>
      <c r="F9084" t="s">
        <v>29027</v>
      </c>
      <c r="G9084" s="2" t="str">
        <f>HYPERLINK("https://probpalata.gov.ru/files/ИП770101474900000.jpeg","Скачать индивидуальный QR-код магазина")</f>
        <v>Скачать индивидуальный QR-код магазина</v>
      </c>
    </row>
    <row r="9085" spans="1:7" x14ac:dyDescent="0.25">
      <c r="A9085" t="s">
        <v>26937</v>
      </c>
      <c r="B9085" t="s">
        <v>29028</v>
      </c>
      <c r="C9085" t="s">
        <v>29029</v>
      </c>
      <c r="D9085" t="s">
        <v>29030</v>
      </c>
      <c r="E9085" t="s">
        <v>29031</v>
      </c>
      <c r="F9085" t="s">
        <v>29032</v>
      </c>
      <c r="G9085" s="2" t="str">
        <f>HYPERLINK("https://probpalata.gov.ru/files/ИП770103937800000.jpeg","Скачать индивидуальный QR-код магазина")</f>
        <v>Скачать индивидуальный QR-код магазина</v>
      </c>
    </row>
    <row r="9086" spans="1:7" x14ac:dyDescent="0.25">
      <c r="A9086" t="s">
        <v>26937</v>
      </c>
      <c r="B9086" t="s">
        <v>29033</v>
      </c>
      <c r="C9086" t="s">
        <v>29034</v>
      </c>
      <c r="D9086" t="s">
        <v>29035</v>
      </c>
      <c r="E9086" t="s">
        <v>29036</v>
      </c>
      <c r="F9086" t="s">
        <v>29037</v>
      </c>
      <c r="G9086" s="2" t="str">
        <f>HYPERLINK("https://probpalata.gov.ru/files/ИП770101749300000.jpeg","Скачать индивидуальный QR-код магазина")</f>
        <v>Скачать индивидуальный QR-код магазина</v>
      </c>
    </row>
    <row r="9087" spans="1:7" x14ac:dyDescent="0.25">
      <c r="A9087" t="s">
        <v>26937</v>
      </c>
      <c r="B9087" t="s">
        <v>29038</v>
      </c>
      <c r="C9087" t="s">
        <v>15143</v>
      </c>
      <c r="D9087" t="s">
        <v>15144</v>
      </c>
      <c r="E9087" t="s">
        <v>15145</v>
      </c>
      <c r="F9087" t="s">
        <v>29039</v>
      </c>
      <c r="G9087" s="2" t="str">
        <f>HYPERLINK("https://probpalata.gov.ru/files/ЮЛ770101248500009.jpeg","Скачать индивидуальный QR-код магазина")</f>
        <v>Скачать индивидуальный QR-код магазина</v>
      </c>
    </row>
    <row r="9088" spans="1:7" x14ac:dyDescent="0.25">
      <c r="A9088" t="s">
        <v>26937</v>
      </c>
      <c r="B9088" t="s">
        <v>29040</v>
      </c>
      <c r="C9088" t="s">
        <v>15143</v>
      </c>
      <c r="D9088" t="s">
        <v>15144</v>
      </c>
      <c r="E9088" t="s">
        <v>15145</v>
      </c>
      <c r="F9088" t="s">
        <v>29041</v>
      </c>
      <c r="G9088" s="2" t="str">
        <f>HYPERLINK("https://probpalata.gov.ru/files/ЮЛ770101248500035.jpeg","Скачать индивидуальный QR-код магазина")</f>
        <v>Скачать индивидуальный QR-код магазина</v>
      </c>
    </row>
    <row r="9089" spans="1:7" x14ac:dyDescent="0.25">
      <c r="A9089" t="s">
        <v>26937</v>
      </c>
      <c r="B9089" t="s">
        <v>29042</v>
      </c>
      <c r="C9089" t="s">
        <v>23714</v>
      </c>
      <c r="D9089" t="s">
        <v>23715</v>
      </c>
      <c r="E9089" t="s">
        <v>23716</v>
      </c>
      <c r="F9089" t="s">
        <v>29043</v>
      </c>
      <c r="G9089" s="2" t="str">
        <f>HYPERLINK("https://probpalata.gov.ru/files/ЮЛ770100769000001.jpeg","Скачать индивидуальный QR-код магазина")</f>
        <v>Скачать индивидуальный QR-код магазина</v>
      </c>
    </row>
    <row r="9090" spans="1:7" x14ac:dyDescent="0.25">
      <c r="A9090" t="s">
        <v>26937</v>
      </c>
      <c r="B9090" t="s">
        <v>29044</v>
      </c>
      <c r="C9090" t="s">
        <v>29045</v>
      </c>
      <c r="D9090" t="s">
        <v>29046</v>
      </c>
      <c r="E9090" t="s">
        <v>29047</v>
      </c>
      <c r="F9090" t="s">
        <v>29048</v>
      </c>
      <c r="G9090" s="2" t="str">
        <f>HYPERLINK("https://probpalata.gov.ru/files/ИП770101669300000.jpeg","Скачать индивидуальный QR-код магазина")</f>
        <v>Скачать индивидуальный QR-код магазина</v>
      </c>
    </row>
    <row r="9091" spans="1:7" x14ac:dyDescent="0.25">
      <c r="A9091" t="s">
        <v>26937</v>
      </c>
      <c r="B9091" t="s">
        <v>29049</v>
      </c>
      <c r="C9091" t="s">
        <v>29050</v>
      </c>
      <c r="D9091" t="s">
        <v>29051</v>
      </c>
      <c r="E9091" t="s">
        <v>29052</v>
      </c>
      <c r="F9091" t="s">
        <v>29053</v>
      </c>
      <c r="G9091" s="2" t="str">
        <f>HYPERLINK("https://probpalata.gov.ru/files/ИП500100487500000.jpeg","Скачать индивидуальный QR-код магазина")</f>
        <v>Скачать индивидуальный QR-код магазина</v>
      </c>
    </row>
    <row r="9092" spans="1:7" x14ac:dyDescent="0.25">
      <c r="A9092" t="s">
        <v>26937</v>
      </c>
      <c r="B9092" t="s">
        <v>29054</v>
      </c>
      <c r="C9092" t="s">
        <v>29055</v>
      </c>
      <c r="D9092" t="s">
        <v>29056</v>
      </c>
      <c r="E9092" t="s">
        <v>29057</v>
      </c>
      <c r="F9092" t="s">
        <v>29058</v>
      </c>
      <c r="G9092" s="2" t="str">
        <f>HYPERLINK("https://probpalata.gov.ru/files/ИП770101731800000.jpeg","Скачать индивидуальный QR-код магазина")</f>
        <v>Скачать индивидуальный QR-код магазина</v>
      </c>
    </row>
    <row r="9093" spans="1:7" x14ac:dyDescent="0.25">
      <c r="A9093" t="s">
        <v>26937</v>
      </c>
      <c r="B9093" t="s">
        <v>29059</v>
      </c>
      <c r="C9093" t="s">
        <v>29060</v>
      </c>
      <c r="D9093" t="s">
        <v>29061</v>
      </c>
      <c r="E9093" t="s">
        <v>29062</v>
      </c>
      <c r="F9093" t="s">
        <v>29063</v>
      </c>
      <c r="G9093" s="2" t="str">
        <f>HYPERLINK("https://probpalata.gov.ru/files/ИП770100777000000.jpeg","Скачать индивидуальный QR-код магазина")</f>
        <v>Скачать индивидуальный QR-код магазина</v>
      </c>
    </row>
    <row r="9094" spans="1:7" x14ac:dyDescent="0.25">
      <c r="A9094" t="s">
        <v>26937</v>
      </c>
      <c r="B9094" t="s">
        <v>29064</v>
      </c>
      <c r="C9094" t="s">
        <v>29065</v>
      </c>
      <c r="D9094" t="s">
        <v>29066</v>
      </c>
      <c r="E9094" t="s">
        <v>29067</v>
      </c>
      <c r="F9094" t="s">
        <v>29068</v>
      </c>
      <c r="G9094" s="2" t="str">
        <f>HYPERLINK("https://probpalata.gov.ru/files/ИП770103522800000.jpeg","Скачать индивидуальный QR-код магазина")</f>
        <v>Скачать индивидуальный QR-код магазина</v>
      </c>
    </row>
    <row r="9095" spans="1:7" x14ac:dyDescent="0.25">
      <c r="A9095" t="s">
        <v>26937</v>
      </c>
      <c r="B9095" t="s">
        <v>29069</v>
      </c>
      <c r="C9095" t="s">
        <v>29070</v>
      </c>
      <c r="D9095" t="s">
        <v>29071</v>
      </c>
      <c r="E9095" t="s">
        <v>29072</v>
      </c>
      <c r="F9095" t="s">
        <v>29073</v>
      </c>
      <c r="G9095" s="2" t="str">
        <f>HYPERLINK("https://probpalata.gov.ru/files/ИП500100451000000.jpeg","Скачать индивидуальный QR-код магазина")</f>
        <v>Скачать индивидуальный QR-код магазина</v>
      </c>
    </row>
    <row r="9096" spans="1:7" x14ac:dyDescent="0.25">
      <c r="A9096" t="s">
        <v>26937</v>
      </c>
      <c r="B9096" t="s">
        <v>29074</v>
      </c>
      <c r="C9096" t="s">
        <v>29070</v>
      </c>
      <c r="D9096" t="s">
        <v>29071</v>
      </c>
      <c r="E9096" t="s">
        <v>29072</v>
      </c>
      <c r="F9096" t="s">
        <v>29075</v>
      </c>
      <c r="G9096" s="2" t="str">
        <f>HYPERLINK("https://probpalata.gov.ru/files/ИП500100451000001.jpeg","Скачать индивидуальный QR-код магазина")</f>
        <v>Скачать индивидуальный QR-код магазина</v>
      </c>
    </row>
    <row r="9097" spans="1:7" x14ac:dyDescent="0.25">
      <c r="A9097" t="s">
        <v>26937</v>
      </c>
      <c r="B9097" t="s">
        <v>29076</v>
      </c>
      <c r="C9097" t="s">
        <v>29077</v>
      </c>
      <c r="D9097" t="s">
        <v>29078</v>
      </c>
      <c r="E9097" t="s">
        <v>29079</v>
      </c>
      <c r="F9097" t="s">
        <v>29080</v>
      </c>
      <c r="G9097" s="2" t="str">
        <f>HYPERLINK("https://probpalata.gov.ru/files/ЮЛ770100963900000.jpeg","Скачать индивидуальный QR-код магазина")</f>
        <v>Скачать индивидуальный QR-код магазина</v>
      </c>
    </row>
    <row r="9098" spans="1:7" x14ac:dyDescent="0.25">
      <c r="A9098" t="s">
        <v>26937</v>
      </c>
      <c r="B9098" t="s">
        <v>29076</v>
      </c>
      <c r="C9098" t="s">
        <v>29077</v>
      </c>
      <c r="D9098" t="s">
        <v>29078</v>
      </c>
      <c r="E9098" t="s">
        <v>29079</v>
      </c>
      <c r="F9098" t="s">
        <v>29081</v>
      </c>
      <c r="G9098" s="2" t="str">
        <f>HYPERLINK("https://probpalata.gov.ru/files/ЮЛ770100963900001.jpeg","Скачать индивидуальный QR-код магазина")</f>
        <v>Скачать индивидуальный QR-код магазина</v>
      </c>
    </row>
    <row r="9099" spans="1:7" x14ac:dyDescent="0.25">
      <c r="A9099" t="s">
        <v>26937</v>
      </c>
      <c r="B9099" t="s">
        <v>29082</v>
      </c>
      <c r="C9099" t="s">
        <v>29083</v>
      </c>
      <c r="D9099" t="s">
        <v>29084</v>
      </c>
      <c r="E9099" t="s">
        <v>29085</v>
      </c>
      <c r="F9099" t="s">
        <v>29086</v>
      </c>
      <c r="G9099" s="2" t="str">
        <f>HYPERLINK("https://probpalata.gov.ru/files/ИП770101940800000.jpeg","Скачать индивидуальный QR-код магазина")</f>
        <v>Скачать индивидуальный QR-код магазина</v>
      </c>
    </row>
    <row r="9100" spans="1:7" x14ac:dyDescent="0.25">
      <c r="A9100" t="s">
        <v>26937</v>
      </c>
      <c r="B9100" t="s">
        <v>29087</v>
      </c>
      <c r="C9100" t="s">
        <v>29083</v>
      </c>
      <c r="D9100" t="s">
        <v>29084</v>
      </c>
      <c r="E9100" t="s">
        <v>29085</v>
      </c>
      <c r="F9100" t="s">
        <v>29088</v>
      </c>
      <c r="G9100" s="2" t="str">
        <f>HYPERLINK("https://probpalata.gov.ru/files/ИП770101940800001.jpeg","Скачать индивидуальный QR-код магазина")</f>
        <v>Скачать индивидуальный QR-код магазина</v>
      </c>
    </row>
    <row r="9101" spans="1:7" x14ac:dyDescent="0.25">
      <c r="A9101" t="s">
        <v>26937</v>
      </c>
      <c r="B9101" t="s">
        <v>29089</v>
      </c>
      <c r="C9101" t="s">
        <v>23915</v>
      </c>
      <c r="D9101" t="s">
        <v>23916</v>
      </c>
      <c r="E9101" t="s">
        <v>23917</v>
      </c>
      <c r="F9101" t="s">
        <v>29090</v>
      </c>
      <c r="G9101" s="2" t="str">
        <f>HYPERLINK("https://probpalata.gov.ru/files/ЮЛ770100941700001.jpeg","Скачать индивидуальный QR-код магазина")</f>
        <v>Скачать индивидуальный QR-код магазина</v>
      </c>
    </row>
    <row r="9102" spans="1:7" x14ac:dyDescent="0.25">
      <c r="A9102" t="s">
        <v>26937</v>
      </c>
      <c r="B9102" t="s">
        <v>29091</v>
      </c>
      <c r="C9102" t="s">
        <v>29092</v>
      </c>
      <c r="D9102" t="s">
        <v>29093</v>
      </c>
      <c r="E9102" t="s">
        <v>29094</v>
      </c>
      <c r="F9102" t="s">
        <v>29095</v>
      </c>
      <c r="G9102" s="2" t="str">
        <f>HYPERLINK("https://probpalata.gov.ru/files/ЮЛ500103374700000.jpeg","Скачать индивидуальный QR-код магазина")</f>
        <v>Скачать индивидуальный QR-код магазина</v>
      </c>
    </row>
    <row r="9103" spans="1:7" x14ac:dyDescent="0.25">
      <c r="A9103" t="s">
        <v>26937</v>
      </c>
      <c r="B9103" t="s">
        <v>29096</v>
      </c>
      <c r="C9103" t="s">
        <v>3186</v>
      </c>
      <c r="D9103" t="s">
        <v>3187</v>
      </c>
      <c r="E9103" t="s">
        <v>3188</v>
      </c>
      <c r="F9103" t="s">
        <v>29097</v>
      </c>
      <c r="G9103" s="2" t="str">
        <f>HYPERLINK("https://probpalata.gov.ru/files/ИП770100654700000.jpeg","Скачать индивидуальный QR-код магазина")</f>
        <v>Скачать индивидуальный QR-код магазина</v>
      </c>
    </row>
    <row r="9104" spans="1:7" x14ac:dyDescent="0.25">
      <c r="A9104" t="s">
        <v>26937</v>
      </c>
      <c r="B9104" t="s">
        <v>29098</v>
      </c>
      <c r="C9104" t="s">
        <v>3186</v>
      </c>
      <c r="D9104" t="s">
        <v>3187</v>
      </c>
      <c r="E9104" t="s">
        <v>3188</v>
      </c>
      <c r="F9104" t="s">
        <v>29099</v>
      </c>
      <c r="G9104" s="2" t="str">
        <f>HYPERLINK("https://probpalata.gov.ru/files/ИП770100654700001.jpeg","Скачать индивидуальный QR-код магазина")</f>
        <v>Скачать индивидуальный QR-код магазина</v>
      </c>
    </row>
    <row r="9105" spans="1:7" x14ac:dyDescent="0.25">
      <c r="A9105" t="s">
        <v>26937</v>
      </c>
      <c r="B9105" t="s">
        <v>29100</v>
      </c>
      <c r="C9105" t="s">
        <v>3186</v>
      </c>
      <c r="D9105" t="s">
        <v>3187</v>
      </c>
      <c r="E9105" t="s">
        <v>3188</v>
      </c>
      <c r="F9105" t="s">
        <v>29101</v>
      </c>
      <c r="G9105" s="2" t="str">
        <f>HYPERLINK("https://probpalata.gov.ru/files/ИП770100654700002.jpeg","Скачать индивидуальный QR-код магазина")</f>
        <v>Скачать индивидуальный QR-код магазина</v>
      </c>
    </row>
    <row r="9106" spans="1:7" x14ac:dyDescent="0.25">
      <c r="A9106" t="s">
        <v>26937</v>
      </c>
      <c r="B9106" t="s">
        <v>29102</v>
      </c>
      <c r="C9106" t="s">
        <v>3186</v>
      </c>
      <c r="D9106" t="s">
        <v>3187</v>
      </c>
      <c r="E9106" t="s">
        <v>3188</v>
      </c>
      <c r="F9106" t="s">
        <v>29103</v>
      </c>
      <c r="G9106" s="2" t="str">
        <f>HYPERLINK("https://probpalata.gov.ru/files/ИП770100654700004.jpeg","Скачать индивидуальный QR-код магазина")</f>
        <v>Скачать индивидуальный QR-код магазина</v>
      </c>
    </row>
    <row r="9107" spans="1:7" x14ac:dyDescent="0.25">
      <c r="A9107" t="s">
        <v>26937</v>
      </c>
      <c r="B9107" t="s">
        <v>29104</v>
      </c>
      <c r="C9107" t="s">
        <v>3186</v>
      </c>
      <c r="D9107" t="s">
        <v>3187</v>
      </c>
      <c r="E9107" t="s">
        <v>3188</v>
      </c>
      <c r="F9107" t="s">
        <v>29105</v>
      </c>
      <c r="G9107" s="2" t="str">
        <f>HYPERLINK("https://probpalata.gov.ru/files/ИП770100654700005.jpeg","Скачать индивидуальный QR-код магазина")</f>
        <v>Скачать индивидуальный QR-код магазина</v>
      </c>
    </row>
    <row r="9108" spans="1:7" x14ac:dyDescent="0.25">
      <c r="A9108" t="s">
        <v>26937</v>
      </c>
      <c r="B9108" t="s">
        <v>29106</v>
      </c>
      <c r="C9108" t="s">
        <v>3186</v>
      </c>
      <c r="D9108" t="s">
        <v>3187</v>
      </c>
      <c r="E9108" t="s">
        <v>3188</v>
      </c>
      <c r="F9108" t="s">
        <v>29107</v>
      </c>
      <c r="G9108" s="2" t="str">
        <f>HYPERLINK("https://probpalata.gov.ru/files/ИП770100654700007.jpeg","Скачать индивидуальный QR-код магазина")</f>
        <v>Скачать индивидуальный QR-код магазина</v>
      </c>
    </row>
    <row r="9109" spans="1:7" x14ac:dyDescent="0.25">
      <c r="A9109" t="s">
        <v>26937</v>
      </c>
      <c r="B9109" t="s">
        <v>29108</v>
      </c>
      <c r="C9109" t="s">
        <v>3186</v>
      </c>
      <c r="D9109" t="s">
        <v>3187</v>
      </c>
      <c r="E9109" t="s">
        <v>3188</v>
      </c>
      <c r="F9109" t="s">
        <v>29109</v>
      </c>
      <c r="G9109" s="2" t="str">
        <f>HYPERLINK("https://probpalata.gov.ru/files/ИП770100654700008.jpeg","Скачать индивидуальный QR-код магазина")</f>
        <v>Скачать индивидуальный QR-код магазина</v>
      </c>
    </row>
    <row r="9110" spans="1:7" x14ac:dyDescent="0.25">
      <c r="A9110" t="s">
        <v>26937</v>
      </c>
      <c r="B9110" t="s">
        <v>29110</v>
      </c>
      <c r="C9110" t="s">
        <v>3186</v>
      </c>
      <c r="D9110" t="s">
        <v>3187</v>
      </c>
      <c r="E9110" t="s">
        <v>3188</v>
      </c>
      <c r="F9110" t="s">
        <v>29111</v>
      </c>
      <c r="G9110" s="2" t="str">
        <f>HYPERLINK("https://probpalata.gov.ru/files/ИП770100654700017.jpeg","Скачать индивидуальный QR-код магазина")</f>
        <v>Скачать индивидуальный QR-код магазина</v>
      </c>
    </row>
    <row r="9111" spans="1:7" x14ac:dyDescent="0.25">
      <c r="A9111" t="s">
        <v>26937</v>
      </c>
      <c r="B9111" t="s">
        <v>29112</v>
      </c>
      <c r="C9111" t="s">
        <v>29113</v>
      </c>
      <c r="D9111" t="s">
        <v>29114</v>
      </c>
      <c r="E9111" t="s">
        <v>29115</v>
      </c>
      <c r="F9111" t="s">
        <v>29116</v>
      </c>
      <c r="G9111" s="2" t="str">
        <f>HYPERLINK("https://probpalata.gov.ru/files/ИП500101666100000.jpeg","Скачать индивидуальный QR-код магазина")</f>
        <v>Скачать индивидуальный QR-код магазина</v>
      </c>
    </row>
    <row r="9112" spans="1:7" x14ac:dyDescent="0.25">
      <c r="A9112" t="s">
        <v>26937</v>
      </c>
      <c r="B9112" t="s">
        <v>29117</v>
      </c>
      <c r="C9112" t="s">
        <v>29118</v>
      </c>
      <c r="D9112" t="s">
        <v>29119</v>
      </c>
      <c r="E9112" t="s">
        <v>29120</v>
      </c>
      <c r="F9112" t="s">
        <v>29121</v>
      </c>
      <c r="G9112" s="2" t="str">
        <f>HYPERLINK("https://probpalata.gov.ru/files/ИП770101433300000.jpeg","Скачать индивидуальный QR-код магазина")</f>
        <v>Скачать индивидуальный QR-код магазина</v>
      </c>
    </row>
    <row r="9113" spans="1:7" x14ac:dyDescent="0.25">
      <c r="A9113" t="s">
        <v>26937</v>
      </c>
      <c r="B9113" t="s">
        <v>29122</v>
      </c>
      <c r="C9113" t="s">
        <v>29123</v>
      </c>
      <c r="D9113" t="s">
        <v>29124</v>
      </c>
      <c r="E9113" t="s">
        <v>29125</v>
      </c>
      <c r="F9113" t="s">
        <v>29126</v>
      </c>
      <c r="G9113" s="2" t="str">
        <f>HYPERLINK("https://probpalata.gov.ru/files/ИП500103927100000.jpeg","Скачать индивидуальный QR-код магазина")</f>
        <v>Скачать индивидуальный QR-код магазина</v>
      </c>
    </row>
    <row r="9114" spans="1:7" x14ac:dyDescent="0.25">
      <c r="A9114" t="s">
        <v>26937</v>
      </c>
      <c r="B9114" t="s">
        <v>29127</v>
      </c>
      <c r="C9114" t="s">
        <v>24049</v>
      </c>
      <c r="D9114" t="s">
        <v>24050</v>
      </c>
      <c r="E9114" t="s">
        <v>24051</v>
      </c>
      <c r="F9114" t="s">
        <v>29128</v>
      </c>
      <c r="G9114" s="2" t="str">
        <f>HYPERLINK("https://probpalata.gov.ru/files/ЮЛ770100397800008.jpeg","Скачать индивидуальный QR-код магазина")</f>
        <v>Скачать индивидуальный QR-код магазина</v>
      </c>
    </row>
    <row r="9115" spans="1:7" x14ac:dyDescent="0.25">
      <c r="A9115" t="s">
        <v>26937</v>
      </c>
      <c r="B9115" t="s">
        <v>29129</v>
      </c>
      <c r="C9115" t="s">
        <v>29130</v>
      </c>
      <c r="D9115" t="s">
        <v>29131</v>
      </c>
      <c r="E9115" t="s">
        <v>29132</v>
      </c>
      <c r="F9115" t="s">
        <v>29133</v>
      </c>
      <c r="G9115" s="2" t="str">
        <f>HYPERLINK("https://probpalata.gov.ru/files/ИП770101744400000.jpeg","Скачать индивидуальный QR-код магазина")</f>
        <v>Скачать индивидуальный QR-код магазина</v>
      </c>
    </row>
    <row r="9116" spans="1:7" x14ac:dyDescent="0.25">
      <c r="A9116" t="s">
        <v>26937</v>
      </c>
      <c r="B9116" t="s">
        <v>29134</v>
      </c>
      <c r="C9116" t="s">
        <v>29135</v>
      </c>
      <c r="D9116" t="s">
        <v>29136</v>
      </c>
      <c r="E9116" t="s">
        <v>29137</v>
      </c>
      <c r="F9116" t="s">
        <v>29138</v>
      </c>
      <c r="G9116" s="2" t="str">
        <f>HYPERLINK("https://probpalata.gov.ru/files/ИП770103441500000.jpeg","Скачать индивидуальный QR-код магазина")</f>
        <v>Скачать индивидуальный QR-код магазина</v>
      </c>
    </row>
    <row r="9117" spans="1:7" x14ac:dyDescent="0.25">
      <c r="A9117" t="s">
        <v>26937</v>
      </c>
      <c r="B9117" t="s">
        <v>29139</v>
      </c>
      <c r="C9117" t="s">
        <v>29140</v>
      </c>
      <c r="D9117" t="s">
        <v>29141</v>
      </c>
      <c r="E9117" t="s">
        <v>29142</v>
      </c>
      <c r="F9117" t="s">
        <v>29143</v>
      </c>
      <c r="G9117" s="2" t="str">
        <f>HYPERLINK("https://probpalata.gov.ru/files/ЮЛ500100527900000.jpeg","Скачать индивидуальный QR-код магазина")</f>
        <v>Скачать индивидуальный QR-код магазина</v>
      </c>
    </row>
    <row r="9118" spans="1:7" x14ac:dyDescent="0.25">
      <c r="A9118" t="s">
        <v>26937</v>
      </c>
      <c r="B9118" t="s">
        <v>29144</v>
      </c>
      <c r="C9118" t="s">
        <v>29145</v>
      </c>
      <c r="D9118" t="s">
        <v>29146</v>
      </c>
      <c r="E9118" t="s">
        <v>29147</v>
      </c>
      <c r="F9118" t="s">
        <v>29148</v>
      </c>
      <c r="G9118" s="2" t="str">
        <f>HYPERLINK("https://probpalata.gov.ru/files/ИП770100049400000.jpeg","Скачать индивидуальный QR-код магазина")</f>
        <v>Скачать индивидуальный QR-код магазина</v>
      </c>
    </row>
    <row r="9119" spans="1:7" x14ac:dyDescent="0.25">
      <c r="A9119" t="s">
        <v>26937</v>
      </c>
      <c r="B9119" t="s">
        <v>29149</v>
      </c>
      <c r="C9119" t="s">
        <v>748</v>
      </c>
      <c r="D9119" t="s">
        <v>749</v>
      </c>
      <c r="E9119" t="s">
        <v>750</v>
      </c>
      <c r="F9119" t="s">
        <v>29150</v>
      </c>
      <c r="G9119" s="2" t="str">
        <f>HYPERLINK("https://probpalata.gov.ru/files/ЮЛ770100193500001.jpeg","Скачать индивидуальный QR-код магазина")</f>
        <v>Скачать индивидуальный QR-код магазина</v>
      </c>
    </row>
    <row r="9120" spans="1:7" x14ac:dyDescent="0.25">
      <c r="A9120" t="s">
        <v>26937</v>
      </c>
      <c r="B9120" t="s">
        <v>29151</v>
      </c>
      <c r="C9120" t="s">
        <v>748</v>
      </c>
      <c r="D9120" t="s">
        <v>749</v>
      </c>
      <c r="E9120" t="s">
        <v>750</v>
      </c>
      <c r="F9120" t="s">
        <v>29152</v>
      </c>
      <c r="G9120" s="2" t="str">
        <f>HYPERLINK("https://probpalata.gov.ru/files/ЮЛ770100193500002.jpeg","Скачать индивидуальный QR-код магазина")</f>
        <v>Скачать индивидуальный QR-код магазина</v>
      </c>
    </row>
    <row r="9121" spans="1:7" x14ac:dyDescent="0.25">
      <c r="A9121" t="s">
        <v>26937</v>
      </c>
      <c r="B9121" t="s">
        <v>29153</v>
      </c>
      <c r="C9121" t="s">
        <v>748</v>
      </c>
      <c r="D9121" t="s">
        <v>749</v>
      </c>
      <c r="E9121" t="s">
        <v>750</v>
      </c>
      <c r="F9121" t="s">
        <v>29154</v>
      </c>
      <c r="G9121" s="2" t="str">
        <f>HYPERLINK("https://probpalata.gov.ru/files/ЮЛ770100193500003.jpeg","Скачать индивидуальный QR-код магазина")</f>
        <v>Скачать индивидуальный QR-код магазина</v>
      </c>
    </row>
    <row r="9122" spans="1:7" x14ac:dyDescent="0.25">
      <c r="A9122" t="s">
        <v>26937</v>
      </c>
      <c r="B9122" t="s">
        <v>29155</v>
      </c>
      <c r="C9122" t="s">
        <v>748</v>
      </c>
      <c r="D9122" t="s">
        <v>749</v>
      </c>
      <c r="E9122" t="s">
        <v>750</v>
      </c>
      <c r="F9122" t="s">
        <v>29156</v>
      </c>
      <c r="G9122" s="2" t="str">
        <f>HYPERLINK("https://probpalata.gov.ru/files/ЮЛ770100193500004.jpeg","Скачать индивидуальный QR-код магазина")</f>
        <v>Скачать индивидуальный QR-код магазина</v>
      </c>
    </row>
    <row r="9123" spans="1:7" x14ac:dyDescent="0.25">
      <c r="A9123" t="s">
        <v>26937</v>
      </c>
      <c r="B9123" t="s">
        <v>29157</v>
      </c>
      <c r="C9123" t="s">
        <v>748</v>
      </c>
      <c r="D9123" t="s">
        <v>749</v>
      </c>
      <c r="E9123" t="s">
        <v>750</v>
      </c>
      <c r="F9123" t="s">
        <v>29158</v>
      </c>
      <c r="G9123" s="2" t="str">
        <f>HYPERLINK("https://probpalata.gov.ru/files/ЮЛ770100193500005.jpeg","Скачать индивидуальный QR-код магазина")</f>
        <v>Скачать индивидуальный QR-код магазина</v>
      </c>
    </row>
    <row r="9124" spans="1:7" x14ac:dyDescent="0.25">
      <c r="A9124" t="s">
        <v>26937</v>
      </c>
      <c r="B9124" t="s">
        <v>29159</v>
      </c>
      <c r="C9124" t="s">
        <v>748</v>
      </c>
      <c r="D9124" t="s">
        <v>749</v>
      </c>
      <c r="E9124" t="s">
        <v>750</v>
      </c>
      <c r="F9124" t="s">
        <v>29160</v>
      </c>
      <c r="G9124" s="2" t="str">
        <f>HYPERLINK("https://probpalata.gov.ru/files/ЮЛ770100193500006.jpeg","Скачать индивидуальный QR-код магазина")</f>
        <v>Скачать индивидуальный QR-код магазина</v>
      </c>
    </row>
    <row r="9125" spans="1:7" x14ac:dyDescent="0.25">
      <c r="A9125" t="s">
        <v>26937</v>
      </c>
      <c r="B9125" t="s">
        <v>29161</v>
      </c>
      <c r="C9125" t="s">
        <v>748</v>
      </c>
      <c r="D9125" t="s">
        <v>749</v>
      </c>
      <c r="E9125" t="s">
        <v>750</v>
      </c>
      <c r="F9125" t="s">
        <v>29162</v>
      </c>
      <c r="G9125" s="2" t="str">
        <f>HYPERLINK("https://probpalata.gov.ru/files/ЮЛ770100193500007.jpeg","Скачать индивидуальный QR-код магазина")</f>
        <v>Скачать индивидуальный QR-код магазина</v>
      </c>
    </row>
    <row r="9126" spans="1:7" x14ac:dyDescent="0.25">
      <c r="A9126" t="s">
        <v>26937</v>
      </c>
      <c r="B9126" t="s">
        <v>29163</v>
      </c>
      <c r="C9126" t="s">
        <v>748</v>
      </c>
      <c r="D9126" t="s">
        <v>749</v>
      </c>
      <c r="E9126" t="s">
        <v>750</v>
      </c>
      <c r="F9126" t="s">
        <v>29164</v>
      </c>
      <c r="G9126" s="2" t="str">
        <f>HYPERLINK("https://probpalata.gov.ru/files/ЮЛ770100193500008.jpeg","Скачать индивидуальный QR-код магазина")</f>
        <v>Скачать индивидуальный QR-код магазина</v>
      </c>
    </row>
    <row r="9127" spans="1:7" x14ac:dyDescent="0.25">
      <c r="A9127" t="s">
        <v>26937</v>
      </c>
      <c r="B9127" t="s">
        <v>29165</v>
      </c>
      <c r="C9127" t="s">
        <v>748</v>
      </c>
      <c r="D9127" t="s">
        <v>749</v>
      </c>
      <c r="E9127" t="s">
        <v>750</v>
      </c>
      <c r="F9127" t="s">
        <v>29166</v>
      </c>
      <c r="G9127" s="2" t="str">
        <f>HYPERLINK("https://probpalata.gov.ru/files/ЮЛ770100193500009.jpeg","Скачать индивидуальный QR-код магазина")</f>
        <v>Скачать индивидуальный QR-код магазина</v>
      </c>
    </row>
    <row r="9128" spans="1:7" x14ac:dyDescent="0.25">
      <c r="A9128" t="s">
        <v>26937</v>
      </c>
      <c r="B9128" t="s">
        <v>29167</v>
      </c>
      <c r="C9128" t="s">
        <v>748</v>
      </c>
      <c r="D9128" t="s">
        <v>749</v>
      </c>
      <c r="E9128" t="s">
        <v>750</v>
      </c>
      <c r="F9128" t="s">
        <v>29168</v>
      </c>
      <c r="G9128" s="2" t="str">
        <f>HYPERLINK("https://probpalata.gov.ru/files/ЮЛ770100193500010.jpeg","Скачать индивидуальный QR-код магазина")</f>
        <v>Скачать индивидуальный QR-код магазина</v>
      </c>
    </row>
    <row r="9129" spans="1:7" x14ac:dyDescent="0.25">
      <c r="A9129" t="s">
        <v>26937</v>
      </c>
      <c r="B9129" t="s">
        <v>29169</v>
      </c>
      <c r="C9129" t="s">
        <v>748</v>
      </c>
      <c r="D9129" t="s">
        <v>749</v>
      </c>
      <c r="E9129" t="s">
        <v>750</v>
      </c>
      <c r="F9129" t="s">
        <v>29170</v>
      </c>
      <c r="G9129" s="2" t="str">
        <f>HYPERLINK("https://probpalata.gov.ru/files/ЮЛ770100193500011.jpeg","Скачать индивидуальный QR-код магазина")</f>
        <v>Скачать индивидуальный QR-код магазина</v>
      </c>
    </row>
    <row r="9130" spans="1:7" x14ac:dyDescent="0.25">
      <c r="A9130" t="s">
        <v>26937</v>
      </c>
      <c r="B9130" t="s">
        <v>29171</v>
      </c>
      <c r="C9130" t="s">
        <v>748</v>
      </c>
      <c r="D9130" t="s">
        <v>749</v>
      </c>
      <c r="E9130" t="s">
        <v>750</v>
      </c>
      <c r="F9130" t="s">
        <v>29172</v>
      </c>
      <c r="G9130" s="2" t="str">
        <f>HYPERLINK("https://probpalata.gov.ru/files/ЮЛ770100193500012.jpeg","Скачать индивидуальный QR-код магазина")</f>
        <v>Скачать индивидуальный QR-код магазина</v>
      </c>
    </row>
    <row r="9131" spans="1:7" x14ac:dyDescent="0.25">
      <c r="A9131" t="s">
        <v>26937</v>
      </c>
      <c r="B9131" t="s">
        <v>29173</v>
      </c>
      <c r="C9131" t="s">
        <v>748</v>
      </c>
      <c r="D9131" t="s">
        <v>749</v>
      </c>
      <c r="E9131" t="s">
        <v>750</v>
      </c>
      <c r="F9131" t="s">
        <v>29174</v>
      </c>
      <c r="G9131" s="2" t="str">
        <f>HYPERLINK("https://probpalata.gov.ru/files/ЮЛ770100193500172.jpeg","Скачать индивидуальный QR-код магазина")</f>
        <v>Скачать индивидуальный QR-код магазина</v>
      </c>
    </row>
    <row r="9132" spans="1:7" x14ac:dyDescent="0.25">
      <c r="A9132" t="s">
        <v>26937</v>
      </c>
      <c r="B9132" t="s">
        <v>29175</v>
      </c>
      <c r="C9132" t="s">
        <v>748</v>
      </c>
      <c r="D9132" t="s">
        <v>749</v>
      </c>
      <c r="E9132" t="s">
        <v>750</v>
      </c>
      <c r="F9132" t="s">
        <v>29176</v>
      </c>
      <c r="G9132" s="2" t="str">
        <f>HYPERLINK("https://probpalata.gov.ru/files/ЮЛ770100193500173.jpeg","Скачать индивидуальный QR-код магазина")</f>
        <v>Скачать индивидуальный QR-код магазина</v>
      </c>
    </row>
    <row r="9133" spans="1:7" x14ac:dyDescent="0.25">
      <c r="A9133" t="s">
        <v>26937</v>
      </c>
      <c r="B9133" t="s">
        <v>29177</v>
      </c>
      <c r="C9133" t="s">
        <v>748</v>
      </c>
      <c r="D9133" t="s">
        <v>749</v>
      </c>
      <c r="E9133" t="s">
        <v>750</v>
      </c>
      <c r="F9133" t="s">
        <v>29178</v>
      </c>
      <c r="G9133" s="2" t="str">
        <f>HYPERLINK("https://probpalata.gov.ru/files/ЮЛ770100193500176.jpeg","Скачать индивидуальный QR-код магазина")</f>
        <v>Скачать индивидуальный QR-код магазина</v>
      </c>
    </row>
    <row r="9134" spans="1:7" x14ac:dyDescent="0.25">
      <c r="A9134" t="s">
        <v>26937</v>
      </c>
      <c r="B9134" t="s">
        <v>28991</v>
      </c>
      <c r="C9134" t="s">
        <v>748</v>
      </c>
      <c r="D9134" t="s">
        <v>749</v>
      </c>
      <c r="E9134" t="s">
        <v>750</v>
      </c>
      <c r="F9134" t="s">
        <v>29179</v>
      </c>
      <c r="G9134" s="2" t="str">
        <f>HYPERLINK("https://probpalata.gov.ru/files/ЮЛ770100193500177.jpeg","Скачать индивидуальный QR-код магазина")</f>
        <v>Скачать индивидуальный QR-код магазина</v>
      </c>
    </row>
    <row r="9135" spans="1:7" x14ac:dyDescent="0.25">
      <c r="A9135" t="s">
        <v>26937</v>
      </c>
      <c r="B9135" t="s">
        <v>29180</v>
      </c>
      <c r="C9135" t="s">
        <v>748</v>
      </c>
      <c r="D9135" t="s">
        <v>749</v>
      </c>
      <c r="E9135" t="s">
        <v>750</v>
      </c>
      <c r="F9135" t="s">
        <v>29181</v>
      </c>
      <c r="G9135" s="2" t="str">
        <f>HYPERLINK("https://probpalata.gov.ru/files/ЮЛ770100193500178.jpeg","Скачать индивидуальный QR-код магазина")</f>
        <v>Скачать индивидуальный QR-код магазина</v>
      </c>
    </row>
    <row r="9136" spans="1:7" x14ac:dyDescent="0.25">
      <c r="A9136" t="s">
        <v>26937</v>
      </c>
      <c r="B9136" t="s">
        <v>29182</v>
      </c>
      <c r="C9136" t="s">
        <v>748</v>
      </c>
      <c r="D9136" t="s">
        <v>749</v>
      </c>
      <c r="E9136" t="s">
        <v>750</v>
      </c>
      <c r="F9136" t="s">
        <v>29183</v>
      </c>
      <c r="G9136" s="2" t="str">
        <f>HYPERLINK("https://probpalata.gov.ru/files/ЮЛ770100193500179.jpeg","Скачать индивидуальный QR-код магазина")</f>
        <v>Скачать индивидуальный QR-код магазина</v>
      </c>
    </row>
    <row r="9137" spans="1:7" x14ac:dyDescent="0.25">
      <c r="A9137" t="s">
        <v>26937</v>
      </c>
      <c r="B9137" t="s">
        <v>29184</v>
      </c>
      <c r="C9137" t="s">
        <v>748</v>
      </c>
      <c r="D9137" t="s">
        <v>749</v>
      </c>
      <c r="E9137" t="s">
        <v>750</v>
      </c>
      <c r="F9137" t="s">
        <v>29185</v>
      </c>
      <c r="G9137" s="2" t="str">
        <f>HYPERLINK("https://probpalata.gov.ru/files/ЮЛ770100193500180.jpeg","Скачать индивидуальный QR-код магазина")</f>
        <v>Скачать индивидуальный QR-код магазина</v>
      </c>
    </row>
    <row r="9138" spans="1:7" x14ac:dyDescent="0.25">
      <c r="A9138" t="s">
        <v>26937</v>
      </c>
      <c r="B9138" t="s">
        <v>29186</v>
      </c>
      <c r="C9138" t="s">
        <v>748</v>
      </c>
      <c r="D9138" t="s">
        <v>749</v>
      </c>
      <c r="E9138" t="s">
        <v>750</v>
      </c>
      <c r="F9138" t="s">
        <v>29187</v>
      </c>
      <c r="G9138" s="2" t="str">
        <f>HYPERLINK("https://probpalata.gov.ru/files/ЮЛ770100193500181.jpeg","Скачать индивидуальный QR-код магазина")</f>
        <v>Скачать индивидуальный QR-код магазина</v>
      </c>
    </row>
    <row r="9139" spans="1:7" x14ac:dyDescent="0.25">
      <c r="A9139" t="s">
        <v>26937</v>
      </c>
      <c r="B9139" t="s">
        <v>29188</v>
      </c>
      <c r="C9139" t="s">
        <v>748</v>
      </c>
      <c r="D9139" t="s">
        <v>749</v>
      </c>
      <c r="E9139" t="s">
        <v>750</v>
      </c>
      <c r="F9139" t="s">
        <v>29189</v>
      </c>
      <c r="G9139" s="2" t="str">
        <f>HYPERLINK("https://probpalata.gov.ru/files/ЮЛ770100193500182.jpeg","Скачать индивидуальный QR-код магазина")</f>
        <v>Скачать индивидуальный QR-код магазина</v>
      </c>
    </row>
    <row r="9140" spans="1:7" x14ac:dyDescent="0.25">
      <c r="A9140" t="s">
        <v>26937</v>
      </c>
      <c r="B9140" t="s">
        <v>29190</v>
      </c>
      <c r="C9140" t="s">
        <v>748</v>
      </c>
      <c r="D9140" t="s">
        <v>749</v>
      </c>
      <c r="E9140" t="s">
        <v>750</v>
      </c>
      <c r="F9140" t="s">
        <v>29191</v>
      </c>
      <c r="G9140" s="2" t="str">
        <f>HYPERLINK("https://probpalata.gov.ru/files/ЮЛ770100193500183.jpeg","Скачать индивидуальный QR-код магазина")</f>
        <v>Скачать индивидуальный QR-код магазина</v>
      </c>
    </row>
    <row r="9141" spans="1:7" x14ac:dyDescent="0.25">
      <c r="A9141" t="s">
        <v>26937</v>
      </c>
      <c r="B9141" t="s">
        <v>29192</v>
      </c>
      <c r="C9141" t="s">
        <v>748</v>
      </c>
      <c r="D9141" t="s">
        <v>749</v>
      </c>
      <c r="E9141" t="s">
        <v>750</v>
      </c>
      <c r="F9141" t="s">
        <v>29193</v>
      </c>
      <c r="G9141" s="2" t="str">
        <f>HYPERLINK("https://probpalata.gov.ru/files/ЮЛ770100193500184.jpeg","Скачать индивидуальный QR-код магазина")</f>
        <v>Скачать индивидуальный QR-код магазина</v>
      </c>
    </row>
    <row r="9142" spans="1:7" x14ac:dyDescent="0.25">
      <c r="A9142" t="s">
        <v>26937</v>
      </c>
      <c r="B9142" t="s">
        <v>29194</v>
      </c>
      <c r="C9142" t="s">
        <v>748</v>
      </c>
      <c r="D9142" t="s">
        <v>749</v>
      </c>
      <c r="E9142" t="s">
        <v>750</v>
      </c>
      <c r="F9142" t="s">
        <v>29195</v>
      </c>
      <c r="G9142" s="2" t="str">
        <f>HYPERLINK("https://probpalata.gov.ru/files/ЮЛ770100193500318.jpeg","Скачать индивидуальный QR-код магазина")</f>
        <v>Скачать индивидуальный QR-код магазина</v>
      </c>
    </row>
    <row r="9143" spans="1:7" x14ac:dyDescent="0.25">
      <c r="A9143" t="s">
        <v>26937</v>
      </c>
      <c r="B9143" t="s">
        <v>29196</v>
      </c>
      <c r="C9143" t="s">
        <v>748</v>
      </c>
      <c r="D9143" t="s">
        <v>749</v>
      </c>
      <c r="E9143" t="s">
        <v>750</v>
      </c>
      <c r="F9143" t="s">
        <v>29197</v>
      </c>
      <c r="G9143" s="2" t="str">
        <f>HYPERLINK("https://probpalata.gov.ru/files/ЮЛ770100193500408.jpeg","Скачать индивидуальный QR-код магазина")</f>
        <v>Скачать индивидуальный QR-код магазина</v>
      </c>
    </row>
    <row r="9144" spans="1:7" x14ac:dyDescent="0.25">
      <c r="A9144" t="s">
        <v>26937</v>
      </c>
      <c r="B9144" t="s">
        <v>29198</v>
      </c>
      <c r="C9144" t="s">
        <v>748</v>
      </c>
      <c r="D9144" t="s">
        <v>749</v>
      </c>
      <c r="E9144" t="s">
        <v>750</v>
      </c>
      <c r="F9144" t="s">
        <v>29199</v>
      </c>
      <c r="G9144" s="2" t="str">
        <f>HYPERLINK("https://probpalata.gov.ru/files/ЮЛ770100193500417.jpeg","Скачать индивидуальный QR-код магазина")</f>
        <v>Скачать индивидуальный QR-код магазина</v>
      </c>
    </row>
    <row r="9145" spans="1:7" x14ac:dyDescent="0.25">
      <c r="A9145" t="s">
        <v>26937</v>
      </c>
      <c r="B9145" t="s">
        <v>29200</v>
      </c>
      <c r="C9145" t="s">
        <v>748</v>
      </c>
      <c r="D9145" t="s">
        <v>749</v>
      </c>
      <c r="E9145" t="s">
        <v>750</v>
      </c>
      <c r="F9145" t="s">
        <v>29201</v>
      </c>
      <c r="G9145" s="2" t="str">
        <f>HYPERLINK("https://probpalata.gov.ru/files/ЮЛ770100193500418.jpeg","Скачать индивидуальный QR-код магазина")</f>
        <v>Скачать индивидуальный QR-код магазина</v>
      </c>
    </row>
    <row r="9146" spans="1:7" x14ac:dyDescent="0.25">
      <c r="A9146" t="s">
        <v>26937</v>
      </c>
      <c r="B9146" t="s">
        <v>29202</v>
      </c>
      <c r="C9146" t="s">
        <v>748</v>
      </c>
      <c r="D9146" t="s">
        <v>749</v>
      </c>
      <c r="E9146" t="s">
        <v>750</v>
      </c>
      <c r="F9146" t="s">
        <v>29203</v>
      </c>
      <c r="G9146" s="2" t="str">
        <f>HYPERLINK("https://probpalata.gov.ru/files/ЮЛ770100193500431.jpeg","Скачать индивидуальный QR-код магазина")</f>
        <v>Скачать индивидуальный QR-код магазина</v>
      </c>
    </row>
    <row r="9147" spans="1:7" x14ac:dyDescent="0.25">
      <c r="A9147" t="s">
        <v>26937</v>
      </c>
      <c r="B9147" t="s">
        <v>29204</v>
      </c>
      <c r="C9147" t="s">
        <v>748</v>
      </c>
      <c r="D9147" t="s">
        <v>749</v>
      </c>
      <c r="E9147" t="s">
        <v>750</v>
      </c>
      <c r="F9147" t="s">
        <v>29205</v>
      </c>
      <c r="G9147" s="2" t="str">
        <f>HYPERLINK("https://probpalata.gov.ru/files/ЮЛ770100193500432.jpeg","Скачать индивидуальный QR-код магазина")</f>
        <v>Скачать индивидуальный QR-код магазина</v>
      </c>
    </row>
    <row r="9148" spans="1:7" x14ac:dyDescent="0.25">
      <c r="A9148" t="s">
        <v>26937</v>
      </c>
      <c r="B9148" t="s">
        <v>29206</v>
      </c>
      <c r="C9148" t="s">
        <v>748</v>
      </c>
      <c r="D9148" t="s">
        <v>749</v>
      </c>
      <c r="E9148" t="s">
        <v>750</v>
      </c>
      <c r="F9148" t="s">
        <v>29207</v>
      </c>
      <c r="G9148" s="2" t="str">
        <f>HYPERLINK("https://probpalata.gov.ru/files/ЮЛ770100193500433.jpeg","Скачать индивидуальный QR-код магазина")</f>
        <v>Скачать индивидуальный QR-код магазина</v>
      </c>
    </row>
    <row r="9149" spans="1:7" x14ac:dyDescent="0.25">
      <c r="A9149" t="s">
        <v>26937</v>
      </c>
      <c r="B9149" t="s">
        <v>29208</v>
      </c>
      <c r="C9149" t="s">
        <v>748</v>
      </c>
      <c r="D9149" t="s">
        <v>749</v>
      </c>
      <c r="E9149" t="s">
        <v>750</v>
      </c>
      <c r="F9149" t="s">
        <v>29209</v>
      </c>
      <c r="G9149" s="2" t="str">
        <f>HYPERLINK("https://probpalata.gov.ru/files/ЮЛ770100193500434.jpeg","Скачать индивидуальный QR-код магазина")</f>
        <v>Скачать индивидуальный QR-код магазина</v>
      </c>
    </row>
    <row r="9150" spans="1:7" x14ac:dyDescent="0.25">
      <c r="A9150" t="s">
        <v>26937</v>
      </c>
      <c r="B9150" t="s">
        <v>29210</v>
      </c>
      <c r="C9150" t="s">
        <v>748</v>
      </c>
      <c r="D9150" t="s">
        <v>749</v>
      </c>
      <c r="E9150" t="s">
        <v>750</v>
      </c>
      <c r="F9150" t="s">
        <v>29211</v>
      </c>
      <c r="G9150" s="2" t="str">
        <f>HYPERLINK("https://probpalata.gov.ru/files/ЮЛ770100193500437.jpeg","Скачать индивидуальный QR-код магазина")</f>
        <v>Скачать индивидуальный QR-код магазина</v>
      </c>
    </row>
    <row r="9151" spans="1:7" x14ac:dyDescent="0.25">
      <c r="A9151" t="s">
        <v>26937</v>
      </c>
      <c r="B9151" t="s">
        <v>29212</v>
      </c>
      <c r="C9151" t="s">
        <v>748</v>
      </c>
      <c r="D9151" t="s">
        <v>749</v>
      </c>
      <c r="E9151" t="s">
        <v>750</v>
      </c>
      <c r="F9151" t="s">
        <v>29213</v>
      </c>
      <c r="G9151" s="2" t="str">
        <f>HYPERLINK("https://probpalata.gov.ru/files/ЮЛ770100193500439.jpeg","Скачать индивидуальный QR-код магазина")</f>
        <v>Скачать индивидуальный QR-код магазина</v>
      </c>
    </row>
    <row r="9152" spans="1:7" x14ac:dyDescent="0.25">
      <c r="A9152" t="s">
        <v>26937</v>
      </c>
      <c r="B9152" t="s">
        <v>29214</v>
      </c>
      <c r="C9152" t="s">
        <v>748</v>
      </c>
      <c r="D9152" t="s">
        <v>749</v>
      </c>
      <c r="E9152" t="s">
        <v>750</v>
      </c>
      <c r="F9152" t="s">
        <v>29215</v>
      </c>
      <c r="G9152" s="2" t="str">
        <f>HYPERLINK("https://probpalata.gov.ru/files/ЮЛ770100193500440.jpeg","Скачать индивидуальный QR-код магазина")</f>
        <v>Скачать индивидуальный QR-код магазина</v>
      </c>
    </row>
    <row r="9153" spans="1:7" x14ac:dyDescent="0.25">
      <c r="A9153" t="s">
        <v>26937</v>
      </c>
      <c r="B9153" t="s">
        <v>29216</v>
      </c>
      <c r="C9153" t="s">
        <v>748</v>
      </c>
      <c r="D9153" t="s">
        <v>749</v>
      </c>
      <c r="E9153" t="s">
        <v>750</v>
      </c>
      <c r="F9153" t="s">
        <v>29217</v>
      </c>
      <c r="G9153" s="2" t="str">
        <f>HYPERLINK("https://probpalata.gov.ru/files/ЮЛ770100193500441.jpeg","Скачать индивидуальный QR-код магазина")</f>
        <v>Скачать индивидуальный QR-код магазина</v>
      </c>
    </row>
    <row r="9154" spans="1:7" x14ac:dyDescent="0.25">
      <c r="A9154" t="s">
        <v>26937</v>
      </c>
      <c r="B9154" t="s">
        <v>29218</v>
      </c>
      <c r="C9154" t="s">
        <v>748</v>
      </c>
      <c r="D9154" t="s">
        <v>749</v>
      </c>
      <c r="E9154" t="s">
        <v>750</v>
      </c>
      <c r="F9154" t="s">
        <v>29219</v>
      </c>
      <c r="G9154" s="2" t="str">
        <f>HYPERLINK("https://probpalata.gov.ru/files/ЮЛ770100193500442.jpeg","Скачать индивидуальный QR-код магазина")</f>
        <v>Скачать индивидуальный QR-код магазина</v>
      </c>
    </row>
    <row r="9155" spans="1:7" x14ac:dyDescent="0.25">
      <c r="A9155" t="s">
        <v>26937</v>
      </c>
      <c r="B9155" t="s">
        <v>29220</v>
      </c>
      <c r="C9155" t="s">
        <v>748</v>
      </c>
      <c r="D9155" t="s">
        <v>749</v>
      </c>
      <c r="E9155" t="s">
        <v>750</v>
      </c>
      <c r="F9155" t="s">
        <v>29221</v>
      </c>
      <c r="G9155" s="2" t="str">
        <f>HYPERLINK("https://probpalata.gov.ru/files/ЮЛ770100193500443.jpeg","Скачать индивидуальный QR-код магазина")</f>
        <v>Скачать индивидуальный QR-код магазина</v>
      </c>
    </row>
    <row r="9156" spans="1:7" x14ac:dyDescent="0.25">
      <c r="A9156" t="s">
        <v>26937</v>
      </c>
      <c r="B9156" t="s">
        <v>29222</v>
      </c>
      <c r="C9156" t="s">
        <v>748</v>
      </c>
      <c r="D9156" t="s">
        <v>749</v>
      </c>
      <c r="E9156" t="s">
        <v>750</v>
      </c>
      <c r="F9156" t="s">
        <v>29223</v>
      </c>
      <c r="G9156" s="2" t="str">
        <f>HYPERLINK("https://probpalata.gov.ru/files/ЮЛ770100193500444.jpeg","Скачать индивидуальный QR-код магазина")</f>
        <v>Скачать индивидуальный QR-код магазина</v>
      </c>
    </row>
    <row r="9157" spans="1:7" x14ac:dyDescent="0.25">
      <c r="A9157" t="s">
        <v>26937</v>
      </c>
      <c r="B9157" t="s">
        <v>29224</v>
      </c>
      <c r="C9157" t="s">
        <v>748</v>
      </c>
      <c r="D9157" t="s">
        <v>749</v>
      </c>
      <c r="E9157" t="s">
        <v>750</v>
      </c>
      <c r="F9157" t="s">
        <v>29225</v>
      </c>
      <c r="G9157" s="2" t="str">
        <f>HYPERLINK("https://probpalata.gov.ru/files/ЮЛ770100193500446.jpeg","Скачать индивидуальный QR-код магазина")</f>
        <v>Скачать индивидуальный QR-код магазина</v>
      </c>
    </row>
    <row r="9158" spans="1:7" x14ac:dyDescent="0.25">
      <c r="A9158" t="s">
        <v>26937</v>
      </c>
      <c r="B9158" t="s">
        <v>29226</v>
      </c>
      <c r="C9158" t="s">
        <v>748</v>
      </c>
      <c r="D9158" t="s">
        <v>749</v>
      </c>
      <c r="E9158" t="s">
        <v>750</v>
      </c>
      <c r="F9158" t="s">
        <v>29227</v>
      </c>
      <c r="G9158" s="2" t="str">
        <f>HYPERLINK("https://probpalata.gov.ru/files/ЮЛ770100193500447.jpeg","Скачать индивидуальный QR-код магазина")</f>
        <v>Скачать индивидуальный QR-код магазина</v>
      </c>
    </row>
    <row r="9159" spans="1:7" x14ac:dyDescent="0.25">
      <c r="A9159" t="s">
        <v>26937</v>
      </c>
      <c r="B9159" t="s">
        <v>29228</v>
      </c>
      <c r="C9159" t="s">
        <v>748</v>
      </c>
      <c r="D9159" t="s">
        <v>749</v>
      </c>
      <c r="E9159" t="s">
        <v>750</v>
      </c>
      <c r="F9159" t="s">
        <v>29229</v>
      </c>
      <c r="G9159" s="2" t="str">
        <f>HYPERLINK("https://probpalata.gov.ru/files/ЮЛ770100193500448.jpeg","Скачать индивидуальный QR-код магазина")</f>
        <v>Скачать индивидуальный QR-код магазина</v>
      </c>
    </row>
    <row r="9160" spans="1:7" x14ac:dyDescent="0.25">
      <c r="A9160" t="s">
        <v>26937</v>
      </c>
      <c r="B9160" t="s">
        <v>29230</v>
      </c>
      <c r="C9160" t="s">
        <v>748</v>
      </c>
      <c r="D9160" t="s">
        <v>749</v>
      </c>
      <c r="E9160" t="s">
        <v>750</v>
      </c>
      <c r="F9160" t="s">
        <v>29231</v>
      </c>
      <c r="G9160" s="2" t="str">
        <f>HYPERLINK("https://probpalata.gov.ru/files/ЮЛ770100193500450.jpeg","Скачать индивидуальный QR-код магазина")</f>
        <v>Скачать индивидуальный QR-код магазина</v>
      </c>
    </row>
    <row r="9161" spans="1:7" x14ac:dyDescent="0.25">
      <c r="A9161" t="s">
        <v>26937</v>
      </c>
      <c r="B9161" t="s">
        <v>29232</v>
      </c>
      <c r="C9161" t="s">
        <v>748</v>
      </c>
      <c r="D9161" t="s">
        <v>749</v>
      </c>
      <c r="E9161" t="s">
        <v>750</v>
      </c>
      <c r="F9161" t="s">
        <v>29233</v>
      </c>
      <c r="G9161" s="2" t="str">
        <f>HYPERLINK("https://probpalata.gov.ru/files/ЮЛ770100193500451.jpeg","Скачать индивидуальный QR-код магазина")</f>
        <v>Скачать индивидуальный QR-код магазина</v>
      </c>
    </row>
    <row r="9162" spans="1:7" x14ac:dyDescent="0.25">
      <c r="A9162" t="s">
        <v>26937</v>
      </c>
      <c r="B9162" t="s">
        <v>29234</v>
      </c>
      <c r="C9162" t="s">
        <v>748</v>
      </c>
      <c r="D9162" t="s">
        <v>749</v>
      </c>
      <c r="E9162" t="s">
        <v>750</v>
      </c>
      <c r="F9162" t="s">
        <v>29235</v>
      </c>
      <c r="G9162" s="2" t="str">
        <f>HYPERLINK("https://probpalata.gov.ru/files/ЮЛ770100193500453.jpeg","Скачать индивидуальный QR-код магазина")</f>
        <v>Скачать индивидуальный QR-код магазина</v>
      </c>
    </row>
    <row r="9163" spans="1:7" x14ac:dyDescent="0.25">
      <c r="A9163" t="s">
        <v>26937</v>
      </c>
      <c r="B9163" t="s">
        <v>29236</v>
      </c>
      <c r="C9163" t="s">
        <v>748</v>
      </c>
      <c r="D9163" t="s">
        <v>749</v>
      </c>
      <c r="E9163" t="s">
        <v>750</v>
      </c>
      <c r="F9163" t="s">
        <v>29237</v>
      </c>
      <c r="G9163" s="2" t="str">
        <f>HYPERLINK("https://probpalata.gov.ru/files/ЮЛ770100193500455.jpeg","Скачать индивидуальный QR-код магазина")</f>
        <v>Скачать индивидуальный QR-код магазина</v>
      </c>
    </row>
    <row r="9164" spans="1:7" x14ac:dyDescent="0.25">
      <c r="A9164" t="s">
        <v>26937</v>
      </c>
      <c r="B9164" t="s">
        <v>29238</v>
      </c>
      <c r="C9164" t="s">
        <v>748</v>
      </c>
      <c r="D9164" t="s">
        <v>749</v>
      </c>
      <c r="E9164" t="s">
        <v>750</v>
      </c>
      <c r="F9164" t="s">
        <v>29239</v>
      </c>
      <c r="G9164" s="2" t="str">
        <f>HYPERLINK("https://probpalata.gov.ru/files/ЮЛ770100193500458.jpeg","Скачать индивидуальный QR-код магазина")</f>
        <v>Скачать индивидуальный QR-код магазина</v>
      </c>
    </row>
    <row r="9165" spans="1:7" x14ac:dyDescent="0.25">
      <c r="A9165" t="s">
        <v>26937</v>
      </c>
      <c r="B9165" t="s">
        <v>29240</v>
      </c>
      <c r="C9165" t="s">
        <v>748</v>
      </c>
      <c r="D9165" t="s">
        <v>749</v>
      </c>
      <c r="E9165" t="s">
        <v>750</v>
      </c>
      <c r="F9165" t="s">
        <v>29241</v>
      </c>
      <c r="G9165" s="2" t="str">
        <f>HYPERLINK("https://probpalata.gov.ru/files/ЮЛ770100193500460.jpeg","Скачать индивидуальный QR-код магазина")</f>
        <v>Скачать индивидуальный QR-код магазина</v>
      </c>
    </row>
    <row r="9166" spans="1:7" x14ac:dyDescent="0.25">
      <c r="A9166" t="s">
        <v>26937</v>
      </c>
      <c r="B9166" t="s">
        <v>29242</v>
      </c>
      <c r="C9166" t="s">
        <v>748</v>
      </c>
      <c r="D9166" t="s">
        <v>749</v>
      </c>
      <c r="E9166" t="s">
        <v>750</v>
      </c>
      <c r="F9166" t="s">
        <v>29243</v>
      </c>
      <c r="G9166" s="2" t="str">
        <f>HYPERLINK("https://probpalata.gov.ru/files/ЮЛ770100193500461.jpeg","Скачать индивидуальный QR-код магазина")</f>
        <v>Скачать индивидуальный QR-код магазина</v>
      </c>
    </row>
    <row r="9167" spans="1:7" x14ac:dyDescent="0.25">
      <c r="A9167" t="s">
        <v>26937</v>
      </c>
      <c r="B9167" t="s">
        <v>29244</v>
      </c>
      <c r="C9167" t="s">
        <v>748</v>
      </c>
      <c r="D9167" t="s">
        <v>749</v>
      </c>
      <c r="E9167" t="s">
        <v>750</v>
      </c>
      <c r="F9167" t="s">
        <v>29245</v>
      </c>
      <c r="G9167" s="2" t="str">
        <f>HYPERLINK("https://probpalata.gov.ru/files/ЮЛ770100193500462.jpeg","Скачать индивидуальный QR-код магазина")</f>
        <v>Скачать индивидуальный QR-код магазина</v>
      </c>
    </row>
    <row r="9168" spans="1:7" x14ac:dyDescent="0.25">
      <c r="A9168" t="s">
        <v>26937</v>
      </c>
      <c r="B9168" t="s">
        <v>29246</v>
      </c>
      <c r="C9168" t="s">
        <v>748</v>
      </c>
      <c r="D9168" t="s">
        <v>749</v>
      </c>
      <c r="E9168" t="s">
        <v>750</v>
      </c>
      <c r="F9168" t="s">
        <v>29247</v>
      </c>
      <c r="G9168" s="2" t="str">
        <f>HYPERLINK("https://probpalata.gov.ru/files/ЮЛ770100193500465.jpeg","Скачать индивидуальный QR-код магазина")</f>
        <v>Скачать индивидуальный QR-код магазина</v>
      </c>
    </row>
    <row r="9169" spans="1:7" x14ac:dyDescent="0.25">
      <c r="A9169" t="s">
        <v>26937</v>
      </c>
      <c r="B9169" t="s">
        <v>29248</v>
      </c>
      <c r="C9169" t="s">
        <v>748</v>
      </c>
      <c r="D9169" t="s">
        <v>749</v>
      </c>
      <c r="E9169" t="s">
        <v>750</v>
      </c>
      <c r="F9169" t="s">
        <v>29249</v>
      </c>
      <c r="G9169" s="2" t="str">
        <f>HYPERLINK("https://probpalata.gov.ru/files/ЮЛ770100193500467.jpeg","Скачать индивидуальный QR-код магазина")</f>
        <v>Скачать индивидуальный QR-код магазина</v>
      </c>
    </row>
    <row r="9170" spans="1:7" x14ac:dyDescent="0.25">
      <c r="A9170" t="s">
        <v>26937</v>
      </c>
      <c r="B9170" t="s">
        <v>29250</v>
      </c>
      <c r="C9170" t="s">
        <v>748</v>
      </c>
      <c r="D9170" t="s">
        <v>749</v>
      </c>
      <c r="E9170" t="s">
        <v>750</v>
      </c>
      <c r="F9170" t="s">
        <v>29251</v>
      </c>
      <c r="G9170" s="2" t="str">
        <f>HYPERLINK("https://probpalata.gov.ru/files/ЮЛ770100193500468.jpeg","Скачать индивидуальный QR-код магазина")</f>
        <v>Скачать индивидуальный QR-код магазина</v>
      </c>
    </row>
    <row r="9171" spans="1:7" x14ac:dyDescent="0.25">
      <c r="A9171" t="s">
        <v>26937</v>
      </c>
      <c r="B9171" t="s">
        <v>29252</v>
      </c>
      <c r="C9171" t="s">
        <v>748</v>
      </c>
      <c r="D9171" t="s">
        <v>749</v>
      </c>
      <c r="E9171" t="s">
        <v>750</v>
      </c>
      <c r="F9171" t="s">
        <v>29253</v>
      </c>
      <c r="G9171" s="2" t="str">
        <f>HYPERLINK("https://probpalata.gov.ru/files/ЮЛ770100193500470.jpeg","Скачать индивидуальный QR-код магазина")</f>
        <v>Скачать индивидуальный QR-код магазина</v>
      </c>
    </row>
    <row r="9172" spans="1:7" x14ac:dyDescent="0.25">
      <c r="A9172" t="s">
        <v>26937</v>
      </c>
      <c r="B9172" t="s">
        <v>29254</v>
      </c>
      <c r="C9172" t="s">
        <v>748</v>
      </c>
      <c r="D9172" t="s">
        <v>749</v>
      </c>
      <c r="E9172" t="s">
        <v>750</v>
      </c>
      <c r="F9172" t="s">
        <v>29255</v>
      </c>
      <c r="G9172" s="2" t="str">
        <f>HYPERLINK("https://probpalata.gov.ru/files/ЮЛ770100193500473.jpeg","Скачать индивидуальный QR-код магазина")</f>
        <v>Скачать индивидуальный QR-код магазина</v>
      </c>
    </row>
    <row r="9173" spans="1:7" x14ac:dyDescent="0.25">
      <c r="A9173" t="s">
        <v>26937</v>
      </c>
      <c r="B9173" t="s">
        <v>29256</v>
      </c>
      <c r="C9173" t="s">
        <v>748</v>
      </c>
      <c r="D9173" t="s">
        <v>749</v>
      </c>
      <c r="E9173" t="s">
        <v>750</v>
      </c>
      <c r="F9173" t="s">
        <v>29257</v>
      </c>
      <c r="G9173" s="2" t="str">
        <f>HYPERLINK("https://probpalata.gov.ru/files/ЮЛ770100193500474.jpeg","Скачать индивидуальный QR-код магазина")</f>
        <v>Скачать индивидуальный QR-код магазина</v>
      </c>
    </row>
    <row r="9174" spans="1:7" x14ac:dyDescent="0.25">
      <c r="A9174" t="s">
        <v>26937</v>
      </c>
      <c r="B9174" t="s">
        <v>29258</v>
      </c>
      <c r="C9174" t="s">
        <v>748</v>
      </c>
      <c r="D9174" t="s">
        <v>749</v>
      </c>
      <c r="E9174" t="s">
        <v>750</v>
      </c>
      <c r="F9174" t="s">
        <v>29259</v>
      </c>
      <c r="G9174" s="2" t="str">
        <f>HYPERLINK("https://probpalata.gov.ru/files/ЮЛ770100193500476.jpeg","Скачать индивидуальный QR-код магазина")</f>
        <v>Скачать индивидуальный QR-код магазина</v>
      </c>
    </row>
    <row r="9175" spans="1:7" x14ac:dyDescent="0.25">
      <c r="A9175" t="s">
        <v>26937</v>
      </c>
      <c r="B9175" t="s">
        <v>29260</v>
      </c>
      <c r="C9175" t="s">
        <v>748</v>
      </c>
      <c r="D9175" t="s">
        <v>749</v>
      </c>
      <c r="E9175" t="s">
        <v>750</v>
      </c>
      <c r="F9175" t="s">
        <v>29261</v>
      </c>
      <c r="G9175" s="2" t="str">
        <f>HYPERLINK("https://probpalata.gov.ru/files/ЮЛ770100193500478.jpeg","Скачать индивидуальный QR-код магазина")</f>
        <v>Скачать индивидуальный QR-код магазина</v>
      </c>
    </row>
    <row r="9176" spans="1:7" x14ac:dyDescent="0.25">
      <c r="A9176" t="s">
        <v>26937</v>
      </c>
      <c r="B9176" t="s">
        <v>29262</v>
      </c>
      <c r="C9176" t="s">
        <v>748</v>
      </c>
      <c r="D9176" t="s">
        <v>749</v>
      </c>
      <c r="E9176" t="s">
        <v>750</v>
      </c>
      <c r="F9176" t="s">
        <v>29263</v>
      </c>
      <c r="G9176" s="2" t="str">
        <f>HYPERLINK("https://probpalata.gov.ru/files/ЮЛ770100193500479.jpeg","Скачать индивидуальный QR-код магазина")</f>
        <v>Скачать индивидуальный QR-код магазина</v>
      </c>
    </row>
    <row r="9177" spans="1:7" x14ac:dyDescent="0.25">
      <c r="A9177" t="s">
        <v>26937</v>
      </c>
      <c r="B9177" t="s">
        <v>29264</v>
      </c>
      <c r="C9177" t="s">
        <v>748</v>
      </c>
      <c r="D9177" t="s">
        <v>749</v>
      </c>
      <c r="E9177" t="s">
        <v>750</v>
      </c>
      <c r="F9177" t="s">
        <v>29265</v>
      </c>
      <c r="G9177" s="2" t="str">
        <f>HYPERLINK("https://probpalata.gov.ru/files/ЮЛ770100193500500.jpeg","Скачать индивидуальный QR-код магазина")</f>
        <v>Скачать индивидуальный QR-код магазина</v>
      </c>
    </row>
    <row r="9178" spans="1:7" x14ac:dyDescent="0.25">
      <c r="A9178" t="s">
        <v>26937</v>
      </c>
      <c r="B9178" t="s">
        <v>29266</v>
      </c>
      <c r="C9178" t="s">
        <v>748</v>
      </c>
      <c r="D9178" t="s">
        <v>749</v>
      </c>
      <c r="E9178" t="s">
        <v>750</v>
      </c>
      <c r="F9178" t="s">
        <v>29267</v>
      </c>
      <c r="G9178" s="2" t="str">
        <f>HYPERLINK("https://probpalata.gov.ru/files/ЮЛ770100193500501.jpeg","Скачать индивидуальный QR-код магазина")</f>
        <v>Скачать индивидуальный QR-код магазина</v>
      </c>
    </row>
    <row r="9179" spans="1:7" x14ac:dyDescent="0.25">
      <c r="A9179" t="s">
        <v>26937</v>
      </c>
      <c r="B9179" t="s">
        <v>29268</v>
      </c>
      <c r="C9179" t="s">
        <v>748</v>
      </c>
      <c r="D9179" t="s">
        <v>749</v>
      </c>
      <c r="E9179" t="s">
        <v>750</v>
      </c>
      <c r="F9179" t="s">
        <v>29269</v>
      </c>
      <c r="G9179" s="2" t="str">
        <f>HYPERLINK("https://probpalata.gov.ru/files/ЮЛ770100193500504.jpeg","Скачать индивидуальный QR-код магазина")</f>
        <v>Скачать индивидуальный QR-код магазина</v>
      </c>
    </row>
    <row r="9180" spans="1:7" x14ac:dyDescent="0.25">
      <c r="A9180" t="s">
        <v>26937</v>
      </c>
      <c r="B9180" t="s">
        <v>29270</v>
      </c>
      <c r="C9180" t="s">
        <v>748</v>
      </c>
      <c r="D9180" t="s">
        <v>749</v>
      </c>
      <c r="E9180" t="s">
        <v>750</v>
      </c>
      <c r="F9180" t="s">
        <v>29271</v>
      </c>
      <c r="G9180" s="2" t="str">
        <f>HYPERLINK("https://probpalata.gov.ru/files/ЮЛ770100193500511.jpeg","Скачать индивидуальный QR-код магазина")</f>
        <v>Скачать индивидуальный QR-код магазина</v>
      </c>
    </row>
    <row r="9181" spans="1:7" x14ac:dyDescent="0.25">
      <c r="A9181" t="s">
        <v>26937</v>
      </c>
      <c r="B9181" t="s">
        <v>29272</v>
      </c>
      <c r="C9181" t="s">
        <v>748</v>
      </c>
      <c r="D9181" t="s">
        <v>749</v>
      </c>
      <c r="E9181" t="s">
        <v>750</v>
      </c>
      <c r="F9181" t="s">
        <v>29273</v>
      </c>
      <c r="G9181" s="2" t="str">
        <f>HYPERLINK("https://probpalata.gov.ru/files/ЮЛ770100193500526.jpeg","Скачать индивидуальный QR-код магазина")</f>
        <v>Скачать индивидуальный QR-код магазина</v>
      </c>
    </row>
    <row r="9182" spans="1:7" x14ac:dyDescent="0.25">
      <c r="A9182" t="s">
        <v>26937</v>
      </c>
      <c r="B9182" t="s">
        <v>29274</v>
      </c>
      <c r="C9182" t="s">
        <v>748</v>
      </c>
      <c r="D9182" t="s">
        <v>749</v>
      </c>
      <c r="E9182" t="s">
        <v>750</v>
      </c>
      <c r="F9182" t="s">
        <v>29275</v>
      </c>
      <c r="G9182" s="2" t="str">
        <f>HYPERLINK("https://probpalata.gov.ru/files/ЮЛ770100193500533.jpeg","Скачать индивидуальный QR-код магазина")</f>
        <v>Скачать индивидуальный QR-код магазина</v>
      </c>
    </row>
    <row r="9183" spans="1:7" x14ac:dyDescent="0.25">
      <c r="A9183" t="s">
        <v>26937</v>
      </c>
      <c r="B9183" t="s">
        <v>29276</v>
      </c>
      <c r="C9183" t="s">
        <v>748</v>
      </c>
      <c r="D9183" t="s">
        <v>749</v>
      </c>
      <c r="E9183" t="s">
        <v>750</v>
      </c>
      <c r="F9183" t="s">
        <v>29277</v>
      </c>
      <c r="G9183" s="2" t="str">
        <f>HYPERLINK("https://probpalata.gov.ru/files/ЮЛ770100193500534.jpeg","Скачать индивидуальный QR-код магазина")</f>
        <v>Скачать индивидуальный QR-код магазина</v>
      </c>
    </row>
    <row r="9184" spans="1:7" x14ac:dyDescent="0.25">
      <c r="A9184" t="s">
        <v>26937</v>
      </c>
      <c r="B9184" t="s">
        <v>29278</v>
      </c>
      <c r="C9184" t="s">
        <v>748</v>
      </c>
      <c r="D9184" t="s">
        <v>749</v>
      </c>
      <c r="E9184" t="s">
        <v>750</v>
      </c>
      <c r="F9184" t="s">
        <v>29279</v>
      </c>
      <c r="G9184" s="2" t="str">
        <f>HYPERLINK("https://probpalata.gov.ru/files/ЮЛ770100193500552.jpeg","Скачать индивидуальный QR-код магазина")</f>
        <v>Скачать индивидуальный QR-код магазина</v>
      </c>
    </row>
    <row r="9185" spans="1:7" x14ac:dyDescent="0.25">
      <c r="A9185" t="s">
        <v>26937</v>
      </c>
      <c r="B9185" t="s">
        <v>27552</v>
      </c>
      <c r="C9185" t="s">
        <v>748</v>
      </c>
      <c r="D9185" t="s">
        <v>749</v>
      </c>
      <c r="E9185" t="s">
        <v>750</v>
      </c>
      <c r="F9185" t="s">
        <v>29280</v>
      </c>
      <c r="G9185" s="2" t="str">
        <f>HYPERLINK("https://probpalata.gov.ru/files/ЮЛ770100193500564.jpeg","Скачать индивидуальный QR-код магазина")</f>
        <v>Скачать индивидуальный QR-код магазина</v>
      </c>
    </row>
    <row r="9186" spans="1:7" x14ac:dyDescent="0.25">
      <c r="A9186" t="s">
        <v>26937</v>
      </c>
      <c r="B9186" t="s">
        <v>29281</v>
      </c>
      <c r="C9186" t="s">
        <v>748</v>
      </c>
      <c r="D9186" t="s">
        <v>749</v>
      </c>
      <c r="E9186" t="s">
        <v>750</v>
      </c>
      <c r="F9186" t="s">
        <v>29282</v>
      </c>
      <c r="G9186" s="2" t="str">
        <f>HYPERLINK("https://probpalata.gov.ru/files/ЮЛ770100193500570.jpeg","Скачать индивидуальный QR-код магазина")</f>
        <v>Скачать индивидуальный QR-код магазина</v>
      </c>
    </row>
    <row r="9187" spans="1:7" x14ac:dyDescent="0.25">
      <c r="A9187" t="s">
        <v>26937</v>
      </c>
      <c r="B9187" t="s">
        <v>29283</v>
      </c>
      <c r="C9187" t="s">
        <v>748</v>
      </c>
      <c r="D9187" t="s">
        <v>749</v>
      </c>
      <c r="E9187" t="s">
        <v>750</v>
      </c>
      <c r="F9187" t="s">
        <v>29284</v>
      </c>
      <c r="G9187" s="2" t="str">
        <f>HYPERLINK("https://probpalata.gov.ru/files/ЮЛ770100193500576.jpeg","Скачать индивидуальный QR-код магазина")</f>
        <v>Скачать индивидуальный QR-код магазина</v>
      </c>
    </row>
    <row r="9188" spans="1:7" x14ac:dyDescent="0.25">
      <c r="A9188" t="s">
        <v>26937</v>
      </c>
      <c r="B9188" t="s">
        <v>29285</v>
      </c>
      <c r="C9188" t="s">
        <v>748</v>
      </c>
      <c r="D9188" t="s">
        <v>749</v>
      </c>
      <c r="E9188" t="s">
        <v>750</v>
      </c>
      <c r="F9188" t="s">
        <v>29286</v>
      </c>
      <c r="G9188" s="2" t="str">
        <f>HYPERLINK("https://probpalata.gov.ru/files/ЮЛ770100193500580.jpeg","Скачать индивидуальный QR-код магазина")</f>
        <v>Скачать индивидуальный QR-код магазина</v>
      </c>
    </row>
    <row r="9189" spans="1:7" x14ac:dyDescent="0.25">
      <c r="A9189" t="s">
        <v>26937</v>
      </c>
      <c r="B9189" t="s">
        <v>29287</v>
      </c>
      <c r="C9189" t="s">
        <v>748</v>
      </c>
      <c r="D9189" t="s">
        <v>749</v>
      </c>
      <c r="E9189" t="s">
        <v>750</v>
      </c>
      <c r="F9189" t="s">
        <v>29288</v>
      </c>
      <c r="G9189" s="2" t="str">
        <f>HYPERLINK("https://probpalata.gov.ru/files/ЮЛ770100193500587.jpeg","Скачать индивидуальный QR-код магазина")</f>
        <v>Скачать индивидуальный QR-код магазина</v>
      </c>
    </row>
    <row r="9190" spans="1:7" x14ac:dyDescent="0.25">
      <c r="A9190" t="s">
        <v>26937</v>
      </c>
      <c r="B9190" t="s">
        <v>29289</v>
      </c>
      <c r="C9190" t="s">
        <v>748</v>
      </c>
      <c r="D9190" t="s">
        <v>749</v>
      </c>
      <c r="E9190" t="s">
        <v>750</v>
      </c>
      <c r="F9190" t="s">
        <v>29290</v>
      </c>
      <c r="G9190" s="2" t="str">
        <f>HYPERLINK("https://probpalata.gov.ru/files/ЮЛ770100193500603.jpeg","Скачать индивидуальный QR-код магазина")</f>
        <v>Скачать индивидуальный QR-код магазина</v>
      </c>
    </row>
    <row r="9191" spans="1:7" x14ac:dyDescent="0.25">
      <c r="A9191" t="s">
        <v>26937</v>
      </c>
      <c r="B9191" t="s">
        <v>29291</v>
      </c>
      <c r="C9191" t="s">
        <v>748</v>
      </c>
      <c r="D9191" t="s">
        <v>749</v>
      </c>
      <c r="E9191" t="s">
        <v>750</v>
      </c>
      <c r="F9191" t="s">
        <v>29292</v>
      </c>
      <c r="G9191" s="2" t="str">
        <f>HYPERLINK("https://probpalata.gov.ru/files/ЮЛ770100193500606.jpeg","Скачать индивидуальный QR-код магазина")</f>
        <v>Скачать индивидуальный QR-код магазина</v>
      </c>
    </row>
    <row r="9192" spans="1:7" x14ac:dyDescent="0.25">
      <c r="A9192" t="s">
        <v>26937</v>
      </c>
      <c r="B9192" t="s">
        <v>29293</v>
      </c>
      <c r="C9192" t="s">
        <v>748</v>
      </c>
      <c r="D9192" t="s">
        <v>749</v>
      </c>
      <c r="E9192" t="s">
        <v>750</v>
      </c>
      <c r="F9192" t="s">
        <v>29294</v>
      </c>
      <c r="G9192" s="2" t="str">
        <f>HYPERLINK("https://probpalata.gov.ru/files/ЮЛ770100193500610.jpeg","Скачать индивидуальный QR-код магазина")</f>
        <v>Скачать индивидуальный QR-код магазина</v>
      </c>
    </row>
    <row r="9193" spans="1:7" x14ac:dyDescent="0.25">
      <c r="A9193" t="s">
        <v>26937</v>
      </c>
      <c r="B9193" t="s">
        <v>29295</v>
      </c>
      <c r="C9193" t="s">
        <v>748</v>
      </c>
      <c r="D9193" t="s">
        <v>749</v>
      </c>
      <c r="E9193" t="s">
        <v>750</v>
      </c>
      <c r="F9193" t="s">
        <v>29296</v>
      </c>
      <c r="G9193" s="2" t="str">
        <f>HYPERLINK("https://probpalata.gov.ru/files/ЮЛ770100193500623.jpeg","Скачать индивидуальный QR-код магазина")</f>
        <v>Скачать индивидуальный QR-код магазина</v>
      </c>
    </row>
    <row r="9194" spans="1:7" x14ac:dyDescent="0.25">
      <c r="A9194" t="s">
        <v>26937</v>
      </c>
      <c r="B9194" t="s">
        <v>29297</v>
      </c>
      <c r="C9194" t="s">
        <v>748</v>
      </c>
      <c r="D9194" t="s">
        <v>749</v>
      </c>
      <c r="E9194" t="s">
        <v>750</v>
      </c>
      <c r="F9194" t="s">
        <v>29298</v>
      </c>
      <c r="G9194" s="2" t="str">
        <f>HYPERLINK("https://probpalata.gov.ru/files/ЮЛ770100193500627.jpeg","Скачать индивидуальный QR-код магазина")</f>
        <v>Скачать индивидуальный QR-код магазина</v>
      </c>
    </row>
    <row r="9195" spans="1:7" x14ac:dyDescent="0.25">
      <c r="A9195" t="s">
        <v>26937</v>
      </c>
      <c r="B9195" t="s">
        <v>29299</v>
      </c>
      <c r="C9195" t="s">
        <v>748</v>
      </c>
      <c r="D9195" t="s">
        <v>749</v>
      </c>
      <c r="E9195" t="s">
        <v>750</v>
      </c>
      <c r="F9195" t="s">
        <v>29300</v>
      </c>
      <c r="G9195" s="2" t="str">
        <f>HYPERLINK("https://probpalata.gov.ru/files/ЮЛ770100193500656.jpeg","Скачать индивидуальный QR-код магазина")</f>
        <v>Скачать индивидуальный QR-код магазина</v>
      </c>
    </row>
    <row r="9196" spans="1:7" x14ac:dyDescent="0.25">
      <c r="A9196" t="s">
        <v>26937</v>
      </c>
      <c r="B9196" t="s">
        <v>29301</v>
      </c>
      <c r="C9196" t="s">
        <v>748</v>
      </c>
      <c r="D9196" t="s">
        <v>749</v>
      </c>
      <c r="E9196" t="s">
        <v>750</v>
      </c>
      <c r="F9196" t="s">
        <v>29302</v>
      </c>
      <c r="G9196" s="2" t="str">
        <f>HYPERLINK("https://probpalata.gov.ru/files/ЮЛ770100193500657.jpeg","Скачать индивидуальный QR-код магазина")</f>
        <v>Скачать индивидуальный QR-код магазина</v>
      </c>
    </row>
    <row r="9197" spans="1:7" x14ac:dyDescent="0.25">
      <c r="A9197" t="s">
        <v>26937</v>
      </c>
      <c r="B9197" t="s">
        <v>29303</v>
      </c>
      <c r="C9197" t="s">
        <v>748</v>
      </c>
      <c r="D9197" t="s">
        <v>749</v>
      </c>
      <c r="E9197" t="s">
        <v>750</v>
      </c>
      <c r="F9197" t="s">
        <v>29304</v>
      </c>
      <c r="G9197" s="2" t="str">
        <f>HYPERLINK("https://probpalata.gov.ru/files/ЮЛ770100193500670.jpeg","Скачать индивидуальный QR-код магазина")</f>
        <v>Скачать индивидуальный QR-код магазина</v>
      </c>
    </row>
    <row r="9198" spans="1:7" x14ac:dyDescent="0.25">
      <c r="A9198" t="s">
        <v>26937</v>
      </c>
      <c r="B9198" t="s">
        <v>29305</v>
      </c>
      <c r="C9198" t="s">
        <v>748</v>
      </c>
      <c r="D9198" t="s">
        <v>749</v>
      </c>
      <c r="E9198" t="s">
        <v>750</v>
      </c>
      <c r="F9198" t="s">
        <v>29306</v>
      </c>
      <c r="G9198" s="2" t="str">
        <f>HYPERLINK("https://probpalata.gov.ru/files/ЮЛ770100193500672.jpeg","Скачать индивидуальный QR-код магазина")</f>
        <v>Скачать индивидуальный QR-код магазина</v>
      </c>
    </row>
    <row r="9199" spans="1:7" x14ac:dyDescent="0.25">
      <c r="A9199" t="s">
        <v>26937</v>
      </c>
      <c r="B9199" t="s">
        <v>29307</v>
      </c>
      <c r="C9199" t="s">
        <v>748</v>
      </c>
      <c r="D9199" t="s">
        <v>749</v>
      </c>
      <c r="E9199" t="s">
        <v>750</v>
      </c>
      <c r="F9199" t="s">
        <v>29308</v>
      </c>
      <c r="G9199" s="2" t="str">
        <f>HYPERLINK("https://probpalata.gov.ru/files/ЮЛ770100193500684.jpeg","Скачать индивидуальный QR-код магазина")</f>
        <v>Скачать индивидуальный QR-код магазина</v>
      </c>
    </row>
    <row r="9200" spans="1:7" x14ac:dyDescent="0.25">
      <c r="A9200" t="s">
        <v>26937</v>
      </c>
      <c r="B9200" t="s">
        <v>29309</v>
      </c>
      <c r="C9200" t="s">
        <v>748</v>
      </c>
      <c r="D9200" t="s">
        <v>749</v>
      </c>
      <c r="E9200" t="s">
        <v>750</v>
      </c>
      <c r="F9200" t="s">
        <v>29310</v>
      </c>
      <c r="G9200" s="2" t="str">
        <f>HYPERLINK("https://probpalata.gov.ru/files/ЮЛ770100193500690.jpeg","Скачать индивидуальный QR-код магазина")</f>
        <v>Скачать индивидуальный QR-код магазина</v>
      </c>
    </row>
    <row r="9201" spans="1:7" x14ac:dyDescent="0.25">
      <c r="A9201" t="s">
        <v>26937</v>
      </c>
      <c r="B9201" t="s">
        <v>29311</v>
      </c>
      <c r="C9201" t="s">
        <v>748</v>
      </c>
      <c r="D9201" t="s">
        <v>749</v>
      </c>
      <c r="E9201" t="s">
        <v>750</v>
      </c>
      <c r="F9201" t="s">
        <v>29312</v>
      </c>
      <c r="G9201" s="2" t="str">
        <f>HYPERLINK("https://probpalata.gov.ru/files/ЮЛ770100193500717.jpeg","Скачать индивидуальный QR-код магазина")</f>
        <v>Скачать индивидуальный QR-код магазина</v>
      </c>
    </row>
    <row r="9202" spans="1:7" x14ac:dyDescent="0.25">
      <c r="A9202" t="s">
        <v>26937</v>
      </c>
      <c r="B9202" t="s">
        <v>29313</v>
      </c>
      <c r="C9202" t="s">
        <v>748</v>
      </c>
      <c r="D9202" t="s">
        <v>749</v>
      </c>
      <c r="E9202" t="s">
        <v>750</v>
      </c>
      <c r="F9202" t="s">
        <v>29314</v>
      </c>
      <c r="G9202" s="2" t="str">
        <f>HYPERLINK("https://probpalata.gov.ru/files/ЮЛ770100193500725.jpeg","Скачать индивидуальный QR-код магазина")</f>
        <v>Скачать индивидуальный QR-код магазина</v>
      </c>
    </row>
    <row r="9203" spans="1:7" x14ac:dyDescent="0.25">
      <c r="A9203" t="s">
        <v>26937</v>
      </c>
      <c r="B9203" t="s">
        <v>29315</v>
      </c>
      <c r="C9203" t="s">
        <v>748</v>
      </c>
      <c r="D9203" t="s">
        <v>749</v>
      </c>
      <c r="E9203" t="s">
        <v>750</v>
      </c>
      <c r="F9203" t="s">
        <v>29316</v>
      </c>
      <c r="G9203" s="2" t="str">
        <f>HYPERLINK("https://probpalata.gov.ru/files/ЮЛ770100193500739.jpeg","Скачать индивидуальный QR-код магазина")</f>
        <v>Скачать индивидуальный QR-код магазина</v>
      </c>
    </row>
    <row r="9204" spans="1:7" x14ac:dyDescent="0.25">
      <c r="A9204" t="s">
        <v>26937</v>
      </c>
      <c r="B9204" t="s">
        <v>29317</v>
      </c>
      <c r="C9204" t="s">
        <v>748</v>
      </c>
      <c r="D9204" t="s">
        <v>749</v>
      </c>
      <c r="E9204" t="s">
        <v>750</v>
      </c>
      <c r="F9204" t="s">
        <v>29318</v>
      </c>
      <c r="G9204" s="2" t="str">
        <f>HYPERLINK("https://probpalata.gov.ru/files/ЮЛ770100193500746.jpeg","Скачать индивидуальный QR-код магазина")</f>
        <v>Скачать индивидуальный QR-код магазина</v>
      </c>
    </row>
    <row r="9205" spans="1:7" x14ac:dyDescent="0.25">
      <c r="A9205" t="s">
        <v>26937</v>
      </c>
      <c r="B9205" t="s">
        <v>29319</v>
      </c>
      <c r="C9205" t="s">
        <v>748</v>
      </c>
      <c r="D9205" t="s">
        <v>749</v>
      </c>
      <c r="E9205" t="s">
        <v>750</v>
      </c>
      <c r="F9205" t="s">
        <v>29320</v>
      </c>
      <c r="G9205" s="2" t="str">
        <f>HYPERLINK("https://probpalata.gov.ru/files/ЮЛ770100193500765.jpeg","Скачать индивидуальный QR-код магазина")</f>
        <v>Скачать индивидуальный QR-код магазина</v>
      </c>
    </row>
    <row r="9206" spans="1:7" x14ac:dyDescent="0.25">
      <c r="A9206" t="s">
        <v>26937</v>
      </c>
      <c r="B9206" t="s">
        <v>29321</v>
      </c>
      <c r="C9206" t="s">
        <v>748</v>
      </c>
      <c r="D9206" t="s">
        <v>749</v>
      </c>
      <c r="E9206" t="s">
        <v>750</v>
      </c>
      <c r="F9206" t="s">
        <v>29322</v>
      </c>
      <c r="G9206" s="2" t="str">
        <f>HYPERLINK("https://probpalata.gov.ru/files/ЮЛ770100193500767.jpeg","Скачать индивидуальный QR-код магазина")</f>
        <v>Скачать индивидуальный QR-код магазина</v>
      </c>
    </row>
    <row r="9207" spans="1:7" x14ac:dyDescent="0.25">
      <c r="A9207" t="s">
        <v>26937</v>
      </c>
      <c r="B9207" t="s">
        <v>29323</v>
      </c>
      <c r="C9207" t="s">
        <v>748</v>
      </c>
      <c r="D9207" t="s">
        <v>749</v>
      </c>
      <c r="E9207" t="s">
        <v>750</v>
      </c>
      <c r="F9207" t="s">
        <v>29324</v>
      </c>
      <c r="G9207" s="2" t="str">
        <f>HYPERLINK("https://probpalata.gov.ru/files/ЮЛ770100193500786.jpeg","Скачать индивидуальный QR-код магазина")</f>
        <v>Скачать индивидуальный QR-код магазина</v>
      </c>
    </row>
    <row r="9208" spans="1:7" x14ac:dyDescent="0.25">
      <c r="A9208" t="s">
        <v>26937</v>
      </c>
      <c r="B9208" t="s">
        <v>29325</v>
      </c>
      <c r="C9208" t="s">
        <v>748</v>
      </c>
      <c r="D9208" t="s">
        <v>749</v>
      </c>
      <c r="E9208" t="s">
        <v>750</v>
      </c>
      <c r="F9208" t="s">
        <v>29326</v>
      </c>
      <c r="G9208" s="2" t="str">
        <f>HYPERLINK("https://probpalata.gov.ru/files/ЮЛ770100193500818.jpeg","Скачать индивидуальный QR-код магазина")</f>
        <v>Скачать индивидуальный QR-код магазина</v>
      </c>
    </row>
    <row r="9209" spans="1:7" x14ac:dyDescent="0.25">
      <c r="A9209" t="s">
        <v>26937</v>
      </c>
      <c r="B9209" t="s">
        <v>29327</v>
      </c>
      <c r="C9209" t="s">
        <v>748</v>
      </c>
      <c r="D9209" t="s">
        <v>749</v>
      </c>
      <c r="E9209" t="s">
        <v>750</v>
      </c>
      <c r="F9209" t="s">
        <v>29328</v>
      </c>
      <c r="G9209" s="2" t="str">
        <f>HYPERLINK("https://probpalata.gov.ru/files/ЮЛ770100193500819.jpeg","Скачать индивидуальный QR-код магазина")</f>
        <v>Скачать индивидуальный QR-код магазина</v>
      </c>
    </row>
    <row r="9210" spans="1:7" x14ac:dyDescent="0.25">
      <c r="A9210" t="s">
        <v>26937</v>
      </c>
      <c r="B9210" t="s">
        <v>29329</v>
      </c>
      <c r="C9210" t="s">
        <v>748</v>
      </c>
      <c r="D9210" t="s">
        <v>749</v>
      </c>
      <c r="E9210" t="s">
        <v>750</v>
      </c>
      <c r="F9210" t="s">
        <v>29330</v>
      </c>
      <c r="G9210" s="2" t="str">
        <f>HYPERLINK("https://probpalata.gov.ru/files/ЮЛ770100193500826.jpeg","Скачать индивидуальный QR-код магазина")</f>
        <v>Скачать индивидуальный QR-код магазина</v>
      </c>
    </row>
    <row r="9211" spans="1:7" x14ac:dyDescent="0.25">
      <c r="A9211" t="s">
        <v>26937</v>
      </c>
      <c r="B9211" t="s">
        <v>29331</v>
      </c>
      <c r="C9211" t="s">
        <v>748</v>
      </c>
      <c r="D9211" t="s">
        <v>749</v>
      </c>
      <c r="E9211" t="s">
        <v>750</v>
      </c>
      <c r="F9211" t="s">
        <v>29332</v>
      </c>
      <c r="G9211" s="2" t="str">
        <f>HYPERLINK("https://probpalata.gov.ru/files/ЮЛ770100193500850.jpeg","Скачать индивидуальный QR-код магазина")</f>
        <v>Скачать индивидуальный QR-код магазина</v>
      </c>
    </row>
    <row r="9212" spans="1:7" x14ac:dyDescent="0.25">
      <c r="A9212" t="s">
        <v>26937</v>
      </c>
      <c r="B9212" t="s">
        <v>29333</v>
      </c>
      <c r="C9212" t="s">
        <v>748</v>
      </c>
      <c r="D9212" t="s">
        <v>749</v>
      </c>
      <c r="E9212" t="s">
        <v>750</v>
      </c>
      <c r="F9212" t="s">
        <v>29334</v>
      </c>
      <c r="G9212" s="2" t="str">
        <f>HYPERLINK("https://probpalata.gov.ru/files/ЮЛ770100193500858.jpeg","Скачать индивидуальный QR-код магазина")</f>
        <v>Скачать индивидуальный QR-код магазина</v>
      </c>
    </row>
    <row r="9213" spans="1:7" x14ac:dyDescent="0.25">
      <c r="A9213" t="s">
        <v>26937</v>
      </c>
      <c r="B9213" t="s">
        <v>29335</v>
      </c>
      <c r="C9213" t="s">
        <v>748</v>
      </c>
      <c r="D9213" t="s">
        <v>749</v>
      </c>
      <c r="E9213" t="s">
        <v>750</v>
      </c>
      <c r="F9213" t="s">
        <v>29336</v>
      </c>
      <c r="G9213" s="2" t="str">
        <f>HYPERLINK("https://probpalata.gov.ru/files/ЮЛ770100193500865.jpeg","Скачать индивидуальный QR-код магазина")</f>
        <v>Скачать индивидуальный QR-код магазина</v>
      </c>
    </row>
    <row r="9214" spans="1:7" x14ac:dyDescent="0.25">
      <c r="A9214" t="s">
        <v>26937</v>
      </c>
      <c r="B9214" t="s">
        <v>29337</v>
      </c>
      <c r="C9214" t="s">
        <v>748</v>
      </c>
      <c r="D9214" t="s">
        <v>749</v>
      </c>
      <c r="E9214" t="s">
        <v>750</v>
      </c>
      <c r="F9214" t="s">
        <v>29338</v>
      </c>
      <c r="G9214" s="2" t="str">
        <f>HYPERLINK("https://probpalata.gov.ru/files/ЮЛ770100193500867.jpeg","Скачать индивидуальный QR-код магазина")</f>
        <v>Скачать индивидуальный QR-код магазина</v>
      </c>
    </row>
    <row r="9215" spans="1:7" x14ac:dyDescent="0.25">
      <c r="A9215" t="s">
        <v>26937</v>
      </c>
      <c r="B9215" t="s">
        <v>29339</v>
      </c>
      <c r="C9215" t="s">
        <v>748</v>
      </c>
      <c r="D9215" t="s">
        <v>749</v>
      </c>
      <c r="E9215" t="s">
        <v>750</v>
      </c>
      <c r="F9215" t="s">
        <v>29340</v>
      </c>
      <c r="G9215" s="2" t="str">
        <f>HYPERLINK("https://probpalata.gov.ru/files/ЮЛ770100193500889.jpeg","Скачать индивидуальный QR-код магазина")</f>
        <v>Скачать индивидуальный QR-код магазина</v>
      </c>
    </row>
    <row r="9216" spans="1:7" x14ac:dyDescent="0.25">
      <c r="A9216" t="s">
        <v>26937</v>
      </c>
      <c r="B9216" t="s">
        <v>29341</v>
      </c>
      <c r="C9216" t="s">
        <v>748</v>
      </c>
      <c r="D9216" t="s">
        <v>749</v>
      </c>
      <c r="E9216" t="s">
        <v>750</v>
      </c>
      <c r="F9216" t="s">
        <v>29342</v>
      </c>
      <c r="G9216" s="2" t="str">
        <f>HYPERLINK("https://probpalata.gov.ru/files/ЮЛ770100193500907.jpeg","Скачать индивидуальный QR-код магазина")</f>
        <v>Скачать индивидуальный QR-код магазина</v>
      </c>
    </row>
    <row r="9217" spans="1:7" x14ac:dyDescent="0.25">
      <c r="A9217" t="s">
        <v>26937</v>
      </c>
      <c r="B9217" t="s">
        <v>29343</v>
      </c>
      <c r="C9217" t="s">
        <v>748</v>
      </c>
      <c r="D9217" t="s">
        <v>749</v>
      </c>
      <c r="E9217" t="s">
        <v>750</v>
      </c>
      <c r="F9217" t="s">
        <v>29344</v>
      </c>
      <c r="G9217" s="2" t="str">
        <f>HYPERLINK("https://probpalata.gov.ru/files/ЮЛ770100193500914.jpeg","Скачать индивидуальный QR-код магазина")</f>
        <v>Скачать индивидуальный QR-код магазина</v>
      </c>
    </row>
    <row r="9218" spans="1:7" x14ac:dyDescent="0.25">
      <c r="A9218" t="s">
        <v>26937</v>
      </c>
      <c r="B9218" t="s">
        <v>29345</v>
      </c>
      <c r="C9218" t="s">
        <v>748</v>
      </c>
      <c r="D9218" t="s">
        <v>749</v>
      </c>
      <c r="E9218" t="s">
        <v>750</v>
      </c>
      <c r="F9218" t="s">
        <v>29346</v>
      </c>
      <c r="G9218" s="2" t="str">
        <f>HYPERLINK("https://probpalata.gov.ru/files/ЮЛ770100193500943.jpeg","Скачать индивидуальный QR-код магазина")</f>
        <v>Скачать индивидуальный QR-код магазина</v>
      </c>
    </row>
    <row r="9219" spans="1:7" x14ac:dyDescent="0.25">
      <c r="A9219" t="s">
        <v>26937</v>
      </c>
      <c r="B9219" t="s">
        <v>29347</v>
      </c>
      <c r="C9219" t="s">
        <v>748</v>
      </c>
      <c r="D9219" t="s">
        <v>749</v>
      </c>
      <c r="E9219" t="s">
        <v>750</v>
      </c>
      <c r="F9219" t="s">
        <v>29348</v>
      </c>
      <c r="G9219" s="2" t="str">
        <f>HYPERLINK("https://probpalata.gov.ru/files/ЮЛ770100193500947.jpeg","Скачать индивидуальный QR-код магазина")</f>
        <v>Скачать индивидуальный QR-код магазина</v>
      </c>
    </row>
    <row r="9220" spans="1:7" x14ac:dyDescent="0.25">
      <c r="A9220" t="s">
        <v>26937</v>
      </c>
      <c r="B9220" t="s">
        <v>29349</v>
      </c>
      <c r="C9220" t="s">
        <v>748</v>
      </c>
      <c r="D9220" t="s">
        <v>749</v>
      </c>
      <c r="E9220" t="s">
        <v>750</v>
      </c>
      <c r="F9220" t="s">
        <v>29350</v>
      </c>
      <c r="G9220" s="2" t="str">
        <f>HYPERLINK("https://probpalata.gov.ru/files/ЮЛ770100193500948.jpeg","Скачать индивидуальный QR-код магазина")</f>
        <v>Скачать индивидуальный QR-код магазина</v>
      </c>
    </row>
    <row r="9221" spans="1:7" x14ac:dyDescent="0.25">
      <c r="A9221" t="s">
        <v>26937</v>
      </c>
      <c r="B9221" t="s">
        <v>29351</v>
      </c>
      <c r="C9221" t="s">
        <v>748</v>
      </c>
      <c r="D9221" t="s">
        <v>749</v>
      </c>
      <c r="E9221" t="s">
        <v>750</v>
      </c>
      <c r="F9221" t="s">
        <v>29352</v>
      </c>
      <c r="G9221" s="2" t="str">
        <f>HYPERLINK("https://probpalata.gov.ru/files/ЮЛ770100193500967.jpeg","Скачать индивидуальный QR-код магазина")</f>
        <v>Скачать индивидуальный QR-код магазина</v>
      </c>
    </row>
    <row r="9222" spans="1:7" x14ac:dyDescent="0.25">
      <c r="A9222" t="s">
        <v>26937</v>
      </c>
      <c r="B9222" t="s">
        <v>28531</v>
      </c>
      <c r="C9222" t="s">
        <v>748</v>
      </c>
      <c r="D9222" t="s">
        <v>749</v>
      </c>
      <c r="E9222" t="s">
        <v>750</v>
      </c>
      <c r="F9222" t="s">
        <v>29353</v>
      </c>
      <c r="G9222" s="2" t="str">
        <f>HYPERLINK("https://probpalata.gov.ru/files/ЮЛ770100193500972.jpeg","Скачать индивидуальный QR-код магазина")</f>
        <v>Скачать индивидуальный QR-код магазина</v>
      </c>
    </row>
    <row r="9223" spans="1:7" x14ac:dyDescent="0.25">
      <c r="A9223" t="s">
        <v>26937</v>
      </c>
      <c r="B9223" t="s">
        <v>28535</v>
      </c>
      <c r="C9223" t="s">
        <v>748</v>
      </c>
      <c r="D9223" t="s">
        <v>749</v>
      </c>
      <c r="E9223" t="s">
        <v>750</v>
      </c>
      <c r="F9223" t="s">
        <v>29354</v>
      </c>
      <c r="G9223" s="2" t="str">
        <f>HYPERLINK("https://probpalata.gov.ru/files/ЮЛ770100193500974.jpeg","Скачать индивидуальный QR-код магазина")</f>
        <v>Скачать индивидуальный QR-код магазина</v>
      </c>
    </row>
    <row r="9224" spans="1:7" x14ac:dyDescent="0.25">
      <c r="A9224" t="s">
        <v>26937</v>
      </c>
      <c r="B9224" t="s">
        <v>27039</v>
      </c>
      <c r="C9224" t="s">
        <v>748</v>
      </c>
      <c r="D9224" t="s">
        <v>749</v>
      </c>
      <c r="E9224" t="s">
        <v>750</v>
      </c>
      <c r="F9224" t="s">
        <v>29355</v>
      </c>
      <c r="G9224" s="2" t="str">
        <f>HYPERLINK("https://probpalata.gov.ru/files/ЮЛ770100193500985.jpeg","Скачать индивидуальный QR-код магазина")</f>
        <v>Скачать индивидуальный QR-код магазина</v>
      </c>
    </row>
    <row r="9225" spans="1:7" x14ac:dyDescent="0.25">
      <c r="A9225" t="s">
        <v>26937</v>
      </c>
      <c r="B9225" t="s">
        <v>29356</v>
      </c>
      <c r="C9225" t="s">
        <v>748</v>
      </c>
      <c r="D9225" t="s">
        <v>749</v>
      </c>
      <c r="E9225" t="s">
        <v>750</v>
      </c>
      <c r="F9225" t="s">
        <v>29357</v>
      </c>
      <c r="G9225" s="2" t="str">
        <f>HYPERLINK("https://probpalata.gov.ru/files/ЮЛ770100193501004.jpeg","Скачать индивидуальный QR-код магазина")</f>
        <v>Скачать индивидуальный QR-код магазина</v>
      </c>
    </row>
    <row r="9226" spans="1:7" x14ac:dyDescent="0.25">
      <c r="A9226" t="s">
        <v>26937</v>
      </c>
      <c r="B9226" t="s">
        <v>29358</v>
      </c>
      <c r="C9226" t="s">
        <v>748</v>
      </c>
      <c r="D9226" t="s">
        <v>749</v>
      </c>
      <c r="E9226" t="s">
        <v>750</v>
      </c>
      <c r="F9226" t="s">
        <v>29359</v>
      </c>
      <c r="G9226" s="2" t="str">
        <f>HYPERLINK("https://probpalata.gov.ru/files/ЮЛ770100193501013.jpeg","Скачать индивидуальный QR-код магазина")</f>
        <v>Скачать индивидуальный QR-код магазина</v>
      </c>
    </row>
    <row r="9227" spans="1:7" x14ac:dyDescent="0.25">
      <c r="A9227" t="s">
        <v>26937</v>
      </c>
      <c r="B9227" t="s">
        <v>29360</v>
      </c>
      <c r="C9227" t="s">
        <v>748</v>
      </c>
      <c r="D9227" t="s">
        <v>749</v>
      </c>
      <c r="E9227" t="s">
        <v>750</v>
      </c>
      <c r="F9227" t="s">
        <v>29361</v>
      </c>
      <c r="G9227" s="2" t="str">
        <f>HYPERLINK("https://probpalata.gov.ru/files/ЮЛ770100193501066.jpeg","Скачать индивидуальный QR-код магазина")</f>
        <v>Скачать индивидуальный QR-код магазина</v>
      </c>
    </row>
    <row r="9228" spans="1:7" x14ac:dyDescent="0.25">
      <c r="A9228" t="s">
        <v>26937</v>
      </c>
      <c r="B9228" t="s">
        <v>29362</v>
      </c>
      <c r="C9228" t="s">
        <v>748</v>
      </c>
      <c r="D9228" t="s">
        <v>749</v>
      </c>
      <c r="E9228" t="s">
        <v>750</v>
      </c>
      <c r="F9228" t="s">
        <v>29363</v>
      </c>
      <c r="G9228" s="2" t="str">
        <f>HYPERLINK("https://probpalata.gov.ru/files/ЮЛ770100193501073.jpeg","Скачать индивидуальный QR-код магазина")</f>
        <v>Скачать индивидуальный QR-код магазина</v>
      </c>
    </row>
    <row r="9229" spans="1:7" x14ac:dyDescent="0.25">
      <c r="A9229" t="s">
        <v>26937</v>
      </c>
      <c r="B9229" t="s">
        <v>29364</v>
      </c>
      <c r="C9229" t="s">
        <v>748</v>
      </c>
      <c r="D9229" t="s">
        <v>749</v>
      </c>
      <c r="E9229" t="s">
        <v>750</v>
      </c>
      <c r="F9229" t="s">
        <v>29365</v>
      </c>
      <c r="G9229" s="2" t="str">
        <f>HYPERLINK("https://probpalata.gov.ru/files/ЮЛ770100193501085.jpeg","Скачать индивидуальный QR-код магазина")</f>
        <v>Скачать индивидуальный QR-код магазина</v>
      </c>
    </row>
    <row r="9230" spans="1:7" x14ac:dyDescent="0.25">
      <c r="A9230" t="s">
        <v>26937</v>
      </c>
      <c r="B9230" t="s">
        <v>29366</v>
      </c>
      <c r="C9230" t="s">
        <v>748</v>
      </c>
      <c r="D9230" t="s">
        <v>749</v>
      </c>
      <c r="E9230" t="s">
        <v>750</v>
      </c>
      <c r="F9230" t="s">
        <v>29367</v>
      </c>
      <c r="G9230" s="2" t="str">
        <f>HYPERLINK("https://probpalata.gov.ru/files/ЮЛ770100193501129.jpeg","Скачать индивидуальный QR-код магазина")</f>
        <v>Скачать индивидуальный QR-код магазина</v>
      </c>
    </row>
    <row r="9231" spans="1:7" x14ac:dyDescent="0.25">
      <c r="A9231" t="s">
        <v>26937</v>
      </c>
      <c r="B9231" t="s">
        <v>29368</v>
      </c>
      <c r="C9231" t="s">
        <v>748</v>
      </c>
      <c r="D9231" t="s">
        <v>749</v>
      </c>
      <c r="E9231" t="s">
        <v>750</v>
      </c>
      <c r="F9231" t="s">
        <v>29369</v>
      </c>
      <c r="G9231" s="2" t="str">
        <f>HYPERLINK("https://probpalata.gov.ru/files/ЮЛ770100193501131.jpeg","Скачать индивидуальный QR-код магазина")</f>
        <v>Скачать индивидуальный QR-код магазина</v>
      </c>
    </row>
    <row r="9232" spans="1:7" x14ac:dyDescent="0.25">
      <c r="A9232" t="s">
        <v>26937</v>
      </c>
      <c r="B9232" t="s">
        <v>29370</v>
      </c>
      <c r="C9232" t="s">
        <v>29371</v>
      </c>
      <c r="D9232" t="s">
        <v>29372</v>
      </c>
      <c r="E9232" t="s">
        <v>29373</v>
      </c>
      <c r="F9232" t="s">
        <v>29374</v>
      </c>
      <c r="G9232" s="2" t="str">
        <f>HYPERLINK("https://probpalata.gov.ru/files/ЮЛ770100730500000.jpeg","Скачать индивидуальный QR-код магазина")</f>
        <v>Скачать индивидуальный QR-код магазина</v>
      </c>
    </row>
    <row r="9233" spans="1:7" x14ac:dyDescent="0.25">
      <c r="A9233" t="s">
        <v>26937</v>
      </c>
      <c r="B9233" t="s">
        <v>29375</v>
      </c>
      <c r="C9233" t="s">
        <v>13061</v>
      </c>
      <c r="D9233" t="s">
        <v>13062</v>
      </c>
      <c r="E9233" t="s">
        <v>13063</v>
      </c>
      <c r="F9233" t="s">
        <v>29376</v>
      </c>
      <c r="G9233" s="2" t="str">
        <f>HYPERLINK("https://probpalata.gov.ru/files/ЮЛ770100273400001.jpeg","Скачать индивидуальный QR-код магазина")</f>
        <v>Скачать индивидуальный QR-код магазина</v>
      </c>
    </row>
    <row r="9234" spans="1:7" x14ac:dyDescent="0.25">
      <c r="A9234" t="s">
        <v>26937</v>
      </c>
      <c r="B9234" t="s">
        <v>29377</v>
      </c>
      <c r="C9234" t="s">
        <v>13061</v>
      </c>
      <c r="D9234" t="s">
        <v>13062</v>
      </c>
      <c r="E9234" t="s">
        <v>13063</v>
      </c>
      <c r="F9234" t="s">
        <v>29378</v>
      </c>
      <c r="G9234" s="2" t="str">
        <f>HYPERLINK("https://probpalata.gov.ru/files/ЮЛ770100273400004.jpeg","Скачать индивидуальный QR-код магазина")</f>
        <v>Скачать индивидуальный QR-код магазина</v>
      </c>
    </row>
    <row r="9235" spans="1:7" x14ac:dyDescent="0.25">
      <c r="A9235" t="s">
        <v>26937</v>
      </c>
      <c r="B9235" t="s">
        <v>29379</v>
      </c>
      <c r="C9235" t="s">
        <v>13061</v>
      </c>
      <c r="D9235" t="s">
        <v>13062</v>
      </c>
      <c r="E9235" t="s">
        <v>13063</v>
      </c>
      <c r="F9235" t="s">
        <v>29380</v>
      </c>
      <c r="G9235" s="2" t="str">
        <f>HYPERLINK("https://probpalata.gov.ru/files/ЮЛ770100273400005.jpeg","Скачать индивидуальный QR-код магазина")</f>
        <v>Скачать индивидуальный QR-код магазина</v>
      </c>
    </row>
    <row r="9236" spans="1:7" x14ac:dyDescent="0.25">
      <c r="A9236" t="s">
        <v>26937</v>
      </c>
      <c r="B9236" t="s">
        <v>29381</v>
      </c>
      <c r="C9236" t="s">
        <v>13061</v>
      </c>
      <c r="D9236" t="s">
        <v>13062</v>
      </c>
      <c r="E9236" t="s">
        <v>13063</v>
      </c>
      <c r="F9236" t="s">
        <v>29382</v>
      </c>
      <c r="G9236" s="2" t="str">
        <f>HYPERLINK("https://probpalata.gov.ru/files/ЮЛ770100273400009.jpeg","Скачать индивидуальный QR-код магазина")</f>
        <v>Скачать индивидуальный QR-код магазина</v>
      </c>
    </row>
    <row r="9237" spans="1:7" x14ac:dyDescent="0.25">
      <c r="A9237" t="s">
        <v>26937</v>
      </c>
      <c r="B9237" t="s">
        <v>29383</v>
      </c>
      <c r="C9237" t="s">
        <v>13061</v>
      </c>
      <c r="D9237" t="s">
        <v>13062</v>
      </c>
      <c r="E9237" t="s">
        <v>13063</v>
      </c>
      <c r="F9237" t="s">
        <v>29384</v>
      </c>
      <c r="G9237" s="2" t="str">
        <f>HYPERLINK("https://probpalata.gov.ru/files/ЮЛ770100273400011.jpeg","Скачать индивидуальный QR-код магазина")</f>
        <v>Скачать индивидуальный QR-код магазина</v>
      </c>
    </row>
    <row r="9238" spans="1:7" x14ac:dyDescent="0.25">
      <c r="A9238" t="s">
        <v>26937</v>
      </c>
      <c r="B9238" t="s">
        <v>29385</v>
      </c>
      <c r="C9238" t="s">
        <v>13061</v>
      </c>
      <c r="D9238" t="s">
        <v>13062</v>
      </c>
      <c r="E9238" t="s">
        <v>13063</v>
      </c>
      <c r="F9238" t="s">
        <v>29386</v>
      </c>
      <c r="G9238" s="2" t="str">
        <f>HYPERLINK("https://probpalata.gov.ru/files/ЮЛ770100273400016.jpeg","Скачать индивидуальный QR-код магазина")</f>
        <v>Скачать индивидуальный QR-код магазина</v>
      </c>
    </row>
    <row r="9239" spans="1:7" x14ac:dyDescent="0.25">
      <c r="A9239" t="s">
        <v>26937</v>
      </c>
      <c r="B9239" t="s">
        <v>29387</v>
      </c>
      <c r="C9239" t="s">
        <v>13061</v>
      </c>
      <c r="D9239" t="s">
        <v>13062</v>
      </c>
      <c r="E9239" t="s">
        <v>13063</v>
      </c>
      <c r="F9239" t="s">
        <v>29388</v>
      </c>
      <c r="G9239" s="2" t="str">
        <f>HYPERLINK("https://probpalata.gov.ru/files/ЮЛ770100273400019.jpeg","Скачать индивидуальный QR-код магазина")</f>
        <v>Скачать индивидуальный QR-код магазина</v>
      </c>
    </row>
    <row r="9240" spans="1:7" x14ac:dyDescent="0.25">
      <c r="A9240" t="s">
        <v>26937</v>
      </c>
      <c r="B9240" t="s">
        <v>29389</v>
      </c>
      <c r="C9240" t="s">
        <v>13061</v>
      </c>
      <c r="D9240" t="s">
        <v>13062</v>
      </c>
      <c r="E9240" t="s">
        <v>13063</v>
      </c>
      <c r="F9240" t="s">
        <v>29390</v>
      </c>
      <c r="G9240" s="2" t="str">
        <f>HYPERLINK("https://probpalata.gov.ru/files/ЮЛ770100273400020.jpeg","Скачать индивидуальный QR-код магазина")</f>
        <v>Скачать индивидуальный QR-код магазина</v>
      </c>
    </row>
    <row r="9241" spans="1:7" x14ac:dyDescent="0.25">
      <c r="A9241" t="s">
        <v>26937</v>
      </c>
      <c r="B9241" t="s">
        <v>29391</v>
      </c>
      <c r="C9241" t="s">
        <v>13061</v>
      </c>
      <c r="D9241" t="s">
        <v>13062</v>
      </c>
      <c r="E9241" t="s">
        <v>13063</v>
      </c>
      <c r="F9241" t="s">
        <v>29392</v>
      </c>
      <c r="G9241" s="2" t="str">
        <f>HYPERLINK("https://probpalata.gov.ru/files/ЮЛ770100273400022.jpeg","Скачать индивидуальный QR-код магазина")</f>
        <v>Скачать индивидуальный QR-код магазина</v>
      </c>
    </row>
    <row r="9242" spans="1:7" x14ac:dyDescent="0.25">
      <c r="A9242" t="s">
        <v>26937</v>
      </c>
      <c r="B9242" t="s">
        <v>29393</v>
      </c>
      <c r="C9242" t="s">
        <v>13061</v>
      </c>
      <c r="D9242" t="s">
        <v>13062</v>
      </c>
      <c r="E9242" t="s">
        <v>13063</v>
      </c>
      <c r="F9242" t="s">
        <v>29394</v>
      </c>
      <c r="G9242" s="2" t="str">
        <f>HYPERLINK("https://probpalata.gov.ru/files/ЮЛ770100273400024.jpeg","Скачать индивидуальный QR-код магазина")</f>
        <v>Скачать индивидуальный QR-код магазина</v>
      </c>
    </row>
    <row r="9243" spans="1:7" x14ac:dyDescent="0.25">
      <c r="A9243" t="s">
        <v>26937</v>
      </c>
      <c r="B9243" t="s">
        <v>29395</v>
      </c>
      <c r="C9243" t="s">
        <v>13061</v>
      </c>
      <c r="D9243" t="s">
        <v>13062</v>
      </c>
      <c r="E9243" t="s">
        <v>13063</v>
      </c>
      <c r="F9243" t="s">
        <v>29396</v>
      </c>
      <c r="G9243" s="2" t="str">
        <f>HYPERLINK("https://probpalata.gov.ru/files/ЮЛ770100273400042.jpeg","Скачать индивидуальный QR-код магазина")</f>
        <v>Скачать индивидуальный QR-код магазина</v>
      </c>
    </row>
    <row r="9244" spans="1:7" x14ac:dyDescent="0.25">
      <c r="A9244" t="s">
        <v>26937</v>
      </c>
      <c r="B9244" t="s">
        <v>29397</v>
      </c>
      <c r="C9244" t="s">
        <v>13061</v>
      </c>
      <c r="D9244" t="s">
        <v>13062</v>
      </c>
      <c r="E9244" t="s">
        <v>13063</v>
      </c>
      <c r="F9244" t="s">
        <v>29398</v>
      </c>
      <c r="G9244" s="2" t="str">
        <f>HYPERLINK("https://probpalata.gov.ru/files/ЮЛ770100273400044.jpeg","Скачать индивидуальный QR-код магазина")</f>
        <v>Скачать индивидуальный QR-код магазина</v>
      </c>
    </row>
    <row r="9245" spans="1:7" x14ac:dyDescent="0.25">
      <c r="A9245" t="s">
        <v>26937</v>
      </c>
      <c r="B9245" t="s">
        <v>29399</v>
      </c>
      <c r="C9245" t="s">
        <v>13061</v>
      </c>
      <c r="D9245" t="s">
        <v>13062</v>
      </c>
      <c r="E9245" t="s">
        <v>13063</v>
      </c>
      <c r="F9245" t="s">
        <v>29400</v>
      </c>
      <c r="G9245" s="2" t="str">
        <f>HYPERLINK("https://probpalata.gov.ru/files/ЮЛ770100273400045.jpeg","Скачать индивидуальный QR-код магазина")</f>
        <v>Скачать индивидуальный QR-код магазина</v>
      </c>
    </row>
    <row r="9246" spans="1:7" x14ac:dyDescent="0.25">
      <c r="A9246" t="s">
        <v>26937</v>
      </c>
      <c r="B9246" t="s">
        <v>29401</v>
      </c>
      <c r="C9246" t="s">
        <v>29402</v>
      </c>
      <c r="D9246" t="s">
        <v>29403</v>
      </c>
      <c r="E9246" t="s">
        <v>29404</v>
      </c>
      <c r="F9246" t="s">
        <v>29405</v>
      </c>
      <c r="G9246" s="2" t="str">
        <f>HYPERLINK("https://probpalata.gov.ru/files/ИП770100206400000.jpeg","Скачать индивидуальный QR-код магазина")</f>
        <v>Скачать индивидуальный QR-код магазина</v>
      </c>
    </row>
    <row r="9247" spans="1:7" x14ac:dyDescent="0.25">
      <c r="A9247" t="s">
        <v>26937</v>
      </c>
      <c r="B9247" t="s">
        <v>29406</v>
      </c>
      <c r="C9247" t="s">
        <v>29407</v>
      </c>
      <c r="D9247" t="s">
        <v>29408</v>
      </c>
      <c r="E9247" t="s">
        <v>29409</v>
      </c>
      <c r="F9247" t="s">
        <v>29410</v>
      </c>
      <c r="G9247" s="2" t="str">
        <f>HYPERLINK("https://probpalata.gov.ru/files/ИП500100758100000.jpeg","Скачать индивидуальный QR-код магазина")</f>
        <v>Скачать индивидуальный QR-код магазина</v>
      </c>
    </row>
    <row r="9248" spans="1:7" x14ac:dyDescent="0.25">
      <c r="A9248" t="s">
        <v>26937</v>
      </c>
      <c r="B9248" t="s">
        <v>29411</v>
      </c>
      <c r="C9248" t="s">
        <v>29412</v>
      </c>
      <c r="D9248" t="s">
        <v>29413</v>
      </c>
      <c r="E9248" t="s">
        <v>29414</v>
      </c>
      <c r="F9248" t="s">
        <v>29415</v>
      </c>
      <c r="G9248" s="2" t="str">
        <f>HYPERLINK("https://probpalata.gov.ru/files/ЮЛ770103477000000.jpeg","Скачать индивидуальный QR-код магазина")</f>
        <v>Скачать индивидуальный QR-код магазина</v>
      </c>
    </row>
    <row r="9249" spans="1:7" x14ac:dyDescent="0.25">
      <c r="A9249" t="s">
        <v>26937</v>
      </c>
      <c r="B9249" t="s">
        <v>29416</v>
      </c>
      <c r="C9249" t="s">
        <v>29417</v>
      </c>
      <c r="D9249" t="s">
        <v>29418</v>
      </c>
      <c r="E9249" t="s">
        <v>29419</v>
      </c>
      <c r="F9249" t="s">
        <v>29420</v>
      </c>
      <c r="G9249" s="2" t="str">
        <f>HYPERLINK("https://probpalata.gov.ru/files/ЮЛ770101428000000.jpeg","Скачать индивидуальный QR-код магазина")</f>
        <v>Скачать индивидуальный QR-код магазина</v>
      </c>
    </row>
    <row r="9250" spans="1:7" x14ac:dyDescent="0.25">
      <c r="A9250" t="s">
        <v>26937</v>
      </c>
      <c r="B9250" t="s">
        <v>29421</v>
      </c>
      <c r="C9250" t="s">
        <v>24665</v>
      </c>
      <c r="D9250" t="s">
        <v>24666</v>
      </c>
      <c r="E9250" t="s">
        <v>24667</v>
      </c>
      <c r="F9250" t="s">
        <v>29422</v>
      </c>
      <c r="G9250" s="2" t="str">
        <f>HYPERLINK("https://probpalata.gov.ru/files/ЮЛ770100398300050.jpeg","Скачать индивидуальный QR-код магазина")</f>
        <v>Скачать индивидуальный QR-код магазина</v>
      </c>
    </row>
    <row r="9251" spans="1:7" x14ac:dyDescent="0.25">
      <c r="A9251" t="s">
        <v>26937</v>
      </c>
      <c r="B9251" t="s">
        <v>29423</v>
      </c>
      <c r="C9251" t="s">
        <v>24732</v>
      </c>
      <c r="D9251" t="s">
        <v>24733</v>
      </c>
      <c r="E9251" t="s">
        <v>24734</v>
      </c>
      <c r="F9251" t="s">
        <v>29424</v>
      </c>
      <c r="G9251" s="2" t="str">
        <f>HYPERLINK("https://probpalata.gov.ru/files/ИП770100723800000.jpeg","Скачать индивидуальный QR-код магазина")</f>
        <v>Скачать индивидуальный QR-код магазина</v>
      </c>
    </row>
    <row r="9252" spans="1:7" x14ac:dyDescent="0.25">
      <c r="A9252" t="s">
        <v>26937</v>
      </c>
      <c r="B9252" t="s">
        <v>29425</v>
      </c>
      <c r="C9252" t="s">
        <v>29426</v>
      </c>
      <c r="D9252" t="s">
        <v>29427</v>
      </c>
      <c r="E9252" t="s">
        <v>29428</v>
      </c>
      <c r="F9252" t="s">
        <v>29429</v>
      </c>
      <c r="G9252" s="2" t="str">
        <f>HYPERLINK("https://probpalata.gov.ru/files/ЮЛ770103695900000.jpeg","Скачать индивидуальный QR-код магазина")</f>
        <v>Скачать индивидуальный QR-код магазина</v>
      </c>
    </row>
    <row r="9253" spans="1:7" x14ac:dyDescent="0.25">
      <c r="A9253" t="s">
        <v>26937</v>
      </c>
      <c r="B9253" t="s">
        <v>29430</v>
      </c>
      <c r="C9253" t="s">
        <v>4754</v>
      </c>
      <c r="D9253" t="s">
        <v>15254</v>
      </c>
      <c r="E9253" t="s">
        <v>15255</v>
      </c>
      <c r="F9253" t="s">
        <v>29431</v>
      </c>
      <c r="G9253" s="2" t="str">
        <f>HYPERLINK("https://probpalata.gov.ru/files/ЮЛ770180000700003.jpeg","Скачать индивидуальный QR-код магазина")</f>
        <v>Скачать индивидуальный QR-код магазина</v>
      </c>
    </row>
    <row r="9254" spans="1:7" x14ac:dyDescent="0.25">
      <c r="A9254" t="s">
        <v>26937</v>
      </c>
      <c r="B9254" t="s">
        <v>29432</v>
      </c>
      <c r="C9254" t="s">
        <v>24813</v>
      </c>
      <c r="D9254" t="s">
        <v>24814</v>
      </c>
      <c r="E9254" t="s">
        <v>24815</v>
      </c>
      <c r="F9254" t="s">
        <v>29433</v>
      </c>
      <c r="G9254" s="2" t="str">
        <f>HYPERLINK("https://probpalata.gov.ru/files/ИП770101400800001.jpeg","Скачать индивидуальный QR-код магазина")</f>
        <v>Скачать индивидуальный QR-код магазина</v>
      </c>
    </row>
    <row r="9255" spans="1:7" x14ac:dyDescent="0.25">
      <c r="A9255" t="s">
        <v>26937</v>
      </c>
      <c r="B9255" t="s">
        <v>29434</v>
      </c>
      <c r="C9255" t="s">
        <v>29435</v>
      </c>
      <c r="D9255" t="s">
        <v>29436</v>
      </c>
      <c r="E9255" t="s">
        <v>29437</v>
      </c>
      <c r="F9255" t="s">
        <v>29438</v>
      </c>
      <c r="G9255" s="2" t="str">
        <f>HYPERLINK("https://probpalata.gov.ru/files/ИП770103713800000.jpeg","Скачать индивидуальный QR-код магазина")</f>
        <v>Скачать индивидуальный QR-код магазина</v>
      </c>
    </row>
    <row r="9256" spans="1:7" x14ac:dyDescent="0.25">
      <c r="A9256" t="s">
        <v>26937</v>
      </c>
      <c r="B9256" t="s">
        <v>29439</v>
      </c>
      <c r="C9256" t="s">
        <v>29440</v>
      </c>
      <c r="D9256" t="s">
        <v>29441</v>
      </c>
      <c r="E9256" t="s">
        <v>29442</v>
      </c>
      <c r="F9256" t="s">
        <v>29443</v>
      </c>
      <c r="G9256" s="2" t="str">
        <f>HYPERLINK("https://probpalata.gov.ru/files/ИП770101562900001.jpeg","Скачать индивидуальный QR-код магазина")</f>
        <v>Скачать индивидуальный QR-код магазина</v>
      </c>
    </row>
    <row r="9257" spans="1:7" x14ac:dyDescent="0.25">
      <c r="A9257" t="s">
        <v>26937</v>
      </c>
      <c r="B9257" t="s">
        <v>29444</v>
      </c>
      <c r="C9257" t="s">
        <v>29440</v>
      </c>
      <c r="D9257" t="s">
        <v>29441</v>
      </c>
      <c r="E9257" t="s">
        <v>29442</v>
      </c>
      <c r="F9257" t="s">
        <v>29445</v>
      </c>
      <c r="G9257" s="2" t="str">
        <f>HYPERLINK("https://probpalata.gov.ru/files/ИП770101562900002.jpeg","Скачать индивидуальный QR-код магазина")</f>
        <v>Скачать индивидуальный QR-код магазина</v>
      </c>
    </row>
    <row r="9258" spans="1:7" x14ac:dyDescent="0.25">
      <c r="A9258" t="s">
        <v>26937</v>
      </c>
      <c r="B9258" t="s">
        <v>29446</v>
      </c>
      <c r="C9258" t="s">
        <v>29440</v>
      </c>
      <c r="D9258" t="s">
        <v>29441</v>
      </c>
      <c r="E9258" t="s">
        <v>29442</v>
      </c>
      <c r="F9258" t="s">
        <v>29447</v>
      </c>
      <c r="G9258" s="2" t="str">
        <f>HYPERLINK("https://probpalata.gov.ru/files/ИП770101562900003.jpeg","Скачать индивидуальный QR-код магазина")</f>
        <v>Скачать индивидуальный QR-код магазина</v>
      </c>
    </row>
    <row r="9259" spans="1:7" x14ac:dyDescent="0.25">
      <c r="A9259" t="s">
        <v>26937</v>
      </c>
      <c r="B9259" t="s">
        <v>29448</v>
      </c>
      <c r="C9259" t="s">
        <v>29449</v>
      </c>
      <c r="D9259" t="s">
        <v>29450</v>
      </c>
      <c r="E9259" t="s">
        <v>29451</v>
      </c>
      <c r="F9259" t="s">
        <v>29452</v>
      </c>
      <c r="G9259" s="2" t="str">
        <f>HYPERLINK("https://probpalata.gov.ru/files/ЮЛ770101786300000.jpeg","Скачать индивидуальный QR-код магазина")</f>
        <v>Скачать индивидуальный QR-код магазина</v>
      </c>
    </row>
    <row r="9260" spans="1:7" x14ac:dyDescent="0.25">
      <c r="A9260" t="s">
        <v>26937</v>
      </c>
      <c r="B9260" t="s">
        <v>29453</v>
      </c>
      <c r="C9260" t="s">
        <v>29454</v>
      </c>
      <c r="D9260" t="s">
        <v>29455</v>
      </c>
      <c r="E9260" t="s">
        <v>29456</v>
      </c>
      <c r="F9260" t="s">
        <v>29457</v>
      </c>
      <c r="G9260" s="2" t="str">
        <f>HYPERLINK("https://probpalata.gov.ru/files/ЮЛ770103874800000.jpeg","Скачать индивидуальный QR-код магазина")</f>
        <v>Скачать индивидуальный QR-код магазина</v>
      </c>
    </row>
    <row r="9261" spans="1:7" x14ac:dyDescent="0.25">
      <c r="A9261" t="s">
        <v>26937</v>
      </c>
      <c r="B9261" t="s">
        <v>29458</v>
      </c>
      <c r="C9261" t="s">
        <v>15265</v>
      </c>
      <c r="D9261" t="s">
        <v>15266</v>
      </c>
      <c r="E9261" t="s">
        <v>15267</v>
      </c>
      <c r="F9261" t="s">
        <v>29459</v>
      </c>
      <c r="G9261" s="2" t="str">
        <f>HYPERLINK("https://probpalata.gov.ru/files/ЮЛ160600373100001.jpeg","Скачать индивидуальный QR-код магазина")</f>
        <v>Скачать индивидуальный QR-код магазина</v>
      </c>
    </row>
    <row r="9262" spans="1:7" x14ac:dyDescent="0.25">
      <c r="A9262" t="s">
        <v>26937</v>
      </c>
      <c r="B9262" t="s">
        <v>29460</v>
      </c>
      <c r="C9262" t="s">
        <v>15265</v>
      </c>
      <c r="D9262" t="s">
        <v>15266</v>
      </c>
      <c r="E9262" t="s">
        <v>15267</v>
      </c>
      <c r="F9262" t="s">
        <v>29461</v>
      </c>
      <c r="G9262" s="2" t="str">
        <f>HYPERLINK("https://probpalata.gov.ru/files/ЮЛ160600373100005.jpeg","Скачать индивидуальный QR-код магазина")</f>
        <v>Скачать индивидуальный QR-код магазина</v>
      </c>
    </row>
    <row r="9263" spans="1:7" x14ac:dyDescent="0.25">
      <c r="A9263" t="s">
        <v>26937</v>
      </c>
      <c r="B9263" t="s">
        <v>29462</v>
      </c>
      <c r="C9263" t="s">
        <v>15265</v>
      </c>
      <c r="D9263" t="s">
        <v>15266</v>
      </c>
      <c r="E9263" t="s">
        <v>15267</v>
      </c>
      <c r="F9263" t="s">
        <v>29463</v>
      </c>
      <c r="G9263" s="2" t="str">
        <f>HYPERLINK("https://probpalata.gov.ru/files/ЮЛ160600373100016.jpeg","Скачать индивидуальный QR-код магазина")</f>
        <v>Скачать индивидуальный QR-код магазина</v>
      </c>
    </row>
    <row r="9264" spans="1:7" x14ac:dyDescent="0.25">
      <c r="A9264" t="s">
        <v>26937</v>
      </c>
      <c r="B9264" t="s">
        <v>29464</v>
      </c>
      <c r="C9264" t="s">
        <v>29465</v>
      </c>
      <c r="D9264" t="s">
        <v>29466</v>
      </c>
      <c r="E9264" t="s">
        <v>29467</v>
      </c>
      <c r="F9264" t="s">
        <v>29468</v>
      </c>
      <c r="G9264" s="2" t="str">
        <f>HYPERLINK("https://probpalata.gov.ru/files/ИП770100240000000.jpeg","Скачать индивидуальный QR-код магазина")</f>
        <v>Скачать индивидуальный QR-код магазина</v>
      </c>
    </row>
    <row r="9265" spans="1:7" x14ac:dyDescent="0.25">
      <c r="A9265" t="s">
        <v>26937</v>
      </c>
      <c r="B9265" t="s">
        <v>29469</v>
      </c>
      <c r="C9265" t="s">
        <v>29465</v>
      </c>
      <c r="D9265" t="s">
        <v>29466</v>
      </c>
      <c r="E9265" t="s">
        <v>29467</v>
      </c>
      <c r="F9265" t="s">
        <v>29470</v>
      </c>
      <c r="G9265" s="2" t="str">
        <f>HYPERLINK("https://probpalata.gov.ru/files/ИП770100240000001.jpeg","Скачать индивидуальный QR-код магазина")</f>
        <v>Скачать индивидуальный QR-код магазина</v>
      </c>
    </row>
    <row r="9266" spans="1:7" x14ac:dyDescent="0.25">
      <c r="A9266" t="s">
        <v>26937</v>
      </c>
      <c r="B9266" t="s">
        <v>29471</v>
      </c>
      <c r="C9266" t="s">
        <v>29472</v>
      </c>
      <c r="D9266" t="s">
        <v>29473</v>
      </c>
      <c r="E9266" t="s">
        <v>29474</v>
      </c>
      <c r="F9266" t="s">
        <v>29475</v>
      </c>
      <c r="G9266" s="2" t="str">
        <f>HYPERLINK("https://probpalata.gov.ru/files/ИП770100655600000.jpeg","Скачать индивидуальный QR-код магазина")</f>
        <v>Скачать индивидуальный QR-код магазина</v>
      </c>
    </row>
    <row r="9267" spans="1:7" x14ac:dyDescent="0.25">
      <c r="A9267" t="s">
        <v>26937</v>
      </c>
      <c r="B9267" t="s">
        <v>29476</v>
      </c>
      <c r="C9267" t="s">
        <v>25016</v>
      </c>
      <c r="D9267" t="s">
        <v>25017</v>
      </c>
      <c r="E9267" t="s">
        <v>25018</v>
      </c>
      <c r="F9267" t="s">
        <v>29477</v>
      </c>
      <c r="G9267" s="2" t="str">
        <f>HYPERLINK("https://probpalata.gov.ru/files/ИП770101785000003.jpeg","Скачать индивидуальный QR-код магазина")</f>
        <v>Скачать индивидуальный QR-код магазина</v>
      </c>
    </row>
    <row r="9268" spans="1:7" x14ac:dyDescent="0.25">
      <c r="A9268" t="s">
        <v>26937</v>
      </c>
      <c r="B9268" t="s">
        <v>29476</v>
      </c>
      <c r="C9268" t="s">
        <v>25226</v>
      </c>
      <c r="D9268" t="s">
        <v>25227</v>
      </c>
      <c r="E9268" t="s">
        <v>25228</v>
      </c>
      <c r="F9268" t="s">
        <v>29478</v>
      </c>
      <c r="G9268" s="2" t="str">
        <f>HYPERLINK("https://probpalata.gov.ru/files/ЮЛ770103577000002.jpeg","Скачать индивидуальный QR-код магазина")</f>
        <v>Скачать индивидуальный QR-код магазина</v>
      </c>
    </row>
    <row r="9269" spans="1:7" x14ac:dyDescent="0.25">
      <c r="A9269" t="s">
        <v>26937</v>
      </c>
      <c r="B9269" t="s">
        <v>29479</v>
      </c>
      <c r="C9269" t="s">
        <v>29480</v>
      </c>
      <c r="D9269" t="s">
        <v>29481</v>
      </c>
      <c r="E9269" t="s">
        <v>29482</v>
      </c>
      <c r="F9269" t="s">
        <v>29483</v>
      </c>
      <c r="G9269" s="2" t="str">
        <f>HYPERLINK("https://probpalata.gov.ru/files/ИП770103645200000.jpeg","Скачать индивидуальный QR-код магазина")</f>
        <v>Скачать индивидуальный QR-код магазина</v>
      </c>
    </row>
    <row r="9270" spans="1:7" x14ac:dyDescent="0.25">
      <c r="A9270" t="s">
        <v>26937</v>
      </c>
      <c r="B9270" t="s">
        <v>29484</v>
      </c>
      <c r="C9270" t="s">
        <v>3634</v>
      </c>
      <c r="D9270" t="s">
        <v>25286</v>
      </c>
      <c r="E9270" t="s">
        <v>25287</v>
      </c>
      <c r="F9270" t="s">
        <v>29485</v>
      </c>
      <c r="G9270" s="2" t="str">
        <f>HYPERLINK("https://probpalata.gov.ru/files/ЮЛ770100417200006.jpeg","Скачать индивидуальный QR-код магазина")</f>
        <v>Скачать индивидуальный QR-код магазина</v>
      </c>
    </row>
    <row r="9271" spans="1:7" x14ac:dyDescent="0.25">
      <c r="A9271" t="s">
        <v>26937</v>
      </c>
      <c r="B9271" t="s">
        <v>29486</v>
      </c>
      <c r="C9271" t="s">
        <v>3634</v>
      </c>
      <c r="D9271" t="s">
        <v>25286</v>
      </c>
      <c r="E9271" t="s">
        <v>25287</v>
      </c>
      <c r="F9271" t="s">
        <v>29487</v>
      </c>
      <c r="G9271" s="2" t="str">
        <f>HYPERLINK("https://probpalata.gov.ru/files/ЮЛ770100417200007.jpeg","Скачать индивидуальный QR-код магазина")</f>
        <v>Скачать индивидуальный QR-код магазина</v>
      </c>
    </row>
    <row r="9272" spans="1:7" x14ac:dyDescent="0.25">
      <c r="A9272" t="s">
        <v>26937</v>
      </c>
      <c r="B9272" t="s">
        <v>29488</v>
      </c>
      <c r="C9272" t="s">
        <v>13294</v>
      </c>
      <c r="D9272" t="s">
        <v>29489</v>
      </c>
      <c r="E9272" t="s">
        <v>29490</v>
      </c>
      <c r="F9272" t="s">
        <v>29491</v>
      </c>
      <c r="G9272" s="2" t="str">
        <f>HYPERLINK("https://probpalata.gov.ru/files/ЮЛ770101798100000.jpeg","Скачать индивидуальный QR-код магазина")</f>
        <v>Скачать индивидуальный QR-код магазина</v>
      </c>
    </row>
    <row r="9273" spans="1:7" x14ac:dyDescent="0.25">
      <c r="A9273" t="s">
        <v>26937</v>
      </c>
      <c r="B9273" t="s">
        <v>29492</v>
      </c>
      <c r="C9273" t="s">
        <v>29493</v>
      </c>
      <c r="D9273" t="s">
        <v>29494</v>
      </c>
      <c r="E9273" t="s">
        <v>29495</v>
      </c>
      <c r="F9273" t="s">
        <v>29496</v>
      </c>
      <c r="G9273" s="2" t="str">
        <f>HYPERLINK("https://probpalata.gov.ru/files/ИП770100957400000.jpeg","Скачать индивидуальный QR-код магазина")</f>
        <v>Скачать индивидуальный QR-код магазина</v>
      </c>
    </row>
    <row r="9274" spans="1:7" x14ac:dyDescent="0.25">
      <c r="A9274" t="s">
        <v>26937</v>
      </c>
      <c r="B9274" t="s">
        <v>29497</v>
      </c>
      <c r="C9274" t="s">
        <v>29498</v>
      </c>
      <c r="D9274" t="s">
        <v>29499</v>
      </c>
      <c r="E9274" t="s">
        <v>29500</v>
      </c>
      <c r="F9274" t="s">
        <v>29501</v>
      </c>
      <c r="G9274" s="2" t="str">
        <f>HYPERLINK("https://probpalata.gov.ru/files/ИП780300359000005.jpeg","Скачать индивидуальный QR-код магазина")</f>
        <v>Скачать индивидуальный QR-код магазина</v>
      </c>
    </row>
    <row r="9275" spans="1:7" x14ac:dyDescent="0.25">
      <c r="A9275" t="s">
        <v>26937</v>
      </c>
      <c r="B9275" t="s">
        <v>29502</v>
      </c>
      <c r="C9275" t="s">
        <v>773</v>
      </c>
      <c r="D9275" t="s">
        <v>774</v>
      </c>
      <c r="E9275" t="s">
        <v>775</v>
      </c>
      <c r="F9275" t="s">
        <v>29503</v>
      </c>
      <c r="G9275" s="2" t="str">
        <f>HYPERLINK("https://probpalata.gov.ru/files/ЮЛ780300131300579.jpeg","Скачать индивидуальный QR-код магазина")</f>
        <v>Скачать индивидуальный QR-код магазина</v>
      </c>
    </row>
    <row r="9276" spans="1:7" x14ac:dyDescent="0.25">
      <c r="A9276" t="s">
        <v>26937</v>
      </c>
      <c r="B9276" t="s">
        <v>29504</v>
      </c>
      <c r="C9276" t="s">
        <v>773</v>
      </c>
      <c r="D9276" t="s">
        <v>774</v>
      </c>
      <c r="E9276" t="s">
        <v>775</v>
      </c>
      <c r="F9276" t="s">
        <v>29505</v>
      </c>
      <c r="G9276" s="2" t="str">
        <f>HYPERLINK("https://probpalata.gov.ru/files/ЮЛ780300131300593.jpeg","Скачать индивидуальный QR-код магазина")</f>
        <v>Скачать индивидуальный QR-код магазина</v>
      </c>
    </row>
    <row r="9277" spans="1:7" x14ac:dyDescent="0.25">
      <c r="A9277" t="s">
        <v>26937</v>
      </c>
      <c r="B9277" t="s">
        <v>29506</v>
      </c>
      <c r="C9277" t="s">
        <v>787</v>
      </c>
      <c r="D9277" t="s">
        <v>788</v>
      </c>
      <c r="E9277" t="s">
        <v>789</v>
      </c>
      <c r="F9277" t="s">
        <v>29507</v>
      </c>
      <c r="G9277" s="2" t="str">
        <f>HYPERLINK("https://probpalata.gov.ru/files/ЮЛ780300328000022.jpeg","Скачать индивидуальный QR-код магазина")</f>
        <v>Скачать индивидуальный QR-код магазина</v>
      </c>
    </row>
    <row r="9278" spans="1:7" x14ac:dyDescent="0.25">
      <c r="A9278" t="s">
        <v>26937</v>
      </c>
      <c r="B9278" t="s">
        <v>29508</v>
      </c>
      <c r="C9278" t="s">
        <v>787</v>
      </c>
      <c r="D9278" t="s">
        <v>788</v>
      </c>
      <c r="E9278" t="s">
        <v>789</v>
      </c>
      <c r="F9278" t="s">
        <v>29509</v>
      </c>
      <c r="G9278" s="2" t="str">
        <f>HYPERLINK("https://probpalata.gov.ru/files/ЮЛ780300328000029.jpeg","Скачать индивидуальный QR-код магазина")</f>
        <v>Скачать индивидуальный QR-код магазина</v>
      </c>
    </row>
    <row r="9279" spans="1:7" x14ac:dyDescent="0.25">
      <c r="A9279" t="s">
        <v>26937</v>
      </c>
      <c r="B9279" t="s">
        <v>29510</v>
      </c>
      <c r="C9279" t="s">
        <v>787</v>
      </c>
      <c r="D9279" t="s">
        <v>788</v>
      </c>
      <c r="E9279" t="s">
        <v>789</v>
      </c>
      <c r="F9279" t="s">
        <v>29511</v>
      </c>
      <c r="G9279" s="2" t="str">
        <f>HYPERLINK("https://probpalata.gov.ru/files/ЮЛ780300328000030.jpeg","Скачать индивидуальный QR-код магазина")</f>
        <v>Скачать индивидуальный QR-код магазина</v>
      </c>
    </row>
    <row r="9280" spans="1:7" x14ac:dyDescent="0.25">
      <c r="A9280" t="s">
        <v>26937</v>
      </c>
      <c r="B9280" t="s">
        <v>29512</v>
      </c>
      <c r="C9280" t="s">
        <v>787</v>
      </c>
      <c r="D9280" t="s">
        <v>788</v>
      </c>
      <c r="E9280" t="s">
        <v>789</v>
      </c>
      <c r="F9280" t="s">
        <v>29513</v>
      </c>
      <c r="G9280" s="2" t="str">
        <f>HYPERLINK("https://probpalata.gov.ru/files/ЮЛ780300328000033.jpeg","Скачать индивидуальный QR-код магазина")</f>
        <v>Скачать индивидуальный QR-код магазина</v>
      </c>
    </row>
    <row r="9281" spans="1:7" x14ac:dyDescent="0.25">
      <c r="A9281" t="s">
        <v>26937</v>
      </c>
      <c r="B9281" t="s">
        <v>29514</v>
      </c>
      <c r="C9281" t="s">
        <v>787</v>
      </c>
      <c r="D9281" t="s">
        <v>788</v>
      </c>
      <c r="E9281" t="s">
        <v>789</v>
      </c>
      <c r="F9281" t="s">
        <v>29515</v>
      </c>
      <c r="G9281" s="2" t="str">
        <f>HYPERLINK("https://probpalata.gov.ru/files/ЮЛ780300328000038.jpeg","Скачать индивидуальный QR-код магазина")</f>
        <v>Скачать индивидуальный QR-код магазина</v>
      </c>
    </row>
    <row r="9282" spans="1:7" x14ac:dyDescent="0.25">
      <c r="A9282" t="s">
        <v>26937</v>
      </c>
      <c r="B9282" t="s">
        <v>29516</v>
      </c>
      <c r="C9282" t="s">
        <v>787</v>
      </c>
      <c r="D9282" t="s">
        <v>788</v>
      </c>
      <c r="E9282" t="s">
        <v>789</v>
      </c>
      <c r="F9282" t="s">
        <v>29517</v>
      </c>
      <c r="G9282" s="2" t="str">
        <f>HYPERLINK("https://probpalata.gov.ru/files/ЮЛ780300328000039.jpeg","Скачать индивидуальный QR-код магазина")</f>
        <v>Скачать индивидуальный QR-код магазина</v>
      </c>
    </row>
    <row r="9283" spans="1:7" x14ac:dyDescent="0.25">
      <c r="A9283" t="s">
        <v>26937</v>
      </c>
      <c r="B9283" t="s">
        <v>29518</v>
      </c>
      <c r="C9283" t="s">
        <v>787</v>
      </c>
      <c r="D9283" t="s">
        <v>788</v>
      </c>
      <c r="E9283" t="s">
        <v>789</v>
      </c>
      <c r="F9283" t="s">
        <v>29519</v>
      </c>
      <c r="G9283" s="2" t="str">
        <f>HYPERLINK("https://probpalata.gov.ru/files/ЮЛ780300328000040.jpeg","Скачать индивидуальный QR-код магазина")</f>
        <v>Скачать индивидуальный QR-код магазина</v>
      </c>
    </row>
    <row r="9284" spans="1:7" x14ac:dyDescent="0.25">
      <c r="A9284" t="s">
        <v>26937</v>
      </c>
      <c r="B9284" t="s">
        <v>29520</v>
      </c>
      <c r="C9284" t="s">
        <v>787</v>
      </c>
      <c r="D9284" t="s">
        <v>788</v>
      </c>
      <c r="E9284" t="s">
        <v>789</v>
      </c>
      <c r="F9284" t="s">
        <v>29521</v>
      </c>
      <c r="G9284" s="2" t="str">
        <f>HYPERLINK("https://probpalata.gov.ru/files/ЮЛ780300328000256.jpeg","Скачать индивидуальный QR-код магазина")</f>
        <v>Скачать индивидуальный QR-код магазина</v>
      </c>
    </row>
    <row r="9285" spans="1:7" x14ac:dyDescent="0.25">
      <c r="A9285" t="s">
        <v>26937</v>
      </c>
      <c r="B9285" t="s">
        <v>29522</v>
      </c>
      <c r="C9285" t="s">
        <v>25380</v>
      </c>
      <c r="D9285" t="s">
        <v>25381</v>
      </c>
      <c r="E9285" t="s">
        <v>25382</v>
      </c>
      <c r="F9285" t="s">
        <v>29523</v>
      </c>
      <c r="G9285" s="2" t="str">
        <f>HYPERLINK("https://probpalata.gov.ru/files/ЮЛ780300868000018.jpeg","Скачать индивидуальный QR-код магазина")</f>
        <v>Скачать индивидуальный QR-код магазина</v>
      </c>
    </row>
    <row r="9286" spans="1:7" x14ac:dyDescent="0.25">
      <c r="A9286" t="s">
        <v>26937</v>
      </c>
      <c r="B9286" t="s">
        <v>29524</v>
      </c>
      <c r="C9286" t="s">
        <v>4077</v>
      </c>
      <c r="D9286" t="s">
        <v>4078</v>
      </c>
      <c r="E9286" t="s">
        <v>4079</v>
      </c>
      <c r="F9286" t="s">
        <v>29525</v>
      </c>
      <c r="G9286" s="2" t="str">
        <f>HYPERLINK("https://probpalata.gov.ru/files/ЮЛ780300331800043.jpeg","Скачать индивидуальный QR-код магазина")</f>
        <v>Скачать индивидуальный QR-код магазина</v>
      </c>
    </row>
    <row r="9287" spans="1:7" x14ac:dyDescent="0.25">
      <c r="A9287" t="s">
        <v>26937</v>
      </c>
      <c r="B9287" t="s">
        <v>29526</v>
      </c>
      <c r="C9287" t="s">
        <v>791</v>
      </c>
      <c r="D9287" t="s">
        <v>792</v>
      </c>
      <c r="E9287" t="s">
        <v>793</v>
      </c>
      <c r="F9287" t="s">
        <v>29527</v>
      </c>
      <c r="G9287" s="2" t="str">
        <f>HYPERLINK("https://probpalata.gov.ru/files/ЮЛ780300323500056.jpeg","Скачать индивидуальный QR-код магазина")</f>
        <v>Скачать индивидуальный QR-код магазина</v>
      </c>
    </row>
    <row r="9288" spans="1:7" x14ac:dyDescent="0.25">
      <c r="A9288" t="s">
        <v>26937</v>
      </c>
      <c r="B9288" t="s">
        <v>29528</v>
      </c>
      <c r="C9288" t="s">
        <v>791</v>
      </c>
      <c r="D9288" t="s">
        <v>792</v>
      </c>
      <c r="E9288" t="s">
        <v>793</v>
      </c>
      <c r="F9288" t="s">
        <v>29529</v>
      </c>
      <c r="G9288" s="2" t="str">
        <f>HYPERLINK("https://probpalata.gov.ru/files/ЮЛ780300323500067.jpeg","Скачать индивидуальный QR-код магазина")</f>
        <v>Скачать индивидуальный QR-код магазина</v>
      </c>
    </row>
    <row r="9289" spans="1:7" x14ac:dyDescent="0.25">
      <c r="A9289" t="s">
        <v>26937</v>
      </c>
      <c r="B9289" t="s">
        <v>29530</v>
      </c>
      <c r="C9289" t="s">
        <v>791</v>
      </c>
      <c r="D9289" t="s">
        <v>792</v>
      </c>
      <c r="E9289" t="s">
        <v>793</v>
      </c>
      <c r="F9289" t="s">
        <v>29531</v>
      </c>
      <c r="G9289" s="2" t="str">
        <f>HYPERLINK("https://probpalata.gov.ru/files/ЮЛ780300323500072.jpeg","Скачать индивидуальный QR-код магазина")</f>
        <v>Скачать индивидуальный QR-код магазина</v>
      </c>
    </row>
    <row r="9290" spans="1:7" x14ac:dyDescent="0.25">
      <c r="A9290" t="s">
        <v>26937</v>
      </c>
      <c r="B9290" t="s">
        <v>29532</v>
      </c>
      <c r="C9290" t="s">
        <v>791</v>
      </c>
      <c r="D9290" t="s">
        <v>792</v>
      </c>
      <c r="E9290" t="s">
        <v>793</v>
      </c>
      <c r="F9290" t="s">
        <v>29533</v>
      </c>
      <c r="G9290" s="2" t="str">
        <f>HYPERLINK("https://probpalata.gov.ru/files/ЮЛ780300323500103.jpeg","Скачать индивидуальный QR-код магазина")</f>
        <v>Скачать индивидуальный QR-код магазина</v>
      </c>
    </row>
    <row r="9291" spans="1:7" x14ac:dyDescent="0.25">
      <c r="A9291" t="s">
        <v>26937</v>
      </c>
      <c r="B9291" t="s">
        <v>29534</v>
      </c>
      <c r="C9291" t="s">
        <v>791</v>
      </c>
      <c r="D9291" t="s">
        <v>792</v>
      </c>
      <c r="E9291" t="s">
        <v>793</v>
      </c>
      <c r="F9291" t="s">
        <v>29535</v>
      </c>
      <c r="G9291" s="2" t="str">
        <f>HYPERLINK("https://probpalata.gov.ru/files/ЮЛ780300323500210.jpeg","Скачать индивидуальный QR-код магазина")</f>
        <v>Скачать индивидуальный QR-код магазина</v>
      </c>
    </row>
    <row r="9292" spans="1:7" x14ac:dyDescent="0.25">
      <c r="A9292" t="s">
        <v>26937</v>
      </c>
      <c r="B9292" t="s">
        <v>29536</v>
      </c>
      <c r="C9292" t="s">
        <v>798</v>
      </c>
      <c r="D9292" t="s">
        <v>799</v>
      </c>
      <c r="E9292" t="s">
        <v>800</v>
      </c>
      <c r="F9292" t="s">
        <v>29537</v>
      </c>
      <c r="G9292" s="2" t="str">
        <f>HYPERLINK("https://probpalata.gov.ru/files/ЮЛ780300308200006.jpeg","Скачать индивидуальный QR-код магазина")</f>
        <v>Скачать индивидуальный QR-код магазина</v>
      </c>
    </row>
    <row r="9293" spans="1:7" x14ac:dyDescent="0.25">
      <c r="A9293" t="s">
        <v>26937</v>
      </c>
      <c r="B9293" t="s">
        <v>29538</v>
      </c>
      <c r="C9293" t="s">
        <v>798</v>
      </c>
      <c r="D9293" t="s">
        <v>799</v>
      </c>
      <c r="E9293" t="s">
        <v>800</v>
      </c>
      <c r="F9293" t="s">
        <v>29539</v>
      </c>
      <c r="G9293" s="2" t="str">
        <f>HYPERLINK("https://probpalata.gov.ru/files/ЮЛ780300308200007.jpeg","Скачать индивидуальный QR-код магазина")</f>
        <v>Скачать индивидуальный QR-код магазина</v>
      </c>
    </row>
    <row r="9294" spans="1:7" x14ac:dyDescent="0.25">
      <c r="A9294" t="s">
        <v>26937</v>
      </c>
      <c r="B9294" t="s">
        <v>29540</v>
      </c>
      <c r="C9294" t="s">
        <v>798</v>
      </c>
      <c r="D9294" t="s">
        <v>799</v>
      </c>
      <c r="E9294" t="s">
        <v>800</v>
      </c>
      <c r="F9294" t="s">
        <v>29541</v>
      </c>
      <c r="G9294" s="2" t="str">
        <f>HYPERLINK("https://probpalata.gov.ru/files/ЮЛ780300308200134.jpeg","Скачать индивидуальный QR-код магазина")</f>
        <v>Скачать индивидуальный QR-код магазина</v>
      </c>
    </row>
    <row r="9295" spans="1:7" x14ac:dyDescent="0.25">
      <c r="A9295" t="s">
        <v>26937</v>
      </c>
      <c r="B9295" t="s">
        <v>29542</v>
      </c>
      <c r="C9295" t="s">
        <v>798</v>
      </c>
      <c r="D9295" t="s">
        <v>799</v>
      </c>
      <c r="E9295" t="s">
        <v>800</v>
      </c>
      <c r="F9295" t="s">
        <v>29543</v>
      </c>
      <c r="G9295" s="2" t="str">
        <f>HYPERLINK("https://probpalata.gov.ru/files/ЮЛ780300308200138.jpeg","Скачать индивидуальный QR-код магазина")</f>
        <v>Скачать индивидуальный QR-код магазина</v>
      </c>
    </row>
    <row r="9296" spans="1:7" x14ac:dyDescent="0.25">
      <c r="A9296" t="s">
        <v>26937</v>
      </c>
      <c r="B9296" t="s">
        <v>29544</v>
      </c>
      <c r="C9296" t="s">
        <v>798</v>
      </c>
      <c r="D9296" t="s">
        <v>799</v>
      </c>
      <c r="E9296" t="s">
        <v>800</v>
      </c>
      <c r="F9296" t="s">
        <v>29545</v>
      </c>
      <c r="G9296" s="2" t="str">
        <f>HYPERLINK("https://probpalata.gov.ru/files/ЮЛ780300308200194.jpeg","Скачать индивидуальный QR-код магазина")</f>
        <v>Скачать индивидуальный QR-код магазина</v>
      </c>
    </row>
    <row r="9297" spans="1:7" x14ac:dyDescent="0.25">
      <c r="A9297" t="s">
        <v>26937</v>
      </c>
      <c r="B9297" t="s">
        <v>29546</v>
      </c>
      <c r="C9297" t="s">
        <v>798</v>
      </c>
      <c r="D9297" t="s">
        <v>799</v>
      </c>
      <c r="E9297" t="s">
        <v>800</v>
      </c>
      <c r="F9297" t="s">
        <v>29547</v>
      </c>
      <c r="G9297" s="2" t="str">
        <f>HYPERLINK("https://probpalata.gov.ru/files/ЮЛ780300308200212.jpeg","Скачать индивидуальный QR-код магазина")</f>
        <v>Скачать индивидуальный QR-код магазина</v>
      </c>
    </row>
    <row r="9298" spans="1:7" x14ac:dyDescent="0.25">
      <c r="A9298" t="s">
        <v>26937</v>
      </c>
      <c r="B9298" t="s">
        <v>29548</v>
      </c>
      <c r="C9298" t="s">
        <v>798</v>
      </c>
      <c r="D9298" t="s">
        <v>799</v>
      </c>
      <c r="E9298" t="s">
        <v>800</v>
      </c>
      <c r="F9298" t="s">
        <v>29549</v>
      </c>
      <c r="G9298" s="2" t="str">
        <f>HYPERLINK("https://probpalata.gov.ru/files/ЮЛ780300308200213.jpeg","Скачать индивидуальный QR-код магазина")</f>
        <v>Скачать индивидуальный QR-код магазина</v>
      </c>
    </row>
    <row r="9299" spans="1:7" x14ac:dyDescent="0.25">
      <c r="A9299" t="s">
        <v>26937</v>
      </c>
      <c r="B9299" t="s">
        <v>29550</v>
      </c>
      <c r="C9299" t="s">
        <v>798</v>
      </c>
      <c r="D9299" t="s">
        <v>799</v>
      </c>
      <c r="E9299" t="s">
        <v>800</v>
      </c>
      <c r="F9299" t="s">
        <v>29551</v>
      </c>
      <c r="G9299" s="2" t="str">
        <f>HYPERLINK("https://probpalata.gov.ru/files/ЮЛ780300308200214.jpeg","Скачать индивидуальный QR-код магазина")</f>
        <v>Скачать индивидуальный QR-код магазина</v>
      </c>
    </row>
    <row r="9300" spans="1:7" x14ac:dyDescent="0.25">
      <c r="A9300" t="s">
        <v>26937</v>
      </c>
      <c r="B9300" t="s">
        <v>29552</v>
      </c>
      <c r="C9300" t="s">
        <v>798</v>
      </c>
      <c r="D9300" t="s">
        <v>799</v>
      </c>
      <c r="E9300" t="s">
        <v>800</v>
      </c>
      <c r="F9300" t="s">
        <v>29553</v>
      </c>
      <c r="G9300" s="2" t="str">
        <f>HYPERLINK("https://probpalata.gov.ru/files/ЮЛ780300308200216.jpeg","Скачать индивидуальный QR-код магазина")</f>
        <v>Скачать индивидуальный QR-код магазина</v>
      </c>
    </row>
    <row r="9301" spans="1:7" x14ac:dyDescent="0.25">
      <c r="A9301" t="s">
        <v>26937</v>
      </c>
      <c r="B9301" t="s">
        <v>29554</v>
      </c>
      <c r="C9301" t="s">
        <v>798</v>
      </c>
      <c r="D9301" t="s">
        <v>799</v>
      </c>
      <c r="E9301" t="s">
        <v>800</v>
      </c>
      <c r="F9301" t="s">
        <v>29555</v>
      </c>
      <c r="G9301" s="2" t="str">
        <f>HYPERLINK("https://probpalata.gov.ru/files/ЮЛ780300308200217.jpeg","Скачать индивидуальный QR-код магазина")</f>
        <v>Скачать индивидуальный QR-код магазина</v>
      </c>
    </row>
    <row r="9302" spans="1:7" x14ac:dyDescent="0.25">
      <c r="A9302" t="s">
        <v>26937</v>
      </c>
      <c r="B9302" t="s">
        <v>29556</v>
      </c>
      <c r="C9302" t="s">
        <v>798</v>
      </c>
      <c r="D9302" t="s">
        <v>799</v>
      </c>
      <c r="E9302" t="s">
        <v>800</v>
      </c>
      <c r="F9302" t="s">
        <v>29557</v>
      </c>
      <c r="G9302" s="2" t="str">
        <f>HYPERLINK("https://probpalata.gov.ru/files/ЮЛ780300308200218.jpeg","Скачать индивидуальный QR-код магазина")</f>
        <v>Скачать индивидуальный QR-код магазина</v>
      </c>
    </row>
    <row r="9303" spans="1:7" x14ac:dyDescent="0.25">
      <c r="A9303" t="s">
        <v>26937</v>
      </c>
      <c r="B9303" t="s">
        <v>29558</v>
      </c>
      <c r="C9303" t="s">
        <v>798</v>
      </c>
      <c r="D9303" t="s">
        <v>799</v>
      </c>
      <c r="E9303" t="s">
        <v>800</v>
      </c>
      <c r="F9303" t="s">
        <v>29559</v>
      </c>
      <c r="G9303" s="2" t="str">
        <f>HYPERLINK("https://probpalata.gov.ru/files/ЮЛ780300308200227.jpeg","Скачать индивидуальный QR-код магазина")</f>
        <v>Скачать индивидуальный QR-код магазина</v>
      </c>
    </row>
    <row r="9304" spans="1:7" x14ac:dyDescent="0.25">
      <c r="A9304" t="s">
        <v>26937</v>
      </c>
      <c r="B9304" t="s">
        <v>29560</v>
      </c>
      <c r="C9304" t="s">
        <v>798</v>
      </c>
      <c r="D9304" t="s">
        <v>799</v>
      </c>
      <c r="E9304" t="s">
        <v>800</v>
      </c>
      <c r="F9304" t="s">
        <v>29561</v>
      </c>
      <c r="G9304" s="2" t="str">
        <f>HYPERLINK("https://probpalata.gov.ru/files/ЮЛ780300308200250.jpeg","Скачать индивидуальный QR-код магазина")</f>
        <v>Скачать индивидуальный QR-код магазина</v>
      </c>
    </row>
    <row r="9305" spans="1:7" x14ac:dyDescent="0.25">
      <c r="A9305" t="s">
        <v>26937</v>
      </c>
      <c r="B9305" t="s">
        <v>29562</v>
      </c>
      <c r="C9305" t="s">
        <v>798</v>
      </c>
      <c r="D9305" t="s">
        <v>799</v>
      </c>
      <c r="E9305" t="s">
        <v>800</v>
      </c>
      <c r="F9305" t="s">
        <v>29563</v>
      </c>
      <c r="G9305" s="2" t="str">
        <f>HYPERLINK("https://probpalata.gov.ru/files/ЮЛ780300308200251.jpeg","Скачать индивидуальный QR-код магазина")</f>
        <v>Скачать индивидуальный QR-код магазина</v>
      </c>
    </row>
    <row r="9306" spans="1:7" x14ac:dyDescent="0.25">
      <c r="A9306" t="s">
        <v>26937</v>
      </c>
      <c r="B9306" t="s">
        <v>29564</v>
      </c>
      <c r="C9306" t="s">
        <v>798</v>
      </c>
      <c r="D9306" t="s">
        <v>799</v>
      </c>
      <c r="E9306" t="s">
        <v>800</v>
      </c>
      <c r="F9306" t="s">
        <v>29565</v>
      </c>
      <c r="G9306" s="2" t="str">
        <f>HYPERLINK("https://probpalata.gov.ru/files/ЮЛ780300308200254.jpeg","Скачать индивидуальный QR-код магазина")</f>
        <v>Скачать индивидуальный QR-код магазина</v>
      </c>
    </row>
    <row r="9307" spans="1:7" x14ac:dyDescent="0.25">
      <c r="A9307" t="s">
        <v>26937</v>
      </c>
      <c r="B9307" t="s">
        <v>29566</v>
      </c>
      <c r="C9307" t="s">
        <v>798</v>
      </c>
      <c r="D9307" t="s">
        <v>799</v>
      </c>
      <c r="E9307" t="s">
        <v>800</v>
      </c>
      <c r="F9307" t="s">
        <v>29567</v>
      </c>
      <c r="G9307" s="2" t="str">
        <f>HYPERLINK("https://probpalata.gov.ru/files/ЮЛ780300308200273.jpeg","Скачать индивидуальный QR-код магазина")</f>
        <v>Скачать индивидуальный QR-код магазина</v>
      </c>
    </row>
    <row r="9308" spans="1:7" x14ac:dyDescent="0.25">
      <c r="A9308" t="s">
        <v>26937</v>
      </c>
      <c r="B9308" t="s">
        <v>29568</v>
      </c>
      <c r="C9308" t="s">
        <v>798</v>
      </c>
      <c r="D9308" t="s">
        <v>799</v>
      </c>
      <c r="E9308" t="s">
        <v>800</v>
      </c>
      <c r="F9308" t="s">
        <v>29569</v>
      </c>
      <c r="G9308" s="2" t="str">
        <f>HYPERLINK("https://probpalata.gov.ru/files/ЮЛ780300308200284.jpeg","Скачать индивидуальный QR-код магазина")</f>
        <v>Скачать индивидуальный QR-код магазина</v>
      </c>
    </row>
    <row r="9309" spans="1:7" x14ac:dyDescent="0.25">
      <c r="A9309" t="s">
        <v>26937</v>
      </c>
      <c r="B9309" t="s">
        <v>29570</v>
      </c>
      <c r="C9309" t="s">
        <v>798</v>
      </c>
      <c r="D9309" t="s">
        <v>799</v>
      </c>
      <c r="E9309" t="s">
        <v>800</v>
      </c>
      <c r="F9309" t="s">
        <v>29571</v>
      </c>
      <c r="G9309" s="2" t="str">
        <f>HYPERLINK("https://probpalata.gov.ru/files/ЮЛ780300308200289.jpeg","Скачать индивидуальный QR-код магазина")</f>
        <v>Скачать индивидуальный QR-код магазина</v>
      </c>
    </row>
    <row r="9310" spans="1:7" x14ac:dyDescent="0.25">
      <c r="A9310" t="s">
        <v>26937</v>
      </c>
      <c r="B9310" t="s">
        <v>29572</v>
      </c>
      <c r="C9310" t="s">
        <v>798</v>
      </c>
      <c r="D9310" t="s">
        <v>799</v>
      </c>
      <c r="E9310" t="s">
        <v>800</v>
      </c>
      <c r="F9310" t="s">
        <v>29573</v>
      </c>
      <c r="G9310" s="2" t="str">
        <f>HYPERLINK("https://probpalata.gov.ru/files/ЮЛ780300308200290.jpeg","Скачать индивидуальный QR-код магазина")</f>
        <v>Скачать индивидуальный QR-код магазина</v>
      </c>
    </row>
    <row r="9311" spans="1:7" x14ac:dyDescent="0.25">
      <c r="A9311" t="s">
        <v>26937</v>
      </c>
      <c r="B9311" t="s">
        <v>29574</v>
      </c>
      <c r="C9311" t="s">
        <v>798</v>
      </c>
      <c r="D9311" t="s">
        <v>799</v>
      </c>
      <c r="E9311" t="s">
        <v>800</v>
      </c>
      <c r="F9311" t="s">
        <v>29575</v>
      </c>
      <c r="G9311" s="2" t="str">
        <f>HYPERLINK("https://probpalata.gov.ru/files/ЮЛ780300308200322.jpeg","Скачать индивидуальный QR-код магазина")</f>
        <v>Скачать индивидуальный QR-код магазина</v>
      </c>
    </row>
    <row r="9312" spans="1:7" x14ac:dyDescent="0.25">
      <c r="A9312" t="s">
        <v>26937</v>
      </c>
      <c r="B9312" t="s">
        <v>29576</v>
      </c>
      <c r="C9312" t="s">
        <v>798</v>
      </c>
      <c r="D9312" t="s">
        <v>799</v>
      </c>
      <c r="E9312" t="s">
        <v>800</v>
      </c>
      <c r="F9312" t="s">
        <v>29577</v>
      </c>
      <c r="G9312" s="2" t="str">
        <f>HYPERLINK("https://probpalata.gov.ru/files/ЮЛ780300308200367.jpeg","Скачать индивидуальный QR-код магазина")</f>
        <v>Скачать индивидуальный QR-код магазина</v>
      </c>
    </row>
    <row r="9313" spans="1:7" x14ac:dyDescent="0.25">
      <c r="A9313" t="s">
        <v>26937</v>
      </c>
      <c r="B9313" t="s">
        <v>29578</v>
      </c>
      <c r="C9313" t="s">
        <v>798</v>
      </c>
      <c r="D9313" t="s">
        <v>799</v>
      </c>
      <c r="E9313" t="s">
        <v>800</v>
      </c>
      <c r="F9313" t="s">
        <v>29579</v>
      </c>
      <c r="G9313" s="2" t="str">
        <f>HYPERLINK("https://probpalata.gov.ru/files/ЮЛ780300308200393.jpeg","Скачать индивидуальный QR-код магазина")</f>
        <v>Скачать индивидуальный QR-код магазина</v>
      </c>
    </row>
    <row r="9314" spans="1:7" x14ac:dyDescent="0.25">
      <c r="A9314" t="s">
        <v>26937</v>
      </c>
      <c r="B9314" t="s">
        <v>29580</v>
      </c>
      <c r="C9314" t="s">
        <v>798</v>
      </c>
      <c r="D9314" t="s">
        <v>799</v>
      </c>
      <c r="E9314" t="s">
        <v>800</v>
      </c>
      <c r="F9314" t="s">
        <v>29581</v>
      </c>
      <c r="G9314" s="2" t="str">
        <f>HYPERLINK("https://probpalata.gov.ru/files/ЮЛ780300308200397.jpeg","Скачать индивидуальный QR-код магазина")</f>
        <v>Скачать индивидуальный QR-код магазина</v>
      </c>
    </row>
    <row r="9315" spans="1:7" x14ac:dyDescent="0.25">
      <c r="A9315" t="s">
        <v>26937</v>
      </c>
      <c r="B9315" t="s">
        <v>29582</v>
      </c>
      <c r="C9315" t="s">
        <v>798</v>
      </c>
      <c r="D9315" t="s">
        <v>799</v>
      </c>
      <c r="E9315" t="s">
        <v>800</v>
      </c>
      <c r="F9315" t="s">
        <v>29583</v>
      </c>
      <c r="G9315" s="2" t="str">
        <f>HYPERLINK("https://probpalata.gov.ru/files/ЮЛ780300308200400.jpeg","Скачать индивидуальный QR-код магазина")</f>
        <v>Скачать индивидуальный QR-код магазина</v>
      </c>
    </row>
    <row r="9316" spans="1:7" x14ac:dyDescent="0.25">
      <c r="A9316" t="s">
        <v>26937</v>
      </c>
      <c r="B9316" t="s">
        <v>29584</v>
      </c>
      <c r="C9316" t="s">
        <v>798</v>
      </c>
      <c r="D9316" t="s">
        <v>799</v>
      </c>
      <c r="E9316" t="s">
        <v>800</v>
      </c>
      <c r="F9316" t="s">
        <v>29585</v>
      </c>
      <c r="G9316" s="2" t="str">
        <f>HYPERLINK("https://probpalata.gov.ru/files/ЮЛ780300308200402.jpeg","Скачать индивидуальный QR-код магазина")</f>
        <v>Скачать индивидуальный QR-код магазина</v>
      </c>
    </row>
    <row r="9317" spans="1:7" x14ac:dyDescent="0.25">
      <c r="A9317" t="s">
        <v>26937</v>
      </c>
      <c r="B9317" t="s">
        <v>29586</v>
      </c>
      <c r="C9317" t="s">
        <v>798</v>
      </c>
      <c r="D9317" t="s">
        <v>799</v>
      </c>
      <c r="E9317" t="s">
        <v>800</v>
      </c>
      <c r="F9317" t="s">
        <v>29587</v>
      </c>
      <c r="G9317" s="2" t="str">
        <f>HYPERLINK("https://probpalata.gov.ru/files/ЮЛ780300308200449.jpeg","Скачать индивидуальный QR-код магазина")</f>
        <v>Скачать индивидуальный QR-код магазина</v>
      </c>
    </row>
    <row r="9318" spans="1:7" x14ac:dyDescent="0.25">
      <c r="A9318" t="s">
        <v>26937</v>
      </c>
      <c r="B9318" t="s">
        <v>29588</v>
      </c>
      <c r="C9318" t="s">
        <v>798</v>
      </c>
      <c r="D9318" t="s">
        <v>799</v>
      </c>
      <c r="E9318" t="s">
        <v>800</v>
      </c>
      <c r="F9318" t="s">
        <v>29589</v>
      </c>
      <c r="G9318" s="2" t="str">
        <f>HYPERLINK("https://probpalata.gov.ru/files/ЮЛ780300308200450.jpeg","Скачать индивидуальный QR-код магазина")</f>
        <v>Скачать индивидуальный QR-код магазина</v>
      </c>
    </row>
    <row r="9319" spans="1:7" x14ac:dyDescent="0.25">
      <c r="A9319" t="s">
        <v>26937</v>
      </c>
      <c r="B9319" t="s">
        <v>29590</v>
      </c>
      <c r="C9319" t="s">
        <v>798</v>
      </c>
      <c r="D9319" t="s">
        <v>799</v>
      </c>
      <c r="E9319" t="s">
        <v>800</v>
      </c>
      <c r="F9319" t="s">
        <v>29591</v>
      </c>
      <c r="G9319" s="2" t="str">
        <f>HYPERLINK("https://probpalata.gov.ru/files/ЮЛ780300308200451.jpeg","Скачать индивидуальный QR-код магазина")</f>
        <v>Скачать индивидуальный QR-код магазина</v>
      </c>
    </row>
    <row r="9320" spans="1:7" x14ac:dyDescent="0.25">
      <c r="A9320" t="s">
        <v>26937</v>
      </c>
      <c r="B9320" t="s">
        <v>29592</v>
      </c>
      <c r="C9320" t="s">
        <v>798</v>
      </c>
      <c r="D9320" t="s">
        <v>799</v>
      </c>
      <c r="E9320" t="s">
        <v>800</v>
      </c>
      <c r="F9320" t="s">
        <v>29593</v>
      </c>
      <c r="G9320" s="2" t="str">
        <f>HYPERLINK("https://probpalata.gov.ru/files/ЮЛ780300308200452.jpeg","Скачать индивидуальный QR-код магазина")</f>
        <v>Скачать индивидуальный QR-код магазина</v>
      </c>
    </row>
    <row r="9321" spans="1:7" x14ac:dyDescent="0.25">
      <c r="A9321" t="s">
        <v>26937</v>
      </c>
      <c r="B9321" t="s">
        <v>29594</v>
      </c>
      <c r="C9321" t="s">
        <v>798</v>
      </c>
      <c r="D9321" t="s">
        <v>799</v>
      </c>
      <c r="E9321" t="s">
        <v>800</v>
      </c>
      <c r="F9321" t="s">
        <v>29595</v>
      </c>
      <c r="G9321" s="2" t="str">
        <f>HYPERLINK("https://probpalata.gov.ru/files/ЮЛ780300308200575.jpeg","Скачать индивидуальный QR-код магазина")</f>
        <v>Скачать индивидуальный QR-код магазина</v>
      </c>
    </row>
    <row r="9322" spans="1:7" x14ac:dyDescent="0.25">
      <c r="A9322" t="s">
        <v>26937</v>
      </c>
      <c r="B9322" t="s">
        <v>29596</v>
      </c>
      <c r="C9322" t="s">
        <v>798</v>
      </c>
      <c r="D9322" t="s">
        <v>799</v>
      </c>
      <c r="E9322" t="s">
        <v>800</v>
      </c>
      <c r="F9322" t="s">
        <v>29597</v>
      </c>
      <c r="G9322" s="2" t="str">
        <f>HYPERLINK("https://probpalata.gov.ru/files/ЮЛ780300308200592.jpeg","Скачать индивидуальный QR-код магазина")</f>
        <v>Скачать индивидуальный QR-код магазина</v>
      </c>
    </row>
    <row r="9323" spans="1:7" x14ac:dyDescent="0.25">
      <c r="A9323" t="s">
        <v>26937</v>
      </c>
      <c r="B9323" t="s">
        <v>29598</v>
      </c>
      <c r="C9323" t="s">
        <v>798</v>
      </c>
      <c r="D9323" t="s">
        <v>799</v>
      </c>
      <c r="E9323" t="s">
        <v>800</v>
      </c>
      <c r="F9323" t="s">
        <v>29599</v>
      </c>
      <c r="G9323" s="2" t="str">
        <f>HYPERLINK("https://probpalata.gov.ru/files/ЮЛ780300308200593.jpeg","Скачать индивидуальный QR-код магазина")</f>
        <v>Скачать индивидуальный QR-код магазина</v>
      </c>
    </row>
    <row r="9324" spans="1:7" x14ac:dyDescent="0.25">
      <c r="A9324" t="s">
        <v>26937</v>
      </c>
      <c r="B9324" t="s">
        <v>29600</v>
      </c>
      <c r="C9324" t="s">
        <v>798</v>
      </c>
      <c r="D9324" t="s">
        <v>799</v>
      </c>
      <c r="E9324" t="s">
        <v>800</v>
      </c>
      <c r="F9324" t="s">
        <v>29601</v>
      </c>
      <c r="G9324" s="2" t="str">
        <f>HYPERLINK("https://probpalata.gov.ru/files/ЮЛ780300308200611.jpeg","Скачать индивидуальный QR-код магазина")</f>
        <v>Скачать индивидуальный QR-код магазина</v>
      </c>
    </row>
    <row r="9325" spans="1:7" x14ac:dyDescent="0.25">
      <c r="A9325" t="s">
        <v>26937</v>
      </c>
      <c r="B9325" t="s">
        <v>29602</v>
      </c>
      <c r="C9325" t="s">
        <v>798</v>
      </c>
      <c r="D9325" t="s">
        <v>799</v>
      </c>
      <c r="E9325" t="s">
        <v>800</v>
      </c>
      <c r="F9325" t="s">
        <v>29603</v>
      </c>
      <c r="G9325" s="2" t="str">
        <f>HYPERLINK("https://probpalata.gov.ru/files/ЮЛ780300308200615.jpeg","Скачать индивидуальный QR-код магазина")</f>
        <v>Скачать индивидуальный QR-код магазина</v>
      </c>
    </row>
    <row r="9326" spans="1:7" x14ac:dyDescent="0.25">
      <c r="A9326" t="s">
        <v>26937</v>
      </c>
      <c r="B9326" t="s">
        <v>29604</v>
      </c>
      <c r="C9326" t="s">
        <v>798</v>
      </c>
      <c r="D9326" t="s">
        <v>799</v>
      </c>
      <c r="E9326" t="s">
        <v>800</v>
      </c>
      <c r="F9326" t="s">
        <v>29605</v>
      </c>
      <c r="G9326" s="2" t="str">
        <f>HYPERLINK("https://probpalata.gov.ru/files/ЮЛ780300308200622.jpeg","Скачать индивидуальный QR-код магазина")</f>
        <v>Скачать индивидуальный QR-код магазина</v>
      </c>
    </row>
    <row r="9327" spans="1:7" x14ac:dyDescent="0.25">
      <c r="A9327" t="s">
        <v>26937</v>
      </c>
      <c r="B9327" t="s">
        <v>29606</v>
      </c>
      <c r="C9327" t="s">
        <v>798</v>
      </c>
      <c r="D9327" t="s">
        <v>799</v>
      </c>
      <c r="E9327" t="s">
        <v>800</v>
      </c>
      <c r="F9327" t="s">
        <v>29607</v>
      </c>
      <c r="G9327" s="2" t="str">
        <f>HYPERLINK("https://probpalata.gov.ru/files/ЮЛ780300308200725.jpeg","Скачать индивидуальный QR-код магазина")</f>
        <v>Скачать индивидуальный QR-код магазина</v>
      </c>
    </row>
    <row r="9328" spans="1:7" x14ac:dyDescent="0.25">
      <c r="A9328" t="s">
        <v>26937</v>
      </c>
      <c r="B9328" t="s">
        <v>29608</v>
      </c>
      <c r="C9328" t="s">
        <v>798</v>
      </c>
      <c r="D9328" t="s">
        <v>799</v>
      </c>
      <c r="E9328" t="s">
        <v>800</v>
      </c>
      <c r="F9328" t="s">
        <v>29609</v>
      </c>
      <c r="G9328" s="2" t="str">
        <f>HYPERLINK("https://probpalata.gov.ru/files/ЮЛ780300308200726.jpeg","Скачать индивидуальный QR-код магазина")</f>
        <v>Скачать индивидуальный QR-код магазина</v>
      </c>
    </row>
    <row r="9329" spans="1:7" x14ac:dyDescent="0.25">
      <c r="A9329" t="s">
        <v>26937</v>
      </c>
      <c r="B9329" t="s">
        <v>29610</v>
      </c>
      <c r="C9329" t="s">
        <v>798</v>
      </c>
      <c r="D9329" t="s">
        <v>799</v>
      </c>
      <c r="E9329" t="s">
        <v>800</v>
      </c>
      <c r="F9329" t="s">
        <v>29611</v>
      </c>
      <c r="G9329" s="2" t="str">
        <f>HYPERLINK("https://probpalata.gov.ru/files/ЮЛ780300308200729.jpeg","Скачать индивидуальный QR-код магазина")</f>
        <v>Скачать индивидуальный QR-код магазина</v>
      </c>
    </row>
    <row r="9330" spans="1:7" x14ac:dyDescent="0.25">
      <c r="A9330" t="s">
        <v>26937</v>
      </c>
      <c r="B9330" t="s">
        <v>29612</v>
      </c>
      <c r="C9330" t="s">
        <v>798</v>
      </c>
      <c r="D9330" t="s">
        <v>799</v>
      </c>
      <c r="E9330" t="s">
        <v>800</v>
      </c>
      <c r="F9330" t="s">
        <v>29613</v>
      </c>
      <c r="G9330" s="2" t="str">
        <f>HYPERLINK("https://probpalata.gov.ru/files/ЮЛ780300308200732.jpeg","Скачать индивидуальный QR-код магазина")</f>
        <v>Скачать индивидуальный QR-код магазина</v>
      </c>
    </row>
    <row r="9331" spans="1:7" x14ac:dyDescent="0.25">
      <c r="A9331" t="s">
        <v>26937</v>
      </c>
      <c r="B9331" t="s">
        <v>29614</v>
      </c>
      <c r="C9331" t="s">
        <v>798</v>
      </c>
      <c r="D9331" t="s">
        <v>799</v>
      </c>
      <c r="E9331" t="s">
        <v>800</v>
      </c>
      <c r="F9331" t="s">
        <v>29615</v>
      </c>
      <c r="G9331" s="2" t="str">
        <f>HYPERLINK("https://probpalata.gov.ru/files/ЮЛ780300308200775.jpeg","Скачать индивидуальный QR-код магазина")</f>
        <v>Скачать индивидуальный QR-код магазина</v>
      </c>
    </row>
    <row r="9332" spans="1:7" x14ac:dyDescent="0.25">
      <c r="A9332" t="s">
        <v>26937</v>
      </c>
      <c r="B9332" t="s">
        <v>29616</v>
      </c>
      <c r="C9332" t="s">
        <v>798</v>
      </c>
      <c r="D9332" t="s">
        <v>799</v>
      </c>
      <c r="E9332" t="s">
        <v>800</v>
      </c>
      <c r="F9332" t="s">
        <v>29617</v>
      </c>
      <c r="G9332" s="2" t="str">
        <f>HYPERLINK("https://probpalata.gov.ru/files/ЮЛ780300308200779.jpeg","Скачать индивидуальный QR-код магазина")</f>
        <v>Скачать индивидуальный QR-код магазина</v>
      </c>
    </row>
    <row r="9333" spans="1:7" x14ac:dyDescent="0.25">
      <c r="A9333" t="s">
        <v>26937</v>
      </c>
      <c r="B9333" t="s">
        <v>29618</v>
      </c>
      <c r="C9333" t="s">
        <v>798</v>
      </c>
      <c r="D9333" t="s">
        <v>799</v>
      </c>
      <c r="E9333" t="s">
        <v>800</v>
      </c>
      <c r="F9333" t="s">
        <v>29619</v>
      </c>
      <c r="G9333" s="2" t="str">
        <f>HYPERLINK("https://probpalata.gov.ru/files/ЮЛ780300308200781.jpeg","Скачать индивидуальный QR-код магазина")</f>
        <v>Скачать индивидуальный QR-код магазина</v>
      </c>
    </row>
    <row r="9334" spans="1:7" x14ac:dyDescent="0.25">
      <c r="A9334" t="s">
        <v>26937</v>
      </c>
      <c r="B9334" t="s">
        <v>29620</v>
      </c>
      <c r="C9334" t="s">
        <v>798</v>
      </c>
      <c r="D9334" t="s">
        <v>799</v>
      </c>
      <c r="E9334" t="s">
        <v>800</v>
      </c>
      <c r="F9334" t="s">
        <v>29621</v>
      </c>
      <c r="G9334" s="2" t="str">
        <f>HYPERLINK("https://probpalata.gov.ru/files/ЮЛ780300308200783.jpeg","Скачать индивидуальный QR-код магазина")</f>
        <v>Скачать индивидуальный QR-код магазина</v>
      </c>
    </row>
    <row r="9335" spans="1:7" x14ac:dyDescent="0.25">
      <c r="A9335" t="s">
        <v>26937</v>
      </c>
      <c r="B9335" t="s">
        <v>29622</v>
      </c>
      <c r="C9335" t="s">
        <v>798</v>
      </c>
      <c r="D9335" t="s">
        <v>799</v>
      </c>
      <c r="E9335" t="s">
        <v>800</v>
      </c>
      <c r="F9335" t="s">
        <v>29623</v>
      </c>
      <c r="G9335" s="2" t="str">
        <f>HYPERLINK("https://probpalata.gov.ru/files/ЮЛ780300308200815.jpeg","Скачать индивидуальный QR-код магазина")</f>
        <v>Скачать индивидуальный QR-код магазина</v>
      </c>
    </row>
    <row r="9336" spans="1:7" x14ac:dyDescent="0.25">
      <c r="A9336" t="s">
        <v>26937</v>
      </c>
      <c r="B9336" t="s">
        <v>29624</v>
      </c>
      <c r="C9336" t="s">
        <v>798</v>
      </c>
      <c r="D9336" t="s">
        <v>799</v>
      </c>
      <c r="E9336" t="s">
        <v>800</v>
      </c>
      <c r="F9336" t="s">
        <v>29625</v>
      </c>
      <c r="G9336" s="2" t="str">
        <f>HYPERLINK("https://probpalata.gov.ru/files/ЮЛ780300308200998.jpeg","Скачать индивидуальный QR-код магазина")</f>
        <v>Скачать индивидуальный QR-код магазина</v>
      </c>
    </row>
    <row r="9337" spans="1:7" x14ac:dyDescent="0.25">
      <c r="A9337" t="s">
        <v>26937</v>
      </c>
      <c r="B9337" t="s">
        <v>29626</v>
      </c>
      <c r="C9337" t="s">
        <v>798</v>
      </c>
      <c r="D9337" t="s">
        <v>799</v>
      </c>
      <c r="E9337" t="s">
        <v>800</v>
      </c>
      <c r="F9337" t="s">
        <v>29627</v>
      </c>
      <c r="G9337" s="2" t="str">
        <f>HYPERLINK("https://probpalata.gov.ru/files/ЮЛ780300308201014.jpeg","Скачать индивидуальный QR-код магазина")</f>
        <v>Скачать индивидуальный QR-код магазина</v>
      </c>
    </row>
    <row r="9338" spans="1:7" x14ac:dyDescent="0.25">
      <c r="A9338" t="s">
        <v>26937</v>
      </c>
      <c r="B9338" t="s">
        <v>29628</v>
      </c>
      <c r="C9338" t="s">
        <v>798</v>
      </c>
      <c r="D9338" t="s">
        <v>799</v>
      </c>
      <c r="E9338" t="s">
        <v>800</v>
      </c>
      <c r="F9338" t="s">
        <v>29629</v>
      </c>
      <c r="G9338" s="2" t="str">
        <f>HYPERLINK("https://probpalata.gov.ru/files/ЮЛ780300308201020.jpeg","Скачать индивидуальный QR-код магазина")</f>
        <v>Скачать индивидуальный QR-код магазина</v>
      </c>
    </row>
    <row r="9339" spans="1:7" x14ac:dyDescent="0.25">
      <c r="A9339" t="s">
        <v>26937</v>
      </c>
      <c r="B9339" t="s">
        <v>29630</v>
      </c>
      <c r="C9339" t="s">
        <v>798</v>
      </c>
      <c r="D9339" t="s">
        <v>799</v>
      </c>
      <c r="E9339" t="s">
        <v>800</v>
      </c>
      <c r="F9339" t="s">
        <v>29631</v>
      </c>
      <c r="G9339" s="2" t="str">
        <f>HYPERLINK("https://probpalata.gov.ru/files/ЮЛ780300308201048.jpeg","Скачать индивидуальный QR-код магазина")</f>
        <v>Скачать индивидуальный QR-код магазина</v>
      </c>
    </row>
    <row r="9340" spans="1:7" x14ac:dyDescent="0.25">
      <c r="A9340" t="s">
        <v>26937</v>
      </c>
      <c r="B9340" t="s">
        <v>29632</v>
      </c>
      <c r="C9340" t="s">
        <v>798</v>
      </c>
      <c r="D9340" t="s">
        <v>799</v>
      </c>
      <c r="E9340" t="s">
        <v>800</v>
      </c>
      <c r="F9340" t="s">
        <v>29633</v>
      </c>
      <c r="G9340" s="2" t="str">
        <f>HYPERLINK("https://probpalata.gov.ru/files/ЮЛ780300308201051.jpeg","Скачать индивидуальный QR-код магазина")</f>
        <v>Скачать индивидуальный QR-код магазина</v>
      </c>
    </row>
    <row r="9341" spans="1:7" x14ac:dyDescent="0.25">
      <c r="A9341" t="s">
        <v>26937</v>
      </c>
      <c r="B9341" t="s">
        <v>29634</v>
      </c>
      <c r="C9341" t="s">
        <v>798</v>
      </c>
      <c r="D9341" t="s">
        <v>799</v>
      </c>
      <c r="E9341" t="s">
        <v>800</v>
      </c>
      <c r="F9341" t="s">
        <v>29635</v>
      </c>
      <c r="G9341" s="2" t="str">
        <f>HYPERLINK("https://probpalata.gov.ru/files/ЮЛ780300308201081.jpeg","Скачать индивидуальный QR-код магазина")</f>
        <v>Скачать индивидуальный QR-код магазина</v>
      </c>
    </row>
    <row r="9342" spans="1:7" x14ac:dyDescent="0.25">
      <c r="A9342" t="s">
        <v>26937</v>
      </c>
      <c r="B9342" t="s">
        <v>29636</v>
      </c>
      <c r="C9342" t="s">
        <v>798</v>
      </c>
      <c r="D9342" t="s">
        <v>799</v>
      </c>
      <c r="E9342" t="s">
        <v>800</v>
      </c>
      <c r="F9342" t="s">
        <v>29637</v>
      </c>
      <c r="G9342" s="2" t="str">
        <f>HYPERLINK("https://probpalata.gov.ru/files/ЮЛ780300308201083.jpeg","Скачать индивидуальный QR-код магазина")</f>
        <v>Скачать индивидуальный QR-код магазина</v>
      </c>
    </row>
    <row r="9343" spans="1:7" x14ac:dyDescent="0.25">
      <c r="A9343" t="s">
        <v>26937</v>
      </c>
      <c r="B9343" t="s">
        <v>29638</v>
      </c>
      <c r="C9343" t="s">
        <v>798</v>
      </c>
      <c r="D9343" t="s">
        <v>799</v>
      </c>
      <c r="E9343" t="s">
        <v>800</v>
      </c>
      <c r="F9343" t="s">
        <v>29639</v>
      </c>
      <c r="G9343" s="2" t="str">
        <f>HYPERLINK("https://probpalata.gov.ru/files/ЮЛ780300308201084.jpeg","Скачать индивидуальный QR-код магазина")</f>
        <v>Скачать индивидуальный QR-код магазина</v>
      </c>
    </row>
    <row r="9344" spans="1:7" x14ac:dyDescent="0.25">
      <c r="A9344" t="s">
        <v>26937</v>
      </c>
      <c r="B9344" t="s">
        <v>29640</v>
      </c>
      <c r="C9344" t="s">
        <v>798</v>
      </c>
      <c r="D9344" t="s">
        <v>799</v>
      </c>
      <c r="E9344" t="s">
        <v>800</v>
      </c>
      <c r="F9344" t="s">
        <v>29641</v>
      </c>
      <c r="G9344" s="2" t="str">
        <f>HYPERLINK("https://probpalata.gov.ru/files/ЮЛ780300308201089.jpeg","Скачать индивидуальный QR-код магазина")</f>
        <v>Скачать индивидуальный QR-код магазина</v>
      </c>
    </row>
    <row r="9345" spans="1:7" x14ac:dyDescent="0.25">
      <c r="A9345" t="s">
        <v>26937</v>
      </c>
      <c r="B9345" t="s">
        <v>29642</v>
      </c>
      <c r="C9345" t="s">
        <v>798</v>
      </c>
      <c r="D9345" t="s">
        <v>799</v>
      </c>
      <c r="E9345" t="s">
        <v>800</v>
      </c>
      <c r="F9345" t="s">
        <v>29643</v>
      </c>
      <c r="G9345" s="2" t="str">
        <f>HYPERLINK("https://probpalata.gov.ru/files/ЮЛ780300308201108.jpeg","Скачать индивидуальный QR-код магазина")</f>
        <v>Скачать индивидуальный QR-код магазина</v>
      </c>
    </row>
    <row r="9346" spans="1:7" x14ac:dyDescent="0.25">
      <c r="A9346" t="s">
        <v>26937</v>
      </c>
      <c r="B9346" t="s">
        <v>29644</v>
      </c>
      <c r="C9346" t="s">
        <v>798</v>
      </c>
      <c r="D9346" t="s">
        <v>799</v>
      </c>
      <c r="E9346" t="s">
        <v>800</v>
      </c>
      <c r="F9346" t="s">
        <v>29645</v>
      </c>
      <c r="G9346" s="2" t="str">
        <f>HYPERLINK("https://probpalata.gov.ru/files/ЮЛ780300308201128.jpeg","Скачать индивидуальный QR-код магазина")</f>
        <v>Скачать индивидуальный QR-код магазина</v>
      </c>
    </row>
    <row r="9347" spans="1:7" x14ac:dyDescent="0.25">
      <c r="A9347" t="s">
        <v>26937</v>
      </c>
      <c r="B9347" t="s">
        <v>29646</v>
      </c>
      <c r="C9347" t="s">
        <v>798</v>
      </c>
      <c r="D9347" t="s">
        <v>799</v>
      </c>
      <c r="E9347" t="s">
        <v>800</v>
      </c>
      <c r="F9347" t="s">
        <v>29647</v>
      </c>
      <c r="G9347" s="2" t="str">
        <f>HYPERLINK("https://probpalata.gov.ru/files/ЮЛ780300308201138.jpeg","Скачать индивидуальный QR-код магазина")</f>
        <v>Скачать индивидуальный QR-код магазина</v>
      </c>
    </row>
    <row r="9348" spans="1:7" x14ac:dyDescent="0.25">
      <c r="A9348" t="s">
        <v>26937</v>
      </c>
      <c r="B9348" t="s">
        <v>29648</v>
      </c>
      <c r="C9348" t="s">
        <v>798</v>
      </c>
      <c r="D9348" t="s">
        <v>799</v>
      </c>
      <c r="E9348" t="s">
        <v>800</v>
      </c>
      <c r="F9348" t="s">
        <v>29649</v>
      </c>
      <c r="G9348" s="2" t="str">
        <f>HYPERLINK("https://probpalata.gov.ru/files/ЮЛ780300308201140.jpeg","Скачать индивидуальный QR-код магазина")</f>
        <v>Скачать индивидуальный QR-код магазина</v>
      </c>
    </row>
    <row r="9349" spans="1:7" x14ac:dyDescent="0.25">
      <c r="A9349" t="s">
        <v>26937</v>
      </c>
      <c r="B9349" t="s">
        <v>29650</v>
      </c>
      <c r="C9349" t="s">
        <v>798</v>
      </c>
      <c r="D9349" t="s">
        <v>799</v>
      </c>
      <c r="E9349" t="s">
        <v>800</v>
      </c>
      <c r="F9349" t="s">
        <v>29651</v>
      </c>
      <c r="G9349" s="2" t="str">
        <f>HYPERLINK("https://probpalata.gov.ru/files/ЮЛ780300308201153.jpeg","Скачать индивидуальный QR-код магазина")</f>
        <v>Скачать индивидуальный QR-код магазина</v>
      </c>
    </row>
    <row r="9350" spans="1:7" x14ac:dyDescent="0.25">
      <c r="A9350" t="s">
        <v>26937</v>
      </c>
      <c r="B9350" t="s">
        <v>29652</v>
      </c>
      <c r="C9350" t="s">
        <v>798</v>
      </c>
      <c r="D9350" t="s">
        <v>799</v>
      </c>
      <c r="E9350" t="s">
        <v>800</v>
      </c>
      <c r="F9350" t="s">
        <v>29653</v>
      </c>
      <c r="G9350" s="2" t="str">
        <f>HYPERLINK("https://probpalata.gov.ru/files/ЮЛ780300308201155.jpeg","Скачать индивидуальный QR-код магазина")</f>
        <v>Скачать индивидуальный QR-код магазина</v>
      </c>
    </row>
    <row r="9351" spans="1:7" x14ac:dyDescent="0.25">
      <c r="A9351" t="s">
        <v>26937</v>
      </c>
      <c r="B9351" t="s">
        <v>29654</v>
      </c>
      <c r="C9351" t="s">
        <v>798</v>
      </c>
      <c r="D9351" t="s">
        <v>799</v>
      </c>
      <c r="E9351" t="s">
        <v>800</v>
      </c>
      <c r="F9351" t="s">
        <v>29655</v>
      </c>
      <c r="G9351" s="2" t="str">
        <f>HYPERLINK("https://probpalata.gov.ru/files/ЮЛ780300308201156.jpeg","Скачать индивидуальный QR-код магазина")</f>
        <v>Скачать индивидуальный QR-код магазина</v>
      </c>
    </row>
    <row r="9352" spans="1:7" x14ac:dyDescent="0.25">
      <c r="A9352" t="s">
        <v>26937</v>
      </c>
      <c r="B9352" t="s">
        <v>29656</v>
      </c>
      <c r="C9352" t="s">
        <v>798</v>
      </c>
      <c r="D9352" t="s">
        <v>799</v>
      </c>
      <c r="E9352" t="s">
        <v>800</v>
      </c>
      <c r="F9352" t="s">
        <v>29657</v>
      </c>
      <c r="G9352" s="2" t="str">
        <f>HYPERLINK("https://probpalata.gov.ru/files/ЮЛ780300308201162.jpeg","Скачать индивидуальный QR-код магазина")</f>
        <v>Скачать индивидуальный QR-код магазина</v>
      </c>
    </row>
    <row r="9353" spans="1:7" x14ac:dyDescent="0.25">
      <c r="A9353" t="s">
        <v>26937</v>
      </c>
      <c r="B9353" t="s">
        <v>29658</v>
      </c>
      <c r="C9353" t="s">
        <v>798</v>
      </c>
      <c r="D9353" t="s">
        <v>799</v>
      </c>
      <c r="E9353" t="s">
        <v>800</v>
      </c>
      <c r="F9353" t="s">
        <v>29659</v>
      </c>
      <c r="G9353" s="2" t="str">
        <f>HYPERLINK("https://probpalata.gov.ru/files/ЮЛ780300308201170.jpeg","Скачать индивидуальный QR-код магазина")</f>
        <v>Скачать индивидуальный QR-код магазина</v>
      </c>
    </row>
    <row r="9354" spans="1:7" x14ac:dyDescent="0.25">
      <c r="A9354" t="s">
        <v>26937</v>
      </c>
      <c r="B9354" t="s">
        <v>29660</v>
      </c>
      <c r="C9354" t="s">
        <v>798</v>
      </c>
      <c r="D9354" t="s">
        <v>799</v>
      </c>
      <c r="E9354" t="s">
        <v>800</v>
      </c>
      <c r="F9354" t="s">
        <v>29661</v>
      </c>
      <c r="G9354" s="2" t="str">
        <f>HYPERLINK("https://probpalata.gov.ru/files/ЮЛ780300308201172.jpeg","Скачать индивидуальный QR-код магазина")</f>
        <v>Скачать индивидуальный QR-код магазина</v>
      </c>
    </row>
    <row r="9355" spans="1:7" x14ac:dyDescent="0.25">
      <c r="A9355" t="s">
        <v>26937</v>
      </c>
      <c r="B9355" t="s">
        <v>29662</v>
      </c>
      <c r="C9355" t="s">
        <v>798</v>
      </c>
      <c r="D9355" t="s">
        <v>799</v>
      </c>
      <c r="E9355" t="s">
        <v>800</v>
      </c>
      <c r="F9355" t="s">
        <v>29663</v>
      </c>
      <c r="G9355" s="2" t="str">
        <f>HYPERLINK("https://probpalata.gov.ru/files/ЮЛ780300308201174.jpeg","Скачать индивидуальный QR-код магазина")</f>
        <v>Скачать индивидуальный QR-код магазина</v>
      </c>
    </row>
    <row r="9356" spans="1:7" x14ac:dyDescent="0.25">
      <c r="A9356" t="s">
        <v>26937</v>
      </c>
      <c r="B9356" t="s">
        <v>29664</v>
      </c>
      <c r="C9356" t="s">
        <v>798</v>
      </c>
      <c r="D9356" t="s">
        <v>799</v>
      </c>
      <c r="E9356" t="s">
        <v>800</v>
      </c>
      <c r="F9356" t="s">
        <v>29665</v>
      </c>
      <c r="G9356" s="2" t="str">
        <f>HYPERLINK("https://probpalata.gov.ru/files/ЮЛ780300308201188.jpeg","Скачать индивидуальный QR-код магазина")</f>
        <v>Скачать индивидуальный QR-код магазина</v>
      </c>
    </row>
    <row r="9357" spans="1:7" x14ac:dyDescent="0.25">
      <c r="A9357" t="s">
        <v>26937</v>
      </c>
      <c r="B9357" t="s">
        <v>29666</v>
      </c>
      <c r="C9357" t="s">
        <v>798</v>
      </c>
      <c r="D9357" t="s">
        <v>799</v>
      </c>
      <c r="E9357" t="s">
        <v>800</v>
      </c>
      <c r="F9357" t="s">
        <v>29667</v>
      </c>
      <c r="G9357" s="2" t="str">
        <f>HYPERLINK("https://probpalata.gov.ru/files/ЮЛ780300308201191.jpeg","Скачать индивидуальный QR-код магазина")</f>
        <v>Скачать индивидуальный QR-код магазина</v>
      </c>
    </row>
    <row r="9358" spans="1:7" x14ac:dyDescent="0.25">
      <c r="A9358" t="s">
        <v>26937</v>
      </c>
      <c r="B9358" t="s">
        <v>29668</v>
      </c>
      <c r="C9358" t="s">
        <v>798</v>
      </c>
      <c r="D9358" t="s">
        <v>799</v>
      </c>
      <c r="E9358" t="s">
        <v>800</v>
      </c>
      <c r="F9358" t="s">
        <v>29669</v>
      </c>
      <c r="G9358" s="2" t="str">
        <f>HYPERLINK("https://probpalata.gov.ru/files/ЮЛ780300308201197.jpeg","Скачать индивидуальный QR-код магазина")</f>
        <v>Скачать индивидуальный QR-код магазина</v>
      </c>
    </row>
    <row r="9359" spans="1:7" x14ac:dyDescent="0.25">
      <c r="A9359" t="s">
        <v>26937</v>
      </c>
      <c r="B9359" t="s">
        <v>29670</v>
      </c>
      <c r="C9359" t="s">
        <v>798</v>
      </c>
      <c r="D9359" t="s">
        <v>799</v>
      </c>
      <c r="E9359" t="s">
        <v>800</v>
      </c>
      <c r="F9359" t="s">
        <v>29671</v>
      </c>
      <c r="G9359" s="2" t="str">
        <f>HYPERLINK("https://probpalata.gov.ru/files/ЮЛ780300308201200.jpeg","Скачать индивидуальный QR-код магазина")</f>
        <v>Скачать индивидуальный QR-код магазина</v>
      </c>
    </row>
    <row r="9360" spans="1:7" x14ac:dyDescent="0.25">
      <c r="A9360" t="s">
        <v>26937</v>
      </c>
      <c r="B9360" t="s">
        <v>29672</v>
      </c>
      <c r="C9360" t="s">
        <v>798</v>
      </c>
      <c r="D9360" t="s">
        <v>799</v>
      </c>
      <c r="E9360" t="s">
        <v>800</v>
      </c>
      <c r="F9360" t="s">
        <v>29673</v>
      </c>
      <c r="G9360" s="2" t="str">
        <f>HYPERLINK("https://probpalata.gov.ru/files/ЮЛ780300308201205.jpeg","Скачать индивидуальный QR-код магазина")</f>
        <v>Скачать индивидуальный QR-код магазина</v>
      </c>
    </row>
    <row r="9361" spans="1:7" x14ac:dyDescent="0.25">
      <c r="A9361" t="s">
        <v>26937</v>
      </c>
      <c r="B9361" t="s">
        <v>29674</v>
      </c>
      <c r="C9361" t="s">
        <v>798</v>
      </c>
      <c r="D9361" t="s">
        <v>799</v>
      </c>
      <c r="E9361" t="s">
        <v>800</v>
      </c>
      <c r="F9361" t="s">
        <v>29675</v>
      </c>
      <c r="G9361" s="2" t="str">
        <f>HYPERLINK("https://probpalata.gov.ru/files/ЮЛ780300308201208.jpeg","Скачать индивидуальный QR-код магазина")</f>
        <v>Скачать индивидуальный QR-код магазина</v>
      </c>
    </row>
    <row r="9362" spans="1:7" x14ac:dyDescent="0.25">
      <c r="A9362" t="s">
        <v>26937</v>
      </c>
      <c r="B9362" t="s">
        <v>29676</v>
      </c>
      <c r="C9362" t="s">
        <v>798</v>
      </c>
      <c r="D9362" t="s">
        <v>799</v>
      </c>
      <c r="E9362" t="s">
        <v>800</v>
      </c>
      <c r="F9362" t="s">
        <v>29677</v>
      </c>
      <c r="G9362" s="2" t="str">
        <f>HYPERLINK("https://probpalata.gov.ru/files/ЮЛ780300308201212.jpeg","Скачать индивидуальный QR-код магазина")</f>
        <v>Скачать индивидуальный QR-код магазина</v>
      </c>
    </row>
    <row r="9363" spans="1:7" x14ac:dyDescent="0.25">
      <c r="A9363" t="s">
        <v>26937</v>
      </c>
      <c r="B9363" t="s">
        <v>29678</v>
      </c>
      <c r="C9363" t="s">
        <v>798</v>
      </c>
      <c r="D9363" t="s">
        <v>799</v>
      </c>
      <c r="E9363" t="s">
        <v>800</v>
      </c>
      <c r="F9363" t="s">
        <v>29679</v>
      </c>
      <c r="G9363" s="2" t="str">
        <f>HYPERLINK("https://probpalata.gov.ru/files/ЮЛ780300308201214.jpeg","Скачать индивидуальный QR-код магазина")</f>
        <v>Скачать индивидуальный QR-код магазина</v>
      </c>
    </row>
    <row r="9364" spans="1:7" x14ac:dyDescent="0.25">
      <c r="A9364" t="s">
        <v>26937</v>
      </c>
      <c r="B9364" t="s">
        <v>29680</v>
      </c>
      <c r="C9364" t="s">
        <v>798</v>
      </c>
      <c r="D9364" t="s">
        <v>799</v>
      </c>
      <c r="E9364" t="s">
        <v>800</v>
      </c>
      <c r="F9364" t="s">
        <v>29681</v>
      </c>
      <c r="G9364" s="2" t="str">
        <f>HYPERLINK("https://probpalata.gov.ru/files/ЮЛ780300308201221.jpeg","Скачать индивидуальный QR-код магазина")</f>
        <v>Скачать индивидуальный QR-код магазина</v>
      </c>
    </row>
    <row r="9365" spans="1:7" x14ac:dyDescent="0.25">
      <c r="A9365" t="s">
        <v>26937</v>
      </c>
      <c r="B9365" t="s">
        <v>29682</v>
      </c>
      <c r="C9365" t="s">
        <v>798</v>
      </c>
      <c r="D9365" t="s">
        <v>799</v>
      </c>
      <c r="E9365" t="s">
        <v>800</v>
      </c>
      <c r="F9365" t="s">
        <v>29683</v>
      </c>
      <c r="G9365" s="2" t="str">
        <f>HYPERLINK("https://probpalata.gov.ru/files/ЮЛ780300308201223.jpeg","Скачать индивидуальный QR-код магазина")</f>
        <v>Скачать индивидуальный QR-код магазина</v>
      </c>
    </row>
    <row r="9366" spans="1:7" x14ac:dyDescent="0.25">
      <c r="A9366" t="s">
        <v>26937</v>
      </c>
      <c r="B9366" t="s">
        <v>29684</v>
      </c>
      <c r="C9366" t="s">
        <v>9483</v>
      </c>
      <c r="D9366" t="s">
        <v>9484</v>
      </c>
      <c r="E9366" t="s">
        <v>9485</v>
      </c>
      <c r="F9366" t="s">
        <v>29685</v>
      </c>
      <c r="G9366" s="2" t="str">
        <f>HYPERLINK("https://probpalata.gov.ru/files/ЮЛ780300379600007.jpeg","Скачать индивидуальный QR-код магазина")</f>
        <v>Скачать индивидуальный QR-код магазина</v>
      </c>
    </row>
    <row r="9367" spans="1:7" x14ac:dyDescent="0.25">
      <c r="A9367" t="s">
        <v>26937</v>
      </c>
      <c r="B9367" t="s">
        <v>29528</v>
      </c>
      <c r="C9367" t="s">
        <v>9483</v>
      </c>
      <c r="D9367" t="s">
        <v>9484</v>
      </c>
      <c r="E9367" t="s">
        <v>9485</v>
      </c>
      <c r="F9367" t="s">
        <v>29686</v>
      </c>
      <c r="G9367" s="2" t="str">
        <f>HYPERLINK("https://probpalata.gov.ru/files/ЮЛ780300379600008.jpeg","Скачать индивидуальный QR-код магазина")</f>
        <v>Скачать индивидуальный QR-код магазина</v>
      </c>
    </row>
    <row r="9368" spans="1:7" x14ac:dyDescent="0.25">
      <c r="A9368" t="s">
        <v>26937</v>
      </c>
      <c r="B9368" t="s">
        <v>29687</v>
      </c>
      <c r="C9368" t="s">
        <v>9483</v>
      </c>
      <c r="D9368" t="s">
        <v>9484</v>
      </c>
      <c r="E9368" t="s">
        <v>9485</v>
      </c>
      <c r="F9368" t="s">
        <v>29688</v>
      </c>
      <c r="G9368" s="2" t="str">
        <f>HYPERLINK("https://probpalata.gov.ru/files/ЮЛ780300379600009.jpeg","Скачать индивидуальный QR-код магазина")</f>
        <v>Скачать индивидуальный QR-код магазина</v>
      </c>
    </row>
    <row r="9369" spans="1:7" x14ac:dyDescent="0.25">
      <c r="A9369" t="s">
        <v>26937</v>
      </c>
      <c r="B9369" t="s">
        <v>29689</v>
      </c>
      <c r="C9369" t="s">
        <v>9483</v>
      </c>
      <c r="D9369" t="s">
        <v>9484</v>
      </c>
      <c r="E9369" t="s">
        <v>9485</v>
      </c>
      <c r="F9369" t="s">
        <v>29690</v>
      </c>
      <c r="G9369" s="2" t="str">
        <f>HYPERLINK("https://probpalata.gov.ru/files/ЮЛ780300379600011.jpeg","Скачать индивидуальный QR-код магазина")</f>
        <v>Скачать индивидуальный QR-код магазина</v>
      </c>
    </row>
    <row r="9370" spans="1:7" x14ac:dyDescent="0.25">
      <c r="A9370" t="s">
        <v>26937</v>
      </c>
      <c r="B9370" t="s">
        <v>29691</v>
      </c>
      <c r="C9370" t="s">
        <v>9483</v>
      </c>
      <c r="D9370" t="s">
        <v>9484</v>
      </c>
      <c r="E9370" t="s">
        <v>9485</v>
      </c>
      <c r="F9370" t="s">
        <v>29692</v>
      </c>
      <c r="G9370" s="2" t="str">
        <f>HYPERLINK("https://probpalata.gov.ru/files/ЮЛ780300379600031.jpeg","Скачать индивидуальный QR-код магазина")</f>
        <v>Скачать индивидуальный QR-код магазина</v>
      </c>
    </row>
    <row r="9371" spans="1:7" x14ac:dyDescent="0.25">
      <c r="A9371" t="s">
        <v>26937</v>
      </c>
      <c r="B9371" t="s">
        <v>29526</v>
      </c>
      <c r="C9371" t="s">
        <v>9483</v>
      </c>
      <c r="D9371" t="s">
        <v>9484</v>
      </c>
      <c r="E9371" t="s">
        <v>9485</v>
      </c>
      <c r="F9371" t="s">
        <v>29693</v>
      </c>
      <c r="G9371" s="2" t="str">
        <f>HYPERLINK("https://probpalata.gov.ru/files/ЮЛ780300379600035.jpeg","Скачать индивидуальный QR-код магазина")</f>
        <v>Скачать индивидуальный QR-код магазина</v>
      </c>
    </row>
    <row r="9372" spans="1:7" x14ac:dyDescent="0.25">
      <c r="A9372" t="s">
        <v>26937</v>
      </c>
      <c r="B9372" t="s">
        <v>29694</v>
      </c>
      <c r="C9372" t="s">
        <v>9483</v>
      </c>
      <c r="D9372" t="s">
        <v>9484</v>
      </c>
      <c r="E9372" t="s">
        <v>9485</v>
      </c>
      <c r="F9372" t="s">
        <v>29695</v>
      </c>
      <c r="G9372" s="2" t="str">
        <f>HYPERLINK("https://probpalata.gov.ru/files/ЮЛ780300379600036.jpeg","Скачать индивидуальный QR-код магазина")</f>
        <v>Скачать индивидуальный QR-код магазина</v>
      </c>
    </row>
    <row r="9373" spans="1:7" x14ac:dyDescent="0.25">
      <c r="A9373" t="s">
        <v>26937</v>
      </c>
      <c r="B9373" t="s">
        <v>29696</v>
      </c>
      <c r="C9373" t="s">
        <v>9483</v>
      </c>
      <c r="D9373" t="s">
        <v>9484</v>
      </c>
      <c r="E9373" t="s">
        <v>9485</v>
      </c>
      <c r="F9373" t="s">
        <v>29697</v>
      </c>
      <c r="G9373" s="2" t="str">
        <f>HYPERLINK("https://probpalata.gov.ru/files/ЮЛ780300379600037.jpeg","Скачать индивидуальный QR-код магазина")</f>
        <v>Скачать индивидуальный QR-код магазина</v>
      </c>
    </row>
    <row r="9374" spans="1:7" x14ac:dyDescent="0.25">
      <c r="A9374" t="s">
        <v>26937</v>
      </c>
      <c r="B9374" t="s">
        <v>29698</v>
      </c>
      <c r="C9374" t="s">
        <v>29699</v>
      </c>
      <c r="D9374" t="s">
        <v>29700</v>
      </c>
      <c r="E9374" t="s">
        <v>29701</v>
      </c>
      <c r="F9374" t="s">
        <v>29702</v>
      </c>
      <c r="G9374" s="2" t="str">
        <f>HYPERLINK("https://probpalata.gov.ru/files/ИП780301608500000.jpeg","Скачать индивидуальный QR-код магазина")</f>
        <v>Скачать индивидуальный QR-код магазина</v>
      </c>
    </row>
    <row r="9375" spans="1:7" x14ac:dyDescent="0.25">
      <c r="A9375" t="s">
        <v>26937</v>
      </c>
      <c r="B9375" t="s">
        <v>29703</v>
      </c>
      <c r="C9375" t="s">
        <v>29704</v>
      </c>
      <c r="D9375" t="s">
        <v>29705</v>
      </c>
      <c r="E9375" t="s">
        <v>29706</v>
      </c>
      <c r="F9375" t="s">
        <v>29707</v>
      </c>
      <c r="G9375" s="2" t="str">
        <f>HYPERLINK("https://probpalata.gov.ru/files/ИП500100806600000.jpeg","Скачать индивидуальный QR-код магазина")</f>
        <v>Скачать индивидуальный QR-код магазина</v>
      </c>
    </row>
    <row r="9376" spans="1:7" x14ac:dyDescent="0.25">
      <c r="A9376" t="s">
        <v>26937</v>
      </c>
      <c r="B9376" t="s">
        <v>29708</v>
      </c>
      <c r="C9376" t="s">
        <v>29704</v>
      </c>
      <c r="D9376" t="s">
        <v>29705</v>
      </c>
      <c r="E9376" t="s">
        <v>29706</v>
      </c>
      <c r="F9376" t="s">
        <v>29709</v>
      </c>
      <c r="G9376" s="2" t="str">
        <f>HYPERLINK("https://probpalata.gov.ru/files/ИП500100806600001.jpeg","Скачать индивидуальный QR-код магазина")</f>
        <v>Скачать индивидуальный QR-код магазина</v>
      </c>
    </row>
    <row r="9377" spans="1:7" x14ac:dyDescent="0.25">
      <c r="A9377" t="s">
        <v>26937</v>
      </c>
      <c r="B9377" t="s">
        <v>29710</v>
      </c>
      <c r="C9377" t="s">
        <v>29704</v>
      </c>
      <c r="D9377" t="s">
        <v>29705</v>
      </c>
      <c r="E9377" t="s">
        <v>29706</v>
      </c>
      <c r="F9377" t="s">
        <v>29711</v>
      </c>
      <c r="G9377" s="2" t="str">
        <f>HYPERLINK("https://probpalata.gov.ru/files/ИП500100806600002.jpeg","Скачать индивидуальный QR-код магазина")</f>
        <v>Скачать индивидуальный QR-код магазина</v>
      </c>
    </row>
    <row r="9378" spans="1:7" x14ac:dyDescent="0.25">
      <c r="A9378" t="s">
        <v>26937</v>
      </c>
      <c r="B9378" t="s">
        <v>29712</v>
      </c>
      <c r="C9378" t="s">
        <v>25674</v>
      </c>
      <c r="D9378" t="s">
        <v>25675</v>
      </c>
      <c r="E9378" t="s">
        <v>25676</v>
      </c>
      <c r="F9378" t="s">
        <v>29713</v>
      </c>
      <c r="G9378" s="2" t="str">
        <f>HYPERLINK("https://probpalata.gov.ru/files/ЮЛ820400992900007.jpeg","Скачать индивидуальный QR-код магазина")</f>
        <v>Скачать индивидуальный QR-код магазина</v>
      </c>
    </row>
    <row r="9379" spans="1:7" x14ac:dyDescent="0.25">
      <c r="A9379" t="s">
        <v>26937</v>
      </c>
      <c r="B9379" t="s">
        <v>29714</v>
      </c>
      <c r="C9379" t="s">
        <v>25681</v>
      </c>
      <c r="D9379" t="s">
        <v>25682</v>
      </c>
      <c r="E9379" t="s">
        <v>25683</v>
      </c>
      <c r="F9379" t="s">
        <v>29715</v>
      </c>
      <c r="G9379" s="2" t="str">
        <f>HYPERLINK("https://probpalata.gov.ru/files/ИП770103624300000.jpeg","Скачать индивидуальный QR-код магазина")</f>
        <v>Скачать индивидуальный QR-код магазина</v>
      </c>
    </row>
    <row r="9380" spans="1:7" x14ac:dyDescent="0.25">
      <c r="A9380" t="s">
        <v>26937</v>
      </c>
      <c r="B9380" t="s">
        <v>29716</v>
      </c>
      <c r="C9380" t="s">
        <v>25782</v>
      </c>
      <c r="D9380" t="s">
        <v>25783</v>
      </c>
      <c r="E9380" t="s">
        <v>25784</v>
      </c>
      <c r="F9380" t="s">
        <v>29717</v>
      </c>
      <c r="G9380" s="2" t="str">
        <f>HYPERLINK("https://probpalata.gov.ru/files/ЮЛ770100490800005.jpeg","Скачать индивидуальный QR-код магазина")</f>
        <v>Скачать индивидуальный QR-код магазина</v>
      </c>
    </row>
    <row r="9381" spans="1:7" x14ac:dyDescent="0.25">
      <c r="A9381" t="s">
        <v>26937</v>
      </c>
      <c r="B9381" t="s">
        <v>29718</v>
      </c>
      <c r="C9381" t="s">
        <v>25838</v>
      </c>
      <c r="D9381" t="s">
        <v>25839</v>
      </c>
      <c r="E9381" t="s">
        <v>25840</v>
      </c>
      <c r="F9381" t="s">
        <v>29719</v>
      </c>
      <c r="G9381" s="2" t="str">
        <f>HYPERLINK("https://probpalata.gov.ru/files/ЮЛ770100068200003.jpeg","Скачать индивидуальный QR-код магазина")</f>
        <v>Скачать индивидуальный QR-код магазина</v>
      </c>
    </row>
    <row r="9382" spans="1:7" x14ac:dyDescent="0.25">
      <c r="A9382" t="s">
        <v>26937</v>
      </c>
      <c r="B9382" t="s">
        <v>29720</v>
      </c>
      <c r="C9382" t="s">
        <v>25888</v>
      </c>
      <c r="D9382" t="s">
        <v>25889</v>
      </c>
      <c r="E9382" t="s">
        <v>25890</v>
      </c>
      <c r="F9382" t="s">
        <v>29721</v>
      </c>
      <c r="G9382" s="2" t="str">
        <f>HYPERLINK("https://probpalata.gov.ru/files/ЮЛ770103167400001.jpeg","Скачать индивидуальный QR-код магазина")</f>
        <v>Скачать индивидуальный QR-код магазина</v>
      </c>
    </row>
    <row r="9383" spans="1:7" x14ac:dyDescent="0.25">
      <c r="A9383" t="s">
        <v>26937</v>
      </c>
      <c r="B9383" t="s">
        <v>29722</v>
      </c>
      <c r="C9383" t="s">
        <v>25909</v>
      </c>
      <c r="D9383" t="s">
        <v>25910</v>
      </c>
      <c r="E9383" t="s">
        <v>25911</v>
      </c>
      <c r="F9383" t="s">
        <v>29723</v>
      </c>
      <c r="G9383" s="2" t="str">
        <f>HYPERLINK("https://probpalata.gov.ru/files/ЮЛ770100382700001.jpeg","Скачать индивидуальный QR-код магазина")</f>
        <v>Скачать индивидуальный QR-код магазина</v>
      </c>
    </row>
    <row r="9384" spans="1:7" x14ac:dyDescent="0.25">
      <c r="A9384" t="s">
        <v>26937</v>
      </c>
      <c r="B9384" t="s">
        <v>28975</v>
      </c>
      <c r="C9384" t="s">
        <v>25909</v>
      </c>
      <c r="D9384" t="s">
        <v>25910</v>
      </c>
      <c r="E9384" t="s">
        <v>25911</v>
      </c>
      <c r="F9384" t="s">
        <v>29724</v>
      </c>
      <c r="G9384" s="2" t="str">
        <f>HYPERLINK("https://probpalata.gov.ru/files/ЮЛ770100382700002.jpeg","Скачать индивидуальный QR-код магазина")</f>
        <v>Скачать индивидуальный QR-код магазина</v>
      </c>
    </row>
    <row r="9385" spans="1:7" x14ac:dyDescent="0.25">
      <c r="A9385" t="s">
        <v>26937</v>
      </c>
      <c r="B9385" t="s">
        <v>29725</v>
      </c>
      <c r="C9385" t="s">
        <v>25955</v>
      </c>
      <c r="D9385" t="s">
        <v>25956</v>
      </c>
      <c r="E9385" t="s">
        <v>25957</v>
      </c>
      <c r="F9385" t="s">
        <v>29726</v>
      </c>
      <c r="G9385" s="2" t="str">
        <f>HYPERLINK("https://probpalata.gov.ru/files/ЮЛ770100140400002.jpeg","Скачать индивидуальный QR-код магазина")</f>
        <v>Скачать индивидуальный QR-код магазина</v>
      </c>
    </row>
    <row r="9386" spans="1:7" x14ac:dyDescent="0.25">
      <c r="A9386" t="s">
        <v>26937</v>
      </c>
      <c r="B9386" t="s">
        <v>27031</v>
      </c>
      <c r="C9386" t="s">
        <v>25955</v>
      </c>
      <c r="D9386" t="s">
        <v>25956</v>
      </c>
      <c r="E9386" t="s">
        <v>25957</v>
      </c>
      <c r="F9386" t="s">
        <v>29727</v>
      </c>
      <c r="G9386" s="2" t="str">
        <f>HYPERLINK("https://probpalata.gov.ru/files/ЮЛ770100140400017.jpeg","Скачать индивидуальный QR-код магазина")</f>
        <v>Скачать индивидуальный QR-код магазина</v>
      </c>
    </row>
    <row r="9387" spans="1:7" x14ac:dyDescent="0.25">
      <c r="A9387" t="s">
        <v>26937</v>
      </c>
      <c r="B9387" t="s">
        <v>29728</v>
      </c>
      <c r="C9387" t="s">
        <v>25955</v>
      </c>
      <c r="D9387" t="s">
        <v>25956</v>
      </c>
      <c r="E9387" t="s">
        <v>25957</v>
      </c>
      <c r="F9387" t="s">
        <v>29729</v>
      </c>
      <c r="G9387" s="2" t="str">
        <f>HYPERLINK("https://probpalata.gov.ru/files/ЮЛ770100140400022.jpeg","Скачать индивидуальный QR-код магазина")</f>
        <v>Скачать индивидуальный QR-код магазина</v>
      </c>
    </row>
    <row r="9388" spans="1:7" x14ac:dyDescent="0.25">
      <c r="A9388" t="s">
        <v>26937</v>
      </c>
      <c r="B9388" t="s">
        <v>29730</v>
      </c>
      <c r="C9388" t="s">
        <v>25955</v>
      </c>
      <c r="D9388" t="s">
        <v>25956</v>
      </c>
      <c r="E9388" t="s">
        <v>25957</v>
      </c>
      <c r="F9388" t="s">
        <v>29731</v>
      </c>
      <c r="G9388" s="2" t="str">
        <f>HYPERLINK("https://probpalata.gov.ru/files/ЮЛ770100140400025.jpeg","Скачать индивидуальный QR-код магазина")</f>
        <v>Скачать индивидуальный QR-код магазина</v>
      </c>
    </row>
    <row r="9389" spans="1:7" x14ac:dyDescent="0.25">
      <c r="A9389" t="s">
        <v>26937</v>
      </c>
      <c r="B9389" t="s">
        <v>29732</v>
      </c>
      <c r="C9389" t="s">
        <v>25998</v>
      </c>
      <c r="D9389" t="s">
        <v>25999</v>
      </c>
      <c r="E9389" t="s">
        <v>26000</v>
      </c>
      <c r="F9389" t="s">
        <v>29733</v>
      </c>
      <c r="G9389" s="2" t="str">
        <f>HYPERLINK("https://probpalata.gov.ru/files/ЮЛ770103800100001.jpeg","Скачать индивидуальный QR-код магазина")</f>
        <v>Скачать индивидуальный QR-код магазина</v>
      </c>
    </row>
    <row r="9390" spans="1:7" x14ac:dyDescent="0.25">
      <c r="A9390" t="s">
        <v>26937</v>
      </c>
      <c r="B9390" t="s">
        <v>27658</v>
      </c>
      <c r="C9390" t="s">
        <v>25998</v>
      </c>
      <c r="D9390" t="s">
        <v>25999</v>
      </c>
      <c r="E9390" t="s">
        <v>26000</v>
      </c>
      <c r="F9390" t="s">
        <v>29734</v>
      </c>
      <c r="G9390" s="2" t="str">
        <f>HYPERLINK("https://probpalata.gov.ru/files/ЮЛ770103800100005.jpeg","Скачать индивидуальный QR-код магазина")</f>
        <v>Скачать индивидуальный QR-код магазина</v>
      </c>
    </row>
    <row r="9391" spans="1:7" x14ac:dyDescent="0.25">
      <c r="A9391" t="s">
        <v>26937</v>
      </c>
      <c r="B9391" t="s">
        <v>29735</v>
      </c>
      <c r="C9391" t="s">
        <v>25998</v>
      </c>
      <c r="D9391" t="s">
        <v>25999</v>
      </c>
      <c r="E9391" t="s">
        <v>26000</v>
      </c>
      <c r="F9391" t="s">
        <v>29736</v>
      </c>
      <c r="G9391" s="2" t="str">
        <f>HYPERLINK("https://probpalata.gov.ru/files/ЮЛ770103800100006.jpeg","Скачать индивидуальный QR-код магазина")</f>
        <v>Скачать индивидуальный QR-код магазина</v>
      </c>
    </row>
    <row r="9392" spans="1:7" x14ac:dyDescent="0.25">
      <c r="A9392" t="s">
        <v>26937</v>
      </c>
      <c r="B9392" t="s">
        <v>29737</v>
      </c>
      <c r="C9392" t="s">
        <v>25998</v>
      </c>
      <c r="D9392" t="s">
        <v>25999</v>
      </c>
      <c r="E9392" t="s">
        <v>26000</v>
      </c>
      <c r="F9392" t="s">
        <v>29738</v>
      </c>
      <c r="G9392" s="2" t="str">
        <f>HYPERLINK("https://probpalata.gov.ru/files/ЮЛ770103800100010.jpeg","Скачать индивидуальный QR-код магазина")</f>
        <v>Скачать индивидуальный QR-код магазина</v>
      </c>
    </row>
    <row r="9393" spans="1:7" x14ac:dyDescent="0.25">
      <c r="A9393" t="s">
        <v>26937</v>
      </c>
      <c r="B9393" t="s">
        <v>29739</v>
      </c>
      <c r="C9393" t="s">
        <v>25998</v>
      </c>
      <c r="D9393" t="s">
        <v>25999</v>
      </c>
      <c r="E9393" t="s">
        <v>26000</v>
      </c>
      <c r="F9393" t="s">
        <v>29740</v>
      </c>
      <c r="G9393" s="2" t="str">
        <f>HYPERLINK("https://probpalata.gov.ru/files/ЮЛ770103800100011.jpeg","Скачать индивидуальный QR-код магазина")</f>
        <v>Скачать индивидуальный QR-код магазина</v>
      </c>
    </row>
    <row r="9394" spans="1:7" x14ac:dyDescent="0.25">
      <c r="A9394" t="s">
        <v>26937</v>
      </c>
      <c r="B9394" t="s">
        <v>29741</v>
      </c>
      <c r="C9394" t="s">
        <v>25998</v>
      </c>
      <c r="D9394" t="s">
        <v>25999</v>
      </c>
      <c r="E9394" t="s">
        <v>26000</v>
      </c>
      <c r="F9394" t="s">
        <v>29742</v>
      </c>
      <c r="G9394" s="2" t="str">
        <f>HYPERLINK("https://probpalata.gov.ru/files/ЮЛ770103800100012.jpeg","Скачать индивидуальный QR-код магазина")</f>
        <v>Скачать индивидуальный QR-код магазина</v>
      </c>
    </row>
    <row r="9395" spans="1:7" x14ac:dyDescent="0.25">
      <c r="A9395" t="s">
        <v>26937</v>
      </c>
      <c r="B9395" t="s">
        <v>29743</v>
      </c>
      <c r="C9395" t="s">
        <v>25998</v>
      </c>
      <c r="D9395" t="s">
        <v>25999</v>
      </c>
      <c r="E9395" t="s">
        <v>26000</v>
      </c>
      <c r="F9395" t="s">
        <v>29744</v>
      </c>
      <c r="G9395" s="2" t="str">
        <f>HYPERLINK("https://probpalata.gov.ru/files/ЮЛ770103800100016.jpeg","Скачать индивидуальный QR-код магазина")</f>
        <v>Скачать индивидуальный QR-код магазина</v>
      </c>
    </row>
    <row r="9396" spans="1:7" x14ac:dyDescent="0.25">
      <c r="A9396" t="s">
        <v>26937</v>
      </c>
      <c r="B9396" t="s">
        <v>29745</v>
      </c>
      <c r="C9396" t="s">
        <v>25998</v>
      </c>
      <c r="D9396" t="s">
        <v>25999</v>
      </c>
      <c r="E9396" t="s">
        <v>26000</v>
      </c>
      <c r="F9396" t="s">
        <v>29746</v>
      </c>
      <c r="G9396" s="2" t="str">
        <f>HYPERLINK("https://probpalata.gov.ru/files/ЮЛ770103800100017.jpeg","Скачать индивидуальный QR-код магазина")</f>
        <v>Скачать индивидуальный QR-код магазина</v>
      </c>
    </row>
    <row r="9397" spans="1:7" x14ac:dyDescent="0.25">
      <c r="A9397" t="s">
        <v>26937</v>
      </c>
      <c r="B9397" t="s">
        <v>29747</v>
      </c>
      <c r="C9397" t="s">
        <v>25998</v>
      </c>
      <c r="D9397" t="s">
        <v>25999</v>
      </c>
      <c r="E9397" t="s">
        <v>26000</v>
      </c>
      <c r="F9397" t="s">
        <v>29748</v>
      </c>
      <c r="G9397" s="2" t="str">
        <f>HYPERLINK("https://probpalata.gov.ru/files/ЮЛ770103800100021.jpeg","Скачать индивидуальный QR-код магазина")</f>
        <v>Скачать индивидуальный QR-код магазина</v>
      </c>
    </row>
    <row r="9398" spans="1:7" x14ac:dyDescent="0.25">
      <c r="A9398" t="s">
        <v>26937</v>
      </c>
      <c r="B9398" t="s">
        <v>29749</v>
      </c>
      <c r="C9398" t="s">
        <v>25998</v>
      </c>
      <c r="D9398" t="s">
        <v>25999</v>
      </c>
      <c r="E9398" t="s">
        <v>26000</v>
      </c>
      <c r="F9398" t="s">
        <v>29750</v>
      </c>
      <c r="G9398" s="2" t="str">
        <f>HYPERLINK("https://probpalata.gov.ru/files/ЮЛ770103800100026.jpeg","Скачать индивидуальный QR-код магазина")</f>
        <v>Скачать индивидуальный QR-код магазина</v>
      </c>
    </row>
    <row r="9399" spans="1:7" x14ac:dyDescent="0.25">
      <c r="A9399" t="s">
        <v>26937</v>
      </c>
      <c r="B9399" t="s">
        <v>29751</v>
      </c>
      <c r="C9399" t="s">
        <v>26080</v>
      </c>
      <c r="D9399" t="s">
        <v>26081</v>
      </c>
      <c r="E9399" t="s">
        <v>26082</v>
      </c>
      <c r="F9399" t="s">
        <v>29752</v>
      </c>
      <c r="G9399" s="2" t="str">
        <f>HYPERLINK("https://probpalata.gov.ru/files/ЮЛ770100668800024.jpeg","Скачать индивидуальный QR-код магазина")</f>
        <v>Скачать индивидуальный QR-код магазина</v>
      </c>
    </row>
    <row r="9400" spans="1:7" x14ac:dyDescent="0.25">
      <c r="A9400" t="s">
        <v>26937</v>
      </c>
      <c r="B9400" t="s">
        <v>29753</v>
      </c>
      <c r="C9400" t="s">
        <v>26080</v>
      </c>
      <c r="D9400" t="s">
        <v>26081</v>
      </c>
      <c r="E9400" t="s">
        <v>26082</v>
      </c>
      <c r="F9400" t="s">
        <v>29754</v>
      </c>
      <c r="G9400" s="2" t="str">
        <f>HYPERLINK("https://probpalata.gov.ru/files/ЮЛ770100668800031.jpeg","Скачать индивидуальный QR-код магазина")</f>
        <v>Скачать индивидуальный QR-код магазина</v>
      </c>
    </row>
    <row r="9401" spans="1:7" x14ac:dyDescent="0.25">
      <c r="A9401" t="s">
        <v>26937</v>
      </c>
      <c r="B9401" t="s">
        <v>29755</v>
      </c>
      <c r="C9401" t="s">
        <v>26080</v>
      </c>
      <c r="D9401" t="s">
        <v>26081</v>
      </c>
      <c r="E9401" t="s">
        <v>26082</v>
      </c>
      <c r="F9401" t="s">
        <v>29756</v>
      </c>
      <c r="G9401" s="2" t="str">
        <f>HYPERLINK("https://probpalata.gov.ru/files/ЮЛ770100668800032.jpeg","Скачать индивидуальный QR-код магазина")</f>
        <v>Скачать индивидуальный QR-код магазина</v>
      </c>
    </row>
    <row r="9402" spans="1:7" x14ac:dyDescent="0.25">
      <c r="A9402" t="s">
        <v>26937</v>
      </c>
      <c r="B9402" t="s">
        <v>29757</v>
      </c>
      <c r="C9402" t="s">
        <v>26080</v>
      </c>
      <c r="D9402" t="s">
        <v>26081</v>
      </c>
      <c r="E9402" t="s">
        <v>26082</v>
      </c>
      <c r="F9402" t="s">
        <v>29758</v>
      </c>
      <c r="G9402" s="2" t="str">
        <f>HYPERLINK("https://probpalata.gov.ru/files/ЮЛ770100668800034.jpeg","Скачать индивидуальный QR-код магазина")</f>
        <v>Скачать индивидуальный QR-код магазина</v>
      </c>
    </row>
    <row r="9403" spans="1:7" x14ac:dyDescent="0.25">
      <c r="A9403" t="s">
        <v>26937</v>
      </c>
      <c r="B9403" t="s">
        <v>29759</v>
      </c>
      <c r="C9403" t="s">
        <v>26080</v>
      </c>
      <c r="D9403" t="s">
        <v>26081</v>
      </c>
      <c r="E9403" t="s">
        <v>26082</v>
      </c>
      <c r="F9403" t="s">
        <v>29760</v>
      </c>
      <c r="G9403" s="2" t="str">
        <f>HYPERLINK("https://probpalata.gov.ru/files/ЮЛ770100668800039.jpeg","Скачать индивидуальный QR-код магазина")</f>
        <v>Скачать индивидуальный QR-код магазина</v>
      </c>
    </row>
    <row r="9404" spans="1:7" x14ac:dyDescent="0.25">
      <c r="A9404" t="s">
        <v>26937</v>
      </c>
      <c r="B9404" t="s">
        <v>29761</v>
      </c>
      <c r="C9404" t="s">
        <v>29762</v>
      </c>
      <c r="D9404" t="s">
        <v>29763</v>
      </c>
      <c r="E9404" t="s">
        <v>29764</v>
      </c>
      <c r="F9404" t="s">
        <v>29765</v>
      </c>
      <c r="G9404" s="2" t="str">
        <f>HYPERLINK("https://probpalata.gov.ru/files/ЮЛ770103819600000.jpeg","Скачать индивидуальный QR-код магазина")</f>
        <v>Скачать индивидуальный QR-код магазина</v>
      </c>
    </row>
    <row r="9405" spans="1:7" x14ac:dyDescent="0.25">
      <c r="A9405" t="s">
        <v>26937</v>
      </c>
      <c r="B9405" t="s">
        <v>29766</v>
      </c>
      <c r="C9405" t="s">
        <v>29767</v>
      </c>
      <c r="D9405" t="s">
        <v>29768</v>
      </c>
      <c r="E9405" t="s">
        <v>29769</v>
      </c>
      <c r="F9405" t="s">
        <v>29770</v>
      </c>
      <c r="G9405" s="2" t="str">
        <f>HYPERLINK("https://probpalata.gov.ru/files/ЮЛ770103738100000.jpeg","Скачать индивидуальный QR-код магазина")</f>
        <v>Скачать индивидуальный QR-код магазина</v>
      </c>
    </row>
    <row r="9406" spans="1:7" x14ac:dyDescent="0.25">
      <c r="A9406" t="s">
        <v>26937</v>
      </c>
      <c r="B9406" t="s">
        <v>29771</v>
      </c>
      <c r="C9406" t="s">
        <v>26203</v>
      </c>
      <c r="D9406" t="s">
        <v>26204</v>
      </c>
      <c r="E9406" t="s">
        <v>26205</v>
      </c>
      <c r="F9406" t="s">
        <v>29772</v>
      </c>
      <c r="G9406" s="2" t="str">
        <f>HYPERLINK("https://probpalata.gov.ru/files/ЮЛ770100327000003.jpeg","Скачать индивидуальный QR-код магазина")</f>
        <v>Скачать индивидуальный QR-код магазина</v>
      </c>
    </row>
    <row r="9407" spans="1:7" x14ac:dyDescent="0.25">
      <c r="A9407" t="s">
        <v>26937</v>
      </c>
      <c r="B9407" t="s">
        <v>29773</v>
      </c>
      <c r="C9407" t="s">
        <v>1501</v>
      </c>
      <c r="D9407" t="s">
        <v>1502</v>
      </c>
      <c r="E9407" t="s">
        <v>1503</v>
      </c>
      <c r="F9407" t="s">
        <v>29774</v>
      </c>
      <c r="G9407" s="2" t="str">
        <f>HYPERLINK("https://probpalata.gov.ru/files/ЮЛ770100439200031.jpeg","Скачать индивидуальный QR-код магазина")</f>
        <v>Скачать индивидуальный QR-код магазина</v>
      </c>
    </row>
    <row r="9408" spans="1:7" x14ac:dyDescent="0.25">
      <c r="A9408" t="s">
        <v>26937</v>
      </c>
      <c r="B9408" t="s">
        <v>29775</v>
      </c>
      <c r="C9408" t="s">
        <v>1501</v>
      </c>
      <c r="D9408" t="s">
        <v>1502</v>
      </c>
      <c r="E9408" t="s">
        <v>1503</v>
      </c>
      <c r="F9408" t="s">
        <v>29776</v>
      </c>
      <c r="G9408" s="2" t="str">
        <f>HYPERLINK("https://probpalata.gov.ru/files/ЮЛ770100439200032.jpeg","Скачать индивидуальный QR-код магазина")</f>
        <v>Скачать индивидуальный QR-код магазина</v>
      </c>
    </row>
    <row r="9409" spans="1:7" x14ac:dyDescent="0.25">
      <c r="A9409" t="s">
        <v>26937</v>
      </c>
      <c r="B9409" t="s">
        <v>29777</v>
      </c>
      <c r="C9409" t="s">
        <v>1501</v>
      </c>
      <c r="D9409" t="s">
        <v>1502</v>
      </c>
      <c r="E9409" t="s">
        <v>1503</v>
      </c>
      <c r="F9409" t="s">
        <v>29778</v>
      </c>
      <c r="G9409" s="2" t="str">
        <f>HYPERLINK("https://probpalata.gov.ru/files/ЮЛ770100439200033.jpeg","Скачать индивидуальный QR-код магазина")</f>
        <v>Скачать индивидуальный QR-код магазина</v>
      </c>
    </row>
    <row r="9410" spans="1:7" x14ac:dyDescent="0.25">
      <c r="A9410" t="s">
        <v>26937</v>
      </c>
      <c r="B9410" t="s">
        <v>29779</v>
      </c>
      <c r="C9410" t="s">
        <v>1501</v>
      </c>
      <c r="D9410" t="s">
        <v>1502</v>
      </c>
      <c r="E9410" t="s">
        <v>1503</v>
      </c>
      <c r="F9410" t="s">
        <v>29780</v>
      </c>
      <c r="G9410" s="2" t="str">
        <f>HYPERLINK("https://probpalata.gov.ru/files/ЮЛ770100439200034.jpeg","Скачать индивидуальный QR-код магазина")</f>
        <v>Скачать индивидуальный QR-код магазина</v>
      </c>
    </row>
    <row r="9411" spans="1:7" x14ac:dyDescent="0.25">
      <c r="A9411" t="s">
        <v>26937</v>
      </c>
      <c r="B9411" t="s">
        <v>29781</v>
      </c>
      <c r="C9411" t="s">
        <v>1501</v>
      </c>
      <c r="D9411" t="s">
        <v>1502</v>
      </c>
      <c r="E9411" t="s">
        <v>1503</v>
      </c>
      <c r="F9411" t="s">
        <v>29782</v>
      </c>
      <c r="G9411" s="2" t="str">
        <f>HYPERLINK("https://probpalata.gov.ru/files/ЮЛ770100439200035.jpeg","Скачать индивидуальный QR-код магазина")</f>
        <v>Скачать индивидуальный QR-код магазина</v>
      </c>
    </row>
    <row r="9412" spans="1:7" x14ac:dyDescent="0.25">
      <c r="A9412" t="s">
        <v>26937</v>
      </c>
      <c r="B9412" t="s">
        <v>29783</v>
      </c>
      <c r="C9412" t="s">
        <v>1501</v>
      </c>
      <c r="D9412" t="s">
        <v>1502</v>
      </c>
      <c r="E9412" t="s">
        <v>1503</v>
      </c>
      <c r="F9412" t="s">
        <v>29784</v>
      </c>
      <c r="G9412" s="2" t="str">
        <f>HYPERLINK("https://probpalata.gov.ru/files/ЮЛ770100439200036.jpeg","Скачать индивидуальный QR-код магазина")</f>
        <v>Скачать индивидуальный QR-код магазина</v>
      </c>
    </row>
    <row r="9413" spans="1:7" x14ac:dyDescent="0.25">
      <c r="A9413" t="s">
        <v>26937</v>
      </c>
      <c r="B9413" t="s">
        <v>29785</v>
      </c>
      <c r="C9413" t="s">
        <v>1501</v>
      </c>
      <c r="D9413" t="s">
        <v>1502</v>
      </c>
      <c r="E9413" t="s">
        <v>1503</v>
      </c>
      <c r="F9413" t="s">
        <v>29786</v>
      </c>
      <c r="G9413" s="2" t="str">
        <f>HYPERLINK("https://probpalata.gov.ru/files/ЮЛ770100439200038.jpeg","Скачать индивидуальный QR-код магазина")</f>
        <v>Скачать индивидуальный QR-код магазина</v>
      </c>
    </row>
    <row r="9414" spans="1:7" x14ac:dyDescent="0.25">
      <c r="A9414" t="s">
        <v>26937</v>
      </c>
      <c r="B9414" t="s">
        <v>29787</v>
      </c>
      <c r="C9414" t="s">
        <v>1501</v>
      </c>
      <c r="D9414" t="s">
        <v>1502</v>
      </c>
      <c r="E9414" t="s">
        <v>1503</v>
      </c>
      <c r="F9414" t="s">
        <v>29788</v>
      </c>
      <c r="G9414" s="2" t="str">
        <f>HYPERLINK("https://probpalata.gov.ru/files/ЮЛ770100439200039.jpeg","Скачать индивидуальный QR-код магазина")</f>
        <v>Скачать индивидуальный QR-код магазина</v>
      </c>
    </row>
    <row r="9415" spans="1:7" x14ac:dyDescent="0.25">
      <c r="A9415" t="s">
        <v>26937</v>
      </c>
      <c r="B9415" t="s">
        <v>29789</v>
      </c>
      <c r="C9415" t="s">
        <v>1501</v>
      </c>
      <c r="D9415" t="s">
        <v>1502</v>
      </c>
      <c r="E9415" t="s">
        <v>1503</v>
      </c>
      <c r="F9415" t="s">
        <v>29790</v>
      </c>
      <c r="G9415" s="2" t="str">
        <f>HYPERLINK("https://probpalata.gov.ru/files/ЮЛ770100439200040.jpeg","Скачать индивидуальный QR-код магазина")</f>
        <v>Скачать индивидуальный QR-код магазина</v>
      </c>
    </row>
    <row r="9416" spans="1:7" x14ac:dyDescent="0.25">
      <c r="A9416" t="s">
        <v>26937</v>
      </c>
      <c r="B9416" t="s">
        <v>29791</v>
      </c>
      <c r="C9416" t="s">
        <v>1501</v>
      </c>
      <c r="D9416" t="s">
        <v>1502</v>
      </c>
      <c r="E9416" t="s">
        <v>1503</v>
      </c>
      <c r="F9416" t="s">
        <v>29792</v>
      </c>
      <c r="G9416" s="2" t="str">
        <f>HYPERLINK("https://probpalata.gov.ru/files/ЮЛ770100439200041.jpeg","Скачать индивидуальный QR-код магазина")</f>
        <v>Скачать индивидуальный QR-код магазина</v>
      </c>
    </row>
    <row r="9417" spans="1:7" x14ac:dyDescent="0.25">
      <c r="A9417" t="s">
        <v>26937</v>
      </c>
      <c r="B9417" t="s">
        <v>29793</v>
      </c>
      <c r="C9417" t="s">
        <v>1501</v>
      </c>
      <c r="D9417" t="s">
        <v>1502</v>
      </c>
      <c r="E9417" t="s">
        <v>1503</v>
      </c>
      <c r="F9417" t="s">
        <v>29794</v>
      </c>
      <c r="G9417" s="2" t="str">
        <f>HYPERLINK("https://probpalata.gov.ru/files/ЮЛ770100439200043.jpeg","Скачать индивидуальный QR-код магазина")</f>
        <v>Скачать индивидуальный QR-код магазина</v>
      </c>
    </row>
    <row r="9418" spans="1:7" x14ac:dyDescent="0.25">
      <c r="A9418" t="s">
        <v>26937</v>
      </c>
      <c r="B9418" t="s">
        <v>29795</v>
      </c>
      <c r="C9418" t="s">
        <v>1501</v>
      </c>
      <c r="D9418" t="s">
        <v>1502</v>
      </c>
      <c r="E9418" t="s">
        <v>1503</v>
      </c>
      <c r="F9418" t="s">
        <v>29796</v>
      </c>
      <c r="G9418" s="2" t="str">
        <f>HYPERLINK("https://probpalata.gov.ru/files/ЮЛ770100439200045.jpeg","Скачать индивидуальный QR-код магазина")</f>
        <v>Скачать индивидуальный QR-код магазина</v>
      </c>
    </row>
    <row r="9419" spans="1:7" x14ac:dyDescent="0.25">
      <c r="A9419" t="s">
        <v>26937</v>
      </c>
      <c r="B9419" t="s">
        <v>29797</v>
      </c>
      <c r="C9419" t="s">
        <v>1501</v>
      </c>
      <c r="D9419" t="s">
        <v>1502</v>
      </c>
      <c r="E9419" t="s">
        <v>1503</v>
      </c>
      <c r="F9419" t="s">
        <v>29798</v>
      </c>
      <c r="G9419" s="2" t="str">
        <f>HYPERLINK("https://probpalata.gov.ru/files/ЮЛ770100439200047.jpeg","Скачать индивидуальный QR-код магазина")</f>
        <v>Скачать индивидуальный QR-код магазина</v>
      </c>
    </row>
    <row r="9420" spans="1:7" x14ac:dyDescent="0.25">
      <c r="A9420" t="s">
        <v>26937</v>
      </c>
      <c r="B9420" t="s">
        <v>29799</v>
      </c>
      <c r="C9420" t="s">
        <v>1501</v>
      </c>
      <c r="D9420" t="s">
        <v>1502</v>
      </c>
      <c r="E9420" t="s">
        <v>1503</v>
      </c>
      <c r="F9420" t="s">
        <v>29800</v>
      </c>
      <c r="G9420" s="2" t="str">
        <f>HYPERLINK("https://probpalata.gov.ru/files/ЮЛ770100439200181.jpeg","Скачать индивидуальный QR-код магазина")</f>
        <v>Скачать индивидуальный QR-код магазина</v>
      </c>
    </row>
    <row r="9421" spans="1:7" x14ac:dyDescent="0.25">
      <c r="A9421" t="s">
        <v>26937</v>
      </c>
      <c r="B9421" t="s">
        <v>29801</v>
      </c>
      <c r="C9421" t="s">
        <v>1501</v>
      </c>
      <c r="D9421" t="s">
        <v>1502</v>
      </c>
      <c r="E9421" t="s">
        <v>1503</v>
      </c>
      <c r="F9421" t="s">
        <v>29802</v>
      </c>
      <c r="G9421" s="2" t="str">
        <f>HYPERLINK("https://probpalata.gov.ru/files/ЮЛ770100439200231.jpeg","Скачать индивидуальный QR-код магазина")</f>
        <v>Скачать индивидуальный QR-код магазина</v>
      </c>
    </row>
    <row r="9422" spans="1:7" x14ac:dyDescent="0.25">
      <c r="A9422" t="s">
        <v>26937</v>
      </c>
      <c r="B9422" t="s">
        <v>29803</v>
      </c>
      <c r="C9422" t="s">
        <v>1501</v>
      </c>
      <c r="D9422" t="s">
        <v>1502</v>
      </c>
      <c r="E9422" t="s">
        <v>1503</v>
      </c>
      <c r="F9422" t="s">
        <v>29804</v>
      </c>
      <c r="G9422" s="2" t="str">
        <f>HYPERLINK("https://probpalata.gov.ru/files/ЮЛ770100439200240.jpeg","Скачать индивидуальный QR-код магазина")</f>
        <v>Скачать индивидуальный QR-код магазина</v>
      </c>
    </row>
    <row r="9423" spans="1:7" x14ac:dyDescent="0.25">
      <c r="A9423" t="s">
        <v>26937</v>
      </c>
      <c r="B9423" t="s">
        <v>29805</v>
      </c>
      <c r="C9423" t="s">
        <v>1501</v>
      </c>
      <c r="D9423" t="s">
        <v>1502</v>
      </c>
      <c r="E9423" t="s">
        <v>1503</v>
      </c>
      <c r="F9423" t="s">
        <v>29806</v>
      </c>
      <c r="G9423" s="2" t="str">
        <f>HYPERLINK("https://probpalata.gov.ru/files/ЮЛ770100439200243.jpeg","Скачать индивидуальный QR-код магазина")</f>
        <v>Скачать индивидуальный QR-код магазина</v>
      </c>
    </row>
    <row r="9424" spans="1:7" x14ac:dyDescent="0.25">
      <c r="A9424" t="s">
        <v>26937</v>
      </c>
      <c r="B9424" t="s">
        <v>29807</v>
      </c>
      <c r="C9424" t="s">
        <v>1501</v>
      </c>
      <c r="D9424" t="s">
        <v>1502</v>
      </c>
      <c r="E9424" t="s">
        <v>1503</v>
      </c>
      <c r="F9424" t="s">
        <v>29808</v>
      </c>
      <c r="G9424" s="2" t="str">
        <f>HYPERLINK("https://probpalata.gov.ru/files/ЮЛ770100439200245.jpeg","Скачать индивидуальный QR-код магазина")</f>
        <v>Скачать индивидуальный QR-код магазина</v>
      </c>
    </row>
    <row r="9425" spans="1:7" x14ac:dyDescent="0.25">
      <c r="A9425" t="s">
        <v>26937</v>
      </c>
      <c r="B9425" t="s">
        <v>29809</v>
      </c>
      <c r="C9425" t="s">
        <v>1501</v>
      </c>
      <c r="D9425" t="s">
        <v>1502</v>
      </c>
      <c r="E9425" t="s">
        <v>1503</v>
      </c>
      <c r="F9425" t="s">
        <v>29810</v>
      </c>
      <c r="G9425" s="2" t="str">
        <f>HYPERLINK("https://probpalata.gov.ru/files/ЮЛ770100439200252.jpeg","Скачать индивидуальный QR-код магазина")</f>
        <v>Скачать индивидуальный QR-код магазина</v>
      </c>
    </row>
    <row r="9426" spans="1:7" x14ac:dyDescent="0.25">
      <c r="A9426" t="s">
        <v>26937</v>
      </c>
      <c r="B9426" t="s">
        <v>29811</v>
      </c>
      <c r="C9426" t="s">
        <v>1501</v>
      </c>
      <c r="D9426" t="s">
        <v>1502</v>
      </c>
      <c r="E9426" t="s">
        <v>1503</v>
      </c>
      <c r="F9426" t="s">
        <v>29812</v>
      </c>
      <c r="G9426" s="2" t="str">
        <f>HYPERLINK("https://probpalata.gov.ru/files/ЮЛ770100439200253.jpeg","Скачать индивидуальный QR-код магазина")</f>
        <v>Скачать индивидуальный QR-код магазина</v>
      </c>
    </row>
    <row r="9427" spans="1:7" x14ac:dyDescent="0.25">
      <c r="A9427" t="s">
        <v>26937</v>
      </c>
      <c r="B9427" t="s">
        <v>29813</v>
      </c>
      <c r="C9427" t="s">
        <v>1501</v>
      </c>
      <c r="D9427" t="s">
        <v>1502</v>
      </c>
      <c r="E9427" t="s">
        <v>1503</v>
      </c>
      <c r="F9427" t="s">
        <v>29814</v>
      </c>
      <c r="G9427" s="2" t="str">
        <f>HYPERLINK("https://probpalata.gov.ru/files/ЮЛ770100439200265.jpeg","Скачать индивидуальный QR-код магазина")</f>
        <v>Скачать индивидуальный QR-код магазина</v>
      </c>
    </row>
    <row r="9428" spans="1:7" x14ac:dyDescent="0.25">
      <c r="A9428" t="s">
        <v>26937</v>
      </c>
      <c r="B9428" t="s">
        <v>29815</v>
      </c>
      <c r="C9428" t="s">
        <v>1501</v>
      </c>
      <c r="D9428" t="s">
        <v>1502</v>
      </c>
      <c r="E9428" t="s">
        <v>1503</v>
      </c>
      <c r="F9428" t="s">
        <v>29816</v>
      </c>
      <c r="G9428" s="2" t="str">
        <f>HYPERLINK("https://probpalata.gov.ru/files/ЮЛ770100439200268.jpeg","Скачать индивидуальный QR-код магазина")</f>
        <v>Скачать индивидуальный QR-код магазина</v>
      </c>
    </row>
    <row r="9429" spans="1:7" x14ac:dyDescent="0.25">
      <c r="A9429" t="s">
        <v>26937</v>
      </c>
      <c r="B9429" t="s">
        <v>29817</v>
      </c>
      <c r="C9429" t="s">
        <v>29818</v>
      </c>
      <c r="D9429" t="s">
        <v>29819</v>
      </c>
      <c r="E9429" t="s">
        <v>29820</v>
      </c>
      <c r="F9429" t="s">
        <v>29821</v>
      </c>
      <c r="G9429" s="2" t="str">
        <f>HYPERLINK("https://probpalata.gov.ru/files/ЮЛ770103776900000.jpeg","Скачать индивидуальный QR-код магазина")</f>
        <v>Скачать индивидуальный QR-код магазина</v>
      </c>
    </row>
    <row r="9430" spans="1:7" x14ac:dyDescent="0.25">
      <c r="A9430" t="s">
        <v>26937</v>
      </c>
      <c r="B9430" t="s">
        <v>29822</v>
      </c>
      <c r="C9430" t="s">
        <v>29823</v>
      </c>
      <c r="D9430" t="s">
        <v>29824</v>
      </c>
      <c r="E9430" t="s">
        <v>29825</v>
      </c>
      <c r="F9430" t="s">
        <v>29826</v>
      </c>
      <c r="G9430" s="2" t="str">
        <f>HYPERLINK("https://probpalata.gov.ru/files/ЮЛ770103972000000.jpeg","Скачать индивидуальный QR-код магазина")</f>
        <v>Скачать индивидуальный QR-код магазина</v>
      </c>
    </row>
    <row r="9431" spans="1:7" x14ac:dyDescent="0.25">
      <c r="A9431" t="s">
        <v>26937</v>
      </c>
      <c r="B9431" t="s">
        <v>29827</v>
      </c>
      <c r="C9431" t="s">
        <v>26401</v>
      </c>
      <c r="D9431" t="s">
        <v>26402</v>
      </c>
      <c r="E9431" t="s">
        <v>26403</v>
      </c>
      <c r="F9431" t="s">
        <v>29828</v>
      </c>
      <c r="G9431" s="2" t="str">
        <f>HYPERLINK("https://probpalata.gov.ru/files/ЮЛ770100938700002.jpeg","Скачать индивидуальный QR-код магазина")</f>
        <v>Скачать индивидуальный QR-код магазина</v>
      </c>
    </row>
    <row r="9432" spans="1:7" x14ac:dyDescent="0.25">
      <c r="A9432" t="s">
        <v>26937</v>
      </c>
      <c r="B9432" t="s">
        <v>29829</v>
      </c>
      <c r="C9432" t="s">
        <v>26401</v>
      </c>
      <c r="D9432" t="s">
        <v>26402</v>
      </c>
      <c r="E9432" t="s">
        <v>26403</v>
      </c>
      <c r="F9432" t="s">
        <v>29830</v>
      </c>
      <c r="G9432" s="2" t="str">
        <f>HYPERLINK("https://probpalata.gov.ru/files/ЮЛ770100938700005.jpeg","Скачать индивидуальный QR-код магазина")</f>
        <v>Скачать индивидуальный QR-код магазина</v>
      </c>
    </row>
    <row r="9433" spans="1:7" x14ac:dyDescent="0.25">
      <c r="A9433" t="s">
        <v>26937</v>
      </c>
      <c r="B9433" t="s">
        <v>29831</v>
      </c>
      <c r="C9433" t="s">
        <v>26401</v>
      </c>
      <c r="D9433" t="s">
        <v>26402</v>
      </c>
      <c r="E9433" t="s">
        <v>26403</v>
      </c>
      <c r="F9433" t="s">
        <v>29832</v>
      </c>
      <c r="G9433" s="2" t="str">
        <f>HYPERLINK("https://probpalata.gov.ru/files/ЮЛ770100938700014.jpeg","Скачать индивидуальный QR-код магазина")</f>
        <v>Скачать индивидуальный QR-код магазина</v>
      </c>
    </row>
    <row r="9434" spans="1:7" x14ac:dyDescent="0.25">
      <c r="A9434" t="s">
        <v>26937</v>
      </c>
      <c r="B9434" t="s">
        <v>29833</v>
      </c>
      <c r="C9434" t="s">
        <v>26401</v>
      </c>
      <c r="D9434" t="s">
        <v>26402</v>
      </c>
      <c r="E9434" t="s">
        <v>26403</v>
      </c>
      <c r="F9434" t="s">
        <v>29834</v>
      </c>
      <c r="G9434" s="2" t="str">
        <f>HYPERLINK("https://probpalata.gov.ru/files/ЮЛ770100938700016.jpeg","Скачать индивидуальный QR-код магазина")</f>
        <v>Скачать индивидуальный QR-код магазина</v>
      </c>
    </row>
    <row r="9435" spans="1:7" x14ac:dyDescent="0.25">
      <c r="A9435" t="s">
        <v>26937</v>
      </c>
      <c r="B9435" t="s">
        <v>28012</v>
      </c>
      <c r="C9435" t="s">
        <v>26401</v>
      </c>
      <c r="D9435" t="s">
        <v>26402</v>
      </c>
      <c r="E9435" t="s">
        <v>26403</v>
      </c>
      <c r="F9435" t="s">
        <v>29835</v>
      </c>
      <c r="G9435" s="2" t="str">
        <f>HYPERLINK("https://probpalata.gov.ru/files/ЮЛ770100938700017.jpeg","Скачать индивидуальный QR-код магазина")</f>
        <v>Скачать индивидуальный QR-код магазина</v>
      </c>
    </row>
    <row r="9436" spans="1:7" x14ac:dyDescent="0.25">
      <c r="A9436" t="s">
        <v>26937</v>
      </c>
      <c r="B9436" t="s">
        <v>29836</v>
      </c>
      <c r="C9436" t="s">
        <v>26401</v>
      </c>
      <c r="D9436" t="s">
        <v>26402</v>
      </c>
      <c r="E9436" t="s">
        <v>26403</v>
      </c>
      <c r="F9436" t="s">
        <v>29837</v>
      </c>
      <c r="G9436" s="2" t="str">
        <f>HYPERLINK("https://probpalata.gov.ru/files/ЮЛ770100938700018.jpeg","Скачать индивидуальный QR-код магазина")</f>
        <v>Скачать индивидуальный QR-код магазина</v>
      </c>
    </row>
    <row r="9437" spans="1:7" x14ac:dyDescent="0.25">
      <c r="A9437" t="s">
        <v>26937</v>
      </c>
      <c r="B9437" t="s">
        <v>29838</v>
      </c>
      <c r="C9437" t="s">
        <v>26401</v>
      </c>
      <c r="D9437" t="s">
        <v>26402</v>
      </c>
      <c r="E9437" t="s">
        <v>26403</v>
      </c>
      <c r="F9437" t="s">
        <v>29839</v>
      </c>
      <c r="G9437" s="2" t="str">
        <f>HYPERLINK("https://probpalata.gov.ru/files/ЮЛ770100938700020.jpeg","Скачать индивидуальный QR-код магазина")</f>
        <v>Скачать индивидуальный QR-код магазина</v>
      </c>
    </row>
    <row r="9438" spans="1:7" x14ac:dyDescent="0.25">
      <c r="A9438" t="s">
        <v>26937</v>
      </c>
      <c r="B9438" t="s">
        <v>29840</v>
      </c>
      <c r="C9438" t="s">
        <v>26401</v>
      </c>
      <c r="D9438" t="s">
        <v>26402</v>
      </c>
      <c r="E9438" t="s">
        <v>26403</v>
      </c>
      <c r="F9438" t="s">
        <v>29841</v>
      </c>
      <c r="G9438" s="2" t="str">
        <f>HYPERLINK("https://probpalata.gov.ru/files/ЮЛ770100938700026.jpeg","Скачать индивидуальный QR-код магазина")</f>
        <v>Скачать индивидуальный QR-код магазина</v>
      </c>
    </row>
    <row r="9439" spans="1:7" x14ac:dyDescent="0.25">
      <c r="A9439" t="s">
        <v>26937</v>
      </c>
      <c r="B9439" t="s">
        <v>29842</v>
      </c>
      <c r="C9439" t="s">
        <v>26401</v>
      </c>
      <c r="D9439" t="s">
        <v>26402</v>
      </c>
      <c r="E9439" t="s">
        <v>26403</v>
      </c>
      <c r="F9439" t="s">
        <v>29843</v>
      </c>
      <c r="G9439" s="2" t="str">
        <f>HYPERLINK("https://probpalata.gov.ru/files/ЮЛ770100938700027.jpeg","Скачать индивидуальный QR-код магазина")</f>
        <v>Скачать индивидуальный QR-код магазина</v>
      </c>
    </row>
    <row r="9440" spans="1:7" x14ac:dyDescent="0.25">
      <c r="A9440" t="s">
        <v>26937</v>
      </c>
      <c r="B9440" t="s">
        <v>29844</v>
      </c>
      <c r="C9440" t="s">
        <v>26401</v>
      </c>
      <c r="D9440" t="s">
        <v>26402</v>
      </c>
      <c r="E9440" t="s">
        <v>26403</v>
      </c>
      <c r="F9440" t="s">
        <v>29845</v>
      </c>
      <c r="G9440" s="2" t="str">
        <f>HYPERLINK("https://probpalata.gov.ru/files/ЮЛ770100938700030.jpeg","Скачать индивидуальный QR-код магазина")</f>
        <v>Скачать индивидуальный QR-код магазина</v>
      </c>
    </row>
    <row r="9441" spans="1:7" x14ac:dyDescent="0.25">
      <c r="A9441" t="s">
        <v>26937</v>
      </c>
      <c r="B9441" t="s">
        <v>29846</v>
      </c>
      <c r="C9441" t="s">
        <v>26401</v>
      </c>
      <c r="D9441" t="s">
        <v>26402</v>
      </c>
      <c r="E9441" t="s">
        <v>26403</v>
      </c>
      <c r="F9441" t="s">
        <v>29847</v>
      </c>
      <c r="G9441" s="2" t="str">
        <f>HYPERLINK("https://probpalata.gov.ru/files/ЮЛ770100938700035.jpeg","Скачать индивидуальный QR-код магазина")</f>
        <v>Скачать индивидуальный QR-код магазина</v>
      </c>
    </row>
    <row r="9442" spans="1:7" x14ac:dyDescent="0.25">
      <c r="A9442" t="s">
        <v>26937</v>
      </c>
      <c r="B9442" t="s">
        <v>29848</v>
      </c>
      <c r="C9442" t="s">
        <v>26401</v>
      </c>
      <c r="D9442" t="s">
        <v>26402</v>
      </c>
      <c r="E9442" t="s">
        <v>26403</v>
      </c>
      <c r="F9442" t="s">
        <v>29849</v>
      </c>
      <c r="G9442" s="2" t="str">
        <f>HYPERLINK("https://probpalata.gov.ru/files/ЮЛ770100938700074.jpeg","Скачать индивидуальный QR-код магазина")</f>
        <v>Скачать индивидуальный QR-код магазина</v>
      </c>
    </row>
    <row r="9443" spans="1:7" x14ac:dyDescent="0.25">
      <c r="A9443" t="s">
        <v>26937</v>
      </c>
      <c r="B9443" t="s">
        <v>29850</v>
      </c>
      <c r="C9443" t="s">
        <v>26440</v>
      </c>
      <c r="D9443" t="s">
        <v>26441</v>
      </c>
      <c r="E9443" t="s">
        <v>26442</v>
      </c>
      <c r="F9443" t="s">
        <v>29851</v>
      </c>
      <c r="G9443" s="2" t="str">
        <f>HYPERLINK("https://probpalata.gov.ru/files/ЮЛ770100295600001.jpeg","Скачать индивидуальный QR-код магазина")</f>
        <v>Скачать индивидуальный QR-код магазина</v>
      </c>
    </row>
    <row r="9444" spans="1:7" x14ac:dyDescent="0.25">
      <c r="A9444" t="s">
        <v>26937</v>
      </c>
      <c r="B9444" t="s">
        <v>29852</v>
      </c>
      <c r="C9444" t="s">
        <v>26535</v>
      </c>
      <c r="D9444" t="s">
        <v>26536</v>
      </c>
      <c r="E9444" t="s">
        <v>26537</v>
      </c>
      <c r="F9444" t="s">
        <v>29853</v>
      </c>
      <c r="G9444" s="2" t="str">
        <f>HYPERLINK("https://probpalata.gov.ru/files/ЮЛ770100610600005.jpeg","Скачать индивидуальный QR-код магазина")</f>
        <v>Скачать индивидуальный QR-код магазина</v>
      </c>
    </row>
    <row r="9445" spans="1:7" x14ac:dyDescent="0.25">
      <c r="A9445" t="s">
        <v>26937</v>
      </c>
      <c r="B9445" t="s">
        <v>29854</v>
      </c>
      <c r="C9445" t="s">
        <v>26535</v>
      </c>
      <c r="D9445" t="s">
        <v>26536</v>
      </c>
      <c r="E9445" t="s">
        <v>26537</v>
      </c>
      <c r="F9445" t="s">
        <v>29855</v>
      </c>
      <c r="G9445" s="2" t="str">
        <f>HYPERLINK("https://probpalata.gov.ru/files/ЮЛ770100610600007.jpeg","Скачать индивидуальный QR-код магазина")</f>
        <v>Скачать индивидуальный QR-код магазина</v>
      </c>
    </row>
    <row r="9446" spans="1:7" x14ac:dyDescent="0.25">
      <c r="A9446" t="s">
        <v>26937</v>
      </c>
      <c r="B9446" t="s">
        <v>29856</v>
      </c>
      <c r="C9446" t="s">
        <v>26547</v>
      </c>
      <c r="D9446" t="s">
        <v>26548</v>
      </c>
      <c r="E9446" t="s">
        <v>26549</v>
      </c>
      <c r="F9446" t="s">
        <v>29857</v>
      </c>
      <c r="G9446" s="2" t="str">
        <f>HYPERLINK("https://probpalata.gov.ru/files/ЮЛ770101167800004.jpeg","Скачать индивидуальный QR-код магазина")</f>
        <v>Скачать индивидуальный QR-код магазина</v>
      </c>
    </row>
    <row r="9447" spans="1:7" x14ac:dyDescent="0.25">
      <c r="A9447" t="s">
        <v>26937</v>
      </c>
      <c r="B9447" t="s">
        <v>29858</v>
      </c>
      <c r="C9447" t="s">
        <v>26547</v>
      </c>
      <c r="D9447" t="s">
        <v>26548</v>
      </c>
      <c r="E9447" t="s">
        <v>26549</v>
      </c>
      <c r="F9447" t="s">
        <v>29859</v>
      </c>
      <c r="G9447" s="2" t="str">
        <f>HYPERLINK("https://probpalata.gov.ru/files/ЮЛ770101167800007.jpeg","Скачать индивидуальный QR-код магазина")</f>
        <v>Скачать индивидуальный QR-код магазина</v>
      </c>
    </row>
    <row r="9448" spans="1:7" x14ac:dyDescent="0.25">
      <c r="A9448" t="s">
        <v>26937</v>
      </c>
      <c r="B9448" t="s">
        <v>29860</v>
      </c>
      <c r="C9448" t="s">
        <v>26547</v>
      </c>
      <c r="D9448" t="s">
        <v>26548</v>
      </c>
      <c r="E9448" t="s">
        <v>26549</v>
      </c>
      <c r="F9448" t="s">
        <v>29861</v>
      </c>
      <c r="G9448" s="2" t="str">
        <f>HYPERLINK("https://probpalata.gov.ru/files/ЮЛ770101167800010.jpeg","Скачать индивидуальный QR-код магазина")</f>
        <v>Скачать индивидуальный QR-код магазина</v>
      </c>
    </row>
    <row r="9449" spans="1:7" x14ac:dyDescent="0.25">
      <c r="A9449" t="s">
        <v>26937</v>
      </c>
      <c r="B9449" t="s">
        <v>29862</v>
      </c>
      <c r="C9449" t="s">
        <v>26547</v>
      </c>
      <c r="D9449" t="s">
        <v>26548</v>
      </c>
      <c r="E9449" t="s">
        <v>26549</v>
      </c>
      <c r="F9449" t="s">
        <v>29863</v>
      </c>
      <c r="G9449" s="2" t="str">
        <f>HYPERLINK("https://probpalata.gov.ru/files/ЮЛ770101167800011.jpeg","Скачать индивидуальный QR-код магазина")</f>
        <v>Скачать индивидуальный QR-код магазина</v>
      </c>
    </row>
    <row r="9450" spans="1:7" x14ac:dyDescent="0.25">
      <c r="A9450" t="s">
        <v>26937</v>
      </c>
      <c r="B9450" t="s">
        <v>29864</v>
      </c>
      <c r="C9450" t="s">
        <v>26547</v>
      </c>
      <c r="D9450" t="s">
        <v>26548</v>
      </c>
      <c r="E9450" t="s">
        <v>26549</v>
      </c>
      <c r="F9450" t="s">
        <v>29865</v>
      </c>
      <c r="G9450" s="2" t="str">
        <f>HYPERLINK("https://probpalata.gov.ru/files/ЮЛ770101167800012.jpeg","Скачать индивидуальный QR-код магазина")</f>
        <v>Скачать индивидуальный QR-код магазина</v>
      </c>
    </row>
    <row r="9451" spans="1:7" x14ac:dyDescent="0.25">
      <c r="A9451" t="s">
        <v>26937</v>
      </c>
      <c r="B9451" t="s">
        <v>29866</v>
      </c>
      <c r="C9451" t="s">
        <v>29867</v>
      </c>
      <c r="D9451" t="s">
        <v>29868</v>
      </c>
      <c r="E9451" t="s">
        <v>29869</v>
      </c>
      <c r="F9451" t="s">
        <v>29870</v>
      </c>
      <c r="G9451" s="2" t="str">
        <f>HYPERLINK("https://probpalata.gov.ru/files/ЮЛ770101056100000.jpeg","Скачать индивидуальный QR-код магазина")</f>
        <v>Скачать индивидуальный QR-код магазина</v>
      </c>
    </row>
    <row r="9452" spans="1:7" x14ac:dyDescent="0.25">
      <c r="A9452" t="s">
        <v>26937</v>
      </c>
      <c r="B9452" t="s">
        <v>29871</v>
      </c>
      <c r="C9452" t="s">
        <v>26601</v>
      </c>
      <c r="D9452" t="s">
        <v>26602</v>
      </c>
      <c r="E9452" t="s">
        <v>26603</v>
      </c>
      <c r="F9452" t="s">
        <v>29872</v>
      </c>
      <c r="G9452" s="2" t="str">
        <f>HYPERLINK("https://probpalata.gov.ru/files/ЮЛ770101932900013.jpeg","Скачать индивидуальный QR-код магазина")</f>
        <v>Скачать индивидуальный QR-код магазина</v>
      </c>
    </row>
    <row r="9453" spans="1:7" x14ac:dyDescent="0.25">
      <c r="A9453" t="s">
        <v>26937</v>
      </c>
      <c r="B9453" t="s">
        <v>29873</v>
      </c>
      <c r="C9453" t="s">
        <v>26606</v>
      </c>
      <c r="D9453" t="s">
        <v>26607</v>
      </c>
      <c r="E9453" t="s">
        <v>26608</v>
      </c>
      <c r="F9453" t="s">
        <v>29874</v>
      </c>
      <c r="G9453" s="2" t="str">
        <f>HYPERLINK("https://probpalata.gov.ru/files/ЮЛ770103054400010.jpeg","Скачать индивидуальный QR-код магазина")</f>
        <v>Скачать индивидуальный QR-код магазина</v>
      </c>
    </row>
    <row r="9454" spans="1:7" x14ac:dyDescent="0.25">
      <c r="A9454" t="s">
        <v>26937</v>
      </c>
      <c r="B9454" t="s">
        <v>29875</v>
      </c>
      <c r="C9454" t="s">
        <v>26606</v>
      </c>
      <c r="D9454" t="s">
        <v>26607</v>
      </c>
      <c r="E9454" t="s">
        <v>26608</v>
      </c>
      <c r="F9454" t="s">
        <v>29876</v>
      </c>
      <c r="G9454" s="2" t="str">
        <f>HYPERLINK("https://probpalata.gov.ru/files/ЮЛ770103054400011.jpeg","Скачать индивидуальный QR-код магазина")</f>
        <v>Скачать индивидуальный QR-код магазина</v>
      </c>
    </row>
    <row r="9455" spans="1:7" x14ac:dyDescent="0.25">
      <c r="A9455" t="s">
        <v>26937</v>
      </c>
      <c r="B9455" t="s">
        <v>29877</v>
      </c>
      <c r="C9455" t="s">
        <v>29878</v>
      </c>
      <c r="D9455" t="s">
        <v>29879</v>
      </c>
      <c r="E9455" t="s">
        <v>29880</v>
      </c>
      <c r="F9455" t="s">
        <v>29881</v>
      </c>
      <c r="G9455" s="2" t="str">
        <f>HYPERLINK("https://probpalata.gov.ru/files/ЮЛ770103720400000.jpeg","Скачать индивидуальный QR-код магазина")</f>
        <v>Скачать индивидуальный QR-код магазина</v>
      </c>
    </row>
    <row r="9456" spans="1:7" x14ac:dyDescent="0.25">
      <c r="A9456" t="s">
        <v>26937</v>
      </c>
      <c r="B9456" t="s">
        <v>29882</v>
      </c>
      <c r="C9456" t="s">
        <v>15618</v>
      </c>
      <c r="D9456" t="s">
        <v>15619</v>
      </c>
      <c r="E9456" t="s">
        <v>15620</v>
      </c>
      <c r="F9456" t="s">
        <v>29883</v>
      </c>
      <c r="G9456" s="2" t="str">
        <f>HYPERLINK("https://probpalata.gov.ru/files/ЮЛ770103502400009.jpeg","Скачать индивидуальный QR-код магазина")</f>
        <v>Скачать индивидуальный QR-код магазина</v>
      </c>
    </row>
    <row r="9457" spans="1:7" x14ac:dyDescent="0.25">
      <c r="A9457" t="s">
        <v>26937</v>
      </c>
      <c r="B9457" t="s">
        <v>29884</v>
      </c>
      <c r="C9457" t="s">
        <v>15618</v>
      </c>
      <c r="D9457" t="s">
        <v>15619</v>
      </c>
      <c r="E9457" t="s">
        <v>15620</v>
      </c>
      <c r="F9457" t="s">
        <v>29885</v>
      </c>
      <c r="G9457" s="2" t="str">
        <f>HYPERLINK("https://probpalata.gov.ru/files/ЮЛ770103502400018.jpeg","Скачать индивидуальный QR-код магазина")</f>
        <v>Скачать индивидуальный QR-код магазина</v>
      </c>
    </row>
    <row r="9458" spans="1:7" x14ac:dyDescent="0.25">
      <c r="A9458" t="s">
        <v>26937</v>
      </c>
      <c r="B9458" t="s">
        <v>29886</v>
      </c>
      <c r="C9458" t="s">
        <v>26755</v>
      </c>
      <c r="D9458" t="s">
        <v>26756</v>
      </c>
      <c r="E9458" t="s">
        <v>26757</v>
      </c>
      <c r="F9458" t="s">
        <v>29887</v>
      </c>
      <c r="G9458" s="2" t="str">
        <f>HYPERLINK("https://probpalata.gov.ru/files/ЮЛ770103296600003.jpeg","Скачать индивидуальный QR-код магазина")</f>
        <v>Скачать индивидуальный QR-код магазина</v>
      </c>
    </row>
    <row r="9459" spans="1:7" x14ac:dyDescent="0.25">
      <c r="A9459" t="s">
        <v>26937</v>
      </c>
      <c r="B9459" t="s">
        <v>29888</v>
      </c>
      <c r="C9459" t="s">
        <v>29889</v>
      </c>
      <c r="D9459" t="s">
        <v>29890</v>
      </c>
      <c r="E9459" t="s">
        <v>29891</v>
      </c>
      <c r="F9459" t="s">
        <v>29892</v>
      </c>
      <c r="G9459" s="2" t="str">
        <f>HYPERLINK("https://probpalata.gov.ru/files/ЮЛ500103636400000.jpeg","Скачать индивидуальный QR-код магазина")</f>
        <v>Скачать индивидуальный QR-код магазина</v>
      </c>
    </row>
    <row r="9460" spans="1:7" x14ac:dyDescent="0.25">
      <c r="A9460" t="s">
        <v>26937</v>
      </c>
      <c r="B9460" t="s">
        <v>29893</v>
      </c>
      <c r="C9460" t="s">
        <v>26764</v>
      </c>
      <c r="D9460" t="s">
        <v>26765</v>
      </c>
      <c r="E9460" t="s">
        <v>26766</v>
      </c>
      <c r="F9460" t="s">
        <v>29894</v>
      </c>
      <c r="G9460" s="2" t="str">
        <f>HYPERLINK("https://probpalata.gov.ru/files/ЮЛ770101971700001.jpeg","Скачать индивидуальный QR-код магазина")</f>
        <v>Скачать индивидуальный QR-код магазина</v>
      </c>
    </row>
    <row r="9461" spans="1:7" x14ac:dyDescent="0.25">
      <c r="A9461" t="s">
        <v>26937</v>
      </c>
      <c r="B9461" t="s">
        <v>29895</v>
      </c>
      <c r="C9461" t="s">
        <v>26853</v>
      </c>
      <c r="D9461" t="s">
        <v>26854</v>
      </c>
      <c r="E9461" t="s">
        <v>26855</v>
      </c>
      <c r="F9461" t="s">
        <v>29896</v>
      </c>
      <c r="G9461" s="2" t="str">
        <f>HYPERLINK("https://probpalata.gov.ru/files/ЮЛ770100242600002.jpeg","Скачать индивидуальный QR-код магазина")</f>
        <v>Скачать индивидуальный QR-код магазина</v>
      </c>
    </row>
    <row r="9462" spans="1:7" x14ac:dyDescent="0.25">
      <c r="A9462" t="s">
        <v>26937</v>
      </c>
      <c r="B9462" t="s">
        <v>29897</v>
      </c>
      <c r="C9462" t="s">
        <v>26853</v>
      </c>
      <c r="D9462" t="s">
        <v>26854</v>
      </c>
      <c r="E9462" t="s">
        <v>26855</v>
      </c>
      <c r="F9462" t="s">
        <v>29898</v>
      </c>
      <c r="G9462" s="2" t="str">
        <f>HYPERLINK("https://probpalata.gov.ru/files/ЮЛ770100242600003.jpeg","Скачать индивидуальный QR-код магазина")</f>
        <v>Скачать индивидуальный QR-код магазина</v>
      </c>
    </row>
    <row r="9463" spans="1:7" x14ac:dyDescent="0.25">
      <c r="A9463" t="s">
        <v>26937</v>
      </c>
      <c r="B9463" t="s">
        <v>29899</v>
      </c>
      <c r="C9463" t="s">
        <v>26853</v>
      </c>
      <c r="D9463" t="s">
        <v>26854</v>
      </c>
      <c r="E9463" t="s">
        <v>26855</v>
      </c>
      <c r="F9463" t="s">
        <v>29900</v>
      </c>
      <c r="G9463" s="2" t="str">
        <f>HYPERLINK("https://probpalata.gov.ru/files/ЮЛ770100242600004.jpeg","Скачать индивидуальный QR-код магазина")</f>
        <v>Скачать индивидуальный QR-код магазина</v>
      </c>
    </row>
    <row r="9464" spans="1:7" x14ac:dyDescent="0.25">
      <c r="A9464" t="s">
        <v>26937</v>
      </c>
      <c r="B9464" t="s">
        <v>29901</v>
      </c>
      <c r="C9464" t="s">
        <v>26853</v>
      </c>
      <c r="D9464" t="s">
        <v>26854</v>
      </c>
      <c r="E9464" t="s">
        <v>26855</v>
      </c>
      <c r="F9464" t="s">
        <v>29902</v>
      </c>
      <c r="G9464" s="2" t="str">
        <f>HYPERLINK("https://probpalata.gov.ru/files/ЮЛ770100242600009.jpeg","Скачать индивидуальный QR-код магазина")</f>
        <v>Скачать индивидуальный QR-код магазина</v>
      </c>
    </row>
    <row r="9465" spans="1:7" x14ac:dyDescent="0.25">
      <c r="A9465" t="s">
        <v>26937</v>
      </c>
      <c r="B9465" t="s">
        <v>27552</v>
      </c>
      <c r="C9465" t="s">
        <v>26853</v>
      </c>
      <c r="D9465" t="s">
        <v>26854</v>
      </c>
      <c r="E9465" t="s">
        <v>26855</v>
      </c>
      <c r="F9465" t="s">
        <v>29903</v>
      </c>
      <c r="G9465" s="2" t="str">
        <f>HYPERLINK("https://probpalata.gov.ru/files/ЮЛ770100242600014.jpeg","Скачать индивидуальный QR-код магазина")</f>
        <v>Скачать индивидуальный QR-код магазина</v>
      </c>
    </row>
    <row r="9466" spans="1:7" x14ac:dyDescent="0.25">
      <c r="A9466" t="s">
        <v>26937</v>
      </c>
      <c r="B9466" t="s">
        <v>29904</v>
      </c>
      <c r="C9466" t="s">
        <v>26853</v>
      </c>
      <c r="D9466" t="s">
        <v>26854</v>
      </c>
      <c r="E9466" t="s">
        <v>26855</v>
      </c>
      <c r="F9466" t="s">
        <v>29905</v>
      </c>
      <c r="G9466" s="2" t="str">
        <f>HYPERLINK("https://probpalata.gov.ru/files/ЮЛ770100242600016.jpeg","Скачать индивидуальный QR-код магазина")</f>
        <v>Скачать индивидуальный QR-код магазина</v>
      </c>
    </row>
    <row r="9467" spans="1:7" x14ac:dyDescent="0.25">
      <c r="A9467" t="s">
        <v>26937</v>
      </c>
      <c r="B9467" t="s">
        <v>29831</v>
      </c>
      <c r="C9467" t="s">
        <v>26853</v>
      </c>
      <c r="D9467" t="s">
        <v>26854</v>
      </c>
      <c r="E9467" t="s">
        <v>26855</v>
      </c>
      <c r="F9467" t="s">
        <v>29906</v>
      </c>
      <c r="G9467" s="2" t="str">
        <f>HYPERLINK("https://probpalata.gov.ru/files/ЮЛ770100242600017.jpeg","Скачать индивидуальный QR-код магазина")</f>
        <v>Скачать индивидуальный QR-код магазина</v>
      </c>
    </row>
    <row r="9468" spans="1:7" x14ac:dyDescent="0.25">
      <c r="A9468" t="s">
        <v>26937</v>
      </c>
      <c r="B9468" t="s">
        <v>29907</v>
      </c>
      <c r="C9468" t="s">
        <v>26853</v>
      </c>
      <c r="D9468" t="s">
        <v>26854</v>
      </c>
      <c r="E9468" t="s">
        <v>26855</v>
      </c>
      <c r="F9468" t="s">
        <v>29908</v>
      </c>
      <c r="G9468" s="2" t="str">
        <f>HYPERLINK("https://probpalata.gov.ru/files/ЮЛ770100242600023.jpeg","Скачать индивидуальный QR-код магазина")</f>
        <v>Скачать индивидуальный QR-код магазина</v>
      </c>
    </row>
    <row r="9469" spans="1:7" x14ac:dyDescent="0.25">
      <c r="A9469" t="s">
        <v>26937</v>
      </c>
      <c r="B9469" t="s">
        <v>29909</v>
      </c>
      <c r="C9469" t="s">
        <v>26853</v>
      </c>
      <c r="D9469" t="s">
        <v>26854</v>
      </c>
      <c r="E9469" t="s">
        <v>26855</v>
      </c>
      <c r="F9469" t="s">
        <v>29910</v>
      </c>
      <c r="G9469" s="2" t="str">
        <f>HYPERLINK("https://probpalata.gov.ru/files/ЮЛ770100242600024.jpeg","Скачать индивидуальный QR-код магазина")</f>
        <v>Скачать индивидуальный QR-код магазина</v>
      </c>
    </row>
    <row r="9470" spans="1:7" x14ac:dyDescent="0.25">
      <c r="A9470" t="s">
        <v>26937</v>
      </c>
      <c r="B9470" t="s">
        <v>29911</v>
      </c>
      <c r="C9470" t="s">
        <v>26853</v>
      </c>
      <c r="D9470" t="s">
        <v>26854</v>
      </c>
      <c r="E9470" t="s">
        <v>26855</v>
      </c>
      <c r="F9470" t="s">
        <v>29912</v>
      </c>
      <c r="G9470" s="2" t="str">
        <f>HYPERLINK("https://probpalata.gov.ru/files/ЮЛ770100242600030.jpeg","Скачать индивидуальный QR-код магазина")</f>
        <v>Скачать индивидуальный QR-код магазина</v>
      </c>
    </row>
    <row r="9471" spans="1:7" x14ac:dyDescent="0.25">
      <c r="A9471" t="s">
        <v>26937</v>
      </c>
      <c r="B9471" t="s">
        <v>29913</v>
      </c>
      <c r="C9471" t="s">
        <v>26853</v>
      </c>
      <c r="D9471" t="s">
        <v>26854</v>
      </c>
      <c r="E9471" t="s">
        <v>26855</v>
      </c>
      <c r="F9471" t="s">
        <v>29914</v>
      </c>
      <c r="G9471" s="2" t="str">
        <f>HYPERLINK("https://probpalata.gov.ru/files/ЮЛ770100242600031.jpeg","Скачать индивидуальный QR-код магазина")</f>
        <v>Скачать индивидуальный QR-код магазина</v>
      </c>
    </row>
    <row r="9472" spans="1:7" x14ac:dyDescent="0.25">
      <c r="A9472" t="s">
        <v>26937</v>
      </c>
      <c r="B9472" t="s">
        <v>29395</v>
      </c>
      <c r="C9472" t="s">
        <v>26853</v>
      </c>
      <c r="D9472" t="s">
        <v>26854</v>
      </c>
      <c r="E9472" t="s">
        <v>26855</v>
      </c>
      <c r="F9472" t="s">
        <v>29915</v>
      </c>
      <c r="G9472" s="2" t="str">
        <f>HYPERLINK("https://probpalata.gov.ru/files/ЮЛ770100242600032.jpeg","Скачать индивидуальный QR-код магазина")</f>
        <v>Скачать индивидуальный QR-код магазина</v>
      </c>
    </row>
    <row r="9473" spans="1:7" x14ac:dyDescent="0.25">
      <c r="A9473" t="s">
        <v>26937</v>
      </c>
      <c r="B9473" t="s">
        <v>29916</v>
      </c>
      <c r="C9473" t="s">
        <v>26853</v>
      </c>
      <c r="D9473" t="s">
        <v>26854</v>
      </c>
      <c r="E9473" t="s">
        <v>26855</v>
      </c>
      <c r="F9473" t="s">
        <v>29917</v>
      </c>
      <c r="G9473" s="2" t="str">
        <f>HYPERLINK("https://probpalata.gov.ru/files/ЮЛ770100242600033.jpeg","Скачать индивидуальный QR-код магазина")</f>
        <v>Скачать индивидуальный QR-код магазина</v>
      </c>
    </row>
    <row r="9474" spans="1:7" x14ac:dyDescent="0.25">
      <c r="A9474" t="s">
        <v>26937</v>
      </c>
      <c r="B9474" t="s">
        <v>29397</v>
      </c>
      <c r="C9474" t="s">
        <v>26853</v>
      </c>
      <c r="D9474" t="s">
        <v>26854</v>
      </c>
      <c r="E9474" t="s">
        <v>26855</v>
      </c>
      <c r="F9474" t="s">
        <v>29918</v>
      </c>
      <c r="G9474" s="2" t="str">
        <f>HYPERLINK("https://probpalata.gov.ru/files/ЮЛ770100242600035.jpeg","Скачать индивидуальный QR-код магазина")</f>
        <v>Скачать индивидуальный QR-код магазина</v>
      </c>
    </row>
    <row r="9475" spans="1:7" x14ac:dyDescent="0.25">
      <c r="A9475" t="s">
        <v>26937</v>
      </c>
      <c r="B9475" t="s">
        <v>29393</v>
      </c>
      <c r="C9475" t="s">
        <v>26853</v>
      </c>
      <c r="D9475" t="s">
        <v>26854</v>
      </c>
      <c r="E9475" t="s">
        <v>26855</v>
      </c>
      <c r="F9475" t="s">
        <v>29919</v>
      </c>
      <c r="G9475" s="2" t="str">
        <f>HYPERLINK("https://probpalata.gov.ru/files/ЮЛ770100242600039.jpeg","Скачать индивидуальный QR-код магазина")</f>
        <v>Скачать индивидуальный QR-код магазина</v>
      </c>
    </row>
    <row r="9476" spans="1:7" x14ac:dyDescent="0.25">
      <c r="A9476" t="s">
        <v>26937</v>
      </c>
      <c r="B9476" t="s">
        <v>29389</v>
      </c>
      <c r="C9476" t="s">
        <v>26853</v>
      </c>
      <c r="D9476" t="s">
        <v>26854</v>
      </c>
      <c r="E9476" t="s">
        <v>26855</v>
      </c>
      <c r="F9476" t="s">
        <v>29920</v>
      </c>
      <c r="G9476" s="2" t="str">
        <f>HYPERLINK("https://probpalata.gov.ru/files/ЮЛ770100242600040.jpeg","Скачать индивидуальный QR-код магазина")</f>
        <v>Скачать индивидуальный QR-код магазина</v>
      </c>
    </row>
    <row r="9477" spans="1:7" x14ac:dyDescent="0.25">
      <c r="A9477" t="s">
        <v>26937</v>
      </c>
      <c r="B9477" t="s">
        <v>29921</v>
      </c>
      <c r="C9477" t="s">
        <v>26853</v>
      </c>
      <c r="D9477" t="s">
        <v>26854</v>
      </c>
      <c r="E9477" t="s">
        <v>26855</v>
      </c>
      <c r="F9477" t="s">
        <v>29922</v>
      </c>
      <c r="G9477" s="2" t="str">
        <f>HYPERLINK("https://probpalata.gov.ru/files/ЮЛ770100242600046.jpeg","Скачать индивидуальный QR-код магазина")</f>
        <v>Скачать индивидуальный QR-код магазина</v>
      </c>
    </row>
    <row r="9478" spans="1:7" x14ac:dyDescent="0.25">
      <c r="A9478" t="s">
        <v>26937</v>
      </c>
      <c r="B9478" t="s">
        <v>29923</v>
      </c>
      <c r="C9478" t="s">
        <v>26853</v>
      </c>
      <c r="D9478" t="s">
        <v>26854</v>
      </c>
      <c r="E9478" t="s">
        <v>26855</v>
      </c>
      <c r="F9478" t="s">
        <v>29924</v>
      </c>
      <c r="G9478" s="2" t="str">
        <f>HYPERLINK("https://probpalata.gov.ru/files/ЮЛ770100242600053.jpeg","Скачать индивидуальный QR-код магазина")</f>
        <v>Скачать индивидуальный QR-код магазина</v>
      </c>
    </row>
    <row r="9479" spans="1:7" x14ac:dyDescent="0.25">
      <c r="A9479" t="s">
        <v>26937</v>
      </c>
      <c r="B9479" t="s">
        <v>29925</v>
      </c>
      <c r="C9479" t="s">
        <v>26853</v>
      </c>
      <c r="D9479" t="s">
        <v>26854</v>
      </c>
      <c r="E9479" t="s">
        <v>26855</v>
      </c>
      <c r="F9479" t="s">
        <v>29926</v>
      </c>
      <c r="G9479" s="2" t="str">
        <f>HYPERLINK("https://probpalata.gov.ru/files/ЮЛ770100242600058.jpeg","Скачать индивидуальный QR-код магазина")</f>
        <v>Скачать индивидуальный QR-код магазина</v>
      </c>
    </row>
    <row r="9480" spans="1:7" x14ac:dyDescent="0.25">
      <c r="A9480" t="s">
        <v>26937</v>
      </c>
      <c r="B9480" t="s">
        <v>29927</v>
      </c>
      <c r="C9480" t="s">
        <v>29928</v>
      </c>
      <c r="D9480" t="s">
        <v>29929</v>
      </c>
      <c r="E9480" t="s">
        <v>29930</v>
      </c>
      <c r="F9480" t="s">
        <v>29931</v>
      </c>
      <c r="G9480" s="2" t="str">
        <f>HYPERLINK("https://probpalata.gov.ru/files/ЮЛ770103764700000.jpeg","Скачать индивидуальный QR-код магазина")</f>
        <v>Скачать индивидуальный QR-код магазина</v>
      </c>
    </row>
    <row r="9481" spans="1:7" x14ac:dyDescent="0.25">
      <c r="A9481" t="s">
        <v>26937</v>
      </c>
      <c r="B9481" t="s">
        <v>29932</v>
      </c>
      <c r="C9481" t="s">
        <v>29928</v>
      </c>
      <c r="D9481" t="s">
        <v>29929</v>
      </c>
      <c r="E9481" t="s">
        <v>29930</v>
      </c>
      <c r="F9481" t="s">
        <v>29933</v>
      </c>
      <c r="G9481" s="2" t="str">
        <f>HYPERLINK("https://probpalata.gov.ru/files/ЮЛ770103764700001.jpeg","Скачать индивидуальный QR-код магазина")</f>
        <v>Скачать индивидуальный QR-код магазина</v>
      </c>
    </row>
    <row r="9482" spans="1:7" x14ac:dyDescent="0.25">
      <c r="A9482" t="s">
        <v>26937</v>
      </c>
      <c r="B9482" t="s">
        <v>29934</v>
      </c>
      <c r="C9482" t="s">
        <v>1853</v>
      </c>
      <c r="D9482" t="s">
        <v>1854</v>
      </c>
      <c r="E9482" t="s">
        <v>1855</v>
      </c>
      <c r="F9482" t="s">
        <v>29935</v>
      </c>
      <c r="G9482" s="2" t="str">
        <f>HYPERLINK("https://probpalata.gov.ru/files/ЮЛ770104000500004.jpeg","Скачать индивидуальный QR-код магазина")</f>
        <v>Скачать индивидуальный QR-код магазина</v>
      </c>
    </row>
    <row r="9483" spans="1:7" x14ac:dyDescent="0.25">
      <c r="A9483" t="s">
        <v>26937</v>
      </c>
      <c r="B9483" t="s">
        <v>29936</v>
      </c>
      <c r="C9483" t="s">
        <v>1853</v>
      </c>
      <c r="D9483" t="s">
        <v>1854</v>
      </c>
      <c r="E9483" t="s">
        <v>1855</v>
      </c>
      <c r="F9483" t="s">
        <v>29937</v>
      </c>
      <c r="G9483" s="2" t="str">
        <f>HYPERLINK("https://probpalata.gov.ru/files/ЮЛ770104000500007.jpeg","Скачать индивидуальный QR-код магазина")</f>
        <v>Скачать индивидуальный QR-код магазина</v>
      </c>
    </row>
    <row r="9484" spans="1:7" x14ac:dyDescent="0.25">
      <c r="A9484" t="s">
        <v>29938</v>
      </c>
      <c r="B9484" t="s">
        <v>29939</v>
      </c>
      <c r="C9484" t="s">
        <v>671</v>
      </c>
      <c r="D9484" t="s">
        <v>672</v>
      </c>
      <c r="E9484" t="s">
        <v>673</v>
      </c>
      <c r="F9484" t="s">
        <v>29940</v>
      </c>
      <c r="G9484" s="2" t="str">
        <f>HYPERLINK("https://probpalata.gov.ru/files/ИП500100445500015.jpeg","Скачать индивидуальный QR-код магазина")</f>
        <v>Скачать индивидуальный QR-код магазина</v>
      </c>
    </row>
    <row r="9485" spans="1:7" x14ac:dyDescent="0.25">
      <c r="A9485" t="s">
        <v>29938</v>
      </c>
      <c r="B9485" t="s">
        <v>29941</v>
      </c>
      <c r="C9485" t="s">
        <v>671</v>
      </c>
      <c r="D9485" t="s">
        <v>672</v>
      </c>
      <c r="E9485" t="s">
        <v>673</v>
      </c>
      <c r="F9485" t="s">
        <v>29942</v>
      </c>
      <c r="G9485" s="2" t="str">
        <f>HYPERLINK("https://probpalata.gov.ru/files/ИП500100445500059.jpeg","Скачать индивидуальный QR-код магазина")</f>
        <v>Скачать индивидуальный QR-код магазина</v>
      </c>
    </row>
    <row r="9486" spans="1:7" x14ac:dyDescent="0.25">
      <c r="A9486" t="s">
        <v>29938</v>
      </c>
      <c r="B9486" t="s">
        <v>29943</v>
      </c>
      <c r="C9486" t="s">
        <v>29944</v>
      </c>
      <c r="D9486" t="s">
        <v>29945</v>
      </c>
      <c r="E9486" t="s">
        <v>29946</v>
      </c>
      <c r="F9486" t="s">
        <v>29947</v>
      </c>
      <c r="G9486" s="2" t="str">
        <f>HYPERLINK("https://probpalata.gov.ru/files/ИП510300255100000.jpeg","Скачать индивидуальный QR-код магазина")</f>
        <v>Скачать индивидуальный QR-код магазина</v>
      </c>
    </row>
    <row r="9487" spans="1:7" x14ac:dyDescent="0.25">
      <c r="A9487" t="s">
        <v>29938</v>
      </c>
      <c r="B9487" t="s">
        <v>29948</v>
      </c>
      <c r="C9487" t="s">
        <v>29944</v>
      </c>
      <c r="D9487" t="s">
        <v>29945</v>
      </c>
      <c r="E9487" t="s">
        <v>29946</v>
      </c>
      <c r="F9487" t="s">
        <v>29949</v>
      </c>
      <c r="G9487" s="2" t="str">
        <f>HYPERLINK("https://probpalata.gov.ru/files/ИП510300255100001.jpeg","Скачать индивидуальный QR-код магазина")</f>
        <v>Скачать индивидуальный QR-код магазина</v>
      </c>
    </row>
    <row r="9488" spans="1:7" x14ac:dyDescent="0.25">
      <c r="A9488" t="s">
        <v>29938</v>
      </c>
      <c r="B9488" t="s">
        <v>29950</v>
      </c>
      <c r="C9488" t="s">
        <v>29944</v>
      </c>
      <c r="D9488" t="s">
        <v>29945</v>
      </c>
      <c r="E9488" t="s">
        <v>29946</v>
      </c>
      <c r="F9488" t="s">
        <v>29951</v>
      </c>
      <c r="G9488" s="2" t="str">
        <f>HYPERLINK("https://probpalata.gov.ru/files/ИП510300255100002.jpeg","Скачать индивидуальный QR-код магазина")</f>
        <v>Скачать индивидуальный QR-код магазина</v>
      </c>
    </row>
    <row r="9489" spans="1:7" x14ac:dyDescent="0.25">
      <c r="A9489" t="s">
        <v>29938</v>
      </c>
      <c r="B9489" t="s">
        <v>29952</v>
      </c>
      <c r="C9489" t="s">
        <v>29944</v>
      </c>
      <c r="D9489" t="s">
        <v>29945</v>
      </c>
      <c r="E9489" t="s">
        <v>29946</v>
      </c>
      <c r="F9489" t="s">
        <v>29953</v>
      </c>
      <c r="G9489" s="2" t="str">
        <f>HYPERLINK("https://probpalata.gov.ru/files/ИП510300255100003.jpeg","Скачать индивидуальный QR-код магазина")</f>
        <v>Скачать индивидуальный QR-код магазина</v>
      </c>
    </row>
    <row r="9490" spans="1:7" x14ac:dyDescent="0.25">
      <c r="A9490" t="s">
        <v>29938</v>
      </c>
      <c r="B9490" t="s">
        <v>29954</v>
      </c>
      <c r="C9490" t="s">
        <v>29944</v>
      </c>
      <c r="D9490" t="s">
        <v>29945</v>
      </c>
      <c r="E9490" t="s">
        <v>29946</v>
      </c>
      <c r="F9490" t="s">
        <v>29955</v>
      </c>
      <c r="G9490" s="2" t="str">
        <f>HYPERLINK("https://probpalata.gov.ru/files/ИП510300255100004.jpeg","Скачать индивидуальный QR-код магазина")</f>
        <v>Скачать индивидуальный QR-код магазина</v>
      </c>
    </row>
    <row r="9491" spans="1:7" x14ac:dyDescent="0.25">
      <c r="A9491" t="s">
        <v>29938</v>
      </c>
      <c r="B9491" t="s">
        <v>29956</v>
      </c>
      <c r="C9491" t="s">
        <v>29944</v>
      </c>
      <c r="D9491" t="s">
        <v>29945</v>
      </c>
      <c r="E9491" t="s">
        <v>29946</v>
      </c>
      <c r="F9491" t="s">
        <v>29957</v>
      </c>
      <c r="G9491" s="2" t="str">
        <f>HYPERLINK("https://probpalata.gov.ru/files/ИП510300255100006.jpeg","Скачать индивидуальный QR-код магазина")</f>
        <v>Скачать индивидуальный QR-код магазина</v>
      </c>
    </row>
    <row r="9492" spans="1:7" x14ac:dyDescent="0.25">
      <c r="A9492" t="s">
        <v>29938</v>
      </c>
      <c r="B9492" t="s">
        <v>29958</v>
      </c>
      <c r="C9492" t="s">
        <v>29944</v>
      </c>
      <c r="D9492" t="s">
        <v>29945</v>
      </c>
      <c r="E9492" t="s">
        <v>29946</v>
      </c>
      <c r="F9492" t="s">
        <v>29959</v>
      </c>
      <c r="G9492" s="2" t="str">
        <f>HYPERLINK("https://probpalata.gov.ru/files/ИП510300255100007.jpeg","Скачать индивидуальный QR-код магазина")</f>
        <v>Скачать индивидуальный QR-код магазина</v>
      </c>
    </row>
    <row r="9493" spans="1:7" x14ac:dyDescent="0.25">
      <c r="A9493" t="s">
        <v>29938</v>
      </c>
      <c r="B9493" t="s">
        <v>29960</v>
      </c>
      <c r="C9493" t="s">
        <v>29944</v>
      </c>
      <c r="D9493" t="s">
        <v>29945</v>
      </c>
      <c r="E9493" t="s">
        <v>29946</v>
      </c>
      <c r="F9493" t="s">
        <v>29961</v>
      </c>
      <c r="G9493" s="2" t="str">
        <f>HYPERLINK("https://probpalata.gov.ru/files/ИП510300255100008.jpeg","Скачать индивидуальный QR-код магазина")</f>
        <v>Скачать индивидуальный QR-код магазина</v>
      </c>
    </row>
    <row r="9494" spans="1:7" x14ac:dyDescent="0.25">
      <c r="A9494" t="s">
        <v>29938</v>
      </c>
      <c r="B9494" t="s">
        <v>29962</v>
      </c>
      <c r="C9494" t="s">
        <v>29944</v>
      </c>
      <c r="D9494" t="s">
        <v>29945</v>
      </c>
      <c r="E9494" t="s">
        <v>29946</v>
      </c>
      <c r="F9494" t="s">
        <v>29963</v>
      </c>
      <c r="G9494" s="2" t="str">
        <f>HYPERLINK("https://probpalata.gov.ru/files/ИП510300255100009.jpeg","Скачать индивидуальный QR-код магазина")</f>
        <v>Скачать индивидуальный QR-код магазина</v>
      </c>
    </row>
    <row r="9495" spans="1:7" x14ac:dyDescent="0.25">
      <c r="A9495" t="s">
        <v>29938</v>
      </c>
      <c r="B9495" t="s">
        <v>29964</v>
      </c>
      <c r="C9495" t="s">
        <v>29944</v>
      </c>
      <c r="D9495" t="s">
        <v>29945</v>
      </c>
      <c r="E9495" t="s">
        <v>29946</v>
      </c>
      <c r="F9495" t="s">
        <v>29965</v>
      </c>
      <c r="G9495" s="2" t="str">
        <f>HYPERLINK("https://probpalata.gov.ru/files/ИП510300255100010.jpeg","Скачать индивидуальный QR-код магазина")</f>
        <v>Скачать индивидуальный QR-код магазина</v>
      </c>
    </row>
    <row r="9496" spans="1:7" x14ac:dyDescent="0.25">
      <c r="A9496" t="s">
        <v>29938</v>
      </c>
      <c r="B9496" t="s">
        <v>29966</v>
      </c>
      <c r="C9496" t="s">
        <v>29944</v>
      </c>
      <c r="D9496" t="s">
        <v>29945</v>
      </c>
      <c r="E9496" t="s">
        <v>29946</v>
      </c>
      <c r="F9496" t="s">
        <v>29967</v>
      </c>
      <c r="G9496" s="2" t="str">
        <f>HYPERLINK("https://probpalata.gov.ru/files/ИП510300255100011.jpeg","Скачать индивидуальный QR-код магазина")</f>
        <v>Скачать индивидуальный QR-код магазина</v>
      </c>
    </row>
    <row r="9497" spans="1:7" x14ac:dyDescent="0.25">
      <c r="A9497" t="s">
        <v>29938</v>
      </c>
      <c r="B9497" t="s">
        <v>29968</v>
      </c>
      <c r="C9497" t="s">
        <v>29944</v>
      </c>
      <c r="D9497" t="s">
        <v>29945</v>
      </c>
      <c r="E9497" t="s">
        <v>29946</v>
      </c>
      <c r="F9497" t="s">
        <v>29969</v>
      </c>
      <c r="G9497" s="2" t="str">
        <f>HYPERLINK("https://probpalata.gov.ru/files/ИП510300255100012.jpeg","Скачать индивидуальный QR-код магазина")</f>
        <v>Скачать индивидуальный QR-код магазина</v>
      </c>
    </row>
    <row r="9498" spans="1:7" x14ac:dyDescent="0.25">
      <c r="A9498" t="s">
        <v>29938</v>
      </c>
      <c r="B9498" t="s">
        <v>29970</v>
      </c>
      <c r="C9498" t="s">
        <v>29944</v>
      </c>
      <c r="D9498" t="s">
        <v>29945</v>
      </c>
      <c r="E9498" t="s">
        <v>29946</v>
      </c>
      <c r="F9498" t="s">
        <v>29971</v>
      </c>
      <c r="G9498" s="2" t="str">
        <f>HYPERLINK("https://probpalata.gov.ru/files/ИП510300255100013.jpeg","Скачать индивидуальный QR-код магазина")</f>
        <v>Скачать индивидуальный QR-код магазина</v>
      </c>
    </row>
    <row r="9499" spans="1:7" x14ac:dyDescent="0.25">
      <c r="A9499" t="s">
        <v>29938</v>
      </c>
      <c r="B9499" t="s">
        <v>29972</v>
      </c>
      <c r="C9499" t="s">
        <v>29944</v>
      </c>
      <c r="D9499" t="s">
        <v>29945</v>
      </c>
      <c r="E9499" t="s">
        <v>29946</v>
      </c>
      <c r="F9499" t="s">
        <v>29973</v>
      </c>
      <c r="G9499" s="2" t="str">
        <f>HYPERLINK("https://probpalata.gov.ru/files/ИП510300255100014.jpeg","Скачать индивидуальный QR-код магазина")</f>
        <v>Скачать индивидуальный QR-код магазина</v>
      </c>
    </row>
    <row r="9500" spans="1:7" x14ac:dyDescent="0.25">
      <c r="A9500" t="s">
        <v>29938</v>
      </c>
      <c r="B9500" t="s">
        <v>29974</v>
      </c>
      <c r="C9500" t="s">
        <v>29944</v>
      </c>
      <c r="D9500" t="s">
        <v>29945</v>
      </c>
      <c r="E9500" t="s">
        <v>29946</v>
      </c>
      <c r="F9500" t="s">
        <v>29975</v>
      </c>
      <c r="G9500" s="2" t="str">
        <f>HYPERLINK("https://probpalata.gov.ru/files/ИП510300255100015.jpeg","Скачать индивидуальный QR-код магазина")</f>
        <v>Скачать индивидуальный QR-код магазина</v>
      </c>
    </row>
    <row r="9501" spans="1:7" x14ac:dyDescent="0.25">
      <c r="A9501" t="s">
        <v>29938</v>
      </c>
      <c r="B9501" t="s">
        <v>29976</v>
      </c>
      <c r="C9501" t="s">
        <v>29944</v>
      </c>
      <c r="D9501" t="s">
        <v>29945</v>
      </c>
      <c r="E9501" t="s">
        <v>29946</v>
      </c>
      <c r="F9501" t="s">
        <v>29977</v>
      </c>
      <c r="G9501" s="2" t="str">
        <f>HYPERLINK("https://probpalata.gov.ru/files/ИП510300255100016.jpeg","Скачать индивидуальный QR-код магазина")</f>
        <v>Скачать индивидуальный QR-код магазина</v>
      </c>
    </row>
    <row r="9502" spans="1:7" x14ac:dyDescent="0.25">
      <c r="A9502" t="s">
        <v>29938</v>
      </c>
      <c r="B9502" t="s">
        <v>29978</v>
      </c>
      <c r="C9502" t="s">
        <v>29944</v>
      </c>
      <c r="D9502" t="s">
        <v>29945</v>
      </c>
      <c r="E9502" t="s">
        <v>29946</v>
      </c>
      <c r="F9502" t="s">
        <v>29979</v>
      </c>
      <c r="G9502" s="2" t="str">
        <f>HYPERLINK("https://probpalata.gov.ru/files/ИП510300255100017.jpeg","Скачать индивидуальный QR-код магазина")</f>
        <v>Скачать индивидуальный QR-код магазина</v>
      </c>
    </row>
    <row r="9503" spans="1:7" x14ac:dyDescent="0.25">
      <c r="A9503" t="s">
        <v>29938</v>
      </c>
      <c r="B9503" t="s">
        <v>29980</v>
      </c>
      <c r="C9503" t="s">
        <v>29981</v>
      </c>
      <c r="D9503" t="s">
        <v>29982</v>
      </c>
      <c r="E9503" t="s">
        <v>29983</v>
      </c>
      <c r="F9503" t="s">
        <v>29984</v>
      </c>
      <c r="G9503" s="2" t="str">
        <f>HYPERLINK("https://probpalata.gov.ru/files/ИП510301952700000.jpeg","Скачать индивидуальный QR-код магазина")</f>
        <v>Скачать индивидуальный QR-код магазина</v>
      </c>
    </row>
    <row r="9504" spans="1:7" x14ac:dyDescent="0.25">
      <c r="A9504" t="s">
        <v>29938</v>
      </c>
      <c r="B9504" t="s">
        <v>29985</v>
      </c>
      <c r="C9504" t="s">
        <v>29986</v>
      </c>
      <c r="D9504" t="s">
        <v>29987</v>
      </c>
      <c r="E9504" t="s">
        <v>29988</v>
      </c>
      <c r="F9504" t="s">
        <v>29989</v>
      </c>
      <c r="G9504" s="2" t="str">
        <f>HYPERLINK("https://probpalata.gov.ru/files/ИП510300229400000.jpeg","Скачать индивидуальный QR-код магазина")</f>
        <v>Скачать индивидуальный QR-код магазина</v>
      </c>
    </row>
    <row r="9505" spans="1:7" x14ac:dyDescent="0.25">
      <c r="A9505" t="s">
        <v>29938</v>
      </c>
      <c r="B9505" t="s">
        <v>29990</v>
      </c>
      <c r="C9505" t="s">
        <v>29991</v>
      </c>
      <c r="D9505" t="s">
        <v>29992</v>
      </c>
      <c r="E9505" t="s">
        <v>29993</v>
      </c>
      <c r="F9505" t="s">
        <v>29994</v>
      </c>
      <c r="G9505" s="2" t="str">
        <f>HYPERLINK("https://probpalata.gov.ru/files/ИП510300823700000.jpeg","Скачать индивидуальный QR-код магазина")</f>
        <v>Скачать индивидуальный QR-код магазина</v>
      </c>
    </row>
    <row r="9506" spans="1:7" x14ac:dyDescent="0.25">
      <c r="A9506" t="s">
        <v>29938</v>
      </c>
      <c r="B9506" t="s">
        <v>29995</v>
      </c>
      <c r="C9506" t="s">
        <v>29996</v>
      </c>
      <c r="D9506" t="s">
        <v>29997</v>
      </c>
      <c r="E9506" t="s">
        <v>29998</v>
      </c>
      <c r="F9506" t="s">
        <v>29999</v>
      </c>
      <c r="G9506" s="2" t="str">
        <f>HYPERLINK("https://probpalata.gov.ru/files/ИП510301952800000.jpeg","Скачать индивидуальный QR-код магазина")</f>
        <v>Скачать индивидуальный QR-код магазина</v>
      </c>
    </row>
    <row r="9507" spans="1:7" x14ac:dyDescent="0.25">
      <c r="A9507" t="s">
        <v>29938</v>
      </c>
      <c r="B9507" t="s">
        <v>30000</v>
      </c>
      <c r="C9507" t="s">
        <v>30001</v>
      </c>
      <c r="D9507" t="s">
        <v>30002</v>
      </c>
      <c r="E9507" t="s">
        <v>30003</v>
      </c>
      <c r="F9507" t="s">
        <v>30004</v>
      </c>
      <c r="G9507" s="2" t="str">
        <f>HYPERLINK("https://probpalata.gov.ru/files/ИП510300269900000.jpeg","Скачать индивидуальный QR-код магазина")</f>
        <v>Скачать индивидуальный QR-код магазина</v>
      </c>
    </row>
    <row r="9508" spans="1:7" x14ac:dyDescent="0.25">
      <c r="A9508" t="s">
        <v>29938</v>
      </c>
      <c r="B9508" t="s">
        <v>30005</v>
      </c>
      <c r="C9508" t="s">
        <v>30006</v>
      </c>
      <c r="D9508" t="s">
        <v>30007</v>
      </c>
      <c r="E9508" t="s">
        <v>30008</v>
      </c>
      <c r="F9508" t="s">
        <v>30009</v>
      </c>
      <c r="G9508" s="2" t="str">
        <f>HYPERLINK("https://probpalata.gov.ru/files/ИП510300332400000.jpeg","Скачать индивидуальный QR-код магазина")</f>
        <v>Скачать индивидуальный QR-код магазина</v>
      </c>
    </row>
    <row r="9509" spans="1:7" x14ac:dyDescent="0.25">
      <c r="A9509" t="s">
        <v>29938</v>
      </c>
      <c r="B9509" t="s">
        <v>30010</v>
      </c>
      <c r="C9509" t="s">
        <v>30006</v>
      </c>
      <c r="D9509" t="s">
        <v>30007</v>
      </c>
      <c r="E9509" t="s">
        <v>30008</v>
      </c>
      <c r="F9509" t="s">
        <v>30011</v>
      </c>
      <c r="G9509" s="2" t="str">
        <f>HYPERLINK("https://probpalata.gov.ru/files/ИП510300332400005.jpeg","Скачать индивидуальный QR-код магазина")</f>
        <v>Скачать индивидуальный QR-код магазина</v>
      </c>
    </row>
    <row r="9510" spans="1:7" x14ac:dyDescent="0.25">
      <c r="A9510" t="s">
        <v>29938</v>
      </c>
      <c r="B9510" t="s">
        <v>30012</v>
      </c>
      <c r="C9510" t="s">
        <v>30013</v>
      </c>
      <c r="D9510" t="s">
        <v>30014</v>
      </c>
      <c r="E9510" t="s">
        <v>30015</v>
      </c>
      <c r="F9510" t="s">
        <v>30016</v>
      </c>
      <c r="G9510" s="2" t="str">
        <f>HYPERLINK("https://probpalata.gov.ru/files/ИП510301313900000.jpeg","Скачать индивидуальный QR-код магазина")</f>
        <v>Скачать индивидуальный QR-код магазина</v>
      </c>
    </row>
    <row r="9511" spans="1:7" x14ac:dyDescent="0.25">
      <c r="A9511" t="s">
        <v>29938</v>
      </c>
      <c r="B9511" t="s">
        <v>30017</v>
      </c>
      <c r="C9511" t="s">
        <v>30018</v>
      </c>
      <c r="D9511" t="s">
        <v>30019</v>
      </c>
      <c r="E9511" t="s">
        <v>30020</v>
      </c>
      <c r="F9511" t="s">
        <v>30021</v>
      </c>
      <c r="G9511" s="2" t="str">
        <f>HYPERLINK("https://probpalata.gov.ru/files/ИП510300486800000.jpeg","Скачать индивидуальный QR-код магазина")</f>
        <v>Скачать индивидуальный QR-код магазина</v>
      </c>
    </row>
    <row r="9512" spans="1:7" x14ac:dyDescent="0.25">
      <c r="A9512" t="s">
        <v>29938</v>
      </c>
      <c r="B9512" t="s">
        <v>30022</v>
      </c>
      <c r="C9512" t="s">
        <v>30023</v>
      </c>
      <c r="D9512" t="s">
        <v>30024</v>
      </c>
      <c r="E9512" t="s">
        <v>30025</v>
      </c>
      <c r="F9512" t="s">
        <v>30026</v>
      </c>
      <c r="G9512" s="2" t="str">
        <f>HYPERLINK("https://probpalata.gov.ru/files/ИП510304111200000.jpeg","Скачать индивидуальный QR-код магазина")</f>
        <v>Скачать индивидуальный QR-код магазина</v>
      </c>
    </row>
    <row r="9513" spans="1:7" x14ac:dyDescent="0.25">
      <c r="A9513" t="s">
        <v>29938</v>
      </c>
      <c r="B9513" t="s">
        <v>30027</v>
      </c>
      <c r="C9513" t="s">
        <v>30023</v>
      </c>
      <c r="D9513" t="s">
        <v>30024</v>
      </c>
      <c r="E9513" t="s">
        <v>30025</v>
      </c>
      <c r="F9513" t="s">
        <v>30028</v>
      </c>
      <c r="G9513" s="2" t="str">
        <f>HYPERLINK("https://probpalata.gov.ru/files/ИП510304111200001.jpeg","Скачать индивидуальный QR-код магазина")</f>
        <v>Скачать индивидуальный QR-код магазина</v>
      </c>
    </row>
    <row r="9514" spans="1:7" x14ac:dyDescent="0.25">
      <c r="A9514" t="s">
        <v>29938</v>
      </c>
      <c r="B9514" t="s">
        <v>30029</v>
      </c>
      <c r="C9514" t="s">
        <v>30023</v>
      </c>
      <c r="D9514" t="s">
        <v>30024</v>
      </c>
      <c r="E9514" t="s">
        <v>30025</v>
      </c>
      <c r="F9514" t="s">
        <v>30030</v>
      </c>
      <c r="G9514" s="2" t="str">
        <f>HYPERLINK("https://probpalata.gov.ru/files/ИП510304111200003.jpeg","Скачать индивидуальный QR-код магазина")</f>
        <v>Скачать индивидуальный QR-код магазина</v>
      </c>
    </row>
    <row r="9515" spans="1:7" x14ac:dyDescent="0.25">
      <c r="A9515" t="s">
        <v>29938</v>
      </c>
      <c r="B9515" t="s">
        <v>30031</v>
      </c>
      <c r="C9515" t="s">
        <v>30032</v>
      </c>
      <c r="D9515" t="s">
        <v>30033</v>
      </c>
      <c r="E9515" t="s">
        <v>30034</v>
      </c>
      <c r="F9515" t="s">
        <v>30035</v>
      </c>
      <c r="G9515" s="2" t="str">
        <f>HYPERLINK("https://probpalata.gov.ru/files/ИП510300408400000.jpeg","Скачать индивидуальный QR-код магазина")</f>
        <v>Скачать индивидуальный QR-код магазина</v>
      </c>
    </row>
    <row r="9516" spans="1:7" x14ac:dyDescent="0.25">
      <c r="A9516" t="s">
        <v>29938</v>
      </c>
      <c r="B9516" t="s">
        <v>30036</v>
      </c>
      <c r="C9516" t="s">
        <v>30037</v>
      </c>
      <c r="D9516" t="s">
        <v>30038</v>
      </c>
      <c r="E9516" t="s">
        <v>30039</v>
      </c>
      <c r="F9516" t="s">
        <v>30040</v>
      </c>
      <c r="G9516" s="2" t="str">
        <f>HYPERLINK("https://probpalata.gov.ru/files/ИП510301996800000.jpeg","Скачать индивидуальный QR-код магазина")</f>
        <v>Скачать индивидуальный QR-код магазина</v>
      </c>
    </row>
    <row r="9517" spans="1:7" x14ac:dyDescent="0.25">
      <c r="A9517" t="s">
        <v>29938</v>
      </c>
      <c r="B9517" t="s">
        <v>30041</v>
      </c>
      <c r="C9517" t="s">
        <v>1735</v>
      </c>
      <c r="D9517" t="s">
        <v>1736</v>
      </c>
      <c r="E9517" t="s">
        <v>1737</v>
      </c>
      <c r="F9517" t="s">
        <v>30042</v>
      </c>
      <c r="G9517" s="2" t="str">
        <f>HYPERLINK("https://probpalata.gov.ru/files/ЮЛ520603376600032.jpeg","Скачать индивидуальный QR-код магазина")</f>
        <v>Скачать индивидуальный QR-код магазина</v>
      </c>
    </row>
    <row r="9518" spans="1:7" x14ac:dyDescent="0.25">
      <c r="A9518" t="s">
        <v>29938</v>
      </c>
      <c r="B9518" t="s">
        <v>30043</v>
      </c>
      <c r="C9518" t="s">
        <v>1735</v>
      </c>
      <c r="D9518" t="s">
        <v>1736</v>
      </c>
      <c r="E9518" t="s">
        <v>1737</v>
      </c>
      <c r="F9518" t="s">
        <v>30044</v>
      </c>
      <c r="G9518" s="2" t="str">
        <f>HYPERLINK("https://probpalata.gov.ru/files/ЮЛ520603376600039.jpeg","Скачать индивидуальный QR-код магазина")</f>
        <v>Скачать индивидуальный QR-код магазина</v>
      </c>
    </row>
    <row r="9519" spans="1:7" x14ac:dyDescent="0.25">
      <c r="A9519" t="s">
        <v>29938</v>
      </c>
      <c r="B9519" t="s">
        <v>30045</v>
      </c>
      <c r="C9519" t="s">
        <v>1735</v>
      </c>
      <c r="D9519" t="s">
        <v>1736</v>
      </c>
      <c r="E9519" t="s">
        <v>1737</v>
      </c>
      <c r="F9519" t="s">
        <v>30046</v>
      </c>
      <c r="G9519" s="2" t="str">
        <f>HYPERLINK("https://probpalata.gov.ru/files/ЮЛ520603376600142.jpeg","Скачать индивидуальный QR-код магазина")</f>
        <v>Скачать индивидуальный QR-код магазина</v>
      </c>
    </row>
    <row r="9520" spans="1:7" x14ac:dyDescent="0.25">
      <c r="A9520" t="s">
        <v>29938</v>
      </c>
      <c r="B9520" t="s">
        <v>30047</v>
      </c>
      <c r="C9520" t="s">
        <v>30048</v>
      </c>
      <c r="D9520" t="s">
        <v>30049</v>
      </c>
      <c r="E9520" t="s">
        <v>30050</v>
      </c>
      <c r="F9520" t="s">
        <v>30051</v>
      </c>
      <c r="G9520" s="2" t="str">
        <f>HYPERLINK("https://probpalata.gov.ru/files/ИП770101222300000.jpeg","Скачать индивидуальный QR-код магазина")</f>
        <v>Скачать индивидуальный QR-код магазина</v>
      </c>
    </row>
    <row r="9521" spans="1:7" x14ac:dyDescent="0.25">
      <c r="A9521" t="s">
        <v>29938</v>
      </c>
      <c r="B9521" t="s">
        <v>30052</v>
      </c>
      <c r="C9521" t="s">
        <v>713</v>
      </c>
      <c r="D9521" t="s">
        <v>714</v>
      </c>
      <c r="E9521" t="s">
        <v>715</v>
      </c>
      <c r="F9521" t="s">
        <v>30053</v>
      </c>
      <c r="G9521" s="2" t="str">
        <f>HYPERLINK("https://probpalata.gov.ru/files/ЮЛ770101216600092.jpeg","Скачать индивидуальный QR-код магазина")</f>
        <v>Скачать индивидуальный QR-код магазина</v>
      </c>
    </row>
    <row r="9522" spans="1:7" x14ac:dyDescent="0.25">
      <c r="A9522" t="s">
        <v>29938</v>
      </c>
      <c r="B9522" t="s">
        <v>30054</v>
      </c>
      <c r="C9522" t="s">
        <v>713</v>
      </c>
      <c r="D9522" t="s">
        <v>714</v>
      </c>
      <c r="E9522" t="s">
        <v>715</v>
      </c>
      <c r="F9522" t="s">
        <v>30055</v>
      </c>
      <c r="G9522" s="2" t="str">
        <f>HYPERLINK("https://probpalata.gov.ru/files/ЮЛ770101216600181.jpeg","Скачать индивидуальный QR-код магазина")</f>
        <v>Скачать индивидуальный QR-код магазина</v>
      </c>
    </row>
    <row r="9523" spans="1:7" x14ac:dyDescent="0.25">
      <c r="A9523" t="s">
        <v>29938</v>
      </c>
      <c r="B9523" t="s">
        <v>30056</v>
      </c>
      <c r="C9523" t="s">
        <v>713</v>
      </c>
      <c r="D9523" t="s">
        <v>714</v>
      </c>
      <c r="E9523" t="s">
        <v>715</v>
      </c>
      <c r="F9523" t="s">
        <v>30057</v>
      </c>
      <c r="G9523" s="2" t="str">
        <f>HYPERLINK("https://probpalata.gov.ru/files/ЮЛ770101216600298.jpeg","Скачать индивидуальный QR-код магазина")</f>
        <v>Скачать индивидуальный QR-код магазина</v>
      </c>
    </row>
    <row r="9524" spans="1:7" x14ac:dyDescent="0.25">
      <c r="A9524" t="s">
        <v>29938</v>
      </c>
      <c r="B9524" t="s">
        <v>30058</v>
      </c>
      <c r="C9524" t="s">
        <v>713</v>
      </c>
      <c r="D9524" t="s">
        <v>714</v>
      </c>
      <c r="E9524" t="s">
        <v>715</v>
      </c>
      <c r="F9524" t="s">
        <v>30059</v>
      </c>
      <c r="G9524" s="2" t="str">
        <f>HYPERLINK("https://probpalata.gov.ru/files/ЮЛ770101216600316.jpeg","Скачать индивидуальный QR-код магазина")</f>
        <v>Скачать индивидуальный QR-код магазина</v>
      </c>
    </row>
    <row r="9525" spans="1:7" x14ac:dyDescent="0.25">
      <c r="A9525" t="s">
        <v>29938</v>
      </c>
      <c r="B9525" t="s">
        <v>30060</v>
      </c>
      <c r="C9525" t="s">
        <v>713</v>
      </c>
      <c r="D9525" t="s">
        <v>714</v>
      </c>
      <c r="E9525" t="s">
        <v>715</v>
      </c>
      <c r="F9525" t="s">
        <v>30061</v>
      </c>
      <c r="G9525" s="2" t="str">
        <f>HYPERLINK("https://probpalata.gov.ru/files/ЮЛ770101216600565.jpeg","Скачать индивидуальный QR-код магазина")</f>
        <v>Скачать индивидуальный QR-код магазина</v>
      </c>
    </row>
    <row r="9526" spans="1:7" x14ac:dyDescent="0.25">
      <c r="A9526" t="s">
        <v>29938</v>
      </c>
      <c r="B9526" t="s">
        <v>30062</v>
      </c>
      <c r="C9526" t="s">
        <v>713</v>
      </c>
      <c r="D9526" t="s">
        <v>714</v>
      </c>
      <c r="E9526" t="s">
        <v>715</v>
      </c>
      <c r="F9526" t="s">
        <v>30063</v>
      </c>
      <c r="G9526" s="2" t="str">
        <f>HYPERLINK("https://probpalata.gov.ru/files/ЮЛ770101216600680.jpeg","Скачать индивидуальный QR-код магазина")</f>
        <v>Скачать индивидуальный QR-код магазина</v>
      </c>
    </row>
    <row r="9527" spans="1:7" x14ac:dyDescent="0.25">
      <c r="A9527" t="s">
        <v>29938</v>
      </c>
      <c r="B9527" t="s">
        <v>30064</v>
      </c>
      <c r="C9527" t="s">
        <v>713</v>
      </c>
      <c r="D9527" t="s">
        <v>714</v>
      </c>
      <c r="E9527" t="s">
        <v>715</v>
      </c>
      <c r="F9527" t="s">
        <v>30065</v>
      </c>
      <c r="G9527" s="2" t="str">
        <f>HYPERLINK("https://probpalata.gov.ru/files/ЮЛ770101216600812.jpeg","Скачать индивидуальный QR-код магазина")</f>
        <v>Скачать индивидуальный QR-код магазина</v>
      </c>
    </row>
    <row r="9528" spans="1:7" x14ac:dyDescent="0.25">
      <c r="A9528" t="s">
        <v>29938</v>
      </c>
      <c r="B9528" t="s">
        <v>30066</v>
      </c>
      <c r="C9528" t="s">
        <v>1416</v>
      </c>
      <c r="D9528" t="s">
        <v>1417</v>
      </c>
      <c r="E9528" t="s">
        <v>1418</v>
      </c>
      <c r="F9528" t="s">
        <v>30067</v>
      </c>
      <c r="G9528" s="2" t="str">
        <f>HYPERLINK("https://probpalata.gov.ru/files/ЮЛ770100419400119.jpeg","Скачать индивидуальный QR-код магазина")</f>
        <v>Скачать индивидуальный QR-код магазина</v>
      </c>
    </row>
    <row r="9529" spans="1:7" x14ac:dyDescent="0.25">
      <c r="A9529" t="s">
        <v>29938</v>
      </c>
      <c r="B9529" t="s">
        <v>29941</v>
      </c>
      <c r="C9529" t="s">
        <v>1416</v>
      </c>
      <c r="D9529" t="s">
        <v>1417</v>
      </c>
      <c r="E9529" t="s">
        <v>1418</v>
      </c>
      <c r="F9529" t="s">
        <v>30068</v>
      </c>
      <c r="G9529" s="2" t="str">
        <f>HYPERLINK("https://probpalata.gov.ru/files/ЮЛ770100419400213.jpeg","Скачать индивидуальный QR-код магазина")</f>
        <v>Скачать индивидуальный QR-код магазина</v>
      </c>
    </row>
    <row r="9530" spans="1:7" x14ac:dyDescent="0.25">
      <c r="A9530" t="s">
        <v>29938</v>
      </c>
      <c r="B9530" t="s">
        <v>30069</v>
      </c>
      <c r="C9530" t="s">
        <v>748</v>
      </c>
      <c r="D9530" t="s">
        <v>749</v>
      </c>
      <c r="E9530" t="s">
        <v>750</v>
      </c>
      <c r="F9530" t="s">
        <v>30070</v>
      </c>
      <c r="G9530" s="2" t="str">
        <f>HYPERLINK("https://probpalata.gov.ru/files/ЮЛ770100193500013.jpeg","Скачать индивидуальный QR-код магазина")</f>
        <v>Скачать индивидуальный QR-код магазина</v>
      </c>
    </row>
    <row r="9531" spans="1:7" x14ac:dyDescent="0.25">
      <c r="A9531" t="s">
        <v>29938</v>
      </c>
      <c r="B9531" t="s">
        <v>30071</v>
      </c>
      <c r="C9531" t="s">
        <v>748</v>
      </c>
      <c r="D9531" t="s">
        <v>749</v>
      </c>
      <c r="E9531" t="s">
        <v>750</v>
      </c>
      <c r="F9531" t="s">
        <v>30072</v>
      </c>
      <c r="G9531" s="2" t="str">
        <f>HYPERLINK("https://probpalata.gov.ru/files/ЮЛ770100193500014.jpeg","Скачать индивидуальный QR-код магазина")</f>
        <v>Скачать индивидуальный QR-код магазина</v>
      </c>
    </row>
    <row r="9532" spans="1:7" x14ac:dyDescent="0.25">
      <c r="A9532" t="s">
        <v>29938</v>
      </c>
      <c r="B9532" t="s">
        <v>30073</v>
      </c>
      <c r="C9532" t="s">
        <v>748</v>
      </c>
      <c r="D9532" t="s">
        <v>749</v>
      </c>
      <c r="E9532" t="s">
        <v>750</v>
      </c>
      <c r="F9532" t="s">
        <v>30074</v>
      </c>
      <c r="G9532" s="2" t="str">
        <f>HYPERLINK("https://probpalata.gov.ru/files/ЮЛ770100193500571.jpeg","Скачать индивидуальный QR-код магазина")</f>
        <v>Скачать индивидуальный QR-код магазина</v>
      </c>
    </row>
    <row r="9533" spans="1:7" x14ac:dyDescent="0.25">
      <c r="A9533" t="s">
        <v>29938</v>
      </c>
      <c r="B9533" t="s">
        <v>30075</v>
      </c>
      <c r="C9533" t="s">
        <v>748</v>
      </c>
      <c r="D9533" t="s">
        <v>749</v>
      </c>
      <c r="E9533" t="s">
        <v>750</v>
      </c>
      <c r="F9533" t="s">
        <v>30076</v>
      </c>
      <c r="G9533" s="2" t="str">
        <f>HYPERLINK("https://probpalata.gov.ru/files/ЮЛ770100193501141.jpeg","Скачать индивидуальный QR-код магазина")</f>
        <v>Скачать индивидуальный QR-код магазина</v>
      </c>
    </row>
    <row r="9534" spans="1:7" x14ac:dyDescent="0.25">
      <c r="A9534" t="s">
        <v>29938</v>
      </c>
      <c r="B9534" t="s">
        <v>30077</v>
      </c>
      <c r="C9534" t="s">
        <v>773</v>
      </c>
      <c r="D9534" t="s">
        <v>774</v>
      </c>
      <c r="E9534" t="s">
        <v>775</v>
      </c>
      <c r="F9534" t="s">
        <v>30078</v>
      </c>
      <c r="G9534" s="2" t="str">
        <f>HYPERLINK("https://probpalata.gov.ru/files/ЮЛ780300131300242.jpeg","Скачать индивидуальный QR-код магазина")</f>
        <v>Скачать индивидуальный QR-код магазина</v>
      </c>
    </row>
    <row r="9535" spans="1:7" x14ac:dyDescent="0.25">
      <c r="A9535" t="s">
        <v>29938</v>
      </c>
      <c r="B9535" t="s">
        <v>30079</v>
      </c>
      <c r="C9535" t="s">
        <v>787</v>
      </c>
      <c r="D9535" t="s">
        <v>788</v>
      </c>
      <c r="E9535" t="s">
        <v>789</v>
      </c>
      <c r="F9535" t="s">
        <v>30080</v>
      </c>
      <c r="G9535" s="2" t="str">
        <f>HYPERLINK("https://probpalata.gov.ru/files/ЮЛ780300328000043.jpeg","Скачать индивидуальный QR-код магазина")</f>
        <v>Скачать индивидуальный QR-код магазина</v>
      </c>
    </row>
    <row r="9536" spans="1:7" x14ac:dyDescent="0.25">
      <c r="A9536" t="s">
        <v>29938</v>
      </c>
      <c r="B9536" t="s">
        <v>30081</v>
      </c>
      <c r="C9536" t="s">
        <v>30082</v>
      </c>
      <c r="D9536" t="s">
        <v>30083</v>
      </c>
      <c r="E9536" t="s">
        <v>30084</v>
      </c>
      <c r="F9536" t="s">
        <v>30085</v>
      </c>
      <c r="G9536" s="2" t="str">
        <f>HYPERLINK("https://probpalata.gov.ru/files/ЮЛ510300485600000.jpeg","Скачать индивидуальный QR-код магазина")</f>
        <v>Скачать индивидуальный QR-код магазина</v>
      </c>
    </row>
    <row r="9537" spans="1:7" x14ac:dyDescent="0.25">
      <c r="A9537" t="s">
        <v>29938</v>
      </c>
      <c r="B9537" t="s">
        <v>30086</v>
      </c>
      <c r="C9537" t="s">
        <v>1441</v>
      </c>
      <c r="D9537" t="s">
        <v>1442</v>
      </c>
      <c r="E9537" t="s">
        <v>1443</v>
      </c>
      <c r="F9537" t="s">
        <v>30087</v>
      </c>
      <c r="G9537" s="2" t="str">
        <f>HYPERLINK("https://probpalata.gov.ru/files/ЮЛ780300179700006.jpeg","Скачать индивидуальный QR-код магазина")</f>
        <v>Скачать индивидуальный QR-код магазина</v>
      </c>
    </row>
    <row r="9538" spans="1:7" x14ac:dyDescent="0.25">
      <c r="A9538" t="s">
        <v>29938</v>
      </c>
      <c r="B9538" t="s">
        <v>30088</v>
      </c>
      <c r="C9538" t="s">
        <v>1441</v>
      </c>
      <c r="D9538" t="s">
        <v>1442</v>
      </c>
      <c r="E9538" t="s">
        <v>1443</v>
      </c>
      <c r="F9538" t="s">
        <v>30089</v>
      </c>
      <c r="G9538" s="2" t="str">
        <f>HYPERLINK("https://probpalata.gov.ru/files/ЮЛ780300179700007.jpeg","Скачать индивидуальный QR-код магазина")</f>
        <v>Скачать индивидуальный QR-код магазина</v>
      </c>
    </row>
    <row r="9539" spans="1:7" x14ac:dyDescent="0.25">
      <c r="A9539" t="s">
        <v>29938</v>
      </c>
      <c r="B9539" t="s">
        <v>30090</v>
      </c>
      <c r="C9539" t="s">
        <v>791</v>
      </c>
      <c r="D9539" t="s">
        <v>792</v>
      </c>
      <c r="E9539" t="s">
        <v>793</v>
      </c>
      <c r="F9539" t="s">
        <v>30091</v>
      </c>
      <c r="G9539" s="2" t="str">
        <f>HYPERLINK("https://probpalata.gov.ru/files/ЮЛ780300323500011.jpeg","Скачать индивидуальный QR-код магазина")</f>
        <v>Скачать индивидуальный QR-код магазина</v>
      </c>
    </row>
    <row r="9540" spans="1:7" x14ac:dyDescent="0.25">
      <c r="A9540" t="s">
        <v>29938</v>
      </c>
      <c r="B9540" t="s">
        <v>30092</v>
      </c>
      <c r="C9540" t="s">
        <v>791</v>
      </c>
      <c r="D9540" t="s">
        <v>792</v>
      </c>
      <c r="E9540" t="s">
        <v>793</v>
      </c>
      <c r="F9540" t="s">
        <v>30093</v>
      </c>
      <c r="G9540" s="2" t="str">
        <f>HYPERLINK("https://probpalata.gov.ru/files/ЮЛ780300323500016.jpeg","Скачать индивидуальный QR-код магазина")</f>
        <v>Скачать индивидуальный QR-код магазина</v>
      </c>
    </row>
    <row r="9541" spans="1:7" x14ac:dyDescent="0.25">
      <c r="A9541" t="s">
        <v>29938</v>
      </c>
      <c r="B9541" t="s">
        <v>30094</v>
      </c>
      <c r="C9541" t="s">
        <v>791</v>
      </c>
      <c r="D9541" t="s">
        <v>792</v>
      </c>
      <c r="E9541" t="s">
        <v>793</v>
      </c>
      <c r="F9541" t="s">
        <v>30095</v>
      </c>
      <c r="G9541" s="2" t="str">
        <f>HYPERLINK("https://probpalata.gov.ru/files/ЮЛ780300323500017.jpeg","Скачать индивидуальный QR-код магазина")</f>
        <v>Скачать индивидуальный QR-код магазина</v>
      </c>
    </row>
    <row r="9542" spans="1:7" x14ac:dyDescent="0.25">
      <c r="A9542" t="s">
        <v>29938</v>
      </c>
      <c r="B9542" t="s">
        <v>30096</v>
      </c>
      <c r="C9542" t="s">
        <v>791</v>
      </c>
      <c r="D9542" t="s">
        <v>792</v>
      </c>
      <c r="E9542" t="s">
        <v>793</v>
      </c>
      <c r="F9542" t="s">
        <v>30097</v>
      </c>
      <c r="G9542" s="2" t="str">
        <f>HYPERLINK("https://probpalata.gov.ru/files/ЮЛ780300323500028.jpeg","Скачать индивидуальный QR-код магазина")</f>
        <v>Скачать индивидуальный QR-код магазина</v>
      </c>
    </row>
    <row r="9543" spans="1:7" x14ac:dyDescent="0.25">
      <c r="A9543" t="s">
        <v>29938</v>
      </c>
      <c r="B9543" t="s">
        <v>30098</v>
      </c>
      <c r="C9543" t="s">
        <v>791</v>
      </c>
      <c r="D9543" t="s">
        <v>792</v>
      </c>
      <c r="E9543" t="s">
        <v>793</v>
      </c>
      <c r="F9543" t="s">
        <v>30099</v>
      </c>
      <c r="G9543" s="2" t="str">
        <f>HYPERLINK("https://probpalata.gov.ru/files/ЮЛ780300323500044.jpeg","Скачать индивидуальный QR-код магазина")</f>
        <v>Скачать индивидуальный QR-код магазина</v>
      </c>
    </row>
    <row r="9544" spans="1:7" x14ac:dyDescent="0.25">
      <c r="A9544" t="s">
        <v>29938</v>
      </c>
      <c r="B9544" t="s">
        <v>30100</v>
      </c>
      <c r="C9544" t="s">
        <v>791</v>
      </c>
      <c r="D9544" t="s">
        <v>792</v>
      </c>
      <c r="E9544" t="s">
        <v>793</v>
      </c>
      <c r="F9544" t="s">
        <v>30101</v>
      </c>
      <c r="G9544" s="2" t="str">
        <f>HYPERLINK("https://probpalata.gov.ru/files/ЮЛ780300323500209.jpeg","Скачать индивидуальный QR-код магазина")</f>
        <v>Скачать индивидуальный QR-код магазина</v>
      </c>
    </row>
    <row r="9545" spans="1:7" x14ac:dyDescent="0.25">
      <c r="A9545" t="s">
        <v>29938</v>
      </c>
      <c r="B9545" t="s">
        <v>30102</v>
      </c>
      <c r="C9545" t="s">
        <v>798</v>
      </c>
      <c r="D9545" t="s">
        <v>799</v>
      </c>
      <c r="E9545" t="s">
        <v>800</v>
      </c>
      <c r="F9545" t="s">
        <v>30103</v>
      </c>
      <c r="G9545" s="2" t="str">
        <f>HYPERLINK("https://probpalata.gov.ru/files/ЮЛ780300308200013.jpeg","Скачать индивидуальный QR-код магазина")</f>
        <v>Скачать индивидуальный QR-код магазина</v>
      </c>
    </row>
    <row r="9546" spans="1:7" x14ac:dyDescent="0.25">
      <c r="A9546" t="s">
        <v>29938</v>
      </c>
      <c r="B9546" t="s">
        <v>30079</v>
      </c>
      <c r="C9546" t="s">
        <v>798</v>
      </c>
      <c r="D9546" t="s">
        <v>799</v>
      </c>
      <c r="E9546" t="s">
        <v>800</v>
      </c>
      <c r="F9546" t="s">
        <v>30104</v>
      </c>
      <c r="G9546" s="2" t="str">
        <f>HYPERLINK("https://probpalata.gov.ru/files/ЮЛ780300308200018.jpeg","Скачать индивидуальный QR-код магазина")</f>
        <v>Скачать индивидуальный QR-код магазина</v>
      </c>
    </row>
    <row r="9547" spans="1:7" x14ac:dyDescent="0.25">
      <c r="A9547" t="s">
        <v>29938</v>
      </c>
      <c r="B9547" t="s">
        <v>30077</v>
      </c>
      <c r="C9547" t="s">
        <v>798</v>
      </c>
      <c r="D9547" t="s">
        <v>799</v>
      </c>
      <c r="E9547" t="s">
        <v>800</v>
      </c>
      <c r="F9547" t="s">
        <v>30105</v>
      </c>
      <c r="G9547" s="2" t="str">
        <f>HYPERLINK("https://probpalata.gov.ru/files/ЮЛ780300308200019.jpeg","Скачать индивидуальный QR-код магазина")</f>
        <v>Скачать индивидуальный QR-код магазина</v>
      </c>
    </row>
    <row r="9548" spans="1:7" x14ac:dyDescent="0.25">
      <c r="A9548" t="s">
        <v>29938</v>
      </c>
      <c r="B9548" t="s">
        <v>30106</v>
      </c>
      <c r="C9548" t="s">
        <v>798</v>
      </c>
      <c r="D9548" t="s">
        <v>799</v>
      </c>
      <c r="E9548" t="s">
        <v>800</v>
      </c>
      <c r="F9548" t="s">
        <v>30107</v>
      </c>
      <c r="G9548" s="2" t="str">
        <f>HYPERLINK("https://probpalata.gov.ru/files/ЮЛ780300308200233.jpeg","Скачать индивидуальный QR-код магазина")</f>
        <v>Скачать индивидуальный QR-код магазина</v>
      </c>
    </row>
    <row r="9549" spans="1:7" x14ac:dyDescent="0.25">
      <c r="A9549" t="s">
        <v>29938</v>
      </c>
      <c r="B9549" t="s">
        <v>30108</v>
      </c>
      <c r="C9549" t="s">
        <v>798</v>
      </c>
      <c r="D9549" t="s">
        <v>799</v>
      </c>
      <c r="E9549" t="s">
        <v>800</v>
      </c>
      <c r="F9549" t="s">
        <v>30109</v>
      </c>
      <c r="G9549" s="2" t="str">
        <f>HYPERLINK("https://probpalata.gov.ru/files/ЮЛ780300308200234.jpeg","Скачать индивидуальный QR-код магазина")</f>
        <v>Скачать индивидуальный QR-код магазина</v>
      </c>
    </row>
    <row r="9550" spans="1:7" x14ac:dyDescent="0.25">
      <c r="A9550" t="s">
        <v>29938</v>
      </c>
      <c r="B9550" t="s">
        <v>30110</v>
      </c>
      <c r="C9550" t="s">
        <v>798</v>
      </c>
      <c r="D9550" t="s">
        <v>799</v>
      </c>
      <c r="E9550" t="s">
        <v>800</v>
      </c>
      <c r="F9550" t="s">
        <v>30111</v>
      </c>
      <c r="G9550" s="2" t="str">
        <f>HYPERLINK("https://probpalata.gov.ru/files/ЮЛ780300308200374.jpeg","Скачать индивидуальный QR-код магазина")</f>
        <v>Скачать индивидуальный QR-код магазина</v>
      </c>
    </row>
    <row r="9551" spans="1:7" x14ac:dyDescent="0.25">
      <c r="A9551" t="s">
        <v>29938</v>
      </c>
      <c r="B9551" t="s">
        <v>30112</v>
      </c>
      <c r="C9551" t="s">
        <v>798</v>
      </c>
      <c r="D9551" t="s">
        <v>799</v>
      </c>
      <c r="E9551" t="s">
        <v>800</v>
      </c>
      <c r="F9551" t="s">
        <v>30113</v>
      </c>
      <c r="G9551" s="2" t="str">
        <f>HYPERLINK("https://probpalata.gov.ru/files/ЮЛ780300308200375.jpeg","Скачать индивидуальный QR-код магазина")</f>
        <v>Скачать индивидуальный QR-код магазина</v>
      </c>
    </row>
    <row r="9552" spans="1:7" x14ac:dyDescent="0.25">
      <c r="A9552" t="s">
        <v>29938</v>
      </c>
      <c r="B9552" t="s">
        <v>30114</v>
      </c>
      <c r="C9552" t="s">
        <v>798</v>
      </c>
      <c r="D9552" t="s">
        <v>799</v>
      </c>
      <c r="E9552" t="s">
        <v>800</v>
      </c>
      <c r="F9552" t="s">
        <v>30115</v>
      </c>
      <c r="G9552" s="2" t="str">
        <f>HYPERLINK("https://probpalata.gov.ru/files/ЮЛ780300308200392.jpeg","Скачать индивидуальный QR-код магазина")</f>
        <v>Скачать индивидуальный QR-код магазина</v>
      </c>
    </row>
    <row r="9553" spans="1:7" x14ac:dyDescent="0.25">
      <c r="A9553" t="s">
        <v>29938</v>
      </c>
      <c r="B9553" t="s">
        <v>30098</v>
      </c>
      <c r="C9553" t="s">
        <v>798</v>
      </c>
      <c r="D9553" t="s">
        <v>799</v>
      </c>
      <c r="E9553" t="s">
        <v>800</v>
      </c>
      <c r="F9553" t="s">
        <v>30116</v>
      </c>
      <c r="G9553" s="2" t="str">
        <f>HYPERLINK("https://probpalata.gov.ru/files/ЮЛ780300308200745.jpeg","Скачать индивидуальный QR-код магазина")</f>
        <v>Скачать индивидуальный QR-код магазина</v>
      </c>
    </row>
    <row r="9554" spans="1:7" x14ac:dyDescent="0.25">
      <c r="A9554" t="s">
        <v>29938</v>
      </c>
      <c r="B9554" t="s">
        <v>30117</v>
      </c>
      <c r="C9554" t="s">
        <v>798</v>
      </c>
      <c r="D9554" t="s">
        <v>799</v>
      </c>
      <c r="E9554" t="s">
        <v>800</v>
      </c>
      <c r="F9554" t="s">
        <v>30118</v>
      </c>
      <c r="G9554" s="2" t="str">
        <f>HYPERLINK("https://probpalata.gov.ru/files/ЮЛ780300308200923.jpeg","Скачать индивидуальный QR-код магазина")</f>
        <v>Скачать индивидуальный QR-код магазина</v>
      </c>
    </row>
    <row r="9555" spans="1:7" x14ac:dyDescent="0.25">
      <c r="A9555" t="s">
        <v>29938</v>
      </c>
      <c r="B9555" t="s">
        <v>30119</v>
      </c>
      <c r="C9555" t="s">
        <v>798</v>
      </c>
      <c r="D9555" t="s">
        <v>799</v>
      </c>
      <c r="E9555" t="s">
        <v>800</v>
      </c>
      <c r="F9555" t="s">
        <v>30120</v>
      </c>
      <c r="G9555" s="2" t="str">
        <f>HYPERLINK("https://probpalata.gov.ru/files/ЮЛ780300308201134.jpeg","Скачать индивидуальный QR-код магазина")</f>
        <v>Скачать индивидуальный QR-код магазина</v>
      </c>
    </row>
    <row r="9556" spans="1:7" x14ac:dyDescent="0.25">
      <c r="A9556" t="s">
        <v>29938</v>
      </c>
      <c r="B9556" t="s">
        <v>30098</v>
      </c>
      <c r="C9556" t="s">
        <v>823</v>
      </c>
      <c r="D9556" t="s">
        <v>824</v>
      </c>
      <c r="E9556" t="s">
        <v>825</v>
      </c>
      <c r="F9556" t="s">
        <v>30121</v>
      </c>
      <c r="G9556" s="2" t="str">
        <f>HYPERLINK("https://probpalata.gov.ru/files/ЮЛ780300363500003.jpeg","Скачать индивидуальный QR-код магазина")</f>
        <v>Скачать индивидуальный QR-код магазина</v>
      </c>
    </row>
    <row r="9557" spans="1:7" x14ac:dyDescent="0.25">
      <c r="A9557" t="s">
        <v>29938</v>
      </c>
      <c r="B9557" t="s">
        <v>30122</v>
      </c>
      <c r="C9557" t="s">
        <v>823</v>
      </c>
      <c r="D9557" t="s">
        <v>824</v>
      </c>
      <c r="E9557" t="s">
        <v>825</v>
      </c>
      <c r="F9557" t="s">
        <v>30123</v>
      </c>
      <c r="G9557" s="2" t="str">
        <f>HYPERLINK("https://probpalata.gov.ru/files/ЮЛ780300363500020.jpeg","Скачать индивидуальный QR-код магазина")</f>
        <v>Скачать индивидуальный QR-код магазина</v>
      </c>
    </row>
    <row r="9558" spans="1:7" x14ac:dyDescent="0.25">
      <c r="A9558" t="s">
        <v>29938</v>
      </c>
      <c r="B9558" t="s">
        <v>30124</v>
      </c>
      <c r="C9558" t="s">
        <v>823</v>
      </c>
      <c r="D9558" t="s">
        <v>824</v>
      </c>
      <c r="E9558" t="s">
        <v>825</v>
      </c>
      <c r="F9558" t="s">
        <v>30125</v>
      </c>
      <c r="G9558" s="2" t="str">
        <f>HYPERLINK("https://probpalata.gov.ru/files/ЮЛ780300363500028.jpeg","Скачать индивидуальный QR-код магазина")</f>
        <v>Скачать индивидуальный QR-код магазина</v>
      </c>
    </row>
    <row r="9559" spans="1:7" x14ac:dyDescent="0.25">
      <c r="A9559" t="s">
        <v>29938</v>
      </c>
      <c r="B9559" t="s">
        <v>30096</v>
      </c>
      <c r="C9559" t="s">
        <v>823</v>
      </c>
      <c r="D9559" t="s">
        <v>824</v>
      </c>
      <c r="E9559" t="s">
        <v>825</v>
      </c>
      <c r="F9559" t="s">
        <v>30126</v>
      </c>
      <c r="G9559" s="2" t="str">
        <f>HYPERLINK("https://probpalata.gov.ru/files/ЮЛ780300363500039.jpeg","Скачать индивидуальный QR-код магазина")</f>
        <v>Скачать индивидуальный QR-код магазина</v>
      </c>
    </row>
    <row r="9560" spans="1:7" x14ac:dyDescent="0.25">
      <c r="A9560" t="s">
        <v>29938</v>
      </c>
      <c r="B9560" t="s">
        <v>30100</v>
      </c>
      <c r="C9560" t="s">
        <v>823</v>
      </c>
      <c r="D9560" t="s">
        <v>824</v>
      </c>
      <c r="E9560" t="s">
        <v>825</v>
      </c>
      <c r="F9560" t="s">
        <v>30127</v>
      </c>
      <c r="G9560" s="2" t="str">
        <f>HYPERLINK("https://probpalata.gov.ru/files/ЮЛ780300363500142.jpeg","Скачать индивидуальный QR-код магазина")</f>
        <v>Скачать индивидуальный QR-код магазина</v>
      </c>
    </row>
    <row r="9561" spans="1:7" x14ac:dyDescent="0.25">
      <c r="A9561" t="s">
        <v>29938</v>
      </c>
      <c r="B9561" t="s">
        <v>30094</v>
      </c>
      <c r="C9561" t="s">
        <v>823</v>
      </c>
      <c r="D9561" t="s">
        <v>824</v>
      </c>
      <c r="E9561" t="s">
        <v>825</v>
      </c>
      <c r="F9561" t="s">
        <v>30128</v>
      </c>
      <c r="G9561" s="2" t="str">
        <f>HYPERLINK("https://probpalata.gov.ru/files/ЮЛ780300363500143.jpeg","Скачать индивидуальный QR-код магазина")</f>
        <v>Скачать индивидуальный QR-код магазина</v>
      </c>
    </row>
    <row r="9562" spans="1:7" x14ac:dyDescent="0.25">
      <c r="A9562" t="s">
        <v>29938</v>
      </c>
      <c r="B9562" t="s">
        <v>30129</v>
      </c>
      <c r="C9562" t="s">
        <v>1490</v>
      </c>
      <c r="D9562" t="s">
        <v>1491</v>
      </c>
      <c r="E9562" t="s">
        <v>1492</v>
      </c>
      <c r="F9562" t="s">
        <v>30130</v>
      </c>
      <c r="G9562" s="2" t="str">
        <f>HYPERLINK("https://probpalata.gov.ru/files/ЮЛ780301261200008.jpeg","Скачать индивидуальный QR-код магазина")</f>
        <v>Скачать индивидуальный QR-код магазина</v>
      </c>
    </row>
    <row r="9563" spans="1:7" x14ac:dyDescent="0.25">
      <c r="A9563" t="s">
        <v>29938</v>
      </c>
      <c r="B9563" t="s">
        <v>30131</v>
      </c>
      <c r="C9563" t="s">
        <v>1501</v>
      </c>
      <c r="D9563" t="s">
        <v>1502</v>
      </c>
      <c r="E9563" t="s">
        <v>1503</v>
      </c>
      <c r="F9563" t="s">
        <v>30132</v>
      </c>
      <c r="G9563" s="2" t="str">
        <f>HYPERLINK("https://probpalata.gov.ru/files/ЮЛ770100439200048.jpeg","Скачать индивидуальный QR-код магазина")</f>
        <v>Скачать индивидуальный QR-код магазина</v>
      </c>
    </row>
    <row r="9564" spans="1:7" x14ac:dyDescent="0.25">
      <c r="A9564" t="s">
        <v>30133</v>
      </c>
      <c r="B9564" t="s">
        <v>30134</v>
      </c>
      <c r="C9564" t="s">
        <v>30135</v>
      </c>
      <c r="D9564" t="s">
        <v>30136</v>
      </c>
      <c r="E9564" t="s">
        <v>30137</v>
      </c>
      <c r="F9564" t="s">
        <v>30138</v>
      </c>
      <c r="G9564" s="2" t="str">
        <f>HYPERLINK("https://probpalata.gov.ru/files/ИП800303168300000.jpeg","Скачать индивидуальный QR-код магазина")</f>
        <v>Скачать индивидуальный QR-код магазина</v>
      </c>
    </row>
    <row r="9565" spans="1:7" x14ac:dyDescent="0.25">
      <c r="A9565" t="s">
        <v>30133</v>
      </c>
      <c r="B9565" t="s">
        <v>30139</v>
      </c>
      <c r="C9565" t="s">
        <v>798</v>
      </c>
      <c r="D9565" t="s">
        <v>799</v>
      </c>
      <c r="E9565" t="s">
        <v>800</v>
      </c>
      <c r="F9565" t="s">
        <v>30140</v>
      </c>
      <c r="G9565" s="2" t="str">
        <f>HYPERLINK("https://probpalata.gov.ru/files/ЮЛ780300308200020.jpeg","Скачать индивидуальный QR-код магазина")</f>
        <v>Скачать индивидуальный QR-код магазина</v>
      </c>
    </row>
    <row r="9566" spans="1:7" x14ac:dyDescent="0.25">
      <c r="A9566" t="s">
        <v>30141</v>
      </c>
      <c r="B9566" t="s">
        <v>30142</v>
      </c>
      <c r="C9566" t="s">
        <v>30143</v>
      </c>
      <c r="D9566" t="s">
        <v>30144</v>
      </c>
      <c r="E9566" t="s">
        <v>30145</v>
      </c>
      <c r="F9566" t="s">
        <v>30146</v>
      </c>
      <c r="G9566" s="2" t="str">
        <f>HYPERLINK("https://probpalata.gov.ru/files/ИП520601014100000.jpeg","Скачать индивидуальный QR-код магазина")</f>
        <v>Скачать индивидуальный QR-код магазина</v>
      </c>
    </row>
    <row r="9567" spans="1:7" x14ac:dyDescent="0.25">
      <c r="A9567" t="s">
        <v>30141</v>
      </c>
      <c r="B9567" t="s">
        <v>30147</v>
      </c>
      <c r="C9567" t="s">
        <v>30148</v>
      </c>
      <c r="D9567" t="s">
        <v>30149</v>
      </c>
      <c r="E9567" t="s">
        <v>30150</v>
      </c>
      <c r="F9567" t="s">
        <v>30151</v>
      </c>
      <c r="G9567" s="2" t="str">
        <f>HYPERLINK("https://probpalata.gov.ru/files/ИП120601082800006.jpeg","Скачать индивидуальный QR-код магазина")</f>
        <v>Скачать индивидуальный QR-код магазина</v>
      </c>
    </row>
    <row r="9568" spans="1:7" x14ac:dyDescent="0.25">
      <c r="A9568" t="s">
        <v>30141</v>
      </c>
      <c r="B9568" t="s">
        <v>30152</v>
      </c>
      <c r="C9568" t="s">
        <v>10991</v>
      </c>
      <c r="D9568" t="s">
        <v>10992</v>
      </c>
      <c r="E9568" t="s">
        <v>10993</v>
      </c>
      <c r="F9568" t="s">
        <v>30153</v>
      </c>
      <c r="G9568" s="2" t="str">
        <f>HYPERLINK("https://probpalata.gov.ru/files/ИП120600362800005.jpeg","Скачать индивидуальный QR-код магазина")</f>
        <v>Скачать индивидуальный QR-код магазина</v>
      </c>
    </row>
    <row r="9569" spans="1:7" x14ac:dyDescent="0.25">
      <c r="A9569" t="s">
        <v>30141</v>
      </c>
      <c r="B9569" t="s">
        <v>30154</v>
      </c>
      <c r="C9569" t="s">
        <v>10991</v>
      </c>
      <c r="D9569" t="s">
        <v>10992</v>
      </c>
      <c r="E9569" t="s">
        <v>10993</v>
      </c>
      <c r="F9569" t="s">
        <v>30155</v>
      </c>
      <c r="G9569" s="2" t="str">
        <f>HYPERLINK("https://probpalata.gov.ru/files/ИП120600362800008.jpeg","Скачать индивидуальный QR-код магазина")</f>
        <v>Скачать индивидуальный QR-код магазина</v>
      </c>
    </row>
    <row r="9570" spans="1:7" x14ac:dyDescent="0.25">
      <c r="A9570" t="s">
        <v>30141</v>
      </c>
      <c r="B9570" t="s">
        <v>30156</v>
      </c>
      <c r="C9570" t="s">
        <v>10991</v>
      </c>
      <c r="D9570" t="s">
        <v>10992</v>
      </c>
      <c r="E9570" t="s">
        <v>10993</v>
      </c>
      <c r="F9570" t="s">
        <v>30157</v>
      </c>
      <c r="G9570" s="2" t="str">
        <f>HYPERLINK("https://probpalata.gov.ru/files/ИП120600362800012.jpeg","Скачать индивидуальный QR-код магазина")</f>
        <v>Скачать индивидуальный QR-код магазина</v>
      </c>
    </row>
    <row r="9571" spans="1:7" x14ac:dyDescent="0.25">
      <c r="A9571" t="s">
        <v>30141</v>
      </c>
      <c r="B9571" t="s">
        <v>30158</v>
      </c>
      <c r="C9571" t="s">
        <v>10991</v>
      </c>
      <c r="D9571" t="s">
        <v>10992</v>
      </c>
      <c r="E9571" t="s">
        <v>10993</v>
      </c>
      <c r="F9571" t="s">
        <v>30159</v>
      </c>
      <c r="G9571" s="2" t="str">
        <f>HYPERLINK("https://probpalata.gov.ru/files/ИП120600362800016.jpeg","Скачать индивидуальный QR-код магазина")</f>
        <v>Скачать индивидуальный QR-код магазина</v>
      </c>
    </row>
    <row r="9572" spans="1:7" x14ac:dyDescent="0.25">
      <c r="A9572" t="s">
        <v>30141</v>
      </c>
      <c r="B9572" t="s">
        <v>30160</v>
      </c>
      <c r="C9572" t="s">
        <v>10991</v>
      </c>
      <c r="D9572" t="s">
        <v>10992</v>
      </c>
      <c r="E9572" t="s">
        <v>10993</v>
      </c>
      <c r="F9572" t="s">
        <v>30161</v>
      </c>
      <c r="G9572" s="2" t="str">
        <f>HYPERLINK("https://probpalata.gov.ru/files/ИП120600362800018.jpeg","Скачать индивидуальный QR-код магазина")</f>
        <v>Скачать индивидуальный QR-код магазина</v>
      </c>
    </row>
    <row r="9573" spans="1:7" x14ac:dyDescent="0.25">
      <c r="A9573" t="s">
        <v>30141</v>
      </c>
      <c r="B9573" t="s">
        <v>30162</v>
      </c>
      <c r="C9573" t="s">
        <v>30163</v>
      </c>
      <c r="D9573" t="s">
        <v>30164</v>
      </c>
      <c r="E9573" t="s">
        <v>30165</v>
      </c>
      <c r="F9573" t="s">
        <v>30166</v>
      </c>
      <c r="G9573" s="2" t="str">
        <f>HYPERLINK("https://probpalata.gov.ru/files/ЮЛ520603351800000.jpeg","Скачать индивидуальный QR-код магазина")</f>
        <v>Скачать индивидуальный QR-код магазина</v>
      </c>
    </row>
    <row r="9574" spans="1:7" x14ac:dyDescent="0.25">
      <c r="A9574" t="s">
        <v>30141</v>
      </c>
      <c r="B9574" t="s">
        <v>30167</v>
      </c>
      <c r="C9574" t="s">
        <v>838</v>
      </c>
      <c r="D9574" t="s">
        <v>839</v>
      </c>
      <c r="E9574" t="s">
        <v>840</v>
      </c>
      <c r="F9574" t="s">
        <v>30168</v>
      </c>
      <c r="G9574" s="2" t="str">
        <f>HYPERLINK("https://probpalata.gov.ru/files/ЮЛ140900343400017.jpeg","Скачать индивидуальный QR-код магазина")</f>
        <v>Скачать индивидуальный QR-код магазина</v>
      </c>
    </row>
    <row r="9575" spans="1:7" x14ac:dyDescent="0.25">
      <c r="A9575" t="s">
        <v>30141</v>
      </c>
      <c r="B9575" t="s">
        <v>30169</v>
      </c>
      <c r="C9575" t="s">
        <v>30170</v>
      </c>
      <c r="D9575" t="s">
        <v>30171</v>
      </c>
      <c r="E9575" t="s">
        <v>30172</v>
      </c>
      <c r="F9575" t="s">
        <v>30173</v>
      </c>
      <c r="G9575" s="2" t="str">
        <f>HYPERLINK("https://probpalata.gov.ru/files/ИП520600179500000.jpeg","Скачать индивидуальный QR-код магазина")</f>
        <v>Скачать индивидуальный QR-код магазина</v>
      </c>
    </row>
    <row r="9576" spans="1:7" x14ac:dyDescent="0.25">
      <c r="A9576" t="s">
        <v>30141</v>
      </c>
      <c r="B9576" t="s">
        <v>30174</v>
      </c>
      <c r="C9576" t="s">
        <v>6443</v>
      </c>
      <c r="D9576" t="s">
        <v>6444</v>
      </c>
      <c r="E9576" t="s">
        <v>6445</v>
      </c>
      <c r="F9576" t="s">
        <v>30175</v>
      </c>
      <c r="G9576" s="2" t="str">
        <f>HYPERLINK("https://probpalata.gov.ru/files/ИП520600153500003.jpeg","Скачать индивидуальный QR-код магазина")</f>
        <v>Скачать индивидуальный QR-код магазина</v>
      </c>
    </row>
    <row r="9577" spans="1:7" x14ac:dyDescent="0.25">
      <c r="A9577" t="s">
        <v>30141</v>
      </c>
      <c r="B9577" t="s">
        <v>30176</v>
      </c>
      <c r="C9577" t="s">
        <v>6443</v>
      </c>
      <c r="D9577" t="s">
        <v>6444</v>
      </c>
      <c r="E9577" t="s">
        <v>6445</v>
      </c>
      <c r="F9577" t="s">
        <v>30177</v>
      </c>
      <c r="G9577" s="2" t="str">
        <f>HYPERLINK("https://probpalata.gov.ru/files/ИП520600153500013.jpeg","Скачать индивидуальный QR-код магазина")</f>
        <v>Скачать индивидуальный QR-код магазина</v>
      </c>
    </row>
    <row r="9578" spans="1:7" x14ac:dyDescent="0.25">
      <c r="A9578" t="s">
        <v>30141</v>
      </c>
      <c r="B9578" t="s">
        <v>30178</v>
      </c>
      <c r="C9578" t="s">
        <v>30179</v>
      </c>
      <c r="D9578" t="s">
        <v>30180</v>
      </c>
      <c r="E9578" t="s">
        <v>30181</v>
      </c>
      <c r="F9578" t="s">
        <v>30182</v>
      </c>
      <c r="G9578" s="2" t="str">
        <f>HYPERLINK("https://probpalata.gov.ru/files/ИП180600271400019.jpeg","Скачать индивидуальный QR-код магазина")</f>
        <v>Скачать индивидуальный QR-код магазина</v>
      </c>
    </row>
    <row r="9579" spans="1:7" x14ac:dyDescent="0.25">
      <c r="A9579" t="s">
        <v>30141</v>
      </c>
      <c r="B9579" t="s">
        <v>30183</v>
      </c>
      <c r="C9579" t="s">
        <v>30179</v>
      </c>
      <c r="D9579" t="s">
        <v>30180</v>
      </c>
      <c r="E9579" t="s">
        <v>30181</v>
      </c>
      <c r="F9579" t="s">
        <v>30184</v>
      </c>
      <c r="G9579" s="2" t="str">
        <f>HYPERLINK("https://probpalata.gov.ru/files/ИП180600271400021.jpeg","Скачать индивидуальный QR-код магазина")</f>
        <v>Скачать индивидуальный QR-код магазина</v>
      </c>
    </row>
    <row r="9580" spans="1:7" x14ac:dyDescent="0.25">
      <c r="A9580" t="s">
        <v>30141</v>
      </c>
      <c r="B9580" t="s">
        <v>30185</v>
      </c>
      <c r="C9580" t="s">
        <v>13607</v>
      </c>
      <c r="D9580" t="s">
        <v>13608</v>
      </c>
      <c r="E9580" t="s">
        <v>13609</v>
      </c>
      <c r="F9580" t="s">
        <v>30186</v>
      </c>
      <c r="G9580" s="2" t="str">
        <f>HYPERLINK("https://probpalata.gov.ru/files/ЮЛ230403107400039.jpeg","Скачать индивидуальный QR-код магазина")</f>
        <v>Скачать индивидуальный QR-код магазина</v>
      </c>
    </row>
    <row r="9581" spans="1:7" x14ac:dyDescent="0.25">
      <c r="A9581" t="s">
        <v>30141</v>
      </c>
      <c r="B9581" t="s">
        <v>30187</v>
      </c>
      <c r="C9581" t="s">
        <v>15808</v>
      </c>
      <c r="D9581" t="s">
        <v>15809</v>
      </c>
      <c r="E9581" t="s">
        <v>15810</v>
      </c>
      <c r="F9581" t="s">
        <v>30188</v>
      </c>
      <c r="G9581" s="2" t="str">
        <f>HYPERLINK("https://probpalata.gov.ru/files/ИП240801390900002.jpeg","Скачать индивидуальный QR-код магазина")</f>
        <v>Скачать индивидуальный QR-код магазина</v>
      </c>
    </row>
    <row r="9582" spans="1:7" x14ac:dyDescent="0.25">
      <c r="A9582" t="s">
        <v>30141</v>
      </c>
      <c r="B9582" t="s">
        <v>30189</v>
      </c>
      <c r="C9582" t="s">
        <v>30190</v>
      </c>
      <c r="D9582" t="s">
        <v>30191</v>
      </c>
      <c r="E9582" t="s">
        <v>30192</v>
      </c>
      <c r="F9582" t="s">
        <v>30193</v>
      </c>
      <c r="G9582" s="2" t="str">
        <f>HYPERLINK("https://probpalata.gov.ru/files/ИП520600810100000.jpeg","Скачать индивидуальный QR-код магазина")</f>
        <v>Скачать индивидуальный QR-код магазина</v>
      </c>
    </row>
    <row r="9583" spans="1:7" x14ac:dyDescent="0.25">
      <c r="A9583" t="s">
        <v>30141</v>
      </c>
      <c r="B9583" t="s">
        <v>30194</v>
      </c>
      <c r="C9583" t="s">
        <v>30195</v>
      </c>
      <c r="D9583" t="s">
        <v>30196</v>
      </c>
      <c r="E9583" t="s">
        <v>30197</v>
      </c>
      <c r="F9583" t="s">
        <v>30198</v>
      </c>
      <c r="G9583" s="2" t="str">
        <f>HYPERLINK("https://probpalata.gov.ru/files/ИП520603615300000.jpeg","Скачать индивидуальный QR-код магазина")</f>
        <v>Скачать индивидуальный QR-код магазина</v>
      </c>
    </row>
    <row r="9584" spans="1:7" x14ac:dyDescent="0.25">
      <c r="A9584" t="s">
        <v>30141</v>
      </c>
      <c r="B9584" t="s">
        <v>30199</v>
      </c>
      <c r="C9584" t="s">
        <v>30195</v>
      </c>
      <c r="D9584" t="s">
        <v>30196</v>
      </c>
      <c r="E9584" t="s">
        <v>30197</v>
      </c>
      <c r="F9584" t="s">
        <v>30200</v>
      </c>
      <c r="G9584" s="2" t="str">
        <f>HYPERLINK("https://probpalata.gov.ru/files/ИП520603615300001.jpeg","Скачать индивидуальный QR-код магазина")</f>
        <v>Скачать индивидуальный QR-код магазина</v>
      </c>
    </row>
    <row r="9585" spans="1:7" x14ac:dyDescent="0.25">
      <c r="A9585" t="s">
        <v>30141</v>
      </c>
      <c r="B9585" t="s">
        <v>30201</v>
      </c>
      <c r="C9585" t="s">
        <v>30202</v>
      </c>
      <c r="D9585" t="s">
        <v>30203</v>
      </c>
      <c r="E9585" t="s">
        <v>30204</v>
      </c>
      <c r="F9585" t="s">
        <v>30205</v>
      </c>
      <c r="G9585" s="2" t="str">
        <f>HYPERLINK("https://probpalata.gov.ru/files/ИП370200187700000.jpeg","Скачать индивидуальный QR-код магазина")</f>
        <v>Скачать индивидуальный QR-код магазина</v>
      </c>
    </row>
    <row r="9586" spans="1:7" x14ac:dyDescent="0.25">
      <c r="A9586" t="s">
        <v>30141</v>
      </c>
      <c r="B9586" t="s">
        <v>30206</v>
      </c>
      <c r="C9586" t="s">
        <v>30207</v>
      </c>
      <c r="D9586" t="s">
        <v>30208</v>
      </c>
      <c r="E9586" t="s">
        <v>30209</v>
      </c>
      <c r="F9586" t="s">
        <v>30210</v>
      </c>
      <c r="G9586" s="2" t="str">
        <f>HYPERLINK("https://probpalata.gov.ru/files/ИП370200423500014.jpeg","Скачать индивидуальный QR-код магазина")</f>
        <v>Скачать индивидуальный QR-код магазина</v>
      </c>
    </row>
    <row r="9587" spans="1:7" x14ac:dyDescent="0.25">
      <c r="A9587" t="s">
        <v>30141</v>
      </c>
      <c r="B9587" t="s">
        <v>30211</v>
      </c>
      <c r="C9587" t="s">
        <v>12001</v>
      </c>
      <c r="D9587" t="s">
        <v>12002</v>
      </c>
      <c r="E9587" t="s">
        <v>12003</v>
      </c>
      <c r="F9587" t="s">
        <v>30212</v>
      </c>
      <c r="G9587" s="2" t="str">
        <f>HYPERLINK("https://probpalata.gov.ru/files/ИП440200985000000.jpeg","Скачать индивидуальный QR-код магазина")</f>
        <v>Скачать индивидуальный QR-код магазина</v>
      </c>
    </row>
    <row r="9588" spans="1:7" x14ac:dyDescent="0.25">
      <c r="A9588" t="s">
        <v>30141</v>
      </c>
      <c r="B9588" t="s">
        <v>30213</v>
      </c>
      <c r="C9588" t="s">
        <v>12001</v>
      </c>
      <c r="D9588" t="s">
        <v>12002</v>
      </c>
      <c r="E9588" t="s">
        <v>12003</v>
      </c>
      <c r="F9588" t="s">
        <v>30214</v>
      </c>
      <c r="G9588" s="2" t="str">
        <f>HYPERLINK("https://probpalata.gov.ru/files/ИП440200985000005.jpeg","Скачать индивидуальный QR-код магазина")</f>
        <v>Скачать индивидуальный QR-код магазина</v>
      </c>
    </row>
    <row r="9589" spans="1:7" x14ac:dyDescent="0.25">
      <c r="A9589" t="s">
        <v>30141</v>
      </c>
      <c r="B9589" t="s">
        <v>30215</v>
      </c>
      <c r="C9589" t="s">
        <v>12001</v>
      </c>
      <c r="D9589" t="s">
        <v>12002</v>
      </c>
      <c r="E9589" t="s">
        <v>12003</v>
      </c>
      <c r="F9589" t="s">
        <v>30216</v>
      </c>
      <c r="G9589" s="2" t="str">
        <f>HYPERLINK("https://probpalata.gov.ru/files/ИП440200985000007.jpeg","Скачать индивидуальный QR-код магазина")</f>
        <v>Скачать индивидуальный QR-код магазина</v>
      </c>
    </row>
    <row r="9590" spans="1:7" x14ac:dyDescent="0.25">
      <c r="A9590" t="s">
        <v>30141</v>
      </c>
      <c r="B9590" t="s">
        <v>30217</v>
      </c>
      <c r="C9590" t="s">
        <v>12001</v>
      </c>
      <c r="D9590" t="s">
        <v>12002</v>
      </c>
      <c r="E9590" t="s">
        <v>12003</v>
      </c>
      <c r="F9590" t="s">
        <v>30218</v>
      </c>
      <c r="G9590" s="2" t="str">
        <f>HYPERLINK("https://probpalata.gov.ru/files/ИП440200985000008.jpeg","Скачать индивидуальный QR-код магазина")</f>
        <v>Скачать индивидуальный QR-код магазина</v>
      </c>
    </row>
    <row r="9591" spans="1:7" x14ac:dyDescent="0.25">
      <c r="A9591" t="s">
        <v>30141</v>
      </c>
      <c r="B9591" t="s">
        <v>30219</v>
      </c>
      <c r="C9591" t="s">
        <v>12001</v>
      </c>
      <c r="D9591" t="s">
        <v>12002</v>
      </c>
      <c r="E9591" t="s">
        <v>12003</v>
      </c>
      <c r="F9591" t="s">
        <v>30220</v>
      </c>
      <c r="G9591" s="2" t="str">
        <f>HYPERLINK("https://probpalata.gov.ru/files/ИП440200985000009.jpeg","Скачать индивидуальный QR-код магазина")</f>
        <v>Скачать индивидуальный QR-код магазина</v>
      </c>
    </row>
    <row r="9592" spans="1:7" x14ac:dyDescent="0.25">
      <c r="A9592" t="s">
        <v>30141</v>
      </c>
      <c r="B9592" t="s">
        <v>30221</v>
      </c>
      <c r="C9592" t="s">
        <v>12001</v>
      </c>
      <c r="D9592" t="s">
        <v>12002</v>
      </c>
      <c r="E9592" t="s">
        <v>12003</v>
      </c>
      <c r="F9592" t="s">
        <v>30222</v>
      </c>
      <c r="G9592" s="2" t="str">
        <f>HYPERLINK("https://probpalata.gov.ru/files/ИП440200985000010.jpeg","Скачать индивидуальный QR-код магазина")</f>
        <v>Скачать индивидуальный QR-код магазина</v>
      </c>
    </row>
    <row r="9593" spans="1:7" x14ac:dyDescent="0.25">
      <c r="A9593" t="s">
        <v>30141</v>
      </c>
      <c r="B9593" t="s">
        <v>30223</v>
      </c>
      <c r="C9593" t="s">
        <v>12001</v>
      </c>
      <c r="D9593" t="s">
        <v>12002</v>
      </c>
      <c r="E9593" t="s">
        <v>12003</v>
      </c>
      <c r="F9593" t="s">
        <v>30224</v>
      </c>
      <c r="G9593" s="2" t="str">
        <f>HYPERLINK("https://probpalata.gov.ru/files/ИП440200985000011.jpeg","Скачать индивидуальный QR-код магазина")</f>
        <v>Скачать индивидуальный QR-код магазина</v>
      </c>
    </row>
    <row r="9594" spans="1:7" x14ac:dyDescent="0.25">
      <c r="A9594" t="s">
        <v>30141</v>
      </c>
      <c r="B9594" t="s">
        <v>30225</v>
      </c>
      <c r="C9594" t="s">
        <v>2185</v>
      </c>
      <c r="D9594" t="s">
        <v>2186</v>
      </c>
      <c r="E9594" t="s">
        <v>2187</v>
      </c>
      <c r="F9594" t="s">
        <v>30226</v>
      </c>
      <c r="G9594" s="2" t="str">
        <f>HYPERLINK("https://probpalata.gov.ru/files/ЮЛ480100215000025.jpeg","Скачать индивидуальный QR-код магазина")</f>
        <v>Скачать индивидуальный QR-код магазина</v>
      </c>
    </row>
    <row r="9595" spans="1:7" x14ac:dyDescent="0.25">
      <c r="A9595" t="s">
        <v>30141</v>
      </c>
      <c r="B9595" t="s">
        <v>30227</v>
      </c>
      <c r="C9595" t="s">
        <v>19591</v>
      </c>
      <c r="D9595" t="s">
        <v>19592</v>
      </c>
      <c r="E9595" t="s">
        <v>19593</v>
      </c>
      <c r="F9595" t="s">
        <v>30228</v>
      </c>
      <c r="G9595" s="2" t="str">
        <f>HYPERLINK("https://probpalata.gov.ru/files/ЮЛ500100408700004.jpeg","Скачать индивидуальный QR-код магазина")</f>
        <v>Скачать индивидуальный QR-код магазина</v>
      </c>
    </row>
    <row r="9596" spans="1:7" x14ac:dyDescent="0.25">
      <c r="A9596" t="s">
        <v>30141</v>
      </c>
      <c r="B9596" t="s">
        <v>30229</v>
      </c>
      <c r="C9596" t="s">
        <v>671</v>
      </c>
      <c r="D9596" t="s">
        <v>672</v>
      </c>
      <c r="E9596" t="s">
        <v>673</v>
      </c>
      <c r="F9596" t="s">
        <v>30230</v>
      </c>
      <c r="G9596" s="2" t="str">
        <f>HYPERLINK("https://probpalata.gov.ru/files/ИП500100445500007.jpeg","Скачать индивидуальный QR-код магазина")</f>
        <v>Скачать индивидуальный QR-код магазина</v>
      </c>
    </row>
    <row r="9597" spans="1:7" x14ac:dyDescent="0.25">
      <c r="A9597" t="s">
        <v>30141</v>
      </c>
      <c r="B9597" t="s">
        <v>30231</v>
      </c>
      <c r="C9597" t="s">
        <v>30232</v>
      </c>
      <c r="D9597" t="s">
        <v>30233</v>
      </c>
      <c r="E9597" t="s">
        <v>30234</v>
      </c>
      <c r="F9597" t="s">
        <v>30235</v>
      </c>
      <c r="G9597" s="2" t="str">
        <f>HYPERLINK("https://probpalata.gov.ru/files/ИП500100414300000.jpeg","Скачать индивидуальный QR-код магазина")</f>
        <v>Скачать индивидуальный QR-код магазина</v>
      </c>
    </row>
    <row r="9598" spans="1:7" x14ac:dyDescent="0.25">
      <c r="A9598" t="s">
        <v>30141</v>
      </c>
      <c r="B9598" t="s">
        <v>30236</v>
      </c>
      <c r="C9598" t="s">
        <v>30237</v>
      </c>
      <c r="D9598" t="s">
        <v>30238</v>
      </c>
      <c r="E9598" t="s">
        <v>30239</v>
      </c>
      <c r="F9598" t="s">
        <v>30240</v>
      </c>
      <c r="G9598" s="2" t="str">
        <f>HYPERLINK("https://probpalata.gov.ru/files/ИП520603342000000.jpeg","Скачать индивидуальный QR-код магазина")</f>
        <v>Скачать индивидуальный QR-код магазина</v>
      </c>
    </row>
    <row r="9599" spans="1:7" x14ac:dyDescent="0.25">
      <c r="A9599" t="s">
        <v>30141</v>
      </c>
      <c r="B9599" t="s">
        <v>30241</v>
      </c>
      <c r="C9599" t="s">
        <v>30242</v>
      </c>
      <c r="D9599" t="s">
        <v>30243</v>
      </c>
      <c r="E9599" t="s">
        <v>30244</v>
      </c>
      <c r="F9599" t="s">
        <v>30245</v>
      </c>
      <c r="G9599" s="2" t="str">
        <f>HYPERLINK("https://probpalata.gov.ru/files/ИП520603593300000.jpeg","Скачать индивидуальный QR-код магазина")</f>
        <v>Скачать индивидуальный QR-код магазина</v>
      </c>
    </row>
    <row r="9600" spans="1:7" x14ac:dyDescent="0.25">
      <c r="A9600" t="s">
        <v>30141</v>
      </c>
      <c r="B9600" t="s">
        <v>30246</v>
      </c>
      <c r="C9600" t="s">
        <v>30247</v>
      </c>
      <c r="D9600" t="s">
        <v>30248</v>
      </c>
      <c r="E9600" t="s">
        <v>30249</v>
      </c>
      <c r="F9600" t="s">
        <v>30250</v>
      </c>
      <c r="G9600" s="2" t="str">
        <f>HYPERLINK("https://probpalata.gov.ru/files/ИП520603145200000.jpeg","Скачать индивидуальный QR-код магазина")</f>
        <v>Скачать индивидуальный QR-код магазина</v>
      </c>
    </row>
    <row r="9601" spans="1:7" x14ac:dyDescent="0.25">
      <c r="A9601" t="s">
        <v>30141</v>
      </c>
      <c r="B9601" t="s">
        <v>30251</v>
      </c>
      <c r="C9601" t="s">
        <v>30252</v>
      </c>
      <c r="D9601" t="s">
        <v>30253</v>
      </c>
      <c r="E9601" t="s">
        <v>30254</v>
      </c>
      <c r="F9601" t="s">
        <v>30255</v>
      </c>
      <c r="G9601" s="2" t="str">
        <f>HYPERLINK("https://probpalata.gov.ru/files/ИП520603328900000.jpeg","Скачать индивидуальный QR-код магазина")</f>
        <v>Скачать индивидуальный QR-код магазина</v>
      </c>
    </row>
    <row r="9602" spans="1:7" x14ac:dyDescent="0.25">
      <c r="A9602" t="s">
        <v>30141</v>
      </c>
      <c r="B9602" t="s">
        <v>30256</v>
      </c>
      <c r="C9602" t="s">
        <v>30257</v>
      </c>
      <c r="D9602" t="s">
        <v>30258</v>
      </c>
      <c r="E9602" t="s">
        <v>30259</v>
      </c>
      <c r="F9602" t="s">
        <v>30260</v>
      </c>
      <c r="G9602" s="2" t="str">
        <f>HYPERLINK("https://probpalata.gov.ru/files/ИП520603925700000.jpeg","Скачать индивидуальный QR-код магазина")</f>
        <v>Скачать индивидуальный QR-код магазина</v>
      </c>
    </row>
    <row r="9603" spans="1:7" x14ac:dyDescent="0.25">
      <c r="A9603" t="s">
        <v>30141</v>
      </c>
      <c r="B9603" t="s">
        <v>30261</v>
      </c>
      <c r="C9603" t="s">
        <v>30262</v>
      </c>
      <c r="D9603" t="s">
        <v>30263</v>
      </c>
      <c r="E9603" t="s">
        <v>30264</v>
      </c>
      <c r="F9603" t="s">
        <v>30265</v>
      </c>
      <c r="G9603" s="2" t="str">
        <f>HYPERLINK("https://probpalata.gov.ru/files/ЮЛ520603179700000.jpeg","Скачать индивидуальный QR-код магазина")</f>
        <v>Скачать индивидуальный QR-код магазина</v>
      </c>
    </row>
    <row r="9604" spans="1:7" x14ac:dyDescent="0.25">
      <c r="A9604" t="s">
        <v>30141</v>
      </c>
      <c r="B9604" t="s">
        <v>30266</v>
      </c>
      <c r="C9604" t="s">
        <v>30267</v>
      </c>
      <c r="D9604" t="s">
        <v>30268</v>
      </c>
      <c r="E9604" t="s">
        <v>30269</v>
      </c>
      <c r="F9604" t="s">
        <v>30270</v>
      </c>
      <c r="G9604" s="2" t="str">
        <f>HYPERLINK("https://probpalata.gov.ru/files/ИП520600130200000.jpeg","Скачать индивидуальный QR-код магазина")</f>
        <v>Скачать индивидуальный QR-код магазина</v>
      </c>
    </row>
    <row r="9605" spans="1:7" x14ac:dyDescent="0.25">
      <c r="A9605" t="s">
        <v>30141</v>
      </c>
      <c r="B9605" t="s">
        <v>30271</v>
      </c>
      <c r="C9605" t="s">
        <v>30267</v>
      </c>
      <c r="D9605" t="s">
        <v>30268</v>
      </c>
      <c r="E9605" t="s">
        <v>30269</v>
      </c>
      <c r="F9605" t="s">
        <v>30272</v>
      </c>
      <c r="G9605" s="2" t="str">
        <f>HYPERLINK("https://probpalata.gov.ru/files/ИП520600130200001.jpeg","Скачать индивидуальный QR-код магазина")</f>
        <v>Скачать индивидуальный QR-код магазина</v>
      </c>
    </row>
    <row r="9606" spans="1:7" x14ac:dyDescent="0.25">
      <c r="A9606" t="s">
        <v>30141</v>
      </c>
      <c r="B9606" t="s">
        <v>30273</v>
      </c>
      <c r="C9606" t="s">
        <v>30267</v>
      </c>
      <c r="D9606" t="s">
        <v>30268</v>
      </c>
      <c r="E9606" t="s">
        <v>30269</v>
      </c>
      <c r="F9606" t="s">
        <v>30274</v>
      </c>
      <c r="G9606" s="2" t="str">
        <f>HYPERLINK("https://probpalata.gov.ru/files/ИП520600130200002.jpeg","Скачать индивидуальный QR-код магазина")</f>
        <v>Скачать индивидуальный QR-код магазина</v>
      </c>
    </row>
    <row r="9607" spans="1:7" x14ac:dyDescent="0.25">
      <c r="A9607" t="s">
        <v>30141</v>
      </c>
      <c r="B9607" t="s">
        <v>30275</v>
      </c>
      <c r="C9607" t="s">
        <v>30267</v>
      </c>
      <c r="D9607" t="s">
        <v>30268</v>
      </c>
      <c r="E9607" t="s">
        <v>30269</v>
      </c>
      <c r="F9607" t="s">
        <v>30276</v>
      </c>
      <c r="G9607" s="2" t="str">
        <f>HYPERLINK("https://probpalata.gov.ru/files/ИП520600130200003.jpeg","Скачать индивидуальный QR-код магазина")</f>
        <v>Скачать индивидуальный QR-код магазина</v>
      </c>
    </row>
    <row r="9608" spans="1:7" x14ac:dyDescent="0.25">
      <c r="A9608" t="s">
        <v>30141</v>
      </c>
      <c r="B9608" t="s">
        <v>30277</v>
      </c>
      <c r="C9608" t="s">
        <v>30267</v>
      </c>
      <c r="D9608" t="s">
        <v>30268</v>
      </c>
      <c r="E9608" t="s">
        <v>30269</v>
      </c>
      <c r="F9608" t="s">
        <v>30278</v>
      </c>
      <c r="G9608" s="2" t="str">
        <f>HYPERLINK("https://probpalata.gov.ru/files/ИП520600130200004.jpeg","Скачать индивидуальный QR-код магазина")</f>
        <v>Скачать индивидуальный QR-код магазина</v>
      </c>
    </row>
    <row r="9609" spans="1:7" x14ac:dyDescent="0.25">
      <c r="A9609" t="s">
        <v>30141</v>
      </c>
      <c r="B9609" t="s">
        <v>30279</v>
      </c>
      <c r="C9609" t="s">
        <v>30267</v>
      </c>
      <c r="D9609" t="s">
        <v>30268</v>
      </c>
      <c r="E9609" t="s">
        <v>30269</v>
      </c>
      <c r="F9609" t="s">
        <v>30280</v>
      </c>
      <c r="G9609" s="2" t="str">
        <f>HYPERLINK("https://probpalata.gov.ru/files/ИП520600130200005.jpeg","Скачать индивидуальный QR-код магазина")</f>
        <v>Скачать индивидуальный QR-код магазина</v>
      </c>
    </row>
    <row r="9610" spans="1:7" x14ac:dyDescent="0.25">
      <c r="A9610" t="s">
        <v>30141</v>
      </c>
      <c r="B9610" t="s">
        <v>30281</v>
      </c>
      <c r="C9610" t="s">
        <v>30282</v>
      </c>
      <c r="D9610" t="s">
        <v>30283</v>
      </c>
      <c r="E9610" t="s">
        <v>30284</v>
      </c>
      <c r="F9610" t="s">
        <v>30285</v>
      </c>
      <c r="G9610" s="2" t="str">
        <f>HYPERLINK("https://probpalata.gov.ru/files/ИП520601114600000.jpeg","Скачать индивидуальный QR-код магазина")</f>
        <v>Скачать индивидуальный QR-код магазина</v>
      </c>
    </row>
    <row r="9611" spans="1:7" x14ac:dyDescent="0.25">
      <c r="A9611" t="s">
        <v>30141</v>
      </c>
      <c r="B9611" t="s">
        <v>30286</v>
      </c>
      <c r="C9611" t="s">
        <v>30287</v>
      </c>
      <c r="D9611" t="s">
        <v>30288</v>
      </c>
      <c r="E9611" t="s">
        <v>30289</v>
      </c>
      <c r="F9611" t="s">
        <v>30290</v>
      </c>
      <c r="G9611" s="2" t="str">
        <f>HYPERLINK("https://probpalata.gov.ru/files/ИП520601457200000.jpeg","Скачать индивидуальный QR-код магазина")</f>
        <v>Скачать индивидуальный QR-код магазина</v>
      </c>
    </row>
    <row r="9612" spans="1:7" x14ac:dyDescent="0.25">
      <c r="A9612" t="s">
        <v>30141</v>
      </c>
      <c r="B9612" t="s">
        <v>30291</v>
      </c>
      <c r="C9612" t="s">
        <v>30292</v>
      </c>
      <c r="D9612" t="s">
        <v>30293</v>
      </c>
      <c r="E9612" t="s">
        <v>30294</v>
      </c>
      <c r="F9612" t="s">
        <v>30295</v>
      </c>
      <c r="G9612" s="2" t="str">
        <f>HYPERLINK("https://probpalata.gov.ru/files/ИП520603136500000.jpeg","Скачать индивидуальный QR-код магазина")</f>
        <v>Скачать индивидуальный QR-код магазина</v>
      </c>
    </row>
    <row r="9613" spans="1:7" x14ac:dyDescent="0.25">
      <c r="A9613" t="s">
        <v>30141</v>
      </c>
      <c r="B9613" t="s">
        <v>30296</v>
      </c>
      <c r="C9613" t="s">
        <v>30297</v>
      </c>
      <c r="D9613" t="s">
        <v>30298</v>
      </c>
      <c r="E9613" t="s">
        <v>30299</v>
      </c>
      <c r="F9613" t="s">
        <v>30300</v>
      </c>
      <c r="G9613" s="2" t="str">
        <f>HYPERLINK("https://probpalata.gov.ru/files/ИП520603225400000.jpeg","Скачать индивидуальный QR-код магазина")</f>
        <v>Скачать индивидуальный QR-код магазина</v>
      </c>
    </row>
    <row r="9614" spans="1:7" x14ac:dyDescent="0.25">
      <c r="A9614" t="s">
        <v>30141</v>
      </c>
      <c r="B9614" t="s">
        <v>30296</v>
      </c>
      <c r="C9614" t="s">
        <v>30301</v>
      </c>
      <c r="D9614" t="s">
        <v>30302</v>
      </c>
      <c r="E9614" t="s">
        <v>30303</v>
      </c>
      <c r="F9614" t="s">
        <v>30304</v>
      </c>
      <c r="G9614" s="2" t="str">
        <f>HYPERLINK("https://probpalata.gov.ru/files/ИП520603737300000.jpeg","Скачать индивидуальный QR-код магазина")</f>
        <v>Скачать индивидуальный QR-код магазина</v>
      </c>
    </row>
    <row r="9615" spans="1:7" x14ac:dyDescent="0.25">
      <c r="A9615" t="s">
        <v>30141</v>
      </c>
      <c r="B9615" t="s">
        <v>30305</v>
      </c>
      <c r="C9615" t="s">
        <v>30306</v>
      </c>
      <c r="D9615" t="s">
        <v>30307</v>
      </c>
      <c r="E9615" t="s">
        <v>30308</v>
      </c>
      <c r="F9615" t="s">
        <v>30309</v>
      </c>
      <c r="G9615" s="2" t="str">
        <f>HYPERLINK("https://probpalata.gov.ru/files/ИП520603377000000.jpeg","Скачать индивидуальный QR-код магазина")</f>
        <v>Скачать индивидуальный QR-код магазина</v>
      </c>
    </row>
    <row r="9616" spans="1:7" x14ac:dyDescent="0.25">
      <c r="A9616" t="s">
        <v>30141</v>
      </c>
      <c r="B9616" t="s">
        <v>30305</v>
      </c>
      <c r="C9616" t="s">
        <v>30310</v>
      </c>
      <c r="D9616" t="s">
        <v>30311</v>
      </c>
      <c r="E9616" t="s">
        <v>30312</v>
      </c>
      <c r="F9616" t="s">
        <v>30313</v>
      </c>
      <c r="G9616" s="2" t="str">
        <f>HYPERLINK("https://probpalata.gov.ru/files/ИП520603344600000.jpeg","Скачать индивидуальный QR-код магазина")</f>
        <v>Скачать индивидуальный QR-код магазина</v>
      </c>
    </row>
    <row r="9617" spans="1:7" x14ac:dyDescent="0.25">
      <c r="A9617" t="s">
        <v>30141</v>
      </c>
      <c r="B9617" t="s">
        <v>30314</v>
      </c>
      <c r="C9617" t="s">
        <v>30315</v>
      </c>
      <c r="D9617" t="s">
        <v>30316</v>
      </c>
      <c r="E9617" t="s">
        <v>30317</v>
      </c>
      <c r="F9617" t="s">
        <v>30318</v>
      </c>
      <c r="G9617" s="2" t="str">
        <f>HYPERLINK("https://probpalata.gov.ru/files/ИП520600603300000.jpeg","Скачать индивидуальный QR-код магазина")</f>
        <v>Скачать индивидуальный QR-код магазина</v>
      </c>
    </row>
    <row r="9618" spans="1:7" x14ac:dyDescent="0.25">
      <c r="A9618" t="s">
        <v>30141</v>
      </c>
      <c r="B9618" t="s">
        <v>30319</v>
      </c>
      <c r="C9618" t="s">
        <v>30320</v>
      </c>
      <c r="D9618" t="s">
        <v>30321</v>
      </c>
      <c r="E9618" t="s">
        <v>30322</v>
      </c>
      <c r="F9618" t="s">
        <v>30323</v>
      </c>
      <c r="G9618" s="2" t="str">
        <f>HYPERLINK("https://probpalata.gov.ru/files/ИП520601537500000.jpeg","Скачать индивидуальный QR-код магазина")</f>
        <v>Скачать индивидуальный QR-код магазина</v>
      </c>
    </row>
    <row r="9619" spans="1:7" x14ac:dyDescent="0.25">
      <c r="A9619" t="s">
        <v>30141</v>
      </c>
      <c r="B9619" t="s">
        <v>30324</v>
      </c>
      <c r="C9619" t="s">
        <v>30325</v>
      </c>
      <c r="D9619" t="s">
        <v>30326</v>
      </c>
      <c r="E9619" t="s">
        <v>30327</v>
      </c>
      <c r="F9619" t="s">
        <v>30328</v>
      </c>
      <c r="G9619" s="2" t="str">
        <f>HYPERLINK("https://probpalata.gov.ru/files/ЮЛ520603154500000.jpeg","Скачать индивидуальный QR-код магазина")</f>
        <v>Скачать индивидуальный QR-код магазина</v>
      </c>
    </row>
    <row r="9620" spans="1:7" x14ac:dyDescent="0.25">
      <c r="A9620" t="s">
        <v>30141</v>
      </c>
      <c r="B9620" t="s">
        <v>30329</v>
      </c>
      <c r="C9620" t="s">
        <v>30330</v>
      </c>
      <c r="D9620" t="s">
        <v>30331</v>
      </c>
      <c r="E9620" t="s">
        <v>30332</v>
      </c>
      <c r="F9620" t="s">
        <v>30333</v>
      </c>
      <c r="G9620" s="2" t="str">
        <f>HYPERLINK("https://probpalata.gov.ru/files/ИП520604056300000.jpeg","Скачать индивидуальный QR-код магазина")</f>
        <v>Скачать индивидуальный QR-код магазина</v>
      </c>
    </row>
    <row r="9621" spans="1:7" x14ac:dyDescent="0.25">
      <c r="A9621" t="s">
        <v>30141</v>
      </c>
      <c r="B9621" t="s">
        <v>30329</v>
      </c>
      <c r="C9621" t="s">
        <v>30334</v>
      </c>
      <c r="D9621" t="s">
        <v>30335</v>
      </c>
      <c r="E9621" t="s">
        <v>30336</v>
      </c>
      <c r="F9621" t="s">
        <v>30337</v>
      </c>
      <c r="G9621" s="2" t="str">
        <f>HYPERLINK("https://probpalata.gov.ru/files/ИП520603315600000.jpeg","Скачать индивидуальный QR-код магазина")</f>
        <v>Скачать индивидуальный QR-код магазина</v>
      </c>
    </row>
    <row r="9622" spans="1:7" x14ac:dyDescent="0.25">
      <c r="A9622" t="s">
        <v>30141</v>
      </c>
      <c r="B9622" t="s">
        <v>30338</v>
      </c>
      <c r="C9622" t="s">
        <v>30334</v>
      </c>
      <c r="D9622" t="s">
        <v>30335</v>
      </c>
      <c r="E9622" t="s">
        <v>30336</v>
      </c>
      <c r="F9622" t="s">
        <v>30339</v>
      </c>
      <c r="G9622" s="2" t="str">
        <f>HYPERLINK("https://probpalata.gov.ru/files/ИП520603315600001.jpeg","Скачать индивидуальный QR-код магазина")</f>
        <v>Скачать индивидуальный QR-код магазина</v>
      </c>
    </row>
    <row r="9623" spans="1:7" x14ac:dyDescent="0.25">
      <c r="A9623" t="s">
        <v>30141</v>
      </c>
      <c r="B9623" t="s">
        <v>30340</v>
      </c>
      <c r="C9623" t="s">
        <v>30341</v>
      </c>
      <c r="D9623" t="s">
        <v>30342</v>
      </c>
      <c r="E9623" t="s">
        <v>30343</v>
      </c>
      <c r="F9623" t="s">
        <v>30344</v>
      </c>
      <c r="G9623" s="2" t="str">
        <f>HYPERLINK("https://probpalata.gov.ru/files/ЮЛ520603847300000.jpeg","Скачать индивидуальный QR-код магазина")</f>
        <v>Скачать индивидуальный QR-код магазина</v>
      </c>
    </row>
    <row r="9624" spans="1:7" x14ac:dyDescent="0.25">
      <c r="A9624" t="s">
        <v>30141</v>
      </c>
      <c r="B9624" t="s">
        <v>30345</v>
      </c>
      <c r="C9624" t="s">
        <v>30346</v>
      </c>
      <c r="D9624" t="s">
        <v>30347</v>
      </c>
      <c r="E9624" t="s">
        <v>30348</v>
      </c>
      <c r="F9624" t="s">
        <v>30349</v>
      </c>
      <c r="G9624" s="2" t="str">
        <f>HYPERLINK("https://probpalata.gov.ru/files/ИП520601246000000.jpeg","Скачать индивидуальный QR-код магазина")</f>
        <v>Скачать индивидуальный QR-код магазина</v>
      </c>
    </row>
    <row r="9625" spans="1:7" x14ac:dyDescent="0.25">
      <c r="A9625" t="s">
        <v>30141</v>
      </c>
      <c r="B9625" t="s">
        <v>30350</v>
      </c>
      <c r="C9625" t="s">
        <v>30351</v>
      </c>
      <c r="D9625" t="s">
        <v>30352</v>
      </c>
      <c r="E9625" t="s">
        <v>30353</v>
      </c>
      <c r="F9625" t="s">
        <v>30354</v>
      </c>
      <c r="G9625" s="2" t="str">
        <f>HYPERLINK("https://probpalata.gov.ru/files/ИП520601603800000.jpeg","Скачать индивидуальный QR-код магазина")</f>
        <v>Скачать индивидуальный QR-код магазина</v>
      </c>
    </row>
    <row r="9626" spans="1:7" x14ac:dyDescent="0.25">
      <c r="A9626" t="s">
        <v>30141</v>
      </c>
      <c r="B9626" t="s">
        <v>30355</v>
      </c>
      <c r="C9626" t="s">
        <v>30356</v>
      </c>
      <c r="D9626" t="s">
        <v>30357</v>
      </c>
      <c r="E9626" t="s">
        <v>30358</v>
      </c>
      <c r="F9626" t="s">
        <v>30359</v>
      </c>
      <c r="G9626" s="2" t="str">
        <f>HYPERLINK("https://probpalata.gov.ru/files/ИП770103303300000.jpeg","Скачать индивидуальный QR-код магазина")</f>
        <v>Скачать индивидуальный QR-код магазина</v>
      </c>
    </row>
    <row r="9627" spans="1:7" x14ac:dyDescent="0.25">
      <c r="A9627" t="s">
        <v>30141</v>
      </c>
      <c r="B9627" t="s">
        <v>30360</v>
      </c>
      <c r="C9627" t="s">
        <v>30361</v>
      </c>
      <c r="D9627" t="s">
        <v>30362</v>
      </c>
      <c r="E9627" t="s">
        <v>30363</v>
      </c>
      <c r="F9627" t="s">
        <v>30364</v>
      </c>
      <c r="G9627" s="2" t="str">
        <f>HYPERLINK("https://probpalata.gov.ru/files/ИП520603313700000.jpeg","Скачать индивидуальный QR-код магазина")</f>
        <v>Скачать индивидуальный QR-код магазина</v>
      </c>
    </row>
    <row r="9628" spans="1:7" x14ac:dyDescent="0.25">
      <c r="A9628" t="s">
        <v>30141</v>
      </c>
      <c r="B9628" t="s">
        <v>30365</v>
      </c>
      <c r="C9628" t="s">
        <v>30366</v>
      </c>
      <c r="D9628" t="s">
        <v>30367</v>
      </c>
      <c r="E9628" t="s">
        <v>30368</v>
      </c>
      <c r="F9628" t="s">
        <v>30369</v>
      </c>
      <c r="G9628" s="2" t="str">
        <f>HYPERLINK("https://probpalata.gov.ru/files/ИП520601509300000.jpeg","Скачать индивидуальный QR-код магазина")</f>
        <v>Скачать индивидуальный QR-код магазина</v>
      </c>
    </row>
    <row r="9629" spans="1:7" x14ac:dyDescent="0.25">
      <c r="A9629" t="s">
        <v>30141</v>
      </c>
      <c r="B9629" t="s">
        <v>30370</v>
      </c>
      <c r="C9629" t="s">
        <v>14783</v>
      </c>
      <c r="D9629" t="s">
        <v>14784</v>
      </c>
      <c r="E9629" t="s">
        <v>14785</v>
      </c>
      <c r="F9629" t="s">
        <v>30371</v>
      </c>
      <c r="G9629" s="2" t="str">
        <f>HYPERLINK("https://probpalata.gov.ru/files/ИП520603457800000.jpeg","Скачать индивидуальный QR-код магазина")</f>
        <v>Скачать индивидуальный QR-код магазина</v>
      </c>
    </row>
    <row r="9630" spans="1:7" x14ac:dyDescent="0.25">
      <c r="A9630" t="s">
        <v>30141</v>
      </c>
      <c r="B9630" t="s">
        <v>30372</v>
      </c>
      <c r="C9630" t="s">
        <v>14783</v>
      </c>
      <c r="D9630" t="s">
        <v>14784</v>
      </c>
      <c r="E9630" t="s">
        <v>14785</v>
      </c>
      <c r="F9630" t="s">
        <v>30373</v>
      </c>
      <c r="G9630" s="2" t="str">
        <f>HYPERLINK("https://probpalata.gov.ru/files/ИП520603457800004.jpeg","Скачать индивидуальный QR-код магазина")</f>
        <v>Скачать индивидуальный QR-код магазина</v>
      </c>
    </row>
    <row r="9631" spans="1:7" x14ac:dyDescent="0.25">
      <c r="A9631" t="s">
        <v>30141</v>
      </c>
      <c r="B9631" t="s">
        <v>30374</v>
      </c>
      <c r="C9631" t="s">
        <v>14783</v>
      </c>
      <c r="D9631" t="s">
        <v>14784</v>
      </c>
      <c r="E9631" t="s">
        <v>14785</v>
      </c>
      <c r="F9631" t="s">
        <v>30375</v>
      </c>
      <c r="G9631" s="2" t="str">
        <f>HYPERLINK("https://probpalata.gov.ru/files/ИП520603457800006.jpeg","Скачать индивидуальный QR-код магазина")</f>
        <v>Скачать индивидуальный QR-код магазина</v>
      </c>
    </row>
    <row r="9632" spans="1:7" x14ac:dyDescent="0.25">
      <c r="A9632" t="s">
        <v>30141</v>
      </c>
      <c r="B9632" t="s">
        <v>30376</v>
      </c>
      <c r="C9632" t="s">
        <v>14783</v>
      </c>
      <c r="D9632" t="s">
        <v>14784</v>
      </c>
      <c r="E9632" t="s">
        <v>14785</v>
      </c>
      <c r="F9632" t="s">
        <v>30377</v>
      </c>
      <c r="G9632" s="2" t="str">
        <f>HYPERLINK("https://probpalata.gov.ru/files/ИП520603457800008.jpeg","Скачать индивидуальный QR-код магазина")</f>
        <v>Скачать индивидуальный QR-код магазина</v>
      </c>
    </row>
    <row r="9633" spans="1:7" x14ac:dyDescent="0.25">
      <c r="A9633" t="s">
        <v>30141</v>
      </c>
      <c r="B9633" t="s">
        <v>30378</v>
      </c>
      <c r="C9633" t="s">
        <v>14783</v>
      </c>
      <c r="D9633" t="s">
        <v>14784</v>
      </c>
      <c r="E9633" t="s">
        <v>14785</v>
      </c>
      <c r="F9633" t="s">
        <v>30379</v>
      </c>
      <c r="G9633" s="2" t="str">
        <f>HYPERLINK("https://probpalata.gov.ru/files/ИП520603457800010.jpeg","Скачать индивидуальный QR-код магазина")</f>
        <v>Скачать индивидуальный QR-код магазина</v>
      </c>
    </row>
    <row r="9634" spans="1:7" x14ac:dyDescent="0.25">
      <c r="A9634" t="s">
        <v>30141</v>
      </c>
      <c r="B9634" t="s">
        <v>30380</v>
      </c>
      <c r="C9634" t="s">
        <v>14783</v>
      </c>
      <c r="D9634" t="s">
        <v>14784</v>
      </c>
      <c r="E9634" t="s">
        <v>14785</v>
      </c>
      <c r="F9634" t="s">
        <v>30381</v>
      </c>
      <c r="G9634" s="2" t="str">
        <f>HYPERLINK("https://probpalata.gov.ru/files/ИП520603457800013.jpeg","Скачать индивидуальный QR-код магазина")</f>
        <v>Скачать индивидуальный QR-код магазина</v>
      </c>
    </row>
    <row r="9635" spans="1:7" x14ac:dyDescent="0.25">
      <c r="A9635" t="s">
        <v>30141</v>
      </c>
      <c r="B9635" t="s">
        <v>30382</v>
      </c>
      <c r="C9635" t="s">
        <v>14783</v>
      </c>
      <c r="D9635" t="s">
        <v>14784</v>
      </c>
      <c r="E9635" t="s">
        <v>14785</v>
      </c>
      <c r="F9635" t="s">
        <v>30383</v>
      </c>
      <c r="G9635" s="2" t="str">
        <f>HYPERLINK("https://probpalata.gov.ru/files/ИП520603457800014.jpeg","Скачать индивидуальный QR-код магазина")</f>
        <v>Скачать индивидуальный QR-код магазина</v>
      </c>
    </row>
    <row r="9636" spans="1:7" x14ac:dyDescent="0.25">
      <c r="A9636" t="s">
        <v>30141</v>
      </c>
      <c r="B9636" t="s">
        <v>30384</v>
      </c>
      <c r="C9636" t="s">
        <v>14783</v>
      </c>
      <c r="D9636" t="s">
        <v>14784</v>
      </c>
      <c r="E9636" t="s">
        <v>14785</v>
      </c>
      <c r="F9636" t="s">
        <v>30385</v>
      </c>
      <c r="G9636" s="2" t="str">
        <f>HYPERLINK("https://probpalata.gov.ru/files/ИП520603457800018.jpeg","Скачать индивидуальный QR-код магазина")</f>
        <v>Скачать индивидуальный QR-код магазина</v>
      </c>
    </row>
    <row r="9637" spans="1:7" x14ac:dyDescent="0.25">
      <c r="A9637" t="s">
        <v>30141</v>
      </c>
      <c r="B9637" t="s">
        <v>30386</v>
      </c>
      <c r="C9637" t="s">
        <v>14783</v>
      </c>
      <c r="D9637" t="s">
        <v>14784</v>
      </c>
      <c r="E9637" t="s">
        <v>14785</v>
      </c>
      <c r="F9637" t="s">
        <v>30387</v>
      </c>
      <c r="G9637" s="2" t="str">
        <f>HYPERLINK("https://probpalata.gov.ru/files/ИП520603457800019.jpeg","Скачать индивидуальный QR-код магазина")</f>
        <v>Скачать индивидуальный QR-код магазина</v>
      </c>
    </row>
    <row r="9638" spans="1:7" x14ac:dyDescent="0.25">
      <c r="A9638" t="s">
        <v>30141</v>
      </c>
      <c r="B9638" t="s">
        <v>30388</v>
      </c>
      <c r="C9638" t="s">
        <v>14783</v>
      </c>
      <c r="D9638" t="s">
        <v>14784</v>
      </c>
      <c r="E9638" t="s">
        <v>14785</v>
      </c>
      <c r="F9638" t="s">
        <v>30389</v>
      </c>
      <c r="G9638" s="2" t="str">
        <f>HYPERLINK("https://probpalata.gov.ru/files/ИП520603457800020.jpeg","Скачать индивидуальный QR-код магазина")</f>
        <v>Скачать индивидуальный QR-код магазина</v>
      </c>
    </row>
    <row r="9639" spans="1:7" x14ac:dyDescent="0.25">
      <c r="A9639" t="s">
        <v>30141</v>
      </c>
      <c r="B9639" t="s">
        <v>30390</v>
      </c>
      <c r="C9639" t="s">
        <v>14783</v>
      </c>
      <c r="D9639" t="s">
        <v>14784</v>
      </c>
      <c r="E9639" t="s">
        <v>14785</v>
      </c>
      <c r="F9639" t="s">
        <v>30391</v>
      </c>
      <c r="G9639" s="2" t="str">
        <f>HYPERLINK("https://probpalata.gov.ru/files/ИП520603457800021.jpeg","Скачать индивидуальный QR-код магазина")</f>
        <v>Скачать индивидуальный QR-код магазина</v>
      </c>
    </row>
    <row r="9640" spans="1:7" x14ac:dyDescent="0.25">
      <c r="A9640" t="s">
        <v>30141</v>
      </c>
      <c r="B9640" t="s">
        <v>30392</v>
      </c>
      <c r="C9640" t="s">
        <v>14783</v>
      </c>
      <c r="D9640" t="s">
        <v>14784</v>
      </c>
      <c r="E9640" t="s">
        <v>14785</v>
      </c>
      <c r="F9640" t="s">
        <v>30393</v>
      </c>
      <c r="G9640" s="2" t="str">
        <f>HYPERLINK("https://probpalata.gov.ru/files/ИП520603457800023.jpeg","Скачать индивидуальный QR-код магазина")</f>
        <v>Скачать индивидуальный QR-код магазина</v>
      </c>
    </row>
    <row r="9641" spans="1:7" x14ac:dyDescent="0.25">
      <c r="A9641" t="s">
        <v>30141</v>
      </c>
      <c r="B9641" t="s">
        <v>30394</v>
      </c>
      <c r="C9641" t="s">
        <v>14783</v>
      </c>
      <c r="D9641" t="s">
        <v>14784</v>
      </c>
      <c r="E9641" t="s">
        <v>14785</v>
      </c>
      <c r="F9641" t="s">
        <v>30395</v>
      </c>
      <c r="G9641" s="2" t="str">
        <f>HYPERLINK("https://probpalata.gov.ru/files/ИП520603457800024.jpeg","Скачать индивидуальный QR-код магазина")</f>
        <v>Скачать индивидуальный QR-код магазина</v>
      </c>
    </row>
    <row r="9642" spans="1:7" x14ac:dyDescent="0.25">
      <c r="A9642" t="s">
        <v>30141</v>
      </c>
      <c r="B9642" t="s">
        <v>30396</v>
      </c>
      <c r="C9642" t="s">
        <v>14783</v>
      </c>
      <c r="D9642" t="s">
        <v>14784</v>
      </c>
      <c r="E9642" t="s">
        <v>14785</v>
      </c>
      <c r="F9642" t="s">
        <v>30397</v>
      </c>
      <c r="G9642" s="2" t="str">
        <f>HYPERLINK("https://probpalata.gov.ru/files/ИП520603457800025.jpeg","Скачать индивидуальный QR-код магазина")</f>
        <v>Скачать индивидуальный QR-код магазина</v>
      </c>
    </row>
    <row r="9643" spans="1:7" x14ac:dyDescent="0.25">
      <c r="A9643" t="s">
        <v>30141</v>
      </c>
      <c r="B9643" t="s">
        <v>30398</v>
      </c>
      <c r="C9643" t="s">
        <v>30399</v>
      </c>
      <c r="D9643" t="s">
        <v>30400</v>
      </c>
      <c r="E9643" t="s">
        <v>30401</v>
      </c>
      <c r="F9643" t="s">
        <v>30402</v>
      </c>
      <c r="G9643" s="2" t="str">
        <f>HYPERLINK("https://probpalata.gov.ru/files/ИП520600099100000.jpeg","Скачать индивидуальный QR-код магазина")</f>
        <v>Скачать индивидуальный QR-код магазина</v>
      </c>
    </row>
    <row r="9644" spans="1:7" x14ac:dyDescent="0.25">
      <c r="A9644" t="s">
        <v>30141</v>
      </c>
      <c r="B9644" t="s">
        <v>30403</v>
      </c>
      <c r="C9644" t="s">
        <v>30404</v>
      </c>
      <c r="D9644" t="s">
        <v>30405</v>
      </c>
      <c r="E9644" t="s">
        <v>30406</v>
      </c>
      <c r="F9644" t="s">
        <v>30407</v>
      </c>
      <c r="G9644" s="2" t="str">
        <f>HYPERLINK("https://probpalata.gov.ru/files/ИП520600398800000.jpeg","Скачать индивидуальный QR-код магазина")</f>
        <v>Скачать индивидуальный QR-код магазина</v>
      </c>
    </row>
    <row r="9645" spans="1:7" x14ac:dyDescent="0.25">
      <c r="A9645" t="s">
        <v>30141</v>
      </c>
      <c r="B9645" t="s">
        <v>30408</v>
      </c>
      <c r="C9645" t="s">
        <v>30409</v>
      </c>
      <c r="D9645" t="s">
        <v>30410</v>
      </c>
      <c r="E9645" t="s">
        <v>30411</v>
      </c>
      <c r="F9645" t="s">
        <v>30412</v>
      </c>
      <c r="G9645" s="2" t="str">
        <f>HYPERLINK("https://probpalata.gov.ru/files/ИП520600138900000.jpeg","Скачать индивидуальный QR-код магазина")</f>
        <v>Скачать индивидуальный QR-код магазина</v>
      </c>
    </row>
    <row r="9646" spans="1:7" x14ac:dyDescent="0.25">
      <c r="A9646" t="s">
        <v>30141</v>
      </c>
      <c r="B9646" t="s">
        <v>30413</v>
      </c>
      <c r="C9646" t="s">
        <v>30414</v>
      </c>
      <c r="D9646" t="s">
        <v>30415</v>
      </c>
      <c r="E9646" t="s">
        <v>30416</v>
      </c>
      <c r="F9646" t="s">
        <v>30417</v>
      </c>
      <c r="G9646" s="2" t="str">
        <f>HYPERLINK("https://probpalata.gov.ru/files/ЮЛ520600221700000.jpeg","Скачать индивидуальный QR-код магазина")</f>
        <v>Скачать индивидуальный QR-код магазина</v>
      </c>
    </row>
    <row r="9647" spans="1:7" x14ac:dyDescent="0.25">
      <c r="A9647" t="s">
        <v>30141</v>
      </c>
      <c r="B9647" t="s">
        <v>30418</v>
      </c>
      <c r="C9647" t="s">
        <v>30419</v>
      </c>
      <c r="D9647" t="s">
        <v>30420</v>
      </c>
      <c r="E9647" t="s">
        <v>30421</v>
      </c>
      <c r="F9647" t="s">
        <v>30422</v>
      </c>
      <c r="G9647" s="2" t="str">
        <f>HYPERLINK("https://probpalata.gov.ru/files/ИП520600163400000.jpeg","Скачать индивидуальный QR-код магазина")</f>
        <v>Скачать индивидуальный QR-код магазина</v>
      </c>
    </row>
    <row r="9648" spans="1:7" x14ac:dyDescent="0.25">
      <c r="A9648" t="s">
        <v>30141</v>
      </c>
      <c r="B9648" t="s">
        <v>30423</v>
      </c>
      <c r="C9648" t="s">
        <v>30419</v>
      </c>
      <c r="D9648" t="s">
        <v>30420</v>
      </c>
      <c r="E9648" t="s">
        <v>30421</v>
      </c>
      <c r="F9648" t="s">
        <v>30424</v>
      </c>
      <c r="G9648" s="2" t="str">
        <f>HYPERLINK("https://probpalata.gov.ru/files/ИП520600163400001.jpeg","Скачать индивидуальный QR-код магазина")</f>
        <v>Скачать индивидуальный QR-код магазина</v>
      </c>
    </row>
    <row r="9649" spans="1:7" x14ac:dyDescent="0.25">
      <c r="A9649" t="s">
        <v>30141</v>
      </c>
      <c r="B9649" t="s">
        <v>30425</v>
      </c>
      <c r="C9649" t="s">
        <v>30426</v>
      </c>
      <c r="D9649" t="s">
        <v>30427</v>
      </c>
      <c r="E9649" t="s">
        <v>30428</v>
      </c>
      <c r="F9649" t="s">
        <v>30429</v>
      </c>
      <c r="G9649" s="2" t="str">
        <f>HYPERLINK("https://probpalata.gov.ru/files/ИП370200187800000.jpeg","Скачать индивидуальный QR-код магазина")</f>
        <v>Скачать индивидуальный QR-код магазина</v>
      </c>
    </row>
    <row r="9650" spans="1:7" x14ac:dyDescent="0.25">
      <c r="A9650" t="s">
        <v>30141</v>
      </c>
      <c r="B9650" t="s">
        <v>30430</v>
      </c>
      <c r="C9650" t="s">
        <v>30431</v>
      </c>
      <c r="D9650" t="s">
        <v>30432</v>
      </c>
      <c r="E9650" t="s">
        <v>30433</v>
      </c>
      <c r="F9650" t="s">
        <v>30434</v>
      </c>
      <c r="G9650" s="2" t="str">
        <f>HYPERLINK("https://probpalata.gov.ru/files/ИП520603318800002.jpeg","Скачать индивидуальный QR-код магазина")</f>
        <v>Скачать индивидуальный QR-код магазина</v>
      </c>
    </row>
    <row r="9651" spans="1:7" x14ac:dyDescent="0.25">
      <c r="A9651" t="s">
        <v>30141</v>
      </c>
      <c r="B9651" t="s">
        <v>30435</v>
      </c>
      <c r="C9651" t="s">
        <v>30431</v>
      </c>
      <c r="D9651" t="s">
        <v>30432</v>
      </c>
      <c r="E9651" t="s">
        <v>30433</v>
      </c>
      <c r="F9651" t="s">
        <v>30436</v>
      </c>
      <c r="G9651" s="2" t="str">
        <f>HYPERLINK("https://probpalata.gov.ru/files/ИП520603318800003.jpeg","Скачать индивидуальный QR-код магазина")</f>
        <v>Скачать индивидуальный QR-код магазина</v>
      </c>
    </row>
    <row r="9652" spans="1:7" x14ac:dyDescent="0.25">
      <c r="A9652" t="s">
        <v>30141</v>
      </c>
      <c r="B9652" t="s">
        <v>30437</v>
      </c>
      <c r="C9652" t="s">
        <v>30438</v>
      </c>
      <c r="D9652" t="s">
        <v>30439</v>
      </c>
      <c r="E9652" t="s">
        <v>30440</v>
      </c>
      <c r="F9652" t="s">
        <v>30441</v>
      </c>
      <c r="G9652" s="2" t="str">
        <f>HYPERLINK("https://probpalata.gov.ru/files/ИП520601079900000.jpeg","Скачать индивидуальный QR-код магазина")</f>
        <v>Скачать индивидуальный QR-код магазина</v>
      </c>
    </row>
    <row r="9653" spans="1:7" x14ac:dyDescent="0.25">
      <c r="A9653" t="s">
        <v>30141</v>
      </c>
      <c r="B9653" t="s">
        <v>30442</v>
      </c>
      <c r="C9653" t="s">
        <v>30443</v>
      </c>
      <c r="D9653" t="s">
        <v>30444</v>
      </c>
      <c r="E9653" t="s">
        <v>30445</v>
      </c>
      <c r="F9653" t="s">
        <v>30446</v>
      </c>
      <c r="G9653" s="2" t="str">
        <f>HYPERLINK("https://probpalata.gov.ru/files/ИП520600930700000.jpeg","Скачать индивидуальный QR-код магазина")</f>
        <v>Скачать индивидуальный QR-код магазина</v>
      </c>
    </row>
    <row r="9654" spans="1:7" x14ac:dyDescent="0.25">
      <c r="A9654" t="s">
        <v>30141</v>
      </c>
      <c r="B9654" t="s">
        <v>30447</v>
      </c>
      <c r="C9654" t="s">
        <v>30448</v>
      </c>
      <c r="D9654" t="s">
        <v>30449</v>
      </c>
      <c r="E9654" t="s">
        <v>30450</v>
      </c>
      <c r="F9654" t="s">
        <v>30451</v>
      </c>
      <c r="G9654" s="2" t="str">
        <f>HYPERLINK("https://probpalata.gov.ru/files/ИП520603359100000.jpeg","Скачать индивидуальный QR-код магазина")</f>
        <v>Скачать индивидуальный QR-код магазина</v>
      </c>
    </row>
    <row r="9655" spans="1:7" x14ac:dyDescent="0.25">
      <c r="A9655" t="s">
        <v>30141</v>
      </c>
      <c r="B9655" t="s">
        <v>30452</v>
      </c>
      <c r="C9655" t="s">
        <v>30453</v>
      </c>
      <c r="D9655" t="s">
        <v>30454</v>
      </c>
      <c r="E9655" t="s">
        <v>30455</v>
      </c>
      <c r="F9655" t="s">
        <v>30456</v>
      </c>
      <c r="G9655" s="2" t="str">
        <f>HYPERLINK("https://probpalata.gov.ru/files/ИП520601027200000.jpeg","Скачать индивидуальный QR-код магазина")</f>
        <v>Скачать индивидуальный QR-код магазина</v>
      </c>
    </row>
    <row r="9656" spans="1:7" x14ac:dyDescent="0.25">
      <c r="A9656" t="s">
        <v>30141</v>
      </c>
      <c r="B9656" t="s">
        <v>30457</v>
      </c>
      <c r="C9656" t="s">
        <v>30458</v>
      </c>
      <c r="D9656" t="s">
        <v>30459</v>
      </c>
      <c r="E9656" t="s">
        <v>30460</v>
      </c>
      <c r="F9656" t="s">
        <v>30461</v>
      </c>
      <c r="G9656" s="2" t="str">
        <f>HYPERLINK("https://probpalata.gov.ru/files/ИП520603260200001.jpeg","Скачать индивидуальный QR-код магазина")</f>
        <v>Скачать индивидуальный QR-код магазина</v>
      </c>
    </row>
    <row r="9657" spans="1:7" x14ac:dyDescent="0.25">
      <c r="A9657" t="s">
        <v>30141</v>
      </c>
      <c r="B9657" t="s">
        <v>30462</v>
      </c>
      <c r="C9657" t="s">
        <v>30463</v>
      </c>
      <c r="D9657" t="s">
        <v>30464</v>
      </c>
      <c r="E9657" t="s">
        <v>30465</v>
      </c>
      <c r="F9657" t="s">
        <v>30466</v>
      </c>
      <c r="G9657" s="2" t="str">
        <f>HYPERLINK("https://probpalata.gov.ru/files/ИП520600436200000.jpeg","Скачать индивидуальный QR-код магазина")</f>
        <v>Скачать индивидуальный QR-код магазина</v>
      </c>
    </row>
    <row r="9658" spans="1:7" x14ac:dyDescent="0.25">
      <c r="A9658" t="s">
        <v>30141</v>
      </c>
      <c r="B9658" t="s">
        <v>30467</v>
      </c>
      <c r="C9658" t="s">
        <v>30468</v>
      </c>
      <c r="D9658" t="s">
        <v>30469</v>
      </c>
      <c r="E9658" t="s">
        <v>30470</v>
      </c>
      <c r="F9658" t="s">
        <v>30471</v>
      </c>
      <c r="G9658" s="2" t="str">
        <f>HYPERLINK("https://probpalata.gov.ru/files/ЮЛ520600147100000.jpeg","Скачать индивидуальный QR-код магазина")</f>
        <v>Скачать индивидуальный QR-код магазина</v>
      </c>
    </row>
    <row r="9659" spans="1:7" x14ac:dyDescent="0.25">
      <c r="A9659" t="s">
        <v>30141</v>
      </c>
      <c r="B9659" t="s">
        <v>30472</v>
      </c>
      <c r="C9659" t="s">
        <v>30473</v>
      </c>
      <c r="D9659" t="s">
        <v>30474</v>
      </c>
      <c r="E9659" t="s">
        <v>30475</v>
      </c>
      <c r="F9659" t="s">
        <v>30476</v>
      </c>
      <c r="G9659" s="2" t="str">
        <f>HYPERLINK("https://probpalata.gov.ru/files/ИП520601209000000.jpeg","Скачать индивидуальный QR-код магазина")</f>
        <v>Скачать индивидуальный QR-код магазина</v>
      </c>
    </row>
    <row r="9660" spans="1:7" x14ac:dyDescent="0.25">
      <c r="A9660" t="s">
        <v>30141</v>
      </c>
      <c r="B9660" t="s">
        <v>30477</v>
      </c>
      <c r="C9660" t="s">
        <v>30478</v>
      </c>
      <c r="D9660" t="s">
        <v>30479</v>
      </c>
      <c r="E9660" t="s">
        <v>30480</v>
      </c>
      <c r="F9660" t="s">
        <v>30481</v>
      </c>
      <c r="G9660" s="2" t="str">
        <f>HYPERLINK("https://probpalata.gov.ru/files/ИП520603877700000.jpeg","Скачать индивидуальный QR-код магазина")</f>
        <v>Скачать индивидуальный QR-код магазина</v>
      </c>
    </row>
    <row r="9661" spans="1:7" x14ac:dyDescent="0.25">
      <c r="A9661" t="s">
        <v>30141</v>
      </c>
      <c r="B9661" t="s">
        <v>30482</v>
      </c>
      <c r="C9661" t="s">
        <v>30483</v>
      </c>
      <c r="D9661" t="s">
        <v>30484</v>
      </c>
      <c r="E9661" t="s">
        <v>30485</v>
      </c>
      <c r="F9661" t="s">
        <v>30486</v>
      </c>
      <c r="G9661" s="2" t="str">
        <f>HYPERLINK("https://probpalata.gov.ru/files/ИП520600224400000.jpeg","Скачать индивидуальный QR-код магазина")</f>
        <v>Скачать индивидуальный QR-код магазина</v>
      </c>
    </row>
    <row r="9662" spans="1:7" x14ac:dyDescent="0.25">
      <c r="A9662" t="s">
        <v>30141</v>
      </c>
      <c r="B9662" t="s">
        <v>30487</v>
      </c>
      <c r="C9662" t="s">
        <v>30488</v>
      </c>
      <c r="D9662" t="s">
        <v>30489</v>
      </c>
      <c r="E9662" t="s">
        <v>30490</v>
      </c>
      <c r="F9662" t="s">
        <v>30491</v>
      </c>
      <c r="G9662" s="2" t="str">
        <f>HYPERLINK("https://probpalata.gov.ru/files/ИП520601057000000.jpeg","Скачать индивидуальный QR-код магазина")</f>
        <v>Скачать индивидуальный QR-код магазина</v>
      </c>
    </row>
    <row r="9663" spans="1:7" x14ac:dyDescent="0.25">
      <c r="A9663" t="s">
        <v>30141</v>
      </c>
      <c r="B9663" t="s">
        <v>30492</v>
      </c>
      <c r="C9663" t="s">
        <v>30488</v>
      </c>
      <c r="D9663" t="s">
        <v>30489</v>
      </c>
      <c r="E9663" t="s">
        <v>30490</v>
      </c>
      <c r="F9663" t="s">
        <v>30493</v>
      </c>
      <c r="G9663" s="2" t="str">
        <f>HYPERLINK("https://probpalata.gov.ru/files/ИП520601057000001.jpeg","Скачать индивидуальный QR-код магазина")</f>
        <v>Скачать индивидуальный QR-код магазина</v>
      </c>
    </row>
    <row r="9664" spans="1:7" x14ac:dyDescent="0.25">
      <c r="A9664" t="s">
        <v>30141</v>
      </c>
      <c r="B9664" t="s">
        <v>30494</v>
      </c>
      <c r="C9664" t="s">
        <v>30495</v>
      </c>
      <c r="D9664" t="s">
        <v>30496</v>
      </c>
      <c r="E9664" t="s">
        <v>30497</v>
      </c>
      <c r="F9664" t="s">
        <v>30498</v>
      </c>
      <c r="G9664" s="2" t="str">
        <f>HYPERLINK("https://probpalata.gov.ru/files/ЮЛ520601165000000.jpeg","Скачать индивидуальный QR-код магазина")</f>
        <v>Скачать индивидуальный QR-код магазина</v>
      </c>
    </row>
    <row r="9665" spans="1:7" x14ac:dyDescent="0.25">
      <c r="A9665" t="s">
        <v>30141</v>
      </c>
      <c r="B9665" t="s">
        <v>30499</v>
      </c>
      <c r="C9665" t="s">
        <v>30500</v>
      </c>
      <c r="D9665" t="s">
        <v>30501</v>
      </c>
      <c r="E9665" t="s">
        <v>30502</v>
      </c>
      <c r="F9665" t="s">
        <v>30503</v>
      </c>
      <c r="G9665" s="2" t="str">
        <f>HYPERLINK("https://probpalata.gov.ru/files/ИП520603229000000.jpeg","Скачать индивидуальный QR-код магазина")</f>
        <v>Скачать индивидуальный QR-код магазина</v>
      </c>
    </row>
    <row r="9666" spans="1:7" x14ac:dyDescent="0.25">
      <c r="A9666" t="s">
        <v>30141</v>
      </c>
      <c r="B9666" t="s">
        <v>30504</v>
      </c>
      <c r="C9666" t="s">
        <v>30505</v>
      </c>
      <c r="D9666" t="s">
        <v>30506</v>
      </c>
      <c r="E9666" t="s">
        <v>30507</v>
      </c>
      <c r="F9666" t="s">
        <v>30508</v>
      </c>
      <c r="G9666" s="2" t="str">
        <f>HYPERLINK("https://probpalata.gov.ru/files/ИП520600773400000.jpeg","Скачать индивидуальный QR-код магазина")</f>
        <v>Скачать индивидуальный QR-код магазина</v>
      </c>
    </row>
    <row r="9667" spans="1:7" x14ac:dyDescent="0.25">
      <c r="A9667" t="s">
        <v>30141</v>
      </c>
      <c r="B9667" t="s">
        <v>30509</v>
      </c>
      <c r="C9667" t="s">
        <v>30510</v>
      </c>
      <c r="D9667" t="s">
        <v>30511</v>
      </c>
      <c r="E9667" t="s">
        <v>30512</v>
      </c>
      <c r="F9667" t="s">
        <v>30513</v>
      </c>
      <c r="G9667" s="2" t="str">
        <f>HYPERLINK("https://probpalata.gov.ru/files/ИП520600216400001.jpeg","Скачать индивидуальный QR-код магазина")</f>
        <v>Скачать индивидуальный QR-код магазина</v>
      </c>
    </row>
    <row r="9668" spans="1:7" x14ac:dyDescent="0.25">
      <c r="A9668" t="s">
        <v>30141</v>
      </c>
      <c r="B9668" t="s">
        <v>30514</v>
      </c>
      <c r="C9668" t="s">
        <v>30510</v>
      </c>
      <c r="D9668" t="s">
        <v>30511</v>
      </c>
      <c r="E9668" t="s">
        <v>30512</v>
      </c>
      <c r="F9668" t="s">
        <v>30515</v>
      </c>
      <c r="G9668" s="2" t="str">
        <f>HYPERLINK("https://probpalata.gov.ru/files/ИП520600216400002.jpeg","Скачать индивидуальный QR-код магазина")</f>
        <v>Скачать индивидуальный QR-код магазина</v>
      </c>
    </row>
    <row r="9669" spans="1:7" x14ac:dyDescent="0.25">
      <c r="A9669" t="s">
        <v>30141</v>
      </c>
      <c r="B9669" t="s">
        <v>30516</v>
      </c>
      <c r="C9669" t="s">
        <v>30510</v>
      </c>
      <c r="D9669" t="s">
        <v>30511</v>
      </c>
      <c r="E9669" t="s">
        <v>30512</v>
      </c>
      <c r="F9669" t="s">
        <v>30517</v>
      </c>
      <c r="G9669" s="2" t="str">
        <f>HYPERLINK("https://probpalata.gov.ru/files/ИП520600216400003.jpeg","Скачать индивидуальный QR-код магазина")</f>
        <v>Скачать индивидуальный QR-код магазина</v>
      </c>
    </row>
    <row r="9670" spans="1:7" x14ac:dyDescent="0.25">
      <c r="A9670" t="s">
        <v>30141</v>
      </c>
      <c r="B9670" t="s">
        <v>30518</v>
      </c>
      <c r="C9670" t="s">
        <v>30510</v>
      </c>
      <c r="D9670" t="s">
        <v>30511</v>
      </c>
      <c r="E9670" t="s">
        <v>30512</v>
      </c>
      <c r="F9670" t="s">
        <v>30519</v>
      </c>
      <c r="G9670" s="2" t="str">
        <f>HYPERLINK("https://probpalata.gov.ru/files/ИП520600216400004.jpeg","Скачать индивидуальный QR-код магазина")</f>
        <v>Скачать индивидуальный QR-код магазина</v>
      </c>
    </row>
    <row r="9671" spans="1:7" x14ac:dyDescent="0.25">
      <c r="A9671" t="s">
        <v>30141</v>
      </c>
      <c r="B9671" t="s">
        <v>30520</v>
      </c>
      <c r="C9671" t="s">
        <v>30510</v>
      </c>
      <c r="D9671" t="s">
        <v>30511</v>
      </c>
      <c r="E9671" t="s">
        <v>30512</v>
      </c>
      <c r="F9671" t="s">
        <v>30521</v>
      </c>
      <c r="G9671" s="2" t="str">
        <f>HYPERLINK("https://probpalata.gov.ru/files/ИП520600216400005.jpeg","Скачать индивидуальный QR-код магазина")</f>
        <v>Скачать индивидуальный QR-код магазина</v>
      </c>
    </row>
    <row r="9672" spans="1:7" x14ac:dyDescent="0.25">
      <c r="A9672" t="s">
        <v>30141</v>
      </c>
      <c r="B9672" t="s">
        <v>30522</v>
      </c>
      <c r="C9672" t="s">
        <v>30510</v>
      </c>
      <c r="D9672" t="s">
        <v>30511</v>
      </c>
      <c r="E9672" t="s">
        <v>30512</v>
      </c>
      <c r="F9672" t="s">
        <v>30523</v>
      </c>
      <c r="G9672" s="2" t="str">
        <f>HYPERLINK("https://probpalata.gov.ru/files/ИП520600216400006.jpeg","Скачать индивидуальный QR-код магазина")</f>
        <v>Скачать индивидуальный QR-код магазина</v>
      </c>
    </row>
    <row r="9673" spans="1:7" x14ac:dyDescent="0.25">
      <c r="A9673" t="s">
        <v>30141</v>
      </c>
      <c r="B9673" t="s">
        <v>30524</v>
      </c>
      <c r="C9673" t="s">
        <v>30525</v>
      </c>
      <c r="D9673" t="s">
        <v>30526</v>
      </c>
      <c r="E9673" t="s">
        <v>30527</v>
      </c>
      <c r="F9673" t="s">
        <v>30528</v>
      </c>
      <c r="G9673" s="2" t="str">
        <f>HYPERLINK("https://probpalata.gov.ru/files/ИП520600798500000.jpeg","Скачать индивидуальный QR-код магазина")</f>
        <v>Скачать индивидуальный QR-код магазина</v>
      </c>
    </row>
    <row r="9674" spans="1:7" x14ac:dyDescent="0.25">
      <c r="A9674" t="s">
        <v>30141</v>
      </c>
      <c r="B9674" t="s">
        <v>30529</v>
      </c>
      <c r="C9674" t="s">
        <v>30530</v>
      </c>
      <c r="D9674" t="s">
        <v>30531</v>
      </c>
      <c r="E9674" t="s">
        <v>30532</v>
      </c>
      <c r="F9674" t="s">
        <v>30533</v>
      </c>
      <c r="G9674" s="2" t="str">
        <f>HYPERLINK("https://probpalata.gov.ru/files/ИП520601022200000.jpeg","Скачать индивидуальный QR-код магазина")</f>
        <v>Скачать индивидуальный QR-код магазина</v>
      </c>
    </row>
    <row r="9675" spans="1:7" x14ac:dyDescent="0.25">
      <c r="A9675" t="s">
        <v>30141</v>
      </c>
      <c r="B9675" t="s">
        <v>30534</v>
      </c>
      <c r="C9675" t="s">
        <v>30535</v>
      </c>
      <c r="D9675" t="s">
        <v>30536</v>
      </c>
      <c r="E9675" t="s">
        <v>30537</v>
      </c>
      <c r="F9675" t="s">
        <v>30538</v>
      </c>
      <c r="G9675" s="2" t="str">
        <f>HYPERLINK("https://probpalata.gov.ru/files/ИП520601012600000.jpeg","Скачать индивидуальный QR-код магазина")</f>
        <v>Скачать индивидуальный QR-код магазина</v>
      </c>
    </row>
    <row r="9676" spans="1:7" x14ac:dyDescent="0.25">
      <c r="A9676" t="s">
        <v>30141</v>
      </c>
      <c r="B9676" t="s">
        <v>30539</v>
      </c>
      <c r="C9676" t="s">
        <v>30540</v>
      </c>
      <c r="D9676" t="s">
        <v>30541</v>
      </c>
      <c r="E9676" t="s">
        <v>30542</v>
      </c>
      <c r="F9676" t="s">
        <v>30543</v>
      </c>
      <c r="G9676" s="2" t="str">
        <f>HYPERLINK("https://probpalata.gov.ru/files/ИП520603118600000.jpeg","Скачать индивидуальный QR-код магазина")</f>
        <v>Скачать индивидуальный QR-код магазина</v>
      </c>
    </row>
    <row r="9677" spans="1:7" x14ac:dyDescent="0.25">
      <c r="A9677" t="s">
        <v>30141</v>
      </c>
      <c r="B9677" t="s">
        <v>30544</v>
      </c>
      <c r="C9677" t="s">
        <v>30540</v>
      </c>
      <c r="D9677" t="s">
        <v>30541</v>
      </c>
      <c r="E9677" t="s">
        <v>30542</v>
      </c>
      <c r="F9677" t="s">
        <v>30545</v>
      </c>
      <c r="G9677" s="2" t="str">
        <f>HYPERLINK("https://probpalata.gov.ru/files/ИП520603118600002.jpeg","Скачать индивидуальный QR-код магазина")</f>
        <v>Скачать индивидуальный QR-код магазина</v>
      </c>
    </row>
    <row r="9678" spans="1:7" x14ac:dyDescent="0.25">
      <c r="A9678" t="s">
        <v>30141</v>
      </c>
      <c r="B9678" t="s">
        <v>30546</v>
      </c>
      <c r="C9678" t="s">
        <v>30547</v>
      </c>
      <c r="D9678" t="s">
        <v>30548</v>
      </c>
      <c r="E9678" t="s">
        <v>30549</v>
      </c>
      <c r="F9678" t="s">
        <v>30550</v>
      </c>
      <c r="G9678" s="2" t="str">
        <f>HYPERLINK("https://probpalata.gov.ru/files/ИП520603672000000.jpeg","Скачать индивидуальный QR-код магазина")</f>
        <v>Скачать индивидуальный QR-код магазина</v>
      </c>
    </row>
    <row r="9679" spans="1:7" x14ac:dyDescent="0.25">
      <c r="A9679" t="s">
        <v>30141</v>
      </c>
      <c r="B9679" t="s">
        <v>30551</v>
      </c>
      <c r="C9679" t="s">
        <v>30552</v>
      </c>
      <c r="D9679" t="s">
        <v>30553</v>
      </c>
      <c r="E9679" t="s">
        <v>30554</v>
      </c>
      <c r="F9679" t="s">
        <v>30555</v>
      </c>
      <c r="G9679" s="2" t="str">
        <f>HYPERLINK("https://probpalata.gov.ru/files/ИП520603214100000.jpeg","Скачать индивидуальный QR-код магазина")</f>
        <v>Скачать индивидуальный QR-код магазина</v>
      </c>
    </row>
    <row r="9680" spans="1:7" x14ac:dyDescent="0.25">
      <c r="A9680" t="s">
        <v>30141</v>
      </c>
      <c r="B9680" t="s">
        <v>30556</v>
      </c>
      <c r="C9680" t="s">
        <v>30557</v>
      </c>
      <c r="D9680" t="s">
        <v>30558</v>
      </c>
      <c r="E9680" t="s">
        <v>30559</v>
      </c>
      <c r="F9680" t="s">
        <v>30560</v>
      </c>
      <c r="G9680" s="2" t="str">
        <f>HYPERLINK("https://probpalata.gov.ru/files/ИП520600816000000.jpeg","Скачать индивидуальный QR-код магазина")</f>
        <v>Скачать индивидуальный QR-код магазина</v>
      </c>
    </row>
    <row r="9681" spans="1:7" x14ac:dyDescent="0.25">
      <c r="A9681" t="s">
        <v>30141</v>
      </c>
      <c r="B9681" t="s">
        <v>30561</v>
      </c>
      <c r="C9681" t="s">
        <v>30562</v>
      </c>
      <c r="D9681" t="s">
        <v>30563</v>
      </c>
      <c r="E9681" t="s">
        <v>30564</v>
      </c>
      <c r="F9681" t="s">
        <v>30565</v>
      </c>
      <c r="G9681" s="2" t="str">
        <f>HYPERLINK("https://probpalata.gov.ru/files/ИП520603513400000.jpeg","Скачать индивидуальный QR-код магазина")</f>
        <v>Скачать индивидуальный QR-код магазина</v>
      </c>
    </row>
    <row r="9682" spans="1:7" x14ac:dyDescent="0.25">
      <c r="A9682" t="s">
        <v>30141</v>
      </c>
      <c r="B9682" t="s">
        <v>30566</v>
      </c>
      <c r="C9682" t="s">
        <v>30567</v>
      </c>
      <c r="D9682" t="s">
        <v>30568</v>
      </c>
      <c r="E9682" t="s">
        <v>30569</v>
      </c>
      <c r="F9682" t="s">
        <v>30570</v>
      </c>
      <c r="G9682" s="2" t="str">
        <f>HYPERLINK("https://probpalata.gov.ru/files/ИП520600441600000.jpeg","Скачать индивидуальный QR-код магазина")</f>
        <v>Скачать индивидуальный QR-код магазина</v>
      </c>
    </row>
    <row r="9683" spans="1:7" x14ac:dyDescent="0.25">
      <c r="A9683" t="s">
        <v>30141</v>
      </c>
      <c r="B9683" t="s">
        <v>30571</v>
      </c>
      <c r="C9683" t="s">
        <v>30572</v>
      </c>
      <c r="D9683" t="s">
        <v>30573</v>
      </c>
      <c r="E9683" t="s">
        <v>30574</v>
      </c>
      <c r="F9683" t="s">
        <v>30575</v>
      </c>
      <c r="G9683" s="2" t="str">
        <f>HYPERLINK("https://probpalata.gov.ru/files/ИП520600352800000.jpeg","Скачать индивидуальный QR-код магазина")</f>
        <v>Скачать индивидуальный QR-код магазина</v>
      </c>
    </row>
    <row r="9684" spans="1:7" x14ac:dyDescent="0.25">
      <c r="A9684" t="s">
        <v>30141</v>
      </c>
      <c r="B9684" t="s">
        <v>30576</v>
      </c>
      <c r="C9684" t="s">
        <v>30577</v>
      </c>
      <c r="D9684" t="s">
        <v>30578</v>
      </c>
      <c r="E9684" t="s">
        <v>30579</v>
      </c>
      <c r="F9684" t="s">
        <v>30580</v>
      </c>
      <c r="G9684" s="2" t="str">
        <f>HYPERLINK("https://probpalata.gov.ru/files/ИП770103817400000.jpeg","Скачать индивидуальный QR-код магазина")</f>
        <v>Скачать индивидуальный QR-код магазина</v>
      </c>
    </row>
    <row r="9685" spans="1:7" x14ac:dyDescent="0.25">
      <c r="A9685" t="s">
        <v>30141</v>
      </c>
      <c r="B9685" t="s">
        <v>30581</v>
      </c>
      <c r="C9685" t="s">
        <v>30582</v>
      </c>
      <c r="D9685" t="s">
        <v>30583</v>
      </c>
      <c r="E9685" t="s">
        <v>30584</v>
      </c>
      <c r="F9685" t="s">
        <v>30585</v>
      </c>
      <c r="G9685" s="2" t="str">
        <f>HYPERLINK("https://probpalata.gov.ru/files/ИП520600416700000.jpeg","Скачать индивидуальный QR-код магазина")</f>
        <v>Скачать индивидуальный QR-код магазина</v>
      </c>
    </row>
    <row r="9686" spans="1:7" x14ac:dyDescent="0.25">
      <c r="A9686" t="s">
        <v>30141</v>
      </c>
      <c r="B9686" t="s">
        <v>30586</v>
      </c>
      <c r="C9686" t="s">
        <v>30587</v>
      </c>
      <c r="D9686" t="s">
        <v>30588</v>
      </c>
      <c r="E9686" t="s">
        <v>30589</v>
      </c>
      <c r="F9686" t="s">
        <v>30590</v>
      </c>
      <c r="G9686" s="2" t="str">
        <f>HYPERLINK("https://probpalata.gov.ru/files/ЮЛ520600384300000.jpeg","Скачать индивидуальный QR-код магазина")</f>
        <v>Скачать индивидуальный QR-код магазина</v>
      </c>
    </row>
    <row r="9687" spans="1:7" x14ac:dyDescent="0.25">
      <c r="A9687" t="s">
        <v>30141</v>
      </c>
      <c r="B9687" t="s">
        <v>30591</v>
      </c>
      <c r="C9687" t="s">
        <v>30592</v>
      </c>
      <c r="D9687" t="s">
        <v>30593</v>
      </c>
      <c r="E9687" t="s">
        <v>30594</v>
      </c>
      <c r="F9687" t="s">
        <v>30595</v>
      </c>
      <c r="G9687" s="2" t="str">
        <f>HYPERLINK("https://probpalata.gov.ru/files/ИП520600105300000.jpeg","Скачать индивидуальный QR-код магазина")</f>
        <v>Скачать индивидуальный QR-код магазина</v>
      </c>
    </row>
    <row r="9688" spans="1:7" x14ac:dyDescent="0.25">
      <c r="A9688" t="s">
        <v>30141</v>
      </c>
      <c r="B9688" t="s">
        <v>30596</v>
      </c>
      <c r="C9688" t="s">
        <v>30597</v>
      </c>
      <c r="D9688" t="s">
        <v>30598</v>
      </c>
      <c r="E9688" t="s">
        <v>30599</v>
      </c>
      <c r="F9688" t="s">
        <v>30600</v>
      </c>
      <c r="G9688" s="2" t="str">
        <f>HYPERLINK("https://probpalata.gov.ru/files/ИП520603280500000.jpeg","Скачать индивидуальный QR-код магазина")</f>
        <v>Скачать индивидуальный QR-код магазина</v>
      </c>
    </row>
    <row r="9689" spans="1:7" x14ac:dyDescent="0.25">
      <c r="A9689" t="s">
        <v>30141</v>
      </c>
      <c r="B9689" t="s">
        <v>30601</v>
      </c>
      <c r="C9689" t="s">
        <v>30602</v>
      </c>
      <c r="D9689" t="s">
        <v>30603</v>
      </c>
      <c r="E9689" t="s">
        <v>30604</v>
      </c>
      <c r="F9689" t="s">
        <v>30605</v>
      </c>
      <c r="G9689" s="2" t="str">
        <f>HYPERLINK("https://probpalata.gov.ru/files/ЮЛ520603009800000.jpeg","Скачать индивидуальный QR-код магазина")</f>
        <v>Скачать индивидуальный QR-код магазина</v>
      </c>
    </row>
    <row r="9690" spans="1:7" x14ac:dyDescent="0.25">
      <c r="A9690" t="s">
        <v>30141</v>
      </c>
      <c r="B9690" t="s">
        <v>30606</v>
      </c>
      <c r="C9690" t="s">
        <v>30607</v>
      </c>
      <c r="D9690" t="s">
        <v>30608</v>
      </c>
      <c r="E9690" t="s">
        <v>30609</v>
      </c>
      <c r="F9690" t="s">
        <v>30610</v>
      </c>
      <c r="G9690" s="2" t="str">
        <f>HYPERLINK("https://probpalata.gov.ru/files/ИП520601325700000.jpeg","Скачать индивидуальный QR-код магазина")</f>
        <v>Скачать индивидуальный QR-код магазина</v>
      </c>
    </row>
    <row r="9691" spans="1:7" x14ac:dyDescent="0.25">
      <c r="A9691" t="s">
        <v>30141</v>
      </c>
      <c r="B9691" t="s">
        <v>30611</v>
      </c>
      <c r="C9691" t="s">
        <v>30607</v>
      </c>
      <c r="D9691" t="s">
        <v>30608</v>
      </c>
      <c r="E9691" t="s">
        <v>30609</v>
      </c>
      <c r="F9691" t="s">
        <v>30612</v>
      </c>
      <c r="G9691" s="2" t="str">
        <f>HYPERLINK("https://probpalata.gov.ru/files/ИП520601325700001.jpeg","Скачать индивидуальный QR-код магазина")</f>
        <v>Скачать индивидуальный QR-код магазина</v>
      </c>
    </row>
    <row r="9692" spans="1:7" x14ac:dyDescent="0.25">
      <c r="A9692" t="s">
        <v>30141</v>
      </c>
      <c r="B9692" t="s">
        <v>30613</v>
      </c>
      <c r="C9692" t="s">
        <v>30614</v>
      </c>
      <c r="D9692" t="s">
        <v>30615</v>
      </c>
      <c r="E9692" t="s">
        <v>30616</v>
      </c>
      <c r="F9692" t="s">
        <v>30617</v>
      </c>
      <c r="G9692" s="2" t="str">
        <f>HYPERLINK("https://probpalata.gov.ru/files/ИП520600083500000.jpeg","Скачать индивидуальный QR-код магазина")</f>
        <v>Скачать индивидуальный QR-код магазина</v>
      </c>
    </row>
    <row r="9693" spans="1:7" x14ac:dyDescent="0.25">
      <c r="A9693" t="s">
        <v>30141</v>
      </c>
      <c r="B9693" t="s">
        <v>30618</v>
      </c>
      <c r="C9693" t="s">
        <v>30619</v>
      </c>
      <c r="D9693" t="s">
        <v>30620</v>
      </c>
      <c r="E9693" t="s">
        <v>30621</v>
      </c>
      <c r="F9693" t="s">
        <v>30622</v>
      </c>
      <c r="G9693" s="2" t="str">
        <f>HYPERLINK("https://probpalata.gov.ru/files/ИП520604031800000.jpeg","Скачать индивидуальный QR-код магазина")</f>
        <v>Скачать индивидуальный QR-код магазина</v>
      </c>
    </row>
    <row r="9694" spans="1:7" x14ac:dyDescent="0.25">
      <c r="A9694" t="s">
        <v>30141</v>
      </c>
      <c r="B9694" t="s">
        <v>30623</v>
      </c>
      <c r="C9694" t="s">
        <v>30624</v>
      </c>
      <c r="D9694" t="s">
        <v>30625</v>
      </c>
      <c r="E9694" t="s">
        <v>30626</v>
      </c>
      <c r="F9694" t="s">
        <v>30627</v>
      </c>
      <c r="G9694" s="2" t="str">
        <f>HYPERLINK("https://probpalata.gov.ru/files/ИП520600152600000.jpeg","Скачать индивидуальный QR-код магазина")</f>
        <v>Скачать индивидуальный QR-код магазина</v>
      </c>
    </row>
    <row r="9695" spans="1:7" x14ac:dyDescent="0.25">
      <c r="A9695" t="s">
        <v>30141</v>
      </c>
      <c r="B9695" t="s">
        <v>30628</v>
      </c>
      <c r="C9695" t="s">
        <v>30624</v>
      </c>
      <c r="D9695" t="s">
        <v>30625</v>
      </c>
      <c r="E9695" t="s">
        <v>30626</v>
      </c>
      <c r="F9695" t="s">
        <v>30629</v>
      </c>
      <c r="G9695" s="2" t="str">
        <f>HYPERLINK("https://probpalata.gov.ru/files/ИП520600152600001.jpeg","Скачать индивидуальный QR-код магазина")</f>
        <v>Скачать индивидуальный QR-код магазина</v>
      </c>
    </row>
    <row r="9696" spans="1:7" x14ac:dyDescent="0.25">
      <c r="A9696" t="s">
        <v>30141</v>
      </c>
      <c r="B9696" t="s">
        <v>30630</v>
      </c>
      <c r="C9696" t="s">
        <v>30631</v>
      </c>
      <c r="D9696" t="s">
        <v>30632</v>
      </c>
      <c r="E9696" t="s">
        <v>30633</v>
      </c>
      <c r="F9696" t="s">
        <v>30634</v>
      </c>
      <c r="G9696" s="2" t="str">
        <f>HYPERLINK("https://probpalata.gov.ru/files/ЮЛ520601727500004.jpeg","Скачать индивидуальный QR-код магазина")</f>
        <v>Скачать индивидуальный QR-код магазина</v>
      </c>
    </row>
    <row r="9697" spans="1:7" x14ac:dyDescent="0.25">
      <c r="A9697" t="s">
        <v>30141</v>
      </c>
      <c r="B9697" t="s">
        <v>30635</v>
      </c>
      <c r="C9697" t="s">
        <v>30636</v>
      </c>
      <c r="D9697" t="s">
        <v>30637</v>
      </c>
      <c r="E9697" t="s">
        <v>30638</v>
      </c>
      <c r="F9697" t="s">
        <v>30639</v>
      </c>
      <c r="G9697" s="2" t="str">
        <f>HYPERLINK("https://probpalata.gov.ru/files/ЮЛ520601433500000.jpeg","Скачать индивидуальный QR-код магазина")</f>
        <v>Скачать индивидуальный QR-код магазина</v>
      </c>
    </row>
    <row r="9698" spans="1:7" x14ac:dyDescent="0.25">
      <c r="A9698" t="s">
        <v>30141</v>
      </c>
      <c r="B9698" t="s">
        <v>30640</v>
      </c>
      <c r="C9698" t="s">
        <v>30641</v>
      </c>
      <c r="D9698" t="s">
        <v>30642</v>
      </c>
      <c r="E9698" t="s">
        <v>30643</v>
      </c>
      <c r="F9698" t="s">
        <v>30644</v>
      </c>
      <c r="G9698" s="2" t="str">
        <f>HYPERLINK("https://probpalata.gov.ru/files/ИП520600421800000.jpeg","Скачать индивидуальный QR-код магазина")</f>
        <v>Скачать индивидуальный QR-код магазина</v>
      </c>
    </row>
    <row r="9699" spans="1:7" x14ac:dyDescent="0.25">
      <c r="A9699" t="s">
        <v>30141</v>
      </c>
      <c r="B9699" t="s">
        <v>30645</v>
      </c>
      <c r="C9699" t="s">
        <v>30646</v>
      </c>
      <c r="D9699" t="s">
        <v>30647</v>
      </c>
      <c r="E9699" t="s">
        <v>30648</v>
      </c>
      <c r="F9699" t="s">
        <v>30649</v>
      </c>
      <c r="G9699" s="2" t="str">
        <f>HYPERLINK("https://probpalata.gov.ru/files/ЮЛ520600890400000.jpeg","Скачать индивидуальный QR-код магазина")</f>
        <v>Скачать индивидуальный QR-код магазина</v>
      </c>
    </row>
    <row r="9700" spans="1:7" x14ac:dyDescent="0.25">
      <c r="A9700" t="s">
        <v>30141</v>
      </c>
      <c r="B9700" t="s">
        <v>30650</v>
      </c>
      <c r="C9700" t="s">
        <v>30651</v>
      </c>
      <c r="D9700" t="s">
        <v>30652</v>
      </c>
      <c r="E9700" t="s">
        <v>30653</v>
      </c>
      <c r="F9700" t="s">
        <v>30654</v>
      </c>
      <c r="G9700" s="2" t="str">
        <f>HYPERLINK("https://probpalata.gov.ru/files/ИП520603139500000.jpeg","Скачать индивидуальный QR-код магазина")</f>
        <v>Скачать индивидуальный QR-код магазина</v>
      </c>
    </row>
    <row r="9701" spans="1:7" x14ac:dyDescent="0.25">
      <c r="A9701" t="s">
        <v>30141</v>
      </c>
      <c r="B9701" t="s">
        <v>30655</v>
      </c>
      <c r="C9701" t="s">
        <v>30656</v>
      </c>
      <c r="D9701" t="s">
        <v>30657</v>
      </c>
      <c r="E9701" t="s">
        <v>30658</v>
      </c>
      <c r="F9701" t="s">
        <v>30659</v>
      </c>
      <c r="G9701" s="2" t="str">
        <f>HYPERLINK("https://probpalata.gov.ru/files/ИП520601426500000.jpeg","Скачать индивидуальный QR-код магазина")</f>
        <v>Скачать индивидуальный QR-код магазина</v>
      </c>
    </row>
    <row r="9702" spans="1:7" x14ac:dyDescent="0.25">
      <c r="A9702" t="s">
        <v>30141</v>
      </c>
      <c r="B9702" t="s">
        <v>30660</v>
      </c>
      <c r="C9702" t="s">
        <v>30656</v>
      </c>
      <c r="D9702" t="s">
        <v>30657</v>
      </c>
      <c r="E9702" t="s">
        <v>30658</v>
      </c>
      <c r="F9702" t="s">
        <v>30661</v>
      </c>
      <c r="G9702" s="2" t="str">
        <f>HYPERLINK("https://probpalata.gov.ru/files/ИП520601426500002.jpeg","Скачать индивидуальный QR-код магазина")</f>
        <v>Скачать индивидуальный QR-код магазина</v>
      </c>
    </row>
    <row r="9703" spans="1:7" x14ac:dyDescent="0.25">
      <c r="A9703" t="s">
        <v>30141</v>
      </c>
      <c r="B9703" t="s">
        <v>30662</v>
      </c>
      <c r="C9703" t="s">
        <v>30663</v>
      </c>
      <c r="D9703" t="s">
        <v>30664</v>
      </c>
      <c r="E9703" t="s">
        <v>30665</v>
      </c>
      <c r="F9703" t="s">
        <v>30666</v>
      </c>
      <c r="G9703" s="2" t="str">
        <f>HYPERLINK("https://probpalata.gov.ru/files/ИП520601206400000.jpeg","Скачать индивидуальный QR-код магазина")</f>
        <v>Скачать индивидуальный QR-код магазина</v>
      </c>
    </row>
    <row r="9704" spans="1:7" x14ac:dyDescent="0.25">
      <c r="A9704" t="s">
        <v>30141</v>
      </c>
      <c r="B9704" t="s">
        <v>30667</v>
      </c>
      <c r="C9704" t="s">
        <v>30668</v>
      </c>
      <c r="D9704" t="s">
        <v>30669</v>
      </c>
      <c r="E9704" t="s">
        <v>30670</v>
      </c>
      <c r="F9704" t="s">
        <v>30671</v>
      </c>
      <c r="G9704" s="2" t="str">
        <f>HYPERLINK("https://probpalata.gov.ru/files/ИП520600173000000.jpeg","Скачать индивидуальный QR-код магазина")</f>
        <v>Скачать индивидуальный QR-код магазина</v>
      </c>
    </row>
    <row r="9705" spans="1:7" x14ac:dyDescent="0.25">
      <c r="A9705" t="s">
        <v>30141</v>
      </c>
      <c r="B9705" t="s">
        <v>30672</v>
      </c>
      <c r="C9705" t="s">
        <v>30673</v>
      </c>
      <c r="D9705" t="s">
        <v>30674</v>
      </c>
      <c r="E9705" t="s">
        <v>30675</v>
      </c>
      <c r="F9705" t="s">
        <v>30676</v>
      </c>
      <c r="G9705" s="2" t="str">
        <f>HYPERLINK("https://probpalata.gov.ru/files/ИП520600222200000.jpeg","Скачать индивидуальный QR-код магазина")</f>
        <v>Скачать индивидуальный QR-код магазина</v>
      </c>
    </row>
    <row r="9706" spans="1:7" x14ac:dyDescent="0.25">
      <c r="A9706" t="s">
        <v>30141</v>
      </c>
      <c r="B9706" t="s">
        <v>30677</v>
      </c>
      <c r="C9706" t="s">
        <v>30673</v>
      </c>
      <c r="D9706" t="s">
        <v>30674</v>
      </c>
      <c r="E9706" t="s">
        <v>30675</v>
      </c>
      <c r="F9706" t="s">
        <v>30678</v>
      </c>
      <c r="G9706" s="2" t="str">
        <f>HYPERLINK("https://probpalata.gov.ru/files/ИП520600222200001.jpeg","Скачать индивидуальный QR-код магазина")</f>
        <v>Скачать индивидуальный QR-код магазина</v>
      </c>
    </row>
    <row r="9707" spans="1:7" x14ac:dyDescent="0.25">
      <c r="A9707" t="s">
        <v>30141</v>
      </c>
      <c r="B9707" t="s">
        <v>30679</v>
      </c>
      <c r="C9707" t="s">
        <v>30680</v>
      </c>
      <c r="D9707" t="s">
        <v>30681</v>
      </c>
      <c r="E9707" t="s">
        <v>30682</v>
      </c>
      <c r="F9707" t="s">
        <v>30683</v>
      </c>
      <c r="G9707" s="2" t="str">
        <f>HYPERLINK("https://probpalata.gov.ru/files/ИП520603241400000.jpeg","Скачать индивидуальный QR-код магазина")</f>
        <v>Скачать индивидуальный QR-код магазина</v>
      </c>
    </row>
    <row r="9708" spans="1:7" x14ac:dyDescent="0.25">
      <c r="A9708" t="s">
        <v>30141</v>
      </c>
      <c r="B9708" t="s">
        <v>30684</v>
      </c>
      <c r="C9708" t="s">
        <v>30680</v>
      </c>
      <c r="D9708" t="s">
        <v>30681</v>
      </c>
      <c r="E9708" t="s">
        <v>30682</v>
      </c>
      <c r="F9708" t="s">
        <v>30685</v>
      </c>
      <c r="G9708" s="2" t="str">
        <f>HYPERLINK("https://probpalata.gov.ru/files/ИП520603241400001.jpeg","Скачать индивидуальный QR-код магазина")</f>
        <v>Скачать индивидуальный QR-код магазина</v>
      </c>
    </row>
    <row r="9709" spans="1:7" x14ac:dyDescent="0.25">
      <c r="A9709" t="s">
        <v>30141</v>
      </c>
      <c r="B9709" t="s">
        <v>30686</v>
      </c>
      <c r="C9709" t="s">
        <v>30687</v>
      </c>
      <c r="D9709" t="s">
        <v>30688</v>
      </c>
      <c r="E9709" t="s">
        <v>30689</v>
      </c>
      <c r="F9709" t="s">
        <v>30690</v>
      </c>
      <c r="G9709" s="2" t="str">
        <f>HYPERLINK("https://probpalata.gov.ru/files/ИП520600797400000.jpeg","Скачать индивидуальный QR-код магазина")</f>
        <v>Скачать индивидуальный QR-код магазина</v>
      </c>
    </row>
    <row r="9710" spans="1:7" x14ac:dyDescent="0.25">
      <c r="A9710" t="s">
        <v>30141</v>
      </c>
      <c r="B9710" t="s">
        <v>30691</v>
      </c>
      <c r="C9710" t="s">
        <v>30692</v>
      </c>
      <c r="D9710" t="s">
        <v>30693</v>
      </c>
      <c r="E9710" t="s">
        <v>30694</v>
      </c>
      <c r="F9710" t="s">
        <v>30695</v>
      </c>
      <c r="G9710" s="2" t="str">
        <f>HYPERLINK("https://probpalata.gov.ru/files/ЮЛ520600407400000.jpeg","Скачать индивидуальный QR-код магазина")</f>
        <v>Скачать индивидуальный QR-код магазина</v>
      </c>
    </row>
    <row r="9711" spans="1:7" x14ac:dyDescent="0.25">
      <c r="A9711" t="s">
        <v>30141</v>
      </c>
      <c r="B9711" t="s">
        <v>30696</v>
      </c>
      <c r="C9711" t="s">
        <v>30697</v>
      </c>
      <c r="D9711" t="s">
        <v>30698</v>
      </c>
      <c r="E9711" t="s">
        <v>30699</v>
      </c>
      <c r="F9711" t="s">
        <v>30700</v>
      </c>
      <c r="G9711" s="2" t="str">
        <f>HYPERLINK("https://probpalata.gov.ru/files/ИП520600829600000.jpeg","Скачать индивидуальный QR-код магазина")</f>
        <v>Скачать индивидуальный QR-код магазина</v>
      </c>
    </row>
    <row r="9712" spans="1:7" x14ac:dyDescent="0.25">
      <c r="A9712" t="s">
        <v>30141</v>
      </c>
      <c r="B9712" t="s">
        <v>30701</v>
      </c>
      <c r="C9712" t="s">
        <v>30697</v>
      </c>
      <c r="D9712" t="s">
        <v>30698</v>
      </c>
      <c r="E9712" t="s">
        <v>30699</v>
      </c>
      <c r="F9712" t="s">
        <v>30702</v>
      </c>
      <c r="G9712" s="2" t="str">
        <f>HYPERLINK("https://probpalata.gov.ru/files/ИП520600829600001.jpeg","Скачать индивидуальный QR-код магазина")</f>
        <v>Скачать индивидуальный QR-код магазина</v>
      </c>
    </row>
    <row r="9713" spans="1:7" x14ac:dyDescent="0.25">
      <c r="A9713" t="s">
        <v>30141</v>
      </c>
      <c r="B9713" t="s">
        <v>30703</v>
      </c>
      <c r="C9713" t="s">
        <v>30697</v>
      </c>
      <c r="D9713" t="s">
        <v>30698</v>
      </c>
      <c r="E9713" t="s">
        <v>30699</v>
      </c>
      <c r="F9713" t="s">
        <v>30704</v>
      </c>
      <c r="G9713" s="2" t="str">
        <f>HYPERLINK("https://probpalata.gov.ru/files/ИП520600829600002.jpeg","Скачать индивидуальный QR-код магазина")</f>
        <v>Скачать индивидуальный QR-код магазина</v>
      </c>
    </row>
    <row r="9714" spans="1:7" x14ac:dyDescent="0.25">
      <c r="A9714" t="s">
        <v>30141</v>
      </c>
      <c r="B9714" t="s">
        <v>30705</v>
      </c>
      <c r="C9714" t="s">
        <v>30706</v>
      </c>
      <c r="D9714" t="s">
        <v>30707</v>
      </c>
      <c r="E9714" t="s">
        <v>30708</v>
      </c>
      <c r="F9714" t="s">
        <v>30709</v>
      </c>
      <c r="G9714" s="2" t="str">
        <f>HYPERLINK("https://probpalata.gov.ru/files/ИП520600015300000.jpeg","Скачать индивидуальный QR-код магазина")</f>
        <v>Скачать индивидуальный QR-код магазина</v>
      </c>
    </row>
    <row r="9715" spans="1:7" x14ac:dyDescent="0.25">
      <c r="A9715" t="s">
        <v>30141</v>
      </c>
      <c r="B9715" t="s">
        <v>30710</v>
      </c>
      <c r="C9715" t="s">
        <v>19069</v>
      </c>
      <c r="D9715" t="s">
        <v>30711</v>
      </c>
      <c r="E9715" t="s">
        <v>30712</v>
      </c>
      <c r="F9715" t="s">
        <v>30713</v>
      </c>
      <c r="G9715" s="2" t="str">
        <f>HYPERLINK("https://probpalata.gov.ru/files/ЮЛ520603672600002.jpeg","Скачать индивидуальный QR-код магазина")</f>
        <v>Скачать индивидуальный QR-код магазина</v>
      </c>
    </row>
    <row r="9716" spans="1:7" x14ac:dyDescent="0.25">
      <c r="A9716" t="s">
        <v>30141</v>
      </c>
      <c r="B9716" t="s">
        <v>30714</v>
      </c>
      <c r="C9716" t="s">
        <v>30715</v>
      </c>
      <c r="D9716" t="s">
        <v>30716</v>
      </c>
      <c r="E9716" t="s">
        <v>30717</v>
      </c>
      <c r="F9716" t="s">
        <v>30718</v>
      </c>
      <c r="G9716" s="2" t="str">
        <f>HYPERLINK("https://probpalata.gov.ru/files/ИП520600371700000.jpeg","Скачать индивидуальный QR-код магазина")</f>
        <v>Скачать индивидуальный QR-код магазина</v>
      </c>
    </row>
    <row r="9717" spans="1:7" x14ac:dyDescent="0.25">
      <c r="A9717" t="s">
        <v>30141</v>
      </c>
      <c r="B9717" t="s">
        <v>30719</v>
      </c>
      <c r="C9717" t="s">
        <v>681</v>
      </c>
      <c r="D9717" t="s">
        <v>682</v>
      </c>
      <c r="E9717" t="s">
        <v>683</v>
      </c>
      <c r="F9717" t="s">
        <v>30720</v>
      </c>
      <c r="G9717" s="2" t="str">
        <f>HYPERLINK("https://probpalata.gov.ru/files/ИП520600807800001.jpeg","Скачать индивидуальный QR-код магазина")</f>
        <v>Скачать индивидуальный QR-код магазина</v>
      </c>
    </row>
    <row r="9718" spans="1:7" x14ac:dyDescent="0.25">
      <c r="A9718" t="s">
        <v>30141</v>
      </c>
      <c r="B9718" t="s">
        <v>30721</v>
      </c>
      <c r="C9718" t="s">
        <v>30722</v>
      </c>
      <c r="D9718" t="s">
        <v>30723</v>
      </c>
      <c r="E9718" t="s">
        <v>30724</v>
      </c>
      <c r="F9718" t="s">
        <v>30725</v>
      </c>
      <c r="G9718" s="2" t="str">
        <f>HYPERLINK("https://probpalata.gov.ru/files/ИП520603598700000.jpeg","Скачать индивидуальный QR-код магазина")</f>
        <v>Скачать индивидуальный QR-код магазина</v>
      </c>
    </row>
    <row r="9719" spans="1:7" x14ac:dyDescent="0.25">
      <c r="A9719" t="s">
        <v>30141</v>
      </c>
      <c r="B9719" t="s">
        <v>30726</v>
      </c>
      <c r="C9719" t="s">
        <v>30722</v>
      </c>
      <c r="D9719" t="s">
        <v>30723</v>
      </c>
      <c r="E9719" t="s">
        <v>30724</v>
      </c>
      <c r="F9719" t="s">
        <v>30727</v>
      </c>
      <c r="G9719" s="2" t="str">
        <f>HYPERLINK("https://probpalata.gov.ru/files/ИП520603598700001.jpeg","Скачать индивидуальный QR-код магазина")</f>
        <v>Скачать индивидуальный QR-код магазина</v>
      </c>
    </row>
    <row r="9720" spans="1:7" x14ac:dyDescent="0.25">
      <c r="A9720" t="s">
        <v>30141</v>
      </c>
      <c r="B9720" t="s">
        <v>30728</v>
      </c>
      <c r="C9720" t="s">
        <v>30722</v>
      </c>
      <c r="D9720" t="s">
        <v>30723</v>
      </c>
      <c r="E9720" t="s">
        <v>30724</v>
      </c>
      <c r="F9720" t="s">
        <v>30729</v>
      </c>
      <c r="G9720" s="2" t="str">
        <f>HYPERLINK("https://probpalata.gov.ru/files/ИП520603598700002.jpeg","Скачать индивидуальный QR-код магазина")</f>
        <v>Скачать индивидуальный QR-код магазина</v>
      </c>
    </row>
    <row r="9721" spans="1:7" x14ac:dyDescent="0.25">
      <c r="A9721" t="s">
        <v>30141</v>
      </c>
      <c r="B9721" t="s">
        <v>30730</v>
      </c>
      <c r="C9721" t="s">
        <v>30722</v>
      </c>
      <c r="D9721" t="s">
        <v>30723</v>
      </c>
      <c r="E9721" t="s">
        <v>30724</v>
      </c>
      <c r="F9721" t="s">
        <v>30731</v>
      </c>
      <c r="G9721" s="2" t="str">
        <f>HYPERLINK("https://probpalata.gov.ru/files/ИП520603598700003.jpeg","Скачать индивидуальный QR-код магазина")</f>
        <v>Скачать индивидуальный QR-код магазина</v>
      </c>
    </row>
    <row r="9722" spans="1:7" x14ac:dyDescent="0.25">
      <c r="A9722" t="s">
        <v>30141</v>
      </c>
      <c r="B9722" t="s">
        <v>30726</v>
      </c>
      <c r="C9722" t="s">
        <v>30732</v>
      </c>
      <c r="D9722" t="s">
        <v>30733</v>
      </c>
      <c r="E9722" t="s">
        <v>30734</v>
      </c>
      <c r="F9722" t="s">
        <v>30735</v>
      </c>
      <c r="G9722" s="2" t="str">
        <f>HYPERLINK("https://probpalata.gov.ru/files/ИП520603598600000.jpeg","Скачать индивидуальный QR-код магазина")</f>
        <v>Скачать индивидуальный QR-код магазина</v>
      </c>
    </row>
    <row r="9723" spans="1:7" x14ac:dyDescent="0.25">
      <c r="A9723" t="s">
        <v>30141</v>
      </c>
      <c r="B9723" t="s">
        <v>30736</v>
      </c>
      <c r="C9723" t="s">
        <v>30732</v>
      </c>
      <c r="D9723" t="s">
        <v>30733</v>
      </c>
      <c r="E9723" t="s">
        <v>30734</v>
      </c>
      <c r="F9723" t="s">
        <v>30737</v>
      </c>
      <c r="G9723" s="2" t="str">
        <f>HYPERLINK("https://probpalata.gov.ru/files/ИП520603598600001.jpeg","Скачать индивидуальный QR-код магазина")</f>
        <v>Скачать индивидуальный QR-код магазина</v>
      </c>
    </row>
    <row r="9724" spans="1:7" x14ac:dyDescent="0.25">
      <c r="A9724" t="s">
        <v>30141</v>
      </c>
      <c r="B9724" t="s">
        <v>30738</v>
      </c>
      <c r="C9724" t="s">
        <v>30732</v>
      </c>
      <c r="D9724" t="s">
        <v>30733</v>
      </c>
      <c r="E9724" t="s">
        <v>30734</v>
      </c>
      <c r="F9724" t="s">
        <v>30739</v>
      </c>
      <c r="G9724" s="2" t="str">
        <f>HYPERLINK("https://probpalata.gov.ru/files/ИП520603598600002.jpeg","Скачать индивидуальный QR-код магазина")</f>
        <v>Скачать индивидуальный QR-код магазина</v>
      </c>
    </row>
    <row r="9725" spans="1:7" x14ac:dyDescent="0.25">
      <c r="A9725" t="s">
        <v>30141</v>
      </c>
      <c r="B9725" t="s">
        <v>30740</v>
      </c>
      <c r="C9725" t="s">
        <v>30732</v>
      </c>
      <c r="D9725" t="s">
        <v>30733</v>
      </c>
      <c r="E9725" t="s">
        <v>30734</v>
      </c>
      <c r="F9725" t="s">
        <v>30741</v>
      </c>
      <c r="G9725" s="2" t="str">
        <f>HYPERLINK("https://probpalata.gov.ru/files/ИП520603598600004.jpeg","Скачать индивидуальный QR-код магазина")</f>
        <v>Скачать индивидуальный QR-код магазина</v>
      </c>
    </row>
    <row r="9726" spans="1:7" x14ac:dyDescent="0.25">
      <c r="A9726" t="s">
        <v>30141</v>
      </c>
      <c r="B9726" t="s">
        <v>30742</v>
      </c>
      <c r="C9726" t="s">
        <v>30743</v>
      </c>
      <c r="D9726" t="s">
        <v>30744</v>
      </c>
      <c r="E9726" t="s">
        <v>30745</v>
      </c>
      <c r="F9726" t="s">
        <v>30746</v>
      </c>
      <c r="G9726" s="2" t="str">
        <f>HYPERLINK("https://probpalata.gov.ru/files/ИП520600771400000.jpeg","Скачать индивидуальный QR-код магазина")</f>
        <v>Скачать индивидуальный QR-код магазина</v>
      </c>
    </row>
    <row r="9727" spans="1:7" x14ac:dyDescent="0.25">
      <c r="A9727" t="s">
        <v>30141</v>
      </c>
      <c r="B9727" t="s">
        <v>30747</v>
      </c>
      <c r="C9727" t="s">
        <v>30748</v>
      </c>
      <c r="D9727" t="s">
        <v>30749</v>
      </c>
      <c r="E9727" t="s">
        <v>30750</v>
      </c>
      <c r="F9727" t="s">
        <v>30751</v>
      </c>
      <c r="G9727" s="2" t="str">
        <f>HYPERLINK("https://probpalata.gov.ru/files/ИП520601837000000.jpeg","Скачать индивидуальный QR-код магазина")</f>
        <v>Скачать индивидуальный QR-код магазина</v>
      </c>
    </row>
    <row r="9728" spans="1:7" x14ac:dyDescent="0.25">
      <c r="A9728" t="s">
        <v>30141</v>
      </c>
      <c r="B9728" t="s">
        <v>30752</v>
      </c>
      <c r="C9728" t="s">
        <v>30753</v>
      </c>
      <c r="D9728" t="s">
        <v>30754</v>
      </c>
      <c r="E9728" t="s">
        <v>30755</v>
      </c>
      <c r="F9728" t="s">
        <v>30756</v>
      </c>
      <c r="G9728" s="2" t="str">
        <f>HYPERLINK("https://probpalata.gov.ru/files/ИП520603305100000.jpeg","Скачать индивидуальный QR-код магазина")</f>
        <v>Скачать индивидуальный QR-код магазина</v>
      </c>
    </row>
    <row r="9729" spans="1:7" x14ac:dyDescent="0.25">
      <c r="A9729" t="s">
        <v>30141</v>
      </c>
      <c r="B9729" t="s">
        <v>30757</v>
      </c>
      <c r="C9729" t="s">
        <v>30758</v>
      </c>
      <c r="D9729" t="s">
        <v>30759</v>
      </c>
      <c r="E9729" t="s">
        <v>30760</v>
      </c>
      <c r="F9729" t="s">
        <v>30761</v>
      </c>
      <c r="G9729" s="2" t="str">
        <f>HYPERLINK("https://probpalata.gov.ru/files/ИП520600417100000.jpeg","Скачать индивидуальный QR-код магазина")</f>
        <v>Скачать индивидуальный QR-код магазина</v>
      </c>
    </row>
    <row r="9730" spans="1:7" x14ac:dyDescent="0.25">
      <c r="A9730" t="s">
        <v>30141</v>
      </c>
      <c r="B9730" t="s">
        <v>30762</v>
      </c>
      <c r="C9730" t="s">
        <v>30758</v>
      </c>
      <c r="D9730" t="s">
        <v>30759</v>
      </c>
      <c r="E9730" t="s">
        <v>30760</v>
      </c>
      <c r="F9730" t="s">
        <v>30763</v>
      </c>
      <c r="G9730" s="2" t="str">
        <f>HYPERLINK("https://probpalata.gov.ru/files/ИП520600417100003.jpeg","Скачать индивидуальный QR-код магазина")</f>
        <v>Скачать индивидуальный QR-код магазина</v>
      </c>
    </row>
    <row r="9731" spans="1:7" x14ac:dyDescent="0.25">
      <c r="A9731" t="s">
        <v>30141</v>
      </c>
      <c r="B9731" t="s">
        <v>30764</v>
      </c>
      <c r="C9731" t="s">
        <v>30758</v>
      </c>
      <c r="D9731" t="s">
        <v>30759</v>
      </c>
      <c r="E9731" t="s">
        <v>30760</v>
      </c>
      <c r="F9731" t="s">
        <v>30765</v>
      </c>
      <c r="G9731" s="2" t="str">
        <f>HYPERLINK("https://probpalata.gov.ru/files/ИП520600417100004.jpeg","Скачать индивидуальный QR-код магазина")</f>
        <v>Скачать индивидуальный QR-код магазина</v>
      </c>
    </row>
    <row r="9732" spans="1:7" x14ac:dyDescent="0.25">
      <c r="A9732" t="s">
        <v>30141</v>
      </c>
      <c r="B9732" t="s">
        <v>30766</v>
      </c>
      <c r="C9732" t="s">
        <v>30767</v>
      </c>
      <c r="D9732" t="s">
        <v>30768</v>
      </c>
      <c r="E9732" t="s">
        <v>30769</v>
      </c>
      <c r="F9732" t="s">
        <v>30770</v>
      </c>
      <c r="G9732" s="2" t="str">
        <f>HYPERLINK("https://probpalata.gov.ru/files/ИП520601115900000.jpeg","Скачать индивидуальный QR-код магазина")</f>
        <v>Скачать индивидуальный QR-код магазина</v>
      </c>
    </row>
    <row r="9733" spans="1:7" x14ac:dyDescent="0.25">
      <c r="A9733" t="s">
        <v>30141</v>
      </c>
      <c r="B9733" t="s">
        <v>30771</v>
      </c>
      <c r="C9733" t="s">
        <v>30772</v>
      </c>
      <c r="D9733" t="s">
        <v>30773</v>
      </c>
      <c r="E9733" t="s">
        <v>30774</v>
      </c>
      <c r="F9733" t="s">
        <v>30775</v>
      </c>
      <c r="G9733" s="2" t="str">
        <f>HYPERLINK("https://probpalata.gov.ru/files/ИП520603513500000.jpeg","Скачать индивидуальный QR-код магазина")</f>
        <v>Скачать индивидуальный QR-код магазина</v>
      </c>
    </row>
    <row r="9734" spans="1:7" x14ac:dyDescent="0.25">
      <c r="A9734" t="s">
        <v>30141</v>
      </c>
      <c r="B9734" t="s">
        <v>30776</v>
      </c>
      <c r="C9734" t="s">
        <v>30777</v>
      </c>
      <c r="D9734" t="s">
        <v>30778</v>
      </c>
      <c r="E9734" t="s">
        <v>30779</v>
      </c>
      <c r="F9734" t="s">
        <v>30780</v>
      </c>
      <c r="G9734" s="2" t="str">
        <f>HYPERLINK("https://probpalata.gov.ru/files/ИП520600072400000.jpeg","Скачать индивидуальный QR-код магазина")</f>
        <v>Скачать индивидуальный QR-код магазина</v>
      </c>
    </row>
    <row r="9735" spans="1:7" x14ac:dyDescent="0.25">
      <c r="A9735" t="s">
        <v>30141</v>
      </c>
      <c r="B9735" t="s">
        <v>30781</v>
      </c>
      <c r="C9735" t="s">
        <v>30777</v>
      </c>
      <c r="D9735" t="s">
        <v>30778</v>
      </c>
      <c r="E9735" t="s">
        <v>30779</v>
      </c>
      <c r="F9735" t="s">
        <v>30782</v>
      </c>
      <c r="G9735" s="2" t="str">
        <f>HYPERLINK("https://probpalata.gov.ru/files/ИП520600072400009.jpeg","Скачать индивидуальный QR-код магазина")</f>
        <v>Скачать индивидуальный QR-код магазина</v>
      </c>
    </row>
    <row r="9736" spans="1:7" x14ac:dyDescent="0.25">
      <c r="A9736" t="s">
        <v>30141</v>
      </c>
      <c r="B9736" t="s">
        <v>30783</v>
      </c>
      <c r="C9736" t="s">
        <v>30784</v>
      </c>
      <c r="D9736" t="s">
        <v>30785</v>
      </c>
      <c r="E9736" t="s">
        <v>30786</v>
      </c>
      <c r="F9736" t="s">
        <v>30787</v>
      </c>
      <c r="G9736" s="2" t="str">
        <f>HYPERLINK("https://probpalata.gov.ru/files/ИП520600235800000.jpeg","Скачать индивидуальный QR-код магазина")</f>
        <v>Скачать индивидуальный QR-код магазина</v>
      </c>
    </row>
    <row r="9737" spans="1:7" x14ac:dyDescent="0.25">
      <c r="A9737" t="s">
        <v>30141</v>
      </c>
      <c r="B9737" t="s">
        <v>30788</v>
      </c>
      <c r="C9737" t="s">
        <v>30789</v>
      </c>
      <c r="D9737" t="s">
        <v>30790</v>
      </c>
      <c r="E9737" t="s">
        <v>30791</v>
      </c>
      <c r="F9737" t="s">
        <v>30792</v>
      </c>
      <c r="G9737" s="2" t="str">
        <f>HYPERLINK("https://probpalata.gov.ru/files/ИП520600264900000.jpeg","Скачать индивидуальный QR-код магазина")</f>
        <v>Скачать индивидуальный QR-код магазина</v>
      </c>
    </row>
    <row r="9738" spans="1:7" x14ac:dyDescent="0.25">
      <c r="A9738" t="s">
        <v>30141</v>
      </c>
      <c r="B9738" t="s">
        <v>30793</v>
      </c>
      <c r="C9738" t="s">
        <v>30789</v>
      </c>
      <c r="D9738" t="s">
        <v>30790</v>
      </c>
      <c r="E9738" t="s">
        <v>30791</v>
      </c>
      <c r="F9738" t="s">
        <v>30794</v>
      </c>
      <c r="G9738" s="2" t="str">
        <f>HYPERLINK("https://probpalata.gov.ru/files/ИП520600264900003.jpeg","Скачать индивидуальный QR-код магазина")</f>
        <v>Скачать индивидуальный QR-код магазина</v>
      </c>
    </row>
    <row r="9739" spans="1:7" x14ac:dyDescent="0.25">
      <c r="A9739" t="s">
        <v>30141</v>
      </c>
      <c r="B9739" t="s">
        <v>30795</v>
      </c>
      <c r="C9739" t="s">
        <v>30789</v>
      </c>
      <c r="D9739" t="s">
        <v>30790</v>
      </c>
      <c r="E9739" t="s">
        <v>30791</v>
      </c>
      <c r="F9739" t="s">
        <v>30796</v>
      </c>
      <c r="G9739" s="2" t="str">
        <f>HYPERLINK("https://probpalata.gov.ru/files/ИП520600264900004.jpeg","Скачать индивидуальный QR-код магазина")</f>
        <v>Скачать индивидуальный QR-код магазина</v>
      </c>
    </row>
    <row r="9740" spans="1:7" x14ac:dyDescent="0.25">
      <c r="A9740" t="s">
        <v>30141</v>
      </c>
      <c r="B9740" t="s">
        <v>30797</v>
      </c>
      <c r="C9740" t="s">
        <v>30789</v>
      </c>
      <c r="D9740" t="s">
        <v>30790</v>
      </c>
      <c r="E9740" t="s">
        <v>30791</v>
      </c>
      <c r="F9740" t="s">
        <v>30798</v>
      </c>
      <c r="G9740" s="2" t="str">
        <f>HYPERLINK("https://probpalata.gov.ru/files/ИП520600264900006.jpeg","Скачать индивидуальный QR-код магазина")</f>
        <v>Скачать индивидуальный QR-код магазина</v>
      </c>
    </row>
    <row r="9741" spans="1:7" x14ac:dyDescent="0.25">
      <c r="A9741" t="s">
        <v>30141</v>
      </c>
      <c r="B9741" t="s">
        <v>30799</v>
      </c>
      <c r="C9741" t="s">
        <v>30800</v>
      </c>
      <c r="D9741" t="s">
        <v>30801</v>
      </c>
      <c r="E9741" t="s">
        <v>30802</v>
      </c>
      <c r="F9741" t="s">
        <v>30803</v>
      </c>
      <c r="G9741" s="2" t="str">
        <f>HYPERLINK("https://probpalata.gov.ru/files/ИП520600237800000.jpeg","Скачать индивидуальный QR-код магазина")</f>
        <v>Скачать индивидуальный QR-код магазина</v>
      </c>
    </row>
    <row r="9742" spans="1:7" x14ac:dyDescent="0.25">
      <c r="A9742" t="s">
        <v>30141</v>
      </c>
      <c r="B9742" t="s">
        <v>30804</v>
      </c>
      <c r="C9742" t="s">
        <v>30800</v>
      </c>
      <c r="D9742" t="s">
        <v>30801</v>
      </c>
      <c r="E9742" t="s">
        <v>30802</v>
      </c>
      <c r="F9742" t="s">
        <v>30805</v>
      </c>
      <c r="G9742" s="2" t="str">
        <f>HYPERLINK("https://probpalata.gov.ru/files/ИП520600237800003.jpeg","Скачать индивидуальный QR-код магазина")</f>
        <v>Скачать индивидуальный QR-код магазина</v>
      </c>
    </row>
    <row r="9743" spans="1:7" x14ac:dyDescent="0.25">
      <c r="A9743" t="s">
        <v>30141</v>
      </c>
      <c r="B9743" t="s">
        <v>30806</v>
      </c>
      <c r="C9743" t="s">
        <v>30800</v>
      </c>
      <c r="D9743" t="s">
        <v>30801</v>
      </c>
      <c r="E9743" t="s">
        <v>30802</v>
      </c>
      <c r="F9743" t="s">
        <v>30807</v>
      </c>
      <c r="G9743" s="2" t="str">
        <f>HYPERLINK("https://probpalata.gov.ru/files/ИП520600237800004.jpeg","Скачать индивидуальный QR-код магазина")</f>
        <v>Скачать индивидуальный QR-код магазина</v>
      </c>
    </row>
    <row r="9744" spans="1:7" x14ac:dyDescent="0.25">
      <c r="A9744" t="s">
        <v>30141</v>
      </c>
      <c r="B9744" t="s">
        <v>30797</v>
      </c>
      <c r="C9744" t="s">
        <v>30800</v>
      </c>
      <c r="D9744" t="s">
        <v>30801</v>
      </c>
      <c r="E9744" t="s">
        <v>30802</v>
      </c>
      <c r="F9744" t="s">
        <v>30808</v>
      </c>
      <c r="G9744" s="2" t="str">
        <f>HYPERLINK("https://probpalata.gov.ru/files/ИП520600237800005.jpeg","Скачать индивидуальный QR-код магазина")</f>
        <v>Скачать индивидуальный QR-код магазина</v>
      </c>
    </row>
    <row r="9745" spans="1:7" x14ac:dyDescent="0.25">
      <c r="A9745" t="s">
        <v>30141</v>
      </c>
      <c r="B9745" t="s">
        <v>30809</v>
      </c>
      <c r="C9745" t="s">
        <v>30810</v>
      </c>
      <c r="D9745" t="s">
        <v>30811</v>
      </c>
      <c r="E9745" t="s">
        <v>30812</v>
      </c>
      <c r="F9745" t="s">
        <v>30813</v>
      </c>
      <c r="G9745" s="2" t="str">
        <f>HYPERLINK("https://probpalata.gov.ru/files/ИП520603180700000.jpeg","Скачать индивидуальный QR-код магазина")</f>
        <v>Скачать индивидуальный QR-код магазина</v>
      </c>
    </row>
    <row r="9746" spans="1:7" x14ac:dyDescent="0.25">
      <c r="A9746" t="s">
        <v>30141</v>
      </c>
      <c r="B9746" t="s">
        <v>30814</v>
      </c>
      <c r="C9746" t="s">
        <v>30810</v>
      </c>
      <c r="D9746" t="s">
        <v>30811</v>
      </c>
      <c r="E9746" t="s">
        <v>30812</v>
      </c>
      <c r="F9746" t="s">
        <v>30815</v>
      </c>
      <c r="G9746" s="2" t="str">
        <f>HYPERLINK("https://probpalata.gov.ru/files/ИП520603180700005.jpeg","Скачать индивидуальный QR-код магазина")</f>
        <v>Скачать индивидуальный QR-код магазина</v>
      </c>
    </row>
    <row r="9747" spans="1:7" x14ac:dyDescent="0.25">
      <c r="A9747" t="s">
        <v>30141</v>
      </c>
      <c r="B9747" t="s">
        <v>30816</v>
      </c>
      <c r="C9747" t="s">
        <v>30817</v>
      </c>
      <c r="D9747" t="s">
        <v>30818</v>
      </c>
      <c r="E9747" t="s">
        <v>30819</v>
      </c>
      <c r="F9747" t="s">
        <v>30820</v>
      </c>
      <c r="G9747" s="2" t="str">
        <f>HYPERLINK("https://probpalata.gov.ru/files/ЮЛ520603270700000.jpeg","Скачать индивидуальный QR-код магазина")</f>
        <v>Скачать индивидуальный QR-код магазина</v>
      </c>
    </row>
    <row r="9748" spans="1:7" x14ac:dyDescent="0.25">
      <c r="A9748" t="s">
        <v>30141</v>
      </c>
      <c r="B9748" t="s">
        <v>30821</v>
      </c>
      <c r="C9748" t="s">
        <v>30822</v>
      </c>
      <c r="D9748" t="s">
        <v>30823</v>
      </c>
      <c r="E9748" t="s">
        <v>30824</v>
      </c>
      <c r="F9748" t="s">
        <v>30825</v>
      </c>
      <c r="G9748" s="2" t="str">
        <f>HYPERLINK("https://probpalata.gov.ru/files/ИП520603142000000.jpeg","Скачать индивидуальный QR-код магазина")</f>
        <v>Скачать индивидуальный QR-код магазина</v>
      </c>
    </row>
    <row r="9749" spans="1:7" x14ac:dyDescent="0.25">
      <c r="A9749" t="s">
        <v>30141</v>
      </c>
      <c r="B9749" t="s">
        <v>30826</v>
      </c>
      <c r="C9749" t="s">
        <v>30822</v>
      </c>
      <c r="D9749" t="s">
        <v>30823</v>
      </c>
      <c r="E9749" t="s">
        <v>30824</v>
      </c>
      <c r="F9749" t="s">
        <v>30827</v>
      </c>
      <c r="G9749" s="2" t="str">
        <f>HYPERLINK("https://probpalata.gov.ru/files/ИП520603142000001.jpeg","Скачать индивидуальный QR-код магазина")</f>
        <v>Скачать индивидуальный QR-код магазина</v>
      </c>
    </row>
    <row r="9750" spans="1:7" x14ac:dyDescent="0.25">
      <c r="A9750" t="s">
        <v>30141</v>
      </c>
      <c r="B9750" t="s">
        <v>30788</v>
      </c>
      <c r="C9750" t="s">
        <v>30828</v>
      </c>
      <c r="D9750" t="s">
        <v>30829</v>
      </c>
      <c r="E9750" t="s">
        <v>30830</v>
      </c>
      <c r="F9750" t="s">
        <v>30831</v>
      </c>
      <c r="G9750" s="2" t="str">
        <f>HYPERLINK("https://probpalata.gov.ru/files/ИП520603224200000.jpeg","Скачать индивидуальный QR-код магазина")</f>
        <v>Скачать индивидуальный QR-код магазина</v>
      </c>
    </row>
    <row r="9751" spans="1:7" x14ac:dyDescent="0.25">
      <c r="A9751" t="s">
        <v>30141</v>
      </c>
      <c r="B9751" t="s">
        <v>30788</v>
      </c>
      <c r="C9751" t="s">
        <v>30828</v>
      </c>
      <c r="D9751" t="s">
        <v>30829</v>
      </c>
      <c r="E9751" t="s">
        <v>30830</v>
      </c>
      <c r="F9751" t="s">
        <v>30832</v>
      </c>
      <c r="G9751" s="2" t="str">
        <f>HYPERLINK("https://probpalata.gov.ru/files/ИП520603224200001.jpeg","Скачать индивидуальный QR-код магазина")</f>
        <v>Скачать индивидуальный QR-код магазина</v>
      </c>
    </row>
    <row r="9752" spans="1:7" x14ac:dyDescent="0.25">
      <c r="A9752" t="s">
        <v>30141</v>
      </c>
      <c r="B9752" t="s">
        <v>30806</v>
      </c>
      <c r="C9752" t="s">
        <v>30828</v>
      </c>
      <c r="D9752" t="s">
        <v>30829</v>
      </c>
      <c r="E9752" t="s">
        <v>30830</v>
      </c>
      <c r="F9752" t="s">
        <v>30833</v>
      </c>
      <c r="G9752" s="2" t="str">
        <f>HYPERLINK("https://probpalata.gov.ru/files/ИП520603224200002.jpeg","Скачать индивидуальный QR-код магазина")</f>
        <v>Скачать индивидуальный QR-код магазина</v>
      </c>
    </row>
    <row r="9753" spans="1:7" x14ac:dyDescent="0.25">
      <c r="A9753" t="s">
        <v>30141</v>
      </c>
      <c r="B9753" t="s">
        <v>30834</v>
      </c>
      <c r="C9753" t="s">
        <v>30828</v>
      </c>
      <c r="D9753" t="s">
        <v>30829</v>
      </c>
      <c r="E9753" t="s">
        <v>30830</v>
      </c>
      <c r="F9753" t="s">
        <v>30835</v>
      </c>
      <c r="G9753" s="2" t="str">
        <f>HYPERLINK("https://probpalata.gov.ru/files/ИП520603224200003.jpeg","Скачать индивидуальный QR-код магазина")</f>
        <v>Скачать индивидуальный QR-код магазина</v>
      </c>
    </row>
    <row r="9754" spans="1:7" x14ac:dyDescent="0.25">
      <c r="A9754" t="s">
        <v>30141</v>
      </c>
      <c r="B9754" t="s">
        <v>30795</v>
      </c>
      <c r="C9754" t="s">
        <v>30828</v>
      </c>
      <c r="D9754" t="s">
        <v>30829</v>
      </c>
      <c r="E9754" t="s">
        <v>30830</v>
      </c>
      <c r="F9754" t="s">
        <v>30836</v>
      </c>
      <c r="G9754" s="2" t="str">
        <f>HYPERLINK("https://probpalata.gov.ru/files/ИП520603224200004.jpeg","Скачать индивидуальный QR-код магазина")</f>
        <v>Скачать индивидуальный QR-код магазина</v>
      </c>
    </row>
    <row r="9755" spans="1:7" x14ac:dyDescent="0.25">
      <c r="A9755" t="s">
        <v>30141</v>
      </c>
      <c r="B9755" t="s">
        <v>30837</v>
      </c>
      <c r="C9755" t="s">
        <v>30838</v>
      </c>
      <c r="D9755" t="s">
        <v>30839</v>
      </c>
      <c r="E9755" t="s">
        <v>30840</v>
      </c>
      <c r="F9755" t="s">
        <v>30841</v>
      </c>
      <c r="G9755" s="2" t="str">
        <f>HYPERLINK("https://probpalata.gov.ru/files/ЮЛ520600305100000.jpeg","Скачать индивидуальный QR-код магазина")</f>
        <v>Скачать индивидуальный QR-код магазина</v>
      </c>
    </row>
    <row r="9756" spans="1:7" x14ac:dyDescent="0.25">
      <c r="A9756" t="s">
        <v>30141</v>
      </c>
      <c r="B9756" t="s">
        <v>30842</v>
      </c>
      <c r="C9756" t="s">
        <v>30843</v>
      </c>
      <c r="D9756" t="s">
        <v>30844</v>
      </c>
      <c r="E9756" t="s">
        <v>30845</v>
      </c>
      <c r="F9756" t="s">
        <v>30846</v>
      </c>
      <c r="G9756" s="2" t="str">
        <f>HYPERLINK("https://probpalata.gov.ru/files/ЮЛ520601014900000.jpeg","Скачать индивидуальный QR-код магазина")</f>
        <v>Скачать индивидуальный QR-код магазина</v>
      </c>
    </row>
    <row r="9757" spans="1:7" x14ac:dyDescent="0.25">
      <c r="A9757" t="s">
        <v>30141</v>
      </c>
      <c r="B9757" t="s">
        <v>30847</v>
      </c>
      <c r="C9757" t="s">
        <v>30848</v>
      </c>
      <c r="D9757" t="s">
        <v>30849</v>
      </c>
      <c r="E9757" t="s">
        <v>30850</v>
      </c>
      <c r="F9757" t="s">
        <v>30851</v>
      </c>
      <c r="G9757" s="2" t="str">
        <f>HYPERLINK("https://probpalata.gov.ru/files/ИП520601058300000.jpeg","Скачать индивидуальный QR-код магазина")</f>
        <v>Скачать индивидуальный QR-код магазина</v>
      </c>
    </row>
    <row r="9758" spans="1:7" x14ac:dyDescent="0.25">
      <c r="A9758" t="s">
        <v>30141</v>
      </c>
      <c r="B9758" t="s">
        <v>30852</v>
      </c>
      <c r="C9758" t="s">
        <v>1735</v>
      </c>
      <c r="D9758" t="s">
        <v>1736</v>
      </c>
      <c r="E9758" t="s">
        <v>1737</v>
      </c>
      <c r="F9758" t="s">
        <v>30853</v>
      </c>
      <c r="G9758" s="2" t="str">
        <f>HYPERLINK("https://probpalata.gov.ru/files/ЮЛ520603376600111.jpeg","Скачать индивидуальный QR-код магазина")</f>
        <v>Скачать индивидуальный QR-код магазина</v>
      </c>
    </row>
    <row r="9759" spans="1:7" x14ac:dyDescent="0.25">
      <c r="A9759" t="s">
        <v>30141</v>
      </c>
      <c r="B9759" t="s">
        <v>30854</v>
      </c>
      <c r="C9759" t="s">
        <v>20350</v>
      </c>
      <c r="D9759" t="s">
        <v>20351</v>
      </c>
      <c r="E9759" t="s">
        <v>20352</v>
      </c>
      <c r="F9759" t="s">
        <v>30855</v>
      </c>
      <c r="G9759" s="2" t="str">
        <f>HYPERLINK("https://probpalata.gov.ru/files/ЮЛ520601352600002.jpeg","Скачать индивидуальный QR-код магазина")</f>
        <v>Скачать индивидуальный QR-код магазина</v>
      </c>
    </row>
    <row r="9760" spans="1:7" x14ac:dyDescent="0.25">
      <c r="A9760" t="s">
        <v>30141</v>
      </c>
      <c r="B9760" t="s">
        <v>30856</v>
      </c>
      <c r="C9760" t="s">
        <v>20350</v>
      </c>
      <c r="D9760" t="s">
        <v>20351</v>
      </c>
      <c r="E9760" t="s">
        <v>20352</v>
      </c>
      <c r="F9760" t="s">
        <v>30857</v>
      </c>
      <c r="G9760" s="2" t="str">
        <f>HYPERLINK("https://probpalata.gov.ru/files/ЮЛ520601352600005.jpeg","Скачать индивидуальный QR-код магазина")</f>
        <v>Скачать индивидуальный QR-код магазина</v>
      </c>
    </row>
    <row r="9761" spans="1:7" x14ac:dyDescent="0.25">
      <c r="A9761" t="s">
        <v>30141</v>
      </c>
      <c r="B9761" t="s">
        <v>30858</v>
      </c>
      <c r="C9761" t="s">
        <v>30859</v>
      </c>
      <c r="D9761" t="s">
        <v>30860</v>
      </c>
      <c r="E9761" t="s">
        <v>30861</v>
      </c>
      <c r="F9761" t="s">
        <v>30862</v>
      </c>
      <c r="G9761" s="2" t="str">
        <f>HYPERLINK("https://probpalata.gov.ru/files/ИП520600054400000.jpeg","Скачать индивидуальный QR-код магазина")</f>
        <v>Скачать индивидуальный QR-код магазина</v>
      </c>
    </row>
    <row r="9762" spans="1:7" x14ac:dyDescent="0.25">
      <c r="A9762" t="s">
        <v>30141</v>
      </c>
      <c r="B9762" t="s">
        <v>30863</v>
      </c>
      <c r="C9762" t="s">
        <v>30864</v>
      </c>
      <c r="D9762" t="s">
        <v>30865</v>
      </c>
      <c r="E9762" t="s">
        <v>30866</v>
      </c>
      <c r="F9762" t="s">
        <v>30867</v>
      </c>
      <c r="G9762" s="2" t="str">
        <f>HYPERLINK("https://probpalata.gov.ru/files/ИП520600697000000.jpeg","Скачать индивидуальный QR-код магазина")</f>
        <v>Скачать индивидуальный QR-код магазина</v>
      </c>
    </row>
    <row r="9763" spans="1:7" x14ac:dyDescent="0.25">
      <c r="A9763" t="s">
        <v>30141</v>
      </c>
      <c r="B9763" t="s">
        <v>30868</v>
      </c>
      <c r="C9763" t="s">
        <v>30864</v>
      </c>
      <c r="D9763" t="s">
        <v>30865</v>
      </c>
      <c r="E9763" t="s">
        <v>30866</v>
      </c>
      <c r="F9763" t="s">
        <v>30869</v>
      </c>
      <c r="G9763" s="2" t="str">
        <f>HYPERLINK("https://probpalata.gov.ru/files/ИП520600697000002.jpeg","Скачать индивидуальный QR-код магазина")</f>
        <v>Скачать индивидуальный QR-код магазина</v>
      </c>
    </row>
    <row r="9764" spans="1:7" x14ac:dyDescent="0.25">
      <c r="A9764" t="s">
        <v>30141</v>
      </c>
      <c r="B9764" t="s">
        <v>30870</v>
      </c>
      <c r="C9764" t="s">
        <v>30864</v>
      </c>
      <c r="D9764" t="s">
        <v>30865</v>
      </c>
      <c r="E9764" t="s">
        <v>30866</v>
      </c>
      <c r="F9764" t="s">
        <v>30871</v>
      </c>
      <c r="G9764" s="2" t="str">
        <f>HYPERLINK("https://probpalata.gov.ru/files/ИП520600697000009.jpeg","Скачать индивидуальный QR-код магазина")</f>
        <v>Скачать индивидуальный QR-код магазина</v>
      </c>
    </row>
    <row r="9765" spans="1:7" x14ac:dyDescent="0.25">
      <c r="A9765" t="s">
        <v>30141</v>
      </c>
      <c r="B9765" t="s">
        <v>30872</v>
      </c>
      <c r="C9765" t="s">
        <v>30864</v>
      </c>
      <c r="D9765" t="s">
        <v>30865</v>
      </c>
      <c r="E9765" t="s">
        <v>30866</v>
      </c>
      <c r="F9765" t="s">
        <v>30873</v>
      </c>
      <c r="G9765" s="2" t="str">
        <f>HYPERLINK("https://probpalata.gov.ru/files/ИП520600697000012.jpeg","Скачать индивидуальный QR-код магазина")</f>
        <v>Скачать индивидуальный QR-код магазина</v>
      </c>
    </row>
    <row r="9766" spans="1:7" x14ac:dyDescent="0.25">
      <c r="A9766" t="s">
        <v>30141</v>
      </c>
      <c r="B9766" t="s">
        <v>30874</v>
      </c>
      <c r="C9766" t="s">
        <v>30864</v>
      </c>
      <c r="D9766" t="s">
        <v>30865</v>
      </c>
      <c r="E9766" t="s">
        <v>30866</v>
      </c>
      <c r="F9766" t="s">
        <v>30875</v>
      </c>
      <c r="G9766" s="2" t="str">
        <f>HYPERLINK("https://probpalata.gov.ru/files/ИП520600697000014.jpeg","Скачать индивидуальный QR-код магазина")</f>
        <v>Скачать индивидуальный QR-код магазина</v>
      </c>
    </row>
    <row r="9767" spans="1:7" x14ac:dyDescent="0.25">
      <c r="A9767" t="s">
        <v>30141</v>
      </c>
      <c r="B9767" t="s">
        <v>30876</v>
      </c>
      <c r="C9767" t="s">
        <v>30864</v>
      </c>
      <c r="D9767" t="s">
        <v>30865</v>
      </c>
      <c r="E9767" t="s">
        <v>30866</v>
      </c>
      <c r="F9767" t="s">
        <v>30877</v>
      </c>
      <c r="G9767" s="2" t="str">
        <f>HYPERLINK("https://probpalata.gov.ru/files/ИП520600697000016.jpeg","Скачать индивидуальный QR-код магазина")</f>
        <v>Скачать индивидуальный QR-код магазина</v>
      </c>
    </row>
    <row r="9768" spans="1:7" x14ac:dyDescent="0.25">
      <c r="A9768" t="s">
        <v>30141</v>
      </c>
      <c r="B9768" t="s">
        <v>30878</v>
      </c>
      <c r="C9768" t="s">
        <v>30864</v>
      </c>
      <c r="D9768" t="s">
        <v>30865</v>
      </c>
      <c r="E9768" t="s">
        <v>30866</v>
      </c>
      <c r="F9768" t="s">
        <v>30879</v>
      </c>
      <c r="G9768" s="2" t="str">
        <f>HYPERLINK("https://probpalata.gov.ru/files/ИП520600697000018.jpeg","Скачать индивидуальный QR-код магазина")</f>
        <v>Скачать индивидуальный QR-код магазина</v>
      </c>
    </row>
    <row r="9769" spans="1:7" x14ac:dyDescent="0.25">
      <c r="A9769" t="s">
        <v>30141</v>
      </c>
      <c r="B9769" t="s">
        <v>30880</v>
      </c>
      <c r="C9769" t="s">
        <v>30864</v>
      </c>
      <c r="D9769" t="s">
        <v>30865</v>
      </c>
      <c r="E9769" t="s">
        <v>30866</v>
      </c>
      <c r="F9769" t="s">
        <v>30881</v>
      </c>
      <c r="G9769" s="2" t="str">
        <f>HYPERLINK("https://probpalata.gov.ru/files/ИП520600697000019.jpeg","Скачать индивидуальный QR-код магазина")</f>
        <v>Скачать индивидуальный QR-код магазина</v>
      </c>
    </row>
    <row r="9770" spans="1:7" x14ac:dyDescent="0.25">
      <c r="A9770" t="s">
        <v>30141</v>
      </c>
      <c r="B9770" t="s">
        <v>30882</v>
      </c>
      <c r="C9770" t="s">
        <v>30864</v>
      </c>
      <c r="D9770" t="s">
        <v>30865</v>
      </c>
      <c r="E9770" t="s">
        <v>30866</v>
      </c>
      <c r="F9770" t="s">
        <v>30883</v>
      </c>
      <c r="G9770" s="2" t="str">
        <f>HYPERLINK("https://probpalata.gov.ru/files/ИП520600697000020.jpeg","Скачать индивидуальный QR-код магазина")</f>
        <v>Скачать индивидуальный QR-код магазина</v>
      </c>
    </row>
    <row r="9771" spans="1:7" x14ac:dyDescent="0.25">
      <c r="A9771" t="s">
        <v>30141</v>
      </c>
      <c r="B9771" t="s">
        <v>30884</v>
      </c>
      <c r="C9771" t="s">
        <v>30864</v>
      </c>
      <c r="D9771" t="s">
        <v>30865</v>
      </c>
      <c r="E9771" t="s">
        <v>30866</v>
      </c>
      <c r="F9771" t="s">
        <v>30885</v>
      </c>
      <c r="G9771" s="2" t="str">
        <f>HYPERLINK("https://probpalata.gov.ru/files/ИП520600697000022.jpeg","Скачать индивидуальный QR-код магазина")</f>
        <v>Скачать индивидуальный QR-код магазина</v>
      </c>
    </row>
    <row r="9772" spans="1:7" x14ac:dyDescent="0.25">
      <c r="A9772" t="s">
        <v>30141</v>
      </c>
      <c r="B9772" t="s">
        <v>30886</v>
      </c>
      <c r="C9772" t="s">
        <v>30887</v>
      </c>
      <c r="D9772" t="s">
        <v>30888</v>
      </c>
      <c r="E9772" t="s">
        <v>30889</v>
      </c>
      <c r="F9772" t="s">
        <v>30890</v>
      </c>
      <c r="G9772" s="2" t="str">
        <f>HYPERLINK("https://probpalata.gov.ru/files/ИП520603131700000.jpeg","Скачать индивидуальный QR-код магазина")</f>
        <v>Скачать индивидуальный QR-код магазина</v>
      </c>
    </row>
    <row r="9773" spans="1:7" x14ac:dyDescent="0.25">
      <c r="A9773" t="s">
        <v>30141</v>
      </c>
      <c r="B9773" t="s">
        <v>30329</v>
      </c>
      <c r="C9773" t="s">
        <v>30891</v>
      </c>
      <c r="D9773" t="s">
        <v>30892</v>
      </c>
      <c r="E9773" t="s">
        <v>30893</v>
      </c>
      <c r="F9773" t="s">
        <v>30894</v>
      </c>
      <c r="G9773" s="2" t="str">
        <f>HYPERLINK("https://probpalata.gov.ru/files/ИП520601190100000.jpeg","Скачать индивидуальный QR-код магазина")</f>
        <v>Скачать индивидуальный QR-код магазина</v>
      </c>
    </row>
    <row r="9774" spans="1:7" x14ac:dyDescent="0.25">
      <c r="A9774" t="s">
        <v>30141</v>
      </c>
      <c r="B9774" t="s">
        <v>30199</v>
      </c>
      <c r="C9774" t="s">
        <v>30891</v>
      </c>
      <c r="D9774" t="s">
        <v>30892</v>
      </c>
      <c r="E9774" t="s">
        <v>30893</v>
      </c>
      <c r="F9774" t="s">
        <v>30895</v>
      </c>
      <c r="G9774" s="2" t="str">
        <f>HYPERLINK("https://probpalata.gov.ru/files/ИП520601190100001.jpeg","Скачать индивидуальный QR-код магазина")</f>
        <v>Скачать индивидуальный QR-код магазина</v>
      </c>
    </row>
    <row r="9775" spans="1:7" x14ac:dyDescent="0.25">
      <c r="A9775" t="s">
        <v>30141</v>
      </c>
      <c r="B9775" t="s">
        <v>30896</v>
      </c>
      <c r="C9775" t="s">
        <v>30897</v>
      </c>
      <c r="D9775" t="s">
        <v>30898</v>
      </c>
      <c r="E9775" t="s">
        <v>30899</v>
      </c>
      <c r="F9775" t="s">
        <v>30900</v>
      </c>
      <c r="G9775" s="2" t="str">
        <f>HYPERLINK("https://probpalata.gov.ru/files/ИП520603338500000.jpeg","Скачать индивидуальный QR-код магазина")</f>
        <v>Скачать индивидуальный QR-код магазина</v>
      </c>
    </row>
    <row r="9776" spans="1:7" x14ac:dyDescent="0.25">
      <c r="A9776" t="s">
        <v>30141</v>
      </c>
      <c r="B9776" t="s">
        <v>30901</v>
      </c>
      <c r="C9776" t="s">
        <v>30902</v>
      </c>
      <c r="D9776" t="s">
        <v>30903</v>
      </c>
      <c r="E9776" t="s">
        <v>30904</v>
      </c>
      <c r="F9776" t="s">
        <v>30905</v>
      </c>
      <c r="G9776" s="2" t="str">
        <f>HYPERLINK("https://probpalata.gov.ru/files/ИП520603405800000.jpeg","Скачать индивидуальный QR-код магазина")</f>
        <v>Скачать индивидуальный QR-код магазина</v>
      </c>
    </row>
    <row r="9777" spans="1:7" x14ac:dyDescent="0.25">
      <c r="A9777" t="s">
        <v>30141</v>
      </c>
      <c r="B9777" t="s">
        <v>30906</v>
      </c>
      <c r="C9777" t="s">
        <v>30902</v>
      </c>
      <c r="D9777" t="s">
        <v>30903</v>
      </c>
      <c r="E9777" t="s">
        <v>30904</v>
      </c>
      <c r="F9777" t="s">
        <v>30907</v>
      </c>
      <c r="G9777" s="2" t="str">
        <f>HYPERLINK("https://probpalata.gov.ru/files/ИП520603405800005.jpeg","Скачать индивидуальный QR-код магазина")</f>
        <v>Скачать индивидуальный QR-код магазина</v>
      </c>
    </row>
    <row r="9778" spans="1:7" x14ac:dyDescent="0.25">
      <c r="A9778" t="s">
        <v>30141</v>
      </c>
      <c r="B9778" t="s">
        <v>30908</v>
      </c>
      <c r="C9778" t="s">
        <v>30909</v>
      </c>
      <c r="D9778" t="s">
        <v>30910</v>
      </c>
      <c r="E9778" t="s">
        <v>30911</v>
      </c>
      <c r="F9778" t="s">
        <v>30912</v>
      </c>
      <c r="G9778" s="2" t="str">
        <f>HYPERLINK("https://probpalata.gov.ru/files/ИП520601909100007.jpeg","Скачать индивидуальный QR-код магазина")</f>
        <v>Скачать индивидуальный QR-код магазина</v>
      </c>
    </row>
    <row r="9779" spans="1:7" x14ac:dyDescent="0.25">
      <c r="A9779" t="s">
        <v>30141</v>
      </c>
      <c r="B9779" t="s">
        <v>30913</v>
      </c>
      <c r="C9779" t="s">
        <v>30909</v>
      </c>
      <c r="D9779" t="s">
        <v>30910</v>
      </c>
      <c r="E9779" t="s">
        <v>30911</v>
      </c>
      <c r="F9779" t="s">
        <v>30914</v>
      </c>
      <c r="G9779" s="2" t="str">
        <f>HYPERLINK("https://probpalata.gov.ru/files/ИП520601909100008.jpeg","Скачать индивидуальный QR-код магазина")</f>
        <v>Скачать индивидуальный QR-код магазина</v>
      </c>
    </row>
    <row r="9780" spans="1:7" x14ac:dyDescent="0.25">
      <c r="A9780" t="s">
        <v>30141</v>
      </c>
      <c r="B9780" t="s">
        <v>30915</v>
      </c>
      <c r="C9780" t="s">
        <v>30909</v>
      </c>
      <c r="D9780" t="s">
        <v>30910</v>
      </c>
      <c r="E9780" t="s">
        <v>30911</v>
      </c>
      <c r="F9780" t="s">
        <v>30916</v>
      </c>
      <c r="G9780" s="2" t="str">
        <f>HYPERLINK("https://probpalata.gov.ru/files/ИП520601909100009.jpeg","Скачать индивидуальный QR-код магазина")</f>
        <v>Скачать индивидуальный QR-код магазина</v>
      </c>
    </row>
    <row r="9781" spans="1:7" x14ac:dyDescent="0.25">
      <c r="A9781" t="s">
        <v>30141</v>
      </c>
      <c r="B9781" t="s">
        <v>30917</v>
      </c>
      <c r="C9781" t="s">
        <v>30909</v>
      </c>
      <c r="D9781" t="s">
        <v>30910</v>
      </c>
      <c r="E9781" t="s">
        <v>30911</v>
      </c>
      <c r="F9781" t="s">
        <v>30918</v>
      </c>
      <c r="G9781" s="2" t="str">
        <f>HYPERLINK("https://probpalata.gov.ru/files/ИП520601909100010.jpeg","Скачать индивидуальный QR-код магазина")</f>
        <v>Скачать индивидуальный QR-код магазина</v>
      </c>
    </row>
    <row r="9782" spans="1:7" x14ac:dyDescent="0.25">
      <c r="A9782" t="s">
        <v>30141</v>
      </c>
      <c r="B9782" t="s">
        <v>30919</v>
      </c>
      <c r="C9782" t="s">
        <v>30909</v>
      </c>
      <c r="D9782" t="s">
        <v>30910</v>
      </c>
      <c r="E9782" t="s">
        <v>30911</v>
      </c>
      <c r="F9782" t="s">
        <v>30920</v>
      </c>
      <c r="G9782" s="2" t="str">
        <f>HYPERLINK("https://probpalata.gov.ru/files/ИП520601909100011.jpeg","Скачать индивидуальный QR-код магазина")</f>
        <v>Скачать индивидуальный QR-код магазина</v>
      </c>
    </row>
    <row r="9783" spans="1:7" x14ac:dyDescent="0.25">
      <c r="A9783" t="s">
        <v>30141</v>
      </c>
      <c r="B9783" t="s">
        <v>30921</v>
      </c>
      <c r="C9783" t="s">
        <v>30909</v>
      </c>
      <c r="D9783" t="s">
        <v>30910</v>
      </c>
      <c r="E9783" t="s">
        <v>30911</v>
      </c>
      <c r="F9783" t="s">
        <v>30922</v>
      </c>
      <c r="G9783" s="2" t="str">
        <f>HYPERLINK("https://probpalata.gov.ru/files/ИП520601909100012.jpeg","Скачать индивидуальный QR-код магазина")</f>
        <v>Скачать индивидуальный QR-код магазина</v>
      </c>
    </row>
    <row r="9784" spans="1:7" x14ac:dyDescent="0.25">
      <c r="A9784" t="s">
        <v>30141</v>
      </c>
      <c r="B9784" t="s">
        <v>30923</v>
      </c>
      <c r="C9784" t="s">
        <v>30924</v>
      </c>
      <c r="D9784" t="s">
        <v>30925</v>
      </c>
      <c r="E9784" t="s">
        <v>30926</v>
      </c>
      <c r="F9784" t="s">
        <v>30927</v>
      </c>
      <c r="G9784" s="2" t="str">
        <f>HYPERLINK("https://probpalata.gov.ru/files/ИП520600072600000.jpeg","Скачать индивидуальный QR-код магазина")</f>
        <v>Скачать индивидуальный QR-код магазина</v>
      </c>
    </row>
    <row r="9785" spans="1:7" x14ac:dyDescent="0.25">
      <c r="A9785" t="s">
        <v>30141</v>
      </c>
      <c r="B9785" t="s">
        <v>30928</v>
      </c>
      <c r="C9785" t="s">
        <v>30929</v>
      </c>
      <c r="D9785" t="s">
        <v>30930</v>
      </c>
      <c r="E9785" t="s">
        <v>30931</v>
      </c>
      <c r="F9785" t="s">
        <v>30932</v>
      </c>
      <c r="G9785" s="2" t="str">
        <f>HYPERLINK("https://probpalata.gov.ru/files/ИП520600238800000.jpeg","Скачать индивидуальный QR-код магазина")</f>
        <v>Скачать индивидуальный QR-код магазина</v>
      </c>
    </row>
    <row r="9786" spans="1:7" x14ac:dyDescent="0.25">
      <c r="A9786" t="s">
        <v>30141</v>
      </c>
      <c r="B9786" t="s">
        <v>30933</v>
      </c>
      <c r="C9786" t="s">
        <v>30929</v>
      </c>
      <c r="D9786" t="s">
        <v>30930</v>
      </c>
      <c r="E9786" t="s">
        <v>30931</v>
      </c>
      <c r="F9786" t="s">
        <v>30934</v>
      </c>
      <c r="G9786" s="2" t="str">
        <f>HYPERLINK("https://probpalata.gov.ru/files/ИП520600238800001.jpeg","Скачать индивидуальный QR-код магазина")</f>
        <v>Скачать индивидуальный QR-код магазина</v>
      </c>
    </row>
    <row r="9787" spans="1:7" x14ac:dyDescent="0.25">
      <c r="A9787" t="s">
        <v>30141</v>
      </c>
      <c r="B9787" t="s">
        <v>30935</v>
      </c>
      <c r="C9787" t="s">
        <v>30929</v>
      </c>
      <c r="D9787" t="s">
        <v>30930</v>
      </c>
      <c r="E9787" t="s">
        <v>30931</v>
      </c>
      <c r="F9787" t="s">
        <v>30936</v>
      </c>
      <c r="G9787" s="2" t="str">
        <f>HYPERLINK("https://probpalata.gov.ru/files/ИП520600238800002.jpeg","Скачать индивидуальный QR-код магазина")</f>
        <v>Скачать индивидуальный QR-код магазина</v>
      </c>
    </row>
    <row r="9788" spans="1:7" x14ac:dyDescent="0.25">
      <c r="A9788" t="s">
        <v>30141</v>
      </c>
      <c r="B9788" t="s">
        <v>30937</v>
      </c>
      <c r="C9788" t="s">
        <v>30929</v>
      </c>
      <c r="D9788" t="s">
        <v>30930</v>
      </c>
      <c r="E9788" t="s">
        <v>30931</v>
      </c>
      <c r="F9788" t="s">
        <v>30938</v>
      </c>
      <c r="G9788" s="2" t="str">
        <f>HYPERLINK("https://probpalata.gov.ru/files/ИП520600238800004.jpeg","Скачать индивидуальный QR-код магазина")</f>
        <v>Скачать индивидуальный QR-код магазина</v>
      </c>
    </row>
    <row r="9789" spans="1:7" x14ac:dyDescent="0.25">
      <c r="A9789" t="s">
        <v>30141</v>
      </c>
      <c r="B9789" t="s">
        <v>30939</v>
      </c>
      <c r="C9789" t="s">
        <v>30940</v>
      </c>
      <c r="D9789" t="s">
        <v>30941</v>
      </c>
      <c r="E9789" t="s">
        <v>30942</v>
      </c>
      <c r="F9789" t="s">
        <v>30943</v>
      </c>
      <c r="G9789" s="2" t="str">
        <f>HYPERLINK("https://probpalata.gov.ru/files/ИП520603605100000.jpeg","Скачать индивидуальный QR-код магазина")</f>
        <v>Скачать индивидуальный QR-код магазина</v>
      </c>
    </row>
    <row r="9790" spans="1:7" x14ac:dyDescent="0.25">
      <c r="A9790" t="s">
        <v>30141</v>
      </c>
      <c r="B9790" t="s">
        <v>30944</v>
      </c>
      <c r="C9790" t="s">
        <v>30940</v>
      </c>
      <c r="D9790" t="s">
        <v>30941</v>
      </c>
      <c r="E9790" t="s">
        <v>30942</v>
      </c>
      <c r="F9790" t="s">
        <v>30945</v>
      </c>
      <c r="G9790" s="2" t="str">
        <f>HYPERLINK("https://probpalata.gov.ru/files/ИП520603605100001.jpeg","Скачать индивидуальный QR-код магазина")</f>
        <v>Скачать индивидуальный QR-код магазина</v>
      </c>
    </row>
    <row r="9791" spans="1:7" x14ac:dyDescent="0.25">
      <c r="A9791" t="s">
        <v>30141</v>
      </c>
      <c r="B9791" t="s">
        <v>30946</v>
      </c>
      <c r="C9791" t="s">
        <v>30947</v>
      </c>
      <c r="D9791" t="s">
        <v>30948</v>
      </c>
      <c r="E9791" t="s">
        <v>30949</v>
      </c>
      <c r="F9791" t="s">
        <v>30950</v>
      </c>
      <c r="G9791" s="2" t="str">
        <f>HYPERLINK("https://probpalata.gov.ru/files/ИП520600116700000.jpeg","Скачать индивидуальный QR-код магазина")</f>
        <v>Скачать индивидуальный QR-код магазина</v>
      </c>
    </row>
    <row r="9792" spans="1:7" x14ac:dyDescent="0.25">
      <c r="A9792" t="s">
        <v>30141</v>
      </c>
      <c r="B9792" t="s">
        <v>30951</v>
      </c>
      <c r="C9792" t="s">
        <v>30952</v>
      </c>
      <c r="D9792" t="s">
        <v>30953</v>
      </c>
      <c r="E9792" t="s">
        <v>30954</v>
      </c>
      <c r="F9792" t="s">
        <v>30955</v>
      </c>
      <c r="G9792" s="2" t="str">
        <f>HYPERLINK("https://probpalata.gov.ru/files/ИП520601113200000.jpeg","Скачать индивидуальный QR-код магазина")</f>
        <v>Скачать индивидуальный QR-код магазина</v>
      </c>
    </row>
    <row r="9793" spans="1:7" x14ac:dyDescent="0.25">
      <c r="A9793" t="s">
        <v>30141</v>
      </c>
      <c r="B9793" t="s">
        <v>30956</v>
      </c>
      <c r="C9793" t="s">
        <v>30957</v>
      </c>
      <c r="D9793" t="s">
        <v>30958</v>
      </c>
      <c r="E9793" t="s">
        <v>30959</v>
      </c>
      <c r="F9793" t="s">
        <v>30960</v>
      </c>
      <c r="G9793" s="2" t="str">
        <f>HYPERLINK("https://probpalata.gov.ru/files/ИП520600137400000.jpeg","Скачать индивидуальный QR-код магазина")</f>
        <v>Скачать индивидуальный QR-код магазина</v>
      </c>
    </row>
    <row r="9794" spans="1:7" x14ac:dyDescent="0.25">
      <c r="A9794" t="s">
        <v>30141</v>
      </c>
      <c r="B9794" t="s">
        <v>30799</v>
      </c>
      <c r="C9794" t="s">
        <v>30961</v>
      </c>
      <c r="D9794" t="s">
        <v>30962</v>
      </c>
      <c r="E9794" t="s">
        <v>30963</v>
      </c>
      <c r="F9794" t="s">
        <v>30964</v>
      </c>
      <c r="G9794" s="2" t="str">
        <f>HYPERLINK("https://probpalata.gov.ru/files/ИП520603224100000.jpeg","Скачать индивидуальный QR-код магазина")</f>
        <v>Скачать индивидуальный QR-код магазина</v>
      </c>
    </row>
    <row r="9795" spans="1:7" x14ac:dyDescent="0.25">
      <c r="A9795" t="s">
        <v>30141</v>
      </c>
      <c r="B9795" t="s">
        <v>30804</v>
      </c>
      <c r="C9795" t="s">
        <v>30961</v>
      </c>
      <c r="D9795" t="s">
        <v>30962</v>
      </c>
      <c r="E9795" t="s">
        <v>30963</v>
      </c>
      <c r="F9795" t="s">
        <v>30965</v>
      </c>
      <c r="G9795" s="2" t="str">
        <f>HYPERLINK("https://probpalata.gov.ru/files/ИП520603224100001.jpeg","Скачать индивидуальный QR-код магазина")</f>
        <v>Скачать индивидуальный QR-код магазина</v>
      </c>
    </row>
    <row r="9796" spans="1:7" x14ac:dyDescent="0.25">
      <c r="A9796" t="s">
        <v>30141</v>
      </c>
      <c r="B9796" t="s">
        <v>30966</v>
      </c>
      <c r="C9796" t="s">
        <v>30961</v>
      </c>
      <c r="D9796" t="s">
        <v>30962</v>
      </c>
      <c r="E9796" t="s">
        <v>30963</v>
      </c>
      <c r="F9796" t="s">
        <v>30967</v>
      </c>
      <c r="G9796" s="2" t="str">
        <f>HYPERLINK("https://probpalata.gov.ru/files/ИП520603224100002.jpeg","Скачать индивидуальный QR-код магазина")</f>
        <v>Скачать индивидуальный QR-код магазина</v>
      </c>
    </row>
    <row r="9797" spans="1:7" x14ac:dyDescent="0.25">
      <c r="A9797" t="s">
        <v>30141</v>
      </c>
      <c r="B9797" t="s">
        <v>30968</v>
      </c>
      <c r="C9797" t="s">
        <v>30961</v>
      </c>
      <c r="D9797" t="s">
        <v>30962</v>
      </c>
      <c r="E9797" t="s">
        <v>30963</v>
      </c>
      <c r="F9797" t="s">
        <v>30969</v>
      </c>
      <c r="G9797" s="2" t="str">
        <f>HYPERLINK("https://probpalata.gov.ru/files/ИП520603224100003.jpeg","Скачать индивидуальный QR-код магазина")</f>
        <v>Скачать индивидуальный QR-код магазина</v>
      </c>
    </row>
    <row r="9798" spans="1:7" x14ac:dyDescent="0.25">
      <c r="A9798" t="s">
        <v>30141</v>
      </c>
      <c r="B9798" t="s">
        <v>30970</v>
      </c>
      <c r="C9798" t="s">
        <v>30971</v>
      </c>
      <c r="D9798" t="s">
        <v>30972</v>
      </c>
      <c r="E9798" t="s">
        <v>30973</v>
      </c>
      <c r="F9798" t="s">
        <v>30974</v>
      </c>
      <c r="G9798" s="2" t="str">
        <f>HYPERLINK("https://probpalata.gov.ru/files/ЮЛ520603071300000.jpeg","Скачать индивидуальный QR-код магазина")</f>
        <v>Скачать индивидуальный QR-код магазина</v>
      </c>
    </row>
    <row r="9799" spans="1:7" x14ac:dyDescent="0.25">
      <c r="A9799" t="s">
        <v>30141</v>
      </c>
      <c r="B9799" t="s">
        <v>30975</v>
      </c>
      <c r="C9799" t="s">
        <v>30976</v>
      </c>
      <c r="D9799" t="s">
        <v>30977</v>
      </c>
      <c r="E9799" t="s">
        <v>30978</v>
      </c>
      <c r="F9799" t="s">
        <v>30979</v>
      </c>
      <c r="G9799" s="2" t="str">
        <f>HYPERLINK("https://probpalata.gov.ru/files/ИП520600557700001.jpeg","Скачать индивидуальный QR-код магазина")</f>
        <v>Скачать индивидуальный QR-код магазина</v>
      </c>
    </row>
    <row r="9800" spans="1:7" x14ac:dyDescent="0.25">
      <c r="A9800" t="s">
        <v>30141</v>
      </c>
      <c r="B9800" t="s">
        <v>30980</v>
      </c>
      <c r="C9800" t="s">
        <v>30976</v>
      </c>
      <c r="D9800" t="s">
        <v>30977</v>
      </c>
      <c r="E9800" t="s">
        <v>30978</v>
      </c>
      <c r="F9800" t="s">
        <v>30981</v>
      </c>
      <c r="G9800" s="2" t="str">
        <f>HYPERLINK("https://probpalata.gov.ru/files/ИП520600557700003.jpeg","Скачать индивидуальный QR-код магазина")</f>
        <v>Скачать индивидуальный QR-код магазина</v>
      </c>
    </row>
    <row r="9801" spans="1:7" x14ac:dyDescent="0.25">
      <c r="A9801" t="s">
        <v>30141</v>
      </c>
      <c r="B9801" t="s">
        <v>30982</v>
      </c>
      <c r="C9801" t="s">
        <v>30976</v>
      </c>
      <c r="D9801" t="s">
        <v>30977</v>
      </c>
      <c r="E9801" t="s">
        <v>30978</v>
      </c>
      <c r="F9801" t="s">
        <v>30983</v>
      </c>
      <c r="G9801" s="2" t="str">
        <f>HYPERLINK("https://probpalata.gov.ru/files/ИП520600557700007.jpeg","Скачать индивидуальный QR-код магазина")</f>
        <v>Скачать индивидуальный QR-код магазина</v>
      </c>
    </row>
    <row r="9802" spans="1:7" x14ac:dyDescent="0.25">
      <c r="A9802" t="s">
        <v>30141</v>
      </c>
      <c r="B9802" t="s">
        <v>30984</v>
      </c>
      <c r="C9802" t="s">
        <v>30985</v>
      </c>
      <c r="D9802" t="s">
        <v>30986</v>
      </c>
      <c r="E9802" t="s">
        <v>30987</v>
      </c>
      <c r="F9802" t="s">
        <v>30988</v>
      </c>
      <c r="G9802" s="2" t="str">
        <f>HYPERLINK("https://probpalata.gov.ru/files/ЮЛ520600117000000.jpeg","Скачать индивидуальный QR-код магазина")</f>
        <v>Скачать индивидуальный QR-код магазина</v>
      </c>
    </row>
    <row r="9803" spans="1:7" x14ac:dyDescent="0.25">
      <c r="A9803" t="s">
        <v>30141</v>
      </c>
      <c r="B9803" t="s">
        <v>30989</v>
      </c>
      <c r="C9803" t="s">
        <v>30985</v>
      </c>
      <c r="D9803" t="s">
        <v>30986</v>
      </c>
      <c r="E9803" t="s">
        <v>30987</v>
      </c>
      <c r="F9803" t="s">
        <v>30990</v>
      </c>
      <c r="G9803" s="2" t="str">
        <f>HYPERLINK("https://probpalata.gov.ru/files/ЮЛ520600117000001.jpeg","Скачать индивидуальный QR-код магазина")</f>
        <v>Скачать индивидуальный QR-код магазина</v>
      </c>
    </row>
    <row r="9804" spans="1:7" x14ac:dyDescent="0.25">
      <c r="A9804" t="s">
        <v>30141</v>
      </c>
      <c r="B9804" t="s">
        <v>30956</v>
      </c>
      <c r="C9804" t="s">
        <v>30991</v>
      </c>
      <c r="D9804" t="s">
        <v>30992</v>
      </c>
      <c r="E9804" t="s">
        <v>30993</v>
      </c>
      <c r="F9804" t="s">
        <v>30994</v>
      </c>
      <c r="G9804" s="2" t="str">
        <f>HYPERLINK("https://probpalata.gov.ru/files/ИП520601790700000.jpeg","Скачать индивидуальный QR-код магазина")</f>
        <v>Скачать индивидуальный QR-код магазина</v>
      </c>
    </row>
    <row r="9805" spans="1:7" x14ac:dyDescent="0.25">
      <c r="A9805" t="s">
        <v>30141</v>
      </c>
      <c r="B9805" t="s">
        <v>30995</v>
      </c>
      <c r="C9805" t="s">
        <v>30996</v>
      </c>
      <c r="D9805" t="s">
        <v>30997</v>
      </c>
      <c r="E9805" t="s">
        <v>30998</v>
      </c>
      <c r="F9805" t="s">
        <v>30999</v>
      </c>
      <c r="G9805" s="2" t="str">
        <f>HYPERLINK("https://probpalata.gov.ru/files/ЮЛ520600132700000.jpeg","Скачать индивидуальный QR-код магазина")</f>
        <v>Скачать индивидуальный QR-код магазина</v>
      </c>
    </row>
    <row r="9806" spans="1:7" x14ac:dyDescent="0.25">
      <c r="A9806" t="s">
        <v>30141</v>
      </c>
      <c r="B9806" t="s">
        <v>31000</v>
      </c>
      <c r="C9806" t="s">
        <v>31001</v>
      </c>
      <c r="D9806" t="s">
        <v>31002</v>
      </c>
      <c r="E9806" t="s">
        <v>31003</v>
      </c>
      <c r="F9806" t="s">
        <v>31004</v>
      </c>
      <c r="G9806" s="2" t="str">
        <f>HYPERLINK("https://probpalata.gov.ru/files/ЮЛ520600605800001.jpeg","Скачать индивидуальный QR-код магазина")</f>
        <v>Скачать индивидуальный QR-код магазина</v>
      </c>
    </row>
    <row r="9807" spans="1:7" x14ac:dyDescent="0.25">
      <c r="A9807" t="s">
        <v>30141</v>
      </c>
      <c r="B9807" t="s">
        <v>31005</v>
      </c>
      <c r="C9807" t="s">
        <v>31006</v>
      </c>
      <c r="D9807" t="s">
        <v>31007</v>
      </c>
      <c r="E9807" t="s">
        <v>31008</v>
      </c>
      <c r="F9807" t="s">
        <v>31009</v>
      </c>
      <c r="G9807" s="2" t="str">
        <f>HYPERLINK("https://probpalata.gov.ru/files/ЮЛ520603269200000.jpeg","Скачать индивидуальный QR-код магазина")</f>
        <v>Скачать индивидуальный QR-код магазина</v>
      </c>
    </row>
    <row r="9808" spans="1:7" x14ac:dyDescent="0.25">
      <c r="A9808" t="s">
        <v>30141</v>
      </c>
      <c r="B9808" t="s">
        <v>31010</v>
      </c>
      <c r="C9808" t="s">
        <v>31011</v>
      </c>
      <c r="D9808" t="s">
        <v>31012</v>
      </c>
      <c r="E9808" t="s">
        <v>31013</v>
      </c>
      <c r="F9808" t="s">
        <v>31014</v>
      </c>
      <c r="G9808" s="2" t="str">
        <f>HYPERLINK("https://probpalata.gov.ru/files/ЮЛ520600417300000.jpeg","Скачать индивидуальный QR-код магазина")</f>
        <v>Скачать индивидуальный QR-код магазина</v>
      </c>
    </row>
    <row r="9809" spans="1:7" x14ac:dyDescent="0.25">
      <c r="A9809" t="s">
        <v>30141</v>
      </c>
      <c r="B9809" t="s">
        <v>31015</v>
      </c>
      <c r="C9809" t="s">
        <v>31016</v>
      </c>
      <c r="D9809" t="s">
        <v>31017</v>
      </c>
      <c r="E9809" t="s">
        <v>31018</v>
      </c>
      <c r="F9809" t="s">
        <v>31019</v>
      </c>
      <c r="G9809" s="2" t="str">
        <f>HYPERLINK("https://probpalata.gov.ru/files/ЮЛ520600422000001.jpeg","Скачать индивидуальный QR-код магазина")</f>
        <v>Скачать индивидуальный QR-код магазина</v>
      </c>
    </row>
    <row r="9810" spans="1:7" x14ac:dyDescent="0.25">
      <c r="A9810" t="s">
        <v>30141</v>
      </c>
      <c r="B9810" t="s">
        <v>31020</v>
      </c>
      <c r="C9810" t="s">
        <v>31016</v>
      </c>
      <c r="D9810" t="s">
        <v>31017</v>
      </c>
      <c r="E9810" t="s">
        <v>31018</v>
      </c>
      <c r="F9810" t="s">
        <v>31021</v>
      </c>
      <c r="G9810" s="2" t="str">
        <f>HYPERLINK("https://probpalata.gov.ru/files/ЮЛ520600422000002.jpeg","Скачать индивидуальный QR-код магазина")</f>
        <v>Скачать индивидуальный QR-код магазина</v>
      </c>
    </row>
    <row r="9811" spans="1:7" x14ac:dyDescent="0.25">
      <c r="A9811" t="s">
        <v>30141</v>
      </c>
      <c r="B9811" t="s">
        <v>31022</v>
      </c>
      <c r="C9811" t="s">
        <v>31016</v>
      </c>
      <c r="D9811" t="s">
        <v>31017</v>
      </c>
      <c r="E9811" t="s">
        <v>31018</v>
      </c>
      <c r="F9811" t="s">
        <v>31023</v>
      </c>
      <c r="G9811" s="2" t="str">
        <f>HYPERLINK("https://probpalata.gov.ru/files/ЮЛ520600422000003.jpeg","Скачать индивидуальный QR-код магазина")</f>
        <v>Скачать индивидуальный QR-код магазина</v>
      </c>
    </row>
    <row r="9812" spans="1:7" x14ac:dyDescent="0.25">
      <c r="A9812" t="s">
        <v>30141</v>
      </c>
      <c r="B9812" t="s">
        <v>31024</v>
      </c>
      <c r="C9812" t="s">
        <v>31025</v>
      </c>
      <c r="D9812" t="s">
        <v>31026</v>
      </c>
      <c r="E9812" t="s">
        <v>31027</v>
      </c>
      <c r="F9812" t="s">
        <v>31028</v>
      </c>
      <c r="G9812" s="2" t="str">
        <f>HYPERLINK("https://probpalata.gov.ru/files/ИП520603128100000.jpeg","Скачать индивидуальный QR-код магазина")</f>
        <v>Скачать индивидуальный QR-код магазина</v>
      </c>
    </row>
    <row r="9813" spans="1:7" x14ac:dyDescent="0.25">
      <c r="A9813" t="s">
        <v>30141</v>
      </c>
      <c r="B9813" t="s">
        <v>31029</v>
      </c>
      <c r="C9813" t="s">
        <v>31025</v>
      </c>
      <c r="D9813" t="s">
        <v>31026</v>
      </c>
      <c r="E9813" t="s">
        <v>31027</v>
      </c>
      <c r="F9813" t="s">
        <v>31030</v>
      </c>
      <c r="G9813" s="2" t="str">
        <f>HYPERLINK("https://probpalata.gov.ru/files/ИП520603128100001.jpeg","Скачать индивидуальный QR-код магазина")</f>
        <v>Скачать индивидуальный QR-код магазина</v>
      </c>
    </row>
    <row r="9814" spans="1:7" x14ac:dyDescent="0.25">
      <c r="A9814" t="s">
        <v>30141</v>
      </c>
      <c r="B9814" t="s">
        <v>31031</v>
      </c>
      <c r="C9814" t="s">
        <v>31025</v>
      </c>
      <c r="D9814" t="s">
        <v>31026</v>
      </c>
      <c r="E9814" t="s">
        <v>31027</v>
      </c>
      <c r="F9814" t="s">
        <v>31032</v>
      </c>
      <c r="G9814" s="2" t="str">
        <f>HYPERLINK("https://probpalata.gov.ru/files/ИП520603128100002.jpeg","Скачать индивидуальный QR-код магазина")</f>
        <v>Скачать индивидуальный QR-код магазина</v>
      </c>
    </row>
    <row r="9815" spans="1:7" x14ac:dyDescent="0.25">
      <c r="A9815" t="s">
        <v>30141</v>
      </c>
      <c r="B9815" t="s">
        <v>31033</v>
      </c>
      <c r="C9815" t="s">
        <v>31025</v>
      </c>
      <c r="D9815" t="s">
        <v>31026</v>
      </c>
      <c r="E9815" t="s">
        <v>31027</v>
      </c>
      <c r="F9815" t="s">
        <v>31034</v>
      </c>
      <c r="G9815" s="2" t="str">
        <f>HYPERLINK("https://probpalata.gov.ru/files/ИП520603128100003.jpeg","Скачать индивидуальный QR-код магазина")</f>
        <v>Скачать индивидуальный QR-код магазина</v>
      </c>
    </row>
    <row r="9816" spans="1:7" x14ac:dyDescent="0.25">
      <c r="A9816" t="s">
        <v>30141</v>
      </c>
      <c r="B9816" t="s">
        <v>30158</v>
      </c>
      <c r="C9816" t="s">
        <v>31025</v>
      </c>
      <c r="D9816" t="s">
        <v>31026</v>
      </c>
      <c r="E9816" t="s">
        <v>31027</v>
      </c>
      <c r="F9816" t="s">
        <v>31035</v>
      </c>
      <c r="G9816" s="2" t="str">
        <f>HYPERLINK("https://probpalata.gov.ru/files/ИП520603128100004.jpeg","Скачать индивидуальный QR-код магазина")</f>
        <v>Скачать индивидуальный QR-код магазина</v>
      </c>
    </row>
    <row r="9817" spans="1:7" x14ac:dyDescent="0.25">
      <c r="A9817" t="s">
        <v>30141</v>
      </c>
      <c r="B9817" t="s">
        <v>31015</v>
      </c>
      <c r="C9817" t="s">
        <v>21614</v>
      </c>
      <c r="D9817" t="s">
        <v>31036</v>
      </c>
      <c r="E9817" t="s">
        <v>31037</v>
      </c>
      <c r="F9817" t="s">
        <v>31038</v>
      </c>
      <c r="G9817" s="2" t="str">
        <f>HYPERLINK("https://probpalata.gov.ru/files/ЮЛ520600356800000.jpeg","Скачать индивидуальный QR-код магазина")</f>
        <v>Скачать индивидуальный QR-код магазина</v>
      </c>
    </row>
    <row r="9818" spans="1:7" x14ac:dyDescent="0.25">
      <c r="A9818" t="s">
        <v>30141</v>
      </c>
      <c r="B9818" t="s">
        <v>31039</v>
      </c>
      <c r="C9818" t="s">
        <v>31040</v>
      </c>
      <c r="D9818" t="s">
        <v>31041</v>
      </c>
      <c r="E9818" t="s">
        <v>31042</v>
      </c>
      <c r="F9818" t="s">
        <v>31043</v>
      </c>
      <c r="G9818" s="2" t="str">
        <f>HYPERLINK("https://probpalata.gov.ru/files/ЮЛ520600349400000.jpeg","Скачать индивидуальный QR-код магазина")</f>
        <v>Скачать индивидуальный QR-код магазина</v>
      </c>
    </row>
    <row r="9819" spans="1:7" x14ac:dyDescent="0.25">
      <c r="A9819" t="s">
        <v>30141</v>
      </c>
      <c r="B9819" t="s">
        <v>31044</v>
      </c>
      <c r="C9819" t="s">
        <v>31045</v>
      </c>
      <c r="D9819" t="s">
        <v>31046</v>
      </c>
      <c r="E9819" t="s">
        <v>31047</v>
      </c>
      <c r="F9819" t="s">
        <v>31048</v>
      </c>
      <c r="G9819" s="2" t="str">
        <f>HYPERLINK("https://probpalata.gov.ru/files/ЮЛ520601134000000.jpeg","Скачать индивидуальный QR-код магазина")</f>
        <v>Скачать индивидуальный QR-код магазина</v>
      </c>
    </row>
    <row r="9820" spans="1:7" x14ac:dyDescent="0.25">
      <c r="A9820" t="s">
        <v>30141</v>
      </c>
      <c r="B9820" t="s">
        <v>31049</v>
      </c>
      <c r="C9820" t="s">
        <v>31050</v>
      </c>
      <c r="D9820" t="s">
        <v>31051</v>
      </c>
      <c r="E9820" t="s">
        <v>31052</v>
      </c>
      <c r="F9820" t="s">
        <v>31053</v>
      </c>
      <c r="G9820" s="2" t="str">
        <f>HYPERLINK("https://probpalata.gov.ru/files/ЮЛ520603196200001.jpeg","Скачать индивидуальный QR-код магазина")</f>
        <v>Скачать индивидуальный QR-код магазина</v>
      </c>
    </row>
    <row r="9821" spans="1:7" x14ac:dyDescent="0.25">
      <c r="A9821" t="s">
        <v>30141</v>
      </c>
      <c r="B9821" t="s">
        <v>31054</v>
      </c>
      <c r="C9821" t="s">
        <v>31055</v>
      </c>
      <c r="D9821" t="s">
        <v>31056</v>
      </c>
      <c r="E9821" t="s">
        <v>31057</v>
      </c>
      <c r="F9821" t="s">
        <v>31058</v>
      </c>
      <c r="G9821" s="2" t="str">
        <f>HYPERLINK("https://probpalata.gov.ru/files/ЮЛ520601135500000.jpeg","Скачать индивидуальный QR-код магазина")</f>
        <v>Скачать индивидуальный QR-код магазина</v>
      </c>
    </row>
    <row r="9822" spans="1:7" x14ac:dyDescent="0.25">
      <c r="A9822" t="s">
        <v>30141</v>
      </c>
      <c r="B9822" t="s">
        <v>31059</v>
      </c>
      <c r="C9822" t="s">
        <v>31060</v>
      </c>
      <c r="D9822" t="s">
        <v>31061</v>
      </c>
      <c r="E9822" t="s">
        <v>31062</v>
      </c>
      <c r="F9822" t="s">
        <v>31063</v>
      </c>
      <c r="G9822" s="2" t="str">
        <f>HYPERLINK("https://probpalata.gov.ru/files/ЮЛ520604000100000.jpeg","Скачать индивидуальный QR-код магазина")</f>
        <v>Скачать индивидуальный QR-код магазина</v>
      </c>
    </row>
    <row r="9823" spans="1:7" x14ac:dyDescent="0.25">
      <c r="A9823" t="s">
        <v>30141</v>
      </c>
      <c r="B9823" t="s">
        <v>30995</v>
      </c>
      <c r="C9823" t="s">
        <v>31064</v>
      </c>
      <c r="D9823" t="s">
        <v>31065</v>
      </c>
      <c r="E9823" t="s">
        <v>31066</v>
      </c>
      <c r="F9823" t="s">
        <v>31067</v>
      </c>
      <c r="G9823" s="2" t="str">
        <f>HYPERLINK("https://probpalata.gov.ru/files/ЮЛ520600134700000.jpeg","Скачать индивидуальный QR-код магазина")</f>
        <v>Скачать индивидуальный QR-код магазина</v>
      </c>
    </row>
    <row r="9824" spans="1:7" x14ac:dyDescent="0.25">
      <c r="A9824" t="s">
        <v>30141</v>
      </c>
      <c r="B9824" t="s">
        <v>31010</v>
      </c>
      <c r="C9824" t="s">
        <v>31068</v>
      </c>
      <c r="D9824" t="s">
        <v>31069</v>
      </c>
      <c r="E9824" t="s">
        <v>31070</v>
      </c>
      <c r="F9824" t="s">
        <v>31071</v>
      </c>
      <c r="G9824" s="2" t="str">
        <f>HYPERLINK("https://probpalata.gov.ru/files/ИП520600283800000.jpeg","Скачать индивидуальный QR-код магазина")</f>
        <v>Скачать индивидуальный QR-код магазина</v>
      </c>
    </row>
    <row r="9825" spans="1:7" x14ac:dyDescent="0.25">
      <c r="A9825" t="s">
        <v>30141</v>
      </c>
      <c r="B9825" t="s">
        <v>31072</v>
      </c>
      <c r="C9825" t="s">
        <v>31073</v>
      </c>
      <c r="D9825" t="s">
        <v>31074</v>
      </c>
      <c r="E9825" t="s">
        <v>31075</v>
      </c>
      <c r="F9825" t="s">
        <v>31076</v>
      </c>
      <c r="G9825" s="2" t="str">
        <f>HYPERLINK("https://probpalata.gov.ru/files/ИП520601279800000.jpeg","Скачать индивидуальный QR-код магазина")</f>
        <v>Скачать индивидуальный QR-код магазина</v>
      </c>
    </row>
    <row r="9826" spans="1:7" x14ac:dyDescent="0.25">
      <c r="A9826" t="s">
        <v>30141</v>
      </c>
      <c r="B9826" t="s">
        <v>30199</v>
      </c>
      <c r="C9826" t="s">
        <v>31077</v>
      </c>
      <c r="D9826" t="s">
        <v>31078</v>
      </c>
      <c r="E9826" t="s">
        <v>31079</v>
      </c>
      <c r="F9826" t="s">
        <v>31080</v>
      </c>
      <c r="G9826" s="2" t="str">
        <f>HYPERLINK("https://probpalata.gov.ru/files/ИП520601290500000.jpeg","Скачать индивидуальный QR-код магазина")</f>
        <v>Скачать индивидуальный QR-код магазина</v>
      </c>
    </row>
    <row r="9827" spans="1:7" x14ac:dyDescent="0.25">
      <c r="A9827" t="s">
        <v>30141</v>
      </c>
      <c r="B9827" t="s">
        <v>30329</v>
      </c>
      <c r="C9827" t="s">
        <v>31077</v>
      </c>
      <c r="D9827" t="s">
        <v>31078</v>
      </c>
      <c r="E9827" t="s">
        <v>31079</v>
      </c>
      <c r="F9827" t="s">
        <v>31081</v>
      </c>
      <c r="G9827" s="2" t="str">
        <f>HYPERLINK("https://probpalata.gov.ru/files/ИП520601290500002.jpeg","Скачать индивидуальный QR-код магазина")</f>
        <v>Скачать индивидуальный QR-код магазина</v>
      </c>
    </row>
    <row r="9828" spans="1:7" x14ac:dyDescent="0.25">
      <c r="A9828" t="s">
        <v>30141</v>
      </c>
      <c r="B9828" t="s">
        <v>31082</v>
      </c>
      <c r="C9828" t="s">
        <v>31083</v>
      </c>
      <c r="D9828" t="s">
        <v>31084</v>
      </c>
      <c r="E9828" t="s">
        <v>31085</v>
      </c>
      <c r="F9828" t="s">
        <v>31086</v>
      </c>
      <c r="G9828" s="2" t="str">
        <f>HYPERLINK("https://probpalata.gov.ru/files/ИП520603120400000.jpeg","Скачать индивидуальный QR-код магазина")</f>
        <v>Скачать индивидуальный QR-код магазина</v>
      </c>
    </row>
    <row r="9829" spans="1:7" x14ac:dyDescent="0.25">
      <c r="A9829" t="s">
        <v>30141</v>
      </c>
      <c r="B9829" t="s">
        <v>31087</v>
      </c>
      <c r="C9829" t="s">
        <v>31088</v>
      </c>
      <c r="D9829" t="s">
        <v>31089</v>
      </c>
      <c r="E9829" t="s">
        <v>31090</v>
      </c>
      <c r="F9829" t="s">
        <v>31091</v>
      </c>
      <c r="G9829" s="2" t="str">
        <f>HYPERLINK("https://probpalata.gov.ru/files/ИП520600947000000.jpeg","Скачать индивидуальный QR-код магазина")</f>
        <v>Скачать индивидуальный QR-код магазина</v>
      </c>
    </row>
    <row r="9830" spans="1:7" x14ac:dyDescent="0.25">
      <c r="A9830" t="s">
        <v>30141</v>
      </c>
      <c r="B9830" t="s">
        <v>31092</v>
      </c>
      <c r="C9830" t="s">
        <v>31093</v>
      </c>
      <c r="D9830" t="s">
        <v>31094</v>
      </c>
      <c r="E9830" t="s">
        <v>31095</v>
      </c>
      <c r="F9830" t="s">
        <v>31096</v>
      </c>
      <c r="G9830" s="2" t="str">
        <f>HYPERLINK("https://probpalata.gov.ru/files/ИП520601584300000.jpeg","Скачать индивидуальный QR-код магазина")</f>
        <v>Скачать индивидуальный QR-код магазина</v>
      </c>
    </row>
    <row r="9831" spans="1:7" x14ac:dyDescent="0.25">
      <c r="A9831" t="s">
        <v>30141</v>
      </c>
      <c r="B9831" t="s">
        <v>31097</v>
      </c>
      <c r="C9831" t="s">
        <v>31098</v>
      </c>
      <c r="D9831" t="s">
        <v>31099</v>
      </c>
      <c r="E9831" t="s">
        <v>31100</v>
      </c>
      <c r="F9831" t="s">
        <v>31101</v>
      </c>
      <c r="G9831" s="2" t="str">
        <f>HYPERLINK("https://probpalata.gov.ru/files/ЮЛ520601785700000.jpeg","Скачать индивидуальный QR-код магазина")</f>
        <v>Скачать индивидуальный QR-код магазина</v>
      </c>
    </row>
    <row r="9832" spans="1:7" x14ac:dyDescent="0.25">
      <c r="A9832" t="s">
        <v>30141</v>
      </c>
      <c r="B9832" t="s">
        <v>31102</v>
      </c>
      <c r="C9832" t="s">
        <v>31103</v>
      </c>
      <c r="D9832" t="s">
        <v>31104</v>
      </c>
      <c r="E9832" t="s">
        <v>31105</v>
      </c>
      <c r="F9832" t="s">
        <v>31106</v>
      </c>
      <c r="G9832" s="2" t="str">
        <f>HYPERLINK("https://probpalata.gov.ru/files/ЮЛ520600264300000.jpeg","Скачать индивидуальный QR-код магазина")</f>
        <v>Скачать индивидуальный QR-код магазина</v>
      </c>
    </row>
    <row r="9833" spans="1:7" x14ac:dyDescent="0.25">
      <c r="A9833" t="s">
        <v>30141</v>
      </c>
      <c r="B9833" t="s">
        <v>31107</v>
      </c>
      <c r="C9833" t="s">
        <v>3116</v>
      </c>
      <c r="D9833" t="s">
        <v>3117</v>
      </c>
      <c r="E9833" t="s">
        <v>3118</v>
      </c>
      <c r="F9833" t="s">
        <v>31108</v>
      </c>
      <c r="G9833" s="2" t="str">
        <f>HYPERLINK("https://probpalata.gov.ru/files/ИП520601790200000.jpeg","Скачать индивидуальный QR-код магазина")</f>
        <v>Скачать индивидуальный QR-код магазина</v>
      </c>
    </row>
    <row r="9834" spans="1:7" x14ac:dyDescent="0.25">
      <c r="A9834" t="s">
        <v>30141</v>
      </c>
      <c r="B9834" t="s">
        <v>31109</v>
      </c>
      <c r="C9834" t="s">
        <v>3116</v>
      </c>
      <c r="D9834" t="s">
        <v>3117</v>
      </c>
      <c r="E9834" t="s">
        <v>3118</v>
      </c>
      <c r="F9834" t="s">
        <v>31110</v>
      </c>
      <c r="G9834" s="2" t="str">
        <f>HYPERLINK("https://probpalata.gov.ru/files/ИП520601790200001.jpeg","Скачать индивидуальный QR-код магазина")</f>
        <v>Скачать индивидуальный QR-код магазина</v>
      </c>
    </row>
    <row r="9835" spans="1:7" x14ac:dyDescent="0.25">
      <c r="A9835" t="s">
        <v>30141</v>
      </c>
      <c r="B9835" t="s">
        <v>31111</v>
      </c>
      <c r="C9835" t="s">
        <v>3116</v>
      </c>
      <c r="D9835" t="s">
        <v>3117</v>
      </c>
      <c r="E9835" t="s">
        <v>3118</v>
      </c>
      <c r="F9835" t="s">
        <v>31112</v>
      </c>
      <c r="G9835" s="2" t="str">
        <f>HYPERLINK("https://probpalata.gov.ru/files/ИП520601790200006.jpeg","Скачать индивидуальный QR-код магазина")</f>
        <v>Скачать индивидуальный QR-код магазина</v>
      </c>
    </row>
    <row r="9836" spans="1:7" x14ac:dyDescent="0.25">
      <c r="A9836" t="s">
        <v>30141</v>
      </c>
      <c r="B9836" t="s">
        <v>31113</v>
      </c>
      <c r="C9836" t="s">
        <v>3116</v>
      </c>
      <c r="D9836" t="s">
        <v>3117</v>
      </c>
      <c r="E9836" t="s">
        <v>3118</v>
      </c>
      <c r="F9836" t="s">
        <v>31114</v>
      </c>
      <c r="G9836" s="2" t="str">
        <f>HYPERLINK("https://probpalata.gov.ru/files/ИП520601790200007.jpeg","Скачать индивидуальный QR-код магазина")</f>
        <v>Скачать индивидуальный QR-код магазина</v>
      </c>
    </row>
    <row r="9837" spans="1:7" x14ac:dyDescent="0.25">
      <c r="A9837" t="s">
        <v>30141</v>
      </c>
      <c r="B9837" t="s">
        <v>30884</v>
      </c>
      <c r="C9837" t="s">
        <v>3116</v>
      </c>
      <c r="D9837" t="s">
        <v>3117</v>
      </c>
      <c r="E9837" t="s">
        <v>3118</v>
      </c>
      <c r="F9837" t="s">
        <v>31115</v>
      </c>
      <c r="G9837" s="2" t="str">
        <f>HYPERLINK("https://probpalata.gov.ru/files/ИП520601790200009.jpeg","Скачать индивидуальный QR-код магазина")</f>
        <v>Скачать индивидуальный QR-код магазина</v>
      </c>
    </row>
    <row r="9838" spans="1:7" x14ac:dyDescent="0.25">
      <c r="A9838" t="s">
        <v>30141</v>
      </c>
      <c r="B9838" t="s">
        <v>30329</v>
      </c>
      <c r="C9838" t="s">
        <v>3116</v>
      </c>
      <c r="D9838" t="s">
        <v>3117</v>
      </c>
      <c r="E9838" t="s">
        <v>3118</v>
      </c>
      <c r="F9838" t="s">
        <v>31116</v>
      </c>
      <c r="G9838" s="2" t="str">
        <f>HYPERLINK("https://probpalata.gov.ru/files/ИП520601790200010.jpeg","Скачать индивидуальный QR-код магазина")</f>
        <v>Скачать индивидуальный QR-код магазина</v>
      </c>
    </row>
    <row r="9839" spans="1:7" x14ac:dyDescent="0.25">
      <c r="A9839" t="s">
        <v>30141</v>
      </c>
      <c r="B9839" t="s">
        <v>31117</v>
      </c>
      <c r="C9839" t="s">
        <v>3116</v>
      </c>
      <c r="D9839" t="s">
        <v>3117</v>
      </c>
      <c r="E9839" t="s">
        <v>3118</v>
      </c>
      <c r="F9839" t="s">
        <v>31118</v>
      </c>
      <c r="G9839" s="2" t="str">
        <f>HYPERLINK("https://probpalata.gov.ru/files/ИП520601790200012.jpeg","Скачать индивидуальный QR-код магазина")</f>
        <v>Скачать индивидуальный QR-код магазина</v>
      </c>
    </row>
    <row r="9840" spans="1:7" x14ac:dyDescent="0.25">
      <c r="A9840" t="s">
        <v>30141</v>
      </c>
      <c r="B9840" t="s">
        <v>31119</v>
      </c>
      <c r="C9840" t="s">
        <v>3116</v>
      </c>
      <c r="D9840" t="s">
        <v>3117</v>
      </c>
      <c r="E9840" t="s">
        <v>3118</v>
      </c>
      <c r="F9840" t="s">
        <v>31120</v>
      </c>
      <c r="G9840" s="2" t="str">
        <f>HYPERLINK("https://probpalata.gov.ru/files/ИП520601790200013.jpeg","Скачать индивидуальный QR-код магазина")</f>
        <v>Скачать индивидуальный QR-код магазина</v>
      </c>
    </row>
    <row r="9841" spans="1:7" x14ac:dyDescent="0.25">
      <c r="A9841" t="s">
        <v>30141</v>
      </c>
      <c r="B9841" t="s">
        <v>30338</v>
      </c>
      <c r="C9841" t="s">
        <v>3116</v>
      </c>
      <c r="D9841" t="s">
        <v>3117</v>
      </c>
      <c r="E9841" t="s">
        <v>3118</v>
      </c>
      <c r="F9841" t="s">
        <v>31121</v>
      </c>
      <c r="G9841" s="2" t="str">
        <f>HYPERLINK("https://probpalata.gov.ru/files/ИП520601790200014.jpeg","Скачать индивидуальный QR-код магазина")</f>
        <v>Скачать индивидуальный QR-код магазина</v>
      </c>
    </row>
    <row r="9842" spans="1:7" x14ac:dyDescent="0.25">
      <c r="A9842" t="s">
        <v>30141</v>
      </c>
      <c r="B9842" t="s">
        <v>31122</v>
      </c>
      <c r="C9842" t="s">
        <v>3116</v>
      </c>
      <c r="D9842" t="s">
        <v>3117</v>
      </c>
      <c r="E9842" t="s">
        <v>3118</v>
      </c>
      <c r="F9842" t="s">
        <v>31123</v>
      </c>
      <c r="G9842" s="2" t="str">
        <f>HYPERLINK("https://probpalata.gov.ru/files/ИП520601790200015.jpeg","Скачать индивидуальный QR-код магазина")</f>
        <v>Скачать индивидуальный QR-код магазина</v>
      </c>
    </row>
    <row r="9843" spans="1:7" x14ac:dyDescent="0.25">
      <c r="A9843" t="s">
        <v>30141</v>
      </c>
      <c r="B9843" t="s">
        <v>31124</v>
      </c>
      <c r="C9843" t="s">
        <v>3116</v>
      </c>
      <c r="D9843" t="s">
        <v>3117</v>
      </c>
      <c r="E9843" t="s">
        <v>3118</v>
      </c>
      <c r="F9843" t="s">
        <v>31125</v>
      </c>
      <c r="G9843" s="2" t="str">
        <f>HYPERLINK("https://probpalata.gov.ru/files/ИП520601790200016.jpeg","Скачать индивидуальный QR-код магазина")</f>
        <v>Скачать индивидуальный QR-код магазина</v>
      </c>
    </row>
    <row r="9844" spans="1:7" x14ac:dyDescent="0.25">
      <c r="A9844" t="s">
        <v>30141</v>
      </c>
      <c r="B9844" t="s">
        <v>31126</v>
      </c>
      <c r="C9844" t="s">
        <v>3116</v>
      </c>
      <c r="D9844" t="s">
        <v>3117</v>
      </c>
      <c r="E9844" t="s">
        <v>3118</v>
      </c>
      <c r="F9844" t="s">
        <v>31127</v>
      </c>
      <c r="G9844" s="2" t="str">
        <f>HYPERLINK("https://probpalata.gov.ru/files/ИП520601790200018.jpeg","Скачать индивидуальный QR-код магазина")</f>
        <v>Скачать индивидуальный QR-код магазина</v>
      </c>
    </row>
    <row r="9845" spans="1:7" x14ac:dyDescent="0.25">
      <c r="A9845" t="s">
        <v>30141</v>
      </c>
      <c r="B9845" t="s">
        <v>31128</v>
      </c>
      <c r="C9845" t="s">
        <v>3116</v>
      </c>
      <c r="D9845" t="s">
        <v>3117</v>
      </c>
      <c r="E9845" t="s">
        <v>3118</v>
      </c>
      <c r="F9845" t="s">
        <v>31129</v>
      </c>
      <c r="G9845" s="2" t="str">
        <f>HYPERLINK("https://probpalata.gov.ru/files/ИП520601790200020.jpeg","Скачать индивидуальный QR-код магазина")</f>
        <v>Скачать индивидуальный QR-код магазина</v>
      </c>
    </row>
    <row r="9846" spans="1:7" x14ac:dyDescent="0.25">
      <c r="A9846" t="s">
        <v>30141</v>
      </c>
      <c r="B9846" t="s">
        <v>31082</v>
      </c>
      <c r="C9846" t="s">
        <v>3116</v>
      </c>
      <c r="D9846" t="s">
        <v>3117</v>
      </c>
      <c r="E9846" t="s">
        <v>3118</v>
      </c>
      <c r="F9846" t="s">
        <v>31130</v>
      </c>
      <c r="G9846" s="2" t="str">
        <f>HYPERLINK("https://probpalata.gov.ru/files/ИП520601790200022.jpeg","Скачать индивидуальный QR-код магазина")</f>
        <v>Скачать индивидуальный QR-код магазина</v>
      </c>
    </row>
    <row r="9847" spans="1:7" x14ac:dyDescent="0.25">
      <c r="A9847" t="s">
        <v>30141</v>
      </c>
      <c r="B9847" t="s">
        <v>31131</v>
      </c>
      <c r="C9847" t="s">
        <v>3116</v>
      </c>
      <c r="D9847" t="s">
        <v>3117</v>
      </c>
      <c r="E9847" t="s">
        <v>3118</v>
      </c>
      <c r="F9847" t="s">
        <v>31132</v>
      </c>
      <c r="G9847" s="2" t="str">
        <f>HYPERLINK("https://probpalata.gov.ru/files/ИП520601790200024.jpeg","Скачать индивидуальный QR-код магазина")</f>
        <v>Скачать индивидуальный QR-код магазина</v>
      </c>
    </row>
    <row r="9848" spans="1:7" x14ac:dyDescent="0.25">
      <c r="A9848" t="s">
        <v>30141</v>
      </c>
      <c r="B9848" t="s">
        <v>31133</v>
      </c>
      <c r="C9848" t="s">
        <v>3116</v>
      </c>
      <c r="D9848" t="s">
        <v>3117</v>
      </c>
      <c r="E9848" t="s">
        <v>3118</v>
      </c>
      <c r="F9848" t="s">
        <v>31134</v>
      </c>
      <c r="G9848" s="2" t="str">
        <f>HYPERLINK("https://probpalata.gov.ru/files/ИП520601790200027.jpeg","Скачать индивидуальный QR-код магазина")</f>
        <v>Скачать индивидуальный QR-код магазина</v>
      </c>
    </row>
    <row r="9849" spans="1:7" x14ac:dyDescent="0.25">
      <c r="A9849" t="s">
        <v>30141</v>
      </c>
      <c r="B9849" t="s">
        <v>31135</v>
      </c>
      <c r="C9849" t="s">
        <v>3116</v>
      </c>
      <c r="D9849" t="s">
        <v>3117</v>
      </c>
      <c r="E9849" t="s">
        <v>3118</v>
      </c>
      <c r="F9849" t="s">
        <v>31136</v>
      </c>
      <c r="G9849" s="2" t="str">
        <f>HYPERLINK("https://probpalata.gov.ru/files/ИП520601790200028.jpeg","Скачать индивидуальный QR-код магазина")</f>
        <v>Скачать индивидуальный QR-код магазина</v>
      </c>
    </row>
    <row r="9850" spans="1:7" x14ac:dyDescent="0.25">
      <c r="A9850" t="s">
        <v>30141</v>
      </c>
      <c r="B9850" t="s">
        <v>31031</v>
      </c>
      <c r="C9850" t="s">
        <v>3116</v>
      </c>
      <c r="D9850" t="s">
        <v>3117</v>
      </c>
      <c r="E9850" t="s">
        <v>3118</v>
      </c>
      <c r="F9850" t="s">
        <v>31137</v>
      </c>
      <c r="G9850" s="2" t="str">
        <f>HYPERLINK("https://probpalata.gov.ru/files/ИП520601790200029.jpeg","Скачать индивидуальный QR-код магазина")</f>
        <v>Скачать индивидуальный QR-код магазина</v>
      </c>
    </row>
    <row r="9851" spans="1:7" x14ac:dyDescent="0.25">
      <c r="A9851" t="s">
        <v>30141</v>
      </c>
      <c r="B9851" t="s">
        <v>31138</v>
      </c>
      <c r="C9851" t="s">
        <v>3116</v>
      </c>
      <c r="D9851" t="s">
        <v>3117</v>
      </c>
      <c r="E9851" t="s">
        <v>3118</v>
      </c>
      <c r="F9851" t="s">
        <v>31139</v>
      </c>
      <c r="G9851" s="2" t="str">
        <f>HYPERLINK("https://probpalata.gov.ru/files/ИП520601790200037.jpeg","Скачать индивидуальный QR-код магазина")</f>
        <v>Скачать индивидуальный QR-код магазина</v>
      </c>
    </row>
    <row r="9852" spans="1:7" x14ac:dyDescent="0.25">
      <c r="A9852" t="s">
        <v>30141</v>
      </c>
      <c r="B9852" t="s">
        <v>31140</v>
      </c>
      <c r="C9852" t="s">
        <v>3116</v>
      </c>
      <c r="D9852" t="s">
        <v>3117</v>
      </c>
      <c r="E9852" t="s">
        <v>3118</v>
      </c>
      <c r="F9852" t="s">
        <v>31141</v>
      </c>
      <c r="G9852" s="2" t="str">
        <f>HYPERLINK("https://probpalata.gov.ru/files/ИП520601790200038.jpeg","Скачать индивидуальный QR-код магазина")</f>
        <v>Скачать индивидуальный QR-код магазина</v>
      </c>
    </row>
    <row r="9853" spans="1:7" x14ac:dyDescent="0.25">
      <c r="A9853" t="s">
        <v>30141</v>
      </c>
      <c r="B9853" t="s">
        <v>31142</v>
      </c>
      <c r="C9853" t="s">
        <v>3116</v>
      </c>
      <c r="D9853" t="s">
        <v>3117</v>
      </c>
      <c r="E9853" t="s">
        <v>3118</v>
      </c>
      <c r="F9853" t="s">
        <v>31143</v>
      </c>
      <c r="G9853" s="2" t="str">
        <f>HYPERLINK("https://probpalata.gov.ru/files/ИП520601790200039.jpeg","Скачать индивидуальный QR-код магазина")</f>
        <v>Скачать индивидуальный QR-код магазина</v>
      </c>
    </row>
    <row r="9854" spans="1:7" x14ac:dyDescent="0.25">
      <c r="A9854" t="s">
        <v>30141</v>
      </c>
      <c r="B9854" t="s">
        <v>31144</v>
      </c>
      <c r="C9854" t="s">
        <v>3116</v>
      </c>
      <c r="D9854" t="s">
        <v>3117</v>
      </c>
      <c r="E9854" t="s">
        <v>3118</v>
      </c>
      <c r="F9854" t="s">
        <v>31145</v>
      </c>
      <c r="G9854" s="2" t="str">
        <f>HYPERLINK("https://probpalata.gov.ru/files/ИП520601790200042.jpeg","Скачать индивидуальный QR-код магазина")</f>
        <v>Скачать индивидуальный QR-код магазина</v>
      </c>
    </row>
    <row r="9855" spans="1:7" x14ac:dyDescent="0.25">
      <c r="A9855" t="s">
        <v>30141</v>
      </c>
      <c r="B9855" t="s">
        <v>31146</v>
      </c>
      <c r="C9855" t="s">
        <v>3116</v>
      </c>
      <c r="D9855" t="s">
        <v>3117</v>
      </c>
      <c r="E9855" t="s">
        <v>3118</v>
      </c>
      <c r="F9855" t="s">
        <v>31147</v>
      </c>
      <c r="G9855" s="2" t="str">
        <f>HYPERLINK("https://probpalata.gov.ru/files/ИП520601790200047.jpeg","Скачать индивидуальный QR-код магазина")</f>
        <v>Скачать индивидуальный QR-код магазина</v>
      </c>
    </row>
    <row r="9856" spans="1:7" x14ac:dyDescent="0.25">
      <c r="A9856" t="s">
        <v>30141</v>
      </c>
      <c r="B9856" t="s">
        <v>31148</v>
      </c>
      <c r="C9856" t="s">
        <v>3116</v>
      </c>
      <c r="D9856" t="s">
        <v>3117</v>
      </c>
      <c r="E9856" t="s">
        <v>3118</v>
      </c>
      <c r="F9856" t="s">
        <v>31149</v>
      </c>
      <c r="G9856" s="2" t="str">
        <f>HYPERLINK("https://probpalata.gov.ru/files/ИП520601790200052.jpeg","Скачать индивидуальный QR-код магазина")</f>
        <v>Скачать индивидуальный QR-код магазина</v>
      </c>
    </row>
    <row r="9857" spans="1:7" x14ac:dyDescent="0.25">
      <c r="A9857" t="s">
        <v>30141</v>
      </c>
      <c r="B9857" t="s">
        <v>31150</v>
      </c>
      <c r="C9857" t="s">
        <v>3116</v>
      </c>
      <c r="D9857" t="s">
        <v>3117</v>
      </c>
      <c r="E9857" t="s">
        <v>3118</v>
      </c>
      <c r="F9857" t="s">
        <v>31151</v>
      </c>
      <c r="G9857" s="2" t="str">
        <f>HYPERLINK("https://probpalata.gov.ru/files/ИП520601790200053.jpeg","Скачать индивидуальный QR-код магазина")</f>
        <v>Скачать индивидуальный QR-код магазина</v>
      </c>
    </row>
    <row r="9858" spans="1:7" x14ac:dyDescent="0.25">
      <c r="A9858" t="s">
        <v>30141</v>
      </c>
      <c r="B9858" t="s">
        <v>31152</v>
      </c>
      <c r="C9858" t="s">
        <v>3116</v>
      </c>
      <c r="D9858" t="s">
        <v>3117</v>
      </c>
      <c r="E9858" t="s">
        <v>3118</v>
      </c>
      <c r="F9858" t="s">
        <v>31153</v>
      </c>
      <c r="G9858" s="2" t="str">
        <f>HYPERLINK("https://probpalata.gov.ru/files/ИП520601790200055.jpeg","Скачать индивидуальный QR-код магазина")</f>
        <v>Скачать индивидуальный QR-код магазина</v>
      </c>
    </row>
    <row r="9859" spans="1:7" x14ac:dyDescent="0.25">
      <c r="A9859" t="s">
        <v>30141</v>
      </c>
      <c r="B9859" t="s">
        <v>31154</v>
      </c>
      <c r="C9859" t="s">
        <v>3116</v>
      </c>
      <c r="D9859" t="s">
        <v>3117</v>
      </c>
      <c r="E9859" t="s">
        <v>3118</v>
      </c>
      <c r="F9859" t="s">
        <v>31155</v>
      </c>
      <c r="G9859" s="2" t="str">
        <f>HYPERLINK("https://probpalata.gov.ru/files/ИП520601790200060.jpeg","Скачать индивидуальный QR-код магазина")</f>
        <v>Скачать индивидуальный QR-код магазина</v>
      </c>
    </row>
    <row r="9860" spans="1:7" x14ac:dyDescent="0.25">
      <c r="A9860" t="s">
        <v>30141</v>
      </c>
      <c r="B9860" t="s">
        <v>31156</v>
      </c>
      <c r="C9860" t="s">
        <v>31157</v>
      </c>
      <c r="D9860" t="s">
        <v>31158</v>
      </c>
      <c r="E9860" t="s">
        <v>31159</v>
      </c>
      <c r="F9860" t="s">
        <v>31160</v>
      </c>
      <c r="G9860" s="2" t="str">
        <f>HYPERLINK("https://probpalata.gov.ru/files/ИП520600890100000.jpeg","Скачать индивидуальный QR-код магазина")</f>
        <v>Скачать индивидуальный QR-код магазина</v>
      </c>
    </row>
    <row r="9861" spans="1:7" x14ac:dyDescent="0.25">
      <c r="A9861" t="s">
        <v>30141</v>
      </c>
      <c r="B9861" t="s">
        <v>31161</v>
      </c>
      <c r="C9861" t="s">
        <v>31157</v>
      </c>
      <c r="D9861" t="s">
        <v>31158</v>
      </c>
      <c r="E9861" t="s">
        <v>31159</v>
      </c>
      <c r="F9861" t="s">
        <v>31162</v>
      </c>
      <c r="G9861" s="2" t="str">
        <f>HYPERLINK("https://probpalata.gov.ru/files/ИП520600890100004.jpeg","Скачать индивидуальный QR-код магазина")</f>
        <v>Скачать индивидуальный QR-код магазина</v>
      </c>
    </row>
    <row r="9862" spans="1:7" x14ac:dyDescent="0.25">
      <c r="A9862" t="s">
        <v>30141</v>
      </c>
      <c r="B9862" t="s">
        <v>31163</v>
      </c>
      <c r="C9862" t="s">
        <v>31164</v>
      </c>
      <c r="D9862" t="s">
        <v>31165</v>
      </c>
      <c r="E9862" t="s">
        <v>31166</v>
      </c>
      <c r="F9862" t="s">
        <v>31167</v>
      </c>
      <c r="G9862" s="2" t="str">
        <f>HYPERLINK("https://probpalata.gov.ru/files/ИП520600133400000.jpeg","Скачать индивидуальный QR-код магазина")</f>
        <v>Скачать индивидуальный QR-код магазина</v>
      </c>
    </row>
    <row r="9863" spans="1:7" x14ac:dyDescent="0.25">
      <c r="A9863" t="s">
        <v>30141</v>
      </c>
      <c r="B9863" t="s">
        <v>31168</v>
      </c>
      <c r="C9863" t="s">
        <v>31164</v>
      </c>
      <c r="D9863" t="s">
        <v>31165</v>
      </c>
      <c r="E9863" t="s">
        <v>31166</v>
      </c>
      <c r="F9863" t="s">
        <v>31169</v>
      </c>
      <c r="G9863" s="2" t="str">
        <f>HYPERLINK("https://probpalata.gov.ru/files/ИП520600133400004.jpeg","Скачать индивидуальный QR-код магазина")</f>
        <v>Скачать индивидуальный QR-код магазина</v>
      </c>
    </row>
    <row r="9864" spans="1:7" x14ac:dyDescent="0.25">
      <c r="A9864" t="s">
        <v>30141</v>
      </c>
      <c r="B9864" t="s">
        <v>31170</v>
      </c>
      <c r="C9864" t="s">
        <v>31171</v>
      </c>
      <c r="D9864" t="s">
        <v>31172</v>
      </c>
      <c r="E9864" t="s">
        <v>31173</v>
      </c>
      <c r="F9864" t="s">
        <v>31174</v>
      </c>
      <c r="G9864" s="2" t="str">
        <f>HYPERLINK("https://probpalata.gov.ru/files/ИП520601627100005.jpeg","Скачать индивидуальный QR-код магазина")</f>
        <v>Скачать индивидуальный QR-код магазина</v>
      </c>
    </row>
    <row r="9865" spans="1:7" x14ac:dyDescent="0.25">
      <c r="A9865" t="s">
        <v>30141</v>
      </c>
      <c r="B9865" t="s">
        <v>31175</v>
      </c>
      <c r="C9865" t="s">
        <v>31176</v>
      </c>
      <c r="D9865" t="s">
        <v>31177</v>
      </c>
      <c r="E9865" t="s">
        <v>31178</v>
      </c>
      <c r="F9865" t="s">
        <v>31179</v>
      </c>
      <c r="G9865" s="2" t="str">
        <f>HYPERLINK("https://probpalata.gov.ru/files/ИП520603705900000.jpeg","Скачать индивидуальный QR-код магазина")</f>
        <v>Скачать индивидуальный QR-код магазина</v>
      </c>
    </row>
    <row r="9866" spans="1:7" x14ac:dyDescent="0.25">
      <c r="A9866" t="s">
        <v>30141</v>
      </c>
      <c r="B9866" t="s">
        <v>31180</v>
      </c>
      <c r="C9866" t="s">
        <v>31181</v>
      </c>
      <c r="D9866" t="s">
        <v>31182</v>
      </c>
      <c r="E9866" t="s">
        <v>31183</v>
      </c>
      <c r="F9866" t="s">
        <v>31184</v>
      </c>
      <c r="G9866" s="2" t="str">
        <f>HYPERLINK("https://probpalata.gov.ru/files/ИП520600435600000.jpeg","Скачать индивидуальный QR-код магазина")</f>
        <v>Скачать индивидуальный QR-код магазина</v>
      </c>
    </row>
    <row r="9867" spans="1:7" x14ac:dyDescent="0.25">
      <c r="A9867" t="s">
        <v>30141</v>
      </c>
      <c r="B9867" t="s">
        <v>31185</v>
      </c>
      <c r="C9867" t="s">
        <v>31186</v>
      </c>
      <c r="D9867" t="s">
        <v>31187</v>
      </c>
      <c r="E9867" t="s">
        <v>31188</v>
      </c>
      <c r="F9867" t="s">
        <v>31189</v>
      </c>
      <c r="G9867" s="2" t="str">
        <f>HYPERLINK("https://probpalata.gov.ru/files/ЮЛ520603201900000.jpeg","Скачать индивидуальный QR-код магазина")</f>
        <v>Скачать индивидуальный QR-код магазина</v>
      </c>
    </row>
    <row r="9868" spans="1:7" x14ac:dyDescent="0.25">
      <c r="A9868" t="s">
        <v>30141</v>
      </c>
      <c r="B9868" t="s">
        <v>31190</v>
      </c>
      <c r="C9868" t="s">
        <v>31191</v>
      </c>
      <c r="D9868" t="s">
        <v>31192</v>
      </c>
      <c r="E9868" t="s">
        <v>31193</v>
      </c>
      <c r="F9868" t="s">
        <v>31194</v>
      </c>
      <c r="G9868" s="2" t="str">
        <f>HYPERLINK("https://probpalata.gov.ru/files/ИП520603120300000.jpeg","Скачать индивидуальный QR-код магазина")</f>
        <v>Скачать индивидуальный QR-код магазина</v>
      </c>
    </row>
    <row r="9869" spans="1:7" x14ac:dyDescent="0.25">
      <c r="A9869" t="s">
        <v>30141</v>
      </c>
      <c r="B9869" t="s">
        <v>31195</v>
      </c>
      <c r="C9869" t="s">
        <v>31196</v>
      </c>
      <c r="D9869" t="s">
        <v>31197</v>
      </c>
      <c r="E9869" t="s">
        <v>31198</v>
      </c>
      <c r="F9869" t="s">
        <v>31199</v>
      </c>
      <c r="G9869" s="2" t="str">
        <f>HYPERLINK("https://probpalata.gov.ru/files/ИП520600327900001.jpeg","Скачать индивидуальный QR-код магазина")</f>
        <v>Скачать индивидуальный QR-код магазина</v>
      </c>
    </row>
    <row r="9870" spans="1:7" x14ac:dyDescent="0.25">
      <c r="A9870" t="s">
        <v>30141</v>
      </c>
      <c r="B9870" t="s">
        <v>31200</v>
      </c>
      <c r="C9870" t="s">
        <v>31196</v>
      </c>
      <c r="D9870" t="s">
        <v>31197</v>
      </c>
      <c r="E9870" t="s">
        <v>31198</v>
      </c>
      <c r="F9870" t="s">
        <v>31201</v>
      </c>
      <c r="G9870" s="2" t="str">
        <f>HYPERLINK("https://probpalata.gov.ru/files/ИП520600327900003.jpeg","Скачать индивидуальный QR-код магазина")</f>
        <v>Скачать индивидуальный QR-код магазина</v>
      </c>
    </row>
    <row r="9871" spans="1:7" x14ac:dyDescent="0.25">
      <c r="A9871" t="s">
        <v>30141</v>
      </c>
      <c r="B9871" t="s">
        <v>31202</v>
      </c>
      <c r="C9871" t="s">
        <v>31196</v>
      </c>
      <c r="D9871" t="s">
        <v>31197</v>
      </c>
      <c r="E9871" t="s">
        <v>31198</v>
      </c>
      <c r="F9871" t="s">
        <v>31203</v>
      </c>
      <c r="G9871" s="2" t="str">
        <f>HYPERLINK("https://probpalata.gov.ru/files/ИП520600327900004.jpeg","Скачать индивидуальный QR-код магазина")</f>
        <v>Скачать индивидуальный QR-код магазина</v>
      </c>
    </row>
    <row r="9872" spans="1:7" x14ac:dyDescent="0.25">
      <c r="A9872" t="s">
        <v>30141</v>
      </c>
      <c r="B9872" t="s">
        <v>31204</v>
      </c>
      <c r="C9872" t="s">
        <v>31196</v>
      </c>
      <c r="D9872" t="s">
        <v>31197</v>
      </c>
      <c r="E9872" t="s">
        <v>31198</v>
      </c>
      <c r="F9872" t="s">
        <v>31205</v>
      </c>
      <c r="G9872" s="2" t="str">
        <f>HYPERLINK("https://probpalata.gov.ru/files/ИП520600327900005.jpeg","Скачать индивидуальный QR-код магазина")</f>
        <v>Скачать индивидуальный QR-код магазина</v>
      </c>
    </row>
    <row r="9873" spans="1:7" x14ac:dyDescent="0.25">
      <c r="A9873" t="s">
        <v>30141</v>
      </c>
      <c r="B9873" t="s">
        <v>31206</v>
      </c>
      <c r="C9873" t="s">
        <v>31207</v>
      </c>
      <c r="D9873" t="s">
        <v>31208</v>
      </c>
      <c r="E9873" t="s">
        <v>31209</v>
      </c>
      <c r="F9873" t="s">
        <v>31210</v>
      </c>
      <c r="G9873" s="2" t="str">
        <f>HYPERLINK("https://probpalata.gov.ru/files/ИП520601966900000.jpeg","Скачать индивидуальный QR-код магазина")</f>
        <v>Скачать индивидуальный QR-код магазина</v>
      </c>
    </row>
    <row r="9874" spans="1:7" x14ac:dyDescent="0.25">
      <c r="A9874" t="s">
        <v>30141</v>
      </c>
      <c r="B9874" t="s">
        <v>31211</v>
      </c>
      <c r="C9874" t="s">
        <v>31207</v>
      </c>
      <c r="D9874" t="s">
        <v>31208</v>
      </c>
      <c r="E9874" t="s">
        <v>31209</v>
      </c>
      <c r="F9874" t="s">
        <v>31212</v>
      </c>
      <c r="G9874" s="2" t="str">
        <f>HYPERLINK("https://probpalata.gov.ru/files/ИП520601966900003.jpeg","Скачать индивидуальный QR-код магазина")</f>
        <v>Скачать индивидуальный QR-код магазина</v>
      </c>
    </row>
    <row r="9875" spans="1:7" x14ac:dyDescent="0.25">
      <c r="A9875" t="s">
        <v>30141</v>
      </c>
      <c r="B9875" t="s">
        <v>31213</v>
      </c>
      <c r="C9875" t="s">
        <v>31214</v>
      </c>
      <c r="D9875" t="s">
        <v>31215</v>
      </c>
      <c r="E9875" t="s">
        <v>31216</v>
      </c>
      <c r="F9875" t="s">
        <v>31217</v>
      </c>
      <c r="G9875" s="2" t="str">
        <f>HYPERLINK("https://probpalata.gov.ru/files/ЮЛ520601039600000.jpeg","Скачать индивидуальный QR-код магазина")</f>
        <v>Скачать индивидуальный QR-код магазина</v>
      </c>
    </row>
    <row r="9876" spans="1:7" x14ac:dyDescent="0.25">
      <c r="A9876" t="s">
        <v>30141</v>
      </c>
      <c r="B9876" t="s">
        <v>31218</v>
      </c>
      <c r="C9876" t="s">
        <v>31214</v>
      </c>
      <c r="D9876" t="s">
        <v>31215</v>
      </c>
      <c r="E9876" t="s">
        <v>31216</v>
      </c>
      <c r="F9876" t="s">
        <v>31219</v>
      </c>
      <c r="G9876" s="2" t="str">
        <f>HYPERLINK("https://probpalata.gov.ru/files/ЮЛ520601039600001.jpeg","Скачать индивидуальный QR-код магазина")</f>
        <v>Скачать индивидуальный QR-код магазина</v>
      </c>
    </row>
    <row r="9877" spans="1:7" x14ac:dyDescent="0.25">
      <c r="A9877" t="s">
        <v>30141</v>
      </c>
      <c r="B9877" t="s">
        <v>31220</v>
      </c>
      <c r="C9877" t="s">
        <v>31214</v>
      </c>
      <c r="D9877" t="s">
        <v>31215</v>
      </c>
      <c r="E9877" t="s">
        <v>31216</v>
      </c>
      <c r="F9877" t="s">
        <v>31221</v>
      </c>
      <c r="G9877" s="2" t="str">
        <f>HYPERLINK("https://probpalata.gov.ru/files/ЮЛ520601039600002.jpeg","Скачать индивидуальный QR-код магазина")</f>
        <v>Скачать индивидуальный QR-код магазина</v>
      </c>
    </row>
    <row r="9878" spans="1:7" x14ac:dyDescent="0.25">
      <c r="A9878" t="s">
        <v>30141</v>
      </c>
      <c r="B9878" t="s">
        <v>31222</v>
      </c>
      <c r="C9878" t="s">
        <v>31214</v>
      </c>
      <c r="D9878" t="s">
        <v>31215</v>
      </c>
      <c r="E9878" t="s">
        <v>31216</v>
      </c>
      <c r="F9878" t="s">
        <v>31223</v>
      </c>
      <c r="G9878" s="2" t="str">
        <f>HYPERLINK("https://probpalata.gov.ru/files/ЮЛ520601039600003.jpeg","Скачать индивидуальный QR-код магазина")</f>
        <v>Скачать индивидуальный QR-код магазина</v>
      </c>
    </row>
    <row r="9879" spans="1:7" x14ac:dyDescent="0.25">
      <c r="A9879" t="s">
        <v>30141</v>
      </c>
      <c r="B9879" t="s">
        <v>31224</v>
      </c>
      <c r="C9879" t="s">
        <v>31214</v>
      </c>
      <c r="D9879" t="s">
        <v>31215</v>
      </c>
      <c r="E9879" t="s">
        <v>31216</v>
      </c>
      <c r="F9879" t="s">
        <v>31225</v>
      </c>
      <c r="G9879" s="2" t="str">
        <f>HYPERLINK("https://probpalata.gov.ru/files/ЮЛ520601039600004.jpeg","Скачать индивидуальный QR-код магазина")</f>
        <v>Скачать индивидуальный QR-код магазина</v>
      </c>
    </row>
    <row r="9880" spans="1:7" x14ac:dyDescent="0.25">
      <c r="A9880" t="s">
        <v>30141</v>
      </c>
      <c r="B9880" t="s">
        <v>31226</v>
      </c>
      <c r="C9880" t="s">
        <v>31214</v>
      </c>
      <c r="D9880" t="s">
        <v>31215</v>
      </c>
      <c r="E9880" t="s">
        <v>31216</v>
      </c>
      <c r="F9880" t="s">
        <v>31227</v>
      </c>
      <c r="G9880" s="2" t="str">
        <f>HYPERLINK("https://probpalata.gov.ru/files/ЮЛ520601039600005.jpeg","Скачать индивидуальный QR-код магазина")</f>
        <v>Скачать индивидуальный QR-код магазина</v>
      </c>
    </row>
    <row r="9881" spans="1:7" x14ac:dyDescent="0.25">
      <c r="A9881" t="s">
        <v>30141</v>
      </c>
      <c r="B9881" t="s">
        <v>31228</v>
      </c>
      <c r="C9881" t="s">
        <v>31229</v>
      </c>
      <c r="D9881" t="s">
        <v>31230</v>
      </c>
      <c r="E9881" t="s">
        <v>31231</v>
      </c>
      <c r="F9881" t="s">
        <v>31232</v>
      </c>
      <c r="G9881" s="2" t="str">
        <f>HYPERLINK("https://probpalata.gov.ru/files/ИП520600333100000.jpeg","Скачать индивидуальный QR-код магазина")</f>
        <v>Скачать индивидуальный QR-код магазина</v>
      </c>
    </row>
    <row r="9882" spans="1:7" x14ac:dyDescent="0.25">
      <c r="A9882" t="s">
        <v>30141</v>
      </c>
      <c r="B9882" t="s">
        <v>31233</v>
      </c>
      <c r="C9882" t="s">
        <v>31234</v>
      </c>
      <c r="D9882" t="s">
        <v>31235</v>
      </c>
      <c r="E9882" t="s">
        <v>31236</v>
      </c>
      <c r="F9882" t="s">
        <v>31237</v>
      </c>
      <c r="G9882" s="2" t="str">
        <f>HYPERLINK("https://probpalata.gov.ru/files/ИП770103938100000.jpeg","Скачать индивидуальный QR-код магазина")</f>
        <v>Скачать индивидуальный QR-код магазина</v>
      </c>
    </row>
    <row r="9883" spans="1:7" x14ac:dyDescent="0.25">
      <c r="A9883" t="s">
        <v>30141</v>
      </c>
      <c r="B9883" t="s">
        <v>31238</v>
      </c>
      <c r="C9883" t="s">
        <v>31234</v>
      </c>
      <c r="D9883" t="s">
        <v>31235</v>
      </c>
      <c r="E9883" t="s">
        <v>31236</v>
      </c>
      <c r="F9883" t="s">
        <v>31239</v>
      </c>
      <c r="G9883" s="2" t="str">
        <f>HYPERLINK("https://probpalata.gov.ru/files/ИП770103938100001.jpeg","Скачать индивидуальный QR-код магазина")</f>
        <v>Скачать индивидуальный QR-код магазина</v>
      </c>
    </row>
    <row r="9884" spans="1:7" x14ac:dyDescent="0.25">
      <c r="A9884" t="s">
        <v>30141</v>
      </c>
      <c r="B9884" t="s">
        <v>31240</v>
      </c>
      <c r="C9884" t="s">
        <v>14805</v>
      </c>
      <c r="D9884" t="s">
        <v>14806</v>
      </c>
      <c r="E9884" t="s">
        <v>14807</v>
      </c>
      <c r="F9884" t="s">
        <v>31241</v>
      </c>
      <c r="G9884" s="2" t="str">
        <f>HYPERLINK("https://probpalata.gov.ru/files/ИП770100890900000.jpeg","Скачать индивидуальный QR-код магазина")</f>
        <v>Скачать индивидуальный QR-код магазина</v>
      </c>
    </row>
    <row r="9885" spans="1:7" x14ac:dyDescent="0.25">
      <c r="A9885" t="s">
        <v>30141</v>
      </c>
      <c r="B9885" t="s">
        <v>31242</v>
      </c>
      <c r="C9885" t="s">
        <v>14805</v>
      </c>
      <c r="D9885" t="s">
        <v>14806</v>
      </c>
      <c r="E9885" t="s">
        <v>14807</v>
      </c>
      <c r="F9885" t="s">
        <v>31243</v>
      </c>
      <c r="G9885" s="2" t="str">
        <f>HYPERLINK("https://probpalata.gov.ru/files/ИП770100890900001.jpeg","Скачать индивидуальный QR-код магазина")</f>
        <v>Скачать индивидуальный QR-код магазина</v>
      </c>
    </row>
    <row r="9886" spans="1:7" x14ac:dyDescent="0.25">
      <c r="A9886" t="s">
        <v>30141</v>
      </c>
      <c r="B9886" t="s">
        <v>31244</v>
      </c>
      <c r="C9886" t="s">
        <v>14805</v>
      </c>
      <c r="D9886" t="s">
        <v>14806</v>
      </c>
      <c r="E9886" t="s">
        <v>14807</v>
      </c>
      <c r="F9886" t="s">
        <v>31245</v>
      </c>
      <c r="G9886" s="2" t="str">
        <f>HYPERLINK("https://probpalata.gov.ru/files/ИП770100890900002.jpeg","Скачать индивидуальный QR-код магазина")</f>
        <v>Скачать индивидуальный QR-код магазина</v>
      </c>
    </row>
    <row r="9887" spans="1:7" x14ac:dyDescent="0.25">
      <c r="A9887" t="s">
        <v>30141</v>
      </c>
      <c r="B9887" t="s">
        <v>31246</v>
      </c>
      <c r="C9887" t="s">
        <v>14805</v>
      </c>
      <c r="D9887" t="s">
        <v>14806</v>
      </c>
      <c r="E9887" t="s">
        <v>14807</v>
      </c>
      <c r="F9887" t="s">
        <v>31247</v>
      </c>
      <c r="G9887" s="2" t="str">
        <f>HYPERLINK("https://probpalata.gov.ru/files/ИП770100890900003.jpeg","Скачать индивидуальный QR-код магазина")</f>
        <v>Скачать индивидуальный QR-код магазина</v>
      </c>
    </row>
    <row r="9888" spans="1:7" x14ac:dyDescent="0.25">
      <c r="A9888" t="s">
        <v>30141</v>
      </c>
      <c r="B9888" t="s">
        <v>31248</v>
      </c>
      <c r="C9888" t="s">
        <v>14805</v>
      </c>
      <c r="D9888" t="s">
        <v>14806</v>
      </c>
      <c r="E9888" t="s">
        <v>14807</v>
      </c>
      <c r="F9888" t="s">
        <v>31249</v>
      </c>
      <c r="G9888" s="2" t="str">
        <f>HYPERLINK("https://probpalata.gov.ru/files/ИП770100890900005.jpeg","Скачать индивидуальный QR-код магазина")</f>
        <v>Скачать индивидуальный QR-код магазина</v>
      </c>
    </row>
    <row r="9889" spans="1:7" x14ac:dyDescent="0.25">
      <c r="A9889" t="s">
        <v>30141</v>
      </c>
      <c r="B9889" t="s">
        <v>31250</v>
      </c>
      <c r="C9889" t="s">
        <v>14805</v>
      </c>
      <c r="D9889" t="s">
        <v>14806</v>
      </c>
      <c r="E9889" t="s">
        <v>14807</v>
      </c>
      <c r="F9889" t="s">
        <v>31251</v>
      </c>
      <c r="G9889" s="2" t="str">
        <f>HYPERLINK("https://probpalata.gov.ru/files/ИП770100890900006.jpeg","Скачать индивидуальный QR-код магазина")</f>
        <v>Скачать индивидуальный QR-код магазина</v>
      </c>
    </row>
    <row r="9890" spans="1:7" x14ac:dyDescent="0.25">
      <c r="A9890" t="s">
        <v>30141</v>
      </c>
      <c r="B9890" t="s">
        <v>31252</v>
      </c>
      <c r="C9890" t="s">
        <v>14805</v>
      </c>
      <c r="D9890" t="s">
        <v>14806</v>
      </c>
      <c r="E9890" t="s">
        <v>14807</v>
      </c>
      <c r="F9890" t="s">
        <v>31253</v>
      </c>
      <c r="G9890" s="2" t="str">
        <f>HYPERLINK("https://probpalata.gov.ru/files/ИП770100890900007.jpeg","Скачать индивидуальный QR-код магазина")</f>
        <v>Скачать индивидуальный QR-код магазина</v>
      </c>
    </row>
    <row r="9891" spans="1:7" x14ac:dyDescent="0.25">
      <c r="A9891" t="s">
        <v>30141</v>
      </c>
      <c r="B9891" t="s">
        <v>31254</v>
      </c>
      <c r="C9891" t="s">
        <v>14805</v>
      </c>
      <c r="D9891" t="s">
        <v>14806</v>
      </c>
      <c r="E9891" t="s">
        <v>14807</v>
      </c>
      <c r="F9891" t="s">
        <v>31255</v>
      </c>
      <c r="G9891" s="2" t="str">
        <f>HYPERLINK("https://probpalata.gov.ru/files/ИП770100890900008.jpeg","Скачать индивидуальный QR-код магазина")</f>
        <v>Скачать индивидуальный QR-код магазина</v>
      </c>
    </row>
    <row r="9892" spans="1:7" x14ac:dyDescent="0.25">
      <c r="A9892" t="s">
        <v>30141</v>
      </c>
      <c r="B9892" t="s">
        <v>31256</v>
      </c>
      <c r="C9892" t="s">
        <v>14805</v>
      </c>
      <c r="D9892" t="s">
        <v>14806</v>
      </c>
      <c r="E9892" t="s">
        <v>14807</v>
      </c>
      <c r="F9892" t="s">
        <v>31257</v>
      </c>
      <c r="G9892" s="2" t="str">
        <f>HYPERLINK("https://probpalata.gov.ru/files/ИП770100890900009.jpeg","Скачать индивидуальный QR-код магазина")</f>
        <v>Скачать индивидуальный QR-код магазина</v>
      </c>
    </row>
    <row r="9893" spans="1:7" x14ac:dyDescent="0.25">
      <c r="A9893" t="s">
        <v>30141</v>
      </c>
      <c r="B9893" t="s">
        <v>31258</v>
      </c>
      <c r="C9893" t="s">
        <v>14805</v>
      </c>
      <c r="D9893" t="s">
        <v>14806</v>
      </c>
      <c r="E9893" t="s">
        <v>14807</v>
      </c>
      <c r="F9893" t="s">
        <v>31259</v>
      </c>
      <c r="G9893" s="2" t="str">
        <f>HYPERLINK("https://probpalata.gov.ru/files/ИП770100890900010.jpeg","Скачать индивидуальный QR-код магазина")</f>
        <v>Скачать индивидуальный QR-код магазина</v>
      </c>
    </row>
    <row r="9894" spans="1:7" x14ac:dyDescent="0.25">
      <c r="A9894" t="s">
        <v>30141</v>
      </c>
      <c r="B9894" t="s">
        <v>31138</v>
      </c>
      <c r="C9894" t="s">
        <v>14805</v>
      </c>
      <c r="D9894" t="s">
        <v>14806</v>
      </c>
      <c r="E9894" t="s">
        <v>14807</v>
      </c>
      <c r="F9894" t="s">
        <v>31260</v>
      </c>
      <c r="G9894" s="2" t="str">
        <f>HYPERLINK("https://probpalata.gov.ru/files/ИП770100890900013.jpeg","Скачать индивидуальный QR-код магазина")</f>
        <v>Скачать индивидуальный QR-код магазина</v>
      </c>
    </row>
    <row r="9895" spans="1:7" x14ac:dyDescent="0.25">
      <c r="A9895" t="s">
        <v>30141</v>
      </c>
      <c r="B9895" t="s">
        <v>31261</v>
      </c>
      <c r="C9895" t="s">
        <v>14805</v>
      </c>
      <c r="D9895" t="s">
        <v>14806</v>
      </c>
      <c r="E9895" t="s">
        <v>14807</v>
      </c>
      <c r="F9895" t="s">
        <v>31262</v>
      </c>
      <c r="G9895" s="2" t="str">
        <f>HYPERLINK("https://probpalata.gov.ru/files/ИП770100890900014.jpeg","Скачать индивидуальный QR-код магазина")</f>
        <v>Скачать индивидуальный QR-код магазина</v>
      </c>
    </row>
    <row r="9896" spans="1:7" x14ac:dyDescent="0.25">
      <c r="A9896" t="s">
        <v>30141</v>
      </c>
      <c r="B9896" t="s">
        <v>31263</v>
      </c>
      <c r="C9896" t="s">
        <v>14805</v>
      </c>
      <c r="D9896" t="s">
        <v>14806</v>
      </c>
      <c r="E9896" t="s">
        <v>14807</v>
      </c>
      <c r="F9896" t="s">
        <v>31264</v>
      </c>
      <c r="G9896" s="2" t="str">
        <f>HYPERLINK("https://probpalata.gov.ru/files/ИП770100890900016.jpeg","Скачать индивидуальный QR-код магазина")</f>
        <v>Скачать индивидуальный QR-код магазина</v>
      </c>
    </row>
    <row r="9897" spans="1:7" x14ac:dyDescent="0.25">
      <c r="A9897" t="s">
        <v>30141</v>
      </c>
      <c r="B9897" t="s">
        <v>31265</v>
      </c>
      <c r="C9897" t="s">
        <v>14805</v>
      </c>
      <c r="D9897" t="s">
        <v>14806</v>
      </c>
      <c r="E9897" t="s">
        <v>14807</v>
      </c>
      <c r="F9897" t="s">
        <v>31266</v>
      </c>
      <c r="G9897" s="2" t="str">
        <f>HYPERLINK("https://probpalata.gov.ru/files/ИП770100890900017.jpeg","Скачать индивидуальный QR-код магазина")</f>
        <v>Скачать индивидуальный QR-код магазина</v>
      </c>
    </row>
    <row r="9898" spans="1:7" x14ac:dyDescent="0.25">
      <c r="A9898" t="s">
        <v>30141</v>
      </c>
      <c r="B9898" t="s">
        <v>31267</v>
      </c>
      <c r="C9898" t="s">
        <v>14805</v>
      </c>
      <c r="D9898" t="s">
        <v>14806</v>
      </c>
      <c r="E9898" t="s">
        <v>14807</v>
      </c>
      <c r="F9898" t="s">
        <v>31268</v>
      </c>
      <c r="G9898" s="2" t="str">
        <f>HYPERLINK("https://probpalata.gov.ru/files/ИП770100890900018.jpeg","Скачать индивидуальный QR-код магазина")</f>
        <v>Скачать индивидуальный QR-код магазина</v>
      </c>
    </row>
    <row r="9899" spans="1:7" x14ac:dyDescent="0.25">
      <c r="A9899" t="s">
        <v>30141</v>
      </c>
      <c r="B9899" t="s">
        <v>31269</v>
      </c>
      <c r="C9899" t="s">
        <v>14805</v>
      </c>
      <c r="D9899" t="s">
        <v>14806</v>
      </c>
      <c r="E9899" t="s">
        <v>14807</v>
      </c>
      <c r="F9899" t="s">
        <v>31270</v>
      </c>
      <c r="G9899" s="2" t="str">
        <f>HYPERLINK("https://probpalata.gov.ru/files/ИП770100890900019.jpeg","Скачать индивидуальный QR-код магазина")</f>
        <v>Скачать индивидуальный QR-код магазина</v>
      </c>
    </row>
    <row r="9900" spans="1:7" x14ac:dyDescent="0.25">
      <c r="A9900" t="s">
        <v>30141</v>
      </c>
      <c r="B9900" t="s">
        <v>31271</v>
      </c>
      <c r="C9900" t="s">
        <v>14805</v>
      </c>
      <c r="D9900" t="s">
        <v>14806</v>
      </c>
      <c r="E9900" t="s">
        <v>14807</v>
      </c>
      <c r="F9900" t="s">
        <v>31272</v>
      </c>
      <c r="G9900" s="2" t="str">
        <f>HYPERLINK("https://probpalata.gov.ru/files/ИП770100890900020.jpeg","Скачать индивидуальный QR-код магазина")</f>
        <v>Скачать индивидуальный QR-код магазина</v>
      </c>
    </row>
    <row r="9901" spans="1:7" x14ac:dyDescent="0.25">
      <c r="A9901" t="s">
        <v>30141</v>
      </c>
      <c r="B9901" t="s">
        <v>31273</v>
      </c>
      <c r="C9901" t="s">
        <v>14805</v>
      </c>
      <c r="D9901" t="s">
        <v>14806</v>
      </c>
      <c r="E9901" t="s">
        <v>14807</v>
      </c>
      <c r="F9901" t="s">
        <v>31274</v>
      </c>
      <c r="G9901" s="2" t="str">
        <f>HYPERLINK("https://probpalata.gov.ru/files/ИП770100890900021.jpeg","Скачать индивидуальный QR-код магазина")</f>
        <v>Скачать индивидуальный QR-код магазина</v>
      </c>
    </row>
    <row r="9902" spans="1:7" x14ac:dyDescent="0.25">
      <c r="A9902" t="s">
        <v>30141</v>
      </c>
      <c r="B9902" t="s">
        <v>31275</v>
      </c>
      <c r="C9902" t="s">
        <v>14805</v>
      </c>
      <c r="D9902" t="s">
        <v>14806</v>
      </c>
      <c r="E9902" t="s">
        <v>14807</v>
      </c>
      <c r="F9902" t="s">
        <v>31276</v>
      </c>
      <c r="G9902" s="2" t="str">
        <f>HYPERLINK("https://probpalata.gov.ru/files/ИП770100890900022.jpeg","Скачать индивидуальный QR-код магазина")</f>
        <v>Скачать индивидуальный QR-код магазина</v>
      </c>
    </row>
    <row r="9903" spans="1:7" x14ac:dyDescent="0.25">
      <c r="A9903" t="s">
        <v>30141</v>
      </c>
      <c r="B9903" t="s">
        <v>31277</v>
      </c>
      <c r="C9903" t="s">
        <v>14805</v>
      </c>
      <c r="D9903" t="s">
        <v>14806</v>
      </c>
      <c r="E9903" t="s">
        <v>14807</v>
      </c>
      <c r="F9903" t="s">
        <v>31278</v>
      </c>
      <c r="G9903" s="2" t="str">
        <f>HYPERLINK("https://probpalata.gov.ru/files/ИП770100890900023.jpeg","Скачать индивидуальный QR-код магазина")</f>
        <v>Скачать индивидуальный QR-код магазина</v>
      </c>
    </row>
    <row r="9904" spans="1:7" x14ac:dyDescent="0.25">
      <c r="A9904" t="s">
        <v>30141</v>
      </c>
      <c r="B9904" t="s">
        <v>31279</v>
      </c>
      <c r="C9904" t="s">
        <v>14805</v>
      </c>
      <c r="D9904" t="s">
        <v>14806</v>
      </c>
      <c r="E9904" t="s">
        <v>14807</v>
      </c>
      <c r="F9904" t="s">
        <v>31280</v>
      </c>
      <c r="G9904" s="2" t="str">
        <f>HYPERLINK("https://probpalata.gov.ru/files/ИП770100890900024.jpeg","Скачать индивидуальный QR-код магазина")</f>
        <v>Скачать индивидуальный QR-код магазина</v>
      </c>
    </row>
    <row r="9905" spans="1:7" x14ac:dyDescent="0.25">
      <c r="A9905" t="s">
        <v>30141</v>
      </c>
      <c r="B9905" t="s">
        <v>31039</v>
      </c>
      <c r="C9905" t="s">
        <v>31281</v>
      </c>
      <c r="D9905" t="s">
        <v>31282</v>
      </c>
      <c r="E9905" t="s">
        <v>31283</v>
      </c>
      <c r="F9905" t="s">
        <v>31284</v>
      </c>
      <c r="G9905" s="2" t="str">
        <f>HYPERLINK("https://probpalata.gov.ru/files/ИП520600363300000.jpeg","Скачать индивидуальный QR-код магазина")</f>
        <v>Скачать индивидуальный QR-код магазина</v>
      </c>
    </row>
    <row r="9906" spans="1:7" x14ac:dyDescent="0.25">
      <c r="A9906" t="s">
        <v>30141</v>
      </c>
      <c r="B9906" t="s">
        <v>30944</v>
      </c>
      <c r="C9906" t="s">
        <v>31285</v>
      </c>
      <c r="D9906" t="s">
        <v>31286</v>
      </c>
      <c r="E9906" t="s">
        <v>31287</v>
      </c>
      <c r="F9906" t="s">
        <v>31288</v>
      </c>
      <c r="G9906" s="2" t="str">
        <f>HYPERLINK("https://probpalata.gov.ru/files/ЮЛ520603723300001.jpeg","Скачать индивидуальный QR-код магазина")</f>
        <v>Скачать индивидуальный QR-код магазина</v>
      </c>
    </row>
    <row r="9907" spans="1:7" x14ac:dyDescent="0.25">
      <c r="A9907" t="s">
        <v>30141</v>
      </c>
      <c r="B9907" t="s">
        <v>30968</v>
      </c>
      <c r="C9907" t="s">
        <v>31285</v>
      </c>
      <c r="D9907" t="s">
        <v>31286</v>
      </c>
      <c r="E9907" t="s">
        <v>31287</v>
      </c>
      <c r="F9907" t="s">
        <v>31289</v>
      </c>
      <c r="G9907" s="2" t="str">
        <f>HYPERLINK("https://probpalata.gov.ru/files/ЮЛ520603723300002.jpeg","Скачать индивидуальный QR-код магазина")</f>
        <v>Скачать индивидуальный QR-код магазина</v>
      </c>
    </row>
    <row r="9908" spans="1:7" x14ac:dyDescent="0.25">
      <c r="A9908" t="s">
        <v>30141</v>
      </c>
      <c r="B9908" t="s">
        <v>30806</v>
      </c>
      <c r="C9908" t="s">
        <v>31285</v>
      </c>
      <c r="D9908" t="s">
        <v>31286</v>
      </c>
      <c r="E9908" t="s">
        <v>31287</v>
      </c>
      <c r="F9908" t="s">
        <v>31290</v>
      </c>
      <c r="G9908" s="2" t="str">
        <f>HYPERLINK("https://probpalata.gov.ru/files/ЮЛ520603723300003.jpeg","Скачать индивидуальный QR-код магазина")</f>
        <v>Скачать индивидуальный QR-код магазина</v>
      </c>
    </row>
    <row r="9909" spans="1:7" x14ac:dyDescent="0.25">
      <c r="A9909" t="s">
        <v>30141</v>
      </c>
      <c r="B9909" t="s">
        <v>30797</v>
      </c>
      <c r="C9909" t="s">
        <v>31285</v>
      </c>
      <c r="D9909" t="s">
        <v>31286</v>
      </c>
      <c r="E9909" t="s">
        <v>31287</v>
      </c>
      <c r="F9909" t="s">
        <v>31291</v>
      </c>
      <c r="G9909" s="2" t="str">
        <f>HYPERLINK("https://probpalata.gov.ru/files/ЮЛ520603723300004.jpeg","Скачать индивидуальный QR-код магазина")</f>
        <v>Скачать индивидуальный QR-код магазина</v>
      </c>
    </row>
    <row r="9910" spans="1:7" x14ac:dyDescent="0.25">
      <c r="A9910" t="s">
        <v>30141</v>
      </c>
      <c r="B9910" t="s">
        <v>30799</v>
      </c>
      <c r="C9910" t="s">
        <v>31285</v>
      </c>
      <c r="D9910" t="s">
        <v>31286</v>
      </c>
      <c r="E9910" t="s">
        <v>31287</v>
      </c>
      <c r="F9910" t="s">
        <v>31292</v>
      </c>
      <c r="G9910" s="2" t="str">
        <f>HYPERLINK("https://probpalata.gov.ru/files/ЮЛ520603723300005.jpeg","Скачать индивидуальный QR-код магазина")</f>
        <v>Скачать индивидуальный QR-код магазина</v>
      </c>
    </row>
    <row r="9911" spans="1:7" x14ac:dyDescent="0.25">
      <c r="A9911" t="s">
        <v>30141</v>
      </c>
      <c r="B9911" t="s">
        <v>30804</v>
      </c>
      <c r="C9911" t="s">
        <v>31285</v>
      </c>
      <c r="D9911" t="s">
        <v>31286</v>
      </c>
      <c r="E9911" t="s">
        <v>31287</v>
      </c>
      <c r="F9911" t="s">
        <v>31293</v>
      </c>
      <c r="G9911" s="2" t="str">
        <f>HYPERLINK("https://probpalata.gov.ru/files/ЮЛ520603723300006.jpeg","Скачать индивидуальный QR-код магазина")</f>
        <v>Скачать индивидуальный QR-код магазина</v>
      </c>
    </row>
    <row r="9912" spans="1:7" x14ac:dyDescent="0.25">
      <c r="A9912" t="s">
        <v>30141</v>
      </c>
      <c r="B9912" t="s">
        <v>31294</v>
      </c>
      <c r="C9912" t="s">
        <v>31295</v>
      </c>
      <c r="D9912" t="s">
        <v>31296</v>
      </c>
      <c r="E9912" t="s">
        <v>31297</v>
      </c>
      <c r="F9912" t="s">
        <v>31298</v>
      </c>
      <c r="G9912" s="2" t="str">
        <f>HYPERLINK("https://probpalata.gov.ru/files/ИП520603787000000.jpeg","Скачать индивидуальный QR-код магазина")</f>
        <v>Скачать индивидуальный QR-код магазина</v>
      </c>
    </row>
    <row r="9913" spans="1:7" x14ac:dyDescent="0.25">
      <c r="A9913" t="s">
        <v>30141</v>
      </c>
      <c r="B9913" t="s">
        <v>31299</v>
      </c>
      <c r="C9913" t="s">
        <v>31300</v>
      </c>
      <c r="D9913" t="s">
        <v>31301</v>
      </c>
      <c r="E9913" t="s">
        <v>31302</v>
      </c>
      <c r="F9913" t="s">
        <v>31303</v>
      </c>
      <c r="G9913" s="2" t="str">
        <f>HYPERLINK("https://probpalata.gov.ru/files/ИП520603398600000.jpeg","Скачать индивидуальный QR-код магазина")</f>
        <v>Скачать индивидуальный QR-код магазина</v>
      </c>
    </row>
    <row r="9914" spans="1:7" x14ac:dyDescent="0.25">
      <c r="A9914" t="s">
        <v>30141</v>
      </c>
      <c r="B9914" t="s">
        <v>31304</v>
      </c>
      <c r="C9914" t="s">
        <v>703</v>
      </c>
      <c r="D9914" t="s">
        <v>704</v>
      </c>
      <c r="E9914" t="s">
        <v>705</v>
      </c>
      <c r="F9914" t="s">
        <v>31305</v>
      </c>
      <c r="G9914" s="2" t="str">
        <f>HYPERLINK("https://probpalata.gov.ru/files/ИП610400426600008.jpeg","Скачать индивидуальный QR-код магазина")</f>
        <v>Скачать индивидуальный QR-код магазина</v>
      </c>
    </row>
    <row r="9915" spans="1:7" x14ac:dyDescent="0.25">
      <c r="A9915" t="s">
        <v>30141</v>
      </c>
      <c r="B9915" t="s">
        <v>31306</v>
      </c>
      <c r="C9915" t="s">
        <v>703</v>
      </c>
      <c r="D9915" t="s">
        <v>704</v>
      </c>
      <c r="E9915" t="s">
        <v>705</v>
      </c>
      <c r="F9915" t="s">
        <v>31307</v>
      </c>
      <c r="G9915" s="2" t="str">
        <f>HYPERLINK("https://probpalata.gov.ru/files/ИП610400426600009.jpeg","Скачать индивидуальный QR-код магазина")</f>
        <v>Скачать индивидуальный QR-код магазина</v>
      </c>
    </row>
    <row r="9916" spans="1:7" x14ac:dyDescent="0.25">
      <c r="A9916" t="s">
        <v>30141</v>
      </c>
      <c r="B9916" t="s">
        <v>31308</v>
      </c>
      <c r="C9916" t="s">
        <v>31309</v>
      </c>
      <c r="D9916" t="s">
        <v>31310</v>
      </c>
      <c r="E9916" t="s">
        <v>31311</v>
      </c>
      <c r="F9916" t="s">
        <v>31312</v>
      </c>
      <c r="G9916" s="2" t="str">
        <f>HYPERLINK("https://probpalata.gov.ru/files/ЮЛ610400987900000.jpeg","Скачать индивидуальный QR-код магазина")</f>
        <v>Скачать индивидуальный QR-код магазина</v>
      </c>
    </row>
    <row r="9917" spans="1:7" x14ac:dyDescent="0.25">
      <c r="A9917" t="s">
        <v>30141</v>
      </c>
      <c r="B9917" t="s">
        <v>31313</v>
      </c>
      <c r="C9917" t="s">
        <v>2204</v>
      </c>
      <c r="D9917" t="s">
        <v>2205</v>
      </c>
      <c r="E9917" t="s">
        <v>2206</v>
      </c>
      <c r="F9917" t="s">
        <v>31314</v>
      </c>
      <c r="G9917" s="2" t="str">
        <f>HYPERLINK("https://probpalata.gov.ru/files/ЮЛ630603037200032.jpeg","Скачать индивидуальный QR-код магазина")</f>
        <v>Скачать индивидуальный QR-код магазина</v>
      </c>
    </row>
    <row r="9918" spans="1:7" x14ac:dyDescent="0.25">
      <c r="A9918" t="s">
        <v>30141</v>
      </c>
      <c r="B9918" t="s">
        <v>31315</v>
      </c>
      <c r="C9918" t="s">
        <v>2204</v>
      </c>
      <c r="D9918" t="s">
        <v>2205</v>
      </c>
      <c r="E9918" t="s">
        <v>2206</v>
      </c>
      <c r="F9918" t="s">
        <v>31316</v>
      </c>
      <c r="G9918" s="2" t="str">
        <f>HYPERLINK("https://probpalata.gov.ru/files/ЮЛ630603037200046.jpeg","Скачать индивидуальный QR-код магазина")</f>
        <v>Скачать индивидуальный QR-код магазина</v>
      </c>
    </row>
    <row r="9919" spans="1:7" x14ac:dyDescent="0.25">
      <c r="A9919" t="s">
        <v>30141</v>
      </c>
      <c r="B9919" t="s">
        <v>30185</v>
      </c>
      <c r="C9919" t="s">
        <v>2204</v>
      </c>
      <c r="D9919" t="s">
        <v>2205</v>
      </c>
      <c r="E9919" t="s">
        <v>2206</v>
      </c>
      <c r="F9919" t="s">
        <v>31317</v>
      </c>
      <c r="G9919" s="2" t="str">
        <f>HYPERLINK("https://probpalata.gov.ru/files/ЮЛ630603037200051.jpeg","Скачать индивидуальный QR-код магазина")</f>
        <v>Скачать индивидуальный QR-код магазина</v>
      </c>
    </row>
    <row r="9920" spans="1:7" x14ac:dyDescent="0.25">
      <c r="A9920" t="s">
        <v>30141</v>
      </c>
      <c r="B9920" t="s">
        <v>31318</v>
      </c>
      <c r="C9920" t="s">
        <v>2204</v>
      </c>
      <c r="D9920" t="s">
        <v>2205</v>
      </c>
      <c r="E9920" t="s">
        <v>2206</v>
      </c>
      <c r="F9920" t="s">
        <v>31319</v>
      </c>
      <c r="G9920" s="2" t="str">
        <f>HYPERLINK("https://probpalata.gov.ru/files/ЮЛ630603037200053.jpeg","Скачать индивидуальный QR-код магазина")</f>
        <v>Скачать индивидуальный QR-код магазина</v>
      </c>
    </row>
    <row r="9921" spans="1:7" x14ac:dyDescent="0.25">
      <c r="A9921" t="s">
        <v>30141</v>
      </c>
      <c r="B9921" t="s">
        <v>31320</v>
      </c>
      <c r="C9921" t="s">
        <v>2204</v>
      </c>
      <c r="D9921" t="s">
        <v>2205</v>
      </c>
      <c r="E9921" t="s">
        <v>2206</v>
      </c>
      <c r="F9921" t="s">
        <v>31321</v>
      </c>
      <c r="G9921" s="2" t="str">
        <f>HYPERLINK("https://probpalata.gov.ru/files/ЮЛ630603037200058.jpeg","Скачать индивидуальный QR-код магазина")</f>
        <v>Скачать индивидуальный QR-код магазина</v>
      </c>
    </row>
    <row r="9922" spans="1:7" x14ac:dyDescent="0.25">
      <c r="A9922" t="s">
        <v>30141</v>
      </c>
      <c r="B9922" t="s">
        <v>31322</v>
      </c>
      <c r="C9922" t="s">
        <v>2204</v>
      </c>
      <c r="D9922" t="s">
        <v>2205</v>
      </c>
      <c r="E9922" t="s">
        <v>2206</v>
      </c>
      <c r="F9922" t="s">
        <v>31323</v>
      </c>
      <c r="G9922" s="2" t="str">
        <f>HYPERLINK("https://probpalata.gov.ru/files/ЮЛ630603037200110.jpeg","Скачать индивидуальный QR-код магазина")</f>
        <v>Скачать индивидуальный QR-код магазина</v>
      </c>
    </row>
    <row r="9923" spans="1:7" x14ac:dyDescent="0.25">
      <c r="A9923" t="s">
        <v>30141</v>
      </c>
      <c r="B9923" t="s">
        <v>31324</v>
      </c>
      <c r="C9923" t="s">
        <v>31325</v>
      </c>
      <c r="D9923" t="s">
        <v>31326</v>
      </c>
      <c r="E9923" t="s">
        <v>31327</v>
      </c>
      <c r="F9923" t="s">
        <v>31328</v>
      </c>
      <c r="G9923" s="2" t="str">
        <f>HYPERLINK("https://probpalata.gov.ru/files/ЮЛ630603247400001.jpeg","Скачать индивидуальный QR-код магазина")</f>
        <v>Скачать индивидуальный QR-код магазина</v>
      </c>
    </row>
    <row r="9924" spans="1:7" x14ac:dyDescent="0.25">
      <c r="A9924" t="s">
        <v>30141</v>
      </c>
      <c r="B9924" t="s">
        <v>31329</v>
      </c>
      <c r="C9924" t="s">
        <v>31325</v>
      </c>
      <c r="D9924" t="s">
        <v>31326</v>
      </c>
      <c r="E9924" t="s">
        <v>31327</v>
      </c>
      <c r="F9924" t="s">
        <v>31330</v>
      </c>
      <c r="G9924" s="2" t="str">
        <f>HYPERLINK("https://probpalata.gov.ru/files/ЮЛ630603247400002.jpeg","Скачать индивидуальный QR-код магазина")</f>
        <v>Скачать индивидуальный QR-код магазина</v>
      </c>
    </row>
    <row r="9925" spans="1:7" x14ac:dyDescent="0.25">
      <c r="A9925" t="s">
        <v>30141</v>
      </c>
      <c r="B9925" t="s">
        <v>31331</v>
      </c>
      <c r="C9925" t="s">
        <v>31325</v>
      </c>
      <c r="D9925" t="s">
        <v>31326</v>
      </c>
      <c r="E9925" t="s">
        <v>31327</v>
      </c>
      <c r="F9925" t="s">
        <v>31332</v>
      </c>
      <c r="G9925" s="2" t="str">
        <f>HYPERLINK("https://probpalata.gov.ru/files/ЮЛ630603247400003.jpeg","Скачать индивидуальный QR-код магазина")</f>
        <v>Скачать индивидуальный QR-код магазина</v>
      </c>
    </row>
    <row r="9926" spans="1:7" x14ac:dyDescent="0.25">
      <c r="A9926" t="s">
        <v>30141</v>
      </c>
      <c r="B9926" t="s">
        <v>31333</v>
      </c>
      <c r="C9926" t="s">
        <v>31325</v>
      </c>
      <c r="D9926" t="s">
        <v>31326</v>
      </c>
      <c r="E9926" t="s">
        <v>31327</v>
      </c>
      <c r="F9926" t="s">
        <v>31334</v>
      </c>
      <c r="G9926" s="2" t="str">
        <f>HYPERLINK("https://probpalata.gov.ru/files/ЮЛ630603247400004.jpeg","Скачать индивидуальный QR-код магазина")</f>
        <v>Скачать индивидуальный QR-код магазина</v>
      </c>
    </row>
    <row r="9927" spans="1:7" x14ac:dyDescent="0.25">
      <c r="A9927" t="s">
        <v>30141</v>
      </c>
      <c r="B9927" t="s">
        <v>31335</v>
      </c>
      <c r="C9927" t="s">
        <v>31325</v>
      </c>
      <c r="D9927" t="s">
        <v>31326</v>
      </c>
      <c r="E9927" t="s">
        <v>31327</v>
      </c>
      <c r="F9927" t="s">
        <v>31336</v>
      </c>
      <c r="G9927" s="2" t="str">
        <f>HYPERLINK("https://probpalata.gov.ru/files/ЮЛ630603247400005.jpeg","Скачать индивидуальный QR-код магазина")</f>
        <v>Скачать индивидуальный QR-код магазина</v>
      </c>
    </row>
    <row r="9928" spans="1:7" x14ac:dyDescent="0.25">
      <c r="A9928" t="s">
        <v>30141</v>
      </c>
      <c r="B9928" t="s">
        <v>31337</v>
      </c>
      <c r="C9928" t="s">
        <v>31325</v>
      </c>
      <c r="D9928" t="s">
        <v>31326</v>
      </c>
      <c r="E9928" t="s">
        <v>31327</v>
      </c>
      <c r="F9928" t="s">
        <v>31338</v>
      </c>
      <c r="G9928" s="2" t="str">
        <f>HYPERLINK("https://probpalata.gov.ru/files/ЮЛ630603247400006.jpeg","Скачать индивидуальный QR-код магазина")</f>
        <v>Скачать индивидуальный QR-код магазина</v>
      </c>
    </row>
    <row r="9929" spans="1:7" x14ac:dyDescent="0.25">
      <c r="A9929" t="s">
        <v>30141</v>
      </c>
      <c r="B9929" t="s">
        <v>31339</v>
      </c>
      <c r="C9929" t="s">
        <v>31325</v>
      </c>
      <c r="D9929" t="s">
        <v>31326</v>
      </c>
      <c r="E9929" t="s">
        <v>31327</v>
      </c>
      <c r="F9929" t="s">
        <v>31340</v>
      </c>
      <c r="G9929" s="2" t="str">
        <f>HYPERLINK("https://probpalata.gov.ru/files/ЮЛ630603247400007.jpeg","Скачать индивидуальный QR-код магазина")</f>
        <v>Скачать индивидуальный QR-код магазина</v>
      </c>
    </row>
    <row r="9930" spans="1:7" x14ac:dyDescent="0.25">
      <c r="A9930" t="s">
        <v>30141</v>
      </c>
      <c r="B9930" t="s">
        <v>31341</v>
      </c>
      <c r="C9930" t="s">
        <v>31325</v>
      </c>
      <c r="D9930" t="s">
        <v>31326</v>
      </c>
      <c r="E9930" t="s">
        <v>31327</v>
      </c>
      <c r="F9930" t="s">
        <v>31342</v>
      </c>
      <c r="G9930" s="2" t="str">
        <f>HYPERLINK("https://probpalata.gov.ru/files/ЮЛ630603247400008.jpeg","Скачать индивидуальный QR-код магазина")</f>
        <v>Скачать индивидуальный QR-код магазина</v>
      </c>
    </row>
    <row r="9931" spans="1:7" x14ac:dyDescent="0.25">
      <c r="A9931" t="s">
        <v>30141</v>
      </c>
      <c r="B9931" t="s">
        <v>31343</v>
      </c>
      <c r="C9931" t="s">
        <v>31325</v>
      </c>
      <c r="D9931" t="s">
        <v>31326</v>
      </c>
      <c r="E9931" t="s">
        <v>31327</v>
      </c>
      <c r="F9931" t="s">
        <v>31344</v>
      </c>
      <c r="G9931" s="2" t="str">
        <f>HYPERLINK("https://probpalata.gov.ru/files/ЮЛ630603247400009.jpeg","Скачать индивидуальный QR-код магазина")</f>
        <v>Скачать индивидуальный QR-код магазина</v>
      </c>
    </row>
    <row r="9932" spans="1:7" x14ac:dyDescent="0.25">
      <c r="A9932" t="s">
        <v>30141</v>
      </c>
      <c r="B9932" t="s">
        <v>31345</v>
      </c>
      <c r="C9932" t="s">
        <v>31325</v>
      </c>
      <c r="D9932" t="s">
        <v>31326</v>
      </c>
      <c r="E9932" t="s">
        <v>31327</v>
      </c>
      <c r="F9932" t="s">
        <v>31346</v>
      </c>
      <c r="G9932" s="2" t="str">
        <f>HYPERLINK("https://probpalata.gov.ru/files/ЮЛ630603247400010.jpeg","Скачать индивидуальный QR-код магазина")</f>
        <v>Скачать индивидуальный QR-код магазина</v>
      </c>
    </row>
    <row r="9933" spans="1:7" x14ac:dyDescent="0.25">
      <c r="A9933" t="s">
        <v>30141</v>
      </c>
      <c r="B9933" t="s">
        <v>31347</v>
      </c>
      <c r="C9933" t="s">
        <v>31325</v>
      </c>
      <c r="D9933" t="s">
        <v>31326</v>
      </c>
      <c r="E9933" t="s">
        <v>31327</v>
      </c>
      <c r="F9933" t="s">
        <v>31348</v>
      </c>
      <c r="G9933" s="2" t="str">
        <f>HYPERLINK("https://probpalata.gov.ru/files/ЮЛ630603247400011.jpeg","Скачать индивидуальный QR-код магазина")</f>
        <v>Скачать индивидуальный QR-код магазина</v>
      </c>
    </row>
    <row r="9934" spans="1:7" x14ac:dyDescent="0.25">
      <c r="A9934" t="s">
        <v>30141</v>
      </c>
      <c r="B9934" t="s">
        <v>31349</v>
      </c>
      <c r="C9934" t="s">
        <v>31325</v>
      </c>
      <c r="D9934" t="s">
        <v>31326</v>
      </c>
      <c r="E9934" t="s">
        <v>31327</v>
      </c>
      <c r="F9934" t="s">
        <v>31350</v>
      </c>
      <c r="G9934" s="2" t="str">
        <f>HYPERLINK("https://probpalata.gov.ru/files/ЮЛ630603247400012.jpeg","Скачать индивидуальный QR-код магазина")</f>
        <v>Скачать индивидуальный QR-код магазина</v>
      </c>
    </row>
    <row r="9935" spans="1:7" x14ac:dyDescent="0.25">
      <c r="A9935" t="s">
        <v>30141</v>
      </c>
      <c r="B9935" t="s">
        <v>31351</v>
      </c>
      <c r="C9935" t="s">
        <v>31325</v>
      </c>
      <c r="D9935" t="s">
        <v>31326</v>
      </c>
      <c r="E9935" t="s">
        <v>31327</v>
      </c>
      <c r="F9935" t="s">
        <v>31352</v>
      </c>
      <c r="G9935" s="2" t="str">
        <f>HYPERLINK("https://probpalata.gov.ru/files/ЮЛ630603247400013.jpeg","Скачать индивидуальный QR-код магазина")</f>
        <v>Скачать индивидуальный QR-код магазина</v>
      </c>
    </row>
    <row r="9936" spans="1:7" x14ac:dyDescent="0.25">
      <c r="A9936" t="s">
        <v>30141</v>
      </c>
      <c r="B9936" t="s">
        <v>31353</v>
      </c>
      <c r="C9936" t="s">
        <v>31325</v>
      </c>
      <c r="D9936" t="s">
        <v>31326</v>
      </c>
      <c r="E9936" t="s">
        <v>31327</v>
      </c>
      <c r="F9936" t="s">
        <v>31354</v>
      </c>
      <c r="G9936" s="2" t="str">
        <f>HYPERLINK("https://probpalata.gov.ru/files/ЮЛ630603247400014.jpeg","Скачать индивидуальный QR-код магазина")</f>
        <v>Скачать индивидуальный QR-код магазина</v>
      </c>
    </row>
    <row r="9937" spans="1:7" x14ac:dyDescent="0.25">
      <c r="A9937" t="s">
        <v>30141</v>
      </c>
      <c r="B9937" t="s">
        <v>31355</v>
      </c>
      <c r="C9937" t="s">
        <v>31325</v>
      </c>
      <c r="D9937" t="s">
        <v>31326</v>
      </c>
      <c r="E9937" t="s">
        <v>31327</v>
      </c>
      <c r="F9937" t="s">
        <v>31356</v>
      </c>
      <c r="G9937" s="2" t="str">
        <f>HYPERLINK("https://probpalata.gov.ru/files/ЮЛ630603247400015.jpeg","Скачать индивидуальный QR-код магазина")</f>
        <v>Скачать индивидуальный QR-код магазина</v>
      </c>
    </row>
    <row r="9938" spans="1:7" x14ac:dyDescent="0.25">
      <c r="A9938" t="s">
        <v>30141</v>
      </c>
      <c r="B9938" t="s">
        <v>31357</v>
      </c>
      <c r="C9938" t="s">
        <v>31325</v>
      </c>
      <c r="D9938" t="s">
        <v>31326</v>
      </c>
      <c r="E9938" t="s">
        <v>31327</v>
      </c>
      <c r="F9938" t="s">
        <v>31358</v>
      </c>
      <c r="G9938" s="2" t="str">
        <f>HYPERLINK("https://probpalata.gov.ru/files/ЮЛ630603247400016.jpeg","Скачать индивидуальный QR-код магазина")</f>
        <v>Скачать индивидуальный QR-код магазина</v>
      </c>
    </row>
    <row r="9939" spans="1:7" x14ac:dyDescent="0.25">
      <c r="A9939" t="s">
        <v>30141</v>
      </c>
      <c r="B9939" t="s">
        <v>31359</v>
      </c>
      <c r="C9939" t="s">
        <v>31325</v>
      </c>
      <c r="D9939" t="s">
        <v>31326</v>
      </c>
      <c r="E9939" t="s">
        <v>31327</v>
      </c>
      <c r="F9939" t="s">
        <v>31360</v>
      </c>
      <c r="G9939" s="2" t="str">
        <f>HYPERLINK("https://probpalata.gov.ru/files/ЮЛ630603247400017.jpeg","Скачать индивидуальный QR-код магазина")</f>
        <v>Скачать индивидуальный QR-код магазина</v>
      </c>
    </row>
    <row r="9940" spans="1:7" x14ac:dyDescent="0.25">
      <c r="A9940" t="s">
        <v>30141</v>
      </c>
      <c r="B9940" t="s">
        <v>31361</v>
      </c>
      <c r="C9940" t="s">
        <v>31325</v>
      </c>
      <c r="D9940" t="s">
        <v>31326</v>
      </c>
      <c r="E9940" t="s">
        <v>31327</v>
      </c>
      <c r="F9940" t="s">
        <v>31362</v>
      </c>
      <c r="G9940" s="2" t="str">
        <f>HYPERLINK("https://probpalata.gov.ru/files/ЮЛ630603247400018.jpeg","Скачать индивидуальный QR-код магазина")</f>
        <v>Скачать индивидуальный QR-код магазина</v>
      </c>
    </row>
    <row r="9941" spans="1:7" x14ac:dyDescent="0.25">
      <c r="A9941" t="s">
        <v>30141</v>
      </c>
      <c r="B9941" t="s">
        <v>31363</v>
      </c>
      <c r="C9941" t="s">
        <v>31325</v>
      </c>
      <c r="D9941" t="s">
        <v>31326</v>
      </c>
      <c r="E9941" t="s">
        <v>31327</v>
      </c>
      <c r="F9941" t="s">
        <v>31364</v>
      </c>
      <c r="G9941" s="2" t="str">
        <f>HYPERLINK("https://probpalata.gov.ru/files/ЮЛ630603247400019.jpeg","Скачать индивидуальный QR-код магазина")</f>
        <v>Скачать индивидуальный QR-код магазина</v>
      </c>
    </row>
    <row r="9942" spans="1:7" x14ac:dyDescent="0.25">
      <c r="A9942" t="s">
        <v>30141</v>
      </c>
      <c r="B9942" t="s">
        <v>31365</v>
      </c>
      <c r="C9942" t="s">
        <v>31325</v>
      </c>
      <c r="D9942" t="s">
        <v>31326</v>
      </c>
      <c r="E9942" t="s">
        <v>31327</v>
      </c>
      <c r="F9942" t="s">
        <v>31366</v>
      </c>
      <c r="G9942" s="2" t="str">
        <f>HYPERLINK("https://probpalata.gov.ru/files/ЮЛ630603247400020.jpeg","Скачать индивидуальный QR-код магазина")</f>
        <v>Скачать индивидуальный QR-код магазина</v>
      </c>
    </row>
    <row r="9943" spans="1:7" x14ac:dyDescent="0.25">
      <c r="A9943" t="s">
        <v>30141</v>
      </c>
      <c r="B9943" t="s">
        <v>31367</v>
      </c>
      <c r="C9943" t="s">
        <v>31368</v>
      </c>
      <c r="D9943" t="s">
        <v>31369</v>
      </c>
      <c r="E9943" t="s">
        <v>31370</v>
      </c>
      <c r="F9943" t="s">
        <v>31371</v>
      </c>
      <c r="G9943" s="2" t="str">
        <f>HYPERLINK("https://probpalata.gov.ru/files/ИП500101424100000.jpeg","Скачать индивидуальный QR-код магазина")</f>
        <v>Скачать индивидуальный QR-код магазина</v>
      </c>
    </row>
    <row r="9944" spans="1:7" x14ac:dyDescent="0.25">
      <c r="A9944" t="s">
        <v>30141</v>
      </c>
      <c r="B9944" t="s">
        <v>31372</v>
      </c>
      <c r="C9944" t="s">
        <v>14967</v>
      </c>
      <c r="D9944" t="s">
        <v>14968</v>
      </c>
      <c r="E9944" t="s">
        <v>14969</v>
      </c>
      <c r="F9944" t="s">
        <v>31373</v>
      </c>
      <c r="G9944" s="2" t="str">
        <f>HYPERLINK("https://probpalata.gov.ru/files/ЮЛ660701304200013.jpeg","Скачать индивидуальный QR-код магазина")</f>
        <v>Скачать индивидуальный QR-код магазина</v>
      </c>
    </row>
    <row r="9945" spans="1:7" x14ac:dyDescent="0.25">
      <c r="A9945" t="s">
        <v>30141</v>
      </c>
      <c r="B9945" t="s">
        <v>31374</v>
      </c>
      <c r="C9945" t="s">
        <v>31375</v>
      </c>
      <c r="D9945" t="s">
        <v>31376</v>
      </c>
      <c r="E9945" t="s">
        <v>31377</v>
      </c>
      <c r="F9945" t="s">
        <v>31378</v>
      </c>
      <c r="G9945" s="2" t="str">
        <f>HYPERLINK("https://probpalata.gov.ru/files/ИП690103198400000.jpeg","Скачать индивидуальный QR-код магазина")</f>
        <v>Скачать индивидуальный QR-код магазина</v>
      </c>
    </row>
    <row r="9946" spans="1:7" x14ac:dyDescent="0.25">
      <c r="A9946" t="s">
        <v>30141</v>
      </c>
      <c r="B9946" t="s">
        <v>31379</v>
      </c>
      <c r="C9946" t="s">
        <v>20904</v>
      </c>
      <c r="D9946" t="s">
        <v>20905</v>
      </c>
      <c r="E9946" t="s">
        <v>20906</v>
      </c>
      <c r="F9946" t="s">
        <v>31380</v>
      </c>
      <c r="G9946" s="2" t="str">
        <f>HYPERLINK("https://probpalata.gov.ru/files/ЮЛ760201041800010.jpeg","Скачать индивидуальный QR-код магазина")</f>
        <v>Скачать индивидуальный QR-код магазина</v>
      </c>
    </row>
    <row r="9947" spans="1:7" x14ac:dyDescent="0.25">
      <c r="A9947" t="s">
        <v>30141</v>
      </c>
      <c r="B9947" t="s">
        <v>31381</v>
      </c>
      <c r="C9947" t="s">
        <v>1416</v>
      </c>
      <c r="D9947" t="s">
        <v>1417</v>
      </c>
      <c r="E9947" t="s">
        <v>1418</v>
      </c>
      <c r="F9947" t="s">
        <v>31382</v>
      </c>
      <c r="G9947" s="2" t="str">
        <f>HYPERLINK("https://probpalata.gov.ru/files/ЮЛ770100419400069.jpeg","Скачать индивидуальный QR-код магазина")</f>
        <v>Скачать индивидуальный QR-код магазина</v>
      </c>
    </row>
    <row r="9948" spans="1:7" x14ac:dyDescent="0.25">
      <c r="A9948" t="s">
        <v>30141</v>
      </c>
      <c r="B9948" t="s">
        <v>31144</v>
      </c>
      <c r="C9948" t="s">
        <v>1416</v>
      </c>
      <c r="D9948" t="s">
        <v>1417</v>
      </c>
      <c r="E9948" t="s">
        <v>1418</v>
      </c>
      <c r="F9948" t="s">
        <v>31383</v>
      </c>
      <c r="G9948" s="2" t="str">
        <f>HYPERLINK("https://probpalata.gov.ru/files/ЮЛ770100419400071.jpeg","Скачать индивидуальный QR-код магазина")</f>
        <v>Скачать индивидуальный QR-код магазина</v>
      </c>
    </row>
    <row r="9949" spans="1:7" x14ac:dyDescent="0.25">
      <c r="A9949" t="s">
        <v>30141</v>
      </c>
      <c r="B9949" t="s">
        <v>31384</v>
      </c>
      <c r="C9949" t="s">
        <v>1416</v>
      </c>
      <c r="D9949" t="s">
        <v>1417</v>
      </c>
      <c r="E9949" t="s">
        <v>1418</v>
      </c>
      <c r="F9949" t="s">
        <v>31385</v>
      </c>
      <c r="G9949" s="2" t="str">
        <f>HYPERLINK("https://probpalata.gov.ru/files/ЮЛ770100419400072.jpeg","Скачать индивидуальный QR-код магазина")</f>
        <v>Скачать индивидуальный QR-код магазина</v>
      </c>
    </row>
    <row r="9950" spans="1:7" x14ac:dyDescent="0.25">
      <c r="A9950" t="s">
        <v>30141</v>
      </c>
      <c r="B9950" t="s">
        <v>31386</v>
      </c>
      <c r="C9950" t="s">
        <v>1416</v>
      </c>
      <c r="D9950" t="s">
        <v>1417</v>
      </c>
      <c r="E9950" t="s">
        <v>1418</v>
      </c>
      <c r="F9950" t="s">
        <v>31387</v>
      </c>
      <c r="G9950" s="2" t="str">
        <f>HYPERLINK("https://probpalata.gov.ru/files/ЮЛ770100419400231.jpeg","Скачать индивидуальный QR-код магазина")</f>
        <v>Скачать индивидуальный QR-код магазина</v>
      </c>
    </row>
    <row r="9951" spans="1:7" x14ac:dyDescent="0.25">
      <c r="A9951" t="s">
        <v>30141</v>
      </c>
      <c r="B9951" t="s">
        <v>31388</v>
      </c>
      <c r="C9951" t="s">
        <v>3186</v>
      </c>
      <c r="D9951" t="s">
        <v>3187</v>
      </c>
      <c r="E9951" t="s">
        <v>3188</v>
      </c>
      <c r="F9951" t="s">
        <v>31389</v>
      </c>
      <c r="G9951" s="2" t="str">
        <f>HYPERLINK("https://probpalata.gov.ru/files/ИП770100654700011.jpeg","Скачать индивидуальный QR-код магазина")</f>
        <v>Скачать индивидуальный QR-код магазина</v>
      </c>
    </row>
    <row r="9952" spans="1:7" x14ac:dyDescent="0.25">
      <c r="A9952" t="s">
        <v>30141</v>
      </c>
      <c r="B9952" t="s">
        <v>31390</v>
      </c>
      <c r="C9952" t="s">
        <v>748</v>
      </c>
      <c r="D9952" t="s">
        <v>749</v>
      </c>
      <c r="E9952" t="s">
        <v>750</v>
      </c>
      <c r="F9952" t="s">
        <v>31391</v>
      </c>
      <c r="G9952" s="2" t="str">
        <f>HYPERLINK("https://probpalata.gov.ru/files/ЮЛ770100193500015.jpeg","Скачать индивидуальный QR-код магазина")</f>
        <v>Скачать индивидуальный QR-код магазина</v>
      </c>
    </row>
    <row r="9953" spans="1:7" x14ac:dyDescent="0.25">
      <c r="A9953" t="s">
        <v>30141</v>
      </c>
      <c r="B9953" t="s">
        <v>31392</v>
      </c>
      <c r="C9953" t="s">
        <v>748</v>
      </c>
      <c r="D9953" t="s">
        <v>749</v>
      </c>
      <c r="E9953" t="s">
        <v>750</v>
      </c>
      <c r="F9953" t="s">
        <v>31393</v>
      </c>
      <c r="G9953" s="2" t="str">
        <f>HYPERLINK("https://probpalata.gov.ru/files/ЮЛ770100193500079.jpeg","Скачать индивидуальный QR-код магазина")</f>
        <v>Скачать индивидуальный QR-код магазина</v>
      </c>
    </row>
    <row r="9954" spans="1:7" x14ac:dyDescent="0.25">
      <c r="A9954" t="s">
        <v>30141</v>
      </c>
      <c r="B9954" t="s">
        <v>31394</v>
      </c>
      <c r="C9954" t="s">
        <v>748</v>
      </c>
      <c r="D9954" t="s">
        <v>749</v>
      </c>
      <c r="E9954" t="s">
        <v>750</v>
      </c>
      <c r="F9954" t="s">
        <v>31395</v>
      </c>
      <c r="G9954" s="2" t="str">
        <f>HYPERLINK("https://probpalata.gov.ru/files/ЮЛ770100193500185.jpeg","Скачать индивидуальный QR-код магазина")</f>
        <v>Скачать индивидуальный QR-код магазина</v>
      </c>
    </row>
    <row r="9955" spans="1:7" x14ac:dyDescent="0.25">
      <c r="A9955" t="s">
        <v>30141</v>
      </c>
      <c r="B9955" t="s">
        <v>31396</v>
      </c>
      <c r="C9955" t="s">
        <v>748</v>
      </c>
      <c r="D9955" t="s">
        <v>749</v>
      </c>
      <c r="E9955" t="s">
        <v>750</v>
      </c>
      <c r="F9955" t="s">
        <v>31397</v>
      </c>
      <c r="G9955" s="2" t="str">
        <f>HYPERLINK("https://probpalata.gov.ru/files/ЮЛ770100193500186.jpeg","Скачать индивидуальный QR-код магазина")</f>
        <v>Скачать индивидуальный QR-код магазина</v>
      </c>
    </row>
    <row r="9956" spans="1:7" x14ac:dyDescent="0.25">
      <c r="A9956" t="s">
        <v>30141</v>
      </c>
      <c r="B9956" t="s">
        <v>31398</v>
      </c>
      <c r="C9956" t="s">
        <v>748</v>
      </c>
      <c r="D9956" t="s">
        <v>749</v>
      </c>
      <c r="E9956" t="s">
        <v>750</v>
      </c>
      <c r="F9956" t="s">
        <v>31399</v>
      </c>
      <c r="G9956" s="2" t="str">
        <f>HYPERLINK("https://probpalata.gov.ru/files/ЮЛ770100193500187.jpeg","Скачать индивидуальный QR-код магазина")</f>
        <v>Скачать индивидуальный QR-код магазина</v>
      </c>
    </row>
    <row r="9957" spans="1:7" x14ac:dyDescent="0.25">
      <c r="A9957" t="s">
        <v>30141</v>
      </c>
      <c r="B9957" t="s">
        <v>31400</v>
      </c>
      <c r="C9957" t="s">
        <v>748</v>
      </c>
      <c r="D9957" t="s">
        <v>749</v>
      </c>
      <c r="E9957" t="s">
        <v>750</v>
      </c>
      <c r="F9957" t="s">
        <v>31401</v>
      </c>
      <c r="G9957" s="2" t="str">
        <f>HYPERLINK("https://probpalata.gov.ru/files/ЮЛ770100193500188.jpeg","Скачать индивидуальный QR-код магазина")</f>
        <v>Скачать индивидуальный QR-код магазина</v>
      </c>
    </row>
    <row r="9958" spans="1:7" x14ac:dyDescent="0.25">
      <c r="A9958" t="s">
        <v>30141</v>
      </c>
      <c r="B9958" t="s">
        <v>30338</v>
      </c>
      <c r="C9958" t="s">
        <v>748</v>
      </c>
      <c r="D9958" t="s">
        <v>749</v>
      </c>
      <c r="E9958" t="s">
        <v>750</v>
      </c>
      <c r="F9958" t="s">
        <v>31402</v>
      </c>
      <c r="G9958" s="2" t="str">
        <f>HYPERLINK("https://probpalata.gov.ru/files/ЮЛ770100193500190.jpeg","Скачать индивидуальный QR-код магазина")</f>
        <v>Скачать индивидуальный QR-код магазина</v>
      </c>
    </row>
    <row r="9959" spans="1:7" x14ac:dyDescent="0.25">
      <c r="A9959" t="s">
        <v>30141</v>
      </c>
      <c r="B9959" t="s">
        <v>31403</v>
      </c>
      <c r="C9959" t="s">
        <v>748</v>
      </c>
      <c r="D9959" t="s">
        <v>749</v>
      </c>
      <c r="E9959" t="s">
        <v>750</v>
      </c>
      <c r="F9959" t="s">
        <v>31404</v>
      </c>
      <c r="G9959" s="2" t="str">
        <f>HYPERLINK("https://probpalata.gov.ru/files/ЮЛ770100193500191.jpeg","Скачать индивидуальный QR-код магазина")</f>
        <v>Скачать индивидуальный QR-код магазина</v>
      </c>
    </row>
    <row r="9960" spans="1:7" x14ac:dyDescent="0.25">
      <c r="A9960" t="s">
        <v>30141</v>
      </c>
      <c r="B9960" t="s">
        <v>31405</v>
      </c>
      <c r="C9960" t="s">
        <v>748</v>
      </c>
      <c r="D9960" t="s">
        <v>749</v>
      </c>
      <c r="E9960" t="s">
        <v>750</v>
      </c>
      <c r="F9960" t="s">
        <v>31406</v>
      </c>
      <c r="G9960" s="2" t="str">
        <f>HYPERLINK("https://probpalata.gov.ru/files/ЮЛ770100193500192.jpeg","Скачать индивидуальный QR-код магазина")</f>
        <v>Скачать индивидуальный QR-код магазина</v>
      </c>
    </row>
    <row r="9961" spans="1:7" x14ac:dyDescent="0.25">
      <c r="A9961" t="s">
        <v>30141</v>
      </c>
      <c r="B9961" t="s">
        <v>31407</v>
      </c>
      <c r="C9961" t="s">
        <v>748</v>
      </c>
      <c r="D9961" t="s">
        <v>749</v>
      </c>
      <c r="E9961" t="s">
        <v>750</v>
      </c>
      <c r="F9961" t="s">
        <v>31408</v>
      </c>
      <c r="G9961" s="2" t="str">
        <f>HYPERLINK("https://probpalata.gov.ru/files/ЮЛ770100193500194.jpeg","Скачать индивидуальный QR-код магазина")</f>
        <v>Скачать индивидуальный QR-код магазина</v>
      </c>
    </row>
    <row r="9962" spans="1:7" x14ac:dyDescent="0.25">
      <c r="A9962" t="s">
        <v>30141</v>
      </c>
      <c r="B9962" t="s">
        <v>31409</v>
      </c>
      <c r="C9962" t="s">
        <v>748</v>
      </c>
      <c r="D9962" t="s">
        <v>749</v>
      </c>
      <c r="E9962" t="s">
        <v>750</v>
      </c>
      <c r="F9962" t="s">
        <v>31410</v>
      </c>
      <c r="G9962" s="2" t="str">
        <f>HYPERLINK("https://probpalata.gov.ru/files/ЮЛ770100193500195.jpeg","Скачать индивидуальный QR-код магазина")</f>
        <v>Скачать индивидуальный QR-код магазина</v>
      </c>
    </row>
    <row r="9963" spans="1:7" x14ac:dyDescent="0.25">
      <c r="A9963" t="s">
        <v>30141</v>
      </c>
      <c r="B9963" t="s">
        <v>31411</v>
      </c>
      <c r="C9963" t="s">
        <v>748</v>
      </c>
      <c r="D9963" t="s">
        <v>749</v>
      </c>
      <c r="E9963" t="s">
        <v>750</v>
      </c>
      <c r="F9963" t="s">
        <v>31412</v>
      </c>
      <c r="G9963" s="2" t="str">
        <f>HYPERLINK("https://probpalata.gov.ru/files/ЮЛ770100193500546.jpeg","Скачать индивидуальный QR-код магазина")</f>
        <v>Скачать индивидуальный QR-код магазина</v>
      </c>
    </row>
    <row r="9964" spans="1:7" x14ac:dyDescent="0.25">
      <c r="A9964" t="s">
        <v>30141</v>
      </c>
      <c r="B9964" t="s">
        <v>31413</v>
      </c>
      <c r="C9964" t="s">
        <v>748</v>
      </c>
      <c r="D9964" t="s">
        <v>749</v>
      </c>
      <c r="E9964" t="s">
        <v>750</v>
      </c>
      <c r="F9964" t="s">
        <v>31414</v>
      </c>
      <c r="G9964" s="2" t="str">
        <f>HYPERLINK("https://probpalata.gov.ru/files/ЮЛ770100193500551.jpeg","Скачать индивидуальный QR-код магазина")</f>
        <v>Скачать индивидуальный QR-код магазина</v>
      </c>
    </row>
    <row r="9965" spans="1:7" x14ac:dyDescent="0.25">
      <c r="A9965" t="s">
        <v>30141</v>
      </c>
      <c r="B9965" t="s">
        <v>31415</v>
      </c>
      <c r="C9965" t="s">
        <v>748</v>
      </c>
      <c r="D9965" t="s">
        <v>749</v>
      </c>
      <c r="E9965" t="s">
        <v>750</v>
      </c>
      <c r="F9965" t="s">
        <v>31416</v>
      </c>
      <c r="G9965" s="2" t="str">
        <f>HYPERLINK("https://probpalata.gov.ru/files/ЮЛ770100193500621.jpeg","Скачать индивидуальный QR-код магазина")</f>
        <v>Скачать индивидуальный QR-код магазина</v>
      </c>
    </row>
    <row r="9966" spans="1:7" x14ac:dyDescent="0.25">
      <c r="A9966" t="s">
        <v>30141</v>
      </c>
      <c r="B9966" t="s">
        <v>31417</v>
      </c>
      <c r="C9966" t="s">
        <v>748</v>
      </c>
      <c r="D9966" t="s">
        <v>749</v>
      </c>
      <c r="E9966" t="s">
        <v>750</v>
      </c>
      <c r="F9966" t="s">
        <v>31418</v>
      </c>
      <c r="G9966" s="2" t="str">
        <f>HYPERLINK("https://probpalata.gov.ru/files/ЮЛ770100193500734.jpeg","Скачать индивидуальный QR-код магазина")</f>
        <v>Скачать индивидуальный QR-код магазина</v>
      </c>
    </row>
    <row r="9967" spans="1:7" x14ac:dyDescent="0.25">
      <c r="A9967" t="s">
        <v>30141</v>
      </c>
      <c r="B9967" t="s">
        <v>31419</v>
      </c>
      <c r="C9967" t="s">
        <v>748</v>
      </c>
      <c r="D9967" t="s">
        <v>749</v>
      </c>
      <c r="E9967" t="s">
        <v>750</v>
      </c>
      <c r="F9967" t="s">
        <v>31420</v>
      </c>
      <c r="G9967" s="2" t="str">
        <f>HYPERLINK("https://probpalata.gov.ru/files/ЮЛ770100193500738.jpeg","Скачать индивидуальный QR-код магазина")</f>
        <v>Скачать индивидуальный QR-код магазина</v>
      </c>
    </row>
    <row r="9968" spans="1:7" x14ac:dyDescent="0.25">
      <c r="A9968" t="s">
        <v>30141</v>
      </c>
      <c r="B9968" t="s">
        <v>31421</v>
      </c>
      <c r="C9968" t="s">
        <v>748</v>
      </c>
      <c r="D9968" t="s">
        <v>749</v>
      </c>
      <c r="E9968" t="s">
        <v>750</v>
      </c>
      <c r="F9968" t="s">
        <v>31422</v>
      </c>
      <c r="G9968" s="2" t="str">
        <f>HYPERLINK("https://probpalata.gov.ru/files/ЮЛ770100193500834.jpeg","Скачать индивидуальный QR-код магазина")</f>
        <v>Скачать индивидуальный QR-код магазина</v>
      </c>
    </row>
    <row r="9969" spans="1:7" x14ac:dyDescent="0.25">
      <c r="A9969" t="s">
        <v>30141</v>
      </c>
      <c r="B9969" t="s">
        <v>31423</v>
      </c>
      <c r="C9969" t="s">
        <v>748</v>
      </c>
      <c r="D9969" t="s">
        <v>749</v>
      </c>
      <c r="E9969" t="s">
        <v>750</v>
      </c>
      <c r="F9969" t="s">
        <v>31424</v>
      </c>
      <c r="G9969" s="2" t="str">
        <f>HYPERLINK("https://probpalata.gov.ru/files/ЮЛ770100193500870.jpeg","Скачать индивидуальный QR-код магазина")</f>
        <v>Скачать индивидуальный QR-код магазина</v>
      </c>
    </row>
    <row r="9970" spans="1:7" x14ac:dyDescent="0.25">
      <c r="A9970" t="s">
        <v>30141</v>
      </c>
      <c r="B9970" t="s">
        <v>31425</v>
      </c>
      <c r="C9970" t="s">
        <v>15265</v>
      </c>
      <c r="D9970" t="s">
        <v>15266</v>
      </c>
      <c r="E9970" t="s">
        <v>15267</v>
      </c>
      <c r="F9970" t="s">
        <v>31426</v>
      </c>
      <c r="G9970" s="2" t="str">
        <f>HYPERLINK("https://probpalata.gov.ru/files/ЮЛ160600373100007.jpeg","Скачать индивидуальный QR-код магазина")</f>
        <v>Скачать индивидуальный QR-код магазина</v>
      </c>
    </row>
    <row r="9971" spans="1:7" x14ac:dyDescent="0.25">
      <c r="A9971" t="s">
        <v>30141</v>
      </c>
      <c r="B9971" t="s">
        <v>31427</v>
      </c>
      <c r="C9971" t="s">
        <v>16834</v>
      </c>
      <c r="D9971" t="s">
        <v>16835</v>
      </c>
      <c r="E9971" t="s">
        <v>16836</v>
      </c>
      <c r="F9971" t="s">
        <v>31428</v>
      </c>
      <c r="G9971" s="2" t="str">
        <f>HYPERLINK("https://probpalata.gov.ru/files/ИП780300136300012.jpeg","Скачать индивидуальный QR-код магазина")</f>
        <v>Скачать индивидуальный QR-код магазина</v>
      </c>
    </row>
    <row r="9972" spans="1:7" x14ac:dyDescent="0.25">
      <c r="A9972" t="s">
        <v>30141</v>
      </c>
      <c r="B9972" t="s">
        <v>31429</v>
      </c>
      <c r="C9972" t="s">
        <v>791</v>
      </c>
      <c r="D9972" t="s">
        <v>792</v>
      </c>
      <c r="E9972" t="s">
        <v>793</v>
      </c>
      <c r="F9972" t="s">
        <v>31430</v>
      </c>
      <c r="G9972" s="2" t="str">
        <f>HYPERLINK("https://probpalata.gov.ru/files/ЮЛ780300323500069.jpeg","Скачать индивидуальный QR-код магазина")</f>
        <v>Скачать индивидуальный QR-код магазина</v>
      </c>
    </row>
    <row r="9973" spans="1:7" x14ac:dyDescent="0.25">
      <c r="A9973" t="s">
        <v>30141</v>
      </c>
      <c r="B9973" t="s">
        <v>31431</v>
      </c>
      <c r="C9973" t="s">
        <v>798</v>
      </c>
      <c r="D9973" t="s">
        <v>799</v>
      </c>
      <c r="E9973" t="s">
        <v>800</v>
      </c>
      <c r="F9973" t="s">
        <v>31432</v>
      </c>
      <c r="G9973" s="2" t="str">
        <f>HYPERLINK("https://probpalata.gov.ru/files/ЮЛ780300308200056.jpeg","Скачать индивидуальный QR-код магазина")</f>
        <v>Скачать индивидуальный QR-код магазина</v>
      </c>
    </row>
    <row r="9974" spans="1:7" x14ac:dyDescent="0.25">
      <c r="A9974" t="s">
        <v>30141</v>
      </c>
      <c r="B9974" t="s">
        <v>31433</v>
      </c>
      <c r="C9974" t="s">
        <v>798</v>
      </c>
      <c r="D9974" t="s">
        <v>799</v>
      </c>
      <c r="E9974" t="s">
        <v>800</v>
      </c>
      <c r="F9974" t="s">
        <v>31434</v>
      </c>
      <c r="G9974" s="2" t="str">
        <f>HYPERLINK("https://probpalata.gov.ru/files/ЮЛ780300308200137.jpeg","Скачать индивидуальный QR-код магазина")</f>
        <v>Скачать индивидуальный QR-код магазина</v>
      </c>
    </row>
    <row r="9975" spans="1:7" x14ac:dyDescent="0.25">
      <c r="A9975" t="s">
        <v>30141</v>
      </c>
      <c r="B9975" t="s">
        <v>31435</v>
      </c>
      <c r="C9975" t="s">
        <v>798</v>
      </c>
      <c r="D9975" t="s">
        <v>799</v>
      </c>
      <c r="E9975" t="s">
        <v>800</v>
      </c>
      <c r="F9975" t="s">
        <v>31436</v>
      </c>
      <c r="G9975" s="2" t="str">
        <f>HYPERLINK("https://probpalata.gov.ru/files/ЮЛ780300308200209.jpeg","Скачать индивидуальный QR-код магазина")</f>
        <v>Скачать индивидуальный QR-код магазина</v>
      </c>
    </row>
    <row r="9976" spans="1:7" x14ac:dyDescent="0.25">
      <c r="A9976" t="s">
        <v>30141</v>
      </c>
      <c r="B9976" t="s">
        <v>31437</v>
      </c>
      <c r="C9976" t="s">
        <v>798</v>
      </c>
      <c r="D9976" t="s">
        <v>799</v>
      </c>
      <c r="E9976" t="s">
        <v>800</v>
      </c>
      <c r="F9976" t="s">
        <v>31438</v>
      </c>
      <c r="G9976" s="2" t="str">
        <f>HYPERLINK("https://probpalata.gov.ru/files/ЮЛ780300308200262.jpeg","Скачать индивидуальный QR-код магазина")</f>
        <v>Скачать индивидуальный QR-код магазина</v>
      </c>
    </row>
    <row r="9977" spans="1:7" x14ac:dyDescent="0.25">
      <c r="A9977" t="s">
        <v>30141</v>
      </c>
      <c r="B9977" t="s">
        <v>31439</v>
      </c>
      <c r="C9977" t="s">
        <v>798</v>
      </c>
      <c r="D9977" t="s">
        <v>799</v>
      </c>
      <c r="E9977" t="s">
        <v>800</v>
      </c>
      <c r="F9977" t="s">
        <v>31440</v>
      </c>
      <c r="G9977" s="2" t="str">
        <f>HYPERLINK("https://probpalata.gov.ru/files/ЮЛ780300308200287.jpeg","Скачать индивидуальный QR-код магазина")</f>
        <v>Скачать индивидуальный QR-код магазина</v>
      </c>
    </row>
    <row r="9978" spans="1:7" x14ac:dyDescent="0.25">
      <c r="A9978" t="s">
        <v>30141</v>
      </c>
      <c r="B9978" t="s">
        <v>31441</v>
      </c>
      <c r="C9978" t="s">
        <v>798</v>
      </c>
      <c r="D9978" t="s">
        <v>799</v>
      </c>
      <c r="E9978" t="s">
        <v>800</v>
      </c>
      <c r="F9978" t="s">
        <v>31442</v>
      </c>
      <c r="G9978" s="2" t="str">
        <f>HYPERLINK("https://probpalata.gov.ru/files/ЮЛ780300308200454.jpeg","Скачать индивидуальный QR-код магазина")</f>
        <v>Скачать индивидуальный QR-код магазина</v>
      </c>
    </row>
    <row r="9979" spans="1:7" x14ac:dyDescent="0.25">
      <c r="A9979" t="s">
        <v>30141</v>
      </c>
      <c r="B9979" t="s">
        <v>31443</v>
      </c>
      <c r="C9979" t="s">
        <v>798</v>
      </c>
      <c r="D9979" t="s">
        <v>799</v>
      </c>
      <c r="E9979" t="s">
        <v>800</v>
      </c>
      <c r="F9979" t="s">
        <v>31444</v>
      </c>
      <c r="G9979" s="2" t="str">
        <f>HYPERLINK("https://probpalata.gov.ru/files/ЮЛ780300308200573.jpeg","Скачать индивидуальный QR-код магазина")</f>
        <v>Скачать индивидуальный QR-код магазина</v>
      </c>
    </row>
    <row r="9980" spans="1:7" x14ac:dyDescent="0.25">
      <c r="A9980" t="s">
        <v>30141</v>
      </c>
      <c r="B9980" t="s">
        <v>31445</v>
      </c>
      <c r="C9980" t="s">
        <v>798</v>
      </c>
      <c r="D9980" t="s">
        <v>799</v>
      </c>
      <c r="E9980" t="s">
        <v>800</v>
      </c>
      <c r="F9980" t="s">
        <v>31446</v>
      </c>
      <c r="G9980" s="2" t="str">
        <f>HYPERLINK("https://probpalata.gov.ru/files/ЮЛ780300308200627.jpeg","Скачать индивидуальный QR-код магазина")</f>
        <v>Скачать индивидуальный QR-код магазина</v>
      </c>
    </row>
    <row r="9981" spans="1:7" x14ac:dyDescent="0.25">
      <c r="A9981" t="s">
        <v>30141</v>
      </c>
      <c r="B9981" t="s">
        <v>31447</v>
      </c>
      <c r="C9981" t="s">
        <v>798</v>
      </c>
      <c r="D9981" t="s">
        <v>799</v>
      </c>
      <c r="E9981" t="s">
        <v>800</v>
      </c>
      <c r="F9981" t="s">
        <v>31448</v>
      </c>
      <c r="G9981" s="2" t="str">
        <f>HYPERLINK("https://probpalata.gov.ru/files/ЮЛ780300308200657.jpeg","Скачать индивидуальный QR-код магазина")</f>
        <v>Скачать индивидуальный QR-код магазина</v>
      </c>
    </row>
    <row r="9982" spans="1:7" x14ac:dyDescent="0.25">
      <c r="A9982" t="s">
        <v>30141</v>
      </c>
      <c r="B9982" t="s">
        <v>31449</v>
      </c>
      <c r="C9982" t="s">
        <v>798</v>
      </c>
      <c r="D9982" t="s">
        <v>799</v>
      </c>
      <c r="E9982" t="s">
        <v>800</v>
      </c>
      <c r="F9982" t="s">
        <v>31450</v>
      </c>
      <c r="G9982" s="2" t="str">
        <f>HYPERLINK("https://probpalata.gov.ru/files/ЮЛ780300308200802.jpeg","Скачать индивидуальный QR-код магазина")</f>
        <v>Скачать индивидуальный QR-код магазина</v>
      </c>
    </row>
    <row r="9983" spans="1:7" x14ac:dyDescent="0.25">
      <c r="A9983" t="s">
        <v>30141</v>
      </c>
      <c r="B9983" t="s">
        <v>31451</v>
      </c>
      <c r="C9983" t="s">
        <v>798</v>
      </c>
      <c r="D9983" t="s">
        <v>799</v>
      </c>
      <c r="E9983" t="s">
        <v>800</v>
      </c>
      <c r="F9983" t="s">
        <v>31452</v>
      </c>
      <c r="G9983" s="2" t="str">
        <f>HYPERLINK("https://probpalata.gov.ru/files/ЮЛ780300308200803.jpeg","Скачать индивидуальный QR-код магазина")</f>
        <v>Скачать индивидуальный QR-код магазина</v>
      </c>
    </row>
    <row r="9984" spans="1:7" x14ac:dyDescent="0.25">
      <c r="A9984" t="s">
        <v>30141</v>
      </c>
      <c r="B9984" t="s">
        <v>31453</v>
      </c>
      <c r="C9984" t="s">
        <v>798</v>
      </c>
      <c r="D9984" t="s">
        <v>799</v>
      </c>
      <c r="E9984" t="s">
        <v>800</v>
      </c>
      <c r="F9984" t="s">
        <v>31454</v>
      </c>
      <c r="G9984" s="2" t="str">
        <f>HYPERLINK("https://probpalata.gov.ru/files/ЮЛ780300308201211.jpeg","Скачать индивидуальный QR-код магазина")</f>
        <v>Скачать индивидуальный QR-код магазина</v>
      </c>
    </row>
    <row r="9985" spans="1:7" x14ac:dyDescent="0.25">
      <c r="A9985" t="s">
        <v>30141</v>
      </c>
      <c r="B9985" t="s">
        <v>31455</v>
      </c>
      <c r="C9985" t="s">
        <v>823</v>
      </c>
      <c r="D9985" t="s">
        <v>824</v>
      </c>
      <c r="E9985" t="s">
        <v>825</v>
      </c>
      <c r="F9985" t="s">
        <v>31456</v>
      </c>
      <c r="G9985" s="2" t="str">
        <f>HYPERLINK("https://probpalata.gov.ru/files/ЮЛ780300363500031.jpeg","Скачать индивидуальный QR-код магазина")</f>
        <v>Скачать индивидуальный QR-код магазина</v>
      </c>
    </row>
    <row r="9986" spans="1:7" x14ac:dyDescent="0.25">
      <c r="A9986" t="s">
        <v>30141</v>
      </c>
      <c r="B9986" t="s">
        <v>31457</v>
      </c>
      <c r="C9986" t="s">
        <v>1490</v>
      </c>
      <c r="D9986" t="s">
        <v>1491</v>
      </c>
      <c r="E9986" t="s">
        <v>1492</v>
      </c>
      <c r="F9986" t="s">
        <v>31458</v>
      </c>
      <c r="G9986" s="2" t="str">
        <f>HYPERLINK("https://probpalata.gov.ru/files/ЮЛ780301261200018.jpeg","Скачать индивидуальный QR-код магазина")</f>
        <v>Скачать индивидуальный QR-код магазина</v>
      </c>
    </row>
    <row r="9987" spans="1:7" x14ac:dyDescent="0.25">
      <c r="A9987" t="s">
        <v>30141</v>
      </c>
      <c r="B9987" t="s">
        <v>31459</v>
      </c>
      <c r="C9987" t="s">
        <v>1490</v>
      </c>
      <c r="D9987" t="s">
        <v>1491</v>
      </c>
      <c r="E9987" t="s">
        <v>1492</v>
      </c>
      <c r="F9987" t="s">
        <v>31460</v>
      </c>
      <c r="G9987" s="2" t="str">
        <f>HYPERLINK("https://probpalata.gov.ru/files/ЮЛ780301261200071.jpeg","Скачать индивидуальный QR-код магазина")</f>
        <v>Скачать индивидуальный QR-код магазина</v>
      </c>
    </row>
    <row r="9988" spans="1:7" x14ac:dyDescent="0.25">
      <c r="A9988" t="s">
        <v>30141</v>
      </c>
      <c r="B9988" t="s">
        <v>31461</v>
      </c>
      <c r="C9988" t="s">
        <v>31462</v>
      </c>
      <c r="D9988" t="s">
        <v>31463</v>
      </c>
      <c r="E9988" t="s">
        <v>31464</v>
      </c>
      <c r="F9988" t="s">
        <v>31465</v>
      </c>
      <c r="G9988" s="2" t="str">
        <f>HYPERLINK("https://probpalata.gov.ru/files/ЮЛ520600313100000.jpeg","Скачать индивидуальный QR-код магазина")</f>
        <v>Скачать индивидуальный QR-код магазина</v>
      </c>
    </row>
    <row r="9989" spans="1:7" x14ac:dyDescent="0.25">
      <c r="A9989" t="s">
        <v>30141</v>
      </c>
      <c r="B9989" t="s">
        <v>31466</v>
      </c>
      <c r="C9989" t="s">
        <v>7841</v>
      </c>
      <c r="D9989" t="s">
        <v>7842</v>
      </c>
      <c r="E9989" t="s">
        <v>7843</v>
      </c>
      <c r="F9989" t="s">
        <v>31467</v>
      </c>
      <c r="G9989" s="2" t="str">
        <f>HYPERLINK("https://probpalata.gov.ru/files/ЮЛ900403653600003.jpeg","Скачать индивидуальный QR-код магазина")</f>
        <v>Скачать индивидуальный QR-код магазина</v>
      </c>
    </row>
    <row r="9990" spans="1:7" x14ac:dyDescent="0.25">
      <c r="A9990" t="s">
        <v>30141</v>
      </c>
      <c r="B9990" t="s">
        <v>31468</v>
      </c>
      <c r="C9990" t="s">
        <v>15574</v>
      </c>
      <c r="D9990" t="s">
        <v>15575</v>
      </c>
      <c r="E9990" t="s">
        <v>15576</v>
      </c>
      <c r="F9990" t="s">
        <v>31469</v>
      </c>
      <c r="G9990" s="2" t="str">
        <f>HYPERLINK("https://probpalata.gov.ru/files/ИП820400991100011.jpeg","Скачать индивидуальный QR-код магазина")</f>
        <v>Скачать индивидуальный QR-код магазина</v>
      </c>
    </row>
    <row r="9991" spans="1:7" x14ac:dyDescent="0.25">
      <c r="A9991" t="s">
        <v>30141</v>
      </c>
      <c r="B9991" t="s">
        <v>31470</v>
      </c>
      <c r="C9991" t="s">
        <v>26080</v>
      </c>
      <c r="D9991" t="s">
        <v>26081</v>
      </c>
      <c r="E9991" t="s">
        <v>26082</v>
      </c>
      <c r="F9991" t="s">
        <v>31471</v>
      </c>
      <c r="G9991" s="2" t="str">
        <f>HYPERLINK("https://probpalata.gov.ru/files/ЮЛ770100668800001.jpeg","Скачать индивидуальный QR-код магазина")</f>
        <v>Скачать индивидуальный QR-код магазина</v>
      </c>
    </row>
    <row r="9992" spans="1:7" x14ac:dyDescent="0.25">
      <c r="A9992" t="s">
        <v>30141</v>
      </c>
      <c r="B9992" t="s">
        <v>31472</v>
      </c>
      <c r="C9992" t="s">
        <v>1501</v>
      </c>
      <c r="D9992" t="s">
        <v>1502</v>
      </c>
      <c r="E9992" t="s">
        <v>1503</v>
      </c>
      <c r="F9992" t="s">
        <v>31473</v>
      </c>
      <c r="G9992" s="2" t="str">
        <f>HYPERLINK("https://probpalata.gov.ru/files/ЮЛ770100439200273.jpeg","Скачать индивидуальный QR-код магазина")</f>
        <v>Скачать индивидуальный QR-код магазина</v>
      </c>
    </row>
    <row r="9993" spans="1:7" x14ac:dyDescent="0.25">
      <c r="A9993" t="s">
        <v>30141</v>
      </c>
      <c r="B9993" t="s">
        <v>31474</v>
      </c>
      <c r="C9993" t="s">
        <v>7852</v>
      </c>
      <c r="D9993" t="s">
        <v>7853</v>
      </c>
      <c r="E9993" t="s">
        <v>7854</v>
      </c>
      <c r="F9993" t="s">
        <v>31475</v>
      </c>
      <c r="G9993" s="2" t="str">
        <f>HYPERLINK("https://probpalata.gov.ru/files/ЮЛ770100029500004.jpeg","Скачать индивидуальный QR-код магазина")</f>
        <v>Скачать индивидуальный QR-код магазина</v>
      </c>
    </row>
    <row r="9994" spans="1:7" x14ac:dyDescent="0.25">
      <c r="A9994" t="s">
        <v>31476</v>
      </c>
      <c r="B9994" t="s">
        <v>31477</v>
      </c>
      <c r="C9994" t="s">
        <v>31478</v>
      </c>
      <c r="D9994" t="s">
        <v>31479</v>
      </c>
      <c r="E9994" t="s">
        <v>31480</v>
      </c>
      <c r="F9994" t="s">
        <v>31481</v>
      </c>
      <c r="G9994" s="2" t="str">
        <f>HYPERLINK("https://probpalata.gov.ru/files/ИП530300385000000.jpeg","Скачать индивидуальный QR-код магазина")</f>
        <v>Скачать индивидуальный QR-код магазина</v>
      </c>
    </row>
    <row r="9995" spans="1:7" x14ac:dyDescent="0.25">
      <c r="A9995" t="s">
        <v>31476</v>
      </c>
      <c r="B9995" t="s">
        <v>31482</v>
      </c>
      <c r="C9995" t="s">
        <v>31483</v>
      </c>
      <c r="D9995" t="s">
        <v>31484</v>
      </c>
      <c r="E9995" t="s">
        <v>31485</v>
      </c>
      <c r="F9995" t="s">
        <v>31486</v>
      </c>
      <c r="G9995" s="2" t="str">
        <f>HYPERLINK("https://probpalata.gov.ru/files/ИП530301465700000.jpeg","Скачать индивидуальный QR-код магазина")</f>
        <v>Скачать индивидуальный QR-код магазина</v>
      </c>
    </row>
    <row r="9996" spans="1:7" x14ac:dyDescent="0.25">
      <c r="A9996" t="s">
        <v>31476</v>
      </c>
      <c r="B9996" t="s">
        <v>31487</v>
      </c>
      <c r="C9996" t="s">
        <v>31483</v>
      </c>
      <c r="D9996" t="s">
        <v>31484</v>
      </c>
      <c r="E9996" t="s">
        <v>31485</v>
      </c>
      <c r="F9996" t="s">
        <v>31488</v>
      </c>
      <c r="G9996" s="2" t="str">
        <f>HYPERLINK("https://probpalata.gov.ru/files/ИП530301465700002.jpeg","Скачать индивидуальный QR-код магазина")</f>
        <v>Скачать индивидуальный QR-код магазина</v>
      </c>
    </row>
    <row r="9997" spans="1:7" x14ac:dyDescent="0.25">
      <c r="A9997" t="s">
        <v>31476</v>
      </c>
      <c r="B9997" t="s">
        <v>31489</v>
      </c>
      <c r="C9997" t="s">
        <v>31490</v>
      </c>
      <c r="D9997" t="s">
        <v>31491</v>
      </c>
      <c r="E9997" t="s">
        <v>31492</v>
      </c>
      <c r="F9997" t="s">
        <v>31493</v>
      </c>
      <c r="G9997" s="2" t="str">
        <f>HYPERLINK("https://probpalata.gov.ru/files/ИП530301368500000.jpeg","Скачать индивидуальный QR-код магазина")</f>
        <v>Скачать индивидуальный QR-код магазина</v>
      </c>
    </row>
    <row r="9998" spans="1:7" x14ac:dyDescent="0.25">
      <c r="A9998" t="s">
        <v>31476</v>
      </c>
      <c r="B9998" t="s">
        <v>31494</v>
      </c>
      <c r="C9998" t="s">
        <v>31495</v>
      </c>
      <c r="D9998" t="s">
        <v>31496</v>
      </c>
      <c r="E9998" t="s">
        <v>31497</v>
      </c>
      <c r="F9998" t="s">
        <v>31498</v>
      </c>
      <c r="G9998" s="2" t="str">
        <f>HYPERLINK("https://probpalata.gov.ru/files/ИП530300421900000.jpeg","Скачать индивидуальный QR-код магазина")</f>
        <v>Скачать индивидуальный QR-код магазина</v>
      </c>
    </row>
    <row r="9999" spans="1:7" x14ac:dyDescent="0.25">
      <c r="A9999" t="s">
        <v>31476</v>
      </c>
      <c r="B9999" t="s">
        <v>31499</v>
      </c>
      <c r="C9999" t="s">
        <v>31500</v>
      </c>
      <c r="D9999" t="s">
        <v>31501</v>
      </c>
      <c r="E9999" t="s">
        <v>31502</v>
      </c>
      <c r="F9999" t="s">
        <v>31503</v>
      </c>
      <c r="G9999" s="2" t="str">
        <f>HYPERLINK("https://probpalata.gov.ru/files/ИП530300736600000.jpeg","Скачать индивидуальный QR-код магазина")</f>
        <v>Скачать индивидуальный QR-код магазина</v>
      </c>
    </row>
    <row r="10000" spans="1:7" x14ac:dyDescent="0.25">
      <c r="A10000" t="s">
        <v>31476</v>
      </c>
      <c r="B10000" t="s">
        <v>31504</v>
      </c>
      <c r="C10000" t="s">
        <v>31505</v>
      </c>
      <c r="D10000" t="s">
        <v>31506</v>
      </c>
      <c r="E10000" t="s">
        <v>31507</v>
      </c>
      <c r="F10000" t="s">
        <v>31508</v>
      </c>
      <c r="G10000" s="2" t="str">
        <f>HYPERLINK("https://probpalata.gov.ru/files/ЮЛ530301020500000.jpeg","Скачать индивидуальный QR-код магазина")</f>
        <v>Скачать индивидуальный QR-код магазина</v>
      </c>
    </row>
    <row r="10001" spans="1:7" x14ac:dyDescent="0.25">
      <c r="A10001" t="s">
        <v>31476</v>
      </c>
      <c r="B10001" t="s">
        <v>31509</v>
      </c>
      <c r="C10001" t="s">
        <v>31510</v>
      </c>
      <c r="D10001" t="s">
        <v>31511</v>
      </c>
      <c r="E10001" t="s">
        <v>31512</v>
      </c>
      <c r="F10001" t="s">
        <v>31513</v>
      </c>
      <c r="G10001" s="2" t="str">
        <f>HYPERLINK("https://probpalata.gov.ru/files/ИП530300762500000.jpeg","Скачать индивидуальный QR-код магазина")</f>
        <v>Скачать индивидуальный QR-код магазина</v>
      </c>
    </row>
    <row r="10002" spans="1:7" x14ac:dyDescent="0.25">
      <c r="A10002" t="s">
        <v>31476</v>
      </c>
      <c r="B10002" t="s">
        <v>31514</v>
      </c>
      <c r="C10002" t="s">
        <v>31510</v>
      </c>
      <c r="D10002" t="s">
        <v>31511</v>
      </c>
      <c r="E10002" t="s">
        <v>31512</v>
      </c>
      <c r="F10002" t="s">
        <v>31515</v>
      </c>
      <c r="G10002" s="2" t="str">
        <f>HYPERLINK("https://probpalata.gov.ru/files/ИП530300762500001.jpeg","Скачать индивидуальный QR-код магазина")</f>
        <v>Скачать индивидуальный QR-код магазина</v>
      </c>
    </row>
    <row r="10003" spans="1:7" x14ac:dyDescent="0.25">
      <c r="A10003" t="s">
        <v>31476</v>
      </c>
      <c r="B10003" t="s">
        <v>31516</v>
      </c>
      <c r="C10003" t="s">
        <v>31517</v>
      </c>
      <c r="D10003" t="s">
        <v>31518</v>
      </c>
      <c r="E10003" t="s">
        <v>31519</v>
      </c>
      <c r="F10003" t="s">
        <v>31520</v>
      </c>
      <c r="G10003" s="2" t="str">
        <f>HYPERLINK("https://probpalata.gov.ru/files/ЮЛ530301180400000.jpeg","Скачать индивидуальный QR-код магазина")</f>
        <v>Скачать индивидуальный QR-код магазина</v>
      </c>
    </row>
    <row r="10004" spans="1:7" x14ac:dyDescent="0.25">
      <c r="A10004" t="s">
        <v>31476</v>
      </c>
      <c r="B10004" t="s">
        <v>31521</v>
      </c>
      <c r="C10004" t="s">
        <v>31522</v>
      </c>
      <c r="D10004" t="s">
        <v>31523</v>
      </c>
      <c r="E10004" t="s">
        <v>31524</v>
      </c>
      <c r="F10004" t="s">
        <v>31525</v>
      </c>
      <c r="G10004" s="2" t="str">
        <f>HYPERLINK("https://probpalata.gov.ru/files/ИП530301775700000.jpeg","Скачать индивидуальный QR-код магазина")</f>
        <v>Скачать индивидуальный QR-код магазина</v>
      </c>
    </row>
    <row r="10005" spans="1:7" x14ac:dyDescent="0.25">
      <c r="A10005" t="s">
        <v>31476</v>
      </c>
      <c r="B10005" t="s">
        <v>31526</v>
      </c>
      <c r="C10005" t="s">
        <v>31527</v>
      </c>
      <c r="D10005" t="s">
        <v>31528</v>
      </c>
      <c r="E10005" t="s">
        <v>31529</v>
      </c>
      <c r="F10005" t="s">
        <v>31530</v>
      </c>
      <c r="G10005" s="2" t="str">
        <f>HYPERLINK("https://probpalata.gov.ru/files/ИП530303347600000.jpeg","Скачать индивидуальный QR-код магазина")</f>
        <v>Скачать индивидуальный QR-код магазина</v>
      </c>
    </row>
    <row r="10006" spans="1:7" x14ac:dyDescent="0.25">
      <c r="A10006" t="s">
        <v>31476</v>
      </c>
      <c r="B10006" t="s">
        <v>31531</v>
      </c>
      <c r="C10006" t="s">
        <v>31527</v>
      </c>
      <c r="D10006" t="s">
        <v>31528</v>
      </c>
      <c r="E10006" t="s">
        <v>31529</v>
      </c>
      <c r="F10006" t="s">
        <v>31532</v>
      </c>
      <c r="G10006" s="2" t="str">
        <f>HYPERLINK("https://probpalata.gov.ru/files/ИП530303347600001.jpeg","Скачать индивидуальный QR-код магазина")</f>
        <v>Скачать индивидуальный QR-код магазина</v>
      </c>
    </row>
    <row r="10007" spans="1:7" x14ac:dyDescent="0.25">
      <c r="A10007" t="s">
        <v>31476</v>
      </c>
      <c r="B10007" t="s">
        <v>31533</v>
      </c>
      <c r="C10007" t="s">
        <v>31534</v>
      </c>
      <c r="D10007" t="s">
        <v>31535</v>
      </c>
      <c r="E10007" t="s">
        <v>31536</v>
      </c>
      <c r="F10007" t="s">
        <v>31537</v>
      </c>
      <c r="G10007" s="2" t="str">
        <f>HYPERLINK("https://probpalata.gov.ru/files/ИП530301557200000.jpeg","Скачать индивидуальный QR-код магазина")</f>
        <v>Скачать индивидуальный QR-код магазина</v>
      </c>
    </row>
    <row r="10008" spans="1:7" x14ac:dyDescent="0.25">
      <c r="A10008" t="s">
        <v>31476</v>
      </c>
      <c r="B10008" t="s">
        <v>31538</v>
      </c>
      <c r="C10008" t="s">
        <v>31539</v>
      </c>
      <c r="D10008" t="s">
        <v>31540</v>
      </c>
      <c r="E10008" t="s">
        <v>31541</v>
      </c>
      <c r="F10008" t="s">
        <v>31542</v>
      </c>
      <c r="G10008" s="2" t="str">
        <f>HYPERLINK("https://probpalata.gov.ru/files/ИП530300455200000.jpeg","Скачать индивидуальный QR-код магазина")</f>
        <v>Скачать индивидуальный QR-код магазина</v>
      </c>
    </row>
    <row r="10009" spans="1:7" x14ac:dyDescent="0.25">
      <c r="A10009" t="s">
        <v>31476</v>
      </c>
      <c r="B10009" t="s">
        <v>31543</v>
      </c>
      <c r="C10009" t="s">
        <v>31544</v>
      </c>
      <c r="D10009" t="s">
        <v>31545</v>
      </c>
      <c r="E10009" t="s">
        <v>31546</v>
      </c>
      <c r="F10009" t="s">
        <v>31547</v>
      </c>
      <c r="G10009" s="2" t="str">
        <f>HYPERLINK("https://probpalata.gov.ru/files/ИП530300604700000.jpeg","Скачать индивидуальный QR-код магазина")</f>
        <v>Скачать индивидуальный QR-код магазина</v>
      </c>
    </row>
    <row r="10010" spans="1:7" x14ac:dyDescent="0.25">
      <c r="A10010" t="s">
        <v>31476</v>
      </c>
      <c r="B10010" t="s">
        <v>31548</v>
      </c>
      <c r="C10010" t="s">
        <v>31549</v>
      </c>
      <c r="D10010" t="s">
        <v>31550</v>
      </c>
      <c r="E10010" t="s">
        <v>31551</v>
      </c>
      <c r="F10010" t="s">
        <v>31552</v>
      </c>
      <c r="G10010" s="2" t="str">
        <f>HYPERLINK("https://probpalata.gov.ru/files/ИП530300371400000.jpeg","Скачать индивидуальный QR-код магазина")</f>
        <v>Скачать индивидуальный QR-код магазина</v>
      </c>
    </row>
    <row r="10011" spans="1:7" x14ac:dyDescent="0.25">
      <c r="A10011" t="s">
        <v>31476</v>
      </c>
      <c r="B10011" t="s">
        <v>31553</v>
      </c>
      <c r="C10011" t="s">
        <v>31554</v>
      </c>
      <c r="D10011" t="s">
        <v>31555</v>
      </c>
      <c r="E10011" t="s">
        <v>31556</v>
      </c>
      <c r="F10011" t="s">
        <v>31557</v>
      </c>
      <c r="G10011" s="2" t="str">
        <f>HYPERLINK("https://probpalata.gov.ru/files/ИП530300866800000.jpeg","Скачать индивидуальный QR-код магазина")</f>
        <v>Скачать индивидуальный QR-код магазина</v>
      </c>
    </row>
    <row r="10012" spans="1:7" x14ac:dyDescent="0.25">
      <c r="A10012" t="s">
        <v>31476</v>
      </c>
      <c r="B10012" t="s">
        <v>31558</v>
      </c>
      <c r="C10012" t="s">
        <v>31559</v>
      </c>
      <c r="D10012" t="s">
        <v>31560</v>
      </c>
      <c r="E10012" t="s">
        <v>31561</v>
      </c>
      <c r="F10012" t="s">
        <v>31562</v>
      </c>
      <c r="G10012" s="2" t="str">
        <f>HYPERLINK("https://probpalata.gov.ru/files/ИП530300332800000.jpeg","Скачать индивидуальный QR-код магазина")</f>
        <v>Скачать индивидуальный QR-код магазина</v>
      </c>
    </row>
    <row r="10013" spans="1:7" x14ac:dyDescent="0.25">
      <c r="A10013" t="s">
        <v>31476</v>
      </c>
      <c r="B10013" t="s">
        <v>31563</v>
      </c>
      <c r="C10013" t="s">
        <v>31564</v>
      </c>
      <c r="D10013" t="s">
        <v>31565</v>
      </c>
      <c r="E10013" t="s">
        <v>31566</v>
      </c>
      <c r="F10013" t="s">
        <v>31567</v>
      </c>
      <c r="G10013" s="2" t="str">
        <f>HYPERLINK("https://probpalata.gov.ru/files/ИП530301176000000.jpeg","Скачать индивидуальный QR-код магазина")</f>
        <v>Скачать индивидуальный QR-код магазина</v>
      </c>
    </row>
    <row r="10014" spans="1:7" x14ac:dyDescent="0.25">
      <c r="A10014" t="s">
        <v>31476</v>
      </c>
      <c r="B10014" t="s">
        <v>31568</v>
      </c>
      <c r="C10014" t="s">
        <v>31569</v>
      </c>
      <c r="D10014" t="s">
        <v>31570</v>
      </c>
      <c r="E10014" t="s">
        <v>31571</v>
      </c>
      <c r="F10014" t="s">
        <v>31572</v>
      </c>
      <c r="G10014" s="2" t="str">
        <f>HYPERLINK("https://probpalata.gov.ru/files/ИП440203322400000.jpeg","Скачать индивидуальный QR-код магазина")</f>
        <v>Скачать индивидуальный QR-код магазина</v>
      </c>
    </row>
    <row r="10015" spans="1:7" x14ac:dyDescent="0.25">
      <c r="A10015" t="s">
        <v>31476</v>
      </c>
      <c r="B10015" t="s">
        <v>31573</v>
      </c>
      <c r="C10015" t="s">
        <v>31569</v>
      </c>
      <c r="D10015" t="s">
        <v>31570</v>
      </c>
      <c r="E10015" t="s">
        <v>31571</v>
      </c>
      <c r="F10015" t="s">
        <v>31574</v>
      </c>
      <c r="G10015" s="2" t="str">
        <f>HYPERLINK("https://probpalata.gov.ru/files/ИП440203322400002.jpeg","Скачать индивидуальный QR-код магазина")</f>
        <v>Скачать индивидуальный QR-код магазина</v>
      </c>
    </row>
    <row r="10016" spans="1:7" x14ac:dyDescent="0.25">
      <c r="A10016" t="s">
        <v>31476</v>
      </c>
      <c r="B10016" t="s">
        <v>31575</v>
      </c>
      <c r="C10016" t="s">
        <v>31569</v>
      </c>
      <c r="D10016" t="s">
        <v>31570</v>
      </c>
      <c r="E10016" t="s">
        <v>31571</v>
      </c>
      <c r="F10016" t="s">
        <v>31576</v>
      </c>
      <c r="G10016" s="2" t="str">
        <f>HYPERLINK("https://probpalata.gov.ru/files/ИП440203322400003.jpeg","Скачать индивидуальный QR-код магазина")</f>
        <v>Скачать индивидуальный QR-код магазина</v>
      </c>
    </row>
    <row r="10017" spans="1:7" x14ac:dyDescent="0.25">
      <c r="A10017" t="s">
        <v>31476</v>
      </c>
      <c r="B10017" t="s">
        <v>31577</v>
      </c>
      <c r="C10017" t="s">
        <v>31578</v>
      </c>
      <c r="D10017" t="s">
        <v>31579</v>
      </c>
      <c r="E10017" t="s">
        <v>31580</v>
      </c>
      <c r="F10017" t="s">
        <v>31581</v>
      </c>
      <c r="G10017" s="2" t="str">
        <f>HYPERLINK("https://probpalata.gov.ru/files/ЮЛ530301285200000.jpeg","Скачать индивидуальный QR-код магазина")</f>
        <v>Скачать индивидуальный QR-код магазина</v>
      </c>
    </row>
    <row r="10018" spans="1:7" x14ac:dyDescent="0.25">
      <c r="A10018" t="s">
        <v>31476</v>
      </c>
      <c r="B10018" t="s">
        <v>31582</v>
      </c>
      <c r="C10018" t="s">
        <v>31583</v>
      </c>
      <c r="D10018" t="s">
        <v>31584</v>
      </c>
      <c r="E10018" t="s">
        <v>31585</v>
      </c>
      <c r="F10018" t="s">
        <v>31586</v>
      </c>
      <c r="G10018" s="2" t="str">
        <f>HYPERLINK("https://probpalata.gov.ru/files/ИП530300330200000.jpeg","Скачать индивидуальный QR-код магазина")</f>
        <v>Скачать индивидуальный QR-код магазина</v>
      </c>
    </row>
    <row r="10019" spans="1:7" x14ac:dyDescent="0.25">
      <c r="A10019" t="s">
        <v>31476</v>
      </c>
      <c r="B10019" t="s">
        <v>31587</v>
      </c>
      <c r="C10019" t="s">
        <v>31583</v>
      </c>
      <c r="D10019" t="s">
        <v>31584</v>
      </c>
      <c r="E10019" t="s">
        <v>31585</v>
      </c>
      <c r="F10019" t="s">
        <v>31588</v>
      </c>
      <c r="G10019" s="2" t="str">
        <f>HYPERLINK("https://probpalata.gov.ru/files/ИП530300330200001.jpeg","Скачать индивидуальный QR-код магазина")</f>
        <v>Скачать индивидуальный QR-код магазина</v>
      </c>
    </row>
    <row r="10020" spans="1:7" x14ac:dyDescent="0.25">
      <c r="A10020" t="s">
        <v>31476</v>
      </c>
      <c r="B10020" t="s">
        <v>31589</v>
      </c>
      <c r="C10020" t="s">
        <v>31590</v>
      </c>
      <c r="D10020" t="s">
        <v>31591</v>
      </c>
      <c r="E10020" t="s">
        <v>31592</v>
      </c>
      <c r="F10020" t="s">
        <v>31593</v>
      </c>
      <c r="G10020" s="2" t="str">
        <f>HYPERLINK("https://probpalata.gov.ru/files/ЮЛ530301493700000.jpeg","Скачать индивидуальный QR-код магазина")</f>
        <v>Скачать индивидуальный QR-код магазина</v>
      </c>
    </row>
    <row r="10021" spans="1:7" x14ac:dyDescent="0.25">
      <c r="A10021" t="s">
        <v>31476</v>
      </c>
      <c r="B10021" t="s">
        <v>31594</v>
      </c>
      <c r="C10021" t="s">
        <v>31595</v>
      </c>
      <c r="D10021" t="s">
        <v>31596</v>
      </c>
      <c r="E10021" t="s">
        <v>31597</v>
      </c>
      <c r="F10021" t="s">
        <v>31598</v>
      </c>
      <c r="G10021" s="2" t="str">
        <f>HYPERLINK("https://probpalata.gov.ru/files/ИП780301223700000.jpeg","Скачать индивидуальный QR-код магазина")</f>
        <v>Скачать индивидуальный QR-код магазина</v>
      </c>
    </row>
    <row r="10022" spans="1:7" x14ac:dyDescent="0.25">
      <c r="A10022" t="s">
        <v>31476</v>
      </c>
      <c r="B10022" t="s">
        <v>31599</v>
      </c>
      <c r="C10022" t="s">
        <v>31595</v>
      </c>
      <c r="D10022" t="s">
        <v>31596</v>
      </c>
      <c r="E10022" t="s">
        <v>31597</v>
      </c>
      <c r="F10022" t="s">
        <v>31600</v>
      </c>
      <c r="G10022" s="2" t="str">
        <f>HYPERLINK("https://probpalata.gov.ru/files/ИП780301223700001.jpeg","Скачать индивидуальный QR-код магазина")</f>
        <v>Скачать индивидуальный QR-код магазина</v>
      </c>
    </row>
    <row r="10023" spans="1:7" x14ac:dyDescent="0.25">
      <c r="A10023" t="s">
        <v>31476</v>
      </c>
      <c r="B10023" t="s">
        <v>31601</v>
      </c>
      <c r="C10023" t="s">
        <v>1740</v>
      </c>
      <c r="D10023" t="s">
        <v>1741</v>
      </c>
      <c r="E10023" t="s">
        <v>1742</v>
      </c>
      <c r="F10023" t="s">
        <v>31602</v>
      </c>
      <c r="G10023" s="2" t="str">
        <f>HYPERLINK("https://probpalata.gov.ru/files/ЮЛ760201190700027.jpeg","Скачать индивидуальный QR-код магазина")</f>
        <v>Скачать индивидуальный QR-код магазина</v>
      </c>
    </row>
    <row r="10024" spans="1:7" x14ac:dyDescent="0.25">
      <c r="A10024" t="s">
        <v>31476</v>
      </c>
      <c r="B10024" t="s">
        <v>31603</v>
      </c>
      <c r="C10024" t="s">
        <v>1745</v>
      </c>
      <c r="D10024" t="s">
        <v>1746</v>
      </c>
      <c r="E10024" t="s">
        <v>1747</v>
      </c>
      <c r="F10024" t="s">
        <v>31604</v>
      </c>
      <c r="G10024" s="2" t="str">
        <f>HYPERLINK("https://probpalata.gov.ru/files/ЮЛ770100201500524.jpeg","Скачать индивидуальный QR-код магазина")</f>
        <v>Скачать индивидуальный QR-код магазина</v>
      </c>
    </row>
    <row r="10025" spans="1:7" x14ac:dyDescent="0.25">
      <c r="A10025" t="s">
        <v>31476</v>
      </c>
      <c r="B10025" t="s">
        <v>31605</v>
      </c>
      <c r="C10025" t="s">
        <v>1745</v>
      </c>
      <c r="D10025" t="s">
        <v>1746</v>
      </c>
      <c r="E10025" t="s">
        <v>1747</v>
      </c>
      <c r="F10025" t="s">
        <v>31606</v>
      </c>
      <c r="G10025" s="2" t="str">
        <f>HYPERLINK("https://probpalata.gov.ru/files/ЮЛ770100201500629.jpeg","Скачать индивидуальный QR-код магазина")</f>
        <v>Скачать индивидуальный QR-код магазина</v>
      </c>
    </row>
    <row r="10026" spans="1:7" x14ac:dyDescent="0.25">
      <c r="A10026" t="s">
        <v>31476</v>
      </c>
      <c r="B10026" t="s">
        <v>31607</v>
      </c>
      <c r="C10026" t="s">
        <v>713</v>
      </c>
      <c r="D10026" t="s">
        <v>714</v>
      </c>
      <c r="E10026" t="s">
        <v>715</v>
      </c>
      <c r="F10026" t="s">
        <v>31608</v>
      </c>
      <c r="G10026" s="2" t="str">
        <f>HYPERLINK("https://probpalata.gov.ru/files/ЮЛ770101216600133.jpeg","Скачать индивидуальный QR-код магазина")</f>
        <v>Скачать индивидуальный QR-код магазина</v>
      </c>
    </row>
    <row r="10027" spans="1:7" x14ac:dyDescent="0.25">
      <c r="A10027" t="s">
        <v>31476</v>
      </c>
      <c r="B10027" t="s">
        <v>31609</v>
      </c>
      <c r="C10027" t="s">
        <v>713</v>
      </c>
      <c r="D10027" t="s">
        <v>714</v>
      </c>
      <c r="E10027" t="s">
        <v>715</v>
      </c>
      <c r="F10027" t="s">
        <v>31610</v>
      </c>
      <c r="G10027" s="2" t="str">
        <f>HYPERLINK("https://probpalata.gov.ru/files/ЮЛ770101216600642.jpeg","Скачать индивидуальный QR-код магазина")</f>
        <v>Скачать индивидуальный QR-код магазина</v>
      </c>
    </row>
    <row r="10028" spans="1:7" x14ac:dyDescent="0.25">
      <c r="A10028" t="s">
        <v>31476</v>
      </c>
      <c r="B10028" t="s">
        <v>31611</v>
      </c>
      <c r="C10028" t="s">
        <v>748</v>
      </c>
      <c r="D10028" t="s">
        <v>749</v>
      </c>
      <c r="E10028" t="s">
        <v>750</v>
      </c>
      <c r="F10028" t="s">
        <v>31612</v>
      </c>
      <c r="G10028" s="2" t="str">
        <f>HYPERLINK("https://probpalata.gov.ru/files/ЮЛ770100193500196.jpeg","Скачать индивидуальный QR-код магазина")</f>
        <v>Скачать индивидуальный QR-код магазина</v>
      </c>
    </row>
    <row r="10029" spans="1:7" x14ac:dyDescent="0.25">
      <c r="A10029" t="s">
        <v>31476</v>
      </c>
      <c r="B10029" t="s">
        <v>31613</v>
      </c>
      <c r="C10029" t="s">
        <v>748</v>
      </c>
      <c r="D10029" t="s">
        <v>749</v>
      </c>
      <c r="E10029" t="s">
        <v>750</v>
      </c>
      <c r="F10029" t="s">
        <v>31614</v>
      </c>
      <c r="G10029" s="2" t="str">
        <f>HYPERLINK("https://probpalata.gov.ru/files/ЮЛ770100193500499.jpeg","Скачать индивидуальный QR-код магазина")</f>
        <v>Скачать индивидуальный QR-код магазина</v>
      </c>
    </row>
    <row r="10030" spans="1:7" x14ac:dyDescent="0.25">
      <c r="A10030" t="s">
        <v>31476</v>
      </c>
      <c r="B10030" t="s">
        <v>31615</v>
      </c>
      <c r="C10030" t="s">
        <v>748</v>
      </c>
      <c r="D10030" t="s">
        <v>749</v>
      </c>
      <c r="E10030" t="s">
        <v>750</v>
      </c>
      <c r="F10030" t="s">
        <v>31616</v>
      </c>
      <c r="G10030" s="2" t="str">
        <f>HYPERLINK("https://probpalata.gov.ru/files/ЮЛ770100193500861.jpeg","Скачать индивидуальный QR-код магазина")</f>
        <v>Скачать индивидуальный QR-код магазина</v>
      </c>
    </row>
    <row r="10031" spans="1:7" x14ac:dyDescent="0.25">
      <c r="A10031" t="s">
        <v>31476</v>
      </c>
      <c r="B10031" t="s">
        <v>31617</v>
      </c>
      <c r="C10031" t="s">
        <v>748</v>
      </c>
      <c r="D10031" t="s">
        <v>749</v>
      </c>
      <c r="E10031" t="s">
        <v>750</v>
      </c>
      <c r="F10031" t="s">
        <v>31618</v>
      </c>
      <c r="G10031" s="2" t="str">
        <f>HYPERLINK("https://probpalata.gov.ru/files/ЮЛ770100193500916.jpeg","Скачать индивидуальный QR-код магазина")</f>
        <v>Скачать индивидуальный QR-код магазина</v>
      </c>
    </row>
    <row r="10032" spans="1:7" x14ac:dyDescent="0.25">
      <c r="A10032" t="s">
        <v>31476</v>
      </c>
      <c r="B10032" t="s">
        <v>31619</v>
      </c>
      <c r="C10032" t="s">
        <v>773</v>
      </c>
      <c r="D10032" t="s">
        <v>774</v>
      </c>
      <c r="E10032" t="s">
        <v>775</v>
      </c>
      <c r="F10032" t="s">
        <v>31620</v>
      </c>
      <c r="G10032" s="2" t="str">
        <f>HYPERLINK("https://probpalata.gov.ru/files/ЮЛ780300131300263.jpeg","Скачать индивидуальный QR-код магазина")</f>
        <v>Скачать индивидуальный QR-код магазина</v>
      </c>
    </row>
    <row r="10033" spans="1:7" x14ac:dyDescent="0.25">
      <c r="A10033" t="s">
        <v>31476</v>
      </c>
      <c r="B10033" t="s">
        <v>31621</v>
      </c>
      <c r="C10033" t="s">
        <v>1441</v>
      </c>
      <c r="D10033" t="s">
        <v>1442</v>
      </c>
      <c r="E10033" t="s">
        <v>1443</v>
      </c>
      <c r="F10033" t="s">
        <v>31622</v>
      </c>
      <c r="G10033" s="2" t="str">
        <f>HYPERLINK("https://probpalata.gov.ru/files/ЮЛ780300179700008.jpeg","Скачать индивидуальный QR-код магазина")</f>
        <v>Скачать индивидуальный QR-код магазина</v>
      </c>
    </row>
    <row r="10034" spans="1:7" x14ac:dyDescent="0.25">
      <c r="A10034" t="s">
        <v>31476</v>
      </c>
      <c r="B10034" t="s">
        <v>31623</v>
      </c>
      <c r="C10034" t="s">
        <v>31624</v>
      </c>
      <c r="D10034" t="s">
        <v>31625</v>
      </c>
      <c r="E10034" t="s">
        <v>31626</v>
      </c>
      <c r="F10034" t="s">
        <v>31627</v>
      </c>
      <c r="G10034" s="2" t="str">
        <f>HYPERLINK("https://probpalata.gov.ru/files/ЮЛ530300547300000.jpeg","Скачать индивидуальный QR-код магазина")</f>
        <v>Скачать индивидуальный QR-код магазина</v>
      </c>
    </row>
    <row r="10035" spans="1:7" x14ac:dyDescent="0.25">
      <c r="A10035" t="s">
        <v>31476</v>
      </c>
      <c r="B10035" t="s">
        <v>31628</v>
      </c>
      <c r="C10035" t="s">
        <v>791</v>
      </c>
      <c r="D10035" t="s">
        <v>792</v>
      </c>
      <c r="E10035" t="s">
        <v>793</v>
      </c>
      <c r="F10035" t="s">
        <v>31629</v>
      </c>
      <c r="G10035" s="2" t="str">
        <f>HYPERLINK("https://probpalata.gov.ru/files/ЮЛ780300323500042.jpeg","Скачать индивидуальный QR-код магазина")</f>
        <v>Скачать индивидуальный QR-код магазина</v>
      </c>
    </row>
    <row r="10036" spans="1:7" x14ac:dyDescent="0.25">
      <c r="A10036" t="s">
        <v>31476</v>
      </c>
      <c r="B10036" t="s">
        <v>31630</v>
      </c>
      <c r="C10036" t="s">
        <v>791</v>
      </c>
      <c r="D10036" t="s">
        <v>792</v>
      </c>
      <c r="E10036" t="s">
        <v>793</v>
      </c>
      <c r="F10036" t="s">
        <v>31631</v>
      </c>
      <c r="G10036" s="2" t="str">
        <f>HYPERLINK("https://probpalata.gov.ru/files/ЮЛ780300323500046.jpeg","Скачать индивидуальный QR-код магазина")</f>
        <v>Скачать индивидуальный QR-код магазина</v>
      </c>
    </row>
    <row r="10037" spans="1:7" x14ac:dyDescent="0.25">
      <c r="A10037" t="s">
        <v>31476</v>
      </c>
      <c r="B10037" t="s">
        <v>31632</v>
      </c>
      <c r="C10037" t="s">
        <v>791</v>
      </c>
      <c r="D10037" t="s">
        <v>792</v>
      </c>
      <c r="E10037" t="s">
        <v>793</v>
      </c>
      <c r="F10037" t="s">
        <v>31633</v>
      </c>
      <c r="G10037" s="2" t="str">
        <f>HYPERLINK("https://probpalata.gov.ru/files/ЮЛ780300323500077.jpeg","Скачать индивидуальный QR-код магазина")</f>
        <v>Скачать индивидуальный QR-код магазина</v>
      </c>
    </row>
    <row r="10038" spans="1:7" x14ac:dyDescent="0.25">
      <c r="A10038" t="s">
        <v>31476</v>
      </c>
      <c r="B10038" t="s">
        <v>31634</v>
      </c>
      <c r="C10038" t="s">
        <v>798</v>
      </c>
      <c r="D10038" t="s">
        <v>799</v>
      </c>
      <c r="E10038" t="s">
        <v>800</v>
      </c>
      <c r="F10038" t="s">
        <v>31635</v>
      </c>
      <c r="G10038" s="2" t="str">
        <f>HYPERLINK("https://probpalata.gov.ru/files/ЮЛ780300308200008.jpeg","Скачать индивидуальный QR-код магазина")</f>
        <v>Скачать индивидуальный QR-код магазина</v>
      </c>
    </row>
    <row r="10039" spans="1:7" x14ac:dyDescent="0.25">
      <c r="A10039" t="s">
        <v>31476</v>
      </c>
      <c r="B10039" t="s">
        <v>31636</v>
      </c>
      <c r="C10039" t="s">
        <v>798</v>
      </c>
      <c r="D10039" t="s">
        <v>799</v>
      </c>
      <c r="E10039" t="s">
        <v>800</v>
      </c>
      <c r="F10039" t="s">
        <v>31637</v>
      </c>
      <c r="G10039" s="2" t="str">
        <f>HYPERLINK("https://probpalata.gov.ru/files/ЮЛ780300308200009.jpeg","Скачать индивидуальный QR-код магазина")</f>
        <v>Скачать индивидуальный QR-код магазина</v>
      </c>
    </row>
    <row r="10040" spans="1:7" x14ac:dyDescent="0.25">
      <c r="A10040" t="s">
        <v>31476</v>
      </c>
      <c r="B10040" t="s">
        <v>31638</v>
      </c>
      <c r="C10040" t="s">
        <v>798</v>
      </c>
      <c r="D10040" t="s">
        <v>799</v>
      </c>
      <c r="E10040" t="s">
        <v>800</v>
      </c>
      <c r="F10040" t="s">
        <v>31639</v>
      </c>
      <c r="G10040" s="2" t="str">
        <f>HYPERLINK("https://probpalata.gov.ru/files/ЮЛ780300308200042.jpeg","Скачать индивидуальный QR-код магазина")</f>
        <v>Скачать индивидуальный QR-код магазина</v>
      </c>
    </row>
    <row r="10041" spans="1:7" x14ac:dyDescent="0.25">
      <c r="A10041" t="s">
        <v>31476</v>
      </c>
      <c r="B10041" t="s">
        <v>31640</v>
      </c>
      <c r="C10041" t="s">
        <v>798</v>
      </c>
      <c r="D10041" t="s">
        <v>799</v>
      </c>
      <c r="E10041" t="s">
        <v>800</v>
      </c>
      <c r="F10041" t="s">
        <v>31641</v>
      </c>
      <c r="G10041" s="2" t="str">
        <f>HYPERLINK("https://probpalata.gov.ru/files/ЮЛ780300308200390.jpeg","Скачать индивидуальный QR-код магазина")</f>
        <v>Скачать индивидуальный QR-код магазина</v>
      </c>
    </row>
    <row r="10042" spans="1:7" x14ac:dyDescent="0.25">
      <c r="A10042" t="s">
        <v>31476</v>
      </c>
      <c r="B10042" t="s">
        <v>31632</v>
      </c>
      <c r="C10042" t="s">
        <v>798</v>
      </c>
      <c r="D10042" t="s">
        <v>799</v>
      </c>
      <c r="E10042" t="s">
        <v>800</v>
      </c>
      <c r="F10042" t="s">
        <v>31642</v>
      </c>
      <c r="G10042" s="2" t="str">
        <f>HYPERLINK("https://probpalata.gov.ru/files/ЮЛ780300308200477.jpeg","Скачать индивидуальный QR-код магазина")</f>
        <v>Скачать индивидуальный QR-код магазина</v>
      </c>
    </row>
    <row r="10043" spans="1:7" x14ac:dyDescent="0.25">
      <c r="A10043" t="s">
        <v>31476</v>
      </c>
      <c r="B10043" t="s">
        <v>31643</v>
      </c>
      <c r="C10043" t="s">
        <v>798</v>
      </c>
      <c r="D10043" t="s">
        <v>799</v>
      </c>
      <c r="E10043" t="s">
        <v>800</v>
      </c>
      <c r="F10043" t="s">
        <v>31644</v>
      </c>
      <c r="G10043" s="2" t="str">
        <f>HYPERLINK("https://probpalata.gov.ru/files/ЮЛ780300308200753.jpeg","Скачать индивидуальный QR-код магазина")</f>
        <v>Скачать индивидуальный QR-код магазина</v>
      </c>
    </row>
    <row r="10044" spans="1:7" x14ac:dyDescent="0.25">
      <c r="A10044" t="s">
        <v>31476</v>
      </c>
      <c r="B10044" t="s">
        <v>31645</v>
      </c>
      <c r="C10044" t="s">
        <v>823</v>
      </c>
      <c r="D10044" t="s">
        <v>824</v>
      </c>
      <c r="E10044" t="s">
        <v>825</v>
      </c>
      <c r="F10044" t="s">
        <v>31646</v>
      </c>
      <c r="G10044" s="2" t="str">
        <f>HYPERLINK("https://probpalata.gov.ru/files/ЮЛ780300363500007.jpeg","Скачать индивидуальный QR-код магазина")</f>
        <v>Скачать индивидуальный QR-код магазина</v>
      </c>
    </row>
    <row r="10045" spans="1:7" x14ac:dyDescent="0.25">
      <c r="A10045" t="s">
        <v>31476</v>
      </c>
      <c r="B10045" t="s">
        <v>31647</v>
      </c>
      <c r="C10045" t="s">
        <v>823</v>
      </c>
      <c r="D10045" t="s">
        <v>824</v>
      </c>
      <c r="E10045" t="s">
        <v>825</v>
      </c>
      <c r="F10045" t="s">
        <v>31648</v>
      </c>
      <c r="G10045" s="2" t="str">
        <f>HYPERLINK("https://probpalata.gov.ru/files/ЮЛ780300363500076.jpeg","Скачать индивидуальный QR-код магазина")</f>
        <v>Скачать индивидуальный QR-код магазина</v>
      </c>
    </row>
    <row r="10046" spans="1:7" x14ac:dyDescent="0.25">
      <c r="A10046" t="s">
        <v>31476</v>
      </c>
      <c r="B10046" t="s">
        <v>31632</v>
      </c>
      <c r="C10046" t="s">
        <v>823</v>
      </c>
      <c r="D10046" t="s">
        <v>824</v>
      </c>
      <c r="E10046" t="s">
        <v>825</v>
      </c>
      <c r="F10046" t="s">
        <v>31649</v>
      </c>
      <c r="G10046" s="2" t="str">
        <f>HYPERLINK("https://probpalata.gov.ru/files/ЮЛ780300363500077.jpeg","Скачать индивидуальный QR-код магазина")</f>
        <v>Скачать индивидуальный QR-код магазина</v>
      </c>
    </row>
    <row r="10047" spans="1:7" x14ac:dyDescent="0.25">
      <c r="A10047" t="s">
        <v>31650</v>
      </c>
      <c r="B10047" t="s">
        <v>31651</v>
      </c>
      <c r="C10047" t="s">
        <v>31652</v>
      </c>
      <c r="D10047" t="s">
        <v>31653</v>
      </c>
      <c r="E10047" t="s">
        <v>31654</v>
      </c>
      <c r="F10047" t="s">
        <v>31655</v>
      </c>
      <c r="G10047" s="2" t="str">
        <f>HYPERLINK("https://probpalata.gov.ru/files/ЮЛ140900908400012.jpeg","Скачать индивидуальный QR-код магазина")</f>
        <v>Скачать индивидуальный QR-код магазина</v>
      </c>
    </row>
    <row r="10048" spans="1:7" x14ac:dyDescent="0.25">
      <c r="A10048" t="s">
        <v>31650</v>
      </c>
      <c r="B10048" t="s">
        <v>31656</v>
      </c>
      <c r="C10048" t="s">
        <v>838</v>
      </c>
      <c r="D10048" t="s">
        <v>839</v>
      </c>
      <c r="E10048" t="s">
        <v>840</v>
      </c>
      <c r="F10048" t="s">
        <v>31657</v>
      </c>
      <c r="G10048" s="2" t="str">
        <f>HYPERLINK("https://probpalata.gov.ru/files/ЮЛ140900343400015.jpeg","Скачать индивидуальный QR-код магазина")</f>
        <v>Скачать индивидуальный QR-код магазина</v>
      </c>
    </row>
    <row r="10049" spans="1:7" x14ac:dyDescent="0.25">
      <c r="A10049" t="s">
        <v>31650</v>
      </c>
      <c r="B10049" t="s">
        <v>31658</v>
      </c>
      <c r="C10049" t="s">
        <v>31659</v>
      </c>
      <c r="D10049" t="s">
        <v>31660</v>
      </c>
      <c r="E10049" t="s">
        <v>31661</v>
      </c>
      <c r="F10049" t="s">
        <v>31662</v>
      </c>
      <c r="G10049" s="2" t="str">
        <f>HYPERLINK("https://probpalata.gov.ru/files/ИП240803316000000.jpeg","Скачать индивидуальный QR-код магазина")</f>
        <v>Скачать индивидуальный QR-код магазина</v>
      </c>
    </row>
    <row r="10050" spans="1:7" x14ac:dyDescent="0.25">
      <c r="A10050" t="s">
        <v>31650</v>
      </c>
      <c r="B10050" t="s">
        <v>31663</v>
      </c>
      <c r="C10050" t="s">
        <v>31659</v>
      </c>
      <c r="D10050" t="s">
        <v>31660</v>
      </c>
      <c r="E10050" t="s">
        <v>31661</v>
      </c>
      <c r="F10050" t="s">
        <v>31664</v>
      </c>
      <c r="G10050" s="2" t="str">
        <f>HYPERLINK("https://probpalata.gov.ru/files/ИП240803316000001.jpeg","Скачать индивидуальный QR-код магазина")</f>
        <v>Скачать индивидуальный QR-код магазина</v>
      </c>
    </row>
    <row r="10051" spans="1:7" x14ac:dyDescent="0.25">
      <c r="A10051" t="s">
        <v>31650</v>
      </c>
      <c r="B10051" t="s">
        <v>31665</v>
      </c>
      <c r="C10051" t="s">
        <v>31659</v>
      </c>
      <c r="D10051" t="s">
        <v>31660</v>
      </c>
      <c r="E10051" t="s">
        <v>31661</v>
      </c>
      <c r="F10051" t="s">
        <v>31666</v>
      </c>
      <c r="G10051" s="2" t="str">
        <f>HYPERLINK("https://probpalata.gov.ru/files/ИП240803316000002.jpeg","Скачать индивидуальный QR-код магазина")</f>
        <v>Скачать индивидуальный QR-код магазина</v>
      </c>
    </row>
    <row r="10052" spans="1:7" x14ac:dyDescent="0.25">
      <c r="A10052" t="s">
        <v>31650</v>
      </c>
      <c r="B10052" t="s">
        <v>31667</v>
      </c>
      <c r="C10052" t="s">
        <v>31659</v>
      </c>
      <c r="D10052" t="s">
        <v>31660</v>
      </c>
      <c r="E10052" t="s">
        <v>31661</v>
      </c>
      <c r="F10052" t="s">
        <v>31668</v>
      </c>
      <c r="G10052" s="2" t="str">
        <f>HYPERLINK("https://probpalata.gov.ru/files/ИП240803316000007.jpeg","Скачать индивидуальный QR-код магазина")</f>
        <v>Скачать индивидуальный QR-код магазина</v>
      </c>
    </row>
    <row r="10053" spans="1:7" x14ac:dyDescent="0.25">
      <c r="A10053" t="s">
        <v>31650</v>
      </c>
      <c r="B10053" t="s">
        <v>31669</v>
      </c>
      <c r="C10053" t="s">
        <v>31659</v>
      </c>
      <c r="D10053" t="s">
        <v>31660</v>
      </c>
      <c r="E10053" t="s">
        <v>31661</v>
      </c>
      <c r="F10053" t="s">
        <v>31670</v>
      </c>
      <c r="G10053" s="2" t="str">
        <f>HYPERLINK("https://probpalata.gov.ru/files/ИП240803316000008.jpeg","Скачать индивидуальный QR-код магазина")</f>
        <v>Скачать индивидуальный QR-код магазина</v>
      </c>
    </row>
    <row r="10054" spans="1:7" x14ac:dyDescent="0.25">
      <c r="A10054" t="s">
        <v>31650</v>
      </c>
      <c r="B10054" t="s">
        <v>31671</v>
      </c>
      <c r="C10054" t="s">
        <v>31672</v>
      </c>
      <c r="D10054" t="s">
        <v>31673</v>
      </c>
      <c r="E10054" t="s">
        <v>31674</v>
      </c>
      <c r="F10054" t="s">
        <v>31675</v>
      </c>
      <c r="G10054" s="2" t="str">
        <f>HYPERLINK("https://probpalata.gov.ru/files/ИП540803309300000.jpeg","Скачать индивидуальный QR-код магазина")</f>
        <v>Скачать индивидуальный QR-код магазина</v>
      </c>
    </row>
    <row r="10055" spans="1:7" x14ac:dyDescent="0.25">
      <c r="A10055" t="s">
        <v>31650</v>
      </c>
      <c r="B10055" t="s">
        <v>31676</v>
      </c>
      <c r="C10055" t="s">
        <v>16279</v>
      </c>
      <c r="D10055" t="s">
        <v>16280</v>
      </c>
      <c r="E10055" t="s">
        <v>16281</v>
      </c>
      <c r="F10055" t="s">
        <v>31677</v>
      </c>
      <c r="G10055" s="2" t="str">
        <f>HYPERLINK("https://probpalata.gov.ru/files/ИП240801272000001.jpeg","Скачать индивидуальный QR-код магазина")</f>
        <v>Скачать индивидуальный QR-код магазина</v>
      </c>
    </row>
    <row r="10056" spans="1:7" x14ac:dyDescent="0.25">
      <c r="A10056" t="s">
        <v>31650</v>
      </c>
      <c r="B10056" t="s">
        <v>31678</v>
      </c>
      <c r="C10056" t="s">
        <v>14558</v>
      </c>
      <c r="D10056" t="s">
        <v>14559</v>
      </c>
      <c r="E10056" t="s">
        <v>14560</v>
      </c>
      <c r="F10056" t="s">
        <v>31679</v>
      </c>
      <c r="G10056" s="2" t="str">
        <f>HYPERLINK("https://probpalata.gov.ru/files/ЮЛ240800183000070.jpeg","Скачать индивидуальный QR-код магазина")</f>
        <v>Скачать индивидуальный QR-код магазина</v>
      </c>
    </row>
    <row r="10057" spans="1:7" x14ac:dyDescent="0.25">
      <c r="A10057" t="s">
        <v>31650</v>
      </c>
      <c r="B10057" t="s">
        <v>31680</v>
      </c>
      <c r="C10057" t="s">
        <v>14558</v>
      </c>
      <c r="D10057" t="s">
        <v>14559</v>
      </c>
      <c r="E10057" t="s">
        <v>14560</v>
      </c>
      <c r="F10057" t="s">
        <v>31681</v>
      </c>
      <c r="G10057" s="2" t="str">
        <f>HYPERLINK("https://probpalata.gov.ru/files/ЮЛ240800183000072.jpeg","Скачать индивидуальный QR-код магазина")</f>
        <v>Скачать индивидуальный QR-код магазина</v>
      </c>
    </row>
    <row r="10058" spans="1:7" x14ac:dyDescent="0.25">
      <c r="A10058" t="s">
        <v>31650</v>
      </c>
      <c r="B10058" t="s">
        <v>31682</v>
      </c>
      <c r="C10058" t="s">
        <v>14558</v>
      </c>
      <c r="D10058" t="s">
        <v>14559</v>
      </c>
      <c r="E10058" t="s">
        <v>14560</v>
      </c>
      <c r="F10058" t="s">
        <v>31683</v>
      </c>
      <c r="G10058" s="2" t="str">
        <f>HYPERLINK("https://probpalata.gov.ru/files/ЮЛ240800183000073.jpeg","Скачать индивидуальный QR-код магазина")</f>
        <v>Скачать индивидуальный QR-код магазина</v>
      </c>
    </row>
    <row r="10059" spans="1:7" x14ac:dyDescent="0.25">
      <c r="A10059" t="s">
        <v>31650</v>
      </c>
      <c r="B10059" t="s">
        <v>31684</v>
      </c>
      <c r="C10059" t="s">
        <v>14558</v>
      </c>
      <c r="D10059" t="s">
        <v>14559</v>
      </c>
      <c r="E10059" t="s">
        <v>14560</v>
      </c>
      <c r="F10059" t="s">
        <v>31685</v>
      </c>
      <c r="G10059" s="2" t="str">
        <f>HYPERLINK("https://probpalata.gov.ru/files/ЮЛ240800183000083.jpeg","Скачать индивидуальный QR-код магазина")</f>
        <v>Скачать индивидуальный QR-код магазина</v>
      </c>
    </row>
    <row r="10060" spans="1:7" x14ac:dyDescent="0.25">
      <c r="A10060" t="s">
        <v>31650</v>
      </c>
      <c r="B10060" t="s">
        <v>31686</v>
      </c>
      <c r="C10060" t="s">
        <v>14558</v>
      </c>
      <c r="D10060" t="s">
        <v>14559</v>
      </c>
      <c r="E10060" t="s">
        <v>14560</v>
      </c>
      <c r="F10060" t="s">
        <v>31687</v>
      </c>
      <c r="G10060" s="2" t="str">
        <f>HYPERLINK("https://probpalata.gov.ru/files/ЮЛ240800183000084.jpeg","Скачать индивидуальный QR-код магазина")</f>
        <v>Скачать индивидуальный QR-код магазина</v>
      </c>
    </row>
    <row r="10061" spans="1:7" x14ac:dyDescent="0.25">
      <c r="A10061" t="s">
        <v>31650</v>
      </c>
      <c r="B10061" t="s">
        <v>31688</v>
      </c>
      <c r="C10061" t="s">
        <v>14558</v>
      </c>
      <c r="D10061" t="s">
        <v>14559</v>
      </c>
      <c r="E10061" t="s">
        <v>14560</v>
      </c>
      <c r="F10061" t="s">
        <v>31689</v>
      </c>
      <c r="G10061" s="2" t="str">
        <f>HYPERLINK("https://probpalata.gov.ru/files/ЮЛ240800183000087.jpeg","Скачать индивидуальный QR-код магазина")</f>
        <v>Скачать индивидуальный QR-код магазина</v>
      </c>
    </row>
    <row r="10062" spans="1:7" x14ac:dyDescent="0.25">
      <c r="A10062" t="s">
        <v>31650</v>
      </c>
      <c r="B10062" t="s">
        <v>31690</v>
      </c>
      <c r="C10062" t="s">
        <v>14558</v>
      </c>
      <c r="D10062" t="s">
        <v>14559</v>
      </c>
      <c r="E10062" t="s">
        <v>14560</v>
      </c>
      <c r="F10062" t="s">
        <v>31691</v>
      </c>
      <c r="G10062" s="2" t="str">
        <f>HYPERLINK("https://probpalata.gov.ru/files/ЮЛ240800183000100.jpeg","Скачать индивидуальный QR-код магазина")</f>
        <v>Скачать индивидуальный QR-код магазина</v>
      </c>
    </row>
    <row r="10063" spans="1:7" x14ac:dyDescent="0.25">
      <c r="A10063" t="s">
        <v>31650</v>
      </c>
      <c r="B10063" t="s">
        <v>31692</v>
      </c>
      <c r="C10063" t="s">
        <v>2073</v>
      </c>
      <c r="D10063" t="s">
        <v>16510</v>
      </c>
      <c r="E10063" t="s">
        <v>16511</v>
      </c>
      <c r="F10063" t="s">
        <v>31693</v>
      </c>
      <c r="G10063" s="2" t="str">
        <f>HYPERLINK("https://probpalata.gov.ru/files/ЮЛ240800191200016.jpeg","Скачать индивидуальный QR-код магазина")</f>
        <v>Скачать индивидуальный QR-код магазина</v>
      </c>
    </row>
    <row r="10064" spans="1:7" x14ac:dyDescent="0.25">
      <c r="A10064" t="s">
        <v>31650</v>
      </c>
      <c r="B10064" t="s">
        <v>31694</v>
      </c>
      <c r="C10064" t="s">
        <v>2073</v>
      </c>
      <c r="D10064" t="s">
        <v>16510</v>
      </c>
      <c r="E10064" t="s">
        <v>16511</v>
      </c>
      <c r="F10064" t="s">
        <v>31695</v>
      </c>
      <c r="G10064" s="2" t="str">
        <f>HYPERLINK("https://probpalata.gov.ru/files/ЮЛ240800191200017.jpeg","Скачать индивидуальный QR-код магазина")</f>
        <v>Скачать индивидуальный QR-код магазина</v>
      </c>
    </row>
    <row r="10065" spans="1:7" x14ac:dyDescent="0.25">
      <c r="A10065" t="s">
        <v>31650</v>
      </c>
      <c r="B10065" t="s">
        <v>31696</v>
      </c>
      <c r="C10065" t="s">
        <v>9980</v>
      </c>
      <c r="D10065" t="s">
        <v>9981</v>
      </c>
      <c r="E10065" t="s">
        <v>9982</v>
      </c>
      <c r="F10065" t="s">
        <v>31697</v>
      </c>
      <c r="G10065" s="2" t="str">
        <f>HYPERLINK("https://probpalata.gov.ru/files/ИП240801156100002.jpeg","Скачать индивидуальный QR-код магазина")</f>
        <v>Скачать индивидуальный QR-код магазина</v>
      </c>
    </row>
    <row r="10066" spans="1:7" x14ac:dyDescent="0.25">
      <c r="A10066" t="s">
        <v>31650</v>
      </c>
      <c r="B10066" t="s">
        <v>31698</v>
      </c>
      <c r="C10066" t="s">
        <v>31699</v>
      </c>
      <c r="D10066" t="s">
        <v>31700</v>
      </c>
      <c r="E10066" t="s">
        <v>31701</v>
      </c>
      <c r="F10066" t="s">
        <v>31702</v>
      </c>
      <c r="G10066" s="2" t="str">
        <f>HYPERLINK("https://probpalata.gov.ru/files/ИП540803946100000.jpeg","Скачать индивидуальный QR-код магазина")</f>
        <v>Скачать индивидуальный QR-код магазина</v>
      </c>
    </row>
    <row r="10067" spans="1:7" x14ac:dyDescent="0.25">
      <c r="A10067" t="s">
        <v>31650</v>
      </c>
      <c r="B10067" t="s">
        <v>31703</v>
      </c>
      <c r="C10067" t="s">
        <v>31704</v>
      </c>
      <c r="D10067" t="s">
        <v>31705</v>
      </c>
      <c r="E10067" t="s">
        <v>31706</v>
      </c>
      <c r="F10067" t="s">
        <v>31707</v>
      </c>
      <c r="G10067" s="2" t="str">
        <f>HYPERLINK("https://probpalata.gov.ru/files/ИП540800342000000.jpeg","Скачать индивидуальный QR-код магазина")</f>
        <v>Скачать индивидуальный QR-код магазина</v>
      </c>
    </row>
    <row r="10068" spans="1:7" x14ac:dyDescent="0.25">
      <c r="A10068" t="s">
        <v>31650</v>
      </c>
      <c r="B10068" t="s">
        <v>31708</v>
      </c>
      <c r="C10068" t="s">
        <v>31709</v>
      </c>
      <c r="D10068" t="s">
        <v>31710</v>
      </c>
      <c r="E10068" t="s">
        <v>31711</v>
      </c>
      <c r="F10068" t="s">
        <v>31712</v>
      </c>
      <c r="G10068" s="2" t="str">
        <f>HYPERLINK("https://probpalata.gov.ru/files/ИП540800180800000.jpeg","Скачать индивидуальный QR-код магазина")</f>
        <v>Скачать индивидуальный QR-код магазина</v>
      </c>
    </row>
    <row r="10069" spans="1:7" x14ac:dyDescent="0.25">
      <c r="A10069" t="s">
        <v>31650</v>
      </c>
      <c r="B10069" t="s">
        <v>31713</v>
      </c>
      <c r="C10069" t="s">
        <v>31714</v>
      </c>
      <c r="D10069" t="s">
        <v>31715</v>
      </c>
      <c r="E10069" t="s">
        <v>31716</v>
      </c>
      <c r="F10069" t="s">
        <v>31717</v>
      </c>
      <c r="G10069" s="2" t="str">
        <f>HYPERLINK("https://probpalata.gov.ru/files/ЮЛ540800068300000.jpeg","Скачать индивидуальный QR-код магазина")</f>
        <v>Скачать индивидуальный QR-код магазина</v>
      </c>
    </row>
    <row r="10070" spans="1:7" x14ac:dyDescent="0.25">
      <c r="A10070" t="s">
        <v>31650</v>
      </c>
      <c r="B10070" t="s">
        <v>31718</v>
      </c>
      <c r="C10070" t="s">
        <v>14743</v>
      </c>
      <c r="D10070" t="s">
        <v>14744</v>
      </c>
      <c r="E10070" t="s">
        <v>14745</v>
      </c>
      <c r="F10070" t="s">
        <v>31719</v>
      </c>
      <c r="G10070" s="2" t="str">
        <f>HYPERLINK("https://probpalata.gov.ru/files/ИП780303232000000.jpeg","Скачать индивидуальный QR-код магазина")</f>
        <v>Скачать индивидуальный QR-код магазина</v>
      </c>
    </row>
    <row r="10071" spans="1:7" x14ac:dyDescent="0.25">
      <c r="A10071" t="s">
        <v>31650</v>
      </c>
      <c r="B10071" t="s">
        <v>31720</v>
      </c>
      <c r="C10071" t="s">
        <v>14743</v>
      </c>
      <c r="D10071" t="s">
        <v>14744</v>
      </c>
      <c r="E10071" t="s">
        <v>14745</v>
      </c>
      <c r="F10071" t="s">
        <v>31721</v>
      </c>
      <c r="G10071" s="2" t="str">
        <f>HYPERLINK("https://probpalata.gov.ru/files/ИП780303232000001.jpeg","Скачать индивидуальный QR-код магазина")</f>
        <v>Скачать индивидуальный QR-код магазина</v>
      </c>
    </row>
    <row r="10072" spans="1:7" x14ac:dyDescent="0.25">
      <c r="A10072" t="s">
        <v>31650</v>
      </c>
      <c r="B10072" t="s">
        <v>31722</v>
      </c>
      <c r="C10072" t="s">
        <v>671</v>
      </c>
      <c r="D10072" t="s">
        <v>672</v>
      </c>
      <c r="E10072" t="s">
        <v>673</v>
      </c>
      <c r="F10072" t="s">
        <v>31723</v>
      </c>
      <c r="G10072" s="2" t="str">
        <f>HYPERLINK("https://probpalata.gov.ru/files/ИП500100445500021.jpeg","Скачать индивидуальный QR-код магазина")</f>
        <v>Скачать индивидуальный QR-код магазина</v>
      </c>
    </row>
    <row r="10073" spans="1:7" x14ac:dyDescent="0.25">
      <c r="A10073" t="s">
        <v>31650</v>
      </c>
      <c r="B10073" t="s">
        <v>31724</v>
      </c>
      <c r="C10073" t="s">
        <v>671</v>
      </c>
      <c r="D10073" t="s">
        <v>672</v>
      </c>
      <c r="E10073" t="s">
        <v>673</v>
      </c>
      <c r="F10073" t="s">
        <v>31725</v>
      </c>
      <c r="G10073" s="2" t="str">
        <f>HYPERLINK("https://probpalata.gov.ru/files/ИП500100445500058.jpeg","Скачать индивидуальный QR-код магазина")</f>
        <v>Скачать индивидуальный QR-код магазина</v>
      </c>
    </row>
    <row r="10074" spans="1:7" x14ac:dyDescent="0.25">
      <c r="A10074" t="s">
        <v>31650</v>
      </c>
      <c r="B10074" t="s">
        <v>31726</v>
      </c>
      <c r="C10074" t="s">
        <v>671</v>
      </c>
      <c r="D10074" t="s">
        <v>672</v>
      </c>
      <c r="E10074" t="s">
        <v>673</v>
      </c>
      <c r="F10074" t="s">
        <v>31727</v>
      </c>
      <c r="G10074" s="2" t="str">
        <f>HYPERLINK("https://probpalata.gov.ru/files/ИП500100445500089.jpeg","Скачать индивидуальный QR-код магазина")</f>
        <v>Скачать индивидуальный QR-код магазина</v>
      </c>
    </row>
    <row r="10075" spans="1:7" x14ac:dyDescent="0.25">
      <c r="A10075" t="s">
        <v>31650</v>
      </c>
      <c r="B10075" t="s">
        <v>31728</v>
      </c>
      <c r="C10075" t="s">
        <v>671</v>
      </c>
      <c r="D10075" t="s">
        <v>672</v>
      </c>
      <c r="E10075" t="s">
        <v>673</v>
      </c>
      <c r="F10075" t="s">
        <v>31729</v>
      </c>
      <c r="G10075" s="2" t="str">
        <f>HYPERLINK("https://probpalata.gov.ru/files/ИП500100445500110.jpeg","Скачать индивидуальный QR-код магазина")</f>
        <v>Скачать индивидуальный QR-код магазина</v>
      </c>
    </row>
    <row r="10076" spans="1:7" x14ac:dyDescent="0.25">
      <c r="A10076" t="s">
        <v>31650</v>
      </c>
      <c r="B10076" t="s">
        <v>31730</v>
      </c>
      <c r="C10076" t="s">
        <v>1735</v>
      </c>
      <c r="D10076" t="s">
        <v>1736</v>
      </c>
      <c r="E10076" t="s">
        <v>1737</v>
      </c>
      <c r="F10076" t="s">
        <v>31731</v>
      </c>
      <c r="G10076" s="2" t="str">
        <f>HYPERLINK("https://probpalata.gov.ru/files/ЮЛ520603376600091.jpeg","Скачать индивидуальный QR-код магазина")</f>
        <v>Скачать индивидуальный QR-код магазина</v>
      </c>
    </row>
    <row r="10077" spans="1:7" x14ac:dyDescent="0.25">
      <c r="A10077" t="s">
        <v>31650</v>
      </c>
      <c r="B10077" t="s">
        <v>31732</v>
      </c>
      <c r="C10077" t="s">
        <v>1735</v>
      </c>
      <c r="D10077" t="s">
        <v>1736</v>
      </c>
      <c r="E10077" t="s">
        <v>1737</v>
      </c>
      <c r="F10077" t="s">
        <v>31733</v>
      </c>
      <c r="G10077" s="2" t="str">
        <f>HYPERLINK("https://probpalata.gov.ru/files/ЮЛ520603376600096.jpeg","Скачать индивидуальный QR-код магазина")</f>
        <v>Скачать индивидуальный QR-код магазина</v>
      </c>
    </row>
    <row r="10078" spans="1:7" x14ac:dyDescent="0.25">
      <c r="A10078" t="s">
        <v>31650</v>
      </c>
      <c r="B10078" t="s">
        <v>31734</v>
      </c>
      <c r="C10078" t="s">
        <v>1735</v>
      </c>
      <c r="D10078" t="s">
        <v>1736</v>
      </c>
      <c r="E10078" t="s">
        <v>1737</v>
      </c>
      <c r="F10078" t="s">
        <v>31735</v>
      </c>
      <c r="G10078" s="2" t="str">
        <f>HYPERLINK("https://probpalata.gov.ru/files/ЮЛ520603376600100.jpeg","Скачать индивидуальный QR-код магазина")</f>
        <v>Скачать индивидуальный QR-код магазина</v>
      </c>
    </row>
    <row r="10079" spans="1:7" x14ac:dyDescent="0.25">
      <c r="A10079" t="s">
        <v>31650</v>
      </c>
      <c r="B10079" t="s">
        <v>31736</v>
      </c>
      <c r="C10079" t="s">
        <v>1735</v>
      </c>
      <c r="D10079" t="s">
        <v>1736</v>
      </c>
      <c r="E10079" t="s">
        <v>1737</v>
      </c>
      <c r="F10079" t="s">
        <v>31737</v>
      </c>
      <c r="G10079" s="2" t="str">
        <f>HYPERLINK("https://probpalata.gov.ru/files/ЮЛ520603376600136.jpeg","Скачать индивидуальный QR-код магазина")</f>
        <v>Скачать индивидуальный QR-код магазина</v>
      </c>
    </row>
    <row r="10080" spans="1:7" x14ac:dyDescent="0.25">
      <c r="A10080" t="s">
        <v>31650</v>
      </c>
      <c r="B10080" t="s">
        <v>31738</v>
      </c>
      <c r="C10080" t="s">
        <v>1735</v>
      </c>
      <c r="D10080" t="s">
        <v>1736</v>
      </c>
      <c r="E10080" t="s">
        <v>1737</v>
      </c>
      <c r="F10080" t="s">
        <v>31739</v>
      </c>
      <c r="G10080" s="2" t="str">
        <f>HYPERLINK("https://probpalata.gov.ru/files/ЮЛ520603376600153.jpeg","Скачать индивидуальный QR-код магазина")</f>
        <v>Скачать индивидуальный QR-код магазина</v>
      </c>
    </row>
    <row r="10081" spans="1:7" x14ac:dyDescent="0.25">
      <c r="A10081" t="s">
        <v>31650</v>
      </c>
      <c r="B10081" t="s">
        <v>31740</v>
      </c>
      <c r="C10081" t="s">
        <v>31741</v>
      </c>
      <c r="D10081" t="s">
        <v>31742</v>
      </c>
      <c r="E10081" t="s">
        <v>31743</v>
      </c>
      <c r="F10081" t="s">
        <v>31744</v>
      </c>
      <c r="G10081" s="2" t="str">
        <f>HYPERLINK("https://probpalata.gov.ru/files/ИП540801270000000.jpeg","Скачать индивидуальный QR-код магазина")</f>
        <v>Скачать индивидуальный QR-код магазина</v>
      </c>
    </row>
    <row r="10082" spans="1:7" x14ac:dyDescent="0.25">
      <c r="A10082" t="s">
        <v>31650</v>
      </c>
      <c r="B10082" t="s">
        <v>31745</v>
      </c>
      <c r="C10082" t="s">
        <v>31746</v>
      </c>
      <c r="D10082" t="s">
        <v>31747</v>
      </c>
      <c r="E10082" t="s">
        <v>31748</v>
      </c>
      <c r="F10082" t="s">
        <v>31749</v>
      </c>
      <c r="G10082" s="2" t="str">
        <f>HYPERLINK("https://probpalata.gov.ru/files/ИП540801481100001.jpeg","Скачать индивидуальный QR-код магазина")</f>
        <v>Скачать индивидуальный QR-код магазина</v>
      </c>
    </row>
    <row r="10083" spans="1:7" x14ac:dyDescent="0.25">
      <c r="A10083" t="s">
        <v>31650</v>
      </c>
      <c r="B10083" t="s">
        <v>31750</v>
      </c>
      <c r="C10083" t="s">
        <v>31746</v>
      </c>
      <c r="D10083" t="s">
        <v>31747</v>
      </c>
      <c r="E10083" t="s">
        <v>31748</v>
      </c>
      <c r="F10083" t="s">
        <v>31751</v>
      </c>
      <c r="G10083" s="2" t="str">
        <f>HYPERLINK("https://probpalata.gov.ru/files/ИП540801481100002.jpeg","Скачать индивидуальный QR-код магазина")</f>
        <v>Скачать индивидуальный QR-код магазина</v>
      </c>
    </row>
    <row r="10084" spans="1:7" x14ac:dyDescent="0.25">
      <c r="A10084" t="s">
        <v>31650</v>
      </c>
      <c r="B10084" t="s">
        <v>31752</v>
      </c>
      <c r="C10084" t="s">
        <v>31753</v>
      </c>
      <c r="D10084" t="s">
        <v>31754</v>
      </c>
      <c r="E10084" t="s">
        <v>31755</v>
      </c>
      <c r="F10084" t="s">
        <v>31756</v>
      </c>
      <c r="G10084" s="2" t="str">
        <f>HYPERLINK("https://probpalata.gov.ru/files/ИП540801345200000.jpeg","Скачать индивидуальный QR-код магазина")</f>
        <v>Скачать индивидуальный QR-код магазина</v>
      </c>
    </row>
    <row r="10085" spans="1:7" x14ac:dyDescent="0.25">
      <c r="A10085" t="s">
        <v>31650</v>
      </c>
      <c r="B10085" t="s">
        <v>31757</v>
      </c>
      <c r="C10085" t="s">
        <v>31753</v>
      </c>
      <c r="D10085" t="s">
        <v>31754</v>
      </c>
      <c r="E10085" t="s">
        <v>31755</v>
      </c>
      <c r="F10085" t="s">
        <v>31758</v>
      </c>
      <c r="G10085" s="2" t="str">
        <f>HYPERLINK("https://probpalata.gov.ru/files/ИП540801345200003.jpeg","Скачать индивидуальный QR-код магазина")</f>
        <v>Скачать индивидуальный QR-код магазина</v>
      </c>
    </row>
    <row r="10086" spans="1:7" x14ac:dyDescent="0.25">
      <c r="A10086" t="s">
        <v>31650</v>
      </c>
      <c r="B10086" t="s">
        <v>31759</v>
      </c>
      <c r="C10086" t="s">
        <v>31760</v>
      </c>
      <c r="D10086" t="s">
        <v>31761</v>
      </c>
      <c r="E10086" t="s">
        <v>31762</v>
      </c>
      <c r="F10086" t="s">
        <v>31763</v>
      </c>
      <c r="G10086" s="2" t="str">
        <f>HYPERLINK("https://probpalata.gov.ru/files/ИП540800846900000.jpeg","Скачать индивидуальный QR-код магазина")</f>
        <v>Скачать индивидуальный QR-код магазина</v>
      </c>
    </row>
    <row r="10087" spans="1:7" x14ac:dyDescent="0.25">
      <c r="A10087" t="s">
        <v>31650</v>
      </c>
      <c r="B10087" t="s">
        <v>31764</v>
      </c>
      <c r="C10087" t="s">
        <v>31765</v>
      </c>
      <c r="D10087" t="s">
        <v>31766</v>
      </c>
      <c r="E10087" t="s">
        <v>31767</v>
      </c>
      <c r="F10087" t="s">
        <v>31768</v>
      </c>
      <c r="G10087" s="2" t="str">
        <f>HYPERLINK("https://probpalata.gov.ru/files/ИП540801778800000.jpeg","Скачать индивидуальный QR-код магазина")</f>
        <v>Скачать индивидуальный QR-код магазина</v>
      </c>
    </row>
    <row r="10088" spans="1:7" x14ac:dyDescent="0.25">
      <c r="A10088" t="s">
        <v>31650</v>
      </c>
      <c r="B10088" t="s">
        <v>31769</v>
      </c>
      <c r="C10088" t="s">
        <v>31770</v>
      </c>
      <c r="D10088" t="s">
        <v>31771</v>
      </c>
      <c r="E10088" t="s">
        <v>31772</v>
      </c>
      <c r="F10088" t="s">
        <v>31773</v>
      </c>
      <c r="G10088" s="2" t="str">
        <f>HYPERLINK("https://probpalata.gov.ru/files/ИП540801361700000.jpeg","Скачать индивидуальный QR-код магазина")</f>
        <v>Скачать индивидуальный QR-код магазина</v>
      </c>
    </row>
    <row r="10089" spans="1:7" x14ac:dyDescent="0.25">
      <c r="A10089" t="s">
        <v>31650</v>
      </c>
      <c r="B10089" t="s">
        <v>31774</v>
      </c>
      <c r="C10089" t="s">
        <v>31775</v>
      </c>
      <c r="D10089" t="s">
        <v>31776</v>
      </c>
      <c r="E10089" t="s">
        <v>31777</v>
      </c>
      <c r="F10089" t="s">
        <v>31778</v>
      </c>
      <c r="G10089" s="2" t="str">
        <f>HYPERLINK("https://probpalata.gov.ru/files/ИП540801104900000.jpeg","Скачать индивидуальный QR-код магазина")</f>
        <v>Скачать индивидуальный QR-код магазина</v>
      </c>
    </row>
    <row r="10090" spans="1:7" x14ac:dyDescent="0.25">
      <c r="A10090" t="s">
        <v>31650</v>
      </c>
      <c r="B10090" t="s">
        <v>31779</v>
      </c>
      <c r="C10090" t="s">
        <v>31775</v>
      </c>
      <c r="D10090" t="s">
        <v>31776</v>
      </c>
      <c r="E10090" t="s">
        <v>31777</v>
      </c>
      <c r="F10090" t="s">
        <v>31780</v>
      </c>
      <c r="G10090" s="2" t="str">
        <f>HYPERLINK("https://probpalata.gov.ru/files/ИП540801104900001.jpeg","Скачать индивидуальный QR-код магазина")</f>
        <v>Скачать индивидуальный QR-код магазина</v>
      </c>
    </row>
    <row r="10091" spans="1:7" x14ac:dyDescent="0.25">
      <c r="A10091" t="s">
        <v>31650</v>
      </c>
      <c r="B10091" t="s">
        <v>31781</v>
      </c>
      <c r="C10091" t="s">
        <v>2481</v>
      </c>
      <c r="D10091" t="s">
        <v>31782</v>
      </c>
      <c r="E10091" t="s">
        <v>31783</v>
      </c>
      <c r="F10091" t="s">
        <v>31784</v>
      </c>
      <c r="G10091" s="2" t="str">
        <f>HYPERLINK("https://probpalata.gov.ru/files/ЮЛ540801546300000.jpeg","Скачать индивидуальный QR-код магазина")</f>
        <v>Скачать индивидуальный QR-код магазина</v>
      </c>
    </row>
    <row r="10092" spans="1:7" x14ac:dyDescent="0.25">
      <c r="A10092" t="s">
        <v>31650</v>
      </c>
      <c r="B10092" t="s">
        <v>31785</v>
      </c>
      <c r="C10092" t="s">
        <v>31786</v>
      </c>
      <c r="D10092" t="s">
        <v>31787</v>
      </c>
      <c r="E10092" t="s">
        <v>31788</v>
      </c>
      <c r="F10092" t="s">
        <v>31789</v>
      </c>
      <c r="G10092" s="2" t="str">
        <f>HYPERLINK("https://probpalata.gov.ru/files/ИП540803304600000.jpeg","Скачать индивидуальный QR-код магазина")</f>
        <v>Скачать индивидуальный QR-код магазина</v>
      </c>
    </row>
    <row r="10093" spans="1:7" x14ac:dyDescent="0.25">
      <c r="A10093" t="s">
        <v>31650</v>
      </c>
      <c r="B10093" t="s">
        <v>31790</v>
      </c>
      <c r="C10093" t="s">
        <v>31791</v>
      </c>
      <c r="D10093" t="s">
        <v>31792</v>
      </c>
      <c r="E10093" t="s">
        <v>31793</v>
      </c>
      <c r="F10093" t="s">
        <v>31794</v>
      </c>
      <c r="G10093" s="2" t="str">
        <f>HYPERLINK("https://probpalata.gov.ru/files/ИП540801471100000.jpeg","Скачать индивидуальный QR-код магазина")</f>
        <v>Скачать индивидуальный QR-код магазина</v>
      </c>
    </row>
    <row r="10094" spans="1:7" x14ac:dyDescent="0.25">
      <c r="A10094" t="s">
        <v>31650</v>
      </c>
      <c r="B10094" t="s">
        <v>31795</v>
      </c>
      <c r="C10094" t="s">
        <v>31791</v>
      </c>
      <c r="D10094" t="s">
        <v>31792</v>
      </c>
      <c r="E10094" t="s">
        <v>31793</v>
      </c>
      <c r="F10094" t="s">
        <v>31796</v>
      </c>
      <c r="G10094" s="2" t="str">
        <f>HYPERLINK("https://probpalata.gov.ru/files/ИП540801471100002.jpeg","Скачать индивидуальный QR-код магазина")</f>
        <v>Скачать индивидуальный QR-код магазина</v>
      </c>
    </row>
    <row r="10095" spans="1:7" x14ac:dyDescent="0.25">
      <c r="A10095" t="s">
        <v>31650</v>
      </c>
      <c r="B10095" t="s">
        <v>31797</v>
      </c>
      <c r="C10095" t="s">
        <v>31791</v>
      </c>
      <c r="D10095" t="s">
        <v>31792</v>
      </c>
      <c r="E10095" t="s">
        <v>31793</v>
      </c>
      <c r="F10095" t="s">
        <v>31798</v>
      </c>
      <c r="G10095" s="2" t="str">
        <f>HYPERLINK("https://probpalata.gov.ru/files/ИП540801471100003.jpeg","Скачать индивидуальный QR-код магазина")</f>
        <v>Скачать индивидуальный QR-код магазина</v>
      </c>
    </row>
    <row r="10096" spans="1:7" x14ac:dyDescent="0.25">
      <c r="A10096" t="s">
        <v>31650</v>
      </c>
      <c r="B10096" t="s">
        <v>31799</v>
      </c>
      <c r="C10096" t="s">
        <v>31800</v>
      </c>
      <c r="D10096" t="s">
        <v>31801</v>
      </c>
      <c r="E10096" t="s">
        <v>31802</v>
      </c>
      <c r="F10096" t="s">
        <v>31803</v>
      </c>
      <c r="G10096" s="2" t="str">
        <f>HYPERLINK("https://probpalata.gov.ru/files/ИП540803908900000.jpeg","Скачать индивидуальный QR-код магазина")</f>
        <v>Скачать индивидуальный QR-код магазина</v>
      </c>
    </row>
    <row r="10097" spans="1:7" x14ac:dyDescent="0.25">
      <c r="A10097" t="s">
        <v>31650</v>
      </c>
      <c r="B10097" t="s">
        <v>31804</v>
      </c>
      <c r="C10097" t="s">
        <v>31805</v>
      </c>
      <c r="D10097" t="s">
        <v>31806</v>
      </c>
      <c r="E10097" t="s">
        <v>31807</v>
      </c>
      <c r="F10097" t="s">
        <v>31808</v>
      </c>
      <c r="G10097" s="2" t="str">
        <f>HYPERLINK("https://probpalata.gov.ru/files/ИП540801500700000.jpeg","Скачать индивидуальный QR-код магазина")</f>
        <v>Скачать индивидуальный QR-код магазина</v>
      </c>
    </row>
    <row r="10098" spans="1:7" x14ac:dyDescent="0.25">
      <c r="A10098" t="s">
        <v>31650</v>
      </c>
      <c r="B10098" t="s">
        <v>31809</v>
      </c>
      <c r="C10098" t="s">
        <v>31810</v>
      </c>
      <c r="D10098" t="s">
        <v>31811</v>
      </c>
      <c r="E10098" t="s">
        <v>31812</v>
      </c>
      <c r="F10098" t="s">
        <v>31813</v>
      </c>
      <c r="G10098" s="2" t="str">
        <f>HYPERLINK("https://probpalata.gov.ru/files/ИП540803577700000.jpeg","Скачать индивидуальный QR-код магазина")</f>
        <v>Скачать индивидуальный QR-код магазина</v>
      </c>
    </row>
    <row r="10099" spans="1:7" x14ac:dyDescent="0.25">
      <c r="A10099" t="s">
        <v>31650</v>
      </c>
      <c r="B10099" t="s">
        <v>31814</v>
      </c>
      <c r="C10099" t="s">
        <v>31815</v>
      </c>
      <c r="D10099" t="s">
        <v>31816</v>
      </c>
      <c r="E10099" t="s">
        <v>31817</v>
      </c>
      <c r="F10099" t="s">
        <v>31818</v>
      </c>
      <c r="G10099" s="2" t="str">
        <f>HYPERLINK("https://probpalata.gov.ru/files/ИП540803442100000.jpeg","Скачать индивидуальный QR-код магазина")</f>
        <v>Скачать индивидуальный QR-код магазина</v>
      </c>
    </row>
    <row r="10100" spans="1:7" x14ac:dyDescent="0.25">
      <c r="A10100" t="s">
        <v>31650</v>
      </c>
      <c r="B10100" t="s">
        <v>31819</v>
      </c>
      <c r="C10100" t="s">
        <v>11187</v>
      </c>
      <c r="D10100" t="s">
        <v>31820</v>
      </c>
      <c r="E10100" t="s">
        <v>31821</v>
      </c>
      <c r="F10100" t="s">
        <v>31822</v>
      </c>
      <c r="G10100" s="2" t="str">
        <f>HYPERLINK("https://probpalata.gov.ru/files/ЮЛ540801547200000.jpeg","Скачать индивидуальный QR-код магазина")</f>
        <v>Скачать индивидуальный QR-код магазина</v>
      </c>
    </row>
    <row r="10101" spans="1:7" x14ac:dyDescent="0.25">
      <c r="A10101" t="s">
        <v>31650</v>
      </c>
      <c r="B10101" t="s">
        <v>31823</v>
      </c>
      <c r="C10101" t="s">
        <v>24135</v>
      </c>
      <c r="D10101" t="s">
        <v>31824</v>
      </c>
      <c r="E10101" t="s">
        <v>31825</v>
      </c>
      <c r="F10101" t="s">
        <v>31826</v>
      </c>
      <c r="G10101" s="2" t="str">
        <f>HYPERLINK("https://probpalata.gov.ru/files/ЮЛ540801518500000.jpeg","Скачать индивидуальный QR-код магазина")</f>
        <v>Скачать индивидуальный QR-код магазина</v>
      </c>
    </row>
    <row r="10102" spans="1:7" x14ac:dyDescent="0.25">
      <c r="A10102" t="s">
        <v>31650</v>
      </c>
      <c r="B10102" t="s">
        <v>31827</v>
      </c>
      <c r="C10102" t="s">
        <v>13856</v>
      </c>
      <c r="D10102" t="s">
        <v>31828</v>
      </c>
      <c r="E10102" t="s">
        <v>31829</v>
      </c>
      <c r="F10102" t="s">
        <v>31830</v>
      </c>
      <c r="G10102" s="2" t="str">
        <f>HYPERLINK("https://probpalata.gov.ru/files/ИП540801469300000.jpeg","Скачать индивидуальный QR-код магазина")</f>
        <v>Скачать индивидуальный QR-код магазина</v>
      </c>
    </row>
    <row r="10103" spans="1:7" x14ac:dyDescent="0.25">
      <c r="A10103" t="s">
        <v>31650</v>
      </c>
      <c r="B10103" t="s">
        <v>31831</v>
      </c>
      <c r="C10103" t="s">
        <v>31832</v>
      </c>
      <c r="D10103" t="s">
        <v>31833</v>
      </c>
      <c r="E10103" t="s">
        <v>31834</v>
      </c>
      <c r="F10103" t="s">
        <v>31835</v>
      </c>
      <c r="G10103" s="2" t="str">
        <f>HYPERLINK("https://probpalata.gov.ru/files/ЮЛ540800135900000.jpeg","Скачать индивидуальный QR-код магазина")</f>
        <v>Скачать индивидуальный QR-код магазина</v>
      </c>
    </row>
    <row r="10104" spans="1:7" x14ac:dyDescent="0.25">
      <c r="A10104" t="s">
        <v>31650</v>
      </c>
      <c r="B10104" t="s">
        <v>31836</v>
      </c>
      <c r="C10104" t="s">
        <v>31837</v>
      </c>
      <c r="D10104" t="s">
        <v>31838</v>
      </c>
      <c r="E10104" t="s">
        <v>31839</v>
      </c>
      <c r="F10104" t="s">
        <v>31840</v>
      </c>
      <c r="G10104" s="2" t="str">
        <f>HYPERLINK("https://probpalata.gov.ru/files/ИП540803517500000.jpeg","Скачать индивидуальный QR-код магазина")</f>
        <v>Скачать индивидуальный QR-код магазина</v>
      </c>
    </row>
    <row r="10105" spans="1:7" x14ac:dyDescent="0.25">
      <c r="A10105" t="s">
        <v>31650</v>
      </c>
      <c r="B10105" t="s">
        <v>31841</v>
      </c>
      <c r="C10105" t="s">
        <v>6026</v>
      </c>
      <c r="D10105" t="s">
        <v>6027</v>
      </c>
      <c r="E10105" t="s">
        <v>6028</v>
      </c>
      <c r="F10105" t="s">
        <v>31842</v>
      </c>
      <c r="G10105" s="2" t="str">
        <f>HYPERLINK("https://probpalata.gov.ru/files/ЮЛ540800214800000.jpeg","Скачать индивидуальный QR-код магазина")</f>
        <v>Скачать индивидуальный QR-код магазина</v>
      </c>
    </row>
    <row r="10106" spans="1:7" x14ac:dyDescent="0.25">
      <c r="A10106" t="s">
        <v>31650</v>
      </c>
      <c r="B10106" t="s">
        <v>31843</v>
      </c>
      <c r="C10106" t="s">
        <v>31844</v>
      </c>
      <c r="D10106" t="s">
        <v>31845</v>
      </c>
      <c r="E10106" t="s">
        <v>31846</v>
      </c>
      <c r="F10106" t="s">
        <v>31847</v>
      </c>
      <c r="G10106" s="2" t="str">
        <f>HYPERLINK("https://probpalata.gov.ru/files/ЮЛ540800118000000.jpeg","Скачать индивидуальный QR-код магазина")</f>
        <v>Скачать индивидуальный QR-код магазина</v>
      </c>
    </row>
    <row r="10107" spans="1:7" x14ac:dyDescent="0.25">
      <c r="A10107" t="s">
        <v>31650</v>
      </c>
      <c r="B10107" t="s">
        <v>31848</v>
      </c>
      <c r="C10107" t="s">
        <v>31849</v>
      </c>
      <c r="D10107" t="s">
        <v>31850</v>
      </c>
      <c r="E10107" t="s">
        <v>31851</v>
      </c>
      <c r="F10107" t="s">
        <v>31852</v>
      </c>
      <c r="G10107" s="2" t="str">
        <f>HYPERLINK("https://probpalata.gov.ru/files/ИП540801780500001.jpeg","Скачать индивидуальный QR-код магазина")</f>
        <v>Скачать индивидуальный QR-код магазина</v>
      </c>
    </row>
    <row r="10108" spans="1:7" x14ac:dyDescent="0.25">
      <c r="A10108" t="s">
        <v>31650</v>
      </c>
      <c r="B10108" t="s">
        <v>31853</v>
      </c>
      <c r="C10108" t="s">
        <v>31849</v>
      </c>
      <c r="D10108" t="s">
        <v>31850</v>
      </c>
      <c r="E10108" t="s">
        <v>31851</v>
      </c>
      <c r="F10108" t="s">
        <v>31854</v>
      </c>
      <c r="G10108" s="2" t="str">
        <f>HYPERLINK("https://probpalata.gov.ru/files/ИП540801780500002.jpeg","Скачать индивидуальный QR-код магазина")</f>
        <v>Скачать индивидуальный QR-код магазина</v>
      </c>
    </row>
    <row r="10109" spans="1:7" x14ac:dyDescent="0.25">
      <c r="A10109" t="s">
        <v>31650</v>
      </c>
      <c r="B10109" t="s">
        <v>31855</v>
      </c>
      <c r="C10109" t="s">
        <v>31849</v>
      </c>
      <c r="D10109" t="s">
        <v>31850</v>
      </c>
      <c r="E10109" t="s">
        <v>31851</v>
      </c>
      <c r="F10109" t="s">
        <v>31856</v>
      </c>
      <c r="G10109" s="2" t="str">
        <f>HYPERLINK("https://probpalata.gov.ru/files/ИП540801780500003.jpeg","Скачать индивидуальный QR-код магазина")</f>
        <v>Скачать индивидуальный QR-код магазина</v>
      </c>
    </row>
    <row r="10110" spans="1:7" x14ac:dyDescent="0.25">
      <c r="A10110" t="s">
        <v>31650</v>
      </c>
      <c r="B10110" t="s">
        <v>31857</v>
      </c>
      <c r="C10110" t="s">
        <v>31849</v>
      </c>
      <c r="D10110" t="s">
        <v>31850</v>
      </c>
      <c r="E10110" t="s">
        <v>31851</v>
      </c>
      <c r="F10110" t="s">
        <v>31858</v>
      </c>
      <c r="G10110" s="2" t="str">
        <f>HYPERLINK("https://probpalata.gov.ru/files/ИП540801780500004.jpeg","Скачать индивидуальный QR-код магазина")</f>
        <v>Скачать индивидуальный QR-код магазина</v>
      </c>
    </row>
    <row r="10111" spans="1:7" x14ac:dyDescent="0.25">
      <c r="A10111" t="s">
        <v>31650</v>
      </c>
      <c r="B10111" t="s">
        <v>31859</v>
      </c>
      <c r="C10111" t="s">
        <v>31860</v>
      </c>
      <c r="D10111" t="s">
        <v>31861</v>
      </c>
      <c r="E10111" t="s">
        <v>31862</v>
      </c>
      <c r="F10111" t="s">
        <v>31863</v>
      </c>
      <c r="G10111" s="2" t="str">
        <f>HYPERLINK("https://probpalata.gov.ru/files/ИП540803216900000.jpeg","Скачать индивидуальный QR-код магазина")</f>
        <v>Скачать индивидуальный QR-код магазина</v>
      </c>
    </row>
    <row r="10112" spans="1:7" x14ac:dyDescent="0.25">
      <c r="A10112" t="s">
        <v>31650</v>
      </c>
      <c r="B10112" t="s">
        <v>31864</v>
      </c>
      <c r="C10112" t="s">
        <v>31860</v>
      </c>
      <c r="D10112" t="s">
        <v>31861</v>
      </c>
      <c r="E10112" t="s">
        <v>31862</v>
      </c>
      <c r="F10112" t="s">
        <v>31865</v>
      </c>
      <c r="G10112" s="2" t="str">
        <f>HYPERLINK("https://probpalata.gov.ru/files/ИП540803216900001.jpeg","Скачать индивидуальный QR-код магазина")</f>
        <v>Скачать индивидуальный QR-код магазина</v>
      </c>
    </row>
    <row r="10113" spans="1:7" x14ac:dyDescent="0.25">
      <c r="A10113" t="s">
        <v>31650</v>
      </c>
      <c r="B10113" t="s">
        <v>31866</v>
      </c>
      <c r="C10113" t="s">
        <v>31867</v>
      </c>
      <c r="D10113" t="s">
        <v>31868</v>
      </c>
      <c r="E10113" t="s">
        <v>31869</v>
      </c>
      <c r="F10113" t="s">
        <v>31870</v>
      </c>
      <c r="G10113" s="2" t="str">
        <f>HYPERLINK("https://probpalata.gov.ru/files/ИП540803908800000.jpeg","Скачать индивидуальный QR-код магазина")</f>
        <v>Скачать индивидуальный QR-код магазина</v>
      </c>
    </row>
    <row r="10114" spans="1:7" x14ac:dyDescent="0.25">
      <c r="A10114" t="s">
        <v>31650</v>
      </c>
      <c r="B10114" t="s">
        <v>31871</v>
      </c>
      <c r="C10114" t="s">
        <v>31872</v>
      </c>
      <c r="D10114" t="s">
        <v>31873</v>
      </c>
      <c r="E10114" t="s">
        <v>31874</v>
      </c>
      <c r="F10114" t="s">
        <v>31875</v>
      </c>
      <c r="G10114" s="2" t="str">
        <f>HYPERLINK("https://probpalata.gov.ru/files/ИП540801704900000.jpeg","Скачать индивидуальный QR-код магазина")</f>
        <v>Скачать индивидуальный QR-код магазина</v>
      </c>
    </row>
    <row r="10115" spans="1:7" x14ac:dyDescent="0.25">
      <c r="A10115" t="s">
        <v>31650</v>
      </c>
      <c r="B10115" t="s">
        <v>31876</v>
      </c>
      <c r="C10115" t="s">
        <v>686</v>
      </c>
      <c r="D10115" t="s">
        <v>687</v>
      </c>
      <c r="E10115" t="s">
        <v>688</v>
      </c>
      <c r="F10115" t="s">
        <v>31877</v>
      </c>
      <c r="G10115" s="2" t="str">
        <f>HYPERLINK("https://probpalata.gov.ru/files/ЮЛ540801321100003.jpeg","Скачать индивидуальный QR-код магазина")</f>
        <v>Скачать индивидуальный QR-код магазина</v>
      </c>
    </row>
    <row r="10116" spans="1:7" x14ac:dyDescent="0.25">
      <c r="A10116" t="s">
        <v>31650</v>
      </c>
      <c r="B10116" t="s">
        <v>31878</v>
      </c>
      <c r="C10116" t="s">
        <v>31879</v>
      </c>
      <c r="D10116" t="s">
        <v>31880</v>
      </c>
      <c r="E10116" t="s">
        <v>31881</v>
      </c>
      <c r="F10116" t="s">
        <v>31882</v>
      </c>
      <c r="G10116" s="2" t="str">
        <f>HYPERLINK("https://probpalata.gov.ru/files/ИП540803338600000.jpeg","Скачать индивидуальный QR-код магазина")</f>
        <v>Скачать индивидуальный QR-код магазина</v>
      </c>
    </row>
    <row r="10117" spans="1:7" x14ac:dyDescent="0.25">
      <c r="A10117" t="s">
        <v>31650</v>
      </c>
      <c r="B10117" t="s">
        <v>31883</v>
      </c>
      <c r="C10117" t="s">
        <v>31884</v>
      </c>
      <c r="D10117" t="s">
        <v>31885</v>
      </c>
      <c r="E10117" t="s">
        <v>31886</v>
      </c>
      <c r="F10117" t="s">
        <v>31887</v>
      </c>
      <c r="G10117" s="2" t="str">
        <f>HYPERLINK("https://probpalata.gov.ru/files/ИП540801665000000.jpeg","Скачать индивидуальный QR-код магазина")</f>
        <v>Скачать индивидуальный QR-код магазина</v>
      </c>
    </row>
    <row r="10118" spans="1:7" x14ac:dyDescent="0.25">
      <c r="A10118" t="s">
        <v>31650</v>
      </c>
      <c r="B10118" t="s">
        <v>31888</v>
      </c>
      <c r="C10118" t="s">
        <v>31884</v>
      </c>
      <c r="D10118" t="s">
        <v>31885</v>
      </c>
      <c r="E10118" t="s">
        <v>31886</v>
      </c>
      <c r="F10118" t="s">
        <v>31889</v>
      </c>
      <c r="G10118" s="2" t="str">
        <f>HYPERLINK("https://probpalata.gov.ru/files/ИП540801665000004.jpeg","Скачать индивидуальный QR-код магазина")</f>
        <v>Скачать индивидуальный QR-код магазина</v>
      </c>
    </row>
    <row r="10119" spans="1:7" x14ac:dyDescent="0.25">
      <c r="A10119" t="s">
        <v>31650</v>
      </c>
      <c r="B10119" t="s">
        <v>31890</v>
      </c>
      <c r="C10119" t="s">
        <v>31884</v>
      </c>
      <c r="D10119" t="s">
        <v>31885</v>
      </c>
      <c r="E10119" t="s">
        <v>31886</v>
      </c>
      <c r="F10119" t="s">
        <v>31891</v>
      </c>
      <c r="G10119" s="2" t="str">
        <f>HYPERLINK("https://probpalata.gov.ru/files/ИП540801665000006.jpeg","Скачать индивидуальный QR-код магазина")</f>
        <v>Скачать индивидуальный QR-код магазина</v>
      </c>
    </row>
    <row r="10120" spans="1:7" x14ac:dyDescent="0.25">
      <c r="A10120" t="s">
        <v>31650</v>
      </c>
      <c r="B10120" t="s">
        <v>31892</v>
      </c>
      <c r="C10120" t="s">
        <v>31893</v>
      </c>
      <c r="D10120" t="s">
        <v>31894</v>
      </c>
      <c r="E10120" t="s">
        <v>31895</v>
      </c>
      <c r="F10120" t="s">
        <v>31896</v>
      </c>
      <c r="G10120" s="2" t="str">
        <f>HYPERLINK("https://probpalata.gov.ru/files/ИП540803705200000.jpeg","Скачать индивидуальный QR-код магазина")</f>
        <v>Скачать индивидуальный QR-код магазина</v>
      </c>
    </row>
    <row r="10121" spans="1:7" x14ac:dyDescent="0.25">
      <c r="A10121" t="s">
        <v>31650</v>
      </c>
      <c r="B10121" t="s">
        <v>31897</v>
      </c>
      <c r="C10121" t="s">
        <v>31898</v>
      </c>
      <c r="D10121" t="s">
        <v>31899</v>
      </c>
      <c r="E10121" t="s">
        <v>31900</v>
      </c>
      <c r="F10121" t="s">
        <v>31901</v>
      </c>
      <c r="G10121" s="2" t="str">
        <f>HYPERLINK("https://probpalata.gov.ru/files/ИП540801557500000.jpeg","Скачать индивидуальный QR-код магазина")</f>
        <v>Скачать индивидуальный QR-код магазина</v>
      </c>
    </row>
    <row r="10122" spans="1:7" x14ac:dyDescent="0.25">
      <c r="A10122" t="s">
        <v>31650</v>
      </c>
      <c r="B10122" t="s">
        <v>31902</v>
      </c>
      <c r="C10122" t="s">
        <v>31903</v>
      </c>
      <c r="D10122" t="s">
        <v>31904</v>
      </c>
      <c r="E10122" t="s">
        <v>31905</v>
      </c>
      <c r="F10122" t="s">
        <v>31906</v>
      </c>
      <c r="G10122" s="2" t="str">
        <f>HYPERLINK("https://probpalata.gov.ru/files/ИП540801470200000.jpeg","Скачать индивидуальный QR-код магазина")</f>
        <v>Скачать индивидуальный QR-код магазина</v>
      </c>
    </row>
    <row r="10123" spans="1:7" x14ac:dyDescent="0.25">
      <c r="A10123" t="s">
        <v>31650</v>
      </c>
      <c r="B10123" t="s">
        <v>31907</v>
      </c>
      <c r="C10123" t="s">
        <v>31903</v>
      </c>
      <c r="D10123" t="s">
        <v>31904</v>
      </c>
      <c r="E10123" t="s">
        <v>31905</v>
      </c>
      <c r="F10123" t="s">
        <v>31908</v>
      </c>
      <c r="G10123" s="2" t="str">
        <f>HYPERLINK("https://probpalata.gov.ru/files/ИП540801470200002.jpeg","Скачать индивидуальный QR-код магазина")</f>
        <v>Скачать индивидуальный QR-код магазина</v>
      </c>
    </row>
    <row r="10124" spans="1:7" x14ac:dyDescent="0.25">
      <c r="A10124" t="s">
        <v>31650</v>
      </c>
      <c r="B10124" t="s">
        <v>31909</v>
      </c>
      <c r="C10124" t="s">
        <v>31910</v>
      </c>
      <c r="D10124" t="s">
        <v>31911</v>
      </c>
      <c r="E10124" t="s">
        <v>31912</v>
      </c>
      <c r="F10124" t="s">
        <v>31913</v>
      </c>
      <c r="G10124" s="2" t="str">
        <f>HYPERLINK("https://probpalata.gov.ru/files/ИП540801943700000.jpeg","Скачать индивидуальный QR-код магазина")</f>
        <v>Скачать индивидуальный QR-код магазина</v>
      </c>
    </row>
    <row r="10125" spans="1:7" x14ac:dyDescent="0.25">
      <c r="A10125" t="s">
        <v>31650</v>
      </c>
      <c r="B10125" t="s">
        <v>31914</v>
      </c>
      <c r="C10125" t="s">
        <v>31910</v>
      </c>
      <c r="D10125" t="s">
        <v>31911</v>
      </c>
      <c r="E10125" t="s">
        <v>31912</v>
      </c>
      <c r="F10125" t="s">
        <v>31915</v>
      </c>
      <c r="G10125" s="2" t="str">
        <f>HYPERLINK("https://probpalata.gov.ru/files/ИП540801943700001.jpeg","Скачать индивидуальный QR-код магазина")</f>
        <v>Скачать индивидуальный QR-код магазина</v>
      </c>
    </row>
    <row r="10126" spans="1:7" x14ac:dyDescent="0.25">
      <c r="A10126" t="s">
        <v>31650</v>
      </c>
      <c r="B10126" t="s">
        <v>31916</v>
      </c>
      <c r="C10126" t="s">
        <v>31917</v>
      </c>
      <c r="D10126" t="s">
        <v>31918</v>
      </c>
      <c r="E10126" t="s">
        <v>31919</v>
      </c>
      <c r="F10126" t="s">
        <v>31920</v>
      </c>
      <c r="G10126" s="2" t="str">
        <f>HYPERLINK("https://probpalata.gov.ru/files/ИП540800783300000.jpeg","Скачать индивидуальный QR-код магазина")</f>
        <v>Скачать индивидуальный QR-код магазина</v>
      </c>
    </row>
    <row r="10127" spans="1:7" x14ac:dyDescent="0.25">
      <c r="A10127" t="s">
        <v>31650</v>
      </c>
      <c r="B10127" t="s">
        <v>31921</v>
      </c>
      <c r="C10127" t="s">
        <v>31922</v>
      </c>
      <c r="D10127" t="s">
        <v>31923</v>
      </c>
      <c r="E10127" t="s">
        <v>31924</v>
      </c>
      <c r="F10127" t="s">
        <v>31925</v>
      </c>
      <c r="G10127" s="2" t="str">
        <f>HYPERLINK("https://probpalata.gov.ru/files/ИП540803732200000.jpeg","Скачать индивидуальный QR-код магазина")</f>
        <v>Скачать индивидуальный QR-код магазина</v>
      </c>
    </row>
    <row r="10128" spans="1:7" x14ac:dyDescent="0.25">
      <c r="A10128" t="s">
        <v>31650</v>
      </c>
      <c r="B10128" t="s">
        <v>31764</v>
      </c>
      <c r="C10128" t="s">
        <v>31926</v>
      </c>
      <c r="D10128" t="s">
        <v>31927</v>
      </c>
      <c r="E10128" t="s">
        <v>31928</v>
      </c>
      <c r="F10128" t="s">
        <v>31929</v>
      </c>
      <c r="G10128" s="2" t="str">
        <f>HYPERLINK("https://probpalata.gov.ru/files/ИП540801203500000.jpeg","Скачать индивидуальный QR-код магазина")</f>
        <v>Скачать индивидуальный QR-код магазина</v>
      </c>
    </row>
    <row r="10129" spans="1:7" x14ac:dyDescent="0.25">
      <c r="A10129" t="s">
        <v>31650</v>
      </c>
      <c r="B10129" t="s">
        <v>31930</v>
      </c>
      <c r="C10129" t="s">
        <v>31931</v>
      </c>
      <c r="D10129" t="s">
        <v>31932</v>
      </c>
      <c r="E10129" t="s">
        <v>31933</v>
      </c>
      <c r="F10129" t="s">
        <v>31934</v>
      </c>
      <c r="G10129" s="2" t="str">
        <f>HYPERLINK("https://probpalata.gov.ru/files/ИП540800695100000.jpeg","Скачать индивидуальный QR-код магазина")</f>
        <v>Скачать индивидуальный QR-код магазина</v>
      </c>
    </row>
    <row r="10130" spans="1:7" x14ac:dyDescent="0.25">
      <c r="A10130" t="s">
        <v>31650</v>
      </c>
      <c r="B10130" t="s">
        <v>31935</v>
      </c>
      <c r="C10130" t="s">
        <v>31936</v>
      </c>
      <c r="D10130" t="s">
        <v>31937</v>
      </c>
      <c r="E10130" t="s">
        <v>31938</v>
      </c>
      <c r="F10130" t="s">
        <v>31939</v>
      </c>
      <c r="G10130" s="2" t="str">
        <f>HYPERLINK("https://probpalata.gov.ru/files/ИП540801002600000.jpeg","Скачать индивидуальный QR-код магазина")</f>
        <v>Скачать индивидуальный QR-код магазина</v>
      </c>
    </row>
    <row r="10131" spans="1:7" x14ac:dyDescent="0.25">
      <c r="A10131" t="s">
        <v>31650</v>
      </c>
      <c r="B10131" t="s">
        <v>31940</v>
      </c>
      <c r="C10131" t="s">
        <v>31936</v>
      </c>
      <c r="D10131" t="s">
        <v>31937</v>
      </c>
      <c r="E10131" t="s">
        <v>31938</v>
      </c>
      <c r="F10131" t="s">
        <v>31941</v>
      </c>
      <c r="G10131" s="2" t="str">
        <f>HYPERLINK("https://probpalata.gov.ru/files/ИП540801002600002.jpeg","Скачать индивидуальный QR-код магазина")</f>
        <v>Скачать индивидуальный QR-код магазина</v>
      </c>
    </row>
    <row r="10132" spans="1:7" x14ac:dyDescent="0.25">
      <c r="A10132" t="s">
        <v>31650</v>
      </c>
      <c r="B10132" t="s">
        <v>31942</v>
      </c>
      <c r="C10132" t="s">
        <v>31936</v>
      </c>
      <c r="D10132" t="s">
        <v>31937</v>
      </c>
      <c r="E10132" t="s">
        <v>31938</v>
      </c>
      <c r="F10132" t="s">
        <v>31943</v>
      </c>
      <c r="G10132" s="2" t="str">
        <f>HYPERLINK("https://probpalata.gov.ru/files/ИП540801002600006.jpeg","Скачать индивидуальный QR-код магазина")</f>
        <v>Скачать индивидуальный QR-код магазина</v>
      </c>
    </row>
    <row r="10133" spans="1:7" x14ac:dyDescent="0.25">
      <c r="A10133" t="s">
        <v>31650</v>
      </c>
      <c r="B10133" t="s">
        <v>31944</v>
      </c>
      <c r="C10133" t="s">
        <v>31936</v>
      </c>
      <c r="D10133" t="s">
        <v>31937</v>
      </c>
      <c r="E10133" t="s">
        <v>31938</v>
      </c>
      <c r="F10133" t="s">
        <v>31945</v>
      </c>
      <c r="G10133" s="2" t="str">
        <f>HYPERLINK("https://probpalata.gov.ru/files/ИП540801002600007.jpeg","Скачать индивидуальный QR-код магазина")</f>
        <v>Скачать индивидуальный QR-код магазина</v>
      </c>
    </row>
    <row r="10134" spans="1:7" x14ac:dyDescent="0.25">
      <c r="A10134" t="s">
        <v>31650</v>
      </c>
      <c r="B10134" t="s">
        <v>31946</v>
      </c>
      <c r="C10134" t="s">
        <v>31936</v>
      </c>
      <c r="D10134" t="s">
        <v>31937</v>
      </c>
      <c r="E10134" t="s">
        <v>31938</v>
      </c>
      <c r="F10134" t="s">
        <v>31947</v>
      </c>
      <c r="G10134" s="2" t="str">
        <f>HYPERLINK("https://probpalata.gov.ru/files/ИП540801002600008.jpeg","Скачать индивидуальный QR-код магазина")</f>
        <v>Скачать индивидуальный QR-код магазина</v>
      </c>
    </row>
    <row r="10135" spans="1:7" x14ac:dyDescent="0.25">
      <c r="A10135" t="s">
        <v>31650</v>
      </c>
      <c r="B10135" t="s">
        <v>31948</v>
      </c>
      <c r="C10135" t="s">
        <v>31936</v>
      </c>
      <c r="D10135" t="s">
        <v>31937</v>
      </c>
      <c r="E10135" t="s">
        <v>31938</v>
      </c>
      <c r="F10135" t="s">
        <v>31949</v>
      </c>
      <c r="G10135" s="2" t="str">
        <f>HYPERLINK("https://probpalata.gov.ru/files/ИП540801002600009.jpeg","Скачать индивидуальный QR-код магазина")</f>
        <v>Скачать индивидуальный QR-код магазина</v>
      </c>
    </row>
    <row r="10136" spans="1:7" x14ac:dyDescent="0.25">
      <c r="A10136" t="s">
        <v>31650</v>
      </c>
      <c r="B10136" t="s">
        <v>31950</v>
      </c>
      <c r="C10136" t="s">
        <v>31936</v>
      </c>
      <c r="D10136" t="s">
        <v>31937</v>
      </c>
      <c r="E10136" t="s">
        <v>31938</v>
      </c>
      <c r="F10136" t="s">
        <v>31951</v>
      </c>
      <c r="G10136" s="2" t="str">
        <f>HYPERLINK("https://probpalata.gov.ru/files/ИП540801002600010.jpeg","Скачать индивидуальный QR-код магазина")</f>
        <v>Скачать индивидуальный QR-код магазина</v>
      </c>
    </row>
    <row r="10137" spans="1:7" x14ac:dyDescent="0.25">
      <c r="A10137" t="s">
        <v>31650</v>
      </c>
      <c r="B10137" t="s">
        <v>31952</v>
      </c>
      <c r="C10137" t="s">
        <v>31936</v>
      </c>
      <c r="D10137" t="s">
        <v>31937</v>
      </c>
      <c r="E10137" t="s">
        <v>31938</v>
      </c>
      <c r="F10137" t="s">
        <v>31953</v>
      </c>
      <c r="G10137" s="2" t="str">
        <f>HYPERLINK("https://probpalata.gov.ru/files/ИП540801002600011.jpeg","Скачать индивидуальный QR-код магазина")</f>
        <v>Скачать индивидуальный QR-код магазина</v>
      </c>
    </row>
    <row r="10138" spans="1:7" x14ac:dyDescent="0.25">
      <c r="A10138" t="s">
        <v>31650</v>
      </c>
      <c r="B10138" t="s">
        <v>31954</v>
      </c>
      <c r="C10138" t="s">
        <v>31936</v>
      </c>
      <c r="D10138" t="s">
        <v>31937</v>
      </c>
      <c r="E10138" t="s">
        <v>31938</v>
      </c>
      <c r="F10138" t="s">
        <v>31955</v>
      </c>
      <c r="G10138" s="2" t="str">
        <f>HYPERLINK("https://probpalata.gov.ru/files/ИП540801002600012.jpeg","Скачать индивидуальный QR-код магазина")</f>
        <v>Скачать индивидуальный QR-код магазина</v>
      </c>
    </row>
    <row r="10139" spans="1:7" x14ac:dyDescent="0.25">
      <c r="A10139" t="s">
        <v>31650</v>
      </c>
      <c r="B10139" t="s">
        <v>31956</v>
      </c>
      <c r="C10139" t="s">
        <v>31936</v>
      </c>
      <c r="D10139" t="s">
        <v>31937</v>
      </c>
      <c r="E10139" t="s">
        <v>31938</v>
      </c>
      <c r="F10139" t="s">
        <v>31957</v>
      </c>
      <c r="G10139" s="2" t="str">
        <f>HYPERLINK("https://probpalata.gov.ru/files/ИП540801002600015.jpeg","Скачать индивидуальный QR-код магазина")</f>
        <v>Скачать индивидуальный QR-код магазина</v>
      </c>
    </row>
    <row r="10140" spans="1:7" x14ac:dyDescent="0.25">
      <c r="A10140" t="s">
        <v>31650</v>
      </c>
      <c r="B10140" t="s">
        <v>31958</v>
      </c>
      <c r="C10140" t="s">
        <v>31959</v>
      </c>
      <c r="D10140" t="s">
        <v>31960</v>
      </c>
      <c r="E10140" t="s">
        <v>31961</v>
      </c>
      <c r="F10140" t="s">
        <v>31962</v>
      </c>
      <c r="G10140" s="2" t="str">
        <f>HYPERLINK("https://probpalata.gov.ru/files/ИП540801158600000.jpeg","Скачать индивидуальный QR-код магазина")</f>
        <v>Скачать индивидуальный QR-код магазина</v>
      </c>
    </row>
    <row r="10141" spans="1:7" x14ac:dyDescent="0.25">
      <c r="A10141" t="s">
        <v>31650</v>
      </c>
      <c r="B10141" t="s">
        <v>31963</v>
      </c>
      <c r="C10141" t="s">
        <v>31964</v>
      </c>
      <c r="D10141" t="s">
        <v>31965</v>
      </c>
      <c r="E10141" t="s">
        <v>31966</v>
      </c>
      <c r="F10141" t="s">
        <v>31967</v>
      </c>
      <c r="G10141" s="2" t="str">
        <f>HYPERLINK("https://probpalata.gov.ru/files/ИП540800919300000.jpeg","Скачать индивидуальный QR-код магазина")</f>
        <v>Скачать индивидуальный QR-код магазина</v>
      </c>
    </row>
    <row r="10142" spans="1:7" x14ac:dyDescent="0.25">
      <c r="A10142" t="s">
        <v>31650</v>
      </c>
      <c r="B10142" t="s">
        <v>31968</v>
      </c>
      <c r="C10142" t="s">
        <v>31969</v>
      </c>
      <c r="D10142" t="s">
        <v>31970</v>
      </c>
      <c r="E10142" t="s">
        <v>31971</v>
      </c>
      <c r="F10142" t="s">
        <v>31972</v>
      </c>
      <c r="G10142" s="2" t="str">
        <f>HYPERLINK("https://probpalata.gov.ru/files/ИП540801297500000.jpeg","Скачать индивидуальный QR-код магазина")</f>
        <v>Скачать индивидуальный QR-код магазина</v>
      </c>
    </row>
    <row r="10143" spans="1:7" x14ac:dyDescent="0.25">
      <c r="A10143" t="s">
        <v>31650</v>
      </c>
      <c r="B10143" t="s">
        <v>31973</v>
      </c>
      <c r="C10143" t="s">
        <v>31974</v>
      </c>
      <c r="D10143" t="s">
        <v>31975</v>
      </c>
      <c r="E10143" t="s">
        <v>31976</v>
      </c>
      <c r="F10143" t="s">
        <v>31977</v>
      </c>
      <c r="G10143" s="2" t="str">
        <f>HYPERLINK("https://probpalata.gov.ru/files/ИП540801497700000.jpeg","Скачать индивидуальный QR-код магазина")</f>
        <v>Скачать индивидуальный QR-код магазина</v>
      </c>
    </row>
    <row r="10144" spans="1:7" x14ac:dyDescent="0.25">
      <c r="A10144" t="s">
        <v>31650</v>
      </c>
      <c r="B10144" t="s">
        <v>31978</v>
      </c>
      <c r="C10144" t="s">
        <v>31974</v>
      </c>
      <c r="D10144" t="s">
        <v>31975</v>
      </c>
      <c r="E10144" t="s">
        <v>31976</v>
      </c>
      <c r="F10144" t="s">
        <v>31979</v>
      </c>
      <c r="G10144" s="2" t="str">
        <f>HYPERLINK("https://probpalata.gov.ru/files/ИП540801497700002.jpeg","Скачать индивидуальный QR-код магазина")</f>
        <v>Скачать индивидуальный QR-код магазина</v>
      </c>
    </row>
    <row r="10145" spans="1:7" x14ac:dyDescent="0.25">
      <c r="A10145" t="s">
        <v>31650</v>
      </c>
      <c r="B10145" t="s">
        <v>31980</v>
      </c>
      <c r="C10145" t="s">
        <v>31974</v>
      </c>
      <c r="D10145" t="s">
        <v>31975</v>
      </c>
      <c r="E10145" t="s">
        <v>31976</v>
      </c>
      <c r="F10145" t="s">
        <v>31981</v>
      </c>
      <c r="G10145" s="2" t="str">
        <f>HYPERLINK("https://probpalata.gov.ru/files/ИП540801497700006.jpeg","Скачать индивидуальный QR-код магазина")</f>
        <v>Скачать индивидуальный QR-код магазина</v>
      </c>
    </row>
    <row r="10146" spans="1:7" x14ac:dyDescent="0.25">
      <c r="A10146" t="s">
        <v>31650</v>
      </c>
      <c r="B10146" t="s">
        <v>31982</v>
      </c>
      <c r="C10146" t="s">
        <v>3634</v>
      </c>
      <c r="D10146" t="s">
        <v>31983</v>
      </c>
      <c r="E10146" t="s">
        <v>31984</v>
      </c>
      <c r="F10146" t="s">
        <v>31985</v>
      </c>
      <c r="G10146" s="2" t="str">
        <f>HYPERLINK("https://probpalata.gov.ru/files/ЮЛ540800247100003.jpeg","Скачать индивидуальный QR-код магазина")</f>
        <v>Скачать индивидуальный QR-код магазина</v>
      </c>
    </row>
    <row r="10147" spans="1:7" x14ac:dyDescent="0.25">
      <c r="A10147" t="s">
        <v>31650</v>
      </c>
      <c r="B10147" t="s">
        <v>31986</v>
      </c>
      <c r="C10147" t="s">
        <v>3634</v>
      </c>
      <c r="D10147" t="s">
        <v>31983</v>
      </c>
      <c r="E10147" t="s">
        <v>31984</v>
      </c>
      <c r="F10147" t="s">
        <v>31987</v>
      </c>
      <c r="G10147" s="2" t="str">
        <f>HYPERLINK("https://probpalata.gov.ru/files/ЮЛ540800247100014.jpeg","Скачать индивидуальный QR-код магазина")</f>
        <v>Скачать индивидуальный QR-код магазина</v>
      </c>
    </row>
    <row r="10148" spans="1:7" x14ac:dyDescent="0.25">
      <c r="A10148" t="s">
        <v>31650</v>
      </c>
      <c r="B10148" t="s">
        <v>31988</v>
      </c>
      <c r="C10148" t="s">
        <v>3634</v>
      </c>
      <c r="D10148" t="s">
        <v>31983</v>
      </c>
      <c r="E10148" t="s">
        <v>31984</v>
      </c>
      <c r="F10148" t="s">
        <v>31989</v>
      </c>
      <c r="G10148" s="2" t="str">
        <f>HYPERLINK("https://probpalata.gov.ru/files/ЮЛ540800247100029.jpeg","Скачать индивидуальный QR-код магазина")</f>
        <v>Скачать индивидуальный QR-код магазина</v>
      </c>
    </row>
    <row r="10149" spans="1:7" x14ac:dyDescent="0.25">
      <c r="A10149" t="s">
        <v>31650</v>
      </c>
      <c r="B10149" t="s">
        <v>31990</v>
      </c>
      <c r="C10149" t="s">
        <v>31991</v>
      </c>
      <c r="D10149" t="s">
        <v>31992</v>
      </c>
      <c r="E10149" t="s">
        <v>31993</v>
      </c>
      <c r="F10149" t="s">
        <v>31994</v>
      </c>
      <c r="G10149" s="2" t="str">
        <f>HYPERLINK("https://probpalata.gov.ru/files/ИП540803004100000.jpeg","Скачать индивидуальный QR-код магазина")</f>
        <v>Скачать индивидуальный QR-код магазина</v>
      </c>
    </row>
    <row r="10150" spans="1:7" x14ac:dyDescent="0.25">
      <c r="A10150" t="s">
        <v>31650</v>
      </c>
      <c r="B10150" t="s">
        <v>31995</v>
      </c>
      <c r="C10150" t="s">
        <v>31996</v>
      </c>
      <c r="D10150" t="s">
        <v>31997</v>
      </c>
      <c r="E10150" t="s">
        <v>31998</v>
      </c>
      <c r="F10150" t="s">
        <v>31999</v>
      </c>
      <c r="G10150" s="2" t="str">
        <f>HYPERLINK("https://probpalata.gov.ru/files/ИП540803919500000.jpeg","Скачать индивидуальный QR-код магазина")</f>
        <v>Скачать индивидуальный QR-код магазина</v>
      </c>
    </row>
    <row r="10151" spans="1:7" x14ac:dyDescent="0.25">
      <c r="A10151" t="s">
        <v>31650</v>
      </c>
      <c r="B10151" t="s">
        <v>32000</v>
      </c>
      <c r="C10151" t="s">
        <v>32001</v>
      </c>
      <c r="D10151" t="s">
        <v>32002</v>
      </c>
      <c r="E10151" t="s">
        <v>32003</v>
      </c>
      <c r="F10151" t="s">
        <v>32004</v>
      </c>
      <c r="G10151" s="2" t="str">
        <f>HYPERLINK("https://probpalata.gov.ru/files/ИП540801153100000.jpeg","Скачать индивидуальный QR-код магазина")</f>
        <v>Скачать индивидуальный QR-код магазина</v>
      </c>
    </row>
    <row r="10152" spans="1:7" x14ac:dyDescent="0.25">
      <c r="A10152" t="s">
        <v>31650</v>
      </c>
      <c r="B10152" t="s">
        <v>32005</v>
      </c>
      <c r="C10152" t="s">
        <v>32006</v>
      </c>
      <c r="D10152" t="s">
        <v>32007</v>
      </c>
      <c r="E10152" t="s">
        <v>32008</v>
      </c>
      <c r="F10152" t="s">
        <v>32009</v>
      </c>
      <c r="G10152" s="2" t="str">
        <f>HYPERLINK("https://probpalata.gov.ru/files/ИП540803442000000.jpeg","Скачать индивидуальный QR-код магазина")</f>
        <v>Скачать индивидуальный QR-код магазина</v>
      </c>
    </row>
    <row r="10153" spans="1:7" x14ac:dyDescent="0.25">
      <c r="A10153" t="s">
        <v>31650</v>
      </c>
      <c r="B10153" t="s">
        <v>32010</v>
      </c>
      <c r="C10153" t="s">
        <v>32011</v>
      </c>
      <c r="D10153" t="s">
        <v>32012</v>
      </c>
      <c r="E10153" t="s">
        <v>32013</v>
      </c>
      <c r="F10153" t="s">
        <v>32014</v>
      </c>
      <c r="G10153" s="2" t="str">
        <f>HYPERLINK("https://probpalata.gov.ru/files/ЮЛ540800906500001.jpeg","Скачать индивидуальный QR-код магазина")</f>
        <v>Скачать индивидуальный QR-код магазина</v>
      </c>
    </row>
    <row r="10154" spans="1:7" x14ac:dyDescent="0.25">
      <c r="A10154" t="s">
        <v>31650</v>
      </c>
      <c r="B10154" t="s">
        <v>32015</v>
      </c>
      <c r="C10154" t="s">
        <v>32011</v>
      </c>
      <c r="D10154" t="s">
        <v>32012</v>
      </c>
      <c r="E10154" t="s">
        <v>32013</v>
      </c>
      <c r="F10154" t="s">
        <v>32016</v>
      </c>
      <c r="G10154" s="2" t="str">
        <f>HYPERLINK("https://probpalata.gov.ru/files/ЮЛ540800906500002.jpeg","Скачать индивидуальный QR-код магазина")</f>
        <v>Скачать индивидуальный QR-код магазина</v>
      </c>
    </row>
    <row r="10155" spans="1:7" x14ac:dyDescent="0.25">
      <c r="A10155" t="s">
        <v>31650</v>
      </c>
      <c r="B10155" t="s">
        <v>32017</v>
      </c>
      <c r="C10155" t="s">
        <v>32011</v>
      </c>
      <c r="D10155" t="s">
        <v>32012</v>
      </c>
      <c r="E10155" t="s">
        <v>32013</v>
      </c>
      <c r="F10155" t="s">
        <v>32018</v>
      </c>
      <c r="G10155" s="2" t="str">
        <f>HYPERLINK("https://probpalata.gov.ru/files/ЮЛ540800906500007.jpeg","Скачать индивидуальный QR-код магазина")</f>
        <v>Скачать индивидуальный QR-код магазина</v>
      </c>
    </row>
    <row r="10156" spans="1:7" x14ac:dyDescent="0.25">
      <c r="A10156" t="s">
        <v>31650</v>
      </c>
      <c r="B10156" t="s">
        <v>32019</v>
      </c>
      <c r="C10156" t="s">
        <v>32011</v>
      </c>
      <c r="D10156" t="s">
        <v>32012</v>
      </c>
      <c r="E10156" t="s">
        <v>32013</v>
      </c>
      <c r="F10156" t="s">
        <v>32020</v>
      </c>
      <c r="G10156" s="2" t="str">
        <f>HYPERLINK("https://probpalata.gov.ru/files/ЮЛ540800906500008.jpeg","Скачать индивидуальный QR-код магазина")</f>
        <v>Скачать индивидуальный QR-код магазина</v>
      </c>
    </row>
    <row r="10157" spans="1:7" x14ac:dyDescent="0.25">
      <c r="A10157" t="s">
        <v>31650</v>
      </c>
      <c r="B10157" t="s">
        <v>32021</v>
      </c>
      <c r="C10157" t="s">
        <v>32011</v>
      </c>
      <c r="D10157" t="s">
        <v>32012</v>
      </c>
      <c r="E10157" t="s">
        <v>32013</v>
      </c>
      <c r="F10157" t="s">
        <v>32022</v>
      </c>
      <c r="G10157" s="2" t="str">
        <f>HYPERLINK("https://probpalata.gov.ru/files/ЮЛ540800906500009.jpeg","Скачать индивидуальный QR-код магазина")</f>
        <v>Скачать индивидуальный QR-код магазина</v>
      </c>
    </row>
    <row r="10158" spans="1:7" x14ac:dyDescent="0.25">
      <c r="A10158" t="s">
        <v>31650</v>
      </c>
      <c r="B10158" t="s">
        <v>32023</v>
      </c>
      <c r="C10158" t="s">
        <v>32024</v>
      </c>
      <c r="D10158" t="s">
        <v>32025</v>
      </c>
      <c r="E10158" t="s">
        <v>32026</v>
      </c>
      <c r="F10158" t="s">
        <v>32027</v>
      </c>
      <c r="G10158" s="2" t="str">
        <f>HYPERLINK("https://probpalata.gov.ru/files/ИП540803654900000.jpeg","Скачать индивидуальный QR-код магазина")</f>
        <v>Скачать индивидуальный QR-код магазина</v>
      </c>
    </row>
    <row r="10159" spans="1:7" x14ac:dyDescent="0.25">
      <c r="A10159" t="s">
        <v>31650</v>
      </c>
      <c r="B10159" t="s">
        <v>31686</v>
      </c>
      <c r="C10159" t="s">
        <v>32028</v>
      </c>
      <c r="D10159" t="s">
        <v>32029</v>
      </c>
      <c r="E10159" t="s">
        <v>32030</v>
      </c>
      <c r="F10159" t="s">
        <v>32031</v>
      </c>
      <c r="G10159" s="2" t="str">
        <f>HYPERLINK("https://probpalata.gov.ru/files/ЮЛ540800286600003.jpeg","Скачать индивидуальный QR-код магазина")</f>
        <v>Скачать индивидуальный QR-код магазина</v>
      </c>
    </row>
    <row r="10160" spans="1:7" x14ac:dyDescent="0.25">
      <c r="A10160" t="s">
        <v>31650</v>
      </c>
      <c r="B10160" t="s">
        <v>32032</v>
      </c>
      <c r="C10160" t="s">
        <v>32033</v>
      </c>
      <c r="D10160" t="s">
        <v>32034</v>
      </c>
      <c r="E10160" t="s">
        <v>32035</v>
      </c>
      <c r="F10160" t="s">
        <v>32036</v>
      </c>
      <c r="G10160" s="2" t="str">
        <f>HYPERLINK("https://probpalata.gov.ru/files/ИП540801002500000.jpeg","Скачать индивидуальный QR-код магазина")</f>
        <v>Скачать индивидуальный QR-код магазина</v>
      </c>
    </row>
    <row r="10161" spans="1:7" x14ac:dyDescent="0.25">
      <c r="A10161" t="s">
        <v>31650</v>
      </c>
      <c r="B10161" t="s">
        <v>32037</v>
      </c>
      <c r="C10161" t="s">
        <v>32038</v>
      </c>
      <c r="D10161" t="s">
        <v>32039</v>
      </c>
      <c r="E10161" t="s">
        <v>32040</v>
      </c>
      <c r="F10161" t="s">
        <v>32041</v>
      </c>
      <c r="G10161" s="2" t="str">
        <f>HYPERLINK("https://probpalata.gov.ru/files/ИП540801467600000.jpeg","Скачать индивидуальный QR-код магазина")</f>
        <v>Скачать индивидуальный QR-код магазина</v>
      </c>
    </row>
    <row r="10162" spans="1:7" x14ac:dyDescent="0.25">
      <c r="A10162" t="s">
        <v>31650</v>
      </c>
      <c r="B10162" t="s">
        <v>32042</v>
      </c>
      <c r="C10162" t="s">
        <v>32043</v>
      </c>
      <c r="D10162" t="s">
        <v>32044</v>
      </c>
      <c r="E10162" t="s">
        <v>32045</v>
      </c>
      <c r="F10162" t="s">
        <v>32046</v>
      </c>
      <c r="G10162" s="2" t="str">
        <f>HYPERLINK("https://probpalata.gov.ru/files/ЮЛ540803784900001.jpeg","Скачать индивидуальный QR-код магазина")</f>
        <v>Скачать индивидуальный QR-код магазина</v>
      </c>
    </row>
    <row r="10163" spans="1:7" x14ac:dyDescent="0.25">
      <c r="A10163" t="s">
        <v>31650</v>
      </c>
      <c r="B10163" t="s">
        <v>32047</v>
      </c>
      <c r="C10163" t="s">
        <v>32048</v>
      </c>
      <c r="D10163" t="s">
        <v>32049</v>
      </c>
      <c r="E10163" t="s">
        <v>32050</v>
      </c>
      <c r="F10163" t="s">
        <v>32051</v>
      </c>
      <c r="G10163" s="2" t="str">
        <f>HYPERLINK("https://probpalata.gov.ru/files/ИП540800711900000.jpeg","Скачать индивидуальный QR-код магазина")</f>
        <v>Скачать индивидуальный QR-код магазина</v>
      </c>
    </row>
    <row r="10164" spans="1:7" x14ac:dyDescent="0.25">
      <c r="A10164" t="s">
        <v>31650</v>
      </c>
      <c r="B10164" t="s">
        <v>32052</v>
      </c>
      <c r="C10164" t="s">
        <v>32053</v>
      </c>
      <c r="D10164" t="s">
        <v>32054</v>
      </c>
      <c r="E10164" t="s">
        <v>32055</v>
      </c>
      <c r="F10164" t="s">
        <v>32056</v>
      </c>
      <c r="G10164" s="2" t="str">
        <f>HYPERLINK("https://probpalata.gov.ru/files/ИП540800245500000.jpeg","Скачать индивидуальный QR-код магазина")</f>
        <v>Скачать индивидуальный QR-код магазина</v>
      </c>
    </row>
    <row r="10165" spans="1:7" x14ac:dyDescent="0.25">
      <c r="A10165" t="s">
        <v>31650</v>
      </c>
      <c r="B10165" t="s">
        <v>32057</v>
      </c>
      <c r="C10165" t="s">
        <v>32058</v>
      </c>
      <c r="D10165" t="s">
        <v>32059</v>
      </c>
      <c r="E10165" t="s">
        <v>32060</v>
      </c>
      <c r="F10165" t="s">
        <v>32061</v>
      </c>
      <c r="G10165" s="2" t="str">
        <f>HYPERLINK("https://probpalata.gov.ru/files/ИП540800918200000.jpeg","Скачать индивидуальный QR-код магазина")</f>
        <v>Скачать индивидуальный QR-код магазина</v>
      </c>
    </row>
    <row r="10166" spans="1:7" x14ac:dyDescent="0.25">
      <c r="A10166" t="s">
        <v>31650</v>
      </c>
      <c r="B10166" t="s">
        <v>32062</v>
      </c>
      <c r="C10166" t="s">
        <v>32058</v>
      </c>
      <c r="D10166" t="s">
        <v>32059</v>
      </c>
      <c r="E10166" t="s">
        <v>32060</v>
      </c>
      <c r="F10166" t="s">
        <v>32063</v>
      </c>
      <c r="G10166" s="2" t="str">
        <f>HYPERLINK("https://probpalata.gov.ru/files/ИП540800918200001.jpeg","Скачать индивидуальный QR-код магазина")</f>
        <v>Скачать индивидуальный QR-код магазина</v>
      </c>
    </row>
    <row r="10167" spans="1:7" x14ac:dyDescent="0.25">
      <c r="A10167" t="s">
        <v>31650</v>
      </c>
      <c r="B10167" t="s">
        <v>32064</v>
      </c>
      <c r="C10167" t="s">
        <v>32065</v>
      </c>
      <c r="D10167" t="s">
        <v>32066</v>
      </c>
      <c r="E10167" t="s">
        <v>32067</v>
      </c>
      <c r="F10167" t="s">
        <v>32068</v>
      </c>
      <c r="G10167" s="2" t="str">
        <f>HYPERLINK("https://probpalata.gov.ru/files/ИП540800597200000.jpeg","Скачать индивидуальный QR-код магазина")</f>
        <v>Скачать индивидуальный QR-код магазина</v>
      </c>
    </row>
    <row r="10168" spans="1:7" x14ac:dyDescent="0.25">
      <c r="A10168" t="s">
        <v>31650</v>
      </c>
      <c r="B10168" t="s">
        <v>32069</v>
      </c>
      <c r="C10168" t="s">
        <v>32070</v>
      </c>
      <c r="D10168" t="s">
        <v>32071</v>
      </c>
      <c r="E10168" t="s">
        <v>32072</v>
      </c>
      <c r="F10168" t="s">
        <v>32073</v>
      </c>
      <c r="G10168" s="2" t="str">
        <f>HYPERLINK("https://probpalata.gov.ru/files/ЮЛ540800195500000.jpeg","Скачать индивидуальный QR-код магазина")</f>
        <v>Скачать индивидуальный QR-код магазина</v>
      </c>
    </row>
    <row r="10169" spans="1:7" x14ac:dyDescent="0.25">
      <c r="A10169" t="s">
        <v>31650</v>
      </c>
      <c r="B10169" t="s">
        <v>32074</v>
      </c>
      <c r="C10169" t="s">
        <v>32075</v>
      </c>
      <c r="D10169" t="s">
        <v>32076</v>
      </c>
      <c r="E10169" t="s">
        <v>32077</v>
      </c>
      <c r="F10169" t="s">
        <v>32078</v>
      </c>
      <c r="G10169" s="2" t="str">
        <f>HYPERLINK("https://probpalata.gov.ru/files/ИП540800042800000.jpeg","Скачать индивидуальный QR-код магазина")</f>
        <v>Скачать индивидуальный QR-код магазина</v>
      </c>
    </row>
    <row r="10170" spans="1:7" x14ac:dyDescent="0.25">
      <c r="A10170" t="s">
        <v>31650</v>
      </c>
      <c r="B10170" t="s">
        <v>32079</v>
      </c>
      <c r="C10170" t="s">
        <v>32080</v>
      </c>
      <c r="D10170" t="s">
        <v>32081</v>
      </c>
      <c r="E10170" t="s">
        <v>32082</v>
      </c>
      <c r="F10170" t="s">
        <v>32083</v>
      </c>
      <c r="G10170" s="2" t="str">
        <f>HYPERLINK("https://probpalata.gov.ru/files/ИП540801407600000.jpeg","Скачать индивидуальный QR-код магазина")</f>
        <v>Скачать индивидуальный QR-код магазина</v>
      </c>
    </row>
    <row r="10171" spans="1:7" x14ac:dyDescent="0.25">
      <c r="A10171" t="s">
        <v>31650</v>
      </c>
      <c r="B10171" t="s">
        <v>32084</v>
      </c>
      <c r="C10171" t="s">
        <v>32085</v>
      </c>
      <c r="D10171" t="s">
        <v>32086</v>
      </c>
      <c r="E10171" t="s">
        <v>32087</v>
      </c>
      <c r="F10171" t="s">
        <v>32088</v>
      </c>
      <c r="G10171" s="2" t="str">
        <f>HYPERLINK("https://probpalata.gov.ru/files/ИП540800055700000.jpeg","Скачать индивидуальный QR-код магазина")</f>
        <v>Скачать индивидуальный QR-код магазина</v>
      </c>
    </row>
    <row r="10172" spans="1:7" x14ac:dyDescent="0.25">
      <c r="A10172" t="s">
        <v>31650</v>
      </c>
      <c r="B10172" t="s">
        <v>32089</v>
      </c>
      <c r="C10172" t="s">
        <v>32090</v>
      </c>
      <c r="D10172" t="s">
        <v>32091</v>
      </c>
      <c r="E10172" t="s">
        <v>32092</v>
      </c>
      <c r="F10172" t="s">
        <v>32093</v>
      </c>
      <c r="G10172" s="2" t="str">
        <f>HYPERLINK("https://probpalata.gov.ru/files/ИП540801153300000.jpeg","Скачать индивидуальный QR-код магазина")</f>
        <v>Скачать индивидуальный QR-код магазина</v>
      </c>
    </row>
    <row r="10173" spans="1:7" x14ac:dyDescent="0.25">
      <c r="A10173" t="s">
        <v>31650</v>
      </c>
      <c r="B10173" t="s">
        <v>32094</v>
      </c>
      <c r="C10173" t="s">
        <v>32095</v>
      </c>
      <c r="D10173" t="s">
        <v>32096</v>
      </c>
      <c r="E10173" t="s">
        <v>32097</v>
      </c>
      <c r="F10173" t="s">
        <v>32098</v>
      </c>
      <c r="G10173" s="2" t="str">
        <f>HYPERLINK("https://probpalata.gov.ru/files/ИП540803309100000.jpeg","Скачать индивидуальный QR-код магазина")</f>
        <v>Скачать индивидуальный QR-код магазина</v>
      </c>
    </row>
    <row r="10174" spans="1:7" x14ac:dyDescent="0.25">
      <c r="A10174" t="s">
        <v>31650</v>
      </c>
      <c r="B10174" t="s">
        <v>32099</v>
      </c>
      <c r="C10174" t="s">
        <v>32100</v>
      </c>
      <c r="D10174" t="s">
        <v>32101</v>
      </c>
      <c r="E10174" t="s">
        <v>32102</v>
      </c>
      <c r="F10174" t="s">
        <v>32103</v>
      </c>
      <c r="G10174" s="2" t="str">
        <f>HYPERLINK("https://probpalata.gov.ru/files/ИП540803874000000.jpeg","Скачать индивидуальный QR-код магазина")</f>
        <v>Скачать индивидуальный QR-код магазина</v>
      </c>
    </row>
    <row r="10175" spans="1:7" x14ac:dyDescent="0.25">
      <c r="A10175" t="s">
        <v>31650</v>
      </c>
      <c r="B10175" t="s">
        <v>32104</v>
      </c>
      <c r="C10175" t="s">
        <v>32105</v>
      </c>
      <c r="D10175" t="s">
        <v>32106</v>
      </c>
      <c r="E10175" t="s">
        <v>32107</v>
      </c>
      <c r="F10175" t="s">
        <v>32108</v>
      </c>
      <c r="G10175" s="2" t="str">
        <f>HYPERLINK("https://probpalata.gov.ru/files/ЮЛ540800501800000.jpeg","Скачать индивидуальный QR-код магазина")</f>
        <v>Скачать индивидуальный QR-код магазина</v>
      </c>
    </row>
    <row r="10176" spans="1:7" x14ac:dyDescent="0.25">
      <c r="A10176" t="s">
        <v>31650</v>
      </c>
      <c r="B10176" t="s">
        <v>32109</v>
      </c>
      <c r="C10176" t="s">
        <v>32110</v>
      </c>
      <c r="D10176" t="s">
        <v>32111</v>
      </c>
      <c r="E10176" t="s">
        <v>32112</v>
      </c>
      <c r="F10176" t="s">
        <v>32113</v>
      </c>
      <c r="G10176" s="2" t="str">
        <f>HYPERLINK("https://probpalata.gov.ru/files/ЮЛ540801389100000.jpeg","Скачать индивидуальный QR-код магазина")</f>
        <v>Скачать индивидуальный QR-код магазина</v>
      </c>
    </row>
    <row r="10177" spans="1:7" x14ac:dyDescent="0.25">
      <c r="A10177" t="s">
        <v>31650</v>
      </c>
      <c r="B10177" t="s">
        <v>32114</v>
      </c>
      <c r="C10177" t="s">
        <v>32115</v>
      </c>
      <c r="D10177" t="s">
        <v>32116</v>
      </c>
      <c r="E10177" t="s">
        <v>32117</v>
      </c>
      <c r="F10177" t="s">
        <v>32118</v>
      </c>
      <c r="G10177" s="2" t="str">
        <f>HYPERLINK("https://probpalata.gov.ru/files/ИП540803409200000.jpeg","Скачать индивидуальный QR-код магазина")</f>
        <v>Скачать индивидуальный QR-код магазина</v>
      </c>
    </row>
    <row r="10178" spans="1:7" x14ac:dyDescent="0.25">
      <c r="A10178" t="s">
        <v>31650</v>
      </c>
      <c r="B10178" t="s">
        <v>31958</v>
      </c>
      <c r="C10178" t="s">
        <v>32119</v>
      </c>
      <c r="D10178" t="s">
        <v>32120</v>
      </c>
      <c r="E10178" t="s">
        <v>32121</v>
      </c>
      <c r="F10178" t="s">
        <v>32122</v>
      </c>
      <c r="G10178" s="2" t="str">
        <f>HYPERLINK("https://probpalata.gov.ru/files/ИП540801613200000.jpeg","Скачать индивидуальный QR-код магазина")</f>
        <v>Скачать индивидуальный QR-код магазина</v>
      </c>
    </row>
    <row r="10179" spans="1:7" x14ac:dyDescent="0.25">
      <c r="A10179" t="s">
        <v>31650</v>
      </c>
      <c r="B10179" t="s">
        <v>32123</v>
      </c>
      <c r="C10179" t="s">
        <v>32124</v>
      </c>
      <c r="D10179" t="s">
        <v>32125</v>
      </c>
      <c r="E10179" t="s">
        <v>32126</v>
      </c>
      <c r="F10179" t="s">
        <v>32127</v>
      </c>
      <c r="G10179" s="2" t="str">
        <f>HYPERLINK("https://probpalata.gov.ru/files/ЮЛ540801099900000.jpeg","Скачать индивидуальный QR-код магазина")</f>
        <v>Скачать индивидуальный QR-код магазина</v>
      </c>
    </row>
    <row r="10180" spans="1:7" x14ac:dyDescent="0.25">
      <c r="A10180" t="s">
        <v>31650</v>
      </c>
      <c r="B10180" t="s">
        <v>32128</v>
      </c>
      <c r="C10180" t="s">
        <v>32124</v>
      </c>
      <c r="D10180" t="s">
        <v>32125</v>
      </c>
      <c r="E10180" t="s">
        <v>32126</v>
      </c>
      <c r="F10180" t="s">
        <v>32129</v>
      </c>
      <c r="G10180" s="2" t="str">
        <f>HYPERLINK("https://probpalata.gov.ru/files/ЮЛ540801099900001.jpeg","Скачать индивидуальный QR-код магазина")</f>
        <v>Скачать индивидуальный QR-код магазина</v>
      </c>
    </row>
    <row r="10181" spans="1:7" x14ac:dyDescent="0.25">
      <c r="A10181" t="s">
        <v>31650</v>
      </c>
      <c r="B10181" t="s">
        <v>32130</v>
      </c>
      <c r="C10181" t="s">
        <v>32124</v>
      </c>
      <c r="D10181" t="s">
        <v>32125</v>
      </c>
      <c r="E10181" t="s">
        <v>32126</v>
      </c>
      <c r="F10181" t="s">
        <v>32131</v>
      </c>
      <c r="G10181" s="2" t="str">
        <f>HYPERLINK("https://probpalata.gov.ru/files/ЮЛ540801099900002.jpeg","Скачать индивидуальный QR-код магазина")</f>
        <v>Скачать индивидуальный QR-код магазина</v>
      </c>
    </row>
    <row r="10182" spans="1:7" x14ac:dyDescent="0.25">
      <c r="A10182" t="s">
        <v>31650</v>
      </c>
      <c r="B10182" t="s">
        <v>32132</v>
      </c>
      <c r="C10182" t="s">
        <v>32124</v>
      </c>
      <c r="D10182" t="s">
        <v>32125</v>
      </c>
      <c r="E10182" t="s">
        <v>32126</v>
      </c>
      <c r="F10182" t="s">
        <v>32133</v>
      </c>
      <c r="G10182" s="2" t="str">
        <f>HYPERLINK("https://probpalata.gov.ru/files/ЮЛ540801099900003.jpeg","Скачать индивидуальный QR-код магазина")</f>
        <v>Скачать индивидуальный QR-код магазина</v>
      </c>
    </row>
    <row r="10183" spans="1:7" x14ac:dyDescent="0.25">
      <c r="A10183" t="s">
        <v>31650</v>
      </c>
      <c r="B10183" t="s">
        <v>32134</v>
      </c>
      <c r="C10183" t="s">
        <v>32124</v>
      </c>
      <c r="D10183" t="s">
        <v>32125</v>
      </c>
      <c r="E10183" t="s">
        <v>32126</v>
      </c>
      <c r="F10183" t="s">
        <v>32135</v>
      </c>
      <c r="G10183" s="2" t="str">
        <f>HYPERLINK("https://probpalata.gov.ru/files/ЮЛ540801099900004.jpeg","Скачать индивидуальный QR-код магазина")</f>
        <v>Скачать индивидуальный QR-код магазина</v>
      </c>
    </row>
    <row r="10184" spans="1:7" x14ac:dyDescent="0.25">
      <c r="A10184" t="s">
        <v>31650</v>
      </c>
      <c r="B10184" t="s">
        <v>31864</v>
      </c>
      <c r="C10184" t="s">
        <v>32124</v>
      </c>
      <c r="D10184" t="s">
        <v>32125</v>
      </c>
      <c r="E10184" t="s">
        <v>32126</v>
      </c>
      <c r="F10184" t="s">
        <v>32136</v>
      </c>
      <c r="G10184" s="2" t="str">
        <f>HYPERLINK("https://probpalata.gov.ru/files/ЮЛ540801099900005.jpeg","Скачать индивидуальный QR-код магазина")</f>
        <v>Скачать индивидуальный QR-код магазина</v>
      </c>
    </row>
    <row r="10185" spans="1:7" x14ac:dyDescent="0.25">
      <c r="A10185" t="s">
        <v>31650</v>
      </c>
      <c r="B10185" t="s">
        <v>32137</v>
      </c>
      <c r="C10185" t="s">
        <v>32124</v>
      </c>
      <c r="D10185" t="s">
        <v>32125</v>
      </c>
      <c r="E10185" t="s">
        <v>32126</v>
      </c>
      <c r="F10185" t="s">
        <v>32138</v>
      </c>
      <c r="G10185" s="2" t="str">
        <f>HYPERLINK("https://probpalata.gov.ru/files/ЮЛ540801099900006.jpeg","Скачать индивидуальный QR-код магазина")</f>
        <v>Скачать индивидуальный QR-код магазина</v>
      </c>
    </row>
    <row r="10186" spans="1:7" x14ac:dyDescent="0.25">
      <c r="A10186" t="s">
        <v>31650</v>
      </c>
      <c r="B10186" t="s">
        <v>32139</v>
      </c>
      <c r="C10186" t="s">
        <v>32124</v>
      </c>
      <c r="D10186" t="s">
        <v>32125</v>
      </c>
      <c r="E10186" t="s">
        <v>32126</v>
      </c>
      <c r="F10186" t="s">
        <v>32140</v>
      </c>
      <c r="G10186" s="2" t="str">
        <f>HYPERLINK("https://probpalata.gov.ru/files/ЮЛ540801099900007.jpeg","Скачать индивидуальный QR-код магазина")</f>
        <v>Скачать индивидуальный QR-код магазина</v>
      </c>
    </row>
    <row r="10187" spans="1:7" x14ac:dyDescent="0.25">
      <c r="A10187" t="s">
        <v>31650</v>
      </c>
      <c r="B10187" t="s">
        <v>32141</v>
      </c>
      <c r="C10187" t="s">
        <v>32142</v>
      </c>
      <c r="D10187" t="s">
        <v>32143</v>
      </c>
      <c r="E10187" t="s">
        <v>32144</v>
      </c>
      <c r="F10187" t="s">
        <v>32145</v>
      </c>
      <c r="G10187" s="2" t="str">
        <f>HYPERLINK("https://probpalata.gov.ru/files/ЮЛ540801454300000.jpeg","Скачать индивидуальный QR-код магазина")</f>
        <v>Скачать индивидуальный QR-код магазина</v>
      </c>
    </row>
    <row r="10188" spans="1:7" x14ac:dyDescent="0.25">
      <c r="A10188" t="s">
        <v>31650</v>
      </c>
      <c r="B10188" t="s">
        <v>32146</v>
      </c>
      <c r="C10188" t="s">
        <v>32142</v>
      </c>
      <c r="D10188" t="s">
        <v>32143</v>
      </c>
      <c r="E10188" t="s">
        <v>32144</v>
      </c>
      <c r="F10188" t="s">
        <v>32147</v>
      </c>
      <c r="G10188" s="2" t="str">
        <f>HYPERLINK("https://probpalata.gov.ru/files/ЮЛ540801454300003.jpeg","Скачать индивидуальный QR-код магазина")</f>
        <v>Скачать индивидуальный QR-код магазина</v>
      </c>
    </row>
    <row r="10189" spans="1:7" x14ac:dyDescent="0.25">
      <c r="A10189" t="s">
        <v>31650</v>
      </c>
      <c r="B10189" t="s">
        <v>32148</v>
      </c>
      <c r="C10189" t="s">
        <v>32142</v>
      </c>
      <c r="D10189" t="s">
        <v>32143</v>
      </c>
      <c r="E10189" t="s">
        <v>32144</v>
      </c>
      <c r="F10189" t="s">
        <v>32149</v>
      </c>
      <c r="G10189" s="2" t="str">
        <f>HYPERLINK("https://probpalata.gov.ru/files/ЮЛ540801454300008.jpeg","Скачать индивидуальный QR-код магазина")</f>
        <v>Скачать индивидуальный QR-код магазина</v>
      </c>
    </row>
    <row r="10190" spans="1:7" x14ac:dyDescent="0.25">
      <c r="A10190" t="s">
        <v>31650</v>
      </c>
      <c r="B10190" t="s">
        <v>32150</v>
      </c>
      <c r="C10190" t="s">
        <v>32142</v>
      </c>
      <c r="D10190" t="s">
        <v>32143</v>
      </c>
      <c r="E10190" t="s">
        <v>32144</v>
      </c>
      <c r="F10190" t="s">
        <v>32151</v>
      </c>
      <c r="G10190" s="2" t="str">
        <f>HYPERLINK("https://probpalata.gov.ru/files/ЮЛ540801454300009.jpeg","Скачать индивидуальный QR-код магазина")</f>
        <v>Скачать индивидуальный QR-код магазина</v>
      </c>
    </row>
    <row r="10191" spans="1:7" x14ac:dyDescent="0.25">
      <c r="A10191" t="s">
        <v>31650</v>
      </c>
      <c r="B10191" t="s">
        <v>32152</v>
      </c>
      <c r="C10191" t="s">
        <v>32142</v>
      </c>
      <c r="D10191" t="s">
        <v>32143</v>
      </c>
      <c r="E10191" t="s">
        <v>32144</v>
      </c>
      <c r="F10191" t="s">
        <v>32153</v>
      </c>
      <c r="G10191" s="2" t="str">
        <f>HYPERLINK("https://probpalata.gov.ru/files/ЮЛ540801454300010.jpeg","Скачать индивидуальный QR-код магазина")</f>
        <v>Скачать индивидуальный QR-код магазина</v>
      </c>
    </row>
    <row r="10192" spans="1:7" x14ac:dyDescent="0.25">
      <c r="A10192" t="s">
        <v>31650</v>
      </c>
      <c r="B10192" t="s">
        <v>32154</v>
      </c>
      <c r="C10192" t="s">
        <v>20385</v>
      </c>
      <c r="D10192" t="s">
        <v>20386</v>
      </c>
      <c r="E10192" t="s">
        <v>20387</v>
      </c>
      <c r="F10192" t="s">
        <v>32155</v>
      </c>
      <c r="G10192" s="2" t="str">
        <f>HYPERLINK("https://probpalata.gov.ru/files/ЮЛ540800121900000.jpeg","Скачать индивидуальный QR-код магазина")</f>
        <v>Скачать индивидуальный QR-код магазина</v>
      </c>
    </row>
    <row r="10193" spans="1:7" x14ac:dyDescent="0.25">
      <c r="A10193" t="s">
        <v>31650</v>
      </c>
      <c r="B10193" t="s">
        <v>32156</v>
      </c>
      <c r="C10193" t="s">
        <v>32157</v>
      </c>
      <c r="D10193" t="s">
        <v>32158</v>
      </c>
      <c r="E10193" t="s">
        <v>32159</v>
      </c>
      <c r="F10193" t="s">
        <v>32160</v>
      </c>
      <c r="G10193" s="2" t="str">
        <f>HYPERLINK("https://probpalata.gov.ru/files/ЮЛ540801011800000.jpeg","Скачать индивидуальный QR-код магазина")</f>
        <v>Скачать индивидуальный QR-код магазина</v>
      </c>
    </row>
    <row r="10194" spans="1:7" x14ac:dyDescent="0.25">
      <c r="A10194" t="s">
        <v>31650</v>
      </c>
      <c r="B10194" t="s">
        <v>32161</v>
      </c>
      <c r="C10194" t="s">
        <v>32157</v>
      </c>
      <c r="D10194" t="s">
        <v>32162</v>
      </c>
      <c r="E10194" t="s">
        <v>32163</v>
      </c>
      <c r="F10194" t="s">
        <v>32164</v>
      </c>
      <c r="G10194" s="2" t="str">
        <f>HYPERLINK("https://probpalata.gov.ru/files/ЮЛ540800568500000.jpeg","Скачать индивидуальный QR-код магазина")</f>
        <v>Скачать индивидуальный QR-код магазина</v>
      </c>
    </row>
    <row r="10195" spans="1:7" x14ac:dyDescent="0.25">
      <c r="A10195" t="s">
        <v>31650</v>
      </c>
      <c r="B10195" t="s">
        <v>32165</v>
      </c>
      <c r="C10195" t="s">
        <v>32166</v>
      </c>
      <c r="D10195" t="s">
        <v>32167</v>
      </c>
      <c r="E10195" t="s">
        <v>32168</v>
      </c>
      <c r="F10195" t="s">
        <v>32169</v>
      </c>
      <c r="G10195" s="2" t="str">
        <f>HYPERLINK("https://probpalata.gov.ru/files/ЮЛ540800529400000.jpeg","Скачать индивидуальный QR-код магазина")</f>
        <v>Скачать индивидуальный QR-код магазина</v>
      </c>
    </row>
    <row r="10196" spans="1:7" x14ac:dyDescent="0.25">
      <c r="A10196" t="s">
        <v>31650</v>
      </c>
      <c r="B10196" t="s">
        <v>32170</v>
      </c>
      <c r="C10196" t="s">
        <v>32171</v>
      </c>
      <c r="D10196" t="s">
        <v>32172</v>
      </c>
      <c r="E10196" t="s">
        <v>32173</v>
      </c>
      <c r="F10196" t="s">
        <v>32174</v>
      </c>
      <c r="G10196" s="2" t="str">
        <f>HYPERLINK("https://probpalata.gov.ru/files/ЮЛ540800591800000.jpeg","Скачать индивидуальный QR-код магазина")</f>
        <v>Скачать индивидуальный QR-код магазина</v>
      </c>
    </row>
    <row r="10197" spans="1:7" x14ac:dyDescent="0.25">
      <c r="A10197" t="s">
        <v>31650</v>
      </c>
      <c r="B10197" t="s">
        <v>32175</v>
      </c>
      <c r="C10197" t="s">
        <v>32171</v>
      </c>
      <c r="D10197" t="s">
        <v>32172</v>
      </c>
      <c r="E10197" t="s">
        <v>32173</v>
      </c>
      <c r="F10197" t="s">
        <v>32176</v>
      </c>
      <c r="G10197" s="2" t="str">
        <f>HYPERLINK("https://probpalata.gov.ru/files/ЮЛ540800591800003.jpeg","Скачать индивидуальный QR-код магазина")</f>
        <v>Скачать индивидуальный QR-код магазина</v>
      </c>
    </row>
    <row r="10198" spans="1:7" x14ac:dyDescent="0.25">
      <c r="A10198" t="s">
        <v>31650</v>
      </c>
      <c r="B10198" t="s">
        <v>32177</v>
      </c>
      <c r="C10198" t="s">
        <v>32171</v>
      </c>
      <c r="D10198" t="s">
        <v>32172</v>
      </c>
      <c r="E10198" t="s">
        <v>32173</v>
      </c>
      <c r="F10198" t="s">
        <v>32178</v>
      </c>
      <c r="G10198" s="2" t="str">
        <f>HYPERLINK("https://probpalata.gov.ru/files/ЮЛ540800591800004.jpeg","Скачать индивидуальный QR-код магазина")</f>
        <v>Скачать индивидуальный QR-код магазина</v>
      </c>
    </row>
    <row r="10199" spans="1:7" x14ac:dyDescent="0.25">
      <c r="A10199" t="s">
        <v>31650</v>
      </c>
      <c r="B10199" t="s">
        <v>32179</v>
      </c>
      <c r="C10199" t="s">
        <v>32171</v>
      </c>
      <c r="D10199" t="s">
        <v>32172</v>
      </c>
      <c r="E10199" t="s">
        <v>32173</v>
      </c>
      <c r="F10199" t="s">
        <v>32180</v>
      </c>
      <c r="G10199" s="2" t="str">
        <f>HYPERLINK("https://probpalata.gov.ru/files/ЮЛ540800591800006.jpeg","Скачать индивидуальный QR-код магазина")</f>
        <v>Скачать индивидуальный QR-код магазина</v>
      </c>
    </row>
    <row r="10200" spans="1:7" x14ac:dyDescent="0.25">
      <c r="A10200" t="s">
        <v>31650</v>
      </c>
      <c r="B10200" t="s">
        <v>32181</v>
      </c>
      <c r="C10200" t="s">
        <v>32182</v>
      </c>
      <c r="D10200" t="s">
        <v>32183</v>
      </c>
      <c r="E10200" t="s">
        <v>32184</v>
      </c>
      <c r="F10200" t="s">
        <v>32185</v>
      </c>
      <c r="G10200" s="2" t="str">
        <f>HYPERLINK("https://probpalata.gov.ru/files/ЮЛ540801643100000.jpeg","Скачать индивидуальный QR-код магазина")</f>
        <v>Скачать индивидуальный QR-код магазина</v>
      </c>
    </row>
    <row r="10201" spans="1:7" x14ac:dyDescent="0.25">
      <c r="A10201" t="s">
        <v>31650</v>
      </c>
      <c r="B10201" t="s">
        <v>32186</v>
      </c>
      <c r="C10201" t="s">
        <v>32187</v>
      </c>
      <c r="D10201" t="s">
        <v>32188</v>
      </c>
      <c r="E10201" t="s">
        <v>32189</v>
      </c>
      <c r="F10201" t="s">
        <v>32190</v>
      </c>
      <c r="G10201" s="2" t="str">
        <f>HYPERLINK("https://probpalata.gov.ru/files/ИП540801484100000.jpeg","Скачать индивидуальный QR-код магазина")</f>
        <v>Скачать индивидуальный QR-код магазина</v>
      </c>
    </row>
    <row r="10202" spans="1:7" x14ac:dyDescent="0.25">
      <c r="A10202" t="s">
        <v>31650</v>
      </c>
      <c r="B10202" t="s">
        <v>32191</v>
      </c>
      <c r="C10202" t="s">
        <v>32192</v>
      </c>
      <c r="D10202" t="s">
        <v>32193</v>
      </c>
      <c r="E10202" t="s">
        <v>32194</v>
      </c>
      <c r="F10202" t="s">
        <v>32195</v>
      </c>
      <c r="G10202" s="2" t="str">
        <f>HYPERLINK("https://probpalata.gov.ru/files/ИП540800285600000.jpeg","Скачать индивидуальный QR-код магазина")</f>
        <v>Скачать индивидуальный QR-код магазина</v>
      </c>
    </row>
    <row r="10203" spans="1:7" x14ac:dyDescent="0.25">
      <c r="A10203" t="s">
        <v>31650</v>
      </c>
      <c r="B10203" t="s">
        <v>31651</v>
      </c>
      <c r="C10203" t="s">
        <v>32196</v>
      </c>
      <c r="D10203" t="s">
        <v>32197</v>
      </c>
      <c r="E10203" t="s">
        <v>32198</v>
      </c>
      <c r="F10203" t="s">
        <v>32199</v>
      </c>
      <c r="G10203" s="2" t="str">
        <f>HYPERLINK("https://probpalata.gov.ru/files/ИП540800516100000.jpeg","Скачать индивидуальный QR-код магазина")</f>
        <v>Скачать индивидуальный QR-код магазина</v>
      </c>
    </row>
    <row r="10204" spans="1:7" x14ac:dyDescent="0.25">
      <c r="A10204" t="s">
        <v>31650</v>
      </c>
      <c r="B10204" t="s">
        <v>31656</v>
      </c>
      <c r="C10204" t="s">
        <v>694</v>
      </c>
      <c r="D10204" t="s">
        <v>695</v>
      </c>
      <c r="E10204" t="s">
        <v>696</v>
      </c>
      <c r="F10204" t="s">
        <v>32200</v>
      </c>
      <c r="G10204" s="2" t="str">
        <f>HYPERLINK("https://probpalata.gov.ru/files/ЮЛ540801200600000.jpeg","Скачать индивидуальный QR-код магазина")</f>
        <v>Скачать индивидуальный QR-код магазина</v>
      </c>
    </row>
    <row r="10205" spans="1:7" x14ac:dyDescent="0.25">
      <c r="A10205" t="s">
        <v>31650</v>
      </c>
      <c r="B10205" t="s">
        <v>32201</v>
      </c>
      <c r="C10205" t="s">
        <v>32202</v>
      </c>
      <c r="D10205" t="s">
        <v>32203</v>
      </c>
      <c r="E10205" t="s">
        <v>32204</v>
      </c>
      <c r="F10205" t="s">
        <v>32205</v>
      </c>
      <c r="G10205" s="2" t="str">
        <f>HYPERLINK("https://probpalata.gov.ru/files/ИП540801477100000.jpeg","Скачать индивидуальный QR-код магазина")</f>
        <v>Скачать индивидуальный QR-код магазина</v>
      </c>
    </row>
    <row r="10206" spans="1:7" x14ac:dyDescent="0.25">
      <c r="A10206" t="s">
        <v>31650</v>
      </c>
      <c r="B10206" t="s">
        <v>32206</v>
      </c>
      <c r="C10206" t="s">
        <v>32202</v>
      </c>
      <c r="D10206" t="s">
        <v>32203</v>
      </c>
      <c r="E10206" t="s">
        <v>32204</v>
      </c>
      <c r="F10206" t="s">
        <v>32207</v>
      </c>
      <c r="G10206" s="2" t="str">
        <f>HYPERLINK("https://probpalata.gov.ru/files/ИП540801477100002.jpeg","Скачать индивидуальный QR-код магазина")</f>
        <v>Скачать индивидуальный QR-код магазина</v>
      </c>
    </row>
    <row r="10207" spans="1:7" x14ac:dyDescent="0.25">
      <c r="A10207" t="s">
        <v>31650</v>
      </c>
      <c r="B10207" t="s">
        <v>32208</v>
      </c>
      <c r="C10207" t="s">
        <v>32202</v>
      </c>
      <c r="D10207" t="s">
        <v>32203</v>
      </c>
      <c r="E10207" t="s">
        <v>32204</v>
      </c>
      <c r="F10207" t="s">
        <v>32209</v>
      </c>
      <c r="G10207" s="2" t="str">
        <f>HYPERLINK("https://probpalata.gov.ru/files/ИП540801477100004.jpeg","Скачать индивидуальный QR-код магазина")</f>
        <v>Скачать индивидуальный QR-код магазина</v>
      </c>
    </row>
    <row r="10208" spans="1:7" x14ac:dyDescent="0.25">
      <c r="A10208" t="s">
        <v>31650</v>
      </c>
      <c r="B10208" t="s">
        <v>32210</v>
      </c>
      <c r="C10208" t="s">
        <v>32202</v>
      </c>
      <c r="D10208" t="s">
        <v>32203</v>
      </c>
      <c r="E10208" t="s">
        <v>32204</v>
      </c>
      <c r="F10208" t="s">
        <v>32211</v>
      </c>
      <c r="G10208" s="2" t="str">
        <f>HYPERLINK("https://probpalata.gov.ru/files/ИП540801477100007.jpeg","Скачать индивидуальный QR-код магазина")</f>
        <v>Скачать индивидуальный QR-код магазина</v>
      </c>
    </row>
    <row r="10209" spans="1:7" x14ac:dyDescent="0.25">
      <c r="A10209" t="s">
        <v>31650</v>
      </c>
      <c r="B10209" t="s">
        <v>32212</v>
      </c>
      <c r="C10209" t="s">
        <v>32202</v>
      </c>
      <c r="D10209" t="s">
        <v>32203</v>
      </c>
      <c r="E10209" t="s">
        <v>32204</v>
      </c>
      <c r="F10209" t="s">
        <v>32213</v>
      </c>
      <c r="G10209" s="2" t="str">
        <f>HYPERLINK("https://probpalata.gov.ru/files/ИП540801477100008.jpeg","Скачать индивидуальный QR-код магазина")</f>
        <v>Скачать индивидуальный QR-код магазина</v>
      </c>
    </row>
    <row r="10210" spans="1:7" x14ac:dyDescent="0.25">
      <c r="A10210" t="s">
        <v>31650</v>
      </c>
      <c r="B10210" t="s">
        <v>32214</v>
      </c>
      <c r="C10210" t="s">
        <v>32215</v>
      </c>
      <c r="D10210" t="s">
        <v>32216</v>
      </c>
      <c r="E10210" t="s">
        <v>32217</v>
      </c>
      <c r="F10210" t="s">
        <v>32218</v>
      </c>
      <c r="G10210" s="2" t="str">
        <f>HYPERLINK("https://probpalata.gov.ru/files/ИП540802021600000.jpeg","Скачать индивидуальный QR-код магазина")</f>
        <v>Скачать индивидуальный QR-код магазина</v>
      </c>
    </row>
    <row r="10211" spans="1:7" x14ac:dyDescent="0.25">
      <c r="A10211" t="s">
        <v>31650</v>
      </c>
      <c r="B10211" t="s">
        <v>32219</v>
      </c>
      <c r="C10211" t="s">
        <v>32220</v>
      </c>
      <c r="D10211" t="s">
        <v>32221</v>
      </c>
      <c r="E10211" t="s">
        <v>32222</v>
      </c>
      <c r="F10211" t="s">
        <v>32223</v>
      </c>
      <c r="G10211" s="2" t="str">
        <f>HYPERLINK("https://probpalata.gov.ru/files/ИП540800245000001.jpeg","Скачать индивидуальный QR-код магазина")</f>
        <v>Скачать индивидуальный QR-код магазина</v>
      </c>
    </row>
    <row r="10212" spans="1:7" x14ac:dyDescent="0.25">
      <c r="A10212" t="s">
        <v>31650</v>
      </c>
      <c r="B10212" t="s">
        <v>32224</v>
      </c>
      <c r="C10212" t="s">
        <v>32220</v>
      </c>
      <c r="D10212" t="s">
        <v>32221</v>
      </c>
      <c r="E10212" t="s">
        <v>32222</v>
      </c>
      <c r="F10212" t="s">
        <v>32225</v>
      </c>
      <c r="G10212" s="2" t="str">
        <f>HYPERLINK("https://probpalata.gov.ru/files/ИП540800245000006.jpeg","Скачать индивидуальный QR-код магазина")</f>
        <v>Скачать индивидуальный QR-код магазина</v>
      </c>
    </row>
    <row r="10213" spans="1:7" x14ac:dyDescent="0.25">
      <c r="A10213" t="s">
        <v>31650</v>
      </c>
      <c r="B10213" t="s">
        <v>32226</v>
      </c>
      <c r="C10213" t="s">
        <v>32227</v>
      </c>
      <c r="D10213" t="s">
        <v>32228</v>
      </c>
      <c r="E10213" t="s">
        <v>32229</v>
      </c>
      <c r="F10213" t="s">
        <v>32230</v>
      </c>
      <c r="G10213" s="2" t="str">
        <f>HYPERLINK("https://probpalata.gov.ru/files/ИП540803178400000.jpeg","Скачать индивидуальный QR-код магазина")</f>
        <v>Скачать индивидуальный QR-код магазина</v>
      </c>
    </row>
    <row r="10214" spans="1:7" x14ac:dyDescent="0.25">
      <c r="A10214" t="s">
        <v>31650</v>
      </c>
      <c r="B10214" t="s">
        <v>32231</v>
      </c>
      <c r="C10214" t="s">
        <v>32227</v>
      </c>
      <c r="D10214" t="s">
        <v>32228</v>
      </c>
      <c r="E10214" t="s">
        <v>32229</v>
      </c>
      <c r="F10214" t="s">
        <v>32232</v>
      </c>
      <c r="G10214" s="2" t="str">
        <f>HYPERLINK("https://probpalata.gov.ru/files/ИП540803178400007.jpeg","Скачать индивидуальный QR-код магазина")</f>
        <v>Скачать индивидуальный QR-код магазина</v>
      </c>
    </row>
    <row r="10215" spans="1:7" x14ac:dyDescent="0.25">
      <c r="A10215" t="s">
        <v>31650</v>
      </c>
      <c r="B10215" t="s">
        <v>32233</v>
      </c>
      <c r="C10215" t="s">
        <v>32234</v>
      </c>
      <c r="D10215" t="s">
        <v>32235</v>
      </c>
      <c r="E10215" t="s">
        <v>32236</v>
      </c>
      <c r="F10215" t="s">
        <v>32237</v>
      </c>
      <c r="G10215" s="2" t="str">
        <f>HYPERLINK("https://probpalata.gov.ru/files/ИП540800020300000.jpeg","Скачать индивидуальный QR-код магазина")</f>
        <v>Скачать индивидуальный QR-код магазина</v>
      </c>
    </row>
    <row r="10216" spans="1:7" x14ac:dyDescent="0.25">
      <c r="A10216" t="s">
        <v>31650</v>
      </c>
      <c r="B10216" t="s">
        <v>32238</v>
      </c>
      <c r="C10216" t="s">
        <v>32234</v>
      </c>
      <c r="D10216" t="s">
        <v>32235</v>
      </c>
      <c r="E10216" t="s">
        <v>32236</v>
      </c>
      <c r="F10216" t="s">
        <v>32239</v>
      </c>
      <c r="G10216" s="2" t="str">
        <f>HYPERLINK("https://probpalata.gov.ru/files/ИП540800020300001.jpeg","Скачать индивидуальный QR-код магазина")</f>
        <v>Скачать индивидуальный QR-код магазина</v>
      </c>
    </row>
    <row r="10217" spans="1:7" x14ac:dyDescent="0.25">
      <c r="A10217" t="s">
        <v>31650</v>
      </c>
      <c r="B10217" t="s">
        <v>32240</v>
      </c>
      <c r="C10217" t="s">
        <v>32241</v>
      </c>
      <c r="D10217" t="s">
        <v>32242</v>
      </c>
      <c r="E10217" t="s">
        <v>32243</v>
      </c>
      <c r="F10217" t="s">
        <v>32244</v>
      </c>
      <c r="G10217" s="2" t="str">
        <f>HYPERLINK("https://probpalata.gov.ru/files/ИП540801570100000.jpeg","Скачать индивидуальный QR-код магазина")</f>
        <v>Скачать индивидуальный QR-код магазина</v>
      </c>
    </row>
    <row r="10218" spans="1:7" x14ac:dyDescent="0.25">
      <c r="A10218" t="s">
        <v>31650</v>
      </c>
      <c r="B10218" t="s">
        <v>32245</v>
      </c>
      <c r="C10218" t="s">
        <v>32246</v>
      </c>
      <c r="D10218" t="s">
        <v>32247</v>
      </c>
      <c r="E10218" t="s">
        <v>32248</v>
      </c>
      <c r="F10218" t="s">
        <v>32249</v>
      </c>
      <c r="G10218" s="2" t="str">
        <f>HYPERLINK("https://probpalata.gov.ru/files/ИП540801169300000.jpeg","Скачать индивидуальный QR-код магазина")</f>
        <v>Скачать индивидуальный QR-код магазина</v>
      </c>
    </row>
    <row r="10219" spans="1:7" x14ac:dyDescent="0.25">
      <c r="A10219" t="s">
        <v>31650</v>
      </c>
      <c r="B10219" t="s">
        <v>32064</v>
      </c>
      <c r="C10219" t="s">
        <v>32246</v>
      </c>
      <c r="D10219" t="s">
        <v>32247</v>
      </c>
      <c r="E10219" t="s">
        <v>32248</v>
      </c>
      <c r="F10219" t="s">
        <v>32250</v>
      </c>
      <c r="G10219" s="2" t="str">
        <f>HYPERLINK("https://probpalata.gov.ru/files/ИП540801169300006.jpeg","Скачать индивидуальный QR-код магазина")</f>
        <v>Скачать индивидуальный QR-код магазина</v>
      </c>
    </row>
    <row r="10220" spans="1:7" x14ac:dyDescent="0.25">
      <c r="A10220" t="s">
        <v>31650</v>
      </c>
      <c r="B10220" t="s">
        <v>32251</v>
      </c>
      <c r="C10220" t="s">
        <v>32252</v>
      </c>
      <c r="D10220" t="s">
        <v>32253</v>
      </c>
      <c r="E10220" t="s">
        <v>32254</v>
      </c>
      <c r="F10220" t="s">
        <v>32255</v>
      </c>
      <c r="G10220" s="2" t="str">
        <f>HYPERLINK("https://probpalata.gov.ru/files/ЮЛ540801341900000.jpeg","Скачать индивидуальный QR-код магазина")</f>
        <v>Скачать индивидуальный QR-код магазина</v>
      </c>
    </row>
    <row r="10221" spans="1:7" x14ac:dyDescent="0.25">
      <c r="A10221" t="s">
        <v>31650</v>
      </c>
      <c r="B10221" t="s">
        <v>32256</v>
      </c>
      <c r="C10221" t="s">
        <v>32257</v>
      </c>
      <c r="D10221" t="s">
        <v>32258</v>
      </c>
      <c r="E10221" t="s">
        <v>32259</v>
      </c>
      <c r="F10221" t="s">
        <v>32260</v>
      </c>
      <c r="G10221" s="2" t="str">
        <f>HYPERLINK("https://probpalata.gov.ru/files/ИП540800788500000.jpeg","Скачать индивидуальный QR-код магазина")</f>
        <v>Скачать индивидуальный QR-код магазина</v>
      </c>
    </row>
    <row r="10222" spans="1:7" x14ac:dyDescent="0.25">
      <c r="A10222" t="s">
        <v>31650</v>
      </c>
      <c r="B10222" t="s">
        <v>32261</v>
      </c>
      <c r="C10222" t="s">
        <v>32257</v>
      </c>
      <c r="D10222" t="s">
        <v>32258</v>
      </c>
      <c r="E10222" t="s">
        <v>32259</v>
      </c>
      <c r="F10222" t="s">
        <v>32262</v>
      </c>
      <c r="G10222" s="2" t="str">
        <f>HYPERLINK("https://probpalata.gov.ru/files/ИП540800788500001.jpeg","Скачать индивидуальный QR-код магазина")</f>
        <v>Скачать индивидуальный QR-код магазина</v>
      </c>
    </row>
    <row r="10223" spans="1:7" x14ac:dyDescent="0.25">
      <c r="A10223" t="s">
        <v>31650</v>
      </c>
      <c r="B10223" t="s">
        <v>32263</v>
      </c>
      <c r="C10223" t="s">
        <v>32257</v>
      </c>
      <c r="D10223" t="s">
        <v>32258</v>
      </c>
      <c r="E10223" t="s">
        <v>32259</v>
      </c>
      <c r="F10223" t="s">
        <v>32264</v>
      </c>
      <c r="G10223" s="2" t="str">
        <f>HYPERLINK("https://probpalata.gov.ru/files/ИП540800788500002.jpeg","Скачать индивидуальный QR-код магазина")</f>
        <v>Скачать индивидуальный QR-код магазина</v>
      </c>
    </row>
    <row r="10224" spans="1:7" x14ac:dyDescent="0.25">
      <c r="A10224" t="s">
        <v>31650</v>
      </c>
      <c r="B10224" t="s">
        <v>32265</v>
      </c>
      <c r="C10224" t="s">
        <v>32257</v>
      </c>
      <c r="D10224" t="s">
        <v>32258</v>
      </c>
      <c r="E10224" t="s">
        <v>32259</v>
      </c>
      <c r="F10224" t="s">
        <v>32266</v>
      </c>
      <c r="G10224" s="2" t="str">
        <f>HYPERLINK("https://probpalata.gov.ru/files/ИП540800788500003.jpeg","Скачать индивидуальный QR-код магазина")</f>
        <v>Скачать индивидуальный QR-код магазина</v>
      </c>
    </row>
    <row r="10225" spans="1:7" x14ac:dyDescent="0.25">
      <c r="A10225" t="s">
        <v>31650</v>
      </c>
      <c r="B10225" t="s">
        <v>32267</v>
      </c>
      <c r="C10225" t="s">
        <v>21000</v>
      </c>
      <c r="D10225" t="s">
        <v>32268</v>
      </c>
      <c r="E10225" t="s">
        <v>32269</v>
      </c>
      <c r="F10225" t="s">
        <v>32270</v>
      </c>
      <c r="G10225" s="2" t="str">
        <f>HYPERLINK("https://probpalata.gov.ru/files/ЮЛ540800514600001.jpeg","Скачать индивидуальный QR-код магазина")</f>
        <v>Скачать индивидуальный QR-код магазина</v>
      </c>
    </row>
    <row r="10226" spans="1:7" x14ac:dyDescent="0.25">
      <c r="A10226" t="s">
        <v>31650</v>
      </c>
      <c r="B10226" t="s">
        <v>32271</v>
      </c>
      <c r="C10226" t="s">
        <v>21000</v>
      </c>
      <c r="D10226" t="s">
        <v>32268</v>
      </c>
      <c r="E10226" t="s">
        <v>32269</v>
      </c>
      <c r="F10226" t="s">
        <v>32272</v>
      </c>
      <c r="G10226" s="2" t="str">
        <f>HYPERLINK("https://probpalata.gov.ru/files/ЮЛ540800514600002.jpeg","Скачать индивидуальный QR-код магазина")</f>
        <v>Скачать индивидуальный QR-код магазина</v>
      </c>
    </row>
    <row r="10227" spans="1:7" x14ac:dyDescent="0.25">
      <c r="A10227" t="s">
        <v>31650</v>
      </c>
      <c r="B10227" t="s">
        <v>32273</v>
      </c>
      <c r="C10227" t="s">
        <v>21000</v>
      </c>
      <c r="D10227" t="s">
        <v>32268</v>
      </c>
      <c r="E10227" t="s">
        <v>32269</v>
      </c>
      <c r="F10227" t="s">
        <v>32274</v>
      </c>
      <c r="G10227" s="2" t="str">
        <f>HYPERLINK("https://probpalata.gov.ru/files/ЮЛ540800514600003.jpeg","Скачать индивидуальный QR-код магазина")</f>
        <v>Скачать индивидуальный QR-код магазина</v>
      </c>
    </row>
    <row r="10228" spans="1:7" x14ac:dyDescent="0.25">
      <c r="A10228" t="s">
        <v>31650</v>
      </c>
      <c r="B10228" t="s">
        <v>32275</v>
      </c>
      <c r="C10228" t="s">
        <v>21000</v>
      </c>
      <c r="D10228" t="s">
        <v>32268</v>
      </c>
      <c r="E10228" t="s">
        <v>32269</v>
      </c>
      <c r="F10228" t="s">
        <v>32276</v>
      </c>
      <c r="G10228" s="2" t="str">
        <f>HYPERLINK("https://probpalata.gov.ru/files/ЮЛ540800514600004.jpeg","Скачать индивидуальный QR-код магазина")</f>
        <v>Скачать индивидуальный QR-код магазина</v>
      </c>
    </row>
    <row r="10229" spans="1:7" x14ac:dyDescent="0.25">
      <c r="A10229" t="s">
        <v>31650</v>
      </c>
      <c r="B10229" t="s">
        <v>32277</v>
      </c>
      <c r="C10229" t="s">
        <v>21000</v>
      </c>
      <c r="D10229" t="s">
        <v>32268</v>
      </c>
      <c r="E10229" t="s">
        <v>32269</v>
      </c>
      <c r="F10229" t="s">
        <v>32278</v>
      </c>
      <c r="G10229" s="2" t="str">
        <f>HYPERLINK("https://probpalata.gov.ru/files/ЮЛ540800514600005.jpeg","Скачать индивидуальный QR-код магазина")</f>
        <v>Скачать индивидуальный QR-код магазина</v>
      </c>
    </row>
    <row r="10230" spans="1:7" x14ac:dyDescent="0.25">
      <c r="A10230" t="s">
        <v>31650</v>
      </c>
      <c r="B10230" t="s">
        <v>32130</v>
      </c>
      <c r="C10230" t="s">
        <v>21000</v>
      </c>
      <c r="D10230" t="s">
        <v>32268</v>
      </c>
      <c r="E10230" t="s">
        <v>32269</v>
      </c>
      <c r="F10230" t="s">
        <v>32279</v>
      </c>
      <c r="G10230" s="2" t="str">
        <f>HYPERLINK("https://probpalata.gov.ru/files/ЮЛ540800514600007.jpeg","Скачать индивидуальный QR-код магазина")</f>
        <v>Скачать индивидуальный QR-код магазина</v>
      </c>
    </row>
    <row r="10231" spans="1:7" x14ac:dyDescent="0.25">
      <c r="A10231" t="s">
        <v>31650</v>
      </c>
      <c r="B10231" t="s">
        <v>32280</v>
      </c>
      <c r="C10231" t="s">
        <v>32281</v>
      </c>
      <c r="D10231" t="s">
        <v>32282</v>
      </c>
      <c r="E10231" t="s">
        <v>32283</v>
      </c>
      <c r="F10231" t="s">
        <v>32284</v>
      </c>
      <c r="G10231" s="2" t="str">
        <f>HYPERLINK("https://probpalata.gov.ru/files/ИП540803122200000.jpeg","Скачать индивидуальный QR-код магазина")</f>
        <v>Скачать индивидуальный QR-код магазина</v>
      </c>
    </row>
    <row r="10232" spans="1:7" x14ac:dyDescent="0.25">
      <c r="A10232" t="s">
        <v>31650</v>
      </c>
      <c r="B10232" t="s">
        <v>32285</v>
      </c>
      <c r="C10232" t="s">
        <v>32286</v>
      </c>
      <c r="D10232" t="s">
        <v>32287</v>
      </c>
      <c r="E10232" t="s">
        <v>32288</v>
      </c>
      <c r="F10232" t="s">
        <v>32289</v>
      </c>
      <c r="G10232" s="2" t="str">
        <f>HYPERLINK("https://probpalata.gov.ru/files/ИП540803097600002.jpeg","Скачать индивидуальный QR-код магазина")</f>
        <v>Скачать индивидуальный QR-код магазина</v>
      </c>
    </row>
    <row r="10233" spans="1:7" x14ac:dyDescent="0.25">
      <c r="A10233" t="s">
        <v>31650</v>
      </c>
      <c r="B10233" t="s">
        <v>32290</v>
      </c>
      <c r="C10233" t="s">
        <v>32286</v>
      </c>
      <c r="D10233" t="s">
        <v>32287</v>
      </c>
      <c r="E10233" t="s">
        <v>32288</v>
      </c>
      <c r="F10233" t="s">
        <v>32291</v>
      </c>
      <c r="G10233" s="2" t="str">
        <f>HYPERLINK("https://probpalata.gov.ru/files/ИП540803097600003.jpeg","Скачать индивидуальный QR-код магазина")</f>
        <v>Скачать индивидуальный QR-код магазина</v>
      </c>
    </row>
    <row r="10234" spans="1:7" x14ac:dyDescent="0.25">
      <c r="A10234" t="s">
        <v>31650</v>
      </c>
      <c r="B10234" t="s">
        <v>32292</v>
      </c>
      <c r="C10234" t="s">
        <v>32293</v>
      </c>
      <c r="D10234" t="s">
        <v>32294</v>
      </c>
      <c r="E10234" t="s">
        <v>32295</v>
      </c>
      <c r="F10234" t="s">
        <v>32296</v>
      </c>
      <c r="G10234" s="2" t="str">
        <f>HYPERLINK("https://probpalata.gov.ru/files/ИП540801912700000.jpeg","Скачать индивидуальный QR-код магазина")</f>
        <v>Скачать индивидуальный QR-код магазина</v>
      </c>
    </row>
    <row r="10235" spans="1:7" x14ac:dyDescent="0.25">
      <c r="A10235" t="s">
        <v>31650</v>
      </c>
      <c r="B10235" t="s">
        <v>32297</v>
      </c>
      <c r="C10235" t="s">
        <v>32298</v>
      </c>
      <c r="D10235" t="s">
        <v>32299</v>
      </c>
      <c r="E10235" t="s">
        <v>32300</v>
      </c>
      <c r="F10235" t="s">
        <v>32301</v>
      </c>
      <c r="G10235" s="2" t="str">
        <f>HYPERLINK("https://probpalata.gov.ru/files/ИП540801764600000.jpeg","Скачать индивидуальный QR-код магазина")</f>
        <v>Скачать индивидуальный QR-код магазина</v>
      </c>
    </row>
    <row r="10236" spans="1:7" x14ac:dyDescent="0.25">
      <c r="A10236" t="s">
        <v>31650</v>
      </c>
      <c r="B10236" t="s">
        <v>31785</v>
      </c>
      <c r="C10236" t="s">
        <v>32298</v>
      </c>
      <c r="D10236" t="s">
        <v>32299</v>
      </c>
      <c r="E10236" t="s">
        <v>32300</v>
      </c>
      <c r="F10236" t="s">
        <v>32302</v>
      </c>
      <c r="G10236" s="2" t="str">
        <f>HYPERLINK("https://probpalata.gov.ru/files/ИП540801764600003.jpeg","Скачать индивидуальный QR-код магазина")</f>
        <v>Скачать индивидуальный QR-код магазина</v>
      </c>
    </row>
    <row r="10237" spans="1:7" x14ac:dyDescent="0.25">
      <c r="A10237" t="s">
        <v>31650</v>
      </c>
      <c r="B10237" t="s">
        <v>32303</v>
      </c>
      <c r="C10237" t="s">
        <v>32304</v>
      </c>
      <c r="D10237" t="s">
        <v>32305</v>
      </c>
      <c r="E10237" t="s">
        <v>32306</v>
      </c>
      <c r="F10237" t="s">
        <v>32307</v>
      </c>
      <c r="G10237" s="2" t="str">
        <f>HYPERLINK("https://probpalata.gov.ru/files/ЮЛ540800571000000.jpeg","Скачать индивидуальный QR-код магазина")</f>
        <v>Скачать индивидуальный QR-код магазина</v>
      </c>
    </row>
    <row r="10238" spans="1:7" x14ac:dyDescent="0.25">
      <c r="A10238" t="s">
        <v>31650</v>
      </c>
      <c r="B10238" t="s">
        <v>32308</v>
      </c>
      <c r="C10238" t="s">
        <v>32309</v>
      </c>
      <c r="D10238" t="s">
        <v>32310</v>
      </c>
      <c r="E10238" t="s">
        <v>32311</v>
      </c>
      <c r="F10238" t="s">
        <v>32312</v>
      </c>
      <c r="G10238" s="2" t="str">
        <f>HYPERLINK("https://probpalata.gov.ru/files/ИП540800568700000.jpeg","Скачать индивидуальный QR-код магазина")</f>
        <v>Скачать индивидуальный QR-код магазина</v>
      </c>
    </row>
    <row r="10239" spans="1:7" x14ac:dyDescent="0.25">
      <c r="A10239" t="s">
        <v>31650</v>
      </c>
      <c r="B10239" t="s">
        <v>32313</v>
      </c>
      <c r="C10239" t="s">
        <v>32314</v>
      </c>
      <c r="D10239" t="s">
        <v>32315</v>
      </c>
      <c r="E10239" t="s">
        <v>32316</v>
      </c>
      <c r="F10239" t="s">
        <v>32317</v>
      </c>
      <c r="G10239" s="2" t="str">
        <f>HYPERLINK("https://probpalata.gov.ru/files/ИП540803017200000.jpeg","Скачать индивидуальный QR-код магазина")</f>
        <v>Скачать индивидуальный QR-код магазина</v>
      </c>
    </row>
    <row r="10240" spans="1:7" x14ac:dyDescent="0.25">
      <c r="A10240" t="s">
        <v>31650</v>
      </c>
      <c r="B10240" t="s">
        <v>32318</v>
      </c>
      <c r="C10240" t="s">
        <v>32319</v>
      </c>
      <c r="D10240" t="s">
        <v>32320</v>
      </c>
      <c r="E10240" t="s">
        <v>32321</v>
      </c>
      <c r="F10240" t="s">
        <v>32322</v>
      </c>
      <c r="G10240" s="2" t="str">
        <f>HYPERLINK("https://probpalata.gov.ru/files/ИП540803542300000.jpeg","Скачать индивидуальный QR-код магазина")</f>
        <v>Скачать индивидуальный QR-код магазина</v>
      </c>
    </row>
    <row r="10241" spans="1:7" x14ac:dyDescent="0.25">
      <c r="A10241" t="s">
        <v>31650</v>
      </c>
      <c r="B10241" t="s">
        <v>31859</v>
      </c>
      <c r="C10241" t="s">
        <v>32323</v>
      </c>
      <c r="D10241" t="s">
        <v>32324</v>
      </c>
      <c r="E10241" t="s">
        <v>32325</v>
      </c>
      <c r="F10241" t="s">
        <v>32326</v>
      </c>
      <c r="G10241" s="2" t="str">
        <f>HYPERLINK("https://probpalata.gov.ru/files/ИП540803226100000.jpeg","Скачать индивидуальный QR-код магазина")</f>
        <v>Скачать индивидуальный QR-код магазина</v>
      </c>
    </row>
    <row r="10242" spans="1:7" x14ac:dyDescent="0.25">
      <c r="A10242" t="s">
        <v>31650</v>
      </c>
      <c r="B10242" t="s">
        <v>32327</v>
      </c>
      <c r="C10242" t="s">
        <v>10745</v>
      </c>
      <c r="D10242" t="s">
        <v>10746</v>
      </c>
      <c r="E10242" t="s">
        <v>10747</v>
      </c>
      <c r="F10242" t="s">
        <v>32328</v>
      </c>
      <c r="G10242" s="2" t="str">
        <f>HYPERLINK("https://probpalata.gov.ru/files/ИП540801107000001.jpeg","Скачать индивидуальный QR-код магазина")</f>
        <v>Скачать индивидуальный QR-код магазина</v>
      </c>
    </row>
    <row r="10243" spans="1:7" x14ac:dyDescent="0.25">
      <c r="A10243" t="s">
        <v>31650</v>
      </c>
      <c r="B10243" t="s">
        <v>32329</v>
      </c>
      <c r="C10243" t="s">
        <v>10745</v>
      </c>
      <c r="D10243" t="s">
        <v>10746</v>
      </c>
      <c r="E10243" t="s">
        <v>10747</v>
      </c>
      <c r="F10243" t="s">
        <v>32330</v>
      </c>
      <c r="G10243" s="2" t="str">
        <f>HYPERLINK("https://probpalata.gov.ru/files/ИП540801107000004.jpeg","Скачать индивидуальный QR-код магазина")</f>
        <v>Скачать индивидуальный QR-код магазина</v>
      </c>
    </row>
    <row r="10244" spans="1:7" x14ac:dyDescent="0.25">
      <c r="A10244" t="s">
        <v>31650</v>
      </c>
      <c r="B10244" t="s">
        <v>32331</v>
      </c>
      <c r="C10244" t="s">
        <v>10745</v>
      </c>
      <c r="D10244" t="s">
        <v>10746</v>
      </c>
      <c r="E10244" t="s">
        <v>10747</v>
      </c>
      <c r="F10244" t="s">
        <v>32332</v>
      </c>
      <c r="G10244" s="2" t="str">
        <f>HYPERLINK("https://probpalata.gov.ru/files/ИП540801107000005.jpeg","Скачать индивидуальный QR-код магазина")</f>
        <v>Скачать индивидуальный QR-код магазина</v>
      </c>
    </row>
    <row r="10245" spans="1:7" x14ac:dyDescent="0.25">
      <c r="A10245" t="s">
        <v>31650</v>
      </c>
      <c r="B10245" t="s">
        <v>32333</v>
      </c>
      <c r="C10245" t="s">
        <v>10745</v>
      </c>
      <c r="D10245" t="s">
        <v>10746</v>
      </c>
      <c r="E10245" t="s">
        <v>10747</v>
      </c>
      <c r="F10245" t="s">
        <v>32334</v>
      </c>
      <c r="G10245" s="2" t="str">
        <f>HYPERLINK("https://probpalata.gov.ru/files/ИП540801107000006.jpeg","Скачать индивидуальный QR-код магазина")</f>
        <v>Скачать индивидуальный QR-код магазина</v>
      </c>
    </row>
    <row r="10246" spans="1:7" x14ac:dyDescent="0.25">
      <c r="A10246" t="s">
        <v>31650</v>
      </c>
      <c r="B10246" t="s">
        <v>32335</v>
      </c>
      <c r="C10246" t="s">
        <v>10745</v>
      </c>
      <c r="D10246" t="s">
        <v>10746</v>
      </c>
      <c r="E10246" t="s">
        <v>10747</v>
      </c>
      <c r="F10246" t="s">
        <v>32336</v>
      </c>
      <c r="G10246" s="2" t="str">
        <f>HYPERLINK("https://probpalata.gov.ru/files/ИП540801107000007.jpeg","Скачать индивидуальный QR-код магазина")</f>
        <v>Скачать индивидуальный QR-код магазина</v>
      </c>
    </row>
    <row r="10247" spans="1:7" x14ac:dyDescent="0.25">
      <c r="A10247" t="s">
        <v>31650</v>
      </c>
      <c r="B10247" t="s">
        <v>32337</v>
      </c>
      <c r="C10247" t="s">
        <v>10745</v>
      </c>
      <c r="D10247" t="s">
        <v>10746</v>
      </c>
      <c r="E10247" t="s">
        <v>10747</v>
      </c>
      <c r="F10247" t="s">
        <v>32338</v>
      </c>
      <c r="G10247" s="2" t="str">
        <f>HYPERLINK("https://probpalata.gov.ru/files/ИП540801107000008.jpeg","Скачать индивидуальный QR-код магазина")</f>
        <v>Скачать индивидуальный QR-код магазина</v>
      </c>
    </row>
    <row r="10248" spans="1:7" x14ac:dyDescent="0.25">
      <c r="A10248" t="s">
        <v>31650</v>
      </c>
      <c r="B10248" t="s">
        <v>32339</v>
      </c>
      <c r="C10248" t="s">
        <v>10745</v>
      </c>
      <c r="D10248" t="s">
        <v>10746</v>
      </c>
      <c r="E10248" t="s">
        <v>10747</v>
      </c>
      <c r="F10248" t="s">
        <v>32340</v>
      </c>
      <c r="G10248" s="2" t="str">
        <f>HYPERLINK("https://probpalata.gov.ru/files/ИП540801107000009.jpeg","Скачать индивидуальный QR-код магазина")</f>
        <v>Скачать индивидуальный QR-код магазина</v>
      </c>
    </row>
    <row r="10249" spans="1:7" x14ac:dyDescent="0.25">
      <c r="A10249" t="s">
        <v>31650</v>
      </c>
      <c r="B10249" t="s">
        <v>32341</v>
      </c>
      <c r="C10249" t="s">
        <v>10745</v>
      </c>
      <c r="D10249" t="s">
        <v>10746</v>
      </c>
      <c r="E10249" t="s">
        <v>10747</v>
      </c>
      <c r="F10249" t="s">
        <v>32342</v>
      </c>
      <c r="G10249" s="2" t="str">
        <f>HYPERLINK("https://probpalata.gov.ru/files/ИП540801107000011.jpeg","Скачать индивидуальный QR-код магазина")</f>
        <v>Скачать индивидуальный QR-код магазина</v>
      </c>
    </row>
    <row r="10250" spans="1:7" x14ac:dyDescent="0.25">
      <c r="A10250" t="s">
        <v>31650</v>
      </c>
      <c r="B10250" t="s">
        <v>32343</v>
      </c>
      <c r="C10250" t="s">
        <v>10745</v>
      </c>
      <c r="D10250" t="s">
        <v>10746</v>
      </c>
      <c r="E10250" t="s">
        <v>10747</v>
      </c>
      <c r="F10250" t="s">
        <v>32344</v>
      </c>
      <c r="G10250" s="2" t="str">
        <f>HYPERLINK("https://probpalata.gov.ru/files/ИП540801107000017.jpeg","Скачать индивидуальный QR-код магазина")</f>
        <v>Скачать индивидуальный QR-код магазина</v>
      </c>
    </row>
    <row r="10251" spans="1:7" x14ac:dyDescent="0.25">
      <c r="A10251" t="s">
        <v>31650</v>
      </c>
      <c r="B10251" t="s">
        <v>32345</v>
      </c>
      <c r="C10251" t="s">
        <v>10745</v>
      </c>
      <c r="D10251" t="s">
        <v>10746</v>
      </c>
      <c r="E10251" t="s">
        <v>10747</v>
      </c>
      <c r="F10251" t="s">
        <v>32346</v>
      </c>
      <c r="G10251" s="2" t="str">
        <f>HYPERLINK("https://probpalata.gov.ru/files/ИП540801107000025.jpeg","Скачать индивидуальный QR-код магазина")</f>
        <v>Скачать индивидуальный QR-код магазина</v>
      </c>
    </row>
    <row r="10252" spans="1:7" x14ac:dyDescent="0.25">
      <c r="A10252" t="s">
        <v>31650</v>
      </c>
      <c r="B10252" t="s">
        <v>32347</v>
      </c>
      <c r="C10252" t="s">
        <v>32348</v>
      </c>
      <c r="D10252" t="s">
        <v>32349</v>
      </c>
      <c r="E10252" t="s">
        <v>32350</v>
      </c>
      <c r="F10252" t="s">
        <v>32351</v>
      </c>
      <c r="G10252" s="2" t="str">
        <f>HYPERLINK("https://probpalata.gov.ru/files/ЮЛ540803714100000.jpeg","Скачать индивидуальный QR-код магазина")</f>
        <v>Скачать индивидуальный QR-код магазина</v>
      </c>
    </row>
    <row r="10253" spans="1:7" x14ac:dyDescent="0.25">
      <c r="A10253" t="s">
        <v>31650</v>
      </c>
      <c r="B10253" t="s">
        <v>32352</v>
      </c>
      <c r="C10253" t="s">
        <v>32353</v>
      </c>
      <c r="D10253" t="s">
        <v>32354</v>
      </c>
      <c r="E10253" t="s">
        <v>32355</v>
      </c>
      <c r="F10253" t="s">
        <v>32356</v>
      </c>
      <c r="G10253" s="2" t="str">
        <f>HYPERLINK("https://probpalata.gov.ru/files/ЮЛ540803979800000.jpeg","Скачать индивидуальный QR-код магазина")</f>
        <v>Скачать индивидуальный QR-код магазина</v>
      </c>
    </row>
    <row r="10254" spans="1:7" x14ac:dyDescent="0.25">
      <c r="A10254" t="s">
        <v>31650</v>
      </c>
      <c r="B10254" t="s">
        <v>31809</v>
      </c>
      <c r="C10254" t="s">
        <v>32357</v>
      </c>
      <c r="D10254" t="s">
        <v>32358</v>
      </c>
      <c r="E10254" t="s">
        <v>32359</v>
      </c>
      <c r="F10254" t="s">
        <v>32360</v>
      </c>
      <c r="G10254" s="2" t="str">
        <f>HYPERLINK("https://probpalata.gov.ru/files/ИП540803577800000.jpeg","Скачать индивидуальный QR-код магазина")</f>
        <v>Скачать индивидуальный QR-код магазина</v>
      </c>
    </row>
    <row r="10255" spans="1:7" x14ac:dyDescent="0.25">
      <c r="A10255" t="s">
        <v>31650</v>
      </c>
      <c r="B10255" t="s">
        <v>32361</v>
      </c>
      <c r="C10255" t="s">
        <v>32362</v>
      </c>
      <c r="D10255" t="s">
        <v>32363</v>
      </c>
      <c r="E10255" t="s">
        <v>32364</v>
      </c>
      <c r="F10255" t="s">
        <v>32365</v>
      </c>
      <c r="G10255" s="2" t="str">
        <f>HYPERLINK("https://probpalata.gov.ru/files/ИП540801675400000.jpeg","Скачать индивидуальный QR-код магазина")</f>
        <v>Скачать индивидуальный QR-код магазина</v>
      </c>
    </row>
    <row r="10256" spans="1:7" x14ac:dyDescent="0.25">
      <c r="A10256" t="s">
        <v>31650</v>
      </c>
      <c r="B10256" t="s">
        <v>32366</v>
      </c>
      <c r="C10256" t="s">
        <v>32362</v>
      </c>
      <c r="D10256" t="s">
        <v>32363</v>
      </c>
      <c r="E10256" t="s">
        <v>32364</v>
      </c>
      <c r="F10256" t="s">
        <v>32367</v>
      </c>
      <c r="G10256" s="2" t="str">
        <f>HYPERLINK("https://probpalata.gov.ru/files/ИП540801675400002.jpeg","Скачать индивидуальный QR-код магазина")</f>
        <v>Скачать индивидуальный QR-код магазина</v>
      </c>
    </row>
    <row r="10257" spans="1:7" x14ac:dyDescent="0.25">
      <c r="A10257" t="s">
        <v>31650</v>
      </c>
      <c r="B10257" t="s">
        <v>32368</v>
      </c>
      <c r="C10257" t="s">
        <v>32369</v>
      </c>
      <c r="D10257" t="s">
        <v>32370</v>
      </c>
      <c r="E10257" t="s">
        <v>32371</v>
      </c>
      <c r="F10257" t="s">
        <v>32372</v>
      </c>
      <c r="G10257" s="2" t="str">
        <f>HYPERLINK("https://probpalata.gov.ru/files/ИП540801298500000.jpeg","Скачать индивидуальный QR-код магазина")</f>
        <v>Скачать индивидуальный QR-код магазина</v>
      </c>
    </row>
    <row r="10258" spans="1:7" x14ac:dyDescent="0.25">
      <c r="A10258" t="s">
        <v>31650</v>
      </c>
      <c r="B10258" t="s">
        <v>32373</v>
      </c>
      <c r="C10258" t="s">
        <v>32374</v>
      </c>
      <c r="D10258" t="s">
        <v>32375</v>
      </c>
      <c r="E10258" t="s">
        <v>32376</v>
      </c>
      <c r="F10258" t="s">
        <v>32377</v>
      </c>
      <c r="G10258" s="2" t="str">
        <f>HYPERLINK("https://probpalata.gov.ru/files/ИП540803389800000.jpeg","Скачать индивидуальный QR-код магазина")</f>
        <v>Скачать индивидуальный QR-код магазина</v>
      </c>
    </row>
    <row r="10259" spans="1:7" x14ac:dyDescent="0.25">
      <c r="A10259" t="s">
        <v>31650</v>
      </c>
      <c r="B10259" t="s">
        <v>32378</v>
      </c>
      <c r="C10259" t="s">
        <v>32379</v>
      </c>
      <c r="D10259" t="s">
        <v>32380</v>
      </c>
      <c r="E10259" t="s">
        <v>32381</v>
      </c>
      <c r="F10259" t="s">
        <v>32382</v>
      </c>
      <c r="G10259" s="2" t="str">
        <f>HYPERLINK("https://probpalata.gov.ru/files/ИП540801387100000.jpeg","Скачать индивидуальный QR-код магазина")</f>
        <v>Скачать индивидуальный QR-код магазина</v>
      </c>
    </row>
    <row r="10260" spans="1:7" x14ac:dyDescent="0.25">
      <c r="A10260" t="s">
        <v>31650</v>
      </c>
      <c r="B10260" t="s">
        <v>32383</v>
      </c>
      <c r="C10260" t="s">
        <v>32384</v>
      </c>
      <c r="D10260" t="s">
        <v>32385</v>
      </c>
      <c r="E10260" t="s">
        <v>32386</v>
      </c>
      <c r="F10260" t="s">
        <v>32387</v>
      </c>
      <c r="G10260" s="2" t="str">
        <f>HYPERLINK("https://probpalata.gov.ru/files/ЮЛ540803267500000.jpeg","Скачать индивидуальный QR-код магазина")</f>
        <v>Скачать индивидуальный QR-код магазина</v>
      </c>
    </row>
    <row r="10261" spans="1:7" x14ac:dyDescent="0.25">
      <c r="A10261" t="s">
        <v>31650</v>
      </c>
      <c r="B10261" t="s">
        <v>32388</v>
      </c>
      <c r="C10261" t="s">
        <v>32389</v>
      </c>
      <c r="D10261" t="s">
        <v>32390</v>
      </c>
      <c r="E10261" t="s">
        <v>32391</v>
      </c>
      <c r="F10261" t="s">
        <v>32392</v>
      </c>
      <c r="G10261" s="2" t="str">
        <f>HYPERLINK("https://probpalata.gov.ru/files/ИП540801915800000.jpeg","Скачать индивидуальный QR-код магазина")</f>
        <v>Скачать индивидуальный QR-код магазина</v>
      </c>
    </row>
    <row r="10262" spans="1:7" x14ac:dyDescent="0.25">
      <c r="A10262" t="s">
        <v>31650</v>
      </c>
      <c r="B10262" t="s">
        <v>32393</v>
      </c>
      <c r="C10262" t="s">
        <v>32394</v>
      </c>
      <c r="D10262" t="s">
        <v>32395</v>
      </c>
      <c r="E10262" t="s">
        <v>32396</v>
      </c>
      <c r="F10262" t="s">
        <v>32397</v>
      </c>
      <c r="G10262" s="2" t="str">
        <f>HYPERLINK("https://probpalata.gov.ru/files/ИП540800509500000.jpeg","Скачать индивидуальный QR-код магазина")</f>
        <v>Скачать индивидуальный QR-код магазина</v>
      </c>
    </row>
    <row r="10263" spans="1:7" x14ac:dyDescent="0.25">
      <c r="A10263" t="s">
        <v>31650</v>
      </c>
      <c r="B10263" t="s">
        <v>32084</v>
      </c>
      <c r="C10263" t="s">
        <v>32398</v>
      </c>
      <c r="D10263" t="s">
        <v>32399</v>
      </c>
      <c r="E10263" t="s">
        <v>32400</v>
      </c>
      <c r="F10263" t="s">
        <v>32401</v>
      </c>
      <c r="G10263" s="2" t="str">
        <f>HYPERLINK("https://probpalata.gov.ru/files/ИП540801446600000.jpeg","Скачать индивидуальный QR-код магазина")</f>
        <v>Скачать индивидуальный QR-код магазина</v>
      </c>
    </row>
    <row r="10264" spans="1:7" x14ac:dyDescent="0.25">
      <c r="A10264" t="s">
        <v>31650</v>
      </c>
      <c r="B10264" t="s">
        <v>32402</v>
      </c>
      <c r="C10264" t="s">
        <v>32398</v>
      </c>
      <c r="D10264" t="s">
        <v>32399</v>
      </c>
      <c r="E10264" t="s">
        <v>32400</v>
      </c>
      <c r="F10264" t="s">
        <v>32403</v>
      </c>
      <c r="G10264" s="2" t="str">
        <f>HYPERLINK("https://probpalata.gov.ru/files/ИП540801446600001.jpeg","Скачать индивидуальный QR-код магазина")</f>
        <v>Скачать индивидуальный QR-код магазина</v>
      </c>
    </row>
    <row r="10265" spans="1:7" x14ac:dyDescent="0.25">
      <c r="A10265" t="s">
        <v>31650</v>
      </c>
      <c r="B10265" t="s">
        <v>32404</v>
      </c>
      <c r="C10265" t="s">
        <v>32398</v>
      </c>
      <c r="D10265" t="s">
        <v>32399</v>
      </c>
      <c r="E10265" t="s">
        <v>32400</v>
      </c>
      <c r="F10265" t="s">
        <v>32405</v>
      </c>
      <c r="G10265" s="2" t="str">
        <f>HYPERLINK("https://probpalata.gov.ru/files/ИП540801446600002.jpeg","Скачать индивидуальный QR-код магазина")</f>
        <v>Скачать индивидуальный QR-код магазина</v>
      </c>
    </row>
    <row r="10266" spans="1:7" x14ac:dyDescent="0.25">
      <c r="A10266" t="s">
        <v>31650</v>
      </c>
      <c r="B10266" t="s">
        <v>32406</v>
      </c>
      <c r="C10266" t="s">
        <v>32398</v>
      </c>
      <c r="D10266" t="s">
        <v>32399</v>
      </c>
      <c r="E10266" t="s">
        <v>32400</v>
      </c>
      <c r="F10266" t="s">
        <v>32407</v>
      </c>
      <c r="G10266" s="2" t="str">
        <f>HYPERLINK("https://probpalata.gov.ru/files/ИП540801446600005.jpeg","Скачать индивидуальный QR-код магазина")</f>
        <v>Скачать индивидуальный QR-код магазина</v>
      </c>
    </row>
    <row r="10267" spans="1:7" x14ac:dyDescent="0.25">
      <c r="A10267" t="s">
        <v>31650</v>
      </c>
      <c r="B10267" t="s">
        <v>32408</v>
      </c>
      <c r="C10267" t="s">
        <v>32398</v>
      </c>
      <c r="D10267" t="s">
        <v>32399</v>
      </c>
      <c r="E10267" t="s">
        <v>32400</v>
      </c>
      <c r="F10267" t="s">
        <v>32409</v>
      </c>
      <c r="G10267" s="2" t="str">
        <f>HYPERLINK("https://probpalata.gov.ru/files/ИП540801446600007.jpeg","Скачать индивидуальный QR-код магазина")</f>
        <v>Скачать индивидуальный QR-код магазина</v>
      </c>
    </row>
    <row r="10268" spans="1:7" x14ac:dyDescent="0.25">
      <c r="A10268" t="s">
        <v>31650</v>
      </c>
      <c r="B10268" t="s">
        <v>32410</v>
      </c>
      <c r="C10268" t="s">
        <v>32398</v>
      </c>
      <c r="D10268" t="s">
        <v>32399</v>
      </c>
      <c r="E10268" t="s">
        <v>32400</v>
      </c>
      <c r="F10268" t="s">
        <v>32411</v>
      </c>
      <c r="G10268" s="2" t="str">
        <f>HYPERLINK("https://probpalata.gov.ru/files/ИП540801446600008.jpeg","Скачать индивидуальный QR-код магазина")</f>
        <v>Скачать индивидуальный QR-код магазина</v>
      </c>
    </row>
    <row r="10269" spans="1:7" x14ac:dyDescent="0.25">
      <c r="A10269" t="s">
        <v>31650</v>
      </c>
      <c r="B10269" t="s">
        <v>32412</v>
      </c>
      <c r="C10269" t="s">
        <v>32398</v>
      </c>
      <c r="D10269" t="s">
        <v>32399</v>
      </c>
      <c r="E10269" t="s">
        <v>32400</v>
      </c>
      <c r="F10269" t="s">
        <v>32413</v>
      </c>
      <c r="G10269" s="2" t="str">
        <f>HYPERLINK("https://probpalata.gov.ru/files/ИП540801446600009.jpeg","Скачать индивидуальный QR-код магазина")</f>
        <v>Скачать индивидуальный QR-код магазина</v>
      </c>
    </row>
    <row r="10270" spans="1:7" x14ac:dyDescent="0.25">
      <c r="A10270" t="s">
        <v>31650</v>
      </c>
      <c r="B10270" t="s">
        <v>32414</v>
      </c>
      <c r="C10270" t="s">
        <v>32398</v>
      </c>
      <c r="D10270" t="s">
        <v>32399</v>
      </c>
      <c r="E10270" t="s">
        <v>32400</v>
      </c>
      <c r="F10270" t="s">
        <v>32415</v>
      </c>
      <c r="G10270" s="2" t="str">
        <f>HYPERLINK("https://probpalata.gov.ru/files/ИП540801446600010.jpeg","Скачать индивидуальный QR-код магазина")</f>
        <v>Скачать индивидуальный QR-код магазина</v>
      </c>
    </row>
    <row r="10271" spans="1:7" x14ac:dyDescent="0.25">
      <c r="A10271" t="s">
        <v>31650</v>
      </c>
      <c r="B10271" t="s">
        <v>32416</v>
      </c>
      <c r="C10271" t="s">
        <v>32398</v>
      </c>
      <c r="D10271" t="s">
        <v>32399</v>
      </c>
      <c r="E10271" t="s">
        <v>32400</v>
      </c>
      <c r="F10271" t="s">
        <v>32417</v>
      </c>
      <c r="G10271" s="2" t="str">
        <f>HYPERLINK("https://probpalata.gov.ru/files/ИП540801446600014.jpeg","Скачать индивидуальный QR-код магазина")</f>
        <v>Скачать индивидуальный QR-код магазина</v>
      </c>
    </row>
    <row r="10272" spans="1:7" x14ac:dyDescent="0.25">
      <c r="A10272" t="s">
        <v>31650</v>
      </c>
      <c r="B10272" t="s">
        <v>32418</v>
      </c>
      <c r="C10272" t="s">
        <v>32419</v>
      </c>
      <c r="D10272" t="s">
        <v>32420</v>
      </c>
      <c r="E10272" t="s">
        <v>32421</v>
      </c>
      <c r="F10272" t="s">
        <v>32422</v>
      </c>
      <c r="G10272" s="2" t="str">
        <f>HYPERLINK("https://probpalata.gov.ru/files/ИП540800514700000.jpeg","Скачать индивидуальный QR-код магазина")</f>
        <v>Скачать индивидуальный QR-код магазина</v>
      </c>
    </row>
    <row r="10273" spans="1:7" x14ac:dyDescent="0.25">
      <c r="A10273" t="s">
        <v>31650</v>
      </c>
      <c r="B10273" t="s">
        <v>32423</v>
      </c>
      <c r="C10273" t="s">
        <v>32424</v>
      </c>
      <c r="D10273" t="s">
        <v>32425</v>
      </c>
      <c r="E10273" t="s">
        <v>32426</v>
      </c>
      <c r="F10273" t="s">
        <v>32427</v>
      </c>
      <c r="G10273" s="2" t="str">
        <f>HYPERLINK("https://probpalata.gov.ru/files/ИП540801296800001.jpeg","Скачать индивидуальный QR-код магазина")</f>
        <v>Скачать индивидуальный QR-код магазина</v>
      </c>
    </row>
    <row r="10274" spans="1:7" x14ac:dyDescent="0.25">
      <c r="A10274" t="s">
        <v>31650</v>
      </c>
      <c r="B10274" t="s">
        <v>32428</v>
      </c>
      <c r="C10274" t="s">
        <v>32429</v>
      </c>
      <c r="D10274" t="s">
        <v>32430</v>
      </c>
      <c r="E10274" t="s">
        <v>32431</v>
      </c>
      <c r="F10274" t="s">
        <v>32432</v>
      </c>
      <c r="G10274" s="2" t="str">
        <f>HYPERLINK("https://probpalata.gov.ru/files/ИП540800286400000.jpeg","Скачать индивидуальный QR-код магазина")</f>
        <v>Скачать индивидуальный QR-код магазина</v>
      </c>
    </row>
    <row r="10275" spans="1:7" x14ac:dyDescent="0.25">
      <c r="A10275" t="s">
        <v>31650</v>
      </c>
      <c r="B10275" t="s">
        <v>32433</v>
      </c>
      <c r="C10275" t="s">
        <v>32429</v>
      </c>
      <c r="D10275" t="s">
        <v>32430</v>
      </c>
      <c r="E10275" t="s">
        <v>32431</v>
      </c>
      <c r="F10275" t="s">
        <v>32434</v>
      </c>
      <c r="G10275" s="2" t="str">
        <f>HYPERLINK("https://probpalata.gov.ru/files/ИП540800286400002.jpeg","Скачать индивидуальный QR-код магазина")</f>
        <v>Скачать индивидуальный QR-код магазина</v>
      </c>
    </row>
    <row r="10276" spans="1:7" x14ac:dyDescent="0.25">
      <c r="A10276" t="s">
        <v>31650</v>
      </c>
      <c r="B10276" t="s">
        <v>32435</v>
      </c>
      <c r="C10276" t="s">
        <v>32436</v>
      </c>
      <c r="D10276" t="s">
        <v>32437</v>
      </c>
      <c r="E10276" t="s">
        <v>32438</v>
      </c>
      <c r="F10276" t="s">
        <v>32439</v>
      </c>
      <c r="G10276" s="2" t="str">
        <f>HYPERLINK("https://probpalata.gov.ru/files/ЮЛ540800575000000.jpeg","Скачать индивидуальный QR-код магазина")</f>
        <v>Скачать индивидуальный QR-код магазина</v>
      </c>
    </row>
    <row r="10277" spans="1:7" x14ac:dyDescent="0.25">
      <c r="A10277" t="s">
        <v>31650</v>
      </c>
      <c r="B10277" t="s">
        <v>32440</v>
      </c>
      <c r="C10277" t="s">
        <v>32436</v>
      </c>
      <c r="D10277" t="s">
        <v>32437</v>
      </c>
      <c r="E10277" t="s">
        <v>32438</v>
      </c>
      <c r="F10277" t="s">
        <v>32441</v>
      </c>
      <c r="G10277" s="2" t="str">
        <f>HYPERLINK("https://probpalata.gov.ru/files/ЮЛ540800575000003.jpeg","Скачать индивидуальный QR-код магазина")</f>
        <v>Скачать индивидуальный QR-код магазина</v>
      </c>
    </row>
    <row r="10278" spans="1:7" x14ac:dyDescent="0.25">
      <c r="A10278" t="s">
        <v>31650</v>
      </c>
      <c r="B10278" t="s">
        <v>32442</v>
      </c>
      <c r="C10278" t="s">
        <v>32436</v>
      </c>
      <c r="D10278" t="s">
        <v>32437</v>
      </c>
      <c r="E10278" t="s">
        <v>32438</v>
      </c>
      <c r="F10278" t="s">
        <v>32443</v>
      </c>
      <c r="G10278" s="2" t="str">
        <f>HYPERLINK("https://probpalata.gov.ru/files/ЮЛ540800575000007.jpeg","Скачать индивидуальный QR-код магазина")</f>
        <v>Скачать индивидуальный QR-код магазина</v>
      </c>
    </row>
    <row r="10279" spans="1:7" x14ac:dyDescent="0.25">
      <c r="A10279" t="s">
        <v>31650</v>
      </c>
      <c r="B10279" t="s">
        <v>32444</v>
      </c>
      <c r="C10279" t="s">
        <v>32436</v>
      </c>
      <c r="D10279" t="s">
        <v>32437</v>
      </c>
      <c r="E10279" t="s">
        <v>32438</v>
      </c>
      <c r="F10279" t="s">
        <v>32445</v>
      </c>
      <c r="G10279" s="2" t="str">
        <f>HYPERLINK("https://probpalata.gov.ru/files/ЮЛ540800575000009.jpeg","Скачать индивидуальный QR-код магазина")</f>
        <v>Скачать индивидуальный QR-код магазина</v>
      </c>
    </row>
    <row r="10280" spans="1:7" x14ac:dyDescent="0.25">
      <c r="A10280" t="s">
        <v>31650</v>
      </c>
      <c r="B10280" t="s">
        <v>32446</v>
      </c>
      <c r="C10280" t="s">
        <v>32436</v>
      </c>
      <c r="D10280" t="s">
        <v>32437</v>
      </c>
      <c r="E10280" t="s">
        <v>32438</v>
      </c>
      <c r="F10280" t="s">
        <v>32447</v>
      </c>
      <c r="G10280" s="2" t="str">
        <f>HYPERLINK("https://probpalata.gov.ru/files/ЮЛ540800575000010.jpeg","Скачать индивидуальный QR-код магазина")</f>
        <v>Скачать индивидуальный QR-код магазина</v>
      </c>
    </row>
    <row r="10281" spans="1:7" x14ac:dyDescent="0.25">
      <c r="A10281" t="s">
        <v>31650</v>
      </c>
      <c r="B10281" t="s">
        <v>32448</v>
      </c>
      <c r="C10281" t="s">
        <v>32436</v>
      </c>
      <c r="D10281" t="s">
        <v>32437</v>
      </c>
      <c r="E10281" t="s">
        <v>32438</v>
      </c>
      <c r="F10281" t="s">
        <v>32449</v>
      </c>
      <c r="G10281" s="2" t="str">
        <f>HYPERLINK("https://probpalata.gov.ru/files/ЮЛ540800575000011.jpeg","Скачать индивидуальный QR-код магазина")</f>
        <v>Скачать индивидуальный QR-код магазина</v>
      </c>
    </row>
    <row r="10282" spans="1:7" x14ac:dyDescent="0.25">
      <c r="A10282" t="s">
        <v>31650</v>
      </c>
      <c r="B10282" t="s">
        <v>32450</v>
      </c>
      <c r="C10282" t="s">
        <v>32436</v>
      </c>
      <c r="D10282" t="s">
        <v>32437</v>
      </c>
      <c r="E10282" t="s">
        <v>32438</v>
      </c>
      <c r="F10282" t="s">
        <v>32451</v>
      </c>
      <c r="G10282" s="2" t="str">
        <f>HYPERLINK("https://probpalata.gov.ru/files/ЮЛ540800575000013.jpeg","Скачать индивидуальный QR-код магазина")</f>
        <v>Скачать индивидуальный QR-код магазина</v>
      </c>
    </row>
    <row r="10283" spans="1:7" x14ac:dyDescent="0.25">
      <c r="A10283" t="s">
        <v>31650</v>
      </c>
      <c r="B10283" t="s">
        <v>32452</v>
      </c>
      <c r="C10283" t="s">
        <v>32436</v>
      </c>
      <c r="D10283" t="s">
        <v>32437</v>
      </c>
      <c r="E10283" t="s">
        <v>32438</v>
      </c>
      <c r="F10283" t="s">
        <v>32453</v>
      </c>
      <c r="G10283" s="2" t="str">
        <f>HYPERLINK("https://probpalata.gov.ru/files/ЮЛ540800575000015.jpeg","Скачать индивидуальный QR-код магазина")</f>
        <v>Скачать индивидуальный QR-код магазина</v>
      </c>
    </row>
    <row r="10284" spans="1:7" x14ac:dyDescent="0.25">
      <c r="A10284" t="s">
        <v>31650</v>
      </c>
      <c r="B10284" t="s">
        <v>32454</v>
      </c>
      <c r="C10284" t="s">
        <v>32436</v>
      </c>
      <c r="D10284" t="s">
        <v>32437</v>
      </c>
      <c r="E10284" t="s">
        <v>32438</v>
      </c>
      <c r="F10284" t="s">
        <v>32455</v>
      </c>
      <c r="G10284" s="2" t="str">
        <f>HYPERLINK("https://probpalata.gov.ru/files/ЮЛ540800575000018.jpeg","Скачать индивидуальный QR-код магазина")</f>
        <v>Скачать индивидуальный QR-код магазина</v>
      </c>
    </row>
    <row r="10285" spans="1:7" x14ac:dyDescent="0.25">
      <c r="A10285" t="s">
        <v>31650</v>
      </c>
      <c r="B10285" t="s">
        <v>32456</v>
      </c>
      <c r="C10285" t="s">
        <v>32457</v>
      </c>
      <c r="D10285" t="s">
        <v>32458</v>
      </c>
      <c r="E10285" t="s">
        <v>32459</v>
      </c>
      <c r="F10285" t="s">
        <v>32460</v>
      </c>
      <c r="G10285" s="2" t="str">
        <f>HYPERLINK("https://probpalata.gov.ru/files/ИП540801642900000.jpeg","Скачать индивидуальный QR-код магазина")</f>
        <v>Скачать индивидуальный QR-код магазина</v>
      </c>
    </row>
    <row r="10286" spans="1:7" x14ac:dyDescent="0.25">
      <c r="A10286" t="s">
        <v>31650</v>
      </c>
      <c r="B10286" t="s">
        <v>32461</v>
      </c>
      <c r="C10286" t="s">
        <v>32457</v>
      </c>
      <c r="D10286" t="s">
        <v>32458</v>
      </c>
      <c r="E10286" t="s">
        <v>32459</v>
      </c>
      <c r="F10286" t="s">
        <v>32462</v>
      </c>
      <c r="G10286" s="2" t="str">
        <f>HYPERLINK("https://probpalata.gov.ru/files/ИП540801642900003.jpeg","Скачать индивидуальный QR-код магазина")</f>
        <v>Скачать индивидуальный QR-код магазина</v>
      </c>
    </row>
    <row r="10287" spans="1:7" x14ac:dyDescent="0.25">
      <c r="A10287" t="s">
        <v>31650</v>
      </c>
      <c r="B10287" t="s">
        <v>32463</v>
      </c>
      <c r="C10287" t="s">
        <v>32464</v>
      </c>
      <c r="D10287" t="s">
        <v>32465</v>
      </c>
      <c r="E10287" t="s">
        <v>32466</v>
      </c>
      <c r="F10287" t="s">
        <v>32467</v>
      </c>
      <c r="G10287" s="2" t="str">
        <f>HYPERLINK("https://probpalata.gov.ru/files/ЮЛ540800575100000.jpeg","Скачать индивидуальный QR-код магазина")</f>
        <v>Скачать индивидуальный QR-код магазина</v>
      </c>
    </row>
    <row r="10288" spans="1:7" x14ac:dyDescent="0.25">
      <c r="A10288" t="s">
        <v>31650</v>
      </c>
      <c r="B10288" t="s">
        <v>32468</v>
      </c>
      <c r="C10288" t="s">
        <v>32464</v>
      </c>
      <c r="D10288" t="s">
        <v>32465</v>
      </c>
      <c r="E10288" t="s">
        <v>32466</v>
      </c>
      <c r="F10288" t="s">
        <v>32469</v>
      </c>
      <c r="G10288" s="2" t="str">
        <f>HYPERLINK("https://probpalata.gov.ru/files/ЮЛ540800575100002.jpeg","Скачать индивидуальный QR-код магазина")</f>
        <v>Скачать индивидуальный QR-код магазина</v>
      </c>
    </row>
    <row r="10289" spans="1:7" x14ac:dyDescent="0.25">
      <c r="A10289" t="s">
        <v>31650</v>
      </c>
      <c r="B10289" t="s">
        <v>32470</v>
      </c>
      <c r="C10289" t="s">
        <v>32464</v>
      </c>
      <c r="D10289" t="s">
        <v>32465</v>
      </c>
      <c r="E10289" t="s">
        <v>32466</v>
      </c>
      <c r="F10289" t="s">
        <v>32471</v>
      </c>
      <c r="G10289" s="2" t="str">
        <f>HYPERLINK("https://probpalata.gov.ru/files/ЮЛ540800575100003.jpeg","Скачать индивидуальный QR-код магазина")</f>
        <v>Скачать индивидуальный QR-код магазина</v>
      </c>
    </row>
    <row r="10290" spans="1:7" x14ac:dyDescent="0.25">
      <c r="A10290" t="s">
        <v>31650</v>
      </c>
      <c r="B10290" t="s">
        <v>32472</v>
      </c>
      <c r="C10290" t="s">
        <v>32464</v>
      </c>
      <c r="D10290" t="s">
        <v>32465</v>
      </c>
      <c r="E10290" t="s">
        <v>32466</v>
      </c>
      <c r="F10290" t="s">
        <v>32473</v>
      </c>
      <c r="G10290" s="2" t="str">
        <f>HYPERLINK("https://probpalata.gov.ru/files/ЮЛ540800575100004.jpeg","Скачать индивидуальный QR-код магазина")</f>
        <v>Скачать индивидуальный QR-код магазина</v>
      </c>
    </row>
    <row r="10291" spans="1:7" x14ac:dyDescent="0.25">
      <c r="A10291" t="s">
        <v>31650</v>
      </c>
      <c r="B10291" t="s">
        <v>32474</v>
      </c>
      <c r="C10291" t="s">
        <v>32464</v>
      </c>
      <c r="D10291" t="s">
        <v>32465</v>
      </c>
      <c r="E10291" t="s">
        <v>32466</v>
      </c>
      <c r="F10291" t="s">
        <v>32475</v>
      </c>
      <c r="G10291" s="2" t="str">
        <f>HYPERLINK("https://probpalata.gov.ru/files/ЮЛ540800575100005.jpeg","Скачать индивидуальный QR-код магазина")</f>
        <v>Скачать индивидуальный QR-код магазина</v>
      </c>
    </row>
    <row r="10292" spans="1:7" x14ac:dyDescent="0.25">
      <c r="A10292" t="s">
        <v>31650</v>
      </c>
      <c r="B10292" t="s">
        <v>32476</v>
      </c>
      <c r="C10292" t="s">
        <v>32464</v>
      </c>
      <c r="D10292" t="s">
        <v>32465</v>
      </c>
      <c r="E10292" t="s">
        <v>32466</v>
      </c>
      <c r="F10292" t="s">
        <v>32477</v>
      </c>
      <c r="G10292" s="2" t="str">
        <f>HYPERLINK("https://probpalata.gov.ru/files/ЮЛ540800575100007.jpeg","Скачать индивидуальный QR-код магазина")</f>
        <v>Скачать индивидуальный QR-код магазина</v>
      </c>
    </row>
    <row r="10293" spans="1:7" x14ac:dyDescent="0.25">
      <c r="A10293" t="s">
        <v>31650</v>
      </c>
      <c r="B10293" t="s">
        <v>32478</v>
      </c>
      <c r="C10293" t="s">
        <v>32464</v>
      </c>
      <c r="D10293" t="s">
        <v>32465</v>
      </c>
      <c r="E10293" t="s">
        <v>32466</v>
      </c>
      <c r="F10293" t="s">
        <v>32479</v>
      </c>
      <c r="G10293" s="2" t="str">
        <f>HYPERLINK("https://probpalata.gov.ru/files/ЮЛ540800575100011.jpeg","Скачать индивидуальный QR-код магазина")</f>
        <v>Скачать индивидуальный QR-код магазина</v>
      </c>
    </row>
    <row r="10294" spans="1:7" x14ac:dyDescent="0.25">
      <c r="A10294" t="s">
        <v>31650</v>
      </c>
      <c r="B10294" t="s">
        <v>32480</v>
      </c>
      <c r="C10294" t="s">
        <v>32464</v>
      </c>
      <c r="D10294" t="s">
        <v>32465</v>
      </c>
      <c r="E10294" t="s">
        <v>32466</v>
      </c>
      <c r="F10294" t="s">
        <v>32481</v>
      </c>
      <c r="G10294" s="2" t="str">
        <f>HYPERLINK("https://probpalata.gov.ru/files/ЮЛ540800575100013.jpeg","Скачать индивидуальный QR-код магазина")</f>
        <v>Скачать индивидуальный QR-код магазина</v>
      </c>
    </row>
    <row r="10295" spans="1:7" x14ac:dyDescent="0.25">
      <c r="A10295" t="s">
        <v>31650</v>
      </c>
      <c r="B10295" t="s">
        <v>32482</v>
      </c>
      <c r="C10295" t="s">
        <v>32464</v>
      </c>
      <c r="D10295" t="s">
        <v>32465</v>
      </c>
      <c r="E10295" t="s">
        <v>32466</v>
      </c>
      <c r="F10295" t="s">
        <v>32483</v>
      </c>
      <c r="G10295" s="2" t="str">
        <f>HYPERLINK("https://probpalata.gov.ru/files/ЮЛ540800575100014.jpeg","Скачать индивидуальный QR-код магазина")</f>
        <v>Скачать индивидуальный QR-код магазина</v>
      </c>
    </row>
    <row r="10296" spans="1:7" x14ac:dyDescent="0.25">
      <c r="A10296" t="s">
        <v>31650</v>
      </c>
      <c r="B10296" t="s">
        <v>32484</v>
      </c>
      <c r="C10296" t="s">
        <v>32464</v>
      </c>
      <c r="D10296" t="s">
        <v>32465</v>
      </c>
      <c r="E10296" t="s">
        <v>32466</v>
      </c>
      <c r="F10296" t="s">
        <v>32485</v>
      </c>
      <c r="G10296" s="2" t="str">
        <f>HYPERLINK("https://probpalata.gov.ru/files/ЮЛ540800575100016.jpeg","Скачать индивидуальный QR-код магазина")</f>
        <v>Скачать индивидуальный QR-код магазина</v>
      </c>
    </row>
    <row r="10297" spans="1:7" x14ac:dyDescent="0.25">
      <c r="A10297" t="s">
        <v>31650</v>
      </c>
      <c r="B10297" t="s">
        <v>32486</v>
      </c>
      <c r="C10297" t="s">
        <v>32464</v>
      </c>
      <c r="D10297" t="s">
        <v>32465</v>
      </c>
      <c r="E10297" t="s">
        <v>32466</v>
      </c>
      <c r="F10297" t="s">
        <v>32487</v>
      </c>
      <c r="G10297" s="2" t="str">
        <f>HYPERLINK("https://probpalata.gov.ru/files/ЮЛ540800575100017.jpeg","Скачать индивидуальный QR-код магазина")</f>
        <v>Скачать индивидуальный QR-код магазина</v>
      </c>
    </row>
    <row r="10298" spans="1:7" x14ac:dyDescent="0.25">
      <c r="A10298" t="s">
        <v>31650</v>
      </c>
      <c r="B10298" t="s">
        <v>32488</v>
      </c>
      <c r="C10298" t="s">
        <v>32489</v>
      </c>
      <c r="D10298" t="s">
        <v>32490</v>
      </c>
      <c r="E10298" t="s">
        <v>32491</v>
      </c>
      <c r="F10298" t="s">
        <v>32492</v>
      </c>
      <c r="G10298" s="2" t="str">
        <f>HYPERLINK("https://probpalata.gov.ru/files/ИП540801341800000.jpeg","Скачать индивидуальный QR-код магазина")</f>
        <v>Скачать индивидуальный QR-код магазина</v>
      </c>
    </row>
    <row r="10299" spans="1:7" x14ac:dyDescent="0.25">
      <c r="A10299" t="s">
        <v>31650</v>
      </c>
      <c r="B10299" t="s">
        <v>32493</v>
      </c>
      <c r="C10299" t="s">
        <v>32494</v>
      </c>
      <c r="D10299" t="s">
        <v>32495</v>
      </c>
      <c r="E10299" t="s">
        <v>32496</v>
      </c>
      <c r="F10299" t="s">
        <v>32497</v>
      </c>
      <c r="G10299" s="2" t="str">
        <f>HYPERLINK("https://probpalata.gov.ru/files/ЮЛ540800292400000.jpeg","Скачать индивидуальный QR-код магазина")</f>
        <v>Скачать индивидуальный QR-код магазина</v>
      </c>
    </row>
    <row r="10300" spans="1:7" x14ac:dyDescent="0.25">
      <c r="A10300" t="s">
        <v>31650</v>
      </c>
      <c r="B10300" t="s">
        <v>32498</v>
      </c>
      <c r="C10300" t="s">
        <v>32494</v>
      </c>
      <c r="D10300" t="s">
        <v>32495</v>
      </c>
      <c r="E10300" t="s">
        <v>32496</v>
      </c>
      <c r="F10300" t="s">
        <v>32499</v>
      </c>
      <c r="G10300" s="2" t="str">
        <f>HYPERLINK("https://probpalata.gov.ru/files/ЮЛ540800292400001.jpeg","Скачать индивидуальный QR-код магазина")</f>
        <v>Скачать индивидуальный QR-код магазина</v>
      </c>
    </row>
    <row r="10301" spans="1:7" x14ac:dyDescent="0.25">
      <c r="A10301" t="s">
        <v>31650</v>
      </c>
      <c r="B10301" t="s">
        <v>31853</v>
      </c>
      <c r="C10301" t="s">
        <v>10754</v>
      </c>
      <c r="D10301" t="s">
        <v>10755</v>
      </c>
      <c r="E10301" t="s">
        <v>10756</v>
      </c>
      <c r="F10301" t="s">
        <v>32500</v>
      </c>
      <c r="G10301" s="2" t="str">
        <f>HYPERLINK("https://probpalata.gov.ru/files/ИП540800530800008.jpeg","Скачать индивидуальный QR-код магазина")</f>
        <v>Скачать индивидуальный QR-код магазина</v>
      </c>
    </row>
    <row r="10302" spans="1:7" x14ac:dyDescent="0.25">
      <c r="A10302" t="s">
        <v>31650</v>
      </c>
      <c r="B10302" t="s">
        <v>32501</v>
      </c>
      <c r="C10302" t="s">
        <v>10754</v>
      </c>
      <c r="D10302" t="s">
        <v>10755</v>
      </c>
      <c r="E10302" t="s">
        <v>10756</v>
      </c>
      <c r="F10302" t="s">
        <v>32502</v>
      </c>
      <c r="G10302" s="2" t="str">
        <f>HYPERLINK("https://probpalata.gov.ru/files/ИП540800530800009.jpeg","Скачать индивидуальный QR-код магазина")</f>
        <v>Скачать индивидуальный QR-код магазина</v>
      </c>
    </row>
    <row r="10303" spans="1:7" x14ac:dyDescent="0.25">
      <c r="A10303" t="s">
        <v>31650</v>
      </c>
      <c r="B10303" t="s">
        <v>32503</v>
      </c>
      <c r="C10303" t="s">
        <v>10754</v>
      </c>
      <c r="D10303" t="s">
        <v>10755</v>
      </c>
      <c r="E10303" t="s">
        <v>10756</v>
      </c>
      <c r="F10303" t="s">
        <v>32504</v>
      </c>
      <c r="G10303" s="2" t="str">
        <f>HYPERLINK("https://probpalata.gov.ru/files/ИП540800530800010.jpeg","Скачать индивидуальный QR-код магазина")</f>
        <v>Скачать индивидуальный QR-код магазина</v>
      </c>
    </row>
    <row r="10304" spans="1:7" x14ac:dyDescent="0.25">
      <c r="A10304" t="s">
        <v>31650</v>
      </c>
      <c r="B10304" t="s">
        <v>32505</v>
      </c>
      <c r="C10304" t="s">
        <v>10759</v>
      </c>
      <c r="D10304" t="s">
        <v>10760</v>
      </c>
      <c r="E10304" t="s">
        <v>10761</v>
      </c>
      <c r="F10304" t="s">
        <v>32506</v>
      </c>
      <c r="G10304" s="2" t="str">
        <f>HYPERLINK("https://probpalata.gov.ru/files/ИП540800118900000.jpeg","Скачать индивидуальный QR-код магазина")</f>
        <v>Скачать индивидуальный QR-код магазина</v>
      </c>
    </row>
    <row r="10305" spans="1:7" x14ac:dyDescent="0.25">
      <c r="A10305" t="s">
        <v>31650</v>
      </c>
      <c r="B10305" t="s">
        <v>32507</v>
      </c>
      <c r="C10305" t="s">
        <v>10759</v>
      </c>
      <c r="D10305" t="s">
        <v>10760</v>
      </c>
      <c r="E10305" t="s">
        <v>10761</v>
      </c>
      <c r="F10305" t="s">
        <v>32508</v>
      </c>
      <c r="G10305" s="2" t="str">
        <f>HYPERLINK("https://probpalata.gov.ru/files/ИП540800118900001.jpeg","Скачать индивидуальный QR-код магазина")</f>
        <v>Скачать индивидуальный QR-код магазина</v>
      </c>
    </row>
    <row r="10306" spans="1:7" x14ac:dyDescent="0.25">
      <c r="A10306" t="s">
        <v>31650</v>
      </c>
      <c r="B10306" t="s">
        <v>32509</v>
      </c>
      <c r="C10306" t="s">
        <v>10759</v>
      </c>
      <c r="D10306" t="s">
        <v>10760</v>
      </c>
      <c r="E10306" t="s">
        <v>10761</v>
      </c>
      <c r="F10306" t="s">
        <v>32510</v>
      </c>
      <c r="G10306" s="2" t="str">
        <f>HYPERLINK("https://probpalata.gov.ru/files/ИП540800118900002.jpeg","Скачать индивидуальный QR-код магазина")</f>
        <v>Скачать индивидуальный QR-код магазина</v>
      </c>
    </row>
    <row r="10307" spans="1:7" x14ac:dyDescent="0.25">
      <c r="A10307" t="s">
        <v>31650</v>
      </c>
      <c r="B10307" t="s">
        <v>32511</v>
      </c>
      <c r="C10307" t="s">
        <v>10759</v>
      </c>
      <c r="D10307" t="s">
        <v>10760</v>
      </c>
      <c r="E10307" t="s">
        <v>10761</v>
      </c>
      <c r="F10307" t="s">
        <v>32512</v>
      </c>
      <c r="G10307" s="2" t="str">
        <f>HYPERLINK("https://probpalata.gov.ru/files/ИП540800118900010.jpeg","Скачать индивидуальный QR-код магазина")</f>
        <v>Скачать индивидуальный QR-код магазина</v>
      </c>
    </row>
    <row r="10308" spans="1:7" x14ac:dyDescent="0.25">
      <c r="A10308" t="s">
        <v>31650</v>
      </c>
      <c r="B10308" t="s">
        <v>32513</v>
      </c>
      <c r="C10308" t="s">
        <v>10759</v>
      </c>
      <c r="D10308" t="s">
        <v>10760</v>
      </c>
      <c r="E10308" t="s">
        <v>10761</v>
      </c>
      <c r="F10308" t="s">
        <v>32514</v>
      </c>
      <c r="G10308" s="2" t="str">
        <f>HYPERLINK("https://probpalata.gov.ru/files/ИП540800118900011.jpeg","Скачать индивидуальный QR-код магазина")</f>
        <v>Скачать индивидуальный QR-код магазина</v>
      </c>
    </row>
    <row r="10309" spans="1:7" x14ac:dyDescent="0.25">
      <c r="A10309" t="s">
        <v>31650</v>
      </c>
      <c r="B10309" t="s">
        <v>32515</v>
      </c>
      <c r="C10309" t="s">
        <v>32516</v>
      </c>
      <c r="D10309" t="s">
        <v>32517</v>
      </c>
      <c r="E10309" t="s">
        <v>32518</v>
      </c>
      <c r="F10309" t="s">
        <v>32519</v>
      </c>
      <c r="G10309" s="2" t="str">
        <f>HYPERLINK("https://probpalata.gov.ru/files/ИП540801740500000.jpeg","Скачать индивидуальный QR-код магазина")</f>
        <v>Скачать индивидуальный QR-код магазина</v>
      </c>
    </row>
    <row r="10310" spans="1:7" x14ac:dyDescent="0.25">
      <c r="A10310" t="s">
        <v>31650</v>
      </c>
      <c r="B10310" t="s">
        <v>32520</v>
      </c>
      <c r="C10310" t="s">
        <v>32516</v>
      </c>
      <c r="D10310" t="s">
        <v>32517</v>
      </c>
      <c r="E10310" t="s">
        <v>32518</v>
      </c>
      <c r="F10310" t="s">
        <v>32521</v>
      </c>
      <c r="G10310" s="2" t="str">
        <f>HYPERLINK("https://probpalata.gov.ru/files/ИП540801740500001.jpeg","Скачать индивидуальный QR-код магазина")</f>
        <v>Скачать индивидуальный QR-код магазина</v>
      </c>
    </row>
    <row r="10311" spans="1:7" x14ac:dyDescent="0.25">
      <c r="A10311" t="s">
        <v>31650</v>
      </c>
      <c r="B10311" t="s">
        <v>32522</v>
      </c>
      <c r="C10311" t="s">
        <v>32523</v>
      </c>
      <c r="D10311" t="s">
        <v>32524</v>
      </c>
      <c r="E10311" t="s">
        <v>32525</v>
      </c>
      <c r="F10311" t="s">
        <v>32526</v>
      </c>
      <c r="G10311" s="2" t="str">
        <f>HYPERLINK("https://probpalata.gov.ru/files/ИП540801740300000.jpeg","Скачать индивидуальный QR-код магазина")</f>
        <v>Скачать индивидуальный QR-код магазина</v>
      </c>
    </row>
    <row r="10312" spans="1:7" x14ac:dyDescent="0.25">
      <c r="A10312" t="s">
        <v>31650</v>
      </c>
      <c r="B10312" t="s">
        <v>32527</v>
      </c>
      <c r="C10312" t="s">
        <v>32523</v>
      </c>
      <c r="D10312" t="s">
        <v>32524</v>
      </c>
      <c r="E10312" t="s">
        <v>32525</v>
      </c>
      <c r="F10312" t="s">
        <v>32528</v>
      </c>
      <c r="G10312" s="2" t="str">
        <f>HYPERLINK("https://probpalata.gov.ru/files/ИП540801740300001.jpeg","Скачать индивидуальный QR-код магазина")</f>
        <v>Скачать индивидуальный QR-код магазина</v>
      </c>
    </row>
    <row r="10313" spans="1:7" x14ac:dyDescent="0.25">
      <c r="A10313" t="s">
        <v>31650</v>
      </c>
      <c r="B10313" t="s">
        <v>32529</v>
      </c>
      <c r="C10313" t="s">
        <v>32530</v>
      </c>
      <c r="D10313" t="s">
        <v>32531</v>
      </c>
      <c r="E10313" t="s">
        <v>32532</v>
      </c>
      <c r="F10313" t="s">
        <v>32533</v>
      </c>
      <c r="G10313" s="2" t="str">
        <f>HYPERLINK("https://probpalata.gov.ru/files/ЮЛ540801336200000.jpeg","Скачать индивидуальный QR-код магазина")</f>
        <v>Скачать индивидуальный QR-код магазина</v>
      </c>
    </row>
    <row r="10314" spans="1:7" x14ac:dyDescent="0.25">
      <c r="A10314" t="s">
        <v>31650</v>
      </c>
      <c r="B10314" t="s">
        <v>32534</v>
      </c>
      <c r="C10314" t="s">
        <v>32530</v>
      </c>
      <c r="D10314" t="s">
        <v>32531</v>
      </c>
      <c r="E10314" t="s">
        <v>32532</v>
      </c>
      <c r="F10314" t="s">
        <v>32535</v>
      </c>
      <c r="G10314" s="2" t="str">
        <f>HYPERLINK("https://probpalata.gov.ru/files/ЮЛ540801336200001.jpeg","Скачать индивидуальный QR-код магазина")</f>
        <v>Скачать индивидуальный QR-код магазина</v>
      </c>
    </row>
    <row r="10315" spans="1:7" x14ac:dyDescent="0.25">
      <c r="A10315" t="s">
        <v>31650</v>
      </c>
      <c r="B10315" t="s">
        <v>32536</v>
      </c>
      <c r="C10315" t="s">
        <v>32537</v>
      </c>
      <c r="D10315" t="s">
        <v>32538</v>
      </c>
      <c r="E10315" t="s">
        <v>32539</v>
      </c>
      <c r="F10315" t="s">
        <v>32540</v>
      </c>
      <c r="G10315" s="2" t="str">
        <f>HYPERLINK("https://probpalata.gov.ru/files/ИП540804014900000.jpeg","Скачать индивидуальный QR-код магазина")</f>
        <v>Скачать индивидуальный QR-код магазина</v>
      </c>
    </row>
    <row r="10316" spans="1:7" x14ac:dyDescent="0.25">
      <c r="A10316" t="s">
        <v>31650</v>
      </c>
      <c r="B10316" t="s">
        <v>32541</v>
      </c>
      <c r="C10316" t="s">
        <v>32542</v>
      </c>
      <c r="D10316" t="s">
        <v>32543</v>
      </c>
      <c r="E10316" t="s">
        <v>32544</v>
      </c>
      <c r="F10316" t="s">
        <v>32545</v>
      </c>
      <c r="G10316" s="2" t="str">
        <f>HYPERLINK("https://probpalata.gov.ru/files/ИП540801154400000.jpeg","Скачать индивидуальный QR-код магазина")</f>
        <v>Скачать индивидуальный QR-код магазина</v>
      </c>
    </row>
    <row r="10317" spans="1:7" x14ac:dyDescent="0.25">
      <c r="A10317" t="s">
        <v>31650</v>
      </c>
      <c r="B10317" t="s">
        <v>32546</v>
      </c>
      <c r="C10317" t="s">
        <v>32542</v>
      </c>
      <c r="D10317" t="s">
        <v>32543</v>
      </c>
      <c r="E10317" t="s">
        <v>32544</v>
      </c>
      <c r="F10317" t="s">
        <v>32547</v>
      </c>
      <c r="G10317" s="2" t="str">
        <f>HYPERLINK("https://probpalata.gov.ru/files/ИП540801154400001.jpeg","Скачать индивидуальный QR-код магазина")</f>
        <v>Скачать индивидуальный QR-код магазина</v>
      </c>
    </row>
    <row r="10318" spans="1:7" x14ac:dyDescent="0.25">
      <c r="A10318" t="s">
        <v>31650</v>
      </c>
      <c r="B10318" t="s">
        <v>32548</v>
      </c>
      <c r="C10318" t="s">
        <v>32549</v>
      </c>
      <c r="D10318" t="s">
        <v>32550</v>
      </c>
      <c r="E10318" t="s">
        <v>32551</v>
      </c>
      <c r="F10318" t="s">
        <v>32552</v>
      </c>
      <c r="G10318" s="2" t="str">
        <f>HYPERLINK("https://probpalata.gov.ru/files/ИП540801949200000.jpeg","Скачать индивидуальный QR-код магазина")</f>
        <v>Скачать индивидуальный QR-код магазина</v>
      </c>
    </row>
    <row r="10319" spans="1:7" x14ac:dyDescent="0.25">
      <c r="A10319" t="s">
        <v>31650</v>
      </c>
      <c r="B10319" t="s">
        <v>32553</v>
      </c>
      <c r="C10319" t="s">
        <v>32554</v>
      </c>
      <c r="D10319" t="s">
        <v>32555</v>
      </c>
      <c r="E10319" t="s">
        <v>32556</v>
      </c>
      <c r="F10319" t="s">
        <v>32557</v>
      </c>
      <c r="G10319" s="2" t="str">
        <f>HYPERLINK("https://probpalata.gov.ru/files/ИП540801547900000.jpeg","Скачать индивидуальный QR-код магазина")</f>
        <v>Скачать индивидуальный QR-код магазина</v>
      </c>
    </row>
    <row r="10320" spans="1:7" x14ac:dyDescent="0.25">
      <c r="A10320" t="s">
        <v>31650</v>
      </c>
      <c r="B10320" t="s">
        <v>32558</v>
      </c>
      <c r="C10320" t="s">
        <v>32559</v>
      </c>
      <c r="D10320" t="s">
        <v>32560</v>
      </c>
      <c r="E10320" t="s">
        <v>32561</v>
      </c>
      <c r="F10320" t="s">
        <v>32562</v>
      </c>
      <c r="G10320" s="2" t="str">
        <f>HYPERLINK("https://probpalata.gov.ru/files/ИП540801524200000.jpeg","Скачать индивидуальный QR-код магазина")</f>
        <v>Скачать индивидуальный QR-код магазина</v>
      </c>
    </row>
    <row r="10321" spans="1:7" x14ac:dyDescent="0.25">
      <c r="A10321" t="s">
        <v>31650</v>
      </c>
      <c r="B10321" t="s">
        <v>32563</v>
      </c>
      <c r="C10321" t="s">
        <v>32564</v>
      </c>
      <c r="D10321" t="s">
        <v>32565</v>
      </c>
      <c r="E10321" t="s">
        <v>32566</v>
      </c>
      <c r="F10321" t="s">
        <v>32567</v>
      </c>
      <c r="G10321" s="2" t="str">
        <f>HYPERLINK("https://probpalata.gov.ru/files/ИП540801383200000.jpeg","Скачать индивидуальный QR-код магазина")</f>
        <v>Скачать индивидуальный QR-код магазина</v>
      </c>
    </row>
    <row r="10322" spans="1:7" x14ac:dyDescent="0.25">
      <c r="A10322" t="s">
        <v>31650</v>
      </c>
      <c r="B10322" t="s">
        <v>32568</v>
      </c>
      <c r="C10322" t="s">
        <v>32569</v>
      </c>
      <c r="D10322" t="s">
        <v>32570</v>
      </c>
      <c r="E10322" t="s">
        <v>32571</v>
      </c>
      <c r="F10322" t="s">
        <v>32572</v>
      </c>
      <c r="G10322" s="2" t="str">
        <f>HYPERLINK("https://probpalata.gov.ru/files/ИП540801439900000.jpeg","Скачать индивидуальный QR-код магазина")</f>
        <v>Скачать индивидуальный QR-код магазина</v>
      </c>
    </row>
    <row r="10323" spans="1:7" x14ac:dyDescent="0.25">
      <c r="A10323" t="s">
        <v>31650</v>
      </c>
      <c r="B10323" t="s">
        <v>32573</v>
      </c>
      <c r="C10323" t="s">
        <v>32569</v>
      </c>
      <c r="D10323" t="s">
        <v>32570</v>
      </c>
      <c r="E10323" t="s">
        <v>32571</v>
      </c>
      <c r="F10323" t="s">
        <v>32574</v>
      </c>
      <c r="G10323" s="2" t="str">
        <f>HYPERLINK("https://probpalata.gov.ru/files/ИП540801439900001.jpeg","Скачать индивидуальный QR-код магазина")</f>
        <v>Скачать индивидуальный QR-код магазина</v>
      </c>
    </row>
    <row r="10324" spans="1:7" x14ac:dyDescent="0.25">
      <c r="A10324" t="s">
        <v>31650</v>
      </c>
      <c r="B10324" t="s">
        <v>32575</v>
      </c>
      <c r="C10324" t="s">
        <v>32576</v>
      </c>
      <c r="D10324" t="s">
        <v>32577</v>
      </c>
      <c r="E10324" t="s">
        <v>32578</v>
      </c>
      <c r="F10324" t="s">
        <v>32579</v>
      </c>
      <c r="G10324" s="2" t="str">
        <f>HYPERLINK("https://probpalata.gov.ru/files/ИП540803234700000.jpeg","Скачать индивидуальный QR-код магазина")</f>
        <v>Скачать индивидуальный QR-код магазина</v>
      </c>
    </row>
    <row r="10325" spans="1:7" x14ac:dyDescent="0.25">
      <c r="A10325" t="s">
        <v>31650</v>
      </c>
      <c r="B10325" t="s">
        <v>32580</v>
      </c>
      <c r="C10325" t="s">
        <v>32581</v>
      </c>
      <c r="D10325" t="s">
        <v>32582</v>
      </c>
      <c r="E10325" t="s">
        <v>32583</v>
      </c>
      <c r="F10325" t="s">
        <v>32584</v>
      </c>
      <c r="G10325" s="2" t="str">
        <f>HYPERLINK("https://probpalata.gov.ru/files/ИП540801593000000.jpeg","Скачать индивидуальный QR-код магазина")</f>
        <v>Скачать индивидуальный QR-код магазина</v>
      </c>
    </row>
    <row r="10326" spans="1:7" x14ac:dyDescent="0.25">
      <c r="A10326" t="s">
        <v>31650</v>
      </c>
      <c r="B10326" t="s">
        <v>32585</v>
      </c>
      <c r="C10326" t="s">
        <v>32581</v>
      </c>
      <c r="D10326" t="s">
        <v>32582</v>
      </c>
      <c r="E10326" t="s">
        <v>32583</v>
      </c>
      <c r="F10326" t="s">
        <v>32586</v>
      </c>
      <c r="G10326" s="2" t="str">
        <f>HYPERLINK("https://probpalata.gov.ru/files/ИП540801593000001.jpeg","Скачать индивидуальный QR-код магазина")</f>
        <v>Скачать индивидуальный QR-код магазина</v>
      </c>
    </row>
    <row r="10327" spans="1:7" x14ac:dyDescent="0.25">
      <c r="A10327" t="s">
        <v>31650</v>
      </c>
      <c r="B10327" t="s">
        <v>32587</v>
      </c>
      <c r="C10327" t="s">
        <v>32581</v>
      </c>
      <c r="D10327" t="s">
        <v>32582</v>
      </c>
      <c r="E10327" t="s">
        <v>32583</v>
      </c>
      <c r="F10327" t="s">
        <v>32588</v>
      </c>
      <c r="G10327" s="2" t="str">
        <f>HYPERLINK("https://probpalata.gov.ru/files/ИП540801593000002.jpeg","Скачать индивидуальный QR-код магазина")</f>
        <v>Скачать индивидуальный QR-код магазина</v>
      </c>
    </row>
    <row r="10328" spans="1:7" x14ac:dyDescent="0.25">
      <c r="A10328" t="s">
        <v>31650</v>
      </c>
      <c r="B10328" t="s">
        <v>32589</v>
      </c>
      <c r="C10328" t="s">
        <v>32581</v>
      </c>
      <c r="D10328" t="s">
        <v>32582</v>
      </c>
      <c r="E10328" t="s">
        <v>32583</v>
      </c>
      <c r="F10328" t="s">
        <v>32590</v>
      </c>
      <c r="G10328" s="2" t="str">
        <f>HYPERLINK("https://probpalata.gov.ru/files/ИП540801593000004.jpeg","Скачать индивидуальный QR-код магазина")</f>
        <v>Скачать индивидуальный QR-код магазина</v>
      </c>
    </row>
    <row r="10329" spans="1:7" x14ac:dyDescent="0.25">
      <c r="A10329" t="s">
        <v>31650</v>
      </c>
      <c r="B10329" t="s">
        <v>32591</v>
      </c>
      <c r="C10329" t="s">
        <v>32581</v>
      </c>
      <c r="D10329" t="s">
        <v>32582</v>
      </c>
      <c r="E10329" t="s">
        <v>32583</v>
      </c>
      <c r="F10329" t="s">
        <v>32592</v>
      </c>
      <c r="G10329" s="2" t="str">
        <f>HYPERLINK("https://probpalata.gov.ru/files/ИП540801593000005.jpeg","Скачать индивидуальный QR-код магазина")</f>
        <v>Скачать индивидуальный QR-код магазина</v>
      </c>
    </row>
    <row r="10330" spans="1:7" x14ac:dyDescent="0.25">
      <c r="A10330" t="s">
        <v>31650</v>
      </c>
      <c r="B10330" t="s">
        <v>32593</v>
      </c>
      <c r="C10330" t="s">
        <v>32581</v>
      </c>
      <c r="D10330" t="s">
        <v>32582</v>
      </c>
      <c r="E10330" t="s">
        <v>32583</v>
      </c>
      <c r="F10330" t="s">
        <v>32594</v>
      </c>
      <c r="G10330" s="2" t="str">
        <f>HYPERLINK("https://probpalata.gov.ru/files/ИП540801593000006.jpeg","Скачать индивидуальный QR-код магазина")</f>
        <v>Скачать индивидуальный QR-код магазина</v>
      </c>
    </row>
    <row r="10331" spans="1:7" x14ac:dyDescent="0.25">
      <c r="A10331" t="s">
        <v>31650</v>
      </c>
      <c r="B10331" t="s">
        <v>32595</v>
      </c>
      <c r="C10331" t="s">
        <v>32581</v>
      </c>
      <c r="D10331" t="s">
        <v>32582</v>
      </c>
      <c r="E10331" t="s">
        <v>32583</v>
      </c>
      <c r="F10331" t="s">
        <v>32596</v>
      </c>
      <c r="G10331" s="2" t="str">
        <f>HYPERLINK("https://probpalata.gov.ru/files/ИП540801593000007.jpeg","Скачать индивидуальный QR-код магазина")</f>
        <v>Скачать индивидуальный QR-код магазина</v>
      </c>
    </row>
    <row r="10332" spans="1:7" x14ac:dyDescent="0.25">
      <c r="A10332" t="s">
        <v>31650</v>
      </c>
      <c r="B10332" t="s">
        <v>32597</v>
      </c>
      <c r="C10332" t="s">
        <v>32598</v>
      </c>
      <c r="D10332" t="s">
        <v>32599</v>
      </c>
      <c r="E10332" t="s">
        <v>32600</v>
      </c>
      <c r="F10332" t="s">
        <v>32601</v>
      </c>
      <c r="G10332" s="2" t="str">
        <f>HYPERLINK("https://probpalata.gov.ru/files/ИП540801192800000.jpeg","Скачать индивидуальный QR-код магазина")</f>
        <v>Скачать индивидуальный QR-код магазина</v>
      </c>
    </row>
    <row r="10333" spans="1:7" x14ac:dyDescent="0.25">
      <c r="A10333" t="s">
        <v>31650</v>
      </c>
      <c r="B10333" t="s">
        <v>32602</v>
      </c>
      <c r="C10333" t="s">
        <v>32598</v>
      </c>
      <c r="D10333" t="s">
        <v>32599</v>
      </c>
      <c r="E10333" t="s">
        <v>32600</v>
      </c>
      <c r="F10333" t="s">
        <v>32603</v>
      </c>
      <c r="G10333" s="2" t="str">
        <f>HYPERLINK("https://probpalata.gov.ru/files/ИП540801192800001.jpeg","Скачать индивидуальный QR-код магазина")</f>
        <v>Скачать индивидуальный QR-код магазина</v>
      </c>
    </row>
    <row r="10334" spans="1:7" x14ac:dyDescent="0.25">
      <c r="A10334" t="s">
        <v>31650</v>
      </c>
      <c r="B10334" t="s">
        <v>32604</v>
      </c>
      <c r="C10334" t="s">
        <v>32605</v>
      </c>
      <c r="D10334" t="s">
        <v>32606</v>
      </c>
      <c r="E10334" t="s">
        <v>32607</v>
      </c>
      <c r="F10334" t="s">
        <v>32608</v>
      </c>
      <c r="G10334" s="2" t="str">
        <f>HYPERLINK("https://probpalata.gov.ru/files/ИП540801335000000.jpeg","Скачать индивидуальный QR-код магазина")</f>
        <v>Скачать индивидуальный QR-код магазина</v>
      </c>
    </row>
    <row r="10335" spans="1:7" x14ac:dyDescent="0.25">
      <c r="A10335" t="s">
        <v>31650</v>
      </c>
      <c r="B10335" t="s">
        <v>32604</v>
      </c>
      <c r="C10335" t="s">
        <v>32609</v>
      </c>
      <c r="D10335" t="s">
        <v>32610</v>
      </c>
      <c r="E10335" t="s">
        <v>32611</v>
      </c>
      <c r="F10335" t="s">
        <v>32612</v>
      </c>
      <c r="G10335" s="2" t="str">
        <f>HYPERLINK("https://probpalata.gov.ru/files/ИП550803608000000.jpeg","Скачать индивидуальный QR-код магазина")</f>
        <v>Скачать индивидуальный QR-код магазина</v>
      </c>
    </row>
    <row r="10336" spans="1:7" x14ac:dyDescent="0.25">
      <c r="A10336" t="s">
        <v>31650</v>
      </c>
      <c r="B10336" t="s">
        <v>32613</v>
      </c>
      <c r="C10336" t="s">
        <v>32614</v>
      </c>
      <c r="D10336" t="s">
        <v>32615</v>
      </c>
      <c r="E10336" t="s">
        <v>32616</v>
      </c>
      <c r="F10336" t="s">
        <v>32617</v>
      </c>
      <c r="G10336" s="2" t="str">
        <f>HYPERLINK("https://probpalata.gov.ru/files/ИП540801334000000.jpeg","Скачать индивидуальный QR-код магазина")</f>
        <v>Скачать индивидуальный QR-код магазина</v>
      </c>
    </row>
    <row r="10337" spans="1:7" x14ac:dyDescent="0.25">
      <c r="A10337" t="s">
        <v>31650</v>
      </c>
      <c r="B10337" t="s">
        <v>32618</v>
      </c>
      <c r="C10337" t="s">
        <v>32619</v>
      </c>
      <c r="D10337" t="s">
        <v>32620</v>
      </c>
      <c r="E10337" t="s">
        <v>32621</v>
      </c>
      <c r="F10337" t="s">
        <v>32622</v>
      </c>
      <c r="G10337" s="2" t="str">
        <f>HYPERLINK("https://probpalata.gov.ru/files/ИП550801592800000.jpeg","Скачать индивидуальный QR-код магазина")</f>
        <v>Скачать индивидуальный QR-код магазина</v>
      </c>
    </row>
    <row r="10338" spans="1:7" x14ac:dyDescent="0.25">
      <c r="A10338" t="s">
        <v>31650</v>
      </c>
      <c r="B10338" t="s">
        <v>32623</v>
      </c>
      <c r="C10338" t="s">
        <v>703</v>
      </c>
      <c r="D10338" t="s">
        <v>704</v>
      </c>
      <c r="E10338" t="s">
        <v>705</v>
      </c>
      <c r="F10338" t="s">
        <v>32624</v>
      </c>
      <c r="G10338" s="2" t="str">
        <f>HYPERLINK("https://probpalata.gov.ru/files/ИП610400426600014.jpeg","Скачать индивидуальный QR-код магазина")</f>
        <v>Скачать индивидуальный QR-код магазина</v>
      </c>
    </row>
    <row r="10339" spans="1:7" x14ac:dyDescent="0.25">
      <c r="A10339" t="s">
        <v>31650</v>
      </c>
      <c r="B10339" t="s">
        <v>32625</v>
      </c>
      <c r="C10339" t="s">
        <v>14967</v>
      </c>
      <c r="D10339" t="s">
        <v>14968</v>
      </c>
      <c r="E10339" t="s">
        <v>14969</v>
      </c>
      <c r="F10339" t="s">
        <v>32626</v>
      </c>
      <c r="G10339" s="2" t="str">
        <f>HYPERLINK("https://probpalata.gov.ru/files/ЮЛ660701304200006.jpeg","Скачать индивидуальный QR-код магазина")</f>
        <v>Скачать индивидуальный QR-код магазина</v>
      </c>
    </row>
    <row r="10340" spans="1:7" x14ac:dyDescent="0.25">
      <c r="A10340" t="s">
        <v>31650</v>
      </c>
      <c r="B10340" t="s">
        <v>32627</v>
      </c>
      <c r="C10340" t="s">
        <v>16760</v>
      </c>
      <c r="D10340" t="s">
        <v>16761</v>
      </c>
      <c r="E10340" t="s">
        <v>16762</v>
      </c>
      <c r="F10340" t="s">
        <v>32628</v>
      </c>
      <c r="G10340" s="2" t="str">
        <f>HYPERLINK("https://probpalata.gov.ru/files/ИП700801161100002.jpeg","Скачать индивидуальный QR-код магазина")</f>
        <v>Скачать индивидуальный QR-код магазина</v>
      </c>
    </row>
    <row r="10341" spans="1:7" x14ac:dyDescent="0.25">
      <c r="A10341" t="s">
        <v>31650</v>
      </c>
      <c r="B10341" t="s">
        <v>32629</v>
      </c>
      <c r="C10341" t="s">
        <v>16760</v>
      </c>
      <c r="D10341" t="s">
        <v>16761</v>
      </c>
      <c r="E10341" t="s">
        <v>16762</v>
      </c>
      <c r="F10341" t="s">
        <v>32630</v>
      </c>
      <c r="G10341" s="2" t="str">
        <f>HYPERLINK("https://probpalata.gov.ru/files/ИП700801161100005.jpeg","Скачать индивидуальный QR-код магазина")</f>
        <v>Скачать индивидуальный QR-код магазина</v>
      </c>
    </row>
    <row r="10342" spans="1:7" x14ac:dyDescent="0.25">
      <c r="A10342" t="s">
        <v>31650</v>
      </c>
      <c r="B10342" t="s">
        <v>32631</v>
      </c>
      <c r="C10342" t="s">
        <v>6246</v>
      </c>
      <c r="D10342" t="s">
        <v>6247</v>
      </c>
      <c r="E10342" t="s">
        <v>6248</v>
      </c>
      <c r="F10342" t="s">
        <v>32632</v>
      </c>
      <c r="G10342" s="2" t="str">
        <f>HYPERLINK("https://probpalata.gov.ru/files/ИП540800286700000.jpeg","Скачать индивидуальный QR-код магазина")</f>
        <v>Скачать индивидуальный QR-код магазина</v>
      </c>
    </row>
    <row r="10343" spans="1:7" x14ac:dyDescent="0.25">
      <c r="A10343" t="s">
        <v>31650</v>
      </c>
      <c r="B10343" t="s">
        <v>32633</v>
      </c>
      <c r="C10343" t="s">
        <v>1740</v>
      </c>
      <c r="D10343" t="s">
        <v>1741</v>
      </c>
      <c r="E10343" t="s">
        <v>1742</v>
      </c>
      <c r="F10343" t="s">
        <v>32634</v>
      </c>
      <c r="G10343" s="2" t="str">
        <f>HYPERLINK("https://probpalata.gov.ru/files/ЮЛ760201190700082.jpeg","Скачать индивидуальный QR-код магазина")</f>
        <v>Скачать индивидуальный QR-код магазина</v>
      </c>
    </row>
    <row r="10344" spans="1:7" x14ac:dyDescent="0.25">
      <c r="A10344" t="s">
        <v>31650</v>
      </c>
      <c r="B10344" t="s">
        <v>32635</v>
      </c>
      <c r="C10344" t="s">
        <v>1745</v>
      </c>
      <c r="D10344" t="s">
        <v>1746</v>
      </c>
      <c r="E10344" t="s">
        <v>1747</v>
      </c>
      <c r="F10344" t="s">
        <v>32636</v>
      </c>
      <c r="G10344" s="2" t="str">
        <f>HYPERLINK("https://probpalata.gov.ru/files/ЮЛ770100201500566.jpeg","Скачать индивидуальный QR-код магазина")</f>
        <v>Скачать индивидуальный QR-код магазина</v>
      </c>
    </row>
    <row r="10345" spans="1:7" x14ac:dyDescent="0.25">
      <c r="A10345" t="s">
        <v>31650</v>
      </c>
      <c r="B10345" t="s">
        <v>32637</v>
      </c>
      <c r="C10345" t="s">
        <v>713</v>
      </c>
      <c r="D10345" t="s">
        <v>714</v>
      </c>
      <c r="E10345" t="s">
        <v>715</v>
      </c>
      <c r="F10345" t="s">
        <v>32638</v>
      </c>
      <c r="G10345" s="2" t="str">
        <f>HYPERLINK("https://probpalata.gov.ru/files/ЮЛ770101216600079.jpeg","Скачать индивидуальный QR-код магазина")</f>
        <v>Скачать индивидуальный QR-код магазина</v>
      </c>
    </row>
    <row r="10346" spans="1:7" x14ac:dyDescent="0.25">
      <c r="A10346" t="s">
        <v>31650</v>
      </c>
      <c r="B10346" t="s">
        <v>32639</v>
      </c>
      <c r="C10346" t="s">
        <v>713</v>
      </c>
      <c r="D10346" t="s">
        <v>714</v>
      </c>
      <c r="E10346" t="s">
        <v>715</v>
      </c>
      <c r="F10346" t="s">
        <v>32640</v>
      </c>
      <c r="G10346" s="2" t="str">
        <f>HYPERLINK("https://probpalata.gov.ru/files/ЮЛ770101216600150.jpeg","Скачать индивидуальный QR-код магазина")</f>
        <v>Скачать индивидуальный QR-код магазина</v>
      </c>
    </row>
    <row r="10347" spans="1:7" x14ac:dyDescent="0.25">
      <c r="A10347" t="s">
        <v>31650</v>
      </c>
      <c r="B10347" t="s">
        <v>32641</v>
      </c>
      <c r="C10347" t="s">
        <v>713</v>
      </c>
      <c r="D10347" t="s">
        <v>714</v>
      </c>
      <c r="E10347" t="s">
        <v>715</v>
      </c>
      <c r="F10347" t="s">
        <v>32642</v>
      </c>
      <c r="G10347" s="2" t="str">
        <f>HYPERLINK("https://probpalata.gov.ru/files/ЮЛ770101216600162.jpeg","Скачать индивидуальный QR-код магазина")</f>
        <v>Скачать индивидуальный QR-код магазина</v>
      </c>
    </row>
    <row r="10348" spans="1:7" x14ac:dyDescent="0.25">
      <c r="A10348" t="s">
        <v>31650</v>
      </c>
      <c r="B10348" t="s">
        <v>32643</v>
      </c>
      <c r="C10348" t="s">
        <v>713</v>
      </c>
      <c r="D10348" t="s">
        <v>714</v>
      </c>
      <c r="E10348" t="s">
        <v>715</v>
      </c>
      <c r="F10348" t="s">
        <v>32644</v>
      </c>
      <c r="G10348" s="2" t="str">
        <f>HYPERLINK("https://probpalata.gov.ru/files/ЮЛ770101216600185.jpeg","Скачать индивидуальный QR-код магазина")</f>
        <v>Скачать индивидуальный QR-код магазина</v>
      </c>
    </row>
    <row r="10349" spans="1:7" x14ac:dyDescent="0.25">
      <c r="A10349" t="s">
        <v>31650</v>
      </c>
      <c r="B10349" t="s">
        <v>32645</v>
      </c>
      <c r="C10349" t="s">
        <v>713</v>
      </c>
      <c r="D10349" t="s">
        <v>714</v>
      </c>
      <c r="E10349" t="s">
        <v>715</v>
      </c>
      <c r="F10349" t="s">
        <v>32646</v>
      </c>
      <c r="G10349" s="2" t="str">
        <f>HYPERLINK("https://probpalata.gov.ru/files/ЮЛ770101216600299.jpeg","Скачать индивидуальный QR-код магазина")</f>
        <v>Скачать индивидуальный QR-код магазина</v>
      </c>
    </row>
    <row r="10350" spans="1:7" x14ac:dyDescent="0.25">
      <c r="A10350" t="s">
        <v>31650</v>
      </c>
      <c r="B10350" t="s">
        <v>32647</v>
      </c>
      <c r="C10350" t="s">
        <v>713</v>
      </c>
      <c r="D10350" t="s">
        <v>714</v>
      </c>
      <c r="E10350" t="s">
        <v>715</v>
      </c>
      <c r="F10350" t="s">
        <v>32648</v>
      </c>
      <c r="G10350" s="2" t="str">
        <f>HYPERLINK("https://probpalata.gov.ru/files/ЮЛ770101216600337.jpeg","Скачать индивидуальный QR-код магазина")</f>
        <v>Скачать индивидуальный QR-код магазина</v>
      </c>
    </row>
    <row r="10351" spans="1:7" x14ac:dyDescent="0.25">
      <c r="A10351" t="s">
        <v>31650</v>
      </c>
      <c r="B10351" t="s">
        <v>32649</v>
      </c>
      <c r="C10351" t="s">
        <v>713</v>
      </c>
      <c r="D10351" t="s">
        <v>714</v>
      </c>
      <c r="E10351" t="s">
        <v>715</v>
      </c>
      <c r="F10351" t="s">
        <v>32650</v>
      </c>
      <c r="G10351" s="2" t="str">
        <f>HYPERLINK("https://probpalata.gov.ru/files/ЮЛ770101216600341.jpeg","Скачать индивидуальный QR-код магазина")</f>
        <v>Скачать индивидуальный QR-код магазина</v>
      </c>
    </row>
    <row r="10352" spans="1:7" x14ac:dyDescent="0.25">
      <c r="A10352" t="s">
        <v>31650</v>
      </c>
      <c r="B10352" t="s">
        <v>32651</v>
      </c>
      <c r="C10352" t="s">
        <v>713</v>
      </c>
      <c r="D10352" t="s">
        <v>714</v>
      </c>
      <c r="E10352" t="s">
        <v>715</v>
      </c>
      <c r="F10352" t="s">
        <v>32652</v>
      </c>
      <c r="G10352" s="2" t="str">
        <f>HYPERLINK("https://probpalata.gov.ru/files/ЮЛ770101216600477.jpeg","Скачать индивидуальный QR-код магазина")</f>
        <v>Скачать индивидуальный QR-код магазина</v>
      </c>
    </row>
    <row r="10353" spans="1:7" x14ac:dyDescent="0.25">
      <c r="A10353" t="s">
        <v>31650</v>
      </c>
      <c r="B10353" t="s">
        <v>32653</v>
      </c>
      <c r="C10353" t="s">
        <v>713</v>
      </c>
      <c r="D10353" t="s">
        <v>714</v>
      </c>
      <c r="E10353" t="s">
        <v>715</v>
      </c>
      <c r="F10353" t="s">
        <v>32654</v>
      </c>
      <c r="G10353" s="2" t="str">
        <f>HYPERLINK("https://probpalata.gov.ru/files/ЮЛ770101216600487.jpeg","Скачать индивидуальный QR-код магазина")</f>
        <v>Скачать индивидуальный QR-код магазина</v>
      </c>
    </row>
    <row r="10354" spans="1:7" x14ac:dyDescent="0.25">
      <c r="A10354" t="s">
        <v>31650</v>
      </c>
      <c r="B10354" t="s">
        <v>32655</v>
      </c>
      <c r="C10354" t="s">
        <v>713</v>
      </c>
      <c r="D10354" t="s">
        <v>714</v>
      </c>
      <c r="E10354" t="s">
        <v>715</v>
      </c>
      <c r="F10354" t="s">
        <v>32656</v>
      </c>
      <c r="G10354" s="2" t="str">
        <f>HYPERLINK("https://probpalata.gov.ru/files/ЮЛ770101216600579.jpeg","Скачать индивидуальный QR-код магазина")</f>
        <v>Скачать индивидуальный QR-код магазина</v>
      </c>
    </row>
    <row r="10355" spans="1:7" x14ac:dyDescent="0.25">
      <c r="A10355" t="s">
        <v>31650</v>
      </c>
      <c r="B10355" t="s">
        <v>32657</v>
      </c>
      <c r="C10355" t="s">
        <v>713</v>
      </c>
      <c r="D10355" t="s">
        <v>714</v>
      </c>
      <c r="E10355" t="s">
        <v>715</v>
      </c>
      <c r="F10355" t="s">
        <v>32658</v>
      </c>
      <c r="G10355" s="2" t="str">
        <f>HYPERLINK("https://probpalata.gov.ru/files/ЮЛ770101216600670.jpeg","Скачать индивидуальный QR-код магазина")</f>
        <v>Скачать индивидуальный QR-код магазина</v>
      </c>
    </row>
    <row r="10356" spans="1:7" x14ac:dyDescent="0.25">
      <c r="A10356" t="s">
        <v>31650</v>
      </c>
      <c r="B10356" t="s">
        <v>32659</v>
      </c>
      <c r="C10356" t="s">
        <v>713</v>
      </c>
      <c r="D10356" t="s">
        <v>714</v>
      </c>
      <c r="E10356" t="s">
        <v>715</v>
      </c>
      <c r="F10356" t="s">
        <v>32660</v>
      </c>
      <c r="G10356" s="2" t="str">
        <f>HYPERLINK("https://probpalata.gov.ru/files/ЮЛ770101216600696.jpeg","Скачать индивидуальный QR-код магазина")</f>
        <v>Скачать индивидуальный QR-код магазина</v>
      </c>
    </row>
    <row r="10357" spans="1:7" x14ac:dyDescent="0.25">
      <c r="A10357" t="s">
        <v>31650</v>
      </c>
      <c r="B10357" t="s">
        <v>32661</v>
      </c>
      <c r="C10357" t="s">
        <v>713</v>
      </c>
      <c r="D10357" t="s">
        <v>714</v>
      </c>
      <c r="E10357" t="s">
        <v>715</v>
      </c>
      <c r="F10357" t="s">
        <v>32662</v>
      </c>
      <c r="G10357" s="2" t="str">
        <f>HYPERLINK("https://probpalata.gov.ru/files/ЮЛ770101216600724.jpeg","Скачать индивидуальный QR-код магазина")</f>
        <v>Скачать индивидуальный QR-код магазина</v>
      </c>
    </row>
    <row r="10358" spans="1:7" x14ac:dyDescent="0.25">
      <c r="A10358" t="s">
        <v>31650</v>
      </c>
      <c r="B10358" t="s">
        <v>32663</v>
      </c>
      <c r="C10358" t="s">
        <v>713</v>
      </c>
      <c r="D10358" t="s">
        <v>714</v>
      </c>
      <c r="E10358" t="s">
        <v>715</v>
      </c>
      <c r="F10358" t="s">
        <v>32664</v>
      </c>
      <c r="G10358" s="2" t="str">
        <f>HYPERLINK("https://probpalata.gov.ru/files/ЮЛ770101216600743.jpeg","Скачать индивидуальный QR-код магазина")</f>
        <v>Скачать индивидуальный QR-код магазина</v>
      </c>
    </row>
    <row r="10359" spans="1:7" x14ac:dyDescent="0.25">
      <c r="A10359" t="s">
        <v>31650</v>
      </c>
      <c r="B10359" t="s">
        <v>32665</v>
      </c>
      <c r="C10359" t="s">
        <v>713</v>
      </c>
      <c r="D10359" t="s">
        <v>714</v>
      </c>
      <c r="E10359" t="s">
        <v>715</v>
      </c>
      <c r="F10359" t="s">
        <v>32666</v>
      </c>
      <c r="G10359" s="2" t="str">
        <f>HYPERLINK("https://probpalata.gov.ru/files/ЮЛ770101216600747.jpeg","Скачать индивидуальный QR-код магазина")</f>
        <v>Скачать индивидуальный QR-код магазина</v>
      </c>
    </row>
    <row r="10360" spans="1:7" x14ac:dyDescent="0.25">
      <c r="A10360" t="s">
        <v>31650</v>
      </c>
      <c r="B10360" t="s">
        <v>32667</v>
      </c>
      <c r="C10360" t="s">
        <v>713</v>
      </c>
      <c r="D10360" t="s">
        <v>714</v>
      </c>
      <c r="E10360" t="s">
        <v>715</v>
      </c>
      <c r="F10360" t="s">
        <v>32668</v>
      </c>
      <c r="G10360" s="2" t="str">
        <f>HYPERLINK("https://probpalata.gov.ru/files/ЮЛ770101216600773.jpeg","Скачать индивидуальный QR-код магазина")</f>
        <v>Скачать индивидуальный QR-код магазина</v>
      </c>
    </row>
    <row r="10361" spans="1:7" x14ac:dyDescent="0.25">
      <c r="A10361" t="s">
        <v>31650</v>
      </c>
      <c r="B10361" t="s">
        <v>32669</v>
      </c>
      <c r="C10361" t="s">
        <v>713</v>
      </c>
      <c r="D10361" t="s">
        <v>714</v>
      </c>
      <c r="E10361" t="s">
        <v>715</v>
      </c>
      <c r="F10361" t="s">
        <v>32670</v>
      </c>
      <c r="G10361" s="2" t="str">
        <f>HYPERLINK("https://probpalata.gov.ru/files/ЮЛ770101216600778.jpeg","Скачать индивидуальный QR-код магазина")</f>
        <v>Скачать индивидуальный QR-код магазина</v>
      </c>
    </row>
    <row r="10362" spans="1:7" x14ac:dyDescent="0.25">
      <c r="A10362" t="s">
        <v>31650</v>
      </c>
      <c r="B10362" t="s">
        <v>32671</v>
      </c>
      <c r="C10362" t="s">
        <v>713</v>
      </c>
      <c r="D10362" t="s">
        <v>714</v>
      </c>
      <c r="E10362" t="s">
        <v>715</v>
      </c>
      <c r="F10362" t="s">
        <v>32672</v>
      </c>
      <c r="G10362" s="2" t="str">
        <f>HYPERLINK("https://probpalata.gov.ru/files/ЮЛ770101216600788.jpeg","Скачать индивидуальный QR-код магазина")</f>
        <v>Скачать индивидуальный QR-код магазина</v>
      </c>
    </row>
    <row r="10363" spans="1:7" x14ac:dyDescent="0.25">
      <c r="A10363" t="s">
        <v>31650</v>
      </c>
      <c r="B10363" t="s">
        <v>32673</v>
      </c>
      <c r="C10363" t="s">
        <v>713</v>
      </c>
      <c r="D10363" t="s">
        <v>714</v>
      </c>
      <c r="E10363" t="s">
        <v>715</v>
      </c>
      <c r="F10363" t="s">
        <v>32674</v>
      </c>
      <c r="G10363" s="2" t="str">
        <f>HYPERLINK("https://probpalata.gov.ru/files/ЮЛ770101216600801.jpeg","Скачать индивидуальный QR-код магазина")</f>
        <v>Скачать индивидуальный QR-код магазина</v>
      </c>
    </row>
    <row r="10364" spans="1:7" x14ac:dyDescent="0.25">
      <c r="A10364" t="s">
        <v>31650</v>
      </c>
      <c r="B10364" t="s">
        <v>32675</v>
      </c>
      <c r="C10364" t="s">
        <v>713</v>
      </c>
      <c r="D10364" t="s">
        <v>714</v>
      </c>
      <c r="E10364" t="s">
        <v>715</v>
      </c>
      <c r="F10364" t="s">
        <v>32676</v>
      </c>
      <c r="G10364" s="2" t="str">
        <f>HYPERLINK("https://probpalata.gov.ru/files/ЮЛ770101216600921.jpeg","Скачать индивидуальный QR-код магазина")</f>
        <v>Скачать индивидуальный QR-код магазина</v>
      </c>
    </row>
    <row r="10365" spans="1:7" x14ac:dyDescent="0.25">
      <c r="A10365" t="s">
        <v>31650</v>
      </c>
      <c r="B10365" t="s">
        <v>32677</v>
      </c>
      <c r="C10365" t="s">
        <v>713</v>
      </c>
      <c r="D10365" t="s">
        <v>714</v>
      </c>
      <c r="E10365" t="s">
        <v>715</v>
      </c>
      <c r="F10365" t="s">
        <v>32678</v>
      </c>
      <c r="G10365" s="2" t="str">
        <f>HYPERLINK("https://probpalata.gov.ru/files/ЮЛ770101216600925.jpeg","Скачать индивидуальный QR-код магазина")</f>
        <v>Скачать индивидуальный QR-код магазина</v>
      </c>
    </row>
    <row r="10366" spans="1:7" x14ac:dyDescent="0.25">
      <c r="A10366" t="s">
        <v>31650</v>
      </c>
      <c r="B10366" t="s">
        <v>32679</v>
      </c>
      <c r="C10366" t="s">
        <v>713</v>
      </c>
      <c r="D10366" t="s">
        <v>714</v>
      </c>
      <c r="E10366" t="s">
        <v>715</v>
      </c>
      <c r="F10366" t="s">
        <v>32680</v>
      </c>
      <c r="G10366" s="2" t="str">
        <f>HYPERLINK("https://probpalata.gov.ru/files/ЮЛ770101216600979.jpeg","Скачать индивидуальный QR-код магазина")</f>
        <v>Скачать индивидуальный QR-код магазина</v>
      </c>
    </row>
    <row r="10367" spans="1:7" x14ac:dyDescent="0.25">
      <c r="A10367" t="s">
        <v>31650</v>
      </c>
      <c r="B10367" t="s">
        <v>32681</v>
      </c>
      <c r="C10367" t="s">
        <v>7727</v>
      </c>
      <c r="D10367" t="s">
        <v>7728</v>
      </c>
      <c r="E10367" t="s">
        <v>7729</v>
      </c>
      <c r="F10367" t="s">
        <v>32682</v>
      </c>
      <c r="G10367" s="2" t="str">
        <f>HYPERLINK("https://probpalata.gov.ru/files/ЮЛ770100167700008.jpeg","Скачать индивидуальный QR-код магазина")</f>
        <v>Скачать индивидуальный QR-код магазина</v>
      </c>
    </row>
    <row r="10368" spans="1:7" x14ac:dyDescent="0.25">
      <c r="A10368" t="s">
        <v>31650</v>
      </c>
      <c r="B10368" t="s">
        <v>31726</v>
      </c>
      <c r="C10368" t="s">
        <v>1416</v>
      </c>
      <c r="D10368" t="s">
        <v>1417</v>
      </c>
      <c r="E10368" t="s">
        <v>1418</v>
      </c>
      <c r="F10368" t="s">
        <v>32683</v>
      </c>
      <c r="G10368" s="2" t="str">
        <f>HYPERLINK("https://probpalata.gov.ru/files/ЮЛ770100419400107.jpeg","Скачать индивидуальный QR-код магазина")</f>
        <v>Скачать индивидуальный QR-код магазина</v>
      </c>
    </row>
    <row r="10369" spans="1:7" x14ac:dyDescent="0.25">
      <c r="A10369" t="s">
        <v>31650</v>
      </c>
      <c r="B10369" t="s">
        <v>31890</v>
      </c>
      <c r="C10369" t="s">
        <v>1416</v>
      </c>
      <c r="D10369" t="s">
        <v>1417</v>
      </c>
      <c r="E10369" t="s">
        <v>1418</v>
      </c>
      <c r="F10369" t="s">
        <v>32684</v>
      </c>
      <c r="G10369" s="2" t="str">
        <f>HYPERLINK("https://probpalata.gov.ru/files/ЮЛ770100419400111.jpeg","Скачать индивидуальный QR-код магазина")</f>
        <v>Скачать индивидуальный QR-код магазина</v>
      </c>
    </row>
    <row r="10370" spans="1:7" x14ac:dyDescent="0.25">
      <c r="A10370" t="s">
        <v>31650</v>
      </c>
      <c r="B10370" t="s">
        <v>32685</v>
      </c>
      <c r="C10370" t="s">
        <v>1416</v>
      </c>
      <c r="D10370" t="s">
        <v>1417</v>
      </c>
      <c r="E10370" t="s">
        <v>1418</v>
      </c>
      <c r="F10370" t="s">
        <v>32686</v>
      </c>
      <c r="G10370" s="2" t="str">
        <f>HYPERLINK("https://probpalata.gov.ru/files/ЮЛ770100419400200.jpeg","Скачать индивидуальный QR-код магазина")</f>
        <v>Скачать индивидуальный QR-код магазина</v>
      </c>
    </row>
    <row r="10371" spans="1:7" x14ac:dyDescent="0.25">
      <c r="A10371" t="s">
        <v>31650</v>
      </c>
      <c r="B10371" t="s">
        <v>32128</v>
      </c>
      <c r="C10371" t="s">
        <v>1416</v>
      </c>
      <c r="D10371" t="s">
        <v>1417</v>
      </c>
      <c r="E10371" t="s">
        <v>1418</v>
      </c>
      <c r="F10371" t="s">
        <v>32687</v>
      </c>
      <c r="G10371" s="2" t="str">
        <f>HYPERLINK("https://probpalata.gov.ru/files/ЮЛ770100419400201.jpeg","Скачать индивидуальный QR-код магазина")</f>
        <v>Скачать индивидуальный QR-код магазина</v>
      </c>
    </row>
    <row r="10372" spans="1:7" x14ac:dyDescent="0.25">
      <c r="A10372" t="s">
        <v>31650</v>
      </c>
      <c r="B10372" t="s">
        <v>31696</v>
      </c>
      <c r="C10372" t="s">
        <v>1416</v>
      </c>
      <c r="D10372" t="s">
        <v>1417</v>
      </c>
      <c r="E10372" t="s">
        <v>1418</v>
      </c>
      <c r="F10372" t="s">
        <v>32688</v>
      </c>
      <c r="G10372" s="2" t="str">
        <f>HYPERLINK("https://probpalata.gov.ru/files/ЮЛ770100419400202.jpeg","Скачать индивидуальный QR-код магазина")</f>
        <v>Скачать индивидуальный QR-код магазина</v>
      </c>
    </row>
    <row r="10373" spans="1:7" x14ac:dyDescent="0.25">
      <c r="A10373" t="s">
        <v>31650</v>
      </c>
      <c r="B10373" t="s">
        <v>32689</v>
      </c>
      <c r="C10373" t="s">
        <v>748</v>
      </c>
      <c r="D10373" t="s">
        <v>749</v>
      </c>
      <c r="E10373" t="s">
        <v>750</v>
      </c>
      <c r="F10373" t="s">
        <v>32690</v>
      </c>
      <c r="G10373" s="2" t="str">
        <f>HYPERLINK("https://probpalata.gov.ru/files/ЮЛ770100193500199.jpeg","Скачать индивидуальный QR-код магазина")</f>
        <v>Скачать индивидуальный QR-код магазина</v>
      </c>
    </row>
    <row r="10374" spans="1:7" x14ac:dyDescent="0.25">
      <c r="A10374" t="s">
        <v>31650</v>
      </c>
      <c r="B10374" t="s">
        <v>32691</v>
      </c>
      <c r="C10374" t="s">
        <v>748</v>
      </c>
      <c r="D10374" t="s">
        <v>749</v>
      </c>
      <c r="E10374" t="s">
        <v>750</v>
      </c>
      <c r="F10374" t="s">
        <v>32692</v>
      </c>
      <c r="G10374" s="2" t="str">
        <f>HYPERLINK("https://probpalata.gov.ru/files/ЮЛ770100193500200.jpeg","Скачать индивидуальный QR-код магазина")</f>
        <v>Скачать индивидуальный QR-код магазина</v>
      </c>
    </row>
    <row r="10375" spans="1:7" x14ac:dyDescent="0.25">
      <c r="A10375" t="s">
        <v>31650</v>
      </c>
      <c r="B10375" t="s">
        <v>32693</v>
      </c>
      <c r="C10375" t="s">
        <v>748</v>
      </c>
      <c r="D10375" t="s">
        <v>749</v>
      </c>
      <c r="E10375" t="s">
        <v>750</v>
      </c>
      <c r="F10375" t="s">
        <v>32694</v>
      </c>
      <c r="G10375" s="2" t="str">
        <f>HYPERLINK("https://probpalata.gov.ru/files/ЮЛ770100193500201.jpeg","Скачать индивидуальный QR-код магазина")</f>
        <v>Скачать индивидуальный QR-код магазина</v>
      </c>
    </row>
    <row r="10376" spans="1:7" x14ac:dyDescent="0.25">
      <c r="A10376" t="s">
        <v>31650</v>
      </c>
      <c r="B10376" t="s">
        <v>32695</v>
      </c>
      <c r="C10376" t="s">
        <v>748</v>
      </c>
      <c r="D10376" t="s">
        <v>749</v>
      </c>
      <c r="E10376" t="s">
        <v>750</v>
      </c>
      <c r="F10376" t="s">
        <v>32696</v>
      </c>
      <c r="G10376" s="2" t="str">
        <f>HYPERLINK("https://probpalata.gov.ru/files/ЮЛ770100193500203.jpeg","Скачать индивидуальный QR-код магазина")</f>
        <v>Скачать индивидуальный QR-код магазина</v>
      </c>
    </row>
    <row r="10377" spans="1:7" x14ac:dyDescent="0.25">
      <c r="A10377" t="s">
        <v>31650</v>
      </c>
      <c r="B10377" t="s">
        <v>32697</v>
      </c>
      <c r="C10377" t="s">
        <v>748</v>
      </c>
      <c r="D10377" t="s">
        <v>749</v>
      </c>
      <c r="E10377" t="s">
        <v>750</v>
      </c>
      <c r="F10377" t="s">
        <v>32698</v>
      </c>
      <c r="G10377" s="2" t="str">
        <f>HYPERLINK("https://probpalata.gov.ru/files/ЮЛ770100193500204.jpeg","Скачать индивидуальный QR-код магазина")</f>
        <v>Скачать индивидуальный QR-код магазина</v>
      </c>
    </row>
    <row r="10378" spans="1:7" x14ac:dyDescent="0.25">
      <c r="A10378" t="s">
        <v>31650</v>
      </c>
      <c r="B10378" t="s">
        <v>32699</v>
      </c>
      <c r="C10378" t="s">
        <v>748</v>
      </c>
      <c r="D10378" t="s">
        <v>749</v>
      </c>
      <c r="E10378" t="s">
        <v>750</v>
      </c>
      <c r="F10378" t="s">
        <v>32700</v>
      </c>
      <c r="G10378" s="2" t="str">
        <f>HYPERLINK("https://probpalata.gov.ru/files/ЮЛ770100193500586.jpeg","Скачать индивидуальный QR-код магазина")</f>
        <v>Скачать индивидуальный QR-код магазина</v>
      </c>
    </row>
    <row r="10379" spans="1:7" x14ac:dyDescent="0.25">
      <c r="A10379" t="s">
        <v>31650</v>
      </c>
      <c r="B10379" t="s">
        <v>32701</v>
      </c>
      <c r="C10379" t="s">
        <v>748</v>
      </c>
      <c r="D10379" t="s">
        <v>749</v>
      </c>
      <c r="E10379" t="s">
        <v>750</v>
      </c>
      <c r="F10379" t="s">
        <v>32702</v>
      </c>
      <c r="G10379" s="2" t="str">
        <f>HYPERLINK("https://probpalata.gov.ru/files/ЮЛ770100193500598.jpeg","Скачать индивидуальный QR-код магазина")</f>
        <v>Скачать индивидуальный QR-код магазина</v>
      </c>
    </row>
    <row r="10380" spans="1:7" x14ac:dyDescent="0.25">
      <c r="A10380" t="s">
        <v>31650</v>
      </c>
      <c r="B10380" t="s">
        <v>32703</v>
      </c>
      <c r="C10380" t="s">
        <v>748</v>
      </c>
      <c r="D10380" t="s">
        <v>749</v>
      </c>
      <c r="E10380" t="s">
        <v>750</v>
      </c>
      <c r="F10380" t="s">
        <v>32704</v>
      </c>
      <c r="G10380" s="2" t="str">
        <f>HYPERLINK("https://probpalata.gov.ru/files/ЮЛ770100193500737.jpeg","Скачать индивидуальный QR-код магазина")</f>
        <v>Скачать индивидуальный QR-код магазина</v>
      </c>
    </row>
    <row r="10381" spans="1:7" x14ac:dyDescent="0.25">
      <c r="A10381" t="s">
        <v>31650</v>
      </c>
      <c r="B10381" t="s">
        <v>32705</v>
      </c>
      <c r="C10381" t="s">
        <v>748</v>
      </c>
      <c r="D10381" t="s">
        <v>749</v>
      </c>
      <c r="E10381" t="s">
        <v>750</v>
      </c>
      <c r="F10381" t="s">
        <v>32706</v>
      </c>
      <c r="G10381" s="2" t="str">
        <f>HYPERLINK("https://probpalata.gov.ru/files/ЮЛ770100193500796.jpeg","Скачать индивидуальный QR-код магазина")</f>
        <v>Скачать индивидуальный QR-код магазина</v>
      </c>
    </row>
    <row r="10382" spans="1:7" x14ac:dyDescent="0.25">
      <c r="A10382" t="s">
        <v>31650</v>
      </c>
      <c r="B10382" t="s">
        <v>32707</v>
      </c>
      <c r="C10382" t="s">
        <v>748</v>
      </c>
      <c r="D10382" t="s">
        <v>749</v>
      </c>
      <c r="E10382" t="s">
        <v>750</v>
      </c>
      <c r="F10382" t="s">
        <v>32708</v>
      </c>
      <c r="G10382" s="2" t="str">
        <f>HYPERLINK("https://probpalata.gov.ru/files/ЮЛ770100193500803.jpeg","Скачать индивидуальный QR-код магазина")</f>
        <v>Скачать индивидуальный QR-код магазина</v>
      </c>
    </row>
    <row r="10383" spans="1:7" x14ac:dyDescent="0.25">
      <c r="A10383" t="s">
        <v>31650</v>
      </c>
      <c r="B10383" t="s">
        <v>32709</v>
      </c>
      <c r="C10383" t="s">
        <v>748</v>
      </c>
      <c r="D10383" t="s">
        <v>749</v>
      </c>
      <c r="E10383" t="s">
        <v>750</v>
      </c>
      <c r="F10383" t="s">
        <v>32710</v>
      </c>
      <c r="G10383" s="2" t="str">
        <f>HYPERLINK("https://probpalata.gov.ru/files/ЮЛ770100193500822.jpeg","Скачать индивидуальный QR-код магазина")</f>
        <v>Скачать индивидуальный QR-код магазина</v>
      </c>
    </row>
    <row r="10384" spans="1:7" x14ac:dyDescent="0.25">
      <c r="A10384" t="s">
        <v>31650</v>
      </c>
      <c r="B10384" t="s">
        <v>32711</v>
      </c>
      <c r="C10384" t="s">
        <v>748</v>
      </c>
      <c r="D10384" t="s">
        <v>749</v>
      </c>
      <c r="E10384" t="s">
        <v>750</v>
      </c>
      <c r="F10384" t="s">
        <v>32712</v>
      </c>
      <c r="G10384" s="2" t="str">
        <f>HYPERLINK("https://probpalata.gov.ru/files/ЮЛ770100193500877.jpeg","Скачать индивидуальный QR-код магазина")</f>
        <v>Скачать индивидуальный QR-код магазина</v>
      </c>
    </row>
    <row r="10385" spans="1:7" x14ac:dyDescent="0.25">
      <c r="A10385" t="s">
        <v>31650</v>
      </c>
      <c r="B10385" t="s">
        <v>32713</v>
      </c>
      <c r="C10385" t="s">
        <v>748</v>
      </c>
      <c r="D10385" t="s">
        <v>749</v>
      </c>
      <c r="E10385" t="s">
        <v>750</v>
      </c>
      <c r="F10385" t="s">
        <v>32714</v>
      </c>
      <c r="G10385" s="2" t="str">
        <f>HYPERLINK("https://probpalata.gov.ru/files/ЮЛ770100193501002.jpeg","Скачать индивидуальный QR-код магазина")</f>
        <v>Скачать индивидуальный QR-код магазина</v>
      </c>
    </row>
    <row r="10386" spans="1:7" x14ac:dyDescent="0.25">
      <c r="A10386" t="s">
        <v>31650</v>
      </c>
      <c r="B10386" t="s">
        <v>32645</v>
      </c>
      <c r="C10386" t="s">
        <v>748</v>
      </c>
      <c r="D10386" t="s">
        <v>749</v>
      </c>
      <c r="E10386" t="s">
        <v>750</v>
      </c>
      <c r="F10386" t="s">
        <v>32715</v>
      </c>
      <c r="G10386" s="2" t="str">
        <f>HYPERLINK("https://probpalata.gov.ru/files/ЮЛ770100193501050.jpeg","Скачать индивидуальный QR-код магазина")</f>
        <v>Скачать индивидуальный QR-код магазина</v>
      </c>
    </row>
    <row r="10387" spans="1:7" x14ac:dyDescent="0.25">
      <c r="A10387" t="s">
        <v>31650</v>
      </c>
      <c r="B10387" t="s">
        <v>32716</v>
      </c>
      <c r="C10387" t="s">
        <v>748</v>
      </c>
      <c r="D10387" t="s">
        <v>749</v>
      </c>
      <c r="E10387" t="s">
        <v>750</v>
      </c>
      <c r="F10387" t="s">
        <v>32717</v>
      </c>
      <c r="G10387" s="2" t="str">
        <f>HYPERLINK("https://probpalata.gov.ru/files/ЮЛ770100193501106.jpeg","Скачать индивидуальный QR-код магазина")</f>
        <v>Скачать индивидуальный QR-код магазина</v>
      </c>
    </row>
    <row r="10388" spans="1:7" x14ac:dyDescent="0.25">
      <c r="A10388" t="s">
        <v>31650</v>
      </c>
      <c r="B10388" t="s">
        <v>32718</v>
      </c>
      <c r="C10388" t="s">
        <v>748</v>
      </c>
      <c r="D10388" t="s">
        <v>749</v>
      </c>
      <c r="E10388" t="s">
        <v>750</v>
      </c>
      <c r="F10388" t="s">
        <v>32719</v>
      </c>
      <c r="G10388" s="2" t="str">
        <f>HYPERLINK("https://probpalata.gov.ru/files/ЮЛ770100193501145.jpeg","Скачать индивидуальный QR-код магазина")</f>
        <v>Скачать индивидуальный QR-код магазина</v>
      </c>
    </row>
    <row r="10389" spans="1:7" x14ac:dyDescent="0.25">
      <c r="A10389" t="s">
        <v>31650</v>
      </c>
      <c r="B10389" t="s">
        <v>32720</v>
      </c>
      <c r="C10389" t="s">
        <v>15265</v>
      </c>
      <c r="D10389" t="s">
        <v>15266</v>
      </c>
      <c r="E10389" t="s">
        <v>15267</v>
      </c>
      <c r="F10389" t="s">
        <v>32721</v>
      </c>
      <c r="G10389" s="2" t="str">
        <f>HYPERLINK("https://probpalata.gov.ru/files/ЮЛ160600373100014.jpeg","Скачать индивидуальный QR-код магазина")</f>
        <v>Скачать индивидуальный QR-код магазина</v>
      </c>
    </row>
    <row r="10390" spans="1:7" x14ac:dyDescent="0.25">
      <c r="A10390" t="s">
        <v>31650</v>
      </c>
      <c r="B10390" t="s">
        <v>32722</v>
      </c>
      <c r="C10390" t="s">
        <v>16834</v>
      </c>
      <c r="D10390" t="s">
        <v>16835</v>
      </c>
      <c r="E10390" t="s">
        <v>16836</v>
      </c>
      <c r="F10390" t="s">
        <v>32723</v>
      </c>
      <c r="G10390" s="2" t="str">
        <f>HYPERLINK("https://probpalata.gov.ru/files/ИП780300136300007.jpeg","Скачать индивидуальный QR-код магазина")</f>
        <v>Скачать индивидуальный QR-код магазина</v>
      </c>
    </row>
    <row r="10391" spans="1:7" x14ac:dyDescent="0.25">
      <c r="A10391" t="s">
        <v>31650</v>
      </c>
      <c r="B10391" t="s">
        <v>32724</v>
      </c>
      <c r="C10391" t="s">
        <v>16834</v>
      </c>
      <c r="D10391" t="s">
        <v>16835</v>
      </c>
      <c r="E10391" t="s">
        <v>16836</v>
      </c>
      <c r="F10391" t="s">
        <v>32725</v>
      </c>
      <c r="G10391" s="2" t="str">
        <f>HYPERLINK("https://probpalata.gov.ru/files/ИП780300136300013.jpeg","Скачать индивидуальный QR-код магазина")</f>
        <v>Скачать индивидуальный QR-код магазина</v>
      </c>
    </row>
    <row r="10392" spans="1:7" x14ac:dyDescent="0.25">
      <c r="A10392" t="s">
        <v>31650</v>
      </c>
      <c r="B10392" t="s">
        <v>32726</v>
      </c>
      <c r="C10392" t="s">
        <v>773</v>
      </c>
      <c r="D10392" t="s">
        <v>774</v>
      </c>
      <c r="E10392" t="s">
        <v>775</v>
      </c>
      <c r="F10392" t="s">
        <v>32727</v>
      </c>
      <c r="G10392" s="2" t="str">
        <f>HYPERLINK("https://probpalata.gov.ru/files/ЮЛ780300131300315.jpeg","Скачать индивидуальный QR-код магазина")</f>
        <v>Скачать индивидуальный QR-код магазина</v>
      </c>
    </row>
    <row r="10393" spans="1:7" x14ac:dyDescent="0.25">
      <c r="A10393" t="s">
        <v>31650</v>
      </c>
      <c r="B10393" t="s">
        <v>32728</v>
      </c>
      <c r="C10393" t="s">
        <v>773</v>
      </c>
      <c r="D10393" t="s">
        <v>774</v>
      </c>
      <c r="E10393" t="s">
        <v>775</v>
      </c>
      <c r="F10393" t="s">
        <v>32729</v>
      </c>
      <c r="G10393" s="2" t="str">
        <f>HYPERLINK("https://probpalata.gov.ru/files/ЮЛ780300131300316.jpeg","Скачать индивидуальный QR-код магазина")</f>
        <v>Скачать индивидуальный QR-код магазина</v>
      </c>
    </row>
    <row r="10394" spans="1:7" x14ac:dyDescent="0.25">
      <c r="A10394" t="s">
        <v>31650</v>
      </c>
      <c r="B10394" t="s">
        <v>32730</v>
      </c>
      <c r="C10394" t="s">
        <v>773</v>
      </c>
      <c r="D10394" t="s">
        <v>774</v>
      </c>
      <c r="E10394" t="s">
        <v>775</v>
      </c>
      <c r="F10394" t="s">
        <v>32731</v>
      </c>
      <c r="G10394" s="2" t="str">
        <f>HYPERLINK("https://probpalata.gov.ru/files/ЮЛ780300131300317.jpeg","Скачать индивидуальный QR-код магазина")</f>
        <v>Скачать индивидуальный QR-код магазина</v>
      </c>
    </row>
    <row r="10395" spans="1:7" x14ac:dyDescent="0.25">
      <c r="A10395" t="s">
        <v>31650</v>
      </c>
      <c r="B10395" t="s">
        <v>32732</v>
      </c>
      <c r="C10395" t="s">
        <v>773</v>
      </c>
      <c r="D10395" t="s">
        <v>774</v>
      </c>
      <c r="E10395" t="s">
        <v>775</v>
      </c>
      <c r="F10395" t="s">
        <v>32733</v>
      </c>
      <c r="G10395" s="2" t="str">
        <f>HYPERLINK("https://probpalata.gov.ru/files/ЮЛ780300131300318.jpeg","Скачать индивидуальный QR-код магазина")</f>
        <v>Скачать индивидуальный QR-код магазина</v>
      </c>
    </row>
    <row r="10396" spans="1:7" x14ac:dyDescent="0.25">
      <c r="A10396" t="s">
        <v>31650</v>
      </c>
      <c r="B10396" t="s">
        <v>32734</v>
      </c>
      <c r="C10396" t="s">
        <v>773</v>
      </c>
      <c r="D10396" t="s">
        <v>774</v>
      </c>
      <c r="E10396" t="s">
        <v>775</v>
      </c>
      <c r="F10396" t="s">
        <v>32735</v>
      </c>
      <c r="G10396" s="2" t="str">
        <f>HYPERLINK("https://probpalata.gov.ru/files/ЮЛ780300131300321.jpeg","Скачать индивидуальный QR-код магазина")</f>
        <v>Скачать индивидуальный QR-код магазина</v>
      </c>
    </row>
    <row r="10397" spans="1:7" x14ac:dyDescent="0.25">
      <c r="A10397" t="s">
        <v>31650</v>
      </c>
      <c r="B10397" t="s">
        <v>32736</v>
      </c>
      <c r="C10397" t="s">
        <v>773</v>
      </c>
      <c r="D10397" t="s">
        <v>774</v>
      </c>
      <c r="E10397" t="s">
        <v>775</v>
      </c>
      <c r="F10397" t="s">
        <v>32737</v>
      </c>
      <c r="G10397" s="2" t="str">
        <f>HYPERLINK("https://probpalata.gov.ru/files/ЮЛ780300131300391.jpeg","Скачать индивидуальный QR-код магазина")</f>
        <v>Скачать индивидуальный QR-код магазина</v>
      </c>
    </row>
    <row r="10398" spans="1:7" x14ac:dyDescent="0.25">
      <c r="A10398" t="s">
        <v>31650</v>
      </c>
      <c r="B10398" t="s">
        <v>32738</v>
      </c>
      <c r="C10398" t="s">
        <v>773</v>
      </c>
      <c r="D10398" t="s">
        <v>774</v>
      </c>
      <c r="E10398" t="s">
        <v>775</v>
      </c>
      <c r="F10398" t="s">
        <v>32739</v>
      </c>
      <c r="G10398" s="2" t="str">
        <f>HYPERLINK("https://probpalata.gov.ru/files/ЮЛ780300131300452.jpeg","Скачать индивидуальный QR-код магазина")</f>
        <v>Скачать индивидуальный QR-код магазина</v>
      </c>
    </row>
    <row r="10399" spans="1:7" x14ac:dyDescent="0.25">
      <c r="A10399" t="s">
        <v>31650</v>
      </c>
      <c r="B10399" t="s">
        <v>32740</v>
      </c>
      <c r="C10399" t="s">
        <v>773</v>
      </c>
      <c r="D10399" t="s">
        <v>774</v>
      </c>
      <c r="E10399" t="s">
        <v>775</v>
      </c>
      <c r="F10399" t="s">
        <v>32741</v>
      </c>
      <c r="G10399" s="2" t="str">
        <f>HYPERLINK("https://probpalata.gov.ru/files/ЮЛ780300131300463.jpeg","Скачать индивидуальный QR-код магазина")</f>
        <v>Скачать индивидуальный QR-код магазина</v>
      </c>
    </row>
    <row r="10400" spans="1:7" x14ac:dyDescent="0.25">
      <c r="A10400" t="s">
        <v>31650</v>
      </c>
      <c r="B10400" t="s">
        <v>32742</v>
      </c>
      <c r="C10400" t="s">
        <v>773</v>
      </c>
      <c r="D10400" t="s">
        <v>774</v>
      </c>
      <c r="E10400" t="s">
        <v>775</v>
      </c>
      <c r="F10400" t="s">
        <v>32743</v>
      </c>
      <c r="G10400" s="2" t="str">
        <f>HYPERLINK("https://probpalata.gov.ru/files/ЮЛ780300131300472.jpeg","Скачать индивидуальный QR-код магазина")</f>
        <v>Скачать индивидуальный QR-код магазина</v>
      </c>
    </row>
    <row r="10401" spans="1:7" x14ac:dyDescent="0.25">
      <c r="A10401" t="s">
        <v>31650</v>
      </c>
      <c r="B10401" t="s">
        <v>32744</v>
      </c>
      <c r="C10401" t="s">
        <v>787</v>
      </c>
      <c r="D10401" t="s">
        <v>788</v>
      </c>
      <c r="E10401" t="s">
        <v>789</v>
      </c>
      <c r="F10401" t="s">
        <v>32745</v>
      </c>
      <c r="G10401" s="2" t="str">
        <f>HYPERLINK("https://probpalata.gov.ru/files/ЮЛ780300328000047.jpeg","Скачать индивидуальный QR-код магазина")</f>
        <v>Скачать индивидуальный QR-код магазина</v>
      </c>
    </row>
    <row r="10402" spans="1:7" x14ac:dyDescent="0.25">
      <c r="A10402" t="s">
        <v>31650</v>
      </c>
      <c r="B10402" t="s">
        <v>32746</v>
      </c>
      <c r="C10402" t="s">
        <v>787</v>
      </c>
      <c r="D10402" t="s">
        <v>788</v>
      </c>
      <c r="E10402" t="s">
        <v>789</v>
      </c>
      <c r="F10402" t="s">
        <v>32747</v>
      </c>
      <c r="G10402" s="2" t="str">
        <f>HYPERLINK("https://probpalata.gov.ru/files/ЮЛ780300328000239.jpeg","Скачать индивидуальный QR-код магазина")</f>
        <v>Скачать индивидуальный QR-код магазина</v>
      </c>
    </row>
    <row r="10403" spans="1:7" x14ac:dyDescent="0.25">
      <c r="A10403" t="s">
        <v>31650</v>
      </c>
      <c r="B10403" t="s">
        <v>32748</v>
      </c>
      <c r="C10403" t="s">
        <v>32749</v>
      </c>
      <c r="D10403" t="s">
        <v>32750</v>
      </c>
      <c r="E10403" t="s">
        <v>32751</v>
      </c>
      <c r="F10403" t="s">
        <v>32752</v>
      </c>
      <c r="G10403" s="2" t="str">
        <f>HYPERLINK("https://probpalata.gov.ru/files/ЮЛ780301246700004.jpeg","Скачать индивидуальный QR-код магазина")</f>
        <v>Скачать индивидуальный QR-код магазина</v>
      </c>
    </row>
    <row r="10404" spans="1:7" x14ac:dyDescent="0.25">
      <c r="A10404" t="s">
        <v>31650</v>
      </c>
      <c r="B10404" t="s">
        <v>32753</v>
      </c>
      <c r="C10404" t="s">
        <v>791</v>
      </c>
      <c r="D10404" t="s">
        <v>792</v>
      </c>
      <c r="E10404" t="s">
        <v>793</v>
      </c>
      <c r="F10404" t="s">
        <v>32754</v>
      </c>
      <c r="G10404" s="2" t="str">
        <f>HYPERLINK("https://probpalata.gov.ru/files/ЮЛ780300323500020.jpeg","Скачать индивидуальный QR-код магазина")</f>
        <v>Скачать индивидуальный QR-код магазина</v>
      </c>
    </row>
    <row r="10405" spans="1:7" x14ac:dyDescent="0.25">
      <c r="A10405" t="s">
        <v>31650</v>
      </c>
      <c r="B10405" t="s">
        <v>32755</v>
      </c>
      <c r="C10405" t="s">
        <v>32756</v>
      </c>
      <c r="D10405" t="s">
        <v>32757</v>
      </c>
      <c r="E10405" t="s">
        <v>32758</v>
      </c>
      <c r="F10405" t="s">
        <v>32759</v>
      </c>
      <c r="G10405" s="2" t="str">
        <f>HYPERLINK("https://probpalata.gov.ru/files/ИП540801875000000.jpeg","Скачать индивидуальный QR-код магазина")</f>
        <v>Скачать индивидуальный QR-код магазина</v>
      </c>
    </row>
    <row r="10406" spans="1:7" x14ac:dyDescent="0.25">
      <c r="A10406" t="s">
        <v>31650</v>
      </c>
      <c r="B10406" t="s">
        <v>32760</v>
      </c>
      <c r="C10406" t="s">
        <v>798</v>
      </c>
      <c r="D10406" t="s">
        <v>799</v>
      </c>
      <c r="E10406" t="s">
        <v>800</v>
      </c>
      <c r="F10406" t="s">
        <v>32761</v>
      </c>
      <c r="G10406" s="2" t="str">
        <f>HYPERLINK("https://probpalata.gov.ru/files/ЮЛ780300308200036.jpeg","Скачать индивидуальный QR-код магазина")</f>
        <v>Скачать индивидуальный QR-код магазина</v>
      </c>
    </row>
    <row r="10407" spans="1:7" x14ac:dyDescent="0.25">
      <c r="A10407" t="s">
        <v>31650</v>
      </c>
      <c r="B10407" t="s">
        <v>32064</v>
      </c>
      <c r="C10407" t="s">
        <v>798</v>
      </c>
      <c r="D10407" t="s">
        <v>799</v>
      </c>
      <c r="E10407" t="s">
        <v>800</v>
      </c>
      <c r="F10407" t="s">
        <v>32762</v>
      </c>
      <c r="G10407" s="2" t="str">
        <f>HYPERLINK("https://probpalata.gov.ru/files/ЮЛ780300308200050.jpeg","Скачать индивидуальный QR-код магазина")</f>
        <v>Скачать индивидуальный QR-код магазина</v>
      </c>
    </row>
    <row r="10408" spans="1:7" x14ac:dyDescent="0.25">
      <c r="A10408" t="s">
        <v>31650</v>
      </c>
      <c r="B10408" t="s">
        <v>32763</v>
      </c>
      <c r="C10408" t="s">
        <v>798</v>
      </c>
      <c r="D10408" t="s">
        <v>799</v>
      </c>
      <c r="E10408" t="s">
        <v>800</v>
      </c>
      <c r="F10408" t="s">
        <v>32764</v>
      </c>
      <c r="G10408" s="2" t="str">
        <f>HYPERLINK("https://probpalata.gov.ru/files/ЮЛ780300308200062.jpeg","Скачать индивидуальный QR-код магазина")</f>
        <v>Скачать индивидуальный QR-код магазина</v>
      </c>
    </row>
    <row r="10409" spans="1:7" x14ac:dyDescent="0.25">
      <c r="A10409" t="s">
        <v>31650</v>
      </c>
      <c r="B10409" t="s">
        <v>32765</v>
      </c>
      <c r="C10409" t="s">
        <v>798</v>
      </c>
      <c r="D10409" t="s">
        <v>799</v>
      </c>
      <c r="E10409" t="s">
        <v>800</v>
      </c>
      <c r="F10409" t="s">
        <v>32766</v>
      </c>
      <c r="G10409" s="2" t="str">
        <f>HYPERLINK("https://probpalata.gov.ru/files/ЮЛ780300308200072.jpeg","Скачать индивидуальный QR-код магазина")</f>
        <v>Скачать индивидуальный QR-код магазина</v>
      </c>
    </row>
    <row r="10410" spans="1:7" x14ac:dyDescent="0.25">
      <c r="A10410" t="s">
        <v>31650</v>
      </c>
      <c r="B10410" t="s">
        <v>32767</v>
      </c>
      <c r="C10410" t="s">
        <v>798</v>
      </c>
      <c r="D10410" t="s">
        <v>799</v>
      </c>
      <c r="E10410" t="s">
        <v>800</v>
      </c>
      <c r="F10410" t="s">
        <v>32768</v>
      </c>
      <c r="G10410" s="2" t="str">
        <f>HYPERLINK("https://probpalata.gov.ru/files/ЮЛ780300308200073.jpeg","Скачать индивидуальный QR-код магазина")</f>
        <v>Скачать индивидуальный QR-код магазина</v>
      </c>
    </row>
    <row r="10411" spans="1:7" x14ac:dyDescent="0.25">
      <c r="A10411" t="s">
        <v>31650</v>
      </c>
      <c r="B10411" t="s">
        <v>32769</v>
      </c>
      <c r="C10411" t="s">
        <v>798</v>
      </c>
      <c r="D10411" t="s">
        <v>799</v>
      </c>
      <c r="E10411" t="s">
        <v>800</v>
      </c>
      <c r="F10411" t="s">
        <v>32770</v>
      </c>
      <c r="G10411" s="2" t="str">
        <f>HYPERLINK("https://probpalata.gov.ru/files/ЮЛ780300308200074.jpeg","Скачать индивидуальный QR-код магазина")</f>
        <v>Скачать индивидуальный QR-код магазина</v>
      </c>
    </row>
    <row r="10412" spans="1:7" x14ac:dyDescent="0.25">
      <c r="A10412" t="s">
        <v>31650</v>
      </c>
      <c r="B10412" t="s">
        <v>32771</v>
      </c>
      <c r="C10412" t="s">
        <v>798</v>
      </c>
      <c r="D10412" t="s">
        <v>799</v>
      </c>
      <c r="E10412" t="s">
        <v>800</v>
      </c>
      <c r="F10412" t="s">
        <v>32772</v>
      </c>
      <c r="G10412" s="2" t="str">
        <f>HYPERLINK("https://probpalata.gov.ru/files/ЮЛ780300308200080.jpeg","Скачать индивидуальный QR-код магазина")</f>
        <v>Скачать индивидуальный QR-код магазина</v>
      </c>
    </row>
    <row r="10413" spans="1:7" x14ac:dyDescent="0.25">
      <c r="A10413" t="s">
        <v>31650</v>
      </c>
      <c r="B10413" t="s">
        <v>32773</v>
      </c>
      <c r="C10413" t="s">
        <v>798</v>
      </c>
      <c r="D10413" t="s">
        <v>799</v>
      </c>
      <c r="E10413" t="s">
        <v>800</v>
      </c>
      <c r="F10413" t="s">
        <v>32774</v>
      </c>
      <c r="G10413" s="2" t="str">
        <f>HYPERLINK("https://probpalata.gov.ru/files/ЮЛ780300308200298.jpeg","Скачать индивидуальный QR-код магазина")</f>
        <v>Скачать индивидуальный QR-код магазина</v>
      </c>
    </row>
    <row r="10414" spans="1:7" x14ac:dyDescent="0.25">
      <c r="A10414" t="s">
        <v>31650</v>
      </c>
      <c r="B10414" t="s">
        <v>32775</v>
      </c>
      <c r="C10414" t="s">
        <v>798</v>
      </c>
      <c r="D10414" t="s">
        <v>799</v>
      </c>
      <c r="E10414" t="s">
        <v>800</v>
      </c>
      <c r="F10414" t="s">
        <v>32776</v>
      </c>
      <c r="G10414" s="2" t="str">
        <f>HYPERLINK("https://probpalata.gov.ru/files/ЮЛ780300308200347.jpeg","Скачать индивидуальный QR-код магазина")</f>
        <v>Скачать индивидуальный QR-код магазина</v>
      </c>
    </row>
    <row r="10415" spans="1:7" x14ac:dyDescent="0.25">
      <c r="A10415" t="s">
        <v>31650</v>
      </c>
      <c r="B10415" t="s">
        <v>32777</v>
      </c>
      <c r="C10415" t="s">
        <v>798</v>
      </c>
      <c r="D10415" t="s">
        <v>799</v>
      </c>
      <c r="E10415" t="s">
        <v>800</v>
      </c>
      <c r="F10415" t="s">
        <v>32778</v>
      </c>
      <c r="G10415" s="2" t="str">
        <f>HYPERLINK("https://probpalata.gov.ru/files/ЮЛ780300308200597.jpeg","Скачать индивидуальный QR-код магазина")</f>
        <v>Скачать индивидуальный QR-код магазина</v>
      </c>
    </row>
    <row r="10416" spans="1:7" x14ac:dyDescent="0.25">
      <c r="A10416" t="s">
        <v>31650</v>
      </c>
      <c r="B10416" t="s">
        <v>32779</v>
      </c>
      <c r="C10416" t="s">
        <v>798</v>
      </c>
      <c r="D10416" t="s">
        <v>799</v>
      </c>
      <c r="E10416" t="s">
        <v>800</v>
      </c>
      <c r="F10416" t="s">
        <v>32780</v>
      </c>
      <c r="G10416" s="2" t="str">
        <f>HYPERLINK("https://probpalata.gov.ru/files/ЮЛ780300308200631.jpeg","Скачать индивидуальный QR-код магазина")</f>
        <v>Скачать индивидуальный QR-код магазина</v>
      </c>
    </row>
    <row r="10417" spans="1:7" x14ac:dyDescent="0.25">
      <c r="A10417" t="s">
        <v>31650</v>
      </c>
      <c r="B10417" t="s">
        <v>31686</v>
      </c>
      <c r="C10417" t="s">
        <v>798</v>
      </c>
      <c r="D10417" t="s">
        <v>799</v>
      </c>
      <c r="E10417" t="s">
        <v>800</v>
      </c>
      <c r="F10417" t="s">
        <v>32781</v>
      </c>
      <c r="G10417" s="2" t="str">
        <f>HYPERLINK("https://probpalata.gov.ru/files/ЮЛ780300308200672.jpeg","Скачать индивидуальный QR-код магазина")</f>
        <v>Скачать индивидуальный QR-код магазина</v>
      </c>
    </row>
    <row r="10418" spans="1:7" x14ac:dyDescent="0.25">
      <c r="A10418" t="s">
        <v>31650</v>
      </c>
      <c r="B10418" t="s">
        <v>31764</v>
      </c>
      <c r="C10418" t="s">
        <v>798</v>
      </c>
      <c r="D10418" t="s">
        <v>799</v>
      </c>
      <c r="E10418" t="s">
        <v>800</v>
      </c>
      <c r="F10418" t="s">
        <v>32782</v>
      </c>
      <c r="G10418" s="2" t="str">
        <f>HYPERLINK("https://probpalata.gov.ru/files/ЮЛ780300308200909.jpeg","Скачать индивидуальный QR-код магазина")</f>
        <v>Скачать индивидуальный QR-код магазина</v>
      </c>
    </row>
    <row r="10419" spans="1:7" x14ac:dyDescent="0.25">
      <c r="A10419" t="s">
        <v>31650</v>
      </c>
      <c r="B10419" t="s">
        <v>32736</v>
      </c>
      <c r="C10419" t="s">
        <v>798</v>
      </c>
      <c r="D10419" t="s">
        <v>799</v>
      </c>
      <c r="E10419" t="s">
        <v>800</v>
      </c>
      <c r="F10419" t="s">
        <v>32783</v>
      </c>
      <c r="G10419" s="2" t="str">
        <f>HYPERLINK("https://probpalata.gov.ru/files/ЮЛ780300308200924.jpeg","Скачать индивидуальный QR-код магазина")</f>
        <v>Скачать индивидуальный QR-код магазина</v>
      </c>
    </row>
    <row r="10420" spans="1:7" x14ac:dyDescent="0.25">
      <c r="A10420" t="s">
        <v>31650</v>
      </c>
      <c r="B10420" t="s">
        <v>32784</v>
      </c>
      <c r="C10420" t="s">
        <v>798</v>
      </c>
      <c r="D10420" t="s">
        <v>799</v>
      </c>
      <c r="E10420" t="s">
        <v>800</v>
      </c>
      <c r="F10420" t="s">
        <v>32785</v>
      </c>
      <c r="G10420" s="2" t="str">
        <f>HYPERLINK("https://probpalata.gov.ru/files/ЮЛ780300308200947.jpeg","Скачать индивидуальный QR-код магазина")</f>
        <v>Скачать индивидуальный QR-код магазина</v>
      </c>
    </row>
    <row r="10421" spans="1:7" x14ac:dyDescent="0.25">
      <c r="A10421" t="s">
        <v>31650</v>
      </c>
      <c r="B10421" t="s">
        <v>32786</v>
      </c>
      <c r="C10421" t="s">
        <v>798</v>
      </c>
      <c r="D10421" t="s">
        <v>799</v>
      </c>
      <c r="E10421" t="s">
        <v>800</v>
      </c>
      <c r="F10421" t="s">
        <v>32787</v>
      </c>
      <c r="G10421" s="2" t="str">
        <f>HYPERLINK("https://probpalata.gov.ru/files/ЮЛ780300308200951.jpeg","Скачать индивидуальный QR-код магазина")</f>
        <v>Скачать индивидуальный QR-код магазина</v>
      </c>
    </row>
    <row r="10422" spans="1:7" x14ac:dyDescent="0.25">
      <c r="A10422" t="s">
        <v>31650</v>
      </c>
      <c r="B10422" t="s">
        <v>32788</v>
      </c>
      <c r="C10422" t="s">
        <v>798</v>
      </c>
      <c r="D10422" t="s">
        <v>799</v>
      </c>
      <c r="E10422" t="s">
        <v>800</v>
      </c>
      <c r="F10422" t="s">
        <v>32789</v>
      </c>
      <c r="G10422" s="2" t="str">
        <f>HYPERLINK("https://probpalata.gov.ru/files/ЮЛ780300308200953.jpeg","Скачать индивидуальный QR-код магазина")</f>
        <v>Скачать индивидуальный QR-код магазина</v>
      </c>
    </row>
    <row r="10423" spans="1:7" x14ac:dyDescent="0.25">
      <c r="A10423" t="s">
        <v>31650</v>
      </c>
      <c r="B10423" t="s">
        <v>32728</v>
      </c>
      <c r="C10423" t="s">
        <v>798</v>
      </c>
      <c r="D10423" t="s">
        <v>799</v>
      </c>
      <c r="E10423" t="s">
        <v>800</v>
      </c>
      <c r="F10423" t="s">
        <v>32790</v>
      </c>
      <c r="G10423" s="2" t="str">
        <f>HYPERLINK("https://probpalata.gov.ru/files/ЮЛ780300308200955.jpeg","Скачать индивидуальный QR-код магазина")</f>
        <v>Скачать индивидуальный QR-код магазина</v>
      </c>
    </row>
    <row r="10424" spans="1:7" x14ac:dyDescent="0.25">
      <c r="A10424" t="s">
        <v>31650</v>
      </c>
      <c r="B10424" t="s">
        <v>32791</v>
      </c>
      <c r="C10424" t="s">
        <v>798</v>
      </c>
      <c r="D10424" t="s">
        <v>799</v>
      </c>
      <c r="E10424" t="s">
        <v>800</v>
      </c>
      <c r="F10424" t="s">
        <v>32792</v>
      </c>
      <c r="G10424" s="2" t="str">
        <f>HYPERLINK("https://probpalata.gov.ru/files/ЮЛ780300308200958.jpeg","Скачать индивидуальный QR-код магазина")</f>
        <v>Скачать индивидуальный QR-код магазина</v>
      </c>
    </row>
    <row r="10425" spans="1:7" x14ac:dyDescent="0.25">
      <c r="A10425" t="s">
        <v>31650</v>
      </c>
      <c r="B10425" t="s">
        <v>32793</v>
      </c>
      <c r="C10425" t="s">
        <v>798</v>
      </c>
      <c r="D10425" t="s">
        <v>799</v>
      </c>
      <c r="E10425" t="s">
        <v>800</v>
      </c>
      <c r="F10425" t="s">
        <v>32794</v>
      </c>
      <c r="G10425" s="2" t="str">
        <f>HYPERLINK("https://probpalata.gov.ru/files/ЮЛ780300308200963.jpeg","Скачать индивидуальный QR-код магазина")</f>
        <v>Скачать индивидуальный QR-код магазина</v>
      </c>
    </row>
    <row r="10426" spans="1:7" x14ac:dyDescent="0.25">
      <c r="A10426" t="s">
        <v>31650</v>
      </c>
      <c r="B10426" t="s">
        <v>32795</v>
      </c>
      <c r="C10426" t="s">
        <v>798</v>
      </c>
      <c r="D10426" t="s">
        <v>799</v>
      </c>
      <c r="E10426" t="s">
        <v>800</v>
      </c>
      <c r="F10426" t="s">
        <v>32796</v>
      </c>
      <c r="G10426" s="2" t="str">
        <f>HYPERLINK("https://probpalata.gov.ru/files/ЮЛ780300308200967.jpeg","Скачать индивидуальный QR-код магазина")</f>
        <v>Скачать индивидуальный QR-код магазина</v>
      </c>
    </row>
    <row r="10427" spans="1:7" x14ac:dyDescent="0.25">
      <c r="A10427" t="s">
        <v>31650</v>
      </c>
      <c r="B10427" t="s">
        <v>32797</v>
      </c>
      <c r="C10427" t="s">
        <v>798</v>
      </c>
      <c r="D10427" t="s">
        <v>799</v>
      </c>
      <c r="E10427" t="s">
        <v>800</v>
      </c>
      <c r="F10427" t="s">
        <v>32798</v>
      </c>
      <c r="G10427" s="2" t="str">
        <f>HYPERLINK("https://probpalata.gov.ru/files/ЮЛ780300308200973.jpeg","Скачать индивидуальный QR-код магазина")</f>
        <v>Скачать индивидуальный QR-код магазина</v>
      </c>
    </row>
    <row r="10428" spans="1:7" x14ac:dyDescent="0.25">
      <c r="A10428" t="s">
        <v>31650</v>
      </c>
      <c r="B10428" t="s">
        <v>32799</v>
      </c>
      <c r="C10428" t="s">
        <v>798</v>
      </c>
      <c r="D10428" t="s">
        <v>799</v>
      </c>
      <c r="E10428" t="s">
        <v>800</v>
      </c>
      <c r="F10428" t="s">
        <v>32800</v>
      </c>
      <c r="G10428" s="2" t="str">
        <f>HYPERLINK("https://probpalata.gov.ru/files/ЮЛ780300308201025.jpeg","Скачать индивидуальный QR-код магазина")</f>
        <v>Скачать индивидуальный QR-код магазина</v>
      </c>
    </row>
    <row r="10429" spans="1:7" x14ac:dyDescent="0.25">
      <c r="A10429" t="s">
        <v>31650</v>
      </c>
      <c r="B10429" t="s">
        <v>32734</v>
      </c>
      <c r="C10429" t="s">
        <v>798</v>
      </c>
      <c r="D10429" t="s">
        <v>799</v>
      </c>
      <c r="E10429" t="s">
        <v>800</v>
      </c>
      <c r="F10429" t="s">
        <v>32801</v>
      </c>
      <c r="G10429" s="2" t="str">
        <f>HYPERLINK("https://probpalata.gov.ru/files/ЮЛ780300308201061.jpeg","Скачать индивидуальный QR-код магазина")</f>
        <v>Скачать индивидуальный QR-код магазина</v>
      </c>
    </row>
    <row r="10430" spans="1:7" x14ac:dyDescent="0.25">
      <c r="A10430" t="s">
        <v>31650</v>
      </c>
      <c r="B10430" t="s">
        <v>32802</v>
      </c>
      <c r="C10430" t="s">
        <v>798</v>
      </c>
      <c r="D10430" t="s">
        <v>799</v>
      </c>
      <c r="E10430" t="s">
        <v>800</v>
      </c>
      <c r="F10430" t="s">
        <v>32803</v>
      </c>
      <c r="G10430" s="2" t="str">
        <f>HYPERLINK("https://probpalata.gov.ru/files/ЮЛ780300308201062.jpeg","Скачать индивидуальный QR-код магазина")</f>
        <v>Скачать индивидуальный QR-код магазина</v>
      </c>
    </row>
    <row r="10431" spans="1:7" x14ac:dyDescent="0.25">
      <c r="A10431" t="s">
        <v>31650</v>
      </c>
      <c r="B10431" t="s">
        <v>32685</v>
      </c>
      <c r="C10431" t="s">
        <v>798</v>
      </c>
      <c r="D10431" t="s">
        <v>799</v>
      </c>
      <c r="E10431" t="s">
        <v>800</v>
      </c>
      <c r="F10431" t="s">
        <v>32804</v>
      </c>
      <c r="G10431" s="2" t="str">
        <f>HYPERLINK("https://probpalata.gov.ru/files/ЮЛ780300308201076.jpeg","Скачать индивидуальный QR-код магазина")</f>
        <v>Скачать индивидуальный QR-код магазина</v>
      </c>
    </row>
    <row r="10432" spans="1:7" x14ac:dyDescent="0.25">
      <c r="A10432" t="s">
        <v>31650</v>
      </c>
      <c r="B10432" t="s">
        <v>32805</v>
      </c>
      <c r="C10432" t="s">
        <v>798</v>
      </c>
      <c r="D10432" t="s">
        <v>799</v>
      </c>
      <c r="E10432" t="s">
        <v>800</v>
      </c>
      <c r="F10432" t="s">
        <v>32806</v>
      </c>
      <c r="G10432" s="2" t="str">
        <f>HYPERLINK("https://probpalata.gov.ru/files/ЮЛ780300308201103.jpeg","Скачать индивидуальный QR-код магазина")</f>
        <v>Скачать индивидуальный QR-код магазина</v>
      </c>
    </row>
    <row r="10433" spans="1:7" x14ac:dyDescent="0.25">
      <c r="A10433" t="s">
        <v>31650</v>
      </c>
      <c r="B10433" t="s">
        <v>32807</v>
      </c>
      <c r="C10433" t="s">
        <v>798</v>
      </c>
      <c r="D10433" t="s">
        <v>799</v>
      </c>
      <c r="E10433" t="s">
        <v>800</v>
      </c>
      <c r="F10433" t="s">
        <v>32808</v>
      </c>
      <c r="G10433" s="2" t="str">
        <f>HYPERLINK("https://probpalata.gov.ru/files/ЮЛ780300308201129.jpeg","Скачать индивидуальный QR-код магазина")</f>
        <v>Скачать индивидуальный QR-код магазина</v>
      </c>
    </row>
    <row r="10434" spans="1:7" x14ac:dyDescent="0.25">
      <c r="A10434" t="s">
        <v>31650</v>
      </c>
      <c r="B10434" t="s">
        <v>32809</v>
      </c>
      <c r="C10434" t="s">
        <v>798</v>
      </c>
      <c r="D10434" t="s">
        <v>799</v>
      </c>
      <c r="E10434" t="s">
        <v>800</v>
      </c>
      <c r="F10434" t="s">
        <v>32810</v>
      </c>
      <c r="G10434" s="2" t="str">
        <f>HYPERLINK("https://probpalata.gov.ru/files/ЮЛ780300308201147.jpeg","Скачать индивидуальный QR-код магазина")</f>
        <v>Скачать индивидуальный QR-код магазина</v>
      </c>
    </row>
    <row r="10435" spans="1:7" x14ac:dyDescent="0.25">
      <c r="A10435" t="s">
        <v>31650</v>
      </c>
      <c r="B10435" t="s">
        <v>32811</v>
      </c>
      <c r="C10435" t="s">
        <v>798</v>
      </c>
      <c r="D10435" t="s">
        <v>799</v>
      </c>
      <c r="E10435" t="s">
        <v>800</v>
      </c>
      <c r="F10435" t="s">
        <v>32812</v>
      </c>
      <c r="G10435" s="2" t="str">
        <f>HYPERLINK("https://probpalata.gov.ru/files/ЮЛ780300308201161.jpeg","Скачать индивидуальный QR-код магазина")</f>
        <v>Скачать индивидуальный QR-код магазина</v>
      </c>
    </row>
    <row r="10436" spans="1:7" x14ac:dyDescent="0.25">
      <c r="A10436" t="s">
        <v>31650</v>
      </c>
      <c r="B10436" t="s">
        <v>32813</v>
      </c>
      <c r="C10436" t="s">
        <v>798</v>
      </c>
      <c r="D10436" t="s">
        <v>799</v>
      </c>
      <c r="E10436" t="s">
        <v>800</v>
      </c>
      <c r="F10436" t="s">
        <v>32814</v>
      </c>
      <c r="G10436" s="2" t="str">
        <f>HYPERLINK("https://probpalata.gov.ru/files/ЮЛ780300308201177.jpeg","Скачать индивидуальный QR-код магазина")</f>
        <v>Скачать индивидуальный QR-код магазина</v>
      </c>
    </row>
    <row r="10437" spans="1:7" x14ac:dyDescent="0.25">
      <c r="A10437" t="s">
        <v>31650</v>
      </c>
      <c r="B10437" t="s">
        <v>32815</v>
      </c>
      <c r="C10437" t="s">
        <v>798</v>
      </c>
      <c r="D10437" t="s">
        <v>799</v>
      </c>
      <c r="E10437" t="s">
        <v>800</v>
      </c>
      <c r="F10437" t="s">
        <v>32816</v>
      </c>
      <c r="G10437" s="2" t="str">
        <f>HYPERLINK("https://probpalata.gov.ru/files/ЮЛ780300308201186.jpeg","Скачать индивидуальный QR-код магазина")</f>
        <v>Скачать индивидуальный QR-код магазина</v>
      </c>
    </row>
    <row r="10438" spans="1:7" x14ac:dyDescent="0.25">
      <c r="A10438" t="s">
        <v>31650</v>
      </c>
      <c r="B10438" t="s">
        <v>32817</v>
      </c>
      <c r="C10438" t="s">
        <v>798</v>
      </c>
      <c r="D10438" t="s">
        <v>799</v>
      </c>
      <c r="E10438" t="s">
        <v>800</v>
      </c>
      <c r="F10438" t="s">
        <v>32818</v>
      </c>
      <c r="G10438" s="2" t="str">
        <f>HYPERLINK("https://probpalata.gov.ru/files/ЮЛ780300308201218.jpeg","Скачать индивидуальный QR-код магазина")</f>
        <v>Скачать индивидуальный QR-код магазина</v>
      </c>
    </row>
    <row r="10439" spans="1:7" x14ac:dyDescent="0.25">
      <c r="A10439" t="s">
        <v>31650</v>
      </c>
      <c r="B10439" t="s">
        <v>32753</v>
      </c>
      <c r="C10439" t="s">
        <v>823</v>
      </c>
      <c r="D10439" t="s">
        <v>824</v>
      </c>
      <c r="E10439" t="s">
        <v>825</v>
      </c>
      <c r="F10439" t="s">
        <v>32819</v>
      </c>
      <c r="G10439" s="2" t="str">
        <f>HYPERLINK("https://probpalata.gov.ru/files/ЮЛ780300363500165.jpeg","Скачать индивидуальный QR-код магазина")</f>
        <v>Скачать индивидуальный QR-код магазина</v>
      </c>
    </row>
    <row r="10440" spans="1:7" x14ac:dyDescent="0.25">
      <c r="A10440" t="s">
        <v>31650</v>
      </c>
      <c r="B10440" t="s">
        <v>31890</v>
      </c>
      <c r="C10440" t="s">
        <v>25770</v>
      </c>
      <c r="D10440" t="s">
        <v>25771</v>
      </c>
      <c r="E10440" t="s">
        <v>25772</v>
      </c>
      <c r="F10440" t="s">
        <v>32820</v>
      </c>
      <c r="G10440" s="2" t="str">
        <f>HYPERLINK("https://probpalata.gov.ru/files/ЮЛ770101527400008.jpeg","Скачать индивидуальный QR-код магазина")</f>
        <v>Скачать индивидуальный QR-код магазина</v>
      </c>
    </row>
    <row r="10441" spans="1:7" x14ac:dyDescent="0.25">
      <c r="A10441" t="s">
        <v>31650</v>
      </c>
      <c r="B10441" t="s">
        <v>32821</v>
      </c>
      <c r="C10441" t="s">
        <v>26080</v>
      </c>
      <c r="D10441" t="s">
        <v>26081</v>
      </c>
      <c r="E10441" t="s">
        <v>26082</v>
      </c>
      <c r="F10441" t="s">
        <v>32822</v>
      </c>
      <c r="G10441" s="2" t="str">
        <f>HYPERLINK("https://probpalata.gov.ru/files/ЮЛ770100668800003.jpeg","Скачать индивидуальный QR-код магазина")</f>
        <v>Скачать индивидуальный QR-код магазина</v>
      </c>
    </row>
    <row r="10442" spans="1:7" x14ac:dyDescent="0.25">
      <c r="A10442" t="s">
        <v>31650</v>
      </c>
      <c r="B10442" t="s">
        <v>32823</v>
      </c>
      <c r="C10442" t="s">
        <v>1501</v>
      </c>
      <c r="D10442" t="s">
        <v>1502</v>
      </c>
      <c r="E10442" t="s">
        <v>1503</v>
      </c>
      <c r="F10442" t="s">
        <v>32824</v>
      </c>
      <c r="G10442" s="2" t="str">
        <f>HYPERLINK("https://probpalata.gov.ru/files/ЮЛ770100439200051.jpeg","Скачать индивидуальный QR-код магазина")</f>
        <v>Скачать индивидуальный QR-код магазина</v>
      </c>
    </row>
    <row r="10443" spans="1:7" x14ac:dyDescent="0.25">
      <c r="A10443" t="s">
        <v>31650</v>
      </c>
      <c r="B10443" t="s">
        <v>32825</v>
      </c>
      <c r="C10443" t="s">
        <v>1501</v>
      </c>
      <c r="D10443" t="s">
        <v>1502</v>
      </c>
      <c r="E10443" t="s">
        <v>1503</v>
      </c>
      <c r="F10443" t="s">
        <v>32826</v>
      </c>
      <c r="G10443" s="2" t="str">
        <f>HYPERLINK("https://probpalata.gov.ru/files/ЮЛ770100439200204.jpeg","Скачать индивидуальный QR-код магазина")</f>
        <v>Скачать индивидуальный QR-код магазина</v>
      </c>
    </row>
    <row r="10444" spans="1:7" x14ac:dyDescent="0.25">
      <c r="A10444" t="s">
        <v>31650</v>
      </c>
      <c r="B10444" t="s">
        <v>32827</v>
      </c>
      <c r="C10444" t="s">
        <v>7852</v>
      </c>
      <c r="D10444" t="s">
        <v>7853</v>
      </c>
      <c r="E10444" t="s">
        <v>7854</v>
      </c>
      <c r="F10444" t="s">
        <v>32828</v>
      </c>
      <c r="G10444" s="2" t="str">
        <f>HYPERLINK("https://probpalata.gov.ru/files/ЮЛ770100029500006.jpeg","Скачать индивидуальный QR-код магазина")</f>
        <v>Скачать индивидуальный QR-код магазина</v>
      </c>
    </row>
    <row r="10445" spans="1:7" x14ac:dyDescent="0.25">
      <c r="A10445" t="s">
        <v>32829</v>
      </c>
      <c r="B10445" t="s">
        <v>32830</v>
      </c>
      <c r="C10445" t="s">
        <v>32831</v>
      </c>
      <c r="D10445" t="s">
        <v>32832</v>
      </c>
      <c r="E10445" t="s">
        <v>32833</v>
      </c>
      <c r="F10445" t="s">
        <v>32834</v>
      </c>
      <c r="G10445" s="2" t="str">
        <f>HYPERLINK("https://probpalata.gov.ru/files/ИП500100750900000.jpeg","Скачать индивидуальный QR-код магазина")</f>
        <v>Скачать индивидуальный QR-код магазина</v>
      </c>
    </row>
    <row r="10446" spans="1:7" x14ac:dyDescent="0.25">
      <c r="A10446" t="s">
        <v>32829</v>
      </c>
      <c r="B10446" t="s">
        <v>32835</v>
      </c>
      <c r="C10446" t="s">
        <v>671</v>
      </c>
      <c r="D10446" t="s">
        <v>672</v>
      </c>
      <c r="E10446" t="s">
        <v>673</v>
      </c>
      <c r="F10446" t="s">
        <v>32836</v>
      </c>
      <c r="G10446" s="2" t="str">
        <f>HYPERLINK("https://probpalata.gov.ru/files/ИП500100445500031.jpeg","Скачать индивидуальный QR-код магазина")</f>
        <v>Скачать индивидуальный QR-код магазина</v>
      </c>
    </row>
    <row r="10447" spans="1:7" x14ac:dyDescent="0.25">
      <c r="A10447" t="s">
        <v>32829</v>
      </c>
      <c r="B10447" t="s">
        <v>32837</v>
      </c>
      <c r="C10447" t="s">
        <v>671</v>
      </c>
      <c r="D10447" t="s">
        <v>672</v>
      </c>
      <c r="E10447" t="s">
        <v>673</v>
      </c>
      <c r="F10447" t="s">
        <v>32838</v>
      </c>
      <c r="G10447" s="2" t="str">
        <f>HYPERLINK("https://probpalata.gov.ru/files/ИП500100445500126.jpeg","Скачать индивидуальный QR-код магазина")</f>
        <v>Скачать индивидуальный QR-код магазина</v>
      </c>
    </row>
    <row r="10448" spans="1:7" x14ac:dyDescent="0.25">
      <c r="A10448" t="s">
        <v>32829</v>
      </c>
      <c r="B10448" t="s">
        <v>32839</v>
      </c>
      <c r="C10448" t="s">
        <v>1735</v>
      </c>
      <c r="D10448" t="s">
        <v>1736</v>
      </c>
      <c r="E10448" t="s">
        <v>1737</v>
      </c>
      <c r="F10448" t="s">
        <v>32840</v>
      </c>
      <c r="G10448" s="2" t="str">
        <f>HYPERLINK("https://probpalata.gov.ru/files/ЮЛ520603376600145.jpeg","Скачать индивидуальный QR-код магазина")</f>
        <v>Скачать индивидуальный QR-код магазина</v>
      </c>
    </row>
    <row r="10449" spans="1:7" x14ac:dyDescent="0.25">
      <c r="A10449" t="s">
        <v>32829</v>
      </c>
      <c r="B10449" t="s">
        <v>32841</v>
      </c>
      <c r="C10449" t="s">
        <v>32842</v>
      </c>
      <c r="D10449" t="s">
        <v>32843</v>
      </c>
      <c r="E10449" t="s">
        <v>32844</v>
      </c>
      <c r="F10449" t="s">
        <v>32845</v>
      </c>
      <c r="G10449" s="2" t="str">
        <f>HYPERLINK("https://probpalata.gov.ru/files/ЮЛ550800111600002.jpeg","Скачать индивидуальный QR-код магазина")</f>
        <v>Скачать индивидуальный QR-код магазина</v>
      </c>
    </row>
    <row r="10450" spans="1:7" x14ac:dyDescent="0.25">
      <c r="A10450" t="s">
        <v>32829</v>
      </c>
      <c r="B10450" t="s">
        <v>32846</v>
      </c>
      <c r="C10450" t="s">
        <v>32847</v>
      </c>
      <c r="D10450" t="s">
        <v>32848</v>
      </c>
      <c r="E10450" t="s">
        <v>32849</v>
      </c>
      <c r="F10450" t="s">
        <v>32850</v>
      </c>
      <c r="G10450" s="2" t="str">
        <f>HYPERLINK("https://probpalata.gov.ru/files/ЮЛ550802010700000.jpeg","Скачать индивидуальный QR-код магазина")</f>
        <v>Скачать индивидуальный QR-код магазина</v>
      </c>
    </row>
    <row r="10451" spans="1:7" x14ac:dyDescent="0.25">
      <c r="A10451" t="s">
        <v>32829</v>
      </c>
      <c r="B10451" t="s">
        <v>32851</v>
      </c>
      <c r="C10451" t="s">
        <v>32852</v>
      </c>
      <c r="D10451" t="s">
        <v>32853</v>
      </c>
      <c r="E10451" t="s">
        <v>32854</v>
      </c>
      <c r="F10451" t="s">
        <v>32855</v>
      </c>
      <c r="G10451" s="2" t="str">
        <f>HYPERLINK("https://probpalata.gov.ru/files/ИП550801390000000.jpeg","Скачать индивидуальный QR-код магазина")</f>
        <v>Скачать индивидуальный QR-код магазина</v>
      </c>
    </row>
    <row r="10452" spans="1:7" x14ac:dyDescent="0.25">
      <c r="A10452" t="s">
        <v>32829</v>
      </c>
      <c r="B10452" t="s">
        <v>32856</v>
      </c>
      <c r="C10452" t="s">
        <v>32857</v>
      </c>
      <c r="D10452" t="s">
        <v>32858</v>
      </c>
      <c r="E10452" t="s">
        <v>32859</v>
      </c>
      <c r="F10452" t="s">
        <v>32860</v>
      </c>
      <c r="G10452" s="2" t="str">
        <f>HYPERLINK("https://probpalata.gov.ru/files/ЮЛ550801548900000.jpeg","Скачать индивидуальный QR-код магазина")</f>
        <v>Скачать индивидуальный QR-код магазина</v>
      </c>
    </row>
    <row r="10453" spans="1:7" x14ac:dyDescent="0.25">
      <c r="A10453" t="s">
        <v>32829</v>
      </c>
      <c r="B10453" t="s">
        <v>32861</v>
      </c>
      <c r="C10453" t="s">
        <v>32857</v>
      </c>
      <c r="D10453" t="s">
        <v>32858</v>
      </c>
      <c r="E10453" t="s">
        <v>32859</v>
      </c>
      <c r="F10453" t="s">
        <v>32862</v>
      </c>
      <c r="G10453" s="2" t="str">
        <f>HYPERLINK("https://probpalata.gov.ru/files/ЮЛ550801548900001.jpeg","Скачать индивидуальный QR-код магазина")</f>
        <v>Скачать индивидуальный QR-код магазина</v>
      </c>
    </row>
    <row r="10454" spans="1:7" x14ac:dyDescent="0.25">
      <c r="A10454" t="s">
        <v>32829</v>
      </c>
      <c r="B10454" t="s">
        <v>32863</v>
      </c>
      <c r="C10454" t="s">
        <v>32864</v>
      </c>
      <c r="D10454" t="s">
        <v>32865</v>
      </c>
      <c r="E10454" t="s">
        <v>32866</v>
      </c>
      <c r="F10454" t="s">
        <v>32867</v>
      </c>
      <c r="G10454" s="2" t="str">
        <f>HYPERLINK("https://probpalata.gov.ru/files/ИП550800394000000.jpeg","Скачать индивидуальный QR-код магазина")</f>
        <v>Скачать индивидуальный QR-код магазина</v>
      </c>
    </row>
    <row r="10455" spans="1:7" x14ac:dyDescent="0.25">
      <c r="A10455" t="s">
        <v>32829</v>
      </c>
      <c r="B10455" t="s">
        <v>32868</v>
      </c>
      <c r="C10455" t="s">
        <v>32864</v>
      </c>
      <c r="D10455" t="s">
        <v>32865</v>
      </c>
      <c r="E10455" t="s">
        <v>32866</v>
      </c>
      <c r="F10455" t="s">
        <v>32869</v>
      </c>
      <c r="G10455" s="2" t="str">
        <f>HYPERLINK("https://probpalata.gov.ru/files/ИП550800394000002.jpeg","Скачать индивидуальный QR-код магазина")</f>
        <v>Скачать индивидуальный QR-код магазина</v>
      </c>
    </row>
    <row r="10456" spans="1:7" x14ac:dyDescent="0.25">
      <c r="A10456" t="s">
        <v>32829</v>
      </c>
      <c r="B10456" t="s">
        <v>32870</v>
      </c>
      <c r="C10456" t="s">
        <v>32864</v>
      </c>
      <c r="D10456" t="s">
        <v>32865</v>
      </c>
      <c r="E10456" t="s">
        <v>32866</v>
      </c>
      <c r="F10456" t="s">
        <v>32871</v>
      </c>
      <c r="G10456" s="2" t="str">
        <f>HYPERLINK("https://probpalata.gov.ru/files/ИП550800394000009.jpeg","Скачать индивидуальный QR-код магазина")</f>
        <v>Скачать индивидуальный QR-код магазина</v>
      </c>
    </row>
    <row r="10457" spans="1:7" x14ac:dyDescent="0.25">
      <c r="A10457" t="s">
        <v>32829</v>
      </c>
      <c r="B10457" t="s">
        <v>32872</v>
      </c>
      <c r="C10457" t="s">
        <v>32873</v>
      </c>
      <c r="D10457" t="s">
        <v>32874</v>
      </c>
      <c r="E10457" t="s">
        <v>32875</v>
      </c>
      <c r="F10457" t="s">
        <v>32876</v>
      </c>
      <c r="G10457" s="2" t="str">
        <f>HYPERLINK("https://probpalata.gov.ru/files/ИП550801295200000.jpeg","Скачать индивидуальный QR-код магазина")</f>
        <v>Скачать индивидуальный QR-код магазина</v>
      </c>
    </row>
    <row r="10458" spans="1:7" x14ac:dyDescent="0.25">
      <c r="A10458" t="s">
        <v>32829</v>
      </c>
      <c r="B10458" t="s">
        <v>32877</v>
      </c>
      <c r="C10458" t="s">
        <v>32873</v>
      </c>
      <c r="D10458" t="s">
        <v>32874</v>
      </c>
      <c r="E10458" t="s">
        <v>32875</v>
      </c>
      <c r="F10458" t="s">
        <v>32878</v>
      </c>
      <c r="G10458" s="2" t="str">
        <f>HYPERLINK("https://probpalata.gov.ru/files/ИП550801295200003.jpeg","Скачать индивидуальный QR-код магазина")</f>
        <v>Скачать индивидуальный QR-код магазина</v>
      </c>
    </row>
    <row r="10459" spans="1:7" x14ac:dyDescent="0.25">
      <c r="A10459" t="s">
        <v>32829</v>
      </c>
      <c r="B10459" t="s">
        <v>32879</v>
      </c>
      <c r="C10459" t="s">
        <v>32873</v>
      </c>
      <c r="D10459" t="s">
        <v>32874</v>
      </c>
      <c r="E10459" t="s">
        <v>32875</v>
      </c>
      <c r="F10459" t="s">
        <v>32880</v>
      </c>
      <c r="G10459" s="2" t="str">
        <f>HYPERLINK("https://probpalata.gov.ru/files/ИП550801295200008.jpeg","Скачать индивидуальный QR-код магазина")</f>
        <v>Скачать индивидуальный QR-код магазина</v>
      </c>
    </row>
    <row r="10460" spans="1:7" x14ac:dyDescent="0.25">
      <c r="A10460" t="s">
        <v>32829</v>
      </c>
      <c r="B10460" t="s">
        <v>32881</v>
      </c>
      <c r="C10460" t="s">
        <v>32873</v>
      </c>
      <c r="D10460" t="s">
        <v>32874</v>
      </c>
      <c r="E10460" t="s">
        <v>32875</v>
      </c>
      <c r="F10460" t="s">
        <v>32882</v>
      </c>
      <c r="G10460" s="2" t="str">
        <f>HYPERLINK("https://probpalata.gov.ru/files/ИП550801295200009.jpeg","Скачать индивидуальный QR-код магазина")</f>
        <v>Скачать индивидуальный QR-код магазина</v>
      </c>
    </row>
    <row r="10461" spans="1:7" x14ac:dyDescent="0.25">
      <c r="A10461" t="s">
        <v>32829</v>
      </c>
      <c r="B10461" t="s">
        <v>32883</v>
      </c>
      <c r="C10461" t="s">
        <v>32873</v>
      </c>
      <c r="D10461" t="s">
        <v>32874</v>
      </c>
      <c r="E10461" t="s">
        <v>32875</v>
      </c>
      <c r="F10461" t="s">
        <v>32884</v>
      </c>
      <c r="G10461" s="2" t="str">
        <f>HYPERLINK("https://probpalata.gov.ru/files/ИП550801295200010.jpeg","Скачать индивидуальный QR-код магазина")</f>
        <v>Скачать индивидуальный QR-код магазина</v>
      </c>
    </row>
    <row r="10462" spans="1:7" x14ac:dyDescent="0.25">
      <c r="A10462" t="s">
        <v>32829</v>
      </c>
      <c r="B10462" t="s">
        <v>32885</v>
      </c>
      <c r="C10462" t="s">
        <v>32873</v>
      </c>
      <c r="D10462" t="s">
        <v>32874</v>
      </c>
      <c r="E10462" t="s">
        <v>32875</v>
      </c>
      <c r="F10462" t="s">
        <v>32886</v>
      </c>
      <c r="G10462" s="2" t="str">
        <f>HYPERLINK("https://probpalata.gov.ru/files/ИП550801295200011.jpeg","Скачать индивидуальный QR-код магазина")</f>
        <v>Скачать индивидуальный QR-код магазина</v>
      </c>
    </row>
    <row r="10463" spans="1:7" x14ac:dyDescent="0.25">
      <c r="A10463" t="s">
        <v>32829</v>
      </c>
      <c r="B10463" t="s">
        <v>32887</v>
      </c>
      <c r="C10463" t="s">
        <v>32888</v>
      </c>
      <c r="D10463" t="s">
        <v>32889</v>
      </c>
      <c r="E10463" t="s">
        <v>32890</v>
      </c>
      <c r="F10463" t="s">
        <v>32891</v>
      </c>
      <c r="G10463" s="2" t="str">
        <f>HYPERLINK("https://probpalata.gov.ru/files/ИП550801357400000.jpeg","Скачать индивидуальный QR-код магазина")</f>
        <v>Скачать индивидуальный QR-код магазина</v>
      </c>
    </row>
    <row r="10464" spans="1:7" x14ac:dyDescent="0.25">
      <c r="A10464" t="s">
        <v>32829</v>
      </c>
      <c r="B10464" t="s">
        <v>32892</v>
      </c>
      <c r="C10464" t="s">
        <v>32888</v>
      </c>
      <c r="D10464" t="s">
        <v>32889</v>
      </c>
      <c r="E10464" t="s">
        <v>32890</v>
      </c>
      <c r="F10464" t="s">
        <v>32893</v>
      </c>
      <c r="G10464" s="2" t="str">
        <f>HYPERLINK("https://probpalata.gov.ru/files/ИП550801357400007.jpeg","Скачать индивидуальный QR-код магазина")</f>
        <v>Скачать индивидуальный QR-код магазина</v>
      </c>
    </row>
    <row r="10465" spans="1:7" x14ac:dyDescent="0.25">
      <c r="A10465" t="s">
        <v>32829</v>
      </c>
      <c r="B10465" t="s">
        <v>32894</v>
      </c>
      <c r="C10465" t="s">
        <v>32895</v>
      </c>
      <c r="D10465" t="s">
        <v>32896</v>
      </c>
      <c r="E10465" t="s">
        <v>32897</v>
      </c>
      <c r="F10465" t="s">
        <v>32898</v>
      </c>
      <c r="G10465" s="2" t="str">
        <f>HYPERLINK("https://probpalata.gov.ru/files/ИП550803581900000.jpeg","Скачать индивидуальный QR-код магазина")</f>
        <v>Скачать индивидуальный QR-код магазина</v>
      </c>
    </row>
    <row r="10466" spans="1:7" x14ac:dyDescent="0.25">
      <c r="A10466" t="s">
        <v>32829</v>
      </c>
      <c r="B10466" t="s">
        <v>32899</v>
      </c>
      <c r="C10466" t="s">
        <v>32895</v>
      </c>
      <c r="D10466" t="s">
        <v>32896</v>
      </c>
      <c r="E10466" t="s">
        <v>32897</v>
      </c>
      <c r="F10466" t="s">
        <v>32900</v>
      </c>
      <c r="G10466" s="2" t="str">
        <f>HYPERLINK("https://probpalata.gov.ru/files/ИП550803581900001.jpeg","Скачать индивидуальный QR-код магазина")</f>
        <v>Скачать индивидуальный QR-код магазина</v>
      </c>
    </row>
    <row r="10467" spans="1:7" x14ac:dyDescent="0.25">
      <c r="A10467" t="s">
        <v>32829</v>
      </c>
      <c r="B10467" t="s">
        <v>32901</v>
      </c>
      <c r="C10467" t="s">
        <v>32902</v>
      </c>
      <c r="D10467" t="s">
        <v>32903</v>
      </c>
      <c r="E10467" t="s">
        <v>32904</v>
      </c>
      <c r="F10467" t="s">
        <v>32905</v>
      </c>
      <c r="G10467" s="2" t="str">
        <f>HYPERLINK("https://probpalata.gov.ru/files/ИП550801120200000.jpeg","Скачать индивидуальный QR-код магазина")</f>
        <v>Скачать индивидуальный QR-код магазина</v>
      </c>
    </row>
    <row r="10468" spans="1:7" x14ac:dyDescent="0.25">
      <c r="A10468" t="s">
        <v>32829</v>
      </c>
      <c r="B10468" t="s">
        <v>32906</v>
      </c>
      <c r="C10468" t="s">
        <v>32907</v>
      </c>
      <c r="D10468" t="s">
        <v>32908</v>
      </c>
      <c r="E10468" t="s">
        <v>32909</v>
      </c>
      <c r="F10468" t="s">
        <v>32910</v>
      </c>
      <c r="G10468" s="2" t="str">
        <f>HYPERLINK("https://probpalata.gov.ru/files/ИП550800120300000.jpeg","Скачать индивидуальный QR-код магазина")</f>
        <v>Скачать индивидуальный QR-код магазина</v>
      </c>
    </row>
    <row r="10469" spans="1:7" x14ac:dyDescent="0.25">
      <c r="A10469" t="s">
        <v>32829</v>
      </c>
      <c r="B10469" t="s">
        <v>32911</v>
      </c>
      <c r="C10469" t="s">
        <v>32912</v>
      </c>
      <c r="D10469" t="s">
        <v>32913</v>
      </c>
      <c r="E10469" t="s">
        <v>32914</v>
      </c>
      <c r="F10469" t="s">
        <v>32915</v>
      </c>
      <c r="G10469" s="2" t="str">
        <f>HYPERLINK("https://probpalata.gov.ru/files/ИП550801120400000.jpeg","Скачать индивидуальный QR-код магазина")</f>
        <v>Скачать индивидуальный QR-код магазина</v>
      </c>
    </row>
    <row r="10470" spans="1:7" x14ac:dyDescent="0.25">
      <c r="A10470" t="s">
        <v>32829</v>
      </c>
      <c r="B10470" t="s">
        <v>32916</v>
      </c>
      <c r="C10470" t="s">
        <v>32917</v>
      </c>
      <c r="D10470" t="s">
        <v>32918</v>
      </c>
      <c r="E10470" t="s">
        <v>32919</v>
      </c>
      <c r="F10470" t="s">
        <v>32920</v>
      </c>
      <c r="G10470" s="2" t="str">
        <f>HYPERLINK("https://probpalata.gov.ru/files/ЮЛ550801254900000.jpeg","Скачать индивидуальный QR-код магазина")</f>
        <v>Скачать индивидуальный QR-код магазина</v>
      </c>
    </row>
    <row r="10471" spans="1:7" x14ac:dyDescent="0.25">
      <c r="A10471" t="s">
        <v>32829</v>
      </c>
      <c r="B10471" t="s">
        <v>32921</v>
      </c>
      <c r="C10471" t="s">
        <v>32917</v>
      </c>
      <c r="D10471" t="s">
        <v>32918</v>
      </c>
      <c r="E10471" t="s">
        <v>32919</v>
      </c>
      <c r="F10471" t="s">
        <v>32922</v>
      </c>
      <c r="G10471" s="2" t="str">
        <f>HYPERLINK("https://probpalata.gov.ru/files/ЮЛ550801254900003.jpeg","Скачать индивидуальный QR-код магазина")</f>
        <v>Скачать индивидуальный QR-код магазина</v>
      </c>
    </row>
    <row r="10472" spans="1:7" x14ac:dyDescent="0.25">
      <c r="A10472" t="s">
        <v>32829</v>
      </c>
      <c r="B10472" t="s">
        <v>32923</v>
      </c>
      <c r="C10472" t="s">
        <v>32917</v>
      </c>
      <c r="D10472" t="s">
        <v>32918</v>
      </c>
      <c r="E10472" t="s">
        <v>32919</v>
      </c>
      <c r="F10472" t="s">
        <v>32924</v>
      </c>
      <c r="G10472" s="2" t="str">
        <f>HYPERLINK("https://probpalata.gov.ru/files/ЮЛ550801254900005.jpeg","Скачать индивидуальный QR-код магазина")</f>
        <v>Скачать индивидуальный QR-код магазина</v>
      </c>
    </row>
    <row r="10473" spans="1:7" x14ac:dyDescent="0.25">
      <c r="A10473" t="s">
        <v>32829</v>
      </c>
      <c r="B10473" t="s">
        <v>32925</v>
      </c>
      <c r="C10473" t="s">
        <v>32917</v>
      </c>
      <c r="D10473" t="s">
        <v>32918</v>
      </c>
      <c r="E10473" t="s">
        <v>32919</v>
      </c>
      <c r="F10473" t="s">
        <v>32926</v>
      </c>
      <c r="G10473" s="2" t="str">
        <f>HYPERLINK("https://probpalata.gov.ru/files/ЮЛ550801254900007.jpeg","Скачать индивидуальный QR-код магазина")</f>
        <v>Скачать индивидуальный QR-код магазина</v>
      </c>
    </row>
    <row r="10474" spans="1:7" x14ac:dyDescent="0.25">
      <c r="A10474" t="s">
        <v>32829</v>
      </c>
      <c r="B10474" t="s">
        <v>32927</v>
      </c>
      <c r="C10474" t="s">
        <v>32917</v>
      </c>
      <c r="D10474" t="s">
        <v>32918</v>
      </c>
      <c r="E10474" t="s">
        <v>32919</v>
      </c>
      <c r="F10474" t="s">
        <v>32928</v>
      </c>
      <c r="G10474" s="2" t="str">
        <f>HYPERLINK("https://probpalata.gov.ru/files/ЮЛ550801254900008.jpeg","Скачать индивидуальный QR-код магазина")</f>
        <v>Скачать индивидуальный QR-код магазина</v>
      </c>
    </row>
    <row r="10475" spans="1:7" x14ac:dyDescent="0.25">
      <c r="A10475" t="s">
        <v>32829</v>
      </c>
      <c r="B10475" t="s">
        <v>32929</v>
      </c>
      <c r="C10475" t="s">
        <v>32917</v>
      </c>
      <c r="D10475" t="s">
        <v>32918</v>
      </c>
      <c r="E10475" t="s">
        <v>32919</v>
      </c>
      <c r="F10475" t="s">
        <v>32930</v>
      </c>
      <c r="G10475" s="2" t="str">
        <f>HYPERLINK("https://probpalata.gov.ru/files/ЮЛ550801254900009.jpeg","Скачать индивидуальный QR-код магазина")</f>
        <v>Скачать индивидуальный QR-код магазина</v>
      </c>
    </row>
    <row r="10476" spans="1:7" x14ac:dyDescent="0.25">
      <c r="A10476" t="s">
        <v>32829</v>
      </c>
      <c r="B10476" t="s">
        <v>32931</v>
      </c>
      <c r="C10476" t="s">
        <v>32917</v>
      </c>
      <c r="D10476" t="s">
        <v>32918</v>
      </c>
      <c r="E10476" t="s">
        <v>32919</v>
      </c>
      <c r="F10476" t="s">
        <v>32932</v>
      </c>
      <c r="G10476" s="2" t="str">
        <f>HYPERLINK("https://probpalata.gov.ru/files/ЮЛ550801254900010.jpeg","Скачать индивидуальный QR-код магазина")</f>
        <v>Скачать индивидуальный QR-код магазина</v>
      </c>
    </row>
    <row r="10477" spans="1:7" x14ac:dyDescent="0.25">
      <c r="A10477" t="s">
        <v>32829</v>
      </c>
      <c r="B10477" t="s">
        <v>32933</v>
      </c>
      <c r="C10477" t="s">
        <v>32934</v>
      </c>
      <c r="D10477" t="s">
        <v>32935</v>
      </c>
      <c r="E10477" t="s">
        <v>32936</v>
      </c>
      <c r="F10477" t="s">
        <v>32937</v>
      </c>
      <c r="G10477" s="2" t="str">
        <f>HYPERLINK("https://probpalata.gov.ru/files/ЮЛ550800346900000.jpeg","Скачать индивидуальный QR-код магазина")</f>
        <v>Скачать индивидуальный QR-код магазина</v>
      </c>
    </row>
    <row r="10478" spans="1:7" x14ac:dyDescent="0.25">
      <c r="A10478" t="s">
        <v>32829</v>
      </c>
      <c r="B10478" t="s">
        <v>32938</v>
      </c>
      <c r="C10478" t="s">
        <v>32939</v>
      </c>
      <c r="D10478" t="s">
        <v>32940</v>
      </c>
      <c r="E10478" t="s">
        <v>32941</v>
      </c>
      <c r="F10478" t="s">
        <v>32942</v>
      </c>
      <c r="G10478" s="2" t="str">
        <f>HYPERLINK("https://probpalata.gov.ru/files/ИП550800503200000.jpeg","Скачать индивидуальный QR-код магазина")</f>
        <v>Скачать индивидуальный QR-код магазина</v>
      </c>
    </row>
    <row r="10479" spans="1:7" x14ac:dyDescent="0.25">
      <c r="A10479" t="s">
        <v>32829</v>
      </c>
      <c r="B10479" t="s">
        <v>32943</v>
      </c>
      <c r="C10479" t="s">
        <v>32939</v>
      </c>
      <c r="D10479" t="s">
        <v>32940</v>
      </c>
      <c r="E10479" t="s">
        <v>32941</v>
      </c>
      <c r="F10479" t="s">
        <v>32944</v>
      </c>
      <c r="G10479" s="2" t="str">
        <f>HYPERLINK("https://probpalata.gov.ru/files/ИП550800503200006.jpeg","Скачать индивидуальный QR-код магазина")</f>
        <v>Скачать индивидуальный QR-код магазина</v>
      </c>
    </row>
    <row r="10480" spans="1:7" x14ac:dyDescent="0.25">
      <c r="A10480" t="s">
        <v>32829</v>
      </c>
      <c r="B10480" t="s">
        <v>32945</v>
      </c>
      <c r="C10480" t="s">
        <v>32939</v>
      </c>
      <c r="D10480" t="s">
        <v>32940</v>
      </c>
      <c r="E10480" t="s">
        <v>32941</v>
      </c>
      <c r="F10480" t="s">
        <v>32946</v>
      </c>
      <c r="G10480" s="2" t="str">
        <f>HYPERLINK("https://probpalata.gov.ru/files/ИП550800503200007.jpeg","Скачать индивидуальный QR-код магазина")</f>
        <v>Скачать индивидуальный QR-код магазина</v>
      </c>
    </row>
    <row r="10481" spans="1:7" x14ac:dyDescent="0.25">
      <c r="A10481" t="s">
        <v>32829</v>
      </c>
      <c r="B10481" t="s">
        <v>32947</v>
      </c>
      <c r="C10481" t="s">
        <v>32939</v>
      </c>
      <c r="D10481" t="s">
        <v>32940</v>
      </c>
      <c r="E10481" t="s">
        <v>32941</v>
      </c>
      <c r="F10481" t="s">
        <v>32948</v>
      </c>
      <c r="G10481" s="2" t="str">
        <f>HYPERLINK("https://probpalata.gov.ru/files/ИП550800503200008.jpeg","Скачать индивидуальный QR-код магазина")</f>
        <v>Скачать индивидуальный QR-код магазина</v>
      </c>
    </row>
    <row r="10482" spans="1:7" x14ac:dyDescent="0.25">
      <c r="A10482" t="s">
        <v>32829</v>
      </c>
      <c r="B10482" t="s">
        <v>32949</v>
      </c>
      <c r="C10482" t="s">
        <v>32950</v>
      </c>
      <c r="D10482" t="s">
        <v>32951</v>
      </c>
      <c r="E10482" t="s">
        <v>32952</v>
      </c>
      <c r="F10482" t="s">
        <v>32953</v>
      </c>
      <c r="G10482" s="2" t="str">
        <f>HYPERLINK("https://probpalata.gov.ru/files/ИП550802030700000.jpeg","Скачать индивидуальный QR-код магазина")</f>
        <v>Скачать индивидуальный QR-код магазина</v>
      </c>
    </row>
    <row r="10483" spans="1:7" x14ac:dyDescent="0.25">
      <c r="A10483" t="s">
        <v>32829</v>
      </c>
      <c r="B10483" t="s">
        <v>32954</v>
      </c>
      <c r="C10483" t="s">
        <v>32950</v>
      </c>
      <c r="D10483" t="s">
        <v>32951</v>
      </c>
      <c r="E10483" t="s">
        <v>32952</v>
      </c>
      <c r="F10483" t="s">
        <v>32955</v>
      </c>
      <c r="G10483" s="2" t="str">
        <f>HYPERLINK("https://probpalata.gov.ru/files/ИП550802030700001.jpeg","Скачать индивидуальный QR-код магазина")</f>
        <v>Скачать индивидуальный QR-код магазина</v>
      </c>
    </row>
    <row r="10484" spans="1:7" x14ac:dyDescent="0.25">
      <c r="A10484" t="s">
        <v>32829</v>
      </c>
      <c r="B10484" t="s">
        <v>32956</v>
      </c>
      <c r="C10484" t="s">
        <v>32957</v>
      </c>
      <c r="D10484" t="s">
        <v>32958</v>
      </c>
      <c r="E10484" t="s">
        <v>32959</v>
      </c>
      <c r="F10484" t="s">
        <v>32960</v>
      </c>
      <c r="G10484" s="2" t="str">
        <f>HYPERLINK("https://probpalata.gov.ru/files/ИП550800788700000.jpeg","Скачать индивидуальный QR-код магазина")</f>
        <v>Скачать индивидуальный QR-код магазина</v>
      </c>
    </row>
    <row r="10485" spans="1:7" x14ac:dyDescent="0.25">
      <c r="A10485" t="s">
        <v>32829</v>
      </c>
      <c r="B10485" t="s">
        <v>32961</v>
      </c>
      <c r="C10485" t="s">
        <v>32957</v>
      </c>
      <c r="D10485" t="s">
        <v>32958</v>
      </c>
      <c r="E10485" t="s">
        <v>32959</v>
      </c>
      <c r="F10485" t="s">
        <v>32962</v>
      </c>
      <c r="G10485" s="2" t="str">
        <f>HYPERLINK("https://probpalata.gov.ru/files/ИП550800788700002.jpeg","Скачать индивидуальный QR-код магазина")</f>
        <v>Скачать индивидуальный QR-код магазина</v>
      </c>
    </row>
    <row r="10486" spans="1:7" x14ac:dyDescent="0.25">
      <c r="A10486" t="s">
        <v>32829</v>
      </c>
      <c r="B10486" t="s">
        <v>32963</v>
      </c>
      <c r="C10486" t="s">
        <v>32957</v>
      </c>
      <c r="D10486" t="s">
        <v>32958</v>
      </c>
      <c r="E10486" t="s">
        <v>32959</v>
      </c>
      <c r="F10486" t="s">
        <v>32964</v>
      </c>
      <c r="G10486" s="2" t="str">
        <f>HYPERLINK("https://probpalata.gov.ru/files/ИП550800788700004.jpeg","Скачать индивидуальный QR-код магазина")</f>
        <v>Скачать индивидуальный QR-код магазина</v>
      </c>
    </row>
    <row r="10487" spans="1:7" x14ac:dyDescent="0.25">
      <c r="A10487" t="s">
        <v>32829</v>
      </c>
      <c r="B10487" t="s">
        <v>32965</v>
      </c>
      <c r="C10487" t="s">
        <v>32966</v>
      </c>
      <c r="D10487" t="s">
        <v>32967</v>
      </c>
      <c r="E10487" t="s">
        <v>32968</v>
      </c>
      <c r="F10487" t="s">
        <v>32969</v>
      </c>
      <c r="G10487" s="2" t="str">
        <f>HYPERLINK("https://probpalata.gov.ru/files/ИП550801118800000.jpeg","Скачать индивидуальный QR-код магазина")</f>
        <v>Скачать индивидуальный QR-код магазина</v>
      </c>
    </row>
    <row r="10488" spans="1:7" x14ac:dyDescent="0.25">
      <c r="A10488" t="s">
        <v>32829</v>
      </c>
      <c r="B10488" t="s">
        <v>32970</v>
      </c>
      <c r="C10488" t="s">
        <v>32966</v>
      </c>
      <c r="D10488" t="s">
        <v>32967</v>
      </c>
      <c r="E10488" t="s">
        <v>32968</v>
      </c>
      <c r="F10488" t="s">
        <v>32971</v>
      </c>
      <c r="G10488" s="2" t="str">
        <f>HYPERLINK("https://probpalata.gov.ru/files/ИП550801118800001.jpeg","Скачать индивидуальный QR-код магазина")</f>
        <v>Скачать индивидуальный QR-код магазина</v>
      </c>
    </row>
    <row r="10489" spans="1:7" x14ac:dyDescent="0.25">
      <c r="A10489" t="s">
        <v>32829</v>
      </c>
      <c r="B10489" t="s">
        <v>32972</v>
      </c>
      <c r="C10489" t="s">
        <v>32966</v>
      </c>
      <c r="D10489" t="s">
        <v>32967</v>
      </c>
      <c r="E10489" t="s">
        <v>32968</v>
      </c>
      <c r="F10489" t="s">
        <v>32973</v>
      </c>
      <c r="G10489" s="2" t="str">
        <f>HYPERLINK("https://probpalata.gov.ru/files/ИП550801118800002.jpeg","Скачать индивидуальный QR-код магазина")</f>
        <v>Скачать индивидуальный QR-код магазина</v>
      </c>
    </row>
    <row r="10490" spans="1:7" x14ac:dyDescent="0.25">
      <c r="A10490" t="s">
        <v>32829</v>
      </c>
      <c r="B10490" t="s">
        <v>32974</v>
      </c>
      <c r="C10490" t="s">
        <v>32975</v>
      </c>
      <c r="D10490" t="s">
        <v>32976</v>
      </c>
      <c r="E10490" t="s">
        <v>32977</v>
      </c>
      <c r="F10490" t="s">
        <v>32978</v>
      </c>
      <c r="G10490" s="2" t="str">
        <f>HYPERLINK("https://probpalata.gov.ru/files/ИП550801295600000.jpeg","Скачать индивидуальный QR-код магазина")</f>
        <v>Скачать индивидуальный QR-код магазина</v>
      </c>
    </row>
    <row r="10491" spans="1:7" x14ac:dyDescent="0.25">
      <c r="A10491" t="s">
        <v>32829</v>
      </c>
      <c r="B10491" t="s">
        <v>32979</v>
      </c>
      <c r="C10491" t="s">
        <v>32980</v>
      </c>
      <c r="D10491" t="s">
        <v>32981</v>
      </c>
      <c r="E10491" t="s">
        <v>32982</v>
      </c>
      <c r="F10491" t="s">
        <v>32983</v>
      </c>
      <c r="G10491" s="2" t="str">
        <f>HYPERLINK("https://probpalata.gov.ru/files/ЮЛ550800779100000.jpeg","Скачать индивидуальный QR-код магазина")</f>
        <v>Скачать индивидуальный QR-код магазина</v>
      </c>
    </row>
    <row r="10492" spans="1:7" x14ac:dyDescent="0.25">
      <c r="A10492" t="s">
        <v>32829</v>
      </c>
      <c r="B10492" t="s">
        <v>32984</v>
      </c>
      <c r="C10492" t="s">
        <v>12967</v>
      </c>
      <c r="D10492" t="s">
        <v>12968</v>
      </c>
      <c r="E10492" t="s">
        <v>12969</v>
      </c>
      <c r="F10492" t="s">
        <v>32985</v>
      </c>
      <c r="G10492" s="2" t="str">
        <f>HYPERLINK("https://probpalata.gov.ru/files/ЮЛ550801121800000.jpeg","Скачать индивидуальный QR-код магазина")</f>
        <v>Скачать индивидуальный QR-код магазина</v>
      </c>
    </row>
    <row r="10493" spans="1:7" x14ac:dyDescent="0.25">
      <c r="A10493" t="s">
        <v>32829</v>
      </c>
      <c r="B10493" t="s">
        <v>32986</v>
      </c>
      <c r="C10493" t="s">
        <v>32987</v>
      </c>
      <c r="D10493" t="s">
        <v>32988</v>
      </c>
      <c r="E10493" t="s">
        <v>32989</v>
      </c>
      <c r="F10493" t="s">
        <v>32990</v>
      </c>
      <c r="G10493" s="2" t="str">
        <f>HYPERLINK("https://probpalata.gov.ru/files/ЮЛ550801308300000.jpeg","Скачать индивидуальный QR-код магазина")</f>
        <v>Скачать индивидуальный QR-код магазина</v>
      </c>
    </row>
    <row r="10494" spans="1:7" x14ac:dyDescent="0.25">
      <c r="A10494" t="s">
        <v>32829</v>
      </c>
      <c r="B10494" t="s">
        <v>32991</v>
      </c>
      <c r="C10494" t="s">
        <v>32987</v>
      </c>
      <c r="D10494" t="s">
        <v>32988</v>
      </c>
      <c r="E10494" t="s">
        <v>32989</v>
      </c>
      <c r="F10494" t="s">
        <v>32992</v>
      </c>
      <c r="G10494" s="2" t="str">
        <f>HYPERLINK("https://probpalata.gov.ru/files/ЮЛ550801308300001.jpeg","Скачать индивидуальный QR-код магазина")</f>
        <v>Скачать индивидуальный QR-код магазина</v>
      </c>
    </row>
    <row r="10495" spans="1:7" x14ac:dyDescent="0.25">
      <c r="A10495" t="s">
        <v>32829</v>
      </c>
      <c r="B10495" t="s">
        <v>32993</v>
      </c>
      <c r="C10495" t="s">
        <v>32994</v>
      </c>
      <c r="D10495" t="s">
        <v>32995</v>
      </c>
      <c r="E10495" t="s">
        <v>32996</v>
      </c>
      <c r="F10495" t="s">
        <v>32997</v>
      </c>
      <c r="G10495" s="2" t="str">
        <f>HYPERLINK("https://probpalata.gov.ru/files/ЮЛ550800680500000.jpeg","Скачать индивидуальный QR-код магазина")</f>
        <v>Скачать индивидуальный QR-код магазина</v>
      </c>
    </row>
    <row r="10496" spans="1:7" x14ac:dyDescent="0.25">
      <c r="A10496" t="s">
        <v>32829</v>
      </c>
      <c r="B10496" t="s">
        <v>32998</v>
      </c>
      <c r="C10496" t="s">
        <v>32994</v>
      </c>
      <c r="D10496" t="s">
        <v>32995</v>
      </c>
      <c r="E10496" t="s">
        <v>32996</v>
      </c>
      <c r="F10496" t="s">
        <v>32999</v>
      </c>
      <c r="G10496" s="2" t="str">
        <f>HYPERLINK("https://probpalata.gov.ru/files/ЮЛ550800680500002.jpeg","Скачать индивидуальный QR-код магазина")</f>
        <v>Скачать индивидуальный QR-код магазина</v>
      </c>
    </row>
    <row r="10497" spans="1:7" x14ac:dyDescent="0.25">
      <c r="A10497" t="s">
        <v>32829</v>
      </c>
      <c r="B10497" t="s">
        <v>33000</v>
      </c>
      <c r="C10497" t="s">
        <v>32994</v>
      </c>
      <c r="D10497" t="s">
        <v>32995</v>
      </c>
      <c r="E10497" t="s">
        <v>32996</v>
      </c>
      <c r="F10497" t="s">
        <v>33001</v>
      </c>
      <c r="G10497" s="2" t="str">
        <f>HYPERLINK("https://probpalata.gov.ru/files/ЮЛ550800680500003.jpeg","Скачать индивидуальный QR-код магазина")</f>
        <v>Скачать индивидуальный QR-код магазина</v>
      </c>
    </row>
    <row r="10498" spans="1:7" x14ac:dyDescent="0.25">
      <c r="A10498" t="s">
        <v>32829</v>
      </c>
      <c r="B10498" t="s">
        <v>33002</v>
      </c>
      <c r="C10498" t="s">
        <v>32994</v>
      </c>
      <c r="D10498" t="s">
        <v>32995</v>
      </c>
      <c r="E10498" t="s">
        <v>32996</v>
      </c>
      <c r="F10498" t="s">
        <v>33003</v>
      </c>
      <c r="G10498" s="2" t="str">
        <f>HYPERLINK("https://probpalata.gov.ru/files/ЮЛ550800680500004.jpeg","Скачать индивидуальный QR-код магазина")</f>
        <v>Скачать индивидуальный QR-код магазина</v>
      </c>
    </row>
    <row r="10499" spans="1:7" x14ac:dyDescent="0.25">
      <c r="A10499" t="s">
        <v>32829</v>
      </c>
      <c r="B10499" t="s">
        <v>33004</v>
      </c>
      <c r="C10499" t="s">
        <v>32994</v>
      </c>
      <c r="D10499" t="s">
        <v>32995</v>
      </c>
      <c r="E10499" t="s">
        <v>32996</v>
      </c>
      <c r="F10499" t="s">
        <v>33005</v>
      </c>
      <c r="G10499" s="2" t="str">
        <f>HYPERLINK("https://probpalata.gov.ru/files/ЮЛ550800680500005.jpeg","Скачать индивидуальный QR-код магазина")</f>
        <v>Скачать индивидуальный QR-код магазина</v>
      </c>
    </row>
    <row r="10500" spans="1:7" x14ac:dyDescent="0.25">
      <c r="A10500" t="s">
        <v>32829</v>
      </c>
      <c r="B10500" t="s">
        <v>33006</v>
      </c>
      <c r="C10500" t="s">
        <v>32994</v>
      </c>
      <c r="D10500" t="s">
        <v>32995</v>
      </c>
      <c r="E10500" t="s">
        <v>32996</v>
      </c>
      <c r="F10500" t="s">
        <v>33007</v>
      </c>
      <c r="G10500" s="2" t="str">
        <f>HYPERLINK("https://probpalata.gov.ru/files/ЮЛ550800680500006.jpeg","Скачать индивидуальный QR-код магазина")</f>
        <v>Скачать индивидуальный QR-код магазина</v>
      </c>
    </row>
    <row r="10501" spans="1:7" x14ac:dyDescent="0.25">
      <c r="A10501" t="s">
        <v>32829</v>
      </c>
      <c r="B10501" t="s">
        <v>33008</v>
      </c>
      <c r="C10501" t="s">
        <v>32994</v>
      </c>
      <c r="D10501" t="s">
        <v>32995</v>
      </c>
      <c r="E10501" t="s">
        <v>32996</v>
      </c>
      <c r="F10501" t="s">
        <v>33009</v>
      </c>
      <c r="G10501" s="2" t="str">
        <f>HYPERLINK("https://probpalata.gov.ru/files/ЮЛ550800680500007.jpeg","Скачать индивидуальный QR-код магазина")</f>
        <v>Скачать индивидуальный QR-код магазина</v>
      </c>
    </row>
    <row r="10502" spans="1:7" x14ac:dyDescent="0.25">
      <c r="A10502" t="s">
        <v>32829</v>
      </c>
      <c r="B10502" t="s">
        <v>32881</v>
      </c>
      <c r="C10502" t="s">
        <v>32994</v>
      </c>
      <c r="D10502" t="s">
        <v>32995</v>
      </c>
      <c r="E10502" t="s">
        <v>32996</v>
      </c>
      <c r="F10502" t="s">
        <v>33010</v>
      </c>
      <c r="G10502" s="2" t="str">
        <f>HYPERLINK("https://probpalata.gov.ru/files/ЮЛ550800680500008.jpeg","Скачать индивидуальный QR-код магазина")</f>
        <v>Скачать индивидуальный QR-код магазина</v>
      </c>
    </row>
    <row r="10503" spans="1:7" x14ac:dyDescent="0.25">
      <c r="A10503" t="s">
        <v>32829</v>
      </c>
      <c r="B10503" t="s">
        <v>33011</v>
      </c>
      <c r="C10503" t="s">
        <v>32994</v>
      </c>
      <c r="D10503" t="s">
        <v>32995</v>
      </c>
      <c r="E10503" t="s">
        <v>32996</v>
      </c>
      <c r="F10503" t="s">
        <v>33012</v>
      </c>
      <c r="G10503" s="2" t="str">
        <f>HYPERLINK("https://probpalata.gov.ru/files/ЮЛ550800680500009.jpeg","Скачать индивидуальный QR-код магазина")</f>
        <v>Скачать индивидуальный QR-код магазина</v>
      </c>
    </row>
    <row r="10504" spans="1:7" x14ac:dyDescent="0.25">
      <c r="A10504" t="s">
        <v>32829</v>
      </c>
      <c r="B10504" t="s">
        <v>33013</v>
      </c>
      <c r="C10504" t="s">
        <v>32994</v>
      </c>
      <c r="D10504" t="s">
        <v>32995</v>
      </c>
      <c r="E10504" t="s">
        <v>32996</v>
      </c>
      <c r="F10504" t="s">
        <v>33014</v>
      </c>
      <c r="G10504" s="2" t="str">
        <f>HYPERLINK("https://probpalata.gov.ru/files/ЮЛ550800680500010.jpeg","Скачать индивидуальный QR-код магазина")</f>
        <v>Скачать индивидуальный QR-код магазина</v>
      </c>
    </row>
    <row r="10505" spans="1:7" x14ac:dyDescent="0.25">
      <c r="A10505" t="s">
        <v>32829</v>
      </c>
      <c r="B10505" t="s">
        <v>33015</v>
      </c>
      <c r="C10505" t="s">
        <v>32994</v>
      </c>
      <c r="D10505" t="s">
        <v>32995</v>
      </c>
      <c r="E10505" t="s">
        <v>32996</v>
      </c>
      <c r="F10505" t="s">
        <v>33016</v>
      </c>
      <c r="G10505" s="2" t="str">
        <f>HYPERLINK("https://probpalata.gov.ru/files/ЮЛ550800680500012.jpeg","Скачать индивидуальный QR-код магазина")</f>
        <v>Скачать индивидуальный QR-код магазина</v>
      </c>
    </row>
    <row r="10506" spans="1:7" x14ac:dyDescent="0.25">
      <c r="A10506" t="s">
        <v>32829</v>
      </c>
      <c r="B10506" t="s">
        <v>33017</v>
      </c>
      <c r="C10506" t="s">
        <v>32994</v>
      </c>
      <c r="D10506" t="s">
        <v>32995</v>
      </c>
      <c r="E10506" t="s">
        <v>32996</v>
      </c>
      <c r="F10506" t="s">
        <v>33018</v>
      </c>
      <c r="G10506" s="2" t="str">
        <f>HYPERLINK("https://probpalata.gov.ru/files/ЮЛ550800680500013.jpeg","Скачать индивидуальный QR-код магазина")</f>
        <v>Скачать индивидуальный QR-код магазина</v>
      </c>
    </row>
    <row r="10507" spans="1:7" x14ac:dyDescent="0.25">
      <c r="A10507" t="s">
        <v>32829</v>
      </c>
      <c r="B10507" t="s">
        <v>33019</v>
      </c>
      <c r="C10507" t="s">
        <v>32994</v>
      </c>
      <c r="D10507" t="s">
        <v>32995</v>
      </c>
      <c r="E10507" t="s">
        <v>32996</v>
      </c>
      <c r="F10507" t="s">
        <v>33020</v>
      </c>
      <c r="G10507" s="2" t="str">
        <f>HYPERLINK("https://probpalata.gov.ru/files/ЮЛ550800680500014.jpeg","Скачать индивидуальный QR-код магазина")</f>
        <v>Скачать индивидуальный QR-код магазина</v>
      </c>
    </row>
    <row r="10508" spans="1:7" x14ac:dyDescent="0.25">
      <c r="A10508" t="s">
        <v>32829</v>
      </c>
      <c r="B10508" t="s">
        <v>33021</v>
      </c>
      <c r="C10508" t="s">
        <v>32994</v>
      </c>
      <c r="D10508" t="s">
        <v>32995</v>
      </c>
      <c r="E10508" t="s">
        <v>32996</v>
      </c>
      <c r="F10508" t="s">
        <v>33022</v>
      </c>
      <c r="G10508" s="2" t="str">
        <f>HYPERLINK("https://probpalata.gov.ru/files/ЮЛ550800680500015.jpeg","Скачать индивидуальный QR-код магазина")</f>
        <v>Скачать индивидуальный QR-код магазина</v>
      </c>
    </row>
    <row r="10509" spans="1:7" x14ac:dyDescent="0.25">
      <c r="A10509" t="s">
        <v>32829</v>
      </c>
      <c r="B10509" t="s">
        <v>32894</v>
      </c>
      <c r="C10509" t="s">
        <v>32994</v>
      </c>
      <c r="D10509" t="s">
        <v>32995</v>
      </c>
      <c r="E10509" t="s">
        <v>32996</v>
      </c>
      <c r="F10509" t="s">
        <v>33023</v>
      </c>
      <c r="G10509" s="2" t="str">
        <f>HYPERLINK("https://probpalata.gov.ru/files/ЮЛ550800680500016.jpeg","Скачать индивидуальный QR-код магазина")</f>
        <v>Скачать индивидуальный QR-код магазина</v>
      </c>
    </row>
    <row r="10510" spans="1:7" x14ac:dyDescent="0.25">
      <c r="A10510" t="s">
        <v>32829</v>
      </c>
      <c r="B10510" t="s">
        <v>33024</v>
      </c>
      <c r="C10510" t="s">
        <v>32994</v>
      </c>
      <c r="D10510" t="s">
        <v>32995</v>
      </c>
      <c r="E10510" t="s">
        <v>32996</v>
      </c>
      <c r="F10510" t="s">
        <v>33025</v>
      </c>
      <c r="G10510" s="2" t="str">
        <f>HYPERLINK("https://probpalata.gov.ru/files/ЮЛ550800680500017.jpeg","Скачать индивидуальный QR-код магазина")</f>
        <v>Скачать индивидуальный QR-код магазина</v>
      </c>
    </row>
    <row r="10511" spans="1:7" x14ac:dyDescent="0.25">
      <c r="A10511" t="s">
        <v>32829</v>
      </c>
      <c r="B10511" t="s">
        <v>33026</v>
      </c>
      <c r="C10511" t="s">
        <v>32994</v>
      </c>
      <c r="D10511" t="s">
        <v>32995</v>
      </c>
      <c r="E10511" t="s">
        <v>32996</v>
      </c>
      <c r="F10511" t="s">
        <v>33027</v>
      </c>
      <c r="G10511" s="2" t="str">
        <f>HYPERLINK("https://probpalata.gov.ru/files/ЮЛ550800680500018.jpeg","Скачать индивидуальный QR-код магазина")</f>
        <v>Скачать индивидуальный QR-код магазина</v>
      </c>
    </row>
    <row r="10512" spans="1:7" x14ac:dyDescent="0.25">
      <c r="A10512" t="s">
        <v>32829</v>
      </c>
      <c r="B10512" t="s">
        <v>32894</v>
      </c>
      <c r="C10512" t="s">
        <v>32994</v>
      </c>
      <c r="D10512" t="s">
        <v>32995</v>
      </c>
      <c r="E10512" t="s">
        <v>32996</v>
      </c>
      <c r="F10512" t="s">
        <v>33028</v>
      </c>
      <c r="G10512" s="2" t="str">
        <f>HYPERLINK("https://probpalata.gov.ru/files/ЮЛ550800680500019.jpeg","Скачать индивидуальный QR-код магазина")</f>
        <v>Скачать индивидуальный QR-код магазина</v>
      </c>
    </row>
    <row r="10513" spans="1:7" x14ac:dyDescent="0.25">
      <c r="A10513" t="s">
        <v>32829</v>
      </c>
      <c r="B10513" t="s">
        <v>33029</v>
      </c>
      <c r="C10513" t="s">
        <v>32994</v>
      </c>
      <c r="D10513" t="s">
        <v>32995</v>
      </c>
      <c r="E10513" t="s">
        <v>32996</v>
      </c>
      <c r="F10513" t="s">
        <v>33030</v>
      </c>
      <c r="G10513" s="2" t="str">
        <f>HYPERLINK("https://probpalata.gov.ru/files/ЮЛ550800680500020.jpeg","Скачать индивидуальный QR-код магазина")</f>
        <v>Скачать индивидуальный QR-код магазина</v>
      </c>
    </row>
    <row r="10514" spans="1:7" x14ac:dyDescent="0.25">
      <c r="A10514" t="s">
        <v>32829</v>
      </c>
      <c r="B10514" t="s">
        <v>33031</v>
      </c>
      <c r="C10514" t="s">
        <v>32994</v>
      </c>
      <c r="D10514" t="s">
        <v>32995</v>
      </c>
      <c r="E10514" t="s">
        <v>32996</v>
      </c>
      <c r="F10514" t="s">
        <v>33032</v>
      </c>
      <c r="G10514" s="2" t="str">
        <f>HYPERLINK("https://probpalata.gov.ru/files/ЮЛ550800680500021.jpeg","Скачать индивидуальный QR-код магазина")</f>
        <v>Скачать индивидуальный QR-код магазина</v>
      </c>
    </row>
    <row r="10515" spans="1:7" x14ac:dyDescent="0.25">
      <c r="A10515" t="s">
        <v>32829</v>
      </c>
      <c r="B10515" t="s">
        <v>33033</v>
      </c>
      <c r="C10515" t="s">
        <v>32994</v>
      </c>
      <c r="D10515" t="s">
        <v>32995</v>
      </c>
      <c r="E10515" t="s">
        <v>32996</v>
      </c>
      <c r="F10515" t="s">
        <v>33034</v>
      </c>
      <c r="G10515" s="2" t="str">
        <f>HYPERLINK("https://probpalata.gov.ru/files/ЮЛ550800680500022.jpeg","Скачать индивидуальный QR-код магазина")</f>
        <v>Скачать индивидуальный QR-код магазина</v>
      </c>
    </row>
    <row r="10516" spans="1:7" x14ac:dyDescent="0.25">
      <c r="A10516" t="s">
        <v>32829</v>
      </c>
      <c r="B10516" t="s">
        <v>33035</v>
      </c>
      <c r="C10516" t="s">
        <v>32994</v>
      </c>
      <c r="D10516" t="s">
        <v>32995</v>
      </c>
      <c r="E10516" t="s">
        <v>32996</v>
      </c>
      <c r="F10516" t="s">
        <v>33036</v>
      </c>
      <c r="G10516" s="2" t="str">
        <f>HYPERLINK("https://probpalata.gov.ru/files/ЮЛ550800680500023.jpeg","Скачать индивидуальный QR-код магазина")</f>
        <v>Скачать индивидуальный QR-код магазина</v>
      </c>
    </row>
    <row r="10517" spans="1:7" x14ac:dyDescent="0.25">
      <c r="A10517" t="s">
        <v>32829</v>
      </c>
      <c r="B10517" t="s">
        <v>33037</v>
      </c>
      <c r="C10517" t="s">
        <v>32994</v>
      </c>
      <c r="D10517" t="s">
        <v>32995</v>
      </c>
      <c r="E10517" t="s">
        <v>32996</v>
      </c>
      <c r="F10517" t="s">
        <v>33038</v>
      </c>
      <c r="G10517" s="2" t="str">
        <f>HYPERLINK("https://probpalata.gov.ru/files/ЮЛ550800680500024.jpeg","Скачать индивидуальный QR-код магазина")</f>
        <v>Скачать индивидуальный QR-код магазина</v>
      </c>
    </row>
    <row r="10518" spans="1:7" x14ac:dyDescent="0.25">
      <c r="A10518" t="s">
        <v>32829</v>
      </c>
      <c r="B10518" t="s">
        <v>33039</v>
      </c>
      <c r="C10518" t="s">
        <v>32994</v>
      </c>
      <c r="D10518" t="s">
        <v>32995</v>
      </c>
      <c r="E10518" t="s">
        <v>32996</v>
      </c>
      <c r="F10518" t="s">
        <v>33040</v>
      </c>
      <c r="G10518" s="2" t="str">
        <f>HYPERLINK("https://probpalata.gov.ru/files/ЮЛ550800680500025.jpeg","Скачать индивидуальный QR-код магазина")</f>
        <v>Скачать индивидуальный QR-код магазина</v>
      </c>
    </row>
    <row r="10519" spans="1:7" x14ac:dyDescent="0.25">
      <c r="A10519" t="s">
        <v>32829</v>
      </c>
      <c r="B10519" t="s">
        <v>33041</v>
      </c>
      <c r="C10519" t="s">
        <v>33042</v>
      </c>
      <c r="D10519" t="s">
        <v>33043</v>
      </c>
      <c r="E10519" t="s">
        <v>33044</v>
      </c>
      <c r="F10519" t="s">
        <v>33045</v>
      </c>
      <c r="G10519" s="2" t="str">
        <f>HYPERLINK("https://probpalata.gov.ru/files/ИП550801572300000.jpeg","Скачать индивидуальный QR-код магазина")</f>
        <v>Скачать индивидуальный QR-код магазина</v>
      </c>
    </row>
    <row r="10520" spans="1:7" x14ac:dyDescent="0.25">
      <c r="A10520" t="s">
        <v>32829</v>
      </c>
      <c r="B10520" t="s">
        <v>33046</v>
      </c>
      <c r="C10520" t="s">
        <v>33047</v>
      </c>
      <c r="D10520" t="s">
        <v>33048</v>
      </c>
      <c r="E10520" t="s">
        <v>33049</v>
      </c>
      <c r="F10520" t="s">
        <v>33050</v>
      </c>
      <c r="G10520" s="2" t="str">
        <f>HYPERLINK("https://probpalata.gov.ru/files/ЮЛ550801300800000.jpeg","Скачать индивидуальный QR-код магазина")</f>
        <v>Скачать индивидуальный QR-код магазина</v>
      </c>
    </row>
    <row r="10521" spans="1:7" x14ac:dyDescent="0.25">
      <c r="A10521" t="s">
        <v>32829</v>
      </c>
      <c r="B10521" t="s">
        <v>33051</v>
      </c>
      <c r="C10521" t="s">
        <v>33047</v>
      </c>
      <c r="D10521" t="s">
        <v>33048</v>
      </c>
      <c r="E10521" t="s">
        <v>33049</v>
      </c>
      <c r="F10521" t="s">
        <v>33052</v>
      </c>
      <c r="G10521" s="2" t="str">
        <f>HYPERLINK("https://probpalata.gov.ru/files/ЮЛ550801300800001.jpeg","Скачать индивидуальный QR-код магазина")</f>
        <v>Скачать индивидуальный QR-код магазина</v>
      </c>
    </row>
    <row r="10522" spans="1:7" x14ac:dyDescent="0.25">
      <c r="A10522" t="s">
        <v>32829</v>
      </c>
      <c r="B10522" t="s">
        <v>33053</v>
      </c>
      <c r="C10522" t="s">
        <v>33047</v>
      </c>
      <c r="D10522" t="s">
        <v>33048</v>
      </c>
      <c r="E10522" t="s">
        <v>33049</v>
      </c>
      <c r="F10522" t="s">
        <v>33054</v>
      </c>
      <c r="G10522" s="2" t="str">
        <f>HYPERLINK("https://probpalata.gov.ru/files/ЮЛ550801300800002.jpeg","Скачать индивидуальный QR-код магазина")</f>
        <v>Скачать индивидуальный QR-код магазина</v>
      </c>
    </row>
    <row r="10523" spans="1:7" x14ac:dyDescent="0.25">
      <c r="A10523" t="s">
        <v>32829</v>
      </c>
      <c r="B10523" t="s">
        <v>33055</v>
      </c>
      <c r="C10523" t="s">
        <v>33047</v>
      </c>
      <c r="D10523" t="s">
        <v>33048</v>
      </c>
      <c r="E10523" t="s">
        <v>33049</v>
      </c>
      <c r="F10523" t="s">
        <v>33056</v>
      </c>
      <c r="G10523" s="2" t="str">
        <f>HYPERLINK("https://probpalata.gov.ru/files/ЮЛ550801300800003.jpeg","Скачать индивидуальный QR-код магазина")</f>
        <v>Скачать индивидуальный QR-код магазина</v>
      </c>
    </row>
    <row r="10524" spans="1:7" x14ac:dyDescent="0.25">
      <c r="A10524" t="s">
        <v>32829</v>
      </c>
      <c r="B10524" t="s">
        <v>33057</v>
      </c>
      <c r="C10524" t="s">
        <v>33047</v>
      </c>
      <c r="D10524" t="s">
        <v>33048</v>
      </c>
      <c r="E10524" t="s">
        <v>33049</v>
      </c>
      <c r="F10524" t="s">
        <v>33058</v>
      </c>
      <c r="G10524" s="2" t="str">
        <f>HYPERLINK("https://probpalata.gov.ru/files/ЮЛ550801300800004.jpeg","Скачать индивидуальный QR-код магазина")</f>
        <v>Скачать индивидуальный QR-код магазина</v>
      </c>
    </row>
    <row r="10525" spans="1:7" x14ac:dyDescent="0.25">
      <c r="A10525" t="s">
        <v>32829</v>
      </c>
      <c r="B10525" t="s">
        <v>33059</v>
      </c>
      <c r="C10525" t="s">
        <v>33047</v>
      </c>
      <c r="D10525" t="s">
        <v>33048</v>
      </c>
      <c r="E10525" t="s">
        <v>33049</v>
      </c>
      <c r="F10525" t="s">
        <v>33060</v>
      </c>
      <c r="G10525" s="2" t="str">
        <f>HYPERLINK("https://probpalata.gov.ru/files/ЮЛ550801300800005.jpeg","Скачать индивидуальный QR-код магазина")</f>
        <v>Скачать индивидуальный QR-код магазина</v>
      </c>
    </row>
    <row r="10526" spans="1:7" x14ac:dyDescent="0.25">
      <c r="A10526" t="s">
        <v>32829</v>
      </c>
      <c r="B10526" t="s">
        <v>33061</v>
      </c>
      <c r="C10526" t="s">
        <v>28944</v>
      </c>
      <c r="D10526" t="s">
        <v>33062</v>
      </c>
      <c r="E10526" t="s">
        <v>33063</v>
      </c>
      <c r="F10526" t="s">
        <v>33064</v>
      </c>
      <c r="G10526" s="2" t="str">
        <f>HYPERLINK("https://probpalata.gov.ru/files/ЮЛ550803982200000.jpeg","Скачать индивидуальный QR-код магазина")</f>
        <v>Скачать индивидуальный QR-код магазина</v>
      </c>
    </row>
    <row r="10527" spans="1:7" x14ac:dyDescent="0.25">
      <c r="A10527" t="s">
        <v>32829</v>
      </c>
      <c r="B10527" t="s">
        <v>32986</v>
      </c>
      <c r="C10527" t="s">
        <v>33065</v>
      </c>
      <c r="D10527" t="s">
        <v>33066</v>
      </c>
      <c r="E10527" t="s">
        <v>33067</v>
      </c>
      <c r="F10527" t="s">
        <v>33068</v>
      </c>
      <c r="G10527" s="2" t="str">
        <f>HYPERLINK("https://probpalata.gov.ru/files/ИП550803705300000.jpeg","Скачать индивидуальный QR-код магазина")</f>
        <v>Скачать индивидуальный QR-код магазина</v>
      </c>
    </row>
    <row r="10528" spans="1:7" x14ac:dyDescent="0.25">
      <c r="A10528" t="s">
        <v>32829</v>
      </c>
      <c r="B10528" t="s">
        <v>33069</v>
      </c>
      <c r="C10528" t="s">
        <v>33065</v>
      </c>
      <c r="D10528" t="s">
        <v>33066</v>
      </c>
      <c r="E10528" t="s">
        <v>33067</v>
      </c>
      <c r="F10528" t="s">
        <v>33070</v>
      </c>
      <c r="G10528" s="2" t="str">
        <f>HYPERLINK("https://probpalata.gov.ru/files/ИП550803705300001.jpeg","Скачать индивидуальный QR-код магазина")</f>
        <v>Скачать индивидуальный QR-код магазина</v>
      </c>
    </row>
    <row r="10529" spans="1:7" x14ac:dyDescent="0.25">
      <c r="A10529" t="s">
        <v>32829</v>
      </c>
      <c r="B10529" t="s">
        <v>33071</v>
      </c>
      <c r="C10529" t="s">
        <v>33072</v>
      </c>
      <c r="D10529" t="s">
        <v>33073</v>
      </c>
      <c r="E10529" t="s">
        <v>33074</v>
      </c>
      <c r="F10529" t="s">
        <v>33075</v>
      </c>
      <c r="G10529" s="2" t="str">
        <f>HYPERLINK("https://probpalata.gov.ru/files/ИП770102016800000.jpeg","Скачать индивидуальный QR-код магазина")</f>
        <v>Скачать индивидуальный QR-код магазина</v>
      </c>
    </row>
    <row r="10530" spans="1:7" x14ac:dyDescent="0.25">
      <c r="A10530" t="s">
        <v>32829</v>
      </c>
      <c r="B10530" t="s">
        <v>33076</v>
      </c>
      <c r="C10530" t="s">
        <v>33077</v>
      </c>
      <c r="D10530" t="s">
        <v>33078</v>
      </c>
      <c r="E10530" t="s">
        <v>33079</v>
      </c>
      <c r="F10530" t="s">
        <v>33080</v>
      </c>
      <c r="G10530" s="2" t="str">
        <f>HYPERLINK("https://probpalata.gov.ru/files/ИП550803796200000.jpeg","Скачать индивидуальный QR-код магазина")</f>
        <v>Скачать индивидуальный QR-код магазина</v>
      </c>
    </row>
    <row r="10531" spans="1:7" x14ac:dyDescent="0.25">
      <c r="A10531" t="s">
        <v>32829</v>
      </c>
      <c r="B10531" t="s">
        <v>33031</v>
      </c>
      <c r="C10531" t="s">
        <v>33081</v>
      </c>
      <c r="D10531" t="s">
        <v>33082</v>
      </c>
      <c r="E10531" t="s">
        <v>33083</v>
      </c>
      <c r="F10531" t="s">
        <v>33084</v>
      </c>
      <c r="G10531" s="2" t="str">
        <f>HYPERLINK("https://probpalata.gov.ru/files/ИП550801527000000.jpeg","Скачать индивидуальный QR-код магазина")</f>
        <v>Скачать индивидуальный QR-код магазина</v>
      </c>
    </row>
    <row r="10532" spans="1:7" x14ac:dyDescent="0.25">
      <c r="A10532" t="s">
        <v>32829</v>
      </c>
      <c r="B10532" t="s">
        <v>33029</v>
      </c>
      <c r="C10532" t="s">
        <v>33081</v>
      </c>
      <c r="D10532" t="s">
        <v>33082</v>
      </c>
      <c r="E10532" t="s">
        <v>33083</v>
      </c>
      <c r="F10532" t="s">
        <v>33085</v>
      </c>
      <c r="G10532" s="2" t="str">
        <f>HYPERLINK("https://probpalata.gov.ru/files/ИП550801527000001.jpeg","Скачать индивидуальный QR-код магазина")</f>
        <v>Скачать индивидуальный QR-код магазина</v>
      </c>
    </row>
    <row r="10533" spans="1:7" x14ac:dyDescent="0.25">
      <c r="A10533" t="s">
        <v>32829</v>
      </c>
      <c r="B10533" t="s">
        <v>33086</v>
      </c>
      <c r="C10533" t="s">
        <v>33081</v>
      </c>
      <c r="D10533" t="s">
        <v>33082</v>
      </c>
      <c r="E10533" t="s">
        <v>33083</v>
      </c>
      <c r="F10533" t="s">
        <v>33087</v>
      </c>
      <c r="G10533" s="2" t="str">
        <f>HYPERLINK("https://probpalata.gov.ru/files/ИП550801527000002.jpeg","Скачать индивидуальный QR-код магазина")</f>
        <v>Скачать индивидуальный QR-код магазина</v>
      </c>
    </row>
    <row r="10534" spans="1:7" x14ac:dyDescent="0.25">
      <c r="A10534" t="s">
        <v>32829</v>
      </c>
      <c r="B10534" t="s">
        <v>33088</v>
      </c>
      <c r="C10534" t="s">
        <v>33081</v>
      </c>
      <c r="D10534" t="s">
        <v>33082</v>
      </c>
      <c r="E10534" t="s">
        <v>33083</v>
      </c>
      <c r="F10534" t="s">
        <v>33089</v>
      </c>
      <c r="G10534" s="2" t="str">
        <f>HYPERLINK("https://probpalata.gov.ru/files/ИП550801527000003.jpeg","Скачать индивидуальный QR-код магазина")</f>
        <v>Скачать индивидуальный QR-код магазина</v>
      </c>
    </row>
    <row r="10535" spans="1:7" x14ac:dyDescent="0.25">
      <c r="A10535" t="s">
        <v>32829</v>
      </c>
      <c r="B10535" t="s">
        <v>33090</v>
      </c>
      <c r="C10535" t="s">
        <v>33091</v>
      </c>
      <c r="D10535" t="s">
        <v>33092</v>
      </c>
      <c r="E10535" t="s">
        <v>33093</v>
      </c>
      <c r="F10535" t="s">
        <v>33094</v>
      </c>
      <c r="G10535" s="2" t="str">
        <f>HYPERLINK("https://probpalata.gov.ru/files/ИП550801262500000.jpeg","Скачать индивидуальный QR-код магазина")</f>
        <v>Скачать индивидуальный QR-код магазина</v>
      </c>
    </row>
    <row r="10536" spans="1:7" x14ac:dyDescent="0.25">
      <c r="A10536" t="s">
        <v>32829</v>
      </c>
      <c r="B10536" t="s">
        <v>33095</v>
      </c>
      <c r="C10536" t="s">
        <v>33091</v>
      </c>
      <c r="D10536" t="s">
        <v>33092</v>
      </c>
      <c r="E10536" t="s">
        <v>33093</v>
      </c>
      <c r="F10536" t="s">
        <v>33096</v>
      </c>
      <c r="G10536" s="2" t="str">
        <f>HYPERLINK("https://probpalata.gov.ru/files/ИП550801262500002.jpeg","Скачать индивидуальный QR-код магазина")</f>
        <v>Скачать индивидуальный QR-код магазина</v>
      </c>
    </row>
    <row r="10537" spans="1:7" x14ac:dyDescent="0.25">
      <c r="A10537" t="s">
        <v>32829</v>
      </c>
      <c r="B10537" t="s">
        <v>33097</v>
      </c>
      <c r="C10537" t="s">
        <v>33091</v>
      </c>
      <c r="D10537" t="s">
        <v>33092</v>
      </c>
      <c r="E10537" t="s">
        <v>33093</v>
      </c>
      <c r="F10537" t="s">
        <v>33098</v>
      </c>
      <c r="G10537" s="2" t="str">
        <f>HYPERLINK("https://probpalata.gov.ru/files/ИП550801262500004.jpeg","Скачать индивидуальный QR-код магазина")</f>
        <v>Скачать индивидуальный QR-код магазина</v>
      </c>
    </row>
    <row r="10538" spans="1:7" x14ac:dyDescent="0.25">
      <c r="A10538" t="s">
        <v>32829</v>
      </c>
      <c r="B10538" t="s">
        <v>33099</v>
      </c>
      <c r="C10538" t="s">
        <v>33100</v>
      </c>
      <c r="D10538" t="s">
        <v>33101</v>
      </c>
      <c r="E10538" t="s">
        <v>33102</v>
      </c>
      <c r="F10538" t="s">
        <v>33103</v>
      </c>
      <c r="G10538" s="2" t="str">
        <f>HYPERLINK("https://probpalata.gov.ru/files/ИП550801497100000.jpeg","Скачать индивидуальный QR-код магазина")</f>
        <v>Скачать индивидуальный QR-код магазина</v>
      </c>
    </row>
    <row r="10539" spans="1:7" x14ac:dyDescent="0.25">
      <c r="A10539" t="s">
        <v>32829</v>
      </c>
      <c r="B10539" t="s">
        <v>32841</v>
      </c>
      <c r="C10539" t="s">
        <v>33100</v>
      </c>
      <c r="D10539" t="s">
        <v>33101</v>
      </c>
      <c r="E10539" t="s">
        <v>33102</v>
      </c>
      <c r="F10539" t="s">
        <v>33104</v>
      </c>
      <c r="G10539" s="2" t="str">
        <f>HYPERLINK("https://probpalata.gov.ru/files/ИП550801497100002.jpeg","Скачать индивидуальный QR-код магазина")</f>
        <v>Скачать индивидуальный QR-код магазина</v>
      </c>
    </row>
    <row r="10540" spans="1:7" x14ac:dyDescent="0.25">
      <c r="A10540" t="s">
        <v>32829</v>
      </c>
      <c r="B10540" t="s">
        <v>33105</v>
      </c>
      <c r="C10540" t="s">
        <v>33106</v>
      </c>
      <c r="D10540" t="s">
        <v>33107</v>
      </c>
      <c r="E10540" t="s">
        <v>33108</v>
      </c>
      <c r="F10540" t="s">
        <v>33109</v>
      </c>
      <c r="G10540" s="2" t="str">
        <f>HYPERLINK("https://probpalata.gov.ru/files/ИП550801415800002.jpeg","Скачать индивидуальный QR-код магазина")</f>
        <v>Скачать индивидуальный QR-код магазина</v>
      </c>
    </row>
    <row r="10541" spans="1:7" x14ac:dyDescent="0.25">
      <c r="A10541" t="s">
        <v>32829</v>
      </c>
      <c r="B10541" t="s">
        <v>33110</v>
      </c>
      <c r="C10541" t="s">
        <v>33106</v>
      </c>
      <c r="D10541" t="s">
        <v>33107</v>
      </c>
      <c r="E10541" t="s">
        <v>33108</v>
      </c>
      <c r="F10541" t="s">
        <v>33111</v>
      </c>
      <c r="G10541" s="2" t="str">
        <f>HYPERLINK("https://probpalata.gov.ru/files/ИП550801415800003.jpeg","Скачать индивидуальный QR-код магазина")</f>
        <v>Скачать индивидуальный QR-код магазина</v>
      </c>
    </row>
    <row r="10542" spans="1:7" x14ac:dyDescent="0.25">
      <c r="A10542" t="s">
        <v>32829</v>
      </c>
      <c r="B10542" t="s">
        <v>33000</v>
      </c>
      <c r="C10542" t="s">
        <v>33106</v>
      </c>
      <c r="D10542" t="s">
        <v>33107</v>
      </c>
      <c r="E10542" t="s">
        <v>33108</v>
      </c>
      <c r="F10542" t="s">
        <v>33112</v>
      </c>
      <c r="G10542" s="2" t="str">
        <f>HYPERLINK("https://probpalata.gov.ru/files/ИП550801415800005.jpeg","Скачать индивидуальный QR-код магазина")</f>
        <v>Скачать индивидуальный QR-код магазина</v>
      </c>
    </row>
    <row r="10543" spans="1:7" x14ac:dyDescent="0.25">
      <c r="A10543" t="s">
        <v>32829</v>
      </c>
      <c r="B10543" t="s">
        <v>33113</v>
      </c>
      <c r="C10543" t="s">
        <v>33106</v>
      </c>
      <c r="D10543" t="s">
        <v>33107</v>
      </c>
      <c r="E10543" t="s">
        <v>33108</v>
      </c>
      <c r="F10543" t="s">
        <v>33114</v>
      </c>
      <c r="G10543" s="2" t="str">
        <f>HYPERLINK("https://probpalata.gov.ru/files/ИП550801415800006.jpeg","Скачать индивидуальный QR-код магазина")</f>
        <v>Скачать индивидуальный QR-код магазина</v>
      </c>
    </row>
    <row r="10544" spans="1:7" x14ac:dyDescent="0.25">
      <c r="A10544" t="s">
        <v>32829</v>
      </c>
      <c r="B10544" t="s">
        <v>33115</v>
      </c>
      <c r="C10544" t="s">
        <v>33116</v>
      </c>
      <c r="D10544" t="s">
        <v>33117</v>
      </c>
      <c r="E10544" t="s">
        <v>33118</v>
      </c>
      <c r="F10544" t="s">
        <v>33119</v>
      </c>
      <c r="G10544" s="2" t="str">
        <f>HYPERLINK("https://probpalata.gov.ru/files/ИП550801600300001.jpeg","Скачать индивидуальный QR-код магазина")</f>
        <v>Скачать индивидуальный QR-код магазина</v>
      </c>
    </row>
    <row r="10545" spans="1:7" x14ac:dyDescent="0.25">
      <c r="A10545" t="s">
        <v>32829</v>
      </c>
      <c r="B10545" t="s">
        <v>33120</v>
      </c>
      <c r="C10545" t="s">
        <v>33121</v>
      </c>
      <c r="D10545" t="s">
        <v>33122</v>
      </c>
      <c r="E10545" t="s">
        <v>33123</v>
      </c>
      <c r="F10545" t="s">
        <v>33124</v>
      </c>
      <c r="G10545" s="2" t="str">
        <f>HYPERLINK("https://probpalata.gov.ru/files/ИП550800582300000.jpeg","Скачать индивидуальный QR-код магазина")</f>
        <v>Скачать индивидуальный QR-код магазина</v>
      </c>
    </row>
    <row r="10546" spans="1:7" x14ac:dyDescent="0.25">
      <c r="A10546" t="s">
        <v>32829</v>
      </c>
      <c r="B10546" t="s">
        <v>33125</v>
      </c>
      <c r="C10546" t="s">
        <v>33126</v>
      </c>
      <c r="D10546" t="s">
        <v>33127</v>
      </c>
      <c r="E10546" t="s">
        <v>33128</v>
      </c>
      <c r="F10546" t="s">
        <v>33129</v>
      </c>
      <c r="G10546" s="2" t="str">
        <f>HYPERLINK("https://probpalata.gov.ru/files/ИП550801410000000.jpeg","Скачать индивидуальный QR-код магазина")</f>
        <v>Скачать индивидуальный QR-код магазина</v>
      </c>
    </row>
    <row r="10547" spans="1:7" x14ac:dyDescent="0.25">
      <c r="A10547" t="s">
        <v>32829</v>
      </c>
      <c r="B10547" t="s">
        <v>33130</v>
      </c>
      <c r="C10547" t="s">
        <v>33131</v>
      </c>
      <c r="D10547" t="s">
        <v>33132</v>
      </c>
      <c r="E10547" t="s">
        <v>33133</v>
      </c>
      <c r="F10547" t="s">
        <v>33134</v>
      </c>
      <c r="G10547" s="2" t="str">
        <f>HYPERLINK("https://probpalata.gov.ru/files/ИП550801004900000.jpeg","Скачать индивидуальный QR-код магазина")</f>
        <v>Скачать индивидуальный QR-код магазина</v>
      </c>
    </row>
    <row r="10548" spans="1:7" x14ac:dyDescent="0.25">
      <c r="A10548" t="s">
        <v>32829</v>
      </c>
      <c r="B10548" t="s">
        <v>33135</v>
      </c>
      <c r="C10548" t="s">
        <v>33131</v>
      </c>
      <c r="D10548" t="s">
        <v>33132</v>
      </c>
      <c r="E10548" t="s">
        <v>33133</v>
      </c>
      <c r="F10548" t="s">
        <v>33136</v>
      </c>
      <c r="G10548" s="2" t="str">
        <f>HYPERLINK("https://probpalata.gov.ru/files/ИП550801004900003.jpeg","Скачать индивидуальный QR-код магазина")</f>
        <v>Скачать индивидуальный QR-код магазина</v>
      </c>
    </row>
    <row r="10549" spans="1:7" x14ac:dyDescent="0.25">
      <c r="A10549" t="s">
        <v>32829</v>
      </c>
      <c r="B10549" t="s">
        <v>33137</v>
      </c>
      <c r="C10549" t="s">
        <v>33138</v>
      </c>
      <c r="D10549" t="s">
        <v>33139</v>
      </c>
      <c r="E10549" t="s">
        <v>33140</v>
      </c>
      <c r="F10549" t="s">
        <v>33141</v>
      </c>
      <c r="G10549" s="2" t="str">
        <f>HYPERLINK("https://probpalata.gov.ru/files/ИП550800607600000.jpeg","Скачать индивидуальный QR-код магазина")</f>
        <v>Скачать индивидуальный QR-код магазина</v>
      </c>
    </row>
    <row r="10550" spans="1:7" x14ac:dyDescent="0.25">
      <c r="A10550" t="s">
        <v>32829</v>
      </c>
      <c r="B10550" t="s">
        <v>33142</v>
      </c>
      <c r="C10550" t="s">
        <v>33143</v>
      </c>
      <c r="D10550" t="s">
        <v>33144</v>
      </c>
      <c r="E10550" t="s">
        <v>33145</v>
      </c>
      <c r="F10550" t="s">
        <v>33146</v>
      </c>
      <c r="G10550" s="2" t="str">
        <f>HYPERLINK("https://probpalata.gov.ru/files/ИП550801155200000.jpeg","Скачать индивидуальный QR-код магазина")</f>
        <v>Скачать индивидуальный QR-код магазина</v>
      </c>
    </row>
    <row r="10551" spans="1:7" x14ac:dyDescent="0.25">
      <c r="A10551" t="s">
        <v>32829</v>
      </c>
      <c r="B10551" t="s">
        <v>33147</v>
      </c>
      <c r="C10551" t="s">
        <v>33148</v>
      </c>
      <c r="D10551" t="s">
        <v>33149</v>
      </c>
      <c r="E10551" t="s">
        <v>33150</v>
      </c>
      <c r="F10551" t="s">
        <v>33151</v>
      </c>
      <c r="G10551" s="2" t="str">
        <f>HYPERLINK("https://probpalata.gov.ru/files/ИП550801193300000.jpeg","Скачать индивидуальный QR-код магазина")</f>
        <v>Скачать индивидуальный QR-код магазина</v>
      </c>
    </row>
    <row r="10552" spans="1:7" x14ac:dyDescent="0.25">
      <c r="A10552" t="s">
        <v>32829</v>
      </c>
      <c r="B10552" t="s">
        <v>33152</v>
      </c>
      <c r="C10552" t="s">
        <v>33148</v>
      </c>
      <c r="D10552" t="s">
        <v>33149</v>
      </c>
      <c r="E10552" t="s">
        <v>33150</v>
      </c>
      <c r="F10552" t="s">
        <v>33153</v>
      </c>
      <c r="G10552" s="2" t="str">
        <f>HYPERLINK("https://probpalata.gov.ru/files/ИП550801193300001.jpeg","Скачать индивидуальный QR-код магазина")</f>
        <v>Скачать индивидуальный QR-код магазина</v>
      </c>
    </row>
    <row r="10553" spans="1:7" x14ac:dyDescent="0.25">
      <c r="A10553" t="s">
        <v>32829</v>
      </c>
      <c r="B10553" t="s">
        <v>33154</v>
      </c>
      <c r="C10553" t="s">
        <v>33148</v>
      </c>
      <c r="D10553" t="s">
        <v>33149</v>
      </c>
      <c r="E10553" t="s">
        <v>33150</v>
      </c>
      <c r="F10553" t="s">
        <v>33155</v>
      </c>
      <c r="G10553" s="2" t="str">
        <f>HYPERLINK("https://probpalata.gov.ru/files/ИП550801193300002.jpeg","Скачать индивидуальный QR-код магазина")</f>
        <v>Скачать индивидуальный QR-код магазина</v>
      </c>
    </row>
    <row r="10554" spans="1:7" x14ac:dyDescent="0.25">
      <c r="A10554" t="s">
        <v>32829</v>
      </c>
      <c r="B10554" t="s">
        <v>33156</v>
      </c>
      <c r="C10554" t="s">
        <v>33148</v>
      </c>
      <c r="D10554" t="s">
        <v>33149</v>
      </c>
      <c r="E10554" t="s">
        <v>33150</v>
      </c>
      <c r="F10554" t="s">
        <v>33157</v>
      </c>
      <c r="G10554" s="2" t="str">
        <f>HYPERLINK("https://probpalata.gov.ru/files/ИП550801193300004.jpeg","Скачать индивидуальный QR-код магазина")</f>
        <v>Скачать индивидуальный QR-код магазина</v>
      </c>
    </row>
    <row r="10555" spans="1:7" x14ac:dyDescent="0.25">
      <c r="A10555" t="s">
        <v>32829</v>
      </c>
      <c r="B10555" t="s">
        <v>33031</v>
      </c>
      <c r="C10555" t="s">
        <v>33148</v>
      </c>
      <c r="D10555" t="s">
        <v>33149</v>
      </c>
      <c r="E10555" t="s">
        <v>33150</v>
      </c>
      <c r="F10555" t="s">
        <v>33158</v>
      </c>
      <c r="G10555" s="2" t="str">
        <f>HYPERLINK("https://probpalata.gov.ru/files/ИП550801193300008.jpeg","Скачать индивидуальный QR-код магазина")</f>
        <v>Скачать индивидуальный QR-код магазина</v>
      </c>
    </row>
    <row r="10556" spans="1:7" x14ac:dyDescent="0.25">
      <c r="A10556" t="s">
        <v>32829</v>
      </c>
      <c r="B10556" t="s">
        <v>33024</v>
      </c>
      <c r="C10556" t="s">
        <v>33159</v>
      </c>
      <c r="D10556" t="s">
        <v>33160</v>
      </c>
      <c r="E10556" t="s">
        <v>33161</v>
      </c>
      <c r="F10556" t="s">
        <v>33162</v>
      </c>
      <c r="G10556" s="2" t="str">
        <f>HYPERLINK("https://probpalata.gov.ru/files/ИП550801194000000.jpeg","Скачать индивидуальный QR-код магазина")</f>
        <v>Скачать индивидуальный QR-код магазина</v>
      </c>
    </row>
    <row r="10557" spans="1:7" x14ac:dyDescent="0.25">
      <c r="A10557" t="s">
        <v>32829</v>
      </c>
      <c r="B10557" t="s">
        <v>33163</v>
      </c>
      <c r="C10557" t="s">
        <v>33159</v>
      </c>
      <c r="D10557" t="s">
        <v>33160</v>
      </c>
      <c r="E10557" t="s">
        <v>33161</v>
      </c>
      <c r="F10557" t="s">
        <v>33164</v>
      </c>
      <c r="G10557" s="2" t="str">
        <f>HYPERLINK("https://probpalata.gov.ru/files/ИП550801194000001.jpeg","Скачать индивидуальный QR-код магазина")</f>
        <v>Скачать индивидуальный QR-код магазина</v>
      </c>
    </row>
    <row r="10558" spans="1:7" x14ac:dyDescent="0.25">
      <c r="A10558" t="s">
        <v>32829</v>
      </c>
      <c r="B10558" t="s">
        <v>33165</v>
      </c>
      <c r="C10558" t="s">
        <v>33159</v>
      </c>
      <c r="D10558" t="s">
        <v>33160</v>
      </c>
      <c r="E10558" t="s">
        <v>33161</v>
      </c>
      <c r="F10558" t="s">
        <v>33166</v>
      </c>
      <c r="G10558" s="2" t="str">
        <f>HYPERLINK("https://probpalata.gov.ru/files/ИП550801194000002.jpeg","Скачать индивидуальный QR-код магазина")</f>
        <v>Скачать индивидуальный QR-код магазина</v>
      </c>
    </row>
    <row r="10559" spans="1:7" x14ac:dyDescent="0.25">
      <c r="A10559" t="s">
        <v>32829</v>
      </c>
      <c r="B10559" t="s">
        <v>33167</v>
      </c>
      <c r="C10559" t="s">
        <v>33159</v>
      </c>
      <c r="D10559" t="s">
        <v>33160</v>
      </c>
      <c r="E10559" t="s">
        <v>33161</v>
      </c>
      <c r="F10559" t="s">
        <v>33168</v>
      </c>
      <c r="G10559" s="2" t="str">
        <f>HYPERLINK("https://probpalata.gov.ru/files/ИП550801194000003.jpeg","Скачать индивидуальный QR-код магазина")</f>
        <v>Скачать индивидуальный QR-код магазина</v>
      </c>
    </row>
    <row r="10560" spans="1:7" x14ac:dyDescent="0.25">
      <c r="A10560" t="s">
        <v>32829</v>
      </c>
      <c r="B10560" t="s">
        <v>33169</v>
      </c>
      <c r="C10560" t="s">
        <v>33170</v>
      </c>
      <c r="D10560" t="s">
        <v>33171</v>
      </c>
      <c r="E10560" t="s">
        <v>33172</v>
      </c>
      <c r="F10560" t="s">
        <v>33173</v>
      </c>
      <c r="G10560" s="2" t="str">
        <f>HYPERLINK("https://probpalata.gov.ru/files/ИП550800088300000.jpeg","Скачать индивидуальный QR-код магазина")</f>
        <v>Скачать индивидуальный QR-код магазина</v>
      </c>
    </row>
    <row r="10561" spans="1:7" x14ac:dyDescent="0.25">
      <c r="A10561" t="s">
        <v>32829</v>
      </c>
      <c r="B10561" t="s">
        <v>33174</v>
      </c>
      <c r="C10561" t="s">
        <v>33170</v>
      </c>
      <c r="D10561" t="s">
        <v>33171</v>
      </c>
      <c r="E10561" t="s">
        <v>33172</v>
      </c>
      <c r="F10561" t="s">
        <v>33175</v>
      </c>
      <c r="G10561" s="2" t="str">
        <f>HYPERLINK("https://probpalata.gov.ru/files/ИП550800088300001.jpeg","Скачать индивидуальный QR-код магазина")</f>
        <v>Скачать индивидуальный QR-код магазина</v>
      </c>
    </row>
    <row r="10562" spans="1:7" x14ac:dyDescent="0.25">
      <c r="A10562" t="s">
        <v>32829</v>
      </c>
      <c r="B10562" t="s">
        <v>33176</v>
      </c>
      <c r="C10562" t="s">
        <v>33170</v>
      </c>
      <c r="D10562" t="s">
        <v>33171</v>
      </c>
      <c r="E10562" t="s">
        <v>33172</v>
      </c>
      <c r="F10562" t="s">
        <v>33177</v>
      </c>
      <c r="G10562" s="2" t="str">
        <f>HYPERLINK("https://probpalata.gov.ru/files/ИП550800088300002.jpeg","Скачать индивидуальный QR-код магазина")</f>
        <v>Скачать индивидуальный QR-код магазина</v>
      </c>
    </row>
    <row r="10563" spans="1:7" x14ac:dyDescent="0.25">
      <c r="A10563" t="s">
        <v>32829</v>
      </c>
      <c r="B10563" t="s">
        <v>33178</v>
      </c>
      <c r="C10563" t="s">
        <v>33179</v>
      </c>
      <c r="D10563" t="s">
        <v>33180</v>
      </c>
      <c r="E10563" t="s">
        <v>33181</v>
      </c>
      <c r="F10563" t="s">
        <v>33182</v>
      </c>
      <c r="G10563" s="2" t="str">
        <f>HYPERLINK("https://probpalata.gov.ru/files/ИП550801413800000.jpeg","Скачать индивидуальный QR-код магазина")</f>
        <v>Скачать индивидуальный QR-код магазина</v>
      </c>
    </row>
    <row r="10564" spans="1:7" x14ac:dyDescent="0.25">
      <c r="A10564" t="s">
        <v>32829</v>
      </c>
      <c r="B10564" t="s">
        <v>33183</v>
      </c>
      <c r="C10564" t="s">
        <v>33179</v>
      </c>
      <c r="D10564" t="s">
        <v>33180</v>
      </c>
      <c r="E10564" t="s">
        <v>33181</v>
      </c>
      <c r="F10564" t="s">
        <v>33184</v>
      </c>
      <c r="G10564" s="2" t="str">
        <f>HYPERLINK("https://probpalata.gov.ru/files/ИП550801413800001.jpeg","Скачать индивидуальный QR-код магазина")</f>
        <v>Скачать индивидуальный QR-код магазина</v>
      </c>
    </row>
    <row r="10565" spans="1:7" x14ac:dyDescent="0.25">
      <c r="A10565" t="s">
        <v>32829</v>
      </c>
      <c r="B10565" t="s">
        <v>33185</v>
      </c>
      <c r="C10565" t="s">
        <v>33179</v>
      </c>
      <c r="D10565" t="s">
        <v>33180</v>
      </c>
      <c r="E10565" t="s">
        <v>33181</v>
      </c>
      <c r="F10565" t="s">
        <v>33186</v>
      </c>
      <c r="G10565" s="2" t="str">
        <f>HYPERLINK("https://probpalata.gov.ru/files/ИП550801413800002.jpeg","Скачать индивидуальный QR-код магазина")</f>
        <v>Скачать индивидуальный QR-код магазина</v>
      </c>
    </row>
    <row r="10566" spans="1:7" x14ac:dyDescent="0.25">
      <c r="A10566" t="s">
        <v>32829</v>
      </c>
      <c r="B10566" t="s">
        <v>33000</v>
      </c>
      <c r="C10566" t="s">
        <v>33187</v>
      </c>
      <c r="D10566" t="s">
        <v>33188</v>
      </c>
      <c r="E10566" t="s">
        <v>33189</v>
      </c>
      <c r="F10566" t="s">
        <v>33190</v>
      </c>
      <c r="G10566" s="2" t="str">
        <f>HYPERLINK("https://probpalata.gov.ru/files/ИП550803396200000.jpeg","Скачать индивидуальный QR-код магазина")</f>
        <v>Скачать индивидуальный QR-код магазина</v>
      </c>
    </row>
    <row r="10567" spans="1:7" x14ac:dyDescent="0.25">
      <c r="A10567" t="s">
        <v>32829</v>
      </c>
      <c r="B10567" t="s">
        <v>33191</v>
      </c>
      <c r="C10567" t="s">
        <v>33187</v>
      </c>
      <c r="D10567" t="s">
        <v>33188</v>
      </c>
      <c r="E10567" t="s">
        <v>33189</v>
      </c>
      <c r="F10567" t="s">
        <v>33192</v>
      </c>
      <c r="G10567" s="2" t="str">
        <f>HYPERLINK("https://probpalata.gov.ru/files/ИП550803396200001.jpeg","Скачать индивидуальный QR-код магазина")</f>
        <v>Скачать индивидуальный QR-код магазина</v>
      </c>
    </row>
    <row r="10568" spans="1:7" x14ac:dyDescent="0.25">
      <c r="A10568" t="s">
        <v>32829</v>
      </c>
      <c r="B10568" t="s">
        <v>33193</v>
      </c>
      <c r="C10568" t="s">
        <v>33194</v>
      </c>
      <c r="D10568" t="s">
        <v>33195</v>
      </c>
      <c r="E10568" t="s">
        <v>33196</v>
      </c>
      <c r="F10568" t="s">
        <v>33197</v>
      </c>
      <c r="G10568" s="2" t="str">
        <f>HYPERLINK("https://probpalata.gov.ru/files/ИП550801978700000.jpeg","Скачать индивидуальный QR-код магазина")</f>
        <v>Скачать индивидуальный QR-код магазина</v>
      </c>
    </row>
    <row r="10569" spans="1:7" x14ac:dyDescent="0.25">
      <c r="A10569" t="s">
        <v>32829</v>
      </c>
      <c r="B10569" t="s">
        <v>33198</v>
      </c>
      <c r="C10569" t="s">
        <v>33199</v>
      </c>
      <c r="D10569" t="s">
        <v>33200</v>
      </c>
      <c r="E10569" t="s">
        <v>33201</v>
      </c>
      <c r="F10569" t="s">
        <v>33202</v>
      </c>
      <c r="G10569" s="2" t="str">
        <f>HYPERLINK("https://probpalata.gov.ru/files/ИП230400745400000.jpeg","Скачать индивидуальный QR-код магазина")</f>
        <v>Скачать индивидуальный QR-код магазина</v>
      </c>
    </row>
    <row r="10570" spans="1:7" x14ac:dyDescent="0.25">
      <c r="A10570" t="s">
        <v>32829</v>
      </c>
      <c r="B10570" t="s">
        <v>32881</v>
      </c>
      <c r="C10570" t="s">
        <v>33203</v>
      </c>
      <c r="D10570" t="s">
        <v>33204</v>
      </c>
      <c r="E10570" t="s">
        <v>33205</v>
      </c>
      <c r="F10570" t="s">
        <v>33206</v>
      </c>
      <c r="G10570" s="2" t="str">
        <f>HYPERLINK("https://probpalata.gov.ru/files/ИП550801740200000.jpeg","Скачать индивидуальный QR-код магазина")</f>
        <v>Скачать индивидуальный QR-код магазина</v>
      </c>
    </row>
    <row r="10571" spans="1:7" x14ac:dyDescent="0.25">
      <c r="A10571" t="s">
        <v>32829</v>
      </c>
      <c r="B10571" t="s">
        <v>33207</v>
      </c>
      <c r="C10571" t="s">
        <v>33203</v>
      </c>
      <c r="D10571" t="s">
        <v>33204</v>
      </c>
      <c r="E10571" t="s">
        <v>33205</v>
      </c>
      <c r="F10571" t="s">
        <v>33208</v>
      </c>
      <c r="G10571" s="2" t="str">
        <f>HYPERLINK("https://probpalata.gov.ru/files/ИП550801740200003.jpeg","Скачать индивидуальный QR-код магазина")</f>
        <v>Скачать индивидуальный QR-код магазина</v>
      </c>
    </row>
    <row r="10572" spans="1:7" x14ac:dyDescent="0.25">
      <c r="A10572" t="s">
        <v>32829</v>
      </c>
      <c r="B10572" t="s">
        <v>33209</v>
      </c>
      <c r="C10572" t="s">
        <v>33203</v>
      </c>
      <c r="D10572" t="s">
        <v>33204</v>
      </c>
      <c r="E10572" t="s">
        <v>33205</v>
      </c>
      <c r="F10572" t="s">
        <v>33210</v>
      </c>
      <c r="G10572" s="2" t="str">
        <f>HYPERLINK("https://probpalata.gov.ru/files/ИП550801740200004.jpeg","Скачать индивидуальный QR-код магазина")</f>
        <v>Скачать индивидуальный QR-код магазина</v>
      </c>
    </row>
    <row r="10573" spans="1:7" x14ac:dyDescent="0.25">
      <c r="A10573" t="s">
        <v>32829</v>
      </c>
      <c r="B10573" t="s">
        <v>33211</v>
      </c>
      <c r="C10573" t="s">
        <v>33212</v>
      </c>
      <c r="D10573" t="s">
        <v>33213</v>
      </c>
      <c r="E10573" t="s">
        <v>33214</v>
      </c>
      <c r="F10573" t="s">
        <v>33215</v>
      </c>
      <c r="G10573" s="2" t="str">
        <f>HYPERLINK("https://probpalata.gov.ru/files/ИП550801378300000.jpeg","Скачать индивидуальный QR-код магазина")</f>
        <v>Скачать индивидуальный QR-код магазина</v>
      </c>
    </row>
    <row r="10574" spans="1:7" x14ac:dyDescent="0.25">
      <c r="A10574" t="s">
        <v>32829</v>
      </c>
      <c r="B10574" t="s">
        <v>33216</v>
      </c>
      <c r="C10574" t="s">
        <v>33212</v>
      </c>
      <c r="D10574" t="s">
        <v>33213</v>
      </c>
      <c r="E10574" t="s">
        <v>33214</v>
      </c>
      <c r="F10574" t="s">
        <v>33217</v>
      </c>
      <c r="G10574" s="2" t="str">
        <f>HYPERLINK("https://probpalata.gov.ru/files/ИП550801378300001.jpeg","Скачать индивидуальный QR-код магазина")</f>
        <v>Скачать индивидуальный QR-код магазина</v>
      </c>
    </row>
    <row r="10575" spans="1:7" x14ac:dyDescent="0.25">
      <c r="A10575" t="s">
        <v>32829</v>
      </c>
      <c r="B10575" t="s">
        <v>33218</v>
      </c>
      <c r="C10575" t="s">
        <v>33212</v>
      </c>
      <c r="D10575" t="s">
        <v>33213</v>
      </c>
      <c r="E10575" t="s">
        <v>33214</v>
      </c>
      <c r="F10575" t="s">
        <v>33219</v>
      </c>
      <c r="G10575" s="2" t="str">
        <f>HYPERLINK("https://probpalata.gov.ru/files/ИП550801378300002.jpeg","Скачать индивидуальный QR-код магазина")</f>
        <v>Скачать индивидуальный QR-код магазина</v>
      </c>
    </row>
    <row r="10576" spans="1:7" x14ac:dyDescent="0.25">
      <c r="A10576" t="s">
        <v>32829</v>
      </c>
      <c r="B10576" t="s">
        <v>33220</v>
      </c>
      <c r="C10576" t="s">
        <v>33212</v>
      </c>
      <c r="D10576" t="s">
        <v>33213</v>
      </c>
      <c r="E10576" t="s">
        <v>33214</v>
      </c>
      <c r="F10576" t="s">
        <v>33221</v>
      </c>
      <c r="G10576" s="2" t="str">
        <f>HYPERLINK("https://probpalata.gov.ru/files/ИП550801378300003.jpeg","Скачать индивидуальный QR-код магазина")</f>
        <v>Скачать индивидуальный QR-код магазина</v>
      </c>
    </row>
    <row r="10577" spans="1:7" x14ac:dyDescent="0.25">
      <c r="A10577" t="s">
        <v>32829</v>
      </c>
      <c r="B10577" t="s">
        <v>33222</v>
      </c>
      <c r="C10577" t="s">
        <v>33212</v>
      </c>
      <c r="D10577" t="s">
        <v>33213</v>
      </c>
      <c r="E10577" t="s">
        <v>33214</v>
      </c>
      <c r="F10577" t="s">
        <v>33223</v>
      </c>
      <c r="G10577" s="2" t="str">
        <f>HYPERLINK("https://probpalata.gov.ru/files/ИП550801378300004.jpeg","Скачать индивидуальный QR-код магазина")</f>
        <v>Скачать индивидуальный QR-код магазина</v>
      </c>
    </row>
    <row r="10578" spans="1:7" x14ac:dyDescent="0.25">
      <c r="A10578" t="s">
        <v>32829</v>
      </c>
      <c r="B10578" t="s">
        <v>33224</v>
      </c>
      <c r="C10578" t="s">
        <v>33212</v>
      </c>
      <c r="D10578" t="s">
        <v>33213</v>
      </c>
      <c r="E10578" t="s">
        <v>33214</v>
      </c>
      <c r="F10578" t="s">
        <v>33225</v>
      </c>
      <c r="G10578" s="2" t="str">
        <f>HYPERLINK("https://probpalata.gov.ru/files/ИП550801378300005.jpeg","Скачать индивидуальный QR-код магазина")</f>
        <v>Скачать индивидуальный QR-код магазина</v>
      </c>
    </row>
    <row r="10579" spans="1:7" x14ac:dyDescent="0.25">
      <c r="A10579" t="s">
        <v>32829</v>
      </c>
      <c r="B10579" t="s">
        <v>33226</v>
      </c>
      <c r="C10579" t="s">
        <v>33212</v>
      </c>
      <c r="D10579" t="s">
        <v>33213</v>
      </c>
      <c r="E10579" t="s">
        <v>33214</v>
      </c>
      <c r="F10579" t="s">
        <v>33227</v>
      </c>
      <c r="G10579" s="2" t="str">
        <f>HYPERLINK("https://probpalata.gov.ru/files/ИП550801378300006.jpeg","Скачать индивидуальный QR-код магазина")</f>
        <v>Скачать индивидуальный QR-код магазина</v>
      </c>
    </row>
    <row r="10580" spans="1:7" x14ac:dyDescent="0.25">
      <c r="A10580" t="s">
        <v>32829</v>
      </c>
      <c r="B10580" t="s">
        <v>33228</v>
      </c>
      <c r="C10580" t="s">
        <v>33212</v>
      </c>
      <c r="D10580" t="s">
        <v>33213</v>
      </c>
      <c r="E10580" t="s">
        <v>33214</v>
      </c>
      <c r="F10580" t="s">
        <v>33229</v>
      </c>
      <c r="G10580" s="2" t="str">
        <f>HYPERLINK("https://probpalata.gov.ru/files/ИП550801378300008.jpeg","Скачать индивидуальный QR-код магазина")</f>
        <v>Скачать индивидуальный QR-код магазина</v>
      </c>
    </row>
    <row r="10581" spans="1:7" x14ac:dyDescent="0.25">
      <c r="A10581" t="s">
        <v>32829</v>
      </c>
      <c r="B10581" t="s">
        <v>33230</v>
      </c>
      <c r="C10581" t="s">
        <v>30838</v>
      </c>
      <c r="D10581" t="s">
        <v>33231</v>
      </c>
      <c r="E10581" t="s">
        <v>33232</v>
      </c>
      <c r="F10581" t="s">
        <v>33233</v>
      </c>
      <c r="G10581" s="2" t="str">
        <f>HYPERLINK("https://probpalata.gov.ru/files/ЮЛ550803747700000.jpeg","Скачать индивидуальный QR-код магазина")</f>
        <v>Скачать индивидуальный QR-код магазина</v>
      </c>
    </row>
    <row r="10582" spans="1:7" x14ac:dyDescent="0.25">
      <c r="A10582" t="s">
        <v>32829</v>
      </c>
      <c r="B10582" t="s">
        <v>33234</v>
      </c>
      <c r="C10582" t="s">
        <v>33235</v>
      </c>
      <c r="D10582" t="s">
        <v>33236</v>
      </c>
      <c r="E10582" t="s">
        <v>33237</v>
      </c>
      <c r="F10582" t="s">
        <v>33238</v>
      </c>
      <c r="G10582" s="2" t="str">
        <f>HYPERLINK("https://probpalata.gov.ru/files/ИП550801552900000.jpeg","Скачать индивидуальный QR-код магазина")</f>
        <v>Скачать индивидуальный QR-код магазина</v>
      </c>
    </row>
    <row r="10583" spans="1:7" x14ac:dyDescent="0.25">
      <c r="A10583" t="s">
        <v>32829</v>
      </c>
      <c r="B10583" t="s">
        <v>33239</v>
      </c>
      <c r="C10583" t="s">
        <v>33240</v>
      </c>
      <c r="D10583" t="s">
        <v>33241</v>
      </c>
      <c r="E10583" t="s">
        <v>33242</v>
      </c>
      <c r="F10583" t="s">
        <v>33243</v>
      </c>
      <c r="G10583" s="2" t="str">
        <f>HYPERLINK("https://probpalata.gov.ru/files/ИП550801194400000.jpeg","Скачать индивидуальный QR-код магазина")</f>
        <v>Скачать индивидуальный QR-код магазина</v>
      </c>
    </row>
    <row r="10584" spans="1:7" x14ac:dyDescent="0.25">
      <c r="A10584" t="s">
        <v>32829</v>
      </c>
      <c r="B10584" t="s">
        <v>33244</v>
      </c>
      <c r="C10584" t="s">
        <v>33240</v>
      </c>
      <c r="D10584" t="s">
        <v>33241</v>
      </c>
      <c r="E10584" t="s">
        <v>33242</v>
      </c>
      <c r="F10584" t="s">
        <v>33245</v>
      </c>
      <c r="G10584" s="2" t="str">
        <f>HYPERLINK("https://probpalata.gov.ru/files/ИП550801194400002.jpeg","Скачать индивидуальный QR-код магазина")</f>
        <v>Скачать индивидуальный QR-код магазина</v>
      </c>
    </row>
    <row r="10585" spans="1:7" x14ac:dyDescent="0.25">
      <c r="A10585" t="s">
        <v>32829</v>
      </c>
      <c r="B10585" t="s">
        <v>33246</v>
      </c>
      <c r="C10585" t="s">
        <v>33240</v>
      </c>
      <c r="D10585" t="s">
        <v>33241</v>
      </c>
      <c r="E10585" t="s">
        <v>33242</v>
      </c>
      <c r="F10585" t="s">
        <v>33247</v>
      </c>
      <c r="G10585" s="2" t="str">
        <f>HYPERLINK("https://probpalata.gov.ru/files/ИП550801194400003.jpeg","Скачать индивидуальный QR-код магазина")</f>
        <v>Скачать индивидуальный QR-код магазина</v>
      </c>
    </row>
    <row r="10586" spans="1:7" x14ac:dyDescent="0.25">
      <c r="A10586" t="s">
        <v>32829</v>
      </c>
      <c r="B10586" t="s">
        <v>33248</v>
      </c>
      <c r="C10586" t="s">
        <v>33240</v>
      </c>
      <c r="D10586" t="s">
        <v>33241</v>
      </c>
      <c r="E10586" t="s">
        <v>33242</v>
      </c>
      <c r="F10586" t="s">
        <v>33249</v>
      </c>
      <c r="G10586" s="2" t="str">
        <f>HYPERLINK("https://probpalata.gov.ru/files/ИП550801194400004.jpeg","Скачать индивидуальный QR-код магазина")</f>
        <v>Скачать индивидуальный QR-код магазина</v>
      </c>
    </row>
    <row r="10587" spans="1:7" x14ac:dyDescent="0.25">
      <c r="A10587" t="s">
        <v>32829</v>
      </c>
      <c r="B10587" t="s">
        <v>33250</v>
      </c>
      <c r="C10587" t="s">
        <v>33240</v>
      </c>
      <c r="D10587" t="s">
        <v>33241</v>
      </c>
      <c r="E10587" t="s">
        <v>33242</v>
      </c>
      <c r="F10587" t="s">
        <v>33251</v>
      </c>
      <c r="G10587" s="2" t="str">
        <f>HYPERLINK("https://probpalata.gov.ru/files/ИП550801194400005.jpeg","Скачать индивидуальный QR-код магазина")</f>
        <v>Скачать индивидуальный QR-код магазина</v>
      </c>
    </row>
    <row r="10588" spans="1:7" x14ac:dyDescent="0.25">
      <c r="A10588" t="s">
        <v>32829</v>
      </c>
      <c r="B10588" t="s">
        <v>33252</v>
      </c>
      <c r="C10588" t="s">
        <v>33253</v>
      </c>
      <c r="D10588" t="s">
        <v>33254</v>
      </c>
      <c r="E10588" t="s">
        <v>33255</v>
      </c>
      <c r="F10588" t="s">
        <v>33256</v>
      </c>
      <c r="G10588" s="2" t="str">
        <f>HYPERLINK("https://probpalata.gov.ru/files/ИП550801602500000.jpeg","Скачать индивидуальный QR-код магазина")</f>
        <v>Скачать индивидуальный QR-код магазина</v>
      </c>
    </row>
    <row r="10589" spans="1:7" x14ac:dyDescent="0.25">
      <c r="A10589" t="s">
        <v>32829</v>
      </c>
      <c r="B10589" t="s">
        <v>33257</v>
      </c>
      <c r="C10589" t="s">
        <v>33253</v>
      </c>
      <c r="D10589" t="s">
        <v>33254</v>
      </c>
      <c r="E10589" t="s">
        <v>33255</v>
      </c>
      <c r="F10589" t="s">
        <v>33258</v>
      </c>
      <c r="G10589" s="2" t="str">
        <f>HYPERLINK("https://probpalata.gov.ru/files/ИП550801602500003.jpeg","Скачать индивидуальный QR-код магазина")</f>
        <v>Скачать индивидуальный QR-код магазина</v>
      </c>
    </row>
    <row r="10590" spans="1:7" x14ac:dyDescent="0.25">
      <c r="A10590" t="s">
        <v>32829</v>
      </c>
      <c r="B10590" t="s">
        <v>33259</v>
      </c>
      <c r="C10590" t="s">
        <v>33260</v>
      </c>
      <c r="D10590" t="s">
        <v>33261</v>
      </c>
      <c r="E10590" t="s">
        <v>33262</v>
      </c>
      <c r="F10590" t="s">
        <v>33263</v>
      </c>
      <c r="G10590" s="2" t="str">
        <f>HYPERLINK("https://probpalata.gov.ru/files/ИП550801545700000.jpeg","Скачать индивидуальный QR-код магазина")</f>
        <v>Скачать индивидуальный QR-код магазина</v>
      </c>
    </row>
    <row r="10591" spans="1:7" x14ac:dyDescent="0.25">
      <c r="A10591" t="s">
        <v>32829</v>
      </c>
      <c r="B10591" t="s">
        <v>33264</v>
      </c>
      <c r="C10591" t="s">
        <v>33265</v>
      </c>
      <c r="D10591" t="s">
        <v>33266</v>
      </c>
      <c r="E10591" t="s">
        <v>33267</v>
      </c>
      <c r="F10591" t="s">
        <v>33268</v>
      </c>
      <c r="G10591" s="2" t="str">
        <f>HYPERLINK("https://probpalata.gov.ru/files/ИП550800526100000.jpeg","Скачать индивидуальный QR-код магазина")</f>
        <v>Скачать индивидуальный QR-код магазина</v>
      </c>
    </row>
    <row r="10592" spans="1:7" x14ac:dyDescent="0.25">
      <c r="A10592" t="s">
        <v>32829</v>
      </c>
      <c r="B10592" t="s">
        <v>33269</v>
      </c>
      <c r="C10592" t="s">
        <v>33265</v>
      </c>
      <c r="D10592" t="s">
        <v>33266</v>
      </c>
      <c r="E10592" t="s">
        <v>33267</v>
      </c>
      <c r="F10592" t="s">
        <v>33270</v>
      </c>
      <c r="G10592" s="2" t="str">
        <f>HYPERLINK("https://probpalata.gov.ru/files/ИП550800526100001.jpeg","Скачать индивидуальный QR-код магазина")</f>
        <v>Скачать индивидуальный QR-код магазина</v>
      </c>
    </row>
    <row r="10593" spans="1:7" x14ac:dyDescent="0.25">
      <c r="A10593" t="s">
        <v>32829</v>
      </c>
      <c r="B10593" t="s">
        <v>33271</v>
      </c>
      <c r="C10593" t="s">
        <v>33265</v>
      </c>
      <c r="D10593" t="s">
        <v>33266</v>
      </c>
      <c r="E10593" t="s">
        <v>33267</v>
      </c>
      <c r="F10593" t="s">
        <v>33272</v>
      </c>
      <c r="G10593" s="2" t="str">
        <f>HYPERLINK("https://probpalata.gov.ru/files/ИП550800526100002.jpeg","Скачать индивидуальный QR-код магазина")</f>
        <v>Скачать индивидуальный QR-код магазина</v>
      </c>
    </row>
    <row r="10594" spans="1:7" x14ac:dyDescent="0.25">
      <c r="A10594" t="s">
        <v>32829</v>
      </c>
      <c r="B10594" t="s">
        <v>33273</v>
      </c>
      <c r="C10594" t="s">
        <v>33265</v>
      </c>
      <c r="D10594" t="s">
        <v>33266</v>
      </c>
      <c r="E10594" t="s">
        <v>33267</v>
      </c>
      <c r="F10594" t="s">
        <v>33274</v>
      </c>
      <c r="G10594" s="2" t="str">
        <f>HYPERLINK("https://probpalata.gov.ru/files/ИП550800526100003.jpeg","Скачать индивидуальный QR-код магазина")</f>
        <v>Скачать индивидуальный QR-код магазина</v>
      </c>
    </row>
    <row r="10595" spans="1:7" x14ac:dyDescent="0.25">
      <c r="A10595" t="s">
        <v>32829</v>
      </c>
      <c r="B10595" t="s">
        <v>33275</v>
      </c>
      <c r="C10595" t="s">
        <v>33265</v>
      </c>
      <c r="D10595" t="s">
        <v>33266</v>
      </c>
      <c r="E10595" t="s">
        <v>33267</v>
      </c>
      <c r="F10595" t="s">
        <v>33276</v>
      </c>
      <c r="G10595" s="2" t="str">
        <f>HYPERLINK("https://probpalata.gov.ru/files/ИП550800526100004.jpeg","Скачать индивидуальный QR-код магазина")</f>
        <v>Скачать индивидуальный QR-код магазина</v>
      </c>
    </row>
    <row r="10596" spans="1:7" x14ac:dyDescent="0.25">
      <c r="A10596" t="s">
        <v>32829</v>
      </c>
      <c r="B10596" t="s">
        <v>33277</v>
      </c>
      <c r="C10596" t="s">
        <v>33265</v>
      </c>
      <c r="D10596" t="s">
        <v>33266</v>
      </c>
      <c r="E10596" t="s">
        <v>33267</v>
      </c>
      <c r="F10596" t="s">
        <v>33278</v>
      </c>
      <c r="G10596" s="2" t="str">
        <f>HYPERLINK("https://probpalata.gov.ru/files/ИП550800526100005.jpeg","Скачать индивидуальный QR-код магазина")</f>
        <v>Скачать индивидуальный QR-код магазина</v>
      </c>
    </row>
    <row r="10597" spans="1:7" x14ac:dyDescent="0.25">
      <c r="A10597" t="s">
        <v>32829</v>
      </c>
      <c r="B10597" t="s">
        <v>33279</v>
      </c>
      <c r="C10597" t="s">
        <v>33280</v>
      </c>
      <c r="D10597" t="s">
        <v>33281</v>
      </c>
      <c r="E10597" t="s">
        <v>33282</v>
      </c>
      <c r="F10597" t="s">
        <v>33283</v>
      </c>
      <c r="G10597" s="2" t="str">
        <f>HYPERLINK("https://probpalata.gov.ru/files/ИП550800526700000.jpeg","Скачать индивидуальный QR-код магазина")</f>
        <v>Скачать индивидуальный QR-код магазина</v>
      </c>
    </row>
    <row r="10598" spans="1:7" x14ac:dyDescent="0.25">
      <c r="A10598" t="s">
        <v>32829</v>
      </c>
      <c r="B10598" t="s">
        <v>33284</v>
      </c>
      <c r="C10598" t="s">
        <v>33285</v>
      </c>
      <c r="D10598" t="s">
        <v>33286</v>
      </c>
      <c r="E10598" t="s">
        <v>33287</v>
      </c>
      <c r="F10598" t="s">
        <v>33288</v>
      </c>
      <c r="G10598" s="2" t="str">
        <f>HYPERLINK("https://probpalata.gov.ru/files/ИП550801548600000.jpeg","Скачать индивидуальный QR-код магазина")</f>
        <v>Скачать индивидуальный QR-код магазина</v>
      </c>
    </row>
    <row r="10599" spans="1:7" x14ac:dyDescent="0.25">
      <c r="A10599" t="s">
        <v>32829</v>
      </c>
      <c r="B10599" t="s">
        <v>33289</v>
      </c>
      <c r="C10599" t="s">
        <v>33285</v>
      </c>
      <c r="D10599" t="s">
        <v>33286</v>
      </c>
      <c r="E10599" t="s">
        <v>33287</v>
      </c>
      <c r="F10599" t="s">
        <v>33290</v>
      </c>
      <c r="G10599" s="2" t="str">
        <f>HYPERLINK("https://probpalata.gov.ru/files/ИП550801548600001.jpeg","Скачать индивидуальный QR-код магазина")</f>
        <v>Скачать индивидуальный QR-код магазина</v>
      </c>
    </row>
    <row r="10600" spans="1:7" x14ac:dyDescent="0.25">
      <c r="A10600" t="s">
        <v>32829</v>
      </c>
      <c r="B10600" t="s">
        <v>33291</v>
      </c>
      <c r="C10600" t="s">
        <v>33292</v>
      </c>
      <c r="D10600" t="s">
        <v>33293</v>
      </c>
      <c r="E10600" t="s">
        <v>33294</v>
      </c>
      <c r="F10600" t="s">
        <v>33295</v>
      </c>
      <c r="G10600" s="2" t="str">
        <f>HYPERLINK("https://probpalata.gov.ru/files/ЮЛ550801254700000.jpeg","Скачать индивидуальный QR-код магазина")</f>
        <v>Скачать индивидуальный QR-код магазина</v>
      </c>
    </row>
    <row r="10601" spans="1:7" x14ac:dyDescent="0.25">
      <c r="A10601" t="s">
        <v>32829</v>
      </c>
      <c r="B10601" t="s">
        <v>33296</v>
      </c>
      <c r="C10601" t="s">
        <v>33292</v>
      </c>
      <c r="D10601" t="s">
        <v>33293</v>
      </c>
      <c r="E10601" t="s">
        <v>33294</v>
      </c>
      <c r="F10601" t="s">
        <v>33297</v>
      </c>
      <c r="G10601" s="2" t="str">
        <f>HYPERLINK("https://probpalata.gov.ru/files/ЮЛ550801254700001.jpeg","Скачать индивидуальный QR-код магазина")</f>
        <v>Скачать индивидуальный QR-код магазина</v>
      </c>
    </row>
    <row r="10602" spans="1:7" x14ac:dyDescent="0.25">
      <c r="A10602" t="s">
        <v>32829</v>
      </c>
      <c r="B10602" t="s">
        <v>33298</v>
      </c>
      <c r="C10602" t="s">
        <v>33299</v>
      </c>
      <c r="D10602" t="s">
        <v>33300</v>
      </c>
      <c r="E10602" t="s">
        <v>33301</v>
      </c>
      <c r="F10602" t="s">
        <v>33302</v>
      </c>
      <c r="G10602" s="2" t="str">
        <f>HYPERLINK("https://probpalata.gov.ru/files/ИП550800586000000.jpeg","Скачать индивидуальный QR-код магазина")</f>
        <v>Скачать индивидуальный QR-код магазина</v>
      </c>
    </row>
    <row r="10603" spans="1:7" x14ac:dyDescent="0.25">
      <c r="A10603" t="s">
        <v>32829</v>
      </c>
      <c r="B10603" t="s">
        <v>33298</v>
      </c>
      <c r="C10603" t="s">
        <v>33303</v>
      </c>
      <c r="D10603" t="s">
        <v>33304</v>
      </c>
      <c r="E10603" t="s">
        <v>33305</v>
      </c>
      <c r="F10603" t="s">
        <v>33306</v>
      </c>
      <c r="G10603" s="2" t="str">
        <f>HYPERLINK("https://probpalata.gov.ru/files/ИП550803226200000.jpeg","Скачать индивидуальный QR-код магазина")</f>
        <v>Скачать индивидуальный QR-код магазина</v>
      </c>
    </row>
    <row r="10604" spans="1:7" x14ac:dyDescent="0.25">
      <c r="A10604" t="s">
        <v>32829</v>
      </c>
      <c r="B10604" t="s">
        <v>33307</v>
      </c>
      <c r="C10604" t="s">
        <v>33308</v>
      </c>
      <c r="D10604" t="s">
        <v>33309</v>
      </c>
      <c r="E10604" t="s">
        <v>33310</v>
      </c>
      <c r="F10604" t="s">
        <v>33311</v>
      </c>
      <c r="G10604" s="2" t="str">
        <f>HYPERLINK("https://probpalata.gov.ru/files/ИП550803240400000.jpeg","Скачать индивидуальный QR-код магазина")</f>
        <v>Скачать индивидуальный QR-код магазина</v>
      </c>
    </row>
    <row r="10605" spans="1:7" x14ac:dyDescent="0.25">
      <c r="A10605" t="s">
        <v>32829</v>
      </c>
      <c r="B10605" t="s">
        <v>33312</v>
      </c>
      <c r="C10605" t="s">
        <v>33313</v>
      </c>
      <c r="D10605" t="s">
        <v>33314</v>
      </c>
      <c r="E10605" t="s">
        <v>33315</v>
      </c>
      <c r="F10605" t="s">
        <v>33316</v>
      </c>
      <c r="G10605" s="2" t="str">
        <f>HYPERLINK("https://probpalata.gov.ru/files/ИП550801193000000.jpeg","Скачать индивидуальный QR-код магазина")</f>
        <v>Скачать индивидуальный QR-код магазина</v>
      </c>
    </row>
    <row r="10606" spans="1:7" x14ac:dyDescent="0.25">
      <c r="A10606" t="s">
        <v>32829</v>
      </c>
      <c r="B10606" t="s">
        <v>33317</v>
      </c>
      <c r="C10606" t="s">
        <v>33318</v>
      </c>
      <c r="D10606" t="s">
        <v>33319</v>
      </c>
      <c r="E10606" t="s">
        <v>33320</v>
      </c>
      <c r="F10606" t="s">
        <v>33321</v>
      </c>
      <c r="G10606" s="2" t="str">
        <f>HYPERLINK("https://probpalata.gov.ru/files/ИП550801020100000.jpeg","Скачать индивидуальный QR-код магазина")</f>
        <v>Скачать индивидуальный QR-код магазина</v>
      </c>
    </row>
    <row r="10607" spans="1:7" x14ac:dyDescent="0.25">
      <c r="A10607" t="s">
        <v>32829</v>
      </c>
      <c r="B10607" t="s">
        <v>33322</v>
      </c>
      <c r="C10607" t="s">
        <v>33318</v>
      </c>
      <c r="D10607" t="s">
        <v>33319</v>
      </c>
      <c r="E10607" t="s">
        <v>33320</v>
      </c>
      <c r="F10607" t="s">
        <v>33323</v>
      </c>
      <c r="G10607" s="2" t="str">
        <f>HYPERLINK("https://probpalata.gov.ru/files/ИП550801020100002.jpeg","Скачать индивидуальный QR-код магазина")</f>
        <v>Скачать индивидуальный QR-код магазина</v>
      </c>
    </row>
    <row r="10608" spans="1:7" x14ac:dyDescent="0.25">
      <c r="A10608" t="s">
        <v>32829</v>
      </c>
      <c r="B10608" t="s">
        <v>33324</v>
      </c>
      <c r="C10608" t="s">
        <v>14835</v>
      </c>
      <c r="D10608" t="s">
        <v>14836</v>
      </c>
      <c r="E10608" t="s">
        <v>14837</v>
      </c>
      <c r="F10608" t="s">
        <v>33325</v>
      </c>
      <c r="G10608" s="2" t="str">
        <f>HYPERLINK("https://probpalata.gov.ru/files/ИП230400708500002.jpeg","Скачать индивидуальный QR-код магазина")</f>
        <v>Скачать индивидуальный QR-код магазина</v>
      </c>
    </row>
    <row r="10609" spans="1:7" x14ac:dyDescent="0.25">
      <c r="A10609" t="s">
        <v>32829</v>
      </c>
      <c r="B10609" t="s">
        <v>33326</v>
      </c>
      <c r="C10609" t="s">
        <v>14835</v>
      </c>
      <c r="D10609" t="s">
        <v>14836</v>
      </c>
      <c r="E10609" t="s">
        <v>14837</v>
      </c>
      <c r="F10609" t="s">
        <v>33327</v>
      </c>
      <c r="G10609" s="2" t="str">
        <f>HYPERLINK("https://probpalata.gov.ru/files/ИП230400708500003.jpeg","Скачать индивидуальный QR-код магазина")</f>
        <v>Скачать индивидуальный QR-код магазина</v>
      </c>
    </row>
    <row r="10610" spans="1:7" x14ac:dyDescent="0.25">
      <c r="A10610" t="s">
        <v>32829</v>
      </c>
      <c r="B10610" t="s">
        <v>33328</v>
      </c>
      <c r="C10610" t="s">
        <v>33329</v>
      </c>
      <c r="D10610" t="s">
        <v>33330</v>
      </c>
      <c r="E10610" t="s">
        <v>33331</v>
      </c>
      <c r="F10610" t="s">
        <v>33332</v>
      </c>
      <c r="G10610" s="2" t="str">
        <f>HYPERLINK("https://probpalata.gov.ru/files/ИП550801387000000.jpeg","Скачать индивидуальный QR-код магазина")</f>
        <v>Скачать индивидуальный QR-код магазина</v>
      </c>
    </row>
    <row r="10611" spans="1:7" x14ac:dyDescent="0.25">
      <c r="A10611" t="s">
        <v>32829</v>
      </c>
      <c r="B10611" t="s">
        <v>33333</v>
      </c>
      <c r="C10611" t="s">
        <v>33334</v>
      </c>
      <c r="D10611" t="s">
        <v>33335</v>
      </c>
      <c r="E10611" t="s">
        <v>33336</v>
      </c>
      <c r="F10611" t="s">
        <v>33337</v>
      </c>
      <c r="G10611" s="2" t="str">
        <f>HYPERLINK("https://probpalata.gov.ru/files/ИП550800497300000.jpeg","Скачать индивидуальный QR-код магазина")</f>
        <v>Скачать индивидуальный QR-код магазина</v>
      </c>
    </row>
    <row r="10612" spans="1:7" x14ac:dyDescent="0.25">
      <c r="A10612" t="s">
        <v>32829</v>
      </c>
      <c r="B10612" t="s">
        <v>33338</v>
      </c>
      <c r="C10612" t="s">
        <v>33339</v>
      </c>
      <c r="D10612" t="s">
        <v>33340</v>
      </c>
      <c r="E10612" t="s">
        <v>33341</v>
      </c>
      <c r="F10612" t="s">
        <v>33342</v>
      </c>
      <c r="G10612" s="2" t="str">
        <f>HYPERLINK("https://probpalata.gov.ru/files/ИП550801528800000.jpeg","Скачать индивидуальный QR-код магазина")</f>
        <v>Скачать индивидуальный QR-код магазина</v>
      </c>
    </row>
    <row r="10613" spans="1:7" x14ac:dyDescent="0.25">
      <c r="A10613" t="s">
        <v>32829</v>
      </c>
      <c r="B10613" t="s">
        <v>33343</v>
      </c>
      <c r="C10613" t="s">
        <v>33339</v>
      </c>
      <c r="D10613" t="s">
        <v>33340</v>
      </c>
      <c r="E10613" t="s">
        <v>33341</v>
      </c>
      <c r="F10613" t="s">
        <v>33344</v>
      </c>
      <c r="G10613" s="2" t="str">
        <f>HYPERLINK("https://probpalata.gov.ru/files/ИП550801528800001.jpeg","Скачать индивидуальный QR-код магазина")</f>
        <v>Скачать индивидуальный QR-код магазина</v>
      </c>
    </row>
    <row r="10614" spans="1:7" x14ac:dyDescent="0.25">
      <c r="A10614" t="s">
        <v>32829</v>
      </c>
      <c r="B10614" t="s">
        <v>33345</v>
      </c>
      <c r="C10614" t="s">
        <v>33339</v>
      </c>
      <c r="D10614" t="s">
        <v>33340</v>
      </c>
      <c r="E10614" t="s">
        <v>33341</v>
      </c>
      <c r="F10614" t="s">
        <v>33346</v>
      </c>
      <c r="G10614" s="2" t="str">
        <f>HYPERLINK("https://probpalata.gov.ru/files/ИП550801528800002.jpeg","Скачать индивидуальный QR-код магазина")</f>
        <v>Скачать индивидуальный QR-код магазина</v>
      </c>
    </row>
    <row r="10615" spans="1:7" x14ac:dyDescent="0.25">
      <c r="A10615" t="s">
        <v>32829</v>
      </c>
      <c r="B10615" t="s">
        <v>33347</v>
      </c>
      <c r="C10615" t="s">
        <v>33348</v>
      </c>
      <c r="D10615" t="s">
        <v>33349</v>
      </c>
      <c r="E10615" t="s">
        <v>33350</v>
      </c>
      <c r="F10615" t="s">
        <v>33351</v>
      </c>
      <c r="G10615" s="2" t="str">
        <f>HYPERLINK("https://probpalata.gov.ru/files/ИП550800915800000.jpeg","Скачать индивидуальный QR-код магазина")</f>
        <v>Скачать индивидуальный QR-код магазина</v>
      </c>
    </row>
    <row r="10616" spans="1:7" x14ac:dyDescent="0.25">
      <c r="A10616" t="s">
        <v>32829</v>
      </c>
      <c r="B10616" t="s">
        <v>33352</v>
      </c>
      <c r="C10616" t="s">
        <v>713</v>
      </c>
      <c r="D10616" t="s">
        <v>714</v>
      </c>
      <c r="E10616" t="s">
        <v>715</v>
      </c>
      <c r="F10616" t="s">
        <v>33353</v>
      </c>
      <c r="G10616" s="2" t="str">
        <f>HYPERLINK("https://probpalata.gov.ru/files/ЮЛ770101216600170.jpeg","Скачать индивидуальный QR-код магазина")</f>
        <v>Скачать индивидуальный QR-код магазина</v>
      </c>
    </row>
    <row r="10617" spans="1:7" x14ac:dyDescent="0.25">
      <c r="A10617" t="s">
        <v>32829</v>
      </c>
      <c r="B10617" t="s">
        <v>33354</v>
      </c>
      <c r="C10617" t="s">
        <v>713</v>
      </c>
      <c r="D10617" t="s">
        <v>714</v>
      </c>
      <c r="E10617" t="s">
        <v>715</v>
      </c>
      <c r="F10617" t="s">
        <v>33355</v>
      </c>
      <c r="G10617" s="2" t="str">
        <f>HYPERLINK("https://probpalata.gov.ru/files/ЮЛ770101216600343.jpeg","Скачать индивидуальный QR-код магазина")</f>
        <v>Скачать индивидуальный QR-код магазина</v>
      </c>
    </row>
    <row r="10618" spans="1:7" x14ac:dyDescent="0.25">
      <c r="A10618" t="s">
        <v>32829</v>
      </c>
      <c r="B10618" t="s">
        <v>33356</v>
      </c>
      <c r="C10618" t="s">
        <v>713</v>
      </c>
      <c r="D10618" t="s">
        <v>714</v>
      </c>
      <c r="E10618" t="s">
        <v>715</v>
      </c>
      <c r="F10618" t="s">
        <v>33357</v>
      </c>
      <c r="G10618" s="2" t="str">
        <f>HYPERLINK("https://probpalata.gov.ru/files/ЮЛ770101216600349.jpeg","Скачать индивидуальный QR-код магазина")</f>
        <v>Скачать индивидуальный QR-код магазина</v>
      </c>
    </row>
    <row r="10619" spans="1:7" x14ac:dyDescent="0.25">
      <c r="A10619" t="s">
        <v>32829</v>
      </c>
      <c r="B10619" t="s">
        <v>32894</v>
      </c>
      <c r="C10619" t="s">
        <v>713</v>
      </c>
      <c r="D10619" t="s">
        <v>714</v>
      </c>
      <c r="E10619" t="s">
        <v>715</v>
      </c>
      <c r="F10619" t="s">
        <v>33358</v>
      </c>
      <c r="G10619" s="2" t="str">
        <f>HYPERLINK("https://probpalata.gov.ru/files/ЮЛ770101216600355.jpeg","Скачать индивидуальный QR-код магазина")</f>
        <v>Скачать индивидуальный QR-код магазина</v>
      </c>
    </row>
    <row r="10620" spans="1:7" x14ac:dyDescent="0.25">
      <c r="A10620" t="s">
        <v>32829</v>
      </c>
      <c r="B10620" t="s">
        <v>33359</v>
      </c>
      <c r="C10620" t="s">
        <v>713</v>
      </c>
      <c r="D10620" t="s">
        <v>714</v>
      </c>
      <c r="E10620" t="s">
        <v>715</v>
      </c>
      <c r="F10620" t="s">
        <v>33360</v>
      </c>
      <c r="G10620" s="2" t="str">
        <f>HYPERLINK("https://probpalata.gov.ru/files/ЮЛ770101216600360.jpeg","Скачать индивидуальный QR-код магазина")</f>
        <v>Скачать индивидуальный QR-код магазина</v>
      </c>
    </row>
    <row r="10621" spans="1:7" x14ac:dyDescent="0.25">
      <c r="A10621" t="s">
        <v>32829</v>
      </c>
      <c r="B10621" t="s">
        <v>33361</v>
      </c>
      <c r="C10621" t="s">
        <v>713</v>
      </c>
      <c r="D10621" t="s">
        <v>714</v>
      </c>
      <c r="E10621" t="s">
        <v>715</v>
      </c>
      <c r="F10621" t="s">
        <v>33362</v>
      </c>
      <c r="G10621" s="2" t="str">
        <f>HYPERLINK("https://probpalata.gov.ru/files/ЮЛ770101216600393.jpeg","Скачать индивидуальный QR-код магазина")</f>
        <v>Скачать индивидуальный QR-код магазина</v>
      </c>
    </row>
    <row r="10622" spans="1:7" x14ac:dyDescent="0.25">
      <c r="A10622" t="s">
        <v>32829</v>
      </c>
      <c r="B10622" t="s">
        <v>33363</v>
      </c>
      <c r="C10622" t="s">
        <v>713</v>
      </c>
      <c r="D10622" t="s">
        <v>714</v>
      </c>
      <c r="E10622" t="s">
        <v>715</v>
      </c>
      <c r="F10622" t="s">
        <v>33364</v>
      </c>
      <c r="G10622" s="2" t="str">
        <f>HYPERLINK("https://probpalata.gov.ru/files/ЮЛ770101216600482.jpeg","Скачать индивидуальный QR-код магазина")</f>
        <v>Скачать индивидуальный QR-код магазина</v>
      </c>
    </row>
    <row r="10623" spans="1:7" x14ac:dyDescent="0.25">
      <c r="A10623" t="s">
        <v>32829</v>
      </c>
      <c r="B10623" t="s">
        <v>33365</v>
      </c>
      <c r="C10623" t="s">
        <v>713</v>
      </c>
      <c r="D10623" t="s">
        <v>714</v>
      </c>
      <c r="E10623" t="s">
        <v>715</v>
      </c>
      <c r="F10623" t="s">
        <v>33366</v>
      </c>
      <c r="G10623" s="2" t="str">
        <f>HYPERLINK("https://probpalata.gov.ru/files/ЮЛ770101216600635.jpeg","Скачать индивидуальный QR-код магазина")</f>
        <v>Скачать индивидуальный QR-код магазина</v>
      </c>
    </row>
    <row r="10624" spans="1:7" x14ac:dyDescent="0.25">
      <c r="A10624" t="s">
        <v>32829</v>
      </c>
      <c r="B10624" t="s">
        <v>33367</v>
      </c>
      <c r="C10624" t="s">
        <v>713</v>
      </c>
      <c r="D10624" t="s">
        <v>714</v>
      </c>
      <c r="E10624" t="s">
        <v>715</v>
      </c>
      <c r="F10624" t="s">
        <v>33368</v>
      </c>
      <c r="G10624" s="2" t="str">
        <f>HYPERLINK("https://probpalata.gov.ru/files/ЮЛ770101216600712.jpeg","Скачать индивидуальный QR-код магазина")</f>
        <v>Скачать индивидуальный QR-код магазина</v>
      </c>
    </row>
    <row r="10625" spans="1:7" x14ac:dyDescent="0.25">
      <c r="A10625" t="s">
        <v>32829</v>
      </c>
      <c r="B10625" t="s">
        <v>33369</v>
      </c>
      <c r="C10625" t="s">
        <v>713</v>
      </c>
      <c r="D10625" t="s">
        <v>714</v>
      </c>
      <c r="E10625" t="s">
        <v>715</v>
      </c>
      <c r="F10625" t="s">
        <v>33370</v>
      </c>
      <c r="G10625" s="2" t="str">
        <f>HYPERLINK("https://probpalata.gov.ru/files/ЮЛ770101216600976.jpeg","Скачать индивидуальный QR-код магазина")</f>
        <v>Скачать индивидуальный QR-код магазина</v>
      </c>
    </row>
    <row r="10626" spans="1:7" x14ac:dyDescent="0.25">
      <c r="A10626" t="s">
        <v>32829</v>
      </c>
      <c r="B10626" t="s">
        <v>33371</v>
      </c>
      <c r="C10626" t="s">
        <v>713</v>
      </c>
      <c r="D10626" t="s">
        <v>714</v>
      </c>
      <c r="E10626" t="s">
        <v>715</v>
      </c>
      <c r="F10626" t="s">
        <v>33372</v>
      </c>
      <c r="G10626" s="2" t="str">
        <f>HYPERLINK("https://probpalata.gov.ru/files/ЮЛ770101216600982.jpeg","Скачать индивидуальный QR-код магазина")</f>
        <v>Скачать индивидуальный QR-код магазина</v>
      </c>
    </row>
    <row r="10627" spans="1:7" x14ac:dyDescent="0.25">
      <c r="A10627" t="s">
        <v>32829</v>
      </c>
      <c r="B10627" t="s">
        <v>33373</v>
      </c>
      <c r="C10627" t="s">
        <v>1416</v>
      </c>
      <c r="D10627" t="s">
        <v>1417</v>
      </c>
      <c r="E10627" t="s">
        <v>1418</v>
      </c>
      <c r="F10627" t="s">
        <v>33374</v>
      </c>
      <c r="G10627" s="2" t="str">
        <f>HYPERLINK("https://probpalata.gov.ru/files/ЮЛ770100419400239.jpeg","Скачать индивидуальный QR-код магазина")</f>
        <v>Скачать индивидуальный QR-код магазина</v>
      </c>
    </row>
    <row r="10628" spans="1:7" x14ac:dyDescent="0.25">
      <c r="A10628" t="s">
        <v>32829</v>
      </c>
      <c r="B10628" t="s">
        <v>33375</v>
      </c>
      <c r="C10628" t="s">
        <v>748</v>
      </c>
      <c r="D10628" t="s">
        <v>749</v>
      </c>
      <c r="E10628" t="s">
        <v>750</v>
      </c>
      <c r="F10628" t="s">
        <v>33376</v>
      </c>
      <c r="G10628" s="2" t="str">
        <f>HYPERLINK("https://probpalata.gov.ru/files/ЮЛ770100193500205.jpeg","Скачать индивидуальный QR-код магазина")</f>
        <v>Скачать индивидуальный QR-код магазина</v>
      </c>
    </row>
    <row r="10629" spans="1:7" x14ac:dyDescent="0.25">
      <c r="A10629" t="s">
        <v>32829</v>
      </c>
      <c r="B10629" t="s">
        <v>33377</v>
      </c>
      <c r="C10629" t="s">
        <v>748</v>
      </c>
      <c r="D10629" t="s">
        <v>749</v>
      </c>
      <c r="E10629" t="s">
        <v>750</v>
      </c>
      <c r="F10629" t="s">
        <v>33378</v>
      </c>
      <c r="G10629" s="2" t="str">
        <f>HYPERLINK("https://probpalata.gov.ru/files/ЮЛ770100193500206.jpeg","Скачать индивидуальный QR-код магазина")</f>
        <v>Скачать индивидуальный QR-код магазина</v>
      </c>
    </row>
    <row r="10630" spans="1:7" x14ac:dyDescent="0.25">
      <c r="A10630" t="s">
        <v>32829</v>
      </c>
      <c r="B10630" t="s">
        <v>33379</v>
      </c>
      <c r="C10630" t="s">
        <v>748</v>
      </c>
      <c r="D10630" t="s">
        <v>749</v>
      </c>
      <c r="E10630" t="s">
        <v>750</v>
      </c>
      <c r="F10630" t="s">
        <v>33380</v>
      </c>
      <c r="G10630" s="2" t="str">
        <f>HYPERLINK("https://probpalata.gov.ru/files/ЮЛ770100193500207.jpeg","Скачать индивидуальный QR-код магазина")</f>
        <v>Скачать индивидуальный QR-код магазина</v>
      </c>
    </row>
    <row r="10631" spans="1:7" x14ac:dyDescent="0.25">
      <c r="A10631" t="s">
        <v>32829</v>
      </c>
      <c r="B10631" t="s">
        <v>33381</v>
      </c>
      <c r="C10631" t="s">
        <v>748</v>
      </c>
      <c r="D10631" t="s">
        <v>749</v>
      </c>
      <c r="E10631" t="s">
        <v>750</v>
      </c>
      <c r="F10631" t="s">
        <v>33382</v>
      </c>
      <c r="G10631" s="2" t="str">
        <f>HYPERLINK("https://probpalata.gov.ru/files/ЮЛ770100193500208.jpeg","Скачать индивидуальный QR-код магазина")</f>
        <v>Скачать индивидуальный QR-код магазина</v>
      </c>
    </row>
    <row r="10632" spans="1:7" x14ac:dyDescent="0.25">
      <c r="A10632" t="s">
        <v>32829</v>
      </c>
      <c r="B10632" t="s">
        <v>33383</v>
      </c>
      <c r="C10632" t="s">
        <v>748</v>
      </c>
      <c r="D10632" t="s">
        <v>749</v>
      </c>
      <c r="E10632" t="s">
        <v>750</v>
      </c>
      <c r="F10632" t="s">
        <v>33384</v>
      </c>
      <c r="G10632" s="2" t="str">
        <f>HYPERLINK("https://probpalata.gov.ru/files/ЮЛ770100193500209.jpeg","Скачать индивидуальный QR-код магазина")</f>
        <v>Скачать индивидуальный QR-код магазина</v>
      </c>
    </row>
    <row r="10633" spans="1:7" x14ac:dyDescent="0.25">
      <c r="A10633" t="s">
        <v>32829</v>
      </c>
      <c r="B10633" t="s">
        <v>33385</v>
      </c>
      <c r="C10633" t="s">
        <v>748</v>
      </c>
      <c r="D10633" t="s">
        <v>749</v>
      </c>
      <c r="E10633" t="s">
        <v>750</v>
      </c>
      <c r="F10633" t="s">
        <v>33386</v>
      </c>
      <c r="G10633" s="2" t="str">
        <f>HYPERLINK("https://probpalata.gov.ru/files/ЮЛ770100193500210.jpeg","Скачать индивидуальный QR-код магазина")</f>
        <v>Скачать индивидуальный QR-код магазина</v>
      </c>
    </row>
    <row r="10634" spans="1:7" x14ac:dyDescent="0.25">
      <c r="A10634" t="s">
        <v>32829</v>
      </c>
      <c r="B10634" t="s">
        <v>33387</v>
      </c>
      <c r="C10634" t="s">
        <v>748</v>
      </c>
      <c r="D10634" t="s">
        <v>749</v>
      </c>
      <c r="E10634" t="s">
        <v>750</v>
      </c>
      <c r="F10634" t="s">
        <v>33388</v>
      </c>
      <c r="G10634" s="2" t="str">
        <f>HYPERLINK("https://probpalata.gov.ru/files/ЮЛ770100193500596.jpeg","Скачать индивидуальный QR-код магазина")</f>
        <v>Скачать индивидуальный QR-код магазина</v>
      </c>
    </row>
    <row r="10635" spans="1:7" x14ac:dyDescent="0.25">
      <c r="A10635" t="s">
        <v>32829</v>
      </c>
      <c r="B10635" t="s">
        <v>33389</v>
      </c>
      <c r="C10635" t="s">
        <v>748</v>
      </c>
      <c r="D10635" t="s">
        <v>749</v>
      </c>
      <c r="E10635" t="s">
        <v>750</v>
      </c>
      <c r="F10635" t="s">
        <v>33390</v>
      </c>
      <c r="G10635" s="2" t="str">
        <f>HYPERLINK("https://probpalata.gov.ru/files/ЮЛ770100193500758.jpeg","Скачать индивидуальный QR-код магазина")</f>
        <v>Скачать индивидуальный QR-код магазина</v>
      </c>
    </row>
    <row r="10636" spans="1:7" x14ac:dyDescent="0.25">
      <c r="A10636" t="s">
        <v>32829</v>
      </c>
      <c r="B10636" t="s">
        <v>33391</v>
      </c>
      <c r="C10636" t="s">
        <v>748</v>
      </c>
      <c r="D10636" t="s">
        <v>749</v>
      </c>
      <c r="E10636" t="s">
        <v>750</v>
      </c>
      <c r="F10636" t="s">
        <v>33392</v>
      </c>
      <c r="G10636" s="2" t="str">
        <f>HYPERLINK("https://probpalata.gov.ru/files/ЮЛ770100193500794.jpeg","Скачать индивидуальный QR-код магазина")</f>
        <v>Скачать индивидуальный QR-код магазина</v>
      </c>
    </row>
    <row r="10637" spans="1:7" x14ac:dyDescent="0.25">
      <c r="A10637" t="s">
        <v>32829</v>
      </c>
      <c r="B10637" t="s">
        <v>33393</v>
      </c>
      <c r="C10637" t="s">
        <v>773</v>
      </c>
      <c r="D10637" t="s">
        <v>774</v>
      </c>
      <c r="E10637" t="s">
        <v>775</v>
      </c>
      <c r="F10637" t="s">
        <v>33394</v>
      </c>
      <c r="G10637" s="2" t="str">
        <f>HYPERLINK("https://probpalata.gov.ru/files/ЮЛ780300131300280.jpeg","Скачать индивидуальный QR-код магазина")</f>
        <v>Скачать индивидуальный QR-код магазина</v>
      </c>
    </row>
    <row r="10638" spans="1:7" x14ac:dyDescent="0.25">
      <c r="A10638" t="s">
        <v>32829</v>
      </c>
      <c r="B10638" t="s">
        <v>33395</v>
      </c>
      <c r="C10638" t="s">
        <v>773</v>
      </c>
      <c r="D10638" t="s">
        <v>774</v>
      </c>
      <c r="E10638" t="s">
        <v>775</v>
      </c>
      <c r="F10638" t="s">
        <v>33396</v>
      </c>
      <c r="G10638" s="2" t="str">
        <f>HYPERLINK("https://probpalata.gov.ru/files/ЮЛ780300131300283.jpeg","Скачать индивидуальный QR-код магазина")</f>
        <v>Скачать индивидуальный QR-код магазина</v>
      </c>
    </row>
    <row r="10639" spans="1:7" x14ac:dyDescent="0.25">
      <c r="A10639" t="s">
        <v>32829</v>
      </c>
      <c r="B10639" t="s">
        <v>33397</v>
      </c>
      <c r="C10639" t="s">
        <v>773</v>
      </c>
      <c r="D10639" t="s">
        <v>774</v>
      </c>
      <c r="E10639" t="s">
        <v>775</v>
      </c>
      <c r="F10639" t="s">
        <v>33398</v>
      </c>
      <c r="G10639" s="2" t="str">
        <f>HYPERLINK("https://probpalata.gov.ru/files/ЮЛ780300131300284.jpeg","Скачать индивидуальный QR-код магазина")</f>
        <v>Скачать индивидуальный QR-код магазина</v>
      </c>
    </row>
    <row r="10640" spans="1:7" x14ac:dyDescent="0.25">
      <c r="A10640" t="s">
        <v>32829</v>
      </c>
      <c r="B10640" t="s">
        <v>33399</v>
      </c>
      <c r="C10640" t="s">
        <v>773</v>
      </c>
      <c r="D10640" t="s">
        <v>774</v>
      </c>
      <c r="E10640" t="s">
        <v>775</v>
      </c>
      <c r="F10640" t="s">
        <v>33400</v>
      </c>
      <c r="G10640" s="2" t="str">
        <f>HYPERLINK("https://probpalata.gov.ru/files/ЮЛ780300131300285.jpeg","Скачать индивидуальный QR-код магазина")</f>
        <v>Скачать индивидуальный QR-код магазина</v>
      </c>
    </row>
    <row r="10641" spans="1:7" x14ac:dyDescent="0.25">
      <c r="A10641" t="s">
        <v>32829</v>
      </c>
      <c r="B10641" t="s">
        <v>33401</v>
      </c>
      <c r="C10641" t="s">
        <v>773</v>
      </c>
      <c r="D10641" t="s">
        <v>774</v>
      </c>
      <c r="E10641" t="s">
        <v>775</v>
      </c>
      <c r="F10641" t="s">
        <v>33402</v>
      </c>
      <c r="G10641" s="2" t="str">
        <f>HYPERLINK("https://probpalata.gov.ru/files/ЮЛ780300131300287.jpeg","Скачать индивидуальный QR-код магазина")</f>
        <v>Скачать индивидуальный QR-код магазина</v>
      </c>
    </row>
    <row r="10642" spans="1:7" x14ac:dyDescent="0.25">
      <c r="A10642" t="s">
        <v>32829</v>
      </c>
      <c r="B10642" t="s">
        <v>33403</v>
      </c>
      <c r="C10642" t="s">
        <v>798</v>
      </c>
      <c r="D10642" t="s">
        <v>799</v>
      </c>
      <c r="E10642" t="s">
        <v>800</v>
      </c>
      <c r="F10642" t="s">
        <v>33404</v>
      </c>
      <c r="G10642" s="2" t="str">
        <f>HYPERLINK("https://probpalata.gov.ru/files/ЮЛ780300308200299.jpeg","Скачать индивидуальный QR-код магазина")</f>
        <v>Скачать индивидуальный QR-код магазина</v>
      </c>
    </row>
    <row r="10643" spans="1:7" x14ac:dyDescent="0.25">
      <c r="A10643" t="s">
        <v>32829</v>
      </c>
      <c r="B10643" t="s">
        <v>33086</v>
      </c>
      <c r="C10643" t="s">
        <v>798</v>
      </c>
      <c r="D10643" t="s">
        <v>799</v>
      </c>
      <c r="E10643" t="s">
        <v>800</v>
      </c>
      <c r="F10643" t="s">
        <v>33405</v>
      </c>
      <c r="G10643" s="2" t="str">
        <f>HYPERLINK("https://probpalata.gov.ru/files/ЮЛ780300308200300.jpeg","Скачать индивидуальный QR-код магазина")</f>
        <v>Скачать индивидуальный QR-код магазина</v>
      </c>
    </row>
    <row r="10644" spans="1:7" x14ac:dyDescent="0.25">
      <c r="A10644" t="s">
        <v>32829</v>
      </c>
      <c r="B10644" t="s">
        <v>32954</v>
      </c>
      <c r="C10644" t="s">
        <v>798</v>
      </c>
      <c r="D10644" t="s">
        <v>799</v>
      </c>
      <c r="E10644" t="s">
        <v>800</v>
      </c>
      <c r="F10644" t="s">
        <v>33406</v>
      </c>
      <c r="G10644" s="2" t="str">
        <f>HYPERLINK("https://probpalata.gov.ru/files/ЮЛ780300308200301.jpeg","Скачать индивидуальный QR-код магазина")</f>
        <v>Скачать индивидуальный QR-код магазина</v>
      </c>
    </row>
    <row r="10645" spans="1:7" x14ac:dyDescent="0.25">
      <c r="A10645" t="s">
        <v>32829</v>
      </c>
      <c r="B10645" t="s">
        <v>33407</v>
      </c>
      <c r="C10645" t="s">
        <v>798</v>
      </c>
      <c r="D10645" t="s">
        <v>799</v>
      </c>
      <c r="E10645" t="s">
        <v>800</v>
      </c>
      <c r="F10645" t="s">
        <v>33408</v>
      </c>
      <c r="G10645" s="2" t="str">
        <f>HYPERLINK("https://probpalata.gov.ru/files/ЮЛ780300308200302.jpeg","Скачать индивидуальный QR-код магазина")</f>
        <v>Скачать индивидуальный QR-код магазина</v>
      </c>
    </row>
    <row r="10646" spans="1:7" x14ac:dyDescent="0.25">
      <c r="A10646" t="s">
        <v>32829</v>
      </c>
      <c r="B10646" t="s">
        <v>33409</v>
      </c>
      <c r="C10646" t="s">
        <v>798</v>
      </c>
      <c r="D10646" t="s">
        <v>799</v>
      </c>
      <c r="E10646" t="s">
        <v>800</v>
      </c>
      <c r="F10646" t="s">
        <v>33410</v>
      </c>
      <c r="G10646" s="2" t="str">
        <f>HYPERLINK("https://probpalata.gov.ru/files/ЮЛ780300308200601.jpeg","Скачать индивидуальный QR-код магазина")</f>
        <v>Скачать индивидуальный QR-код магазина</v>
      </c>
    </row>
    <row r="10647" spans="1:7" x14ac:dyDescent="0.25">
      <c r="A10647" t="s">
        <v>32829</v>
      </c>
      <c r="B10647" t="s">
        <v>33411</v>
      </c>
      <c r="C10647" t="s">
        <v>798</v>
      </c>
      <c r="D10647" t="s">
        <v>799</v>
      </c>
      <c r="E10647" t="s">
        <v>800</v>
      </c>
      <c r="F10647" t="s">
        <v>33412</v>
      </c>
      <c r="G10647" s="2" t="str">
        <f>HYPERLINK("https://probpalata.gov.ru/files/ЮЛ780300308200952.jpeg","Скачать индивидуальный QR-код магазина")</f>
        <v>Скачать индивидуальный QR-код магазина</v>
      </c>
    </row>
    <row r="10648" spans="1:7" x14ac:dyDescent="0.25">
      <c r="A10648" t="s">
        <v>32829</v>
      </c>
      <c r="B10648" t="s">
        <v>33413</v>
      </c>
      <c r="C10648" t="s">
        <v>798</v>
      </c>
      <c r="D10648" t="s">
        <v>799</v>
      </c>
      <c r="E10648" t="s">
        <v>800</v>
      </c>
      <c r="F10648" t="s">
        <v>33414</v>
      </c>
      <c r="G10648" s="2" t="str">
        <f>HYPERLINK("https://probpalata.gov.ru/files/ЮЛ780300308200985.jpeg","Скачать индивидуальный QR-код магазина")</f>
        <v>Скачать индивидуальный QR-код магазина</v>
      </c>
    </row>
    <row r="10649" spans="1:7" x14ac:dyDescent="0.25">
      <c r="A10649" t="s">
        <v>32829</v>
      </c>
      <c r="B10649" t="s">
        <v>33415</v>
      </c>
      <c r="C10649" t="s">
        <v>798</v>
      </c>
      <c r="D10649" t="s">
        <v>799</v>
      </c>
      <c r="E10649" t="s">
        <v>800</v>
      </c>
      <c r="F10649" t="s">
        <v>33416</v>
      </c>
      <c r="G10649" s="2" t="str">
        <f>HYPERLINK("https://probpalata.gov.ru/files/ЮЛ780300308200993.jpeg","Скачать индивидуальный QR-код магазина")</f>
        <v>Скачать индивидуальный QR-код магазина</v>
      </c>
    </row>
    <row r="10650" spans="1:7" x14ac:dyDescent="0.25">
      <c r="A10650" t="s">
        <v>32829</v>
      </c>
      <c r="B10650" t="s">
        <v>33417</v>
      </c>
      <c r="C10650" t="s">
        <v>798</v>
      </c>
      <c r="D10650" t="s">
        <v>799</v>
      </c>
      <c r="E10650" t="s">
        <v>800</v>
      </c>
      <c r="F10650" t="s">
        <v>33418</v>
      </c>
      <c r="G10650" s="2" t="str">
        <f>HYPERLINK("https://probpalata.gov.ru/files/ЮЛ780300308201011.jpeg","Скачать индивидуальный QR-код магазина")</f>
        <v>Скачать индивидуальный QR-код магазина</v>
      </c>
    </row>
    <row r="10651" spans="1:7" x14ac:dyDescent="0.25">
      <c r="A10651" t="s">
        <v>32829</v>
      </c>
      <c r="B10651" t="s">
        <v>33419</v>
      </c>
      <c r="C10651" t="s">
        <v>798</v>
      </c>
      <c r="D10651" t="s">
        <v>799</v>
      </c>
      <c r="E10651" t="s">
        <v>800</v>
      </c>
      <c r="F10651" t="s">
        <v>33420</v>
      </c>
      <c r="G10651" s="2" t="str">
        <f>HYPERLINK("https://probpalata.gov.ru/files/ЮЛ780300308201047.jpeg","Скачать индивидуальный QR-код магазина")</f>
        <v>Скачать индивидуальный QR-код магазина</v>
      </c>
    </row>
    <row r="10652" spans="1:7" x14ac:dyDescent="0.25">
      <c r="A10652" t="s">
        <v>32829</v>
      </c>
      <c r="B10652" t="s">
        <v>33421</v>
      </c>
      <c r="C10652" t="s">
        <v>7852</v>
      </c>
      <c r="D10652" t="s">
        <v>7853</v>
      </c>
      <c r="E10652" t="s">
        <v>7854</v>
      </c>
      <c r="F10652" t="s">
        <v>33422</v>
      </c>
      <c r="G10652" s="2" t="str">
        <f>HYPERLINK("https://probpalata.gov.ru/files/ЮЛ770100029500010.jpeg","Скачать индивидуальный QR-код магазина")</f>
        <v>Скачать индивидуальный QR-код магазина</v>
      </c>
    </row>
    <row r="10653" spans="1:7" x14ac:dyDescent="0.25">
      <c r="A10653" t="s">
        <v>32829</v>
      </c>
      <c r="B10653" t="s">
        <v>33113</v>
      </c>
      <c r="C10653" t="s">
        <v>33423</v>
      </c>
      <c r="D10653" t="s">
        <v>33424</v>
      </c>
      <c r="E10653" t="s">
        <v>33425</v>
      </c>
      <c r="F10653" t="s">
        <v>33426</v>
      </c>
      <c r="G10653" s="2" t="str">
        <f>HYPERLINK("https://probpalata.gov.ru/files/ЮЛ770103293400000.jpeg","Скачать индивидуальный QR-код магазина")</f>
        <v>Скачать индивидуальный QR-код магазина</v>
      </c>
    </row>
    <row r="10654" spans="1:7" x14ac:dyDescent="0.25">
      <c r="A10654" t="s">
        <v>32829</v>
      </c>
      <c r="B10654" t="s">
        <v>33427</v>
      </c>
      <c r="C10654" t="s">
        <v>33423</v>
      </c>
      <c r="D10654" t="s">
        <v>33424</v>
      </c>
      <c r="E10654" t="s">
        <v>33425</v>
      </c>
      <c r="F10654" t="s">
        <v>33428</v>
      </c>
      <c r="G10654" s="2" t="str">
        <f>HYPERLINK("https://probpalata.gov.ru/files/ЮЛ770103293400001.jpeg","Скачать индивидуальный QR-код магазина")</f>
        <v>Скачать индивидуальный QR-код магазина</v>
      </c>
    </row>
    <row r="10655" spans="1:7" x14ac:dyDescent="0.25">
      <c r="A10655" t="s">
        <v>32829</v>
      </c>
      <c r="B10655" t="s">
        <v>33429</v>
      </c>
      <c r="C10655" t="s">
        <v>33423</v>
      </c>
      <c r="D10655" t="s">
        <v>33424</v>
      </c>
      <c r="E10655" t="s">
        <v>33425</v>
      </c>
      <c r="F10655" t="s">
        <v>33430</v>
      </c>
      <c r="G10655" s="2" t="str">
        <f>HYPERLINK("https://probpalata.gov.ru/files/ЮЛ770103293400002.jpeg","Скачать индивидуальный QR-код магазина")</f>
        <v>Скачать индивидуальный QR-код магазина</v>
      </c>
    </row>
    <row r="10656" spans="1:7" x14ac:dyDescent="0.25">
      <c r="A10656" t="s">
        <v>32829</v>
      </c>
      <c r="B10656" t="s">
        <v>33000</v>
      </c>
      <c r="C10656" t="s">
        <v>33423</v>
      </c>
      <c r="D10656" t="s">
        <v>33424</v>
      </c>
      <c r="E10656" t="s">
        <v>33425</v>
      </c>
      <c r="F10656" t="s">
        <v>33431</v>
      </c>
      <c r="G10656" s="2" t="str">
        <f>HYPERLINK("https://probpalata.gov.ru/files/ЮЛ770103293400004.jpeg","Скачать индивидуальный QR-код магазина")</f>
        <v>Скачать индивидуальный QR-код магазина</v>
      </c>
    </row>
    <row r="10657" spans="1:7" x14ac:dyDescent="0.25">
      <c r="A10657" t="s">
        <v>33432</v>
      </c>
      <c r="B10657" t="s">
        <v>33433</v>
      </c>
      <c r="C10657" t="s">
        <v>33434</v>
      </c>
      <c r="D10657" t="s">
        <v>33435</v>
      </c>
      <c r="E10657" t="s">
        <v>33436</v>
      </c>
      <c r="F10657" t="s">
        <v>33437</v>
      </c>
      <c r="G10657" s="2" t="str">
        <f>HYPERLINK("https://probpalata.gov.ru/files/ЮЛ020600092500035.jpeg","Скачать индивидуальный QR-код магазина")</f>
        <v>Скачать индивидуальный QR-код магазина</v>
      </c>
    </row>
    <row r="10658" spans="1:7" x14ac:dyDescent="0.25">
      <c r="A10658" t="s">
        <v>33432</v>
      </c>
      <c r="B10658" t="s">
        <v>33438</v>
      </c>
      <c r="C10658" t="s">
        <v>30207</v>
      </c>
      <c r="D10658" t="s">
        <v>30208</v>
      </c>
      <c r="E10658" t="s">
        <v>30209</v>
      </c>
      <c r="F10658" t="s">
        <v>33439</v>
      </c>
      <c r="G10658" s="2" t="str">
        <f>HYPERLINK("https://probpalata.gov.ru/files/ИП370200423500005.jpeg","Скачать индивидуальный QR-код магазина")</f>
        <v>Скачать индивидуальный QR-код магазина</v>
      </c>
    </row>
    <row r="10659" spans="1:7" x14ac:dyDescent="0.25">
      <c r="A10659" t="s">
        <v>33432</v>
      </c>
      <c r="B10659" t="s">
        <v>33440</v>
      </c>
      <c r="C10659" t="s">
        <v>30207</v>
      </c>
      <c r="D10659" t="s">
        <v>30208</v>
      </c>
      <c r="E10659" t="s">
        <v>30209</v>
      </c>
      <c r="F10659" t="s">
        <v>33441</v>
      </c>
      <c r="G10659" s="2" t="str">
        <f>HYPERLINK("https://probpalata.gov.ru/files/ИП370200423500011.jpeg","Скачать индивидуальный QR-код магазина")</f>
        <v>Скачать индивидуальный QR-код магазина</v>
      </c>
    </row>
    <row r="10660" spans="1:7" x14ac:dyDescent="0.25">
      <c r="A10660" t="s">
        <v>33432</v>
      </c>
      <c r="B10660" t="s">
        <v>33442</v>
      </c>
      <c r="C10660" t="s">
        <v>671</v>
      </c>
      <c r="D10660" t="s">
        <v>672</v>
      </c>
      <c r="E10660" t="s">
        <v>673</v>
      </c>
      <c r="F10660" t="s">
        <v>33443</v>
      </c>
      <c r="G10660" s="2" t="str">
        <f>HYPERLINK("https://probpalata.gov.ru/files/ИП500100445500062.jpeg","Скачать индивидуальный QR-код магазина")</f>
        <v>Скачать индивидуальный QR-код магазина</v>
      </c>
    </row>
    <row r="10661" spans="1:7" x14ac:dyDescent="0.25">
      <c r="A10661" t="s">
        <v>33432</v>
      </c>
      <c r="B10661" t="s">
        <v>33444</v>
      </c>
      <c r="C10661" t="s">
        <v>33445</v>
      </c>
      <c r="D10661" t="s">
        <v>33446</v>
      </c>
      <c r="E10661" t="s">
        <v>33447</v>
      </c>
      <c r="F10661" t="s">
        <v>33448</v>
      </c>
      <c r="G10661" s="2" t="str">
        <f>HYPERLINK("https://probpalata.gov.ru/files/ЮЛ500103046300005.jpeg","Скачать индивидуальный QR-код магазина")</f>
        <v>Скачать индивидуальный QR-код магазина</v>
      </c>
    </row>
    <row r="10662" spans="1:7" x14ac:dyDescent="0.25">
      <c r="A10662" t="s">
        <v>33432</v>
      </c>
      <c r="B10662" t="s">
        <v>33449</v>
      </c>
      <c r="C10662" t="s">
        <v>33445</v>
      </c>
      <c r="D10662" t="s">
        <v>33446</v>
      </c>
      <c r="E10662" t="s">
        <v>33447</v>
      </c>
      <c r="F10662" t="s">
        <v>33450</v>
      </c>
      <c r="G10662" s="2" t="str">
        <f>HYPERLINK("https://probpalata.gov.ru/files/ЮЛ500103046300006.jpeg","Скачать индивидуальный QR-код магазина")</f>
        <v>Скачать индивидуальный QR-код магазина</v>
      </c>
    </row>
    <row r="10663" spans="1:7" x14ac:dyDescent="0.25">
      <c r="A10663" t="s">
        <v>33432</v>
      </c>
      <c r="B10663" t="s">
        <v>33451</v>
      </c>
      <c r="C10663" t="s">
        <v>33445</v>
      </c>
      <c r="D10663" t="s">
        <v>33446</v>
      </c>
      <c r="E10663" t="s">
        <v>33447</v>
      </c>
      <c r="F10663" t="s">
        <v>33452</v>
      </c>
      <c r="G10663" s="2" t="str">
        <f>HYPERLINK("https://probpalata.gov.ru/files/ЮЛ500103046300007.jpeg","Скачать индивидуальный QR-код магазина")</f>
        <v>Скачать индивидуальный QR-код магазина</v>
      </c>
    </row>
    <row r="10664" spans="1:7" x14ac:dyDescent="0.25">
      <c r="A10664" t="s">
        <v>33432</v>
      </c>
      <c r="B10664" t="s">
        <v>33453</v>
      </c>
      <c r="C10664" t="s">
        <v>33445</v>
      </c>
      <c r="D10664" t="s">
        <v>33446</v>
      </c>
      <c r="E10664" t="s">
        <v>33447</v>
      </c>
      <c r="F10664" t="s">
        <v>33454</v>
      </c>
      <c r="G10664" s="2" t="str">
        <f>HYPERLINK("https://probpalata.gov.ru/files/ЮЛ500103046300008.jpeg","Скачать индивидуальный QR-код магазина")</f>
        <v>Скачать индивидуальный QR-код магазина</v>
      </c>
    </row>
    <row r="10665" spans="1:7" x14ac:dyDescent="0.25">
      <c r="A10665" t="s">
        <v>33432</v>
      </c>
      <c r="B10665" t="s">
        <v>33455</v>
      </c>
      <c r="C10665" t="s">
        <v>33445</v>
      </c>
      <c r="D10665" t="s">
        <v>33446</v>
      </c>
      <c r="E10665" t="s">
        <v>33447</v>
      </c>
      <c r="F10665" t="s">
        <v>33456</v>
      </c>
      <c r="G10665" s="2" t="str">
        <f>HYPERLINK("https://probpalata.gov.ru/files/ЮЛ500103046300011.jpeg","Скачать индивидуальный QR-код магазина")</f>
        <v>Скачать индивидуальный QR-код магазина</v>
      </c>
    </row>
    <row r="10666" spans="1:7" x14ac:dyDescent="0.25">
      <c r="A10666" t="s">
        <v>33432</v>
      </c>
      <c r="B10666" t="s">
        <v>33457</v>
      </c>
      <c r="C10666" t="s">
        <v>33445</v>
      </c>
      <c r="D10666" t="s">
        <v>33446</v>
      </c>
      <c r="E10666" t="s">
        <v>33447</v>
      </c>
      <c r="F10666" t="s">
        <v>33458</v>
      </c>
      <c r="G10666" s="2" t="str">
        <f>HYPERLINK("https://probpalata.gov.ru/files/ЮЛ500103046300014.jpeg","Скачать индивидуальный QR-код магазина")</f>
        <v>Скачать индивидуальный QR-код магазина</v>
      </c>
    </row>
    <row r="10667" spans="1:7" x14ac:dyDescent="0.25">
      <c r="A10667" t="s">
        <v>33432</v>
      </c>
      <c r="B10667" t="s">
        <v>33459</v>
      </c>
      <c r="C10667" t="s">
        <v>33445</v>
      </c>
      <c r="D10667" t="s">
        <v>33446</v>
      </c>
      <c r="E10667" t="s">
        <v>33447</v>
      </c>
      <c r="F10667" t="s">
        <v>33460</v>
      </c>
      <c r="G10667" s="2" t="str">
        <f>HYPERLINK("https://probpalata.gov.ru/files/ЮЛ500103046300021.jpeg","Скачать индивидуальный QR-код магазина")</f>
        <v>Скачать индивидуальный QR-код магазина</v>
      </c>
    </row>
    <row r="10668" spans="1:7" x14ac:dyDescent="0.25">
      <c r="A10668" t="s">
        <v>33432</v>
      </c>
      <c r="B10668" t="s">
        <v>33461</v>
      </c>
      <c r="C10668" t="s">
        <v>33445</v>
      </c>
      <c r="D10668" t="s">
        <v>33446</v>
      </c>
      <c r="E10668" t="s">
        <v>33447</v>
      </c>
      <c r="F10668" t="s">
        <v>33462</v>
      </c>
      <c r="G10668" s="2" t="str">
        <f>HYPERLINK("https://probpalata.gov.ru/files/ЮЛ500103046300022.jpeg","Скачать индивидуальный QR-код магазина")</f>
        <v>Скачать индивидуальный QR-код магазина</v>
      </c>
    </row>
    <row r="10669" spans="1:7" x14ac:dyDescent="0.25">
      <c r="A10669" t="s">
        <v>33432</v>
      </c>
      <c r="B10669" t="s">
        <v>33463</v>
      </c>
      <c r="C10669" t="s">
        <v>33445</v>
      </c>
      <c r="D10669" t="s">
        <v>33446</v>
      </c>
      <c r="E10669" t="s">
        <v>33447</v>
      </c>
      <c r="F10669" t="s">
        <v>33464</v>
      </c>
      <c r="G10669" s="2" t="str">
        <f>HYPERLINK("https://probpalata.gov.ru/files/ЮЛ500103046300032.jpeg","Скачать индивидуальный QR-код магазина")</f>
        <v>Скачать индивидуальный QR-код магазина</v>
      </c>
    </row>
    <row r="10670" spans="1:7" x14ac:dyDescent="0.25">
      <c r="A10670" t="s">
        <v>33432</v>
      </c>
      <c r="B10670" t="s">
        <v>33465</v>
      </c>
      <c r="C10670" t="s">
        <v>33445</v>
      </c>
      <c r="D10670" t="s">
        <v>33446</v>
      </c>
      <c r="E10670" t="s">
        <v>33447</v>
      </c>
      <c r="F10670" t="s">
        <v>33466</v>
      </c>
      <c r="G10670" s="2" t="str">
        <f>HYPERLINK("https://probpalata.gov.ru/files/ЮЛ500103046300033.jpeg","Скачать индивидуальный QR-код магазина")</f>
        <v>Скачать индивидуальный QR-код магазина</v>
      </c>
    </row>
    <row r="10671" spans="1:7" x14ac:dyDescent="0.25">
      <c r="A10671" t="s">
        <v>33432</v>
      </c>
      <c r="B10671" t="s">
        <v>33467</v>
      </c>
      <c r="C10671" t="s">
        <v>33445</v>
      </c>
      <c r="D10671" t="s">
        <v>33446</v>
      </c>
      <c r="E10671" t="s">
        <v>33447</v>
      </c>
      <c r="F10671" t="s">
        <v>33468</v>
      </c>
      <c r="G10671" s="2" t="str">
        <f>HYPERLINK("https://probpalata.gov.ru/files/ЮЛ500103046300041.jpeg","Скачать индивидуальный QR-код магазина")</f>
        <v>Скачать индивидуальный QR-код магазина</v>
      </c>
    </row>
    <row r="10672" spans="1:7" x14ac:dyDescent="0.25">
      <c r="A10672" t="s">
        <v>33432</v>
      </c>
      <c r="B10672" t="s">
        <v>33469</v>
      </c>
      <c r="C10672" t="s">
        <v>33445</v>
      </c>
      <c r="D10672" t="s">
        <v>33446</v>
      </c>
      <c r="E10672" t="s">
        <v>33447</v>
      </c>
      <c r="F10672" t="s">
        <v>33470</v>
      </c>
      <c r="G10672" s="2" t="str">
        <f>HYPERLINK("https://probpalata.gov.ru/files/ЮЛ500103046300053.jpeg","Скачать индивидуальный QR-код магазина")</f>
        <v>Скачать индивидуальный QR-код магазина</v>
      </c>
    </row>
    <row r="10673" spans="1:7" x14ac:dyDescent="0.25">
      <c r="A10673" t="s">
        <v>33432</v>
      </c>
      <c r="B10673" t="s">
        <v>33471</v>
      </c>
      <c r="C10673" t="s">
        <v>33445</v>
      </c>
      <c r="D10673" t="s">
        <v>33446</v>
      </c>
      <c r="E10673" t="s">
        <v>33447</v>
      </c>
      <c r="F10673" t="s">
        <v>33472</v>
      </c>
      <c r="G10673" s="2" t="str">
        <f>HYPERLINK("https://probpalata.gov.ru/files/ЮЛ500103046300059.jpeg","Скачать индивидуальный QR-код магазина")</f>
        <v>Скачать индивидуальный QR-код магазина</v>
      </c>
    </row>
    <row r="10674" spans="1:7" x14ac:dyDescent="0.25">
      <c r="A10674" t="s">
        <v>33432</v>
      </c>
      <c r="B10674" t="s">
        <v>33473</v>
      </c>
      <c r="C10674" t="s">
        <v>33474</v>
      </c>
      <c r="D10674" t="s">
        <v>33475</v>
      </c>
      <c r="E10674" t="s">
        <v>33476</v>
      </c>
      <c r="F10674" t="s">
        <v>33477</v>
      </c>
      <c r="G10674" s="2" t="str">
        <f>HYPERLINK("https://probpalata.gov.ru/files/ИП500100525400009.jpeg","Скачать индивидуальный QR-код магазина")</f>
        <v>Скачать индивидуальный QR-код магазина</v>
      </c>
    </row>
    <row r="10675" spans="1:7" x14ac:dyDescent="0.25">
      <c r="A10675" t="s">
        <v>33432</v>
      </c>
      <c r="B10675" t="s">
        <v>33478</v>
      </c>
      <c r="C10675" t="s">
        <v>30864</v>
      </c>
      <c r="D10675" t="s">
        <v>30865</v>
      </c>
      <c r="E10675" t="s">
        <v>30866</v>
      </c>
      <c r="F10675" t="s">
        <v>33479</v>
      </c>
      <c r="G10675" s="2" t="str">
        <f>HYPERLINK("https://probpalata.gov.ru/files/ИП520600697000007.jpeg","Скачать индивидуальный QR-код магазина")</f>
        <v>Скачать индивидуальный QR-код магазина</v>
      </c>
    </row>
    <row r="10676" spans="1:7" x14ac:dyDescent="0.25">
      <c r="A10676" t="s">
        <v>33432</v>
      </c>
      <c r="B10676" t="s">
        <v>33478</v>
      </c>
      <c r="C10676" t="s">
        <v>3116</v>
      </c>
      <c r="D10676" t="s">
        <v>3117</v>
      </c>
      <c r="E10676" t="s">
        <v>3118</v>
      </c>
      <c r="F10676" t="s">
        <v>33480</v>
      </c>
      <c r="G10676" s="2" t="str">
        <f>HYPERLINK("https://probpalata.gov.ru/files/ИП520601790200030.jpeg","Скачать индивидуальный QR-код магазина")</f>
        <v>Скачать индивидуальный QR-код магазина</v>
      </c>
    </row>
    <row r="10677" spans="1:7" x14ac:dyDescent="0.25">
      <c r="A10677" t="s">
        <v>33432</v>
      </c>
      <c r="B10677" t="s">
        <v>33481</v>
      </c>
      <c r="C10677" t="s">
        <v>3116</v>
      </c>
      <c r="D10677" t="s">
        <v>3117</v>
      </c>
      <c r="E10677" t="s">
        <v>3118</v>
      </c>
      <c r="F10677" t="s">
        <v>33482</v>
      </c>
      <c r="G10677" s="2" t="str">
        <f>HYPERLINK("https://probpalata.gov.ru/files/ИП520601790200040.jpeg","Скачать индивидуальный QR-код магазина")</f>
        <v>Скачать индивидуальный QR-код магазина</v>
      </c>
    </row>
    <row r="10678" spans="1:7" x14ac:dyDescent="0.25">
      <c r="A10678" t="s">
        <v>33432</v>
      </c>
      <c r="B10678" t="s">
        <v>33483</v>
      </c>
      <c r="C10678" t="s">
        <v>33484</v>
      </c>
      <c r="D10678" t="s">
        <v>33485</v>
      </c>
      <c r="E10678" t="s">
        <v>33486</v>
      </c>
      <c r="F10678" t="s">
        <v>33487</v>
      </c>
      <c r="G10678" s="2" t="str">
        <f>HYPERLINK("https://probpalata.gov.ru/files/ИП560600682100000.jpeg","Скачать индивидуальный QR-код магазина")</f>
        <v>Скачать индивидуальный QR-код магазина</v>
      </c>
    </row>
    <row r="10679" spans="1:7" x14ac:dyDescent="0.25">
      <c r="A10679" t="s">
        <v>33432</v>
      </c>
      <c r="B10679" t="s">
        <v>33488</v>
      </c>
      <c r="C10679" t="s">
        <v>33484</v>
      </c>
      <c r="D10679" t="s">
        <v>33485</v>
      </c>
      <c r="E10679" t="s">
        <v>33486</v>
      </c>
      <c r="F10679" t="s">
        <v>33489</v>
      </c>
      <c r="G10679" s="2" t="str">
        <f>HYPERLINK("https://probpalata.gov.ru/files/ИП560600682100001.jpeg","Скачать индивидуальный QR-код магазина")</f>
        <v>Скачать индивидуальный QR-код магазина</v>
      </c>
    </row>
    <row r="10680" spans="1:7" x14ac:dyDescent="0.25">
      <c r="A10680" t="s">
        <v>33432</v>
      </c>
      <c r="B10680" t="s">
        <v>33483</v>
      </c>
      <c r="C10680" t="s">
        <v>33490</v>
      </c>
      <c r="D10680" t="s">
        <v>33491</v>
      </c>
      <c r="E10680" t="s">
        <v>33492</v>
      </c>
      <c r="F10680" t="s">
        <v>33493</v>
      </c>
      <c r="G10680" s="2" t="str">
        <f>HYPERLINK("https://probpalata.gov.ru/files/ИП560600681900000.jpeg","Скачать индивидуальный QR-код магазина")</f>
        <v>Скачать индивидуальный QR-код магазина</v>
      </c>
    </row>
    <row r="10681" spans="1:7" x14ac:dyDescent="0.25">
      <c r="A10681" t="s">
        <v>33432</v>
      </c>
      <c r="B10681" t="s">
        <v>33494</v>
      </c>
      <c r="C10681" t="s">
        <v>33490</v>
      </c>
      <c r="D10681" t="s">
        <v>33491</v>
      </c>
      <c r="E10681" t="s">
        <v>33492</v>
      </c>
      <c r="F10681" t="s">
        <v>33495</v>
      </c>
      <c r="G10681" s="2" t="str">
        <f>HYPERLINK("https://probpalata.gov.ru/files/ИП560600681900002.jpeg","Скачать индивидуальный QR-код магазина")</f>
        <v>Скачать индивидуальный QR-код магазина</v>
      </c>
    </row>
    <row r="10682" spans="1:7" x14ac:dyDescent="0.25">
      <c r="A10682" t="s">
        <v>33432</v>
      </c>
      <c r="B10682" t="s">
        <v>33496</v>
      </c>
      <c r="C10682" t="s">
        <v>33497</v>
      </c>
      <c r="D10682" t="s">
        <v>33498</v>
      </c>
      <c r="E10682" t="s">
        <v>33499</v>
      </c>
      <c r="F10682" t="s">
        <v>33500</v>
      </c>
      <c r="G10682" s="2" t="str">
        <f>HYPERLINK("https://probpalata.gov.ru/files/ИП560600104000000.jpeg","Скачать индивидуальный QR-код магазина")</f>
        <v>Скачать индивидуальный QR-код магазина</v>
      </c>
    </row>
    <row r="10683" spans="1:7" x14ac:dyDescent="0.25">
      <c r="A10683" t="s">
        <v>33432</v>
      </c>
      <c r="B10683" t="s">
        <v>33501</v>
      </c>
      <c r="C10683" t="s">
        <v>33497</v>
      </c>
      <c r="D10683" t="s">
        <v>33498</v>
      </c>
      <c r="E10683" t="s">
        <v>33499</v>
      </c>
      <c r="F10683" t="s">
        <v>33502</v>
      </c>
      <c r="G10683" s="2" t="str">
        <f>HYPERLINK("https://probpalata.gov.ru/files/ИП560600104000001.jpeg","Скачать индивидуальный QR-код магазина")</f>
        <v>Скачать индивидуальный QR-код магазина</v>
      </c>
    </row>
    <row r="10684" spans="1:7" x14ac:dyDescent="0.25">
      <c r="A10684" t="s">
        <v>33432</v>
      </c>
      <c r="B10684" t="s">
        <v>33503</v>
      </c>
      <c r="C10684" t="s">
        <v>33497</v>
      </c>
      <c r="D10684" t="s">
        <v>33498</v>
      </c>
      <c r="E10684" t="s">
        <v>33499</v>
      </c>
      <c r="F10684" t="s">
        <v>33504</v>
      </c>
      <c r="G10684" s="2" t="str">
        <f>HYPERLINK("https://probpalata.gov.ru/files/ИП560600104000003.jpeg","Скачать индивидуальный QR-код магазина")</f>
        <v>Скачать индивидуальный QR-код магазина</v>
      </c>
    </row>
    <row r="10685" spans="1:7" x14ac:dyDescent="0.25">
      <c r="A10685" t="s">
        <v>33432</v>
      </c>
      <c r="B10685" t="s">
        <v>33505</v>
      </c>
      <c r="C10685" t="s">
        <v>33506</v>
      </c>
      <c r="D10685" t="s">
        <v>33507</v>
      </c>
      <c r="E10685" t="s">
        <v>33508</v>
      </c>
      <c r="F10685" t="s">
        <v>33509</v>
      </c>
      <c r="G10685" s="2" t="str">
        <f>HYPERLINK("https://probpalata.gov.ru/files/ИП560600501100000.jpeg","Скачать индивидуальный QR-код магазина")</f>
        <v>Скачать индивидуальный QR-код магазина</v>
      </c>
    </row>
    <row r="10686" spans="1:7" x14ac:dyDescent="0.25">
      <c r="A10686" t="s">
        <v>33432</v>
      </c>
      <c r="B10686" t="s">
        <v>33510</v>
      </c>
      <c r="C10686" t="s">
        <v>33511</v>
      </c>
      <c r="D10686" t="s">
        <v>33512</v>
      </c>
      <c r="E10686" t="s">
        <v>33513</v>
      </c>
      <c r="F10686" t="s">
        <v>33514</v>
      </c>
      <c r="G10686" s="2" t="str">
        <f>HYPERLINK("https://probpalata.gov.ru/files/ИП560601674800000.jpeg","Скачать индивидуальный QR-код магазина")</f>
        <v>Скачать индивидуальный QR-код магазина</v>
      </c>
    </row>
    <row r="10687" spans="1:7" x14ac:dyDescent="0.25">
      <c r="A10687" t="s">
        <v>33432</v>
      </c>
      <c r="B10687" t="s">
        <v>33515</v>
      </c>
      <c r="C10687" t="s">
        <v>33516</v>
      </c>
      <c r="D10687" t="s">
        <v>33517</v>
      </c>
      <c r="E10687" t="s">
        <v>33518</v>
      </c>
      <c r="F10687" t="s">
        <v>33519</v>
      </c>
      <c r="G10687" s="2" t="str">
        <f>HYPERLINK("https://probpalata.gov.ru/files/ИП560600229000000.jpeg","Скачать индивидуальный QR-код магазина")</f>
        <v>Скачать индивидуальный QR-код магазина</v>
      </c>
    </row>
    <row r="10688" spans="1:7" x14ac:dyDescent="0.25">
      <c r="A10688" t="s">
        <v>33432</v>
      </c>
      <c r="B10688" t="s">
        <v>33520</v>
      </c>
      <c r="C10688" t="s">
        <v>33521</v>
      </c>
      <c r="D10688" t="s">
        <v>33522</v>
      </c>
      <c r="E10688" t="s">
        <v>33523</v>
      </c>
      <c r="F10688" t="s">
        <v>33524</v>
      </c>
      <c r="G10688" s="2" t="str">
        <f>HYPERLINK("https://probpalata.gov.ru/files/ИП560600177000000.jpeg","Скачать индивидуальный QR-код магазина")</f>
        <v>Скачать индивидуальный QR-код магазина</v>
      </c>
    </row>
    <row r="10689" spans="1:7" x14ac:dyDescent="0.25">
      <c r="A10689" t="s">
        <v>33432</v>
      </c>
      <c r="B10689" t="s">
        <v>33442</v>
      </c>
      <c r="C10689" t="s">
        <v>33521</v>
      </c>
      <c r="D10689" t="s">
        <v>33522</v>
      </c>
      <c r="E10689" t="s">
        <v>33523</v>
      </c>
      <c r="F10689" t="s">
        <v>33525</v>
      </c>
      <c r="G10689" s="2" t="str">
        <f>HYPERLINK("https://probpalata.gov.ru/files/ИП560600177000001.jpeg","Скачать индивидуальный QR-код магазина")</f>
        <v>Скачать индивидуальный QR-код магазина</v>
      </c>
    </row>
    <row r="10690" spans="1:7" x14ac:dyDescent="0.25">
      <c r="A10690" t="s">
        <v>33432</v>
      </c>
      <c r="B10690" t="s">
        <v>33526</v>
      </c>
      <c r="C10690" t="s">
        <v>33527</v>
      </c>
      <c r="D10690" t="s">
        <v>33528</v>
      </c>
      <c r="E10690" t="s">
        <v>33529</v>
      </c>
      <c r="F10690" t="s">
        <v>33530</v>
      </c>
      <c r="G10690" s="2" t="str">
        <f>HYPERLINK("https://probpalata.gov.ru/files/ИП560600394600000.jpeg","Скачать индивидуальный QR-код магазина")</f>
        <v>Скачать индивидуальный QR-код магазина</v>
      </c>
    </row>
    <row r="10691" spans="1:7" x14ac:dyDescent="0.25">
      <c r="A10691" t="s">
        <v>33432</v>
      </c>
      <c r="B10691" t="s">
        <v>33531</v>
      </c>
      <c r="C10691" t="s">
        <v>33527</v>
      </c>
      <c r="D10691" t="s">
        <v>33528</v>
      </c>
      <c r="E10691" t="s">
        <v>33529</v>
      </c>
      <c r="F10691" t="s">
        <v>33532</v>
      </c>
      <c r="G10691" s="2" t="str">
        <f>HYPERLINK("https://probpalata.gov.ru/files/ИП560600394600005.jpeg","Скачать индивидуальный QR-код магазина")</f>
        <v>Скачать индивидуальный QR-код магазина</v>
      </c>
    </row>
    <row r="10692" spans="1:7" x14ac:dyDescent="0.25">
      <c r="A10692" t="s">
        <v>33432</v>
      </c>
      <c r="B10692" t="s">
        <v>33533</v>
      </c>
      <c r="C10692" t="s">
        <v>33527</v>
      </c>
      <c r="D10692" t="s">
        <v>33528</v>
      </c>
      <c r="E10692" t="s">
        <v>33529</v>
      </c>
      <c r="F10692" t="s">
        <v>33534</v>
      </c>
      <c r="G10692" s="2" t="str">
        <f>HYPERLINK("https://probpalata.gov.ru/files/ИП560600394600008.jpeg","Скачать индивидуальный QR-код магазина")</f>
        <v>Скачать индивидуальный QR-код магазина</v>
      </c>
    </row>
    <row r="10693" spans="1:7" x14ac:dyDescent="0.25">
      <c r="A10693" t="s">
        <v>33432</v>
      </c>
      <c r="B10693" t="s">
        <v>33535</v>
      </c>
      <c r="C10693" t="s">
        <v>33536</v>
      </c>
      <c r="D10693" t="s">
        <v>33537</v>
      </c>
      <c r="E10693" t="s">
        <v>33538</v>
      </c>
      <c r="F10693" t="s">
        <v>33539</v>
      </c>
      <c r="G10693" s="2" t="str">
        <f>HYPERLINK("https://probpalata.gov.ru/files/ИП560600464000002.jpeg","Скачать индивидуальный QR-код магазина")</f>
        <v>Скачать индивидуальный QR-код магазина</v>
      </c>
    </row>
    <row r="10694" spans="1:7" x14ac:dyDescent="0.25">
      <c r="A10694" t="s">
        <v>33432</v>
      </c>
      <c r="B10694" t="s">
        <v>33540</v>
      </c>
      <c r="C10694" t="s">
        <v>33536</v>
      </c>
      <c r="D10694" t="s">
        <v>33537</v>
      </c>
      <c r="E10694" t="s">
        <v>33538</v>
      </c>
      <c r="F10694" t="s">
        <v>33541</v>
      </c>
      <c r="G10694" s="2" t="str">
        <f>HYPERLINK("https://probpalata.gov.ru/files/ИП560600464000016.jpeg","Скачать индивидуальный QR-код магазина")</f>
        <v>Скачать индивидуальный QR-код магазина</v>
      </c>
    </row>
    <row r="10695" spans="1:7" x14ac:dyDescent="0.25">
      <c r="A10695" t="s">
        <v>33432</v>
      </c>
      <c r="B10695" t="s">
        <v>33542</v>
      </c>
      <c r="C10695" t="s">
        <v>33536</v>
      </c>
      <c r="D10695" t="s">
        <v>33537</v>
      </c>
      <c r="E10695" t="s">
        <v>33538</v>
      </c>
      <c r="F10695" t="s">
        <v>33543</v>
      </c>
      <c r="G10695" s="2" t="str">
        <f>HYPERLINK("https://probpalata.gov.ru/files/ИП560600464000017.jpeg","Скачать индивидуальный QR-код магазина")</f>
        <v>Скачать индивидуальный QR-код магазина</v>
      </c>
    </row>
    <row r="10696" spans="1:7" x14ac:dyDescent="0.25">
      <c r="A10696" t="s">
        <v>33432</v>
      </c>
      <c r="B10696" t="s">
        <v>33473</v>
      </c>
      <c r="C10696" t="s">
        <v>33536</v>
      </c>
      <c r="D10696" t="s">
        <v>33537</v>
      </c>
      <c r="E10696" t="s">
        <v>33538</v>
      </c>
      <c r="F10696" t="s">
        <v>33544</v>
      </c>
      <c r="G10696" s="2" t="str">
        <f>HYPERLINK("https://probpalata.gov.ru/files/ИП560600464000020.jpeg","Скачать индивидуальный QR-код магазина")</f>
        <v>Скачать индивидуальный QR-код магазина</v>
      </c>
    </row>
    <row r="10697" spans="1:7" x14ac:dyDescent="0.25">
      <c r="A10697" t="s">
        <v>33432</v>
      </c>
      <c r="B10697" t="s">
        <v>33545</v>
      </c>
      <c r="C10697" t="s">
        <v>33536</v>
      </c>
      <c r="D10697" t="s">
        <v>33537</v>
      </c>
      <c r="E10697" t="s">
        <v>33538</v>
      </c>
      <c r="F10697" t="s">
        <v>33546</v>
      </c>
      <c r="G10697" s="2" t="str">
        <f>HYPERLINK("https://probpalata.gov.ru/files/ИП560600464000021.jpeg","Скачать индивидуальный QR-код магазина")</f>
        <v>Скачать индивидуальный QR-код магазина</v>
      </c>
    </row>
    <row r="10698" spans="1:7" x14ac:dyDescent="0.25">
      <c r="A10698" t="s">
        <v>33432</v>
      </c>
      <c r="B10698" t="s">
        <v>33547</v>
      </c>
      <c r="C10698" t="s">
        <v>33548</v>
      </c>
      <c r="D10698" t="s">
        <v>33549</v>
      </c>
      <c r="E10698" t="s">
        <v>33550</v>
      </c>
      <c r="F10698" t="s">
        <v>33551</v>
      </c>
      <c r="G10698" s="2" t="str">
        <f>HYPERLINK("https://probpalata.gov.ru/files/ИП560600812800001.jpeg","Скачать индивидуальный QR-код магазина")</f>
        <v>Скачать индивидуальный QR-код магазина</v>
      </c>
    </row>
    <row r="10699" spans="1:7" x14ac:dyDescent="0.25">
      <c r="A10699" t="s">
        <v>33432</v>
      </c>
      <c r="B10699" t="s">
        <v>33552</v>
      </c>
      <c r="C10699" t="s">
        <v>33548</v>
      </c>
      <c r="D10699" t="s">
        <v>33549</v>
      </c>
      <c r="E10699" t="s">
        <v>33550</v>
      </c>
      <c r="F10699" t="s">
        <v>33553</v>
      </c>
      <c r="G10699" s="2" t="str">
        <f>HYPERLINK("https://probpalata.gov.ru/files/ИП560600812800002.jpeg","Скачать индивидуальный QR-код магазина")</f>
        <v>Скачать индивидуальный QR-код магазина</v>
      </c>
    </row>
    <row r="10700" spans="1:7" x14ac:dyDescent="0.25">
      <c r="A10700" t="s">
        <v>33432</v>
      </c>
      <c r="B10700" t="s">
        <v>33554</v>
      </c>
      <c r="C10700" t="s">
        <v>33548</v>
      </c>
      <c r="D10700" t="s">
        <v>33549</v>
      </c>
      <c r="E10700" t="s">
        <v>33550</v>
      </c>
      <c r="F10700" t="s">
        <v>33555</v>
      </c>
      <c r="G10700" s="2" t="str">
        <f>HYPERLINK("https://probpalata.gov.ru/files/ИП560600812800003.jpeg","Скачать индивидуальный QR-код магазина")</f>
        <v>Скачать индивидуальный QR-код магазина</v>
      </c>
    </row>
    <row r="10701" spans="1:7" x14ac:dyDescent="0.25">
      <c r="A10701" t="s">
        <v>33432</v>
      </c>
      <c r="B10701" t="s">
        <v>33556</v>
      </c>
      <c r="C10701" t="s">
        <v>33548</v>
      </c>
      <c r="D10701" t="s">
        <v>33549</v>
      </c>
      <c r="E10701" t="s">
        <v>33550</v>
      </c>
      <c r="F10701" t="s">
        <v>33557</v>
      </c>
      <c r="G10701" s="2" t="str">
        <f>HYPERLINK("https://probpalata.gov.ru/files/ИП560600812800004.jpeg","Скачать индивидуальный QR-код магазина")</f>
        <v>Скачать индивидуальный QR-код магазина</v>
      </c>
    </row>
    <row r="10702" spans="1:7" x14ac:dyDescent="0.25">
      <c r="A10702" t="s">
        <v>33432</v>
      </c>
      <c r="B10702" t="s">
        <v>33558</v>
      </c>
      <c r="C10702" t="s">
        <v>33548</v>
      </c>
      <c r="D10702" t="s">
        <v>33549</v>
      </c>
      <c r="E10702" t="s">
        <v>33550</v>
      </c>
      <c r="F10702" t="s">
        <v>33559</v>
      </c>
      <c r="G10702" s="2" t="str">
        <f>HYPERLINK("https://probpalata.gov.ru/files/ИП560600812800006.jpeg","Скачать индивидуальный QR-код магазина")</f>
        <v>Скачать индивидуальный QR-код магазина</v>
      </c>
    </row>
    <row r="10703" spans="1:7" x14ac:dyDescent="0.25">
      <c r="A10703" t="s">
        <v>33432</v>
      </c>
      <c r="B10703" t="s">
        <v>33560</v>
      </c>
      <c r="C10703" t="s">
        <v>33548</v>
      </c>
      <c r="D10703" t="s">
        <v>33549</v>
      </c>
      <c r="E10703" t="s">
        <v>33550</v>
      </c>
      <c r="F10703" t="s">
        <v>33561</v>
      </c>
      <c r="G10703" s="2" t="str">
        <f>HYPERLINK("https://probpalata.gov.ru/files/ИП560600812800007.jpeg","Скачать индивидуальный QR-код магазина")</f>
        <v>Скачать индивидуальный QR-код магазина</v>
      </c>
    </row>
    <row r="10704" spans="1:7" x14ac:dyDescent="0.25">
      <c r="A10704" t="s">
        <v>33432</v>
      </c>
      <c r="B10704" t="s">
        <v>33562</v>
      </c>
      <c r="C10704" t="s">
        <v>33548</v>
      </c>
      <c r="D10704" t="s">
        <v>33549</v>
      </c>
      <c r="E10704" t="s">
        <v>33550</v>
      </c>
      <c r="F10704" t="s">
        <v>33563</v>
      </c>
      <c r="G10704" s="2" t="str">
        <f>HYPERLINK("https://probpalata.gov.ru/files/ИП560600812800008.jpeg","Скачать индивидуальный QR-код магазина")</f>
        <v>Скачать индивидуальный QR-код магазина</v>
      </c>
    </row>
    <row r="10705" spans="1:7" x14ac:dyDescent="0.25">
      <c r="A10705" t="s">
        <v>33432</v>
      </c>
      <c r="B10705" t="s">
        <v>33564</v>
      </c>
      <c r="C10705" t="s">
        <v>33548</v>
      </c>
      <c r="D10705" t="s">
        <v>33549</v>
      </c>
      <c r="E10705" t="s">
        <v>33550</v>
      </c>
      <c r="F10705" t="s">
        <v>33565</v>
      </c>
      <c r="G10705" s="2" t="str">
        <f>HYPERLINK("https://probpalata.gov.ru/files/ИП560600812800011.jpeg","Скачать индивидуальный QR-код магазина")</f>
        <v>Скачать индивидуальный QR-код магазина</v>
      </c>
    </row>
    <row r="10706" spans="1:7" x14ac:dyDescent="0.25">
      <c r="A10706" t="s">
        <v>33432</v>
      </c>
      <c r="B10706" t="s">
        <v>33566</v>
      </c>
      <c r="C10706" t="s">
        <v>33548</v>
      </c>
      <c r="D10706" t="s">
        <v>33549</v>
      </c>
      <c r="E10706" t="s">
        <v>33550</v>
      </c>
      <c r="F10706" t="s">
        <v>33567</v>
      </c>
      <c r="G10706" s="2" t="str">
        <f>HYPERLINK("https://probpalata.gov.ru/files/ИП560600812800013.jpeg","Скачать индивидуальный QR-код магазина")</f>
        <v>Скачать индивидуальный QR-код магазина</v>
      </c>
    </row>
    <row r="10707" spans="1:7" x14ac:dyDescent="0.25">
      <c r="A10707" t="s">
        <v>33432</v>
      </c>
      <c r="B10707" t="s">
        <v>33568</v>
      </c>
      <c r="C10707" t="s">
        <v>33548</v>
      </c>
      <c r="D10707" t="s">
        <v>33549</v>
      </c>
      <c r="E10707" t="s">
        <v>33550</v>
      </c>
      <c r="F10707" t="s">
        <v>33569</v>
      </c>
      <c r="G10707" s="2" t="str">
        <f>HYPERLINK("https://probpalata.gov.ru/files/ИП560600812800014.jpeg","Скачать индивидуальный QR-код магазина")</f>
        <v>Скачать индивидуальный QR-код магазина</v>
      </c>
    </row>
    <row r="10708" spans="1:7" x14ac:dyDescent="0.25">
      <c r="A10708" t="s">
        <v>33432</v>
      </c>
      <c r="B10708" t="s">
        <v>33570</v>
      </c>
      <c r="C10708" t="s">
        <v>33548</v>
      </c>
      <c r="D10708" t="s">
        <v>33549</v>
      </c>
      <c r="E10708" t="s">
        <v>33550</v>
      </c>
      <c r="F10708" t="s">
        <v>33571</v>
      </c>
      <c r="G10708" s="2" t="str">
        <f>HYPERLINK("https://probpalata.gov.ru/files/ИП560600812800016.jpeg","Скачать индивидуальный QR-код магазина")</f>
        <v>Скачать индивидуальный QR-код магазина</v>
      </c>
    </row>
    <row r="10709" spans="1:7" x14ac:dyDescent="0.25">
      <c r="A10709" t="s">
        <v>33432</v>
      </c>
      <c r="B10709" t="s">
        <v>33572</v>
      </c>
      <c r="C10709" t="s">
        <v>33548</v>
      </c>
      <c r="D10709" t="s">
        <v>33549</v>
      </c>
      <c r="E10709" t="s">
        <v>33550</v>
      </c>
      <c r="F10709" t="s">
        <v>33573</v>
      </c>
      <c r="G10709" s="2" t="str">
        <f>HYPERLINK("https://probpalata.gov.ru/files/ИП560600812800017.jpeg","Скачать индивидуальный QR-код магазина")</f>
        <v>Скачать индивидуальный QR-код магазина</v>
      </c>
    </row>
    <row r="10710" spans="1:7" x14ac:dyDescent="0.25">
      <c r="A10710" t="s">
        <v>33432</v>
      </c>
      <c r="B10710" t="s">
        <v>33574</v>
      </c>
      <c r="C10710" t="s">
        <v>33548</v>
      </c>
      <c r="D10710" t="s">
        <v>33549</v>
      </c>
      <c r="E10710" t="s">
        <v>33550</v>
      </c>
      <c r="F10710" t="s">
        <v>33575</v>
      </c>
      <c r="G10710" s="2" t="str">
        <f>HYPERLINK("https://probpalata.gov.ru/files/ИП560600812800018.jpeg","Скачать индивидуальный QR-код магазина")</f>
        <v>Скачать индивидуальный QR-код магазина</v>
      </c>
    </row>
    <row r="10711" spans="1:7" x14ac:dyDescent="0.25">
      <c r="A10711" t="s">
        <v>33432</v>
      </c>
      <c r="B10711" t="s">
        <v>33515</v>
      </c>
      <c r="C10711" t="s">
        <v>33548</v>
      </c>
      <c r="D10711" t="s">
        <v>33549</v>
      </c>
      <c r="E10711" t="s">
        <v>33550</v>
      </c>
      <c r="F10711" t="s">
        <v>33576</v>
      </c>
      <c r="G10711" s="2" t="str">
        <f>HYPERLINK("https://probpalata.gov.ru/files/ИП560600812800020.jpeg","Скачать индивидуальный QR-код магазина")</f>
        <v>Скачать индивидуальный QR-код магазина</v>
      </c>
    </row>
    <row r="10712" spans="1:7" x14ac:dyDescent="0.25">
      <c r="A10712" t="s">
        <v>33432</v>
      </c>
      <c r="B10712" t="s">
        <v>33577</v>
      </c>
      <c r="C10712" t="s">
        <v>33548</v>
      </c>
      <c r="D10712" t="s">
        <v>33549</v>
      </c>
      <c r="E10712" t="s">
        <v>33550</v>
      </c>
      <c r="F10712" t="s">
        <v>33578</v>
      </c>
      <c r="G10712" s="2" t="str">
        <f>HYPERLINK("https://probpalata.gov.ru/files/ИП560600812800021.jpeg","Скачать индивидуальный QR-код магазина")</f>
        <v>Скачать индивидуальный QR-код магазина</v>
      </c>
    </row>
    <row r="10713" spans="1:7" x14ac:dyDescent="0.25">
      <c r="A10713" t="s">
        <v>33432</v>
      </c>
      <c r="B10713" t="s">
        <v>33579</v>
      </c>
      <c r="C10713" t="s">
        <v>33548</v>
      </c>
      <c r="D10713" t="s">
        <v>33549</v>
      </c>
      <c r="E10713" t="s">
        <v>33550</v>
      </c>
      <c r="F10713" t="s">
        <v>33580</v>
      </c>
      <c r="G10713" s="2" t="str">
        <f>HYPERLINK("https://probpalata.gov.ru/files/ИП560600812800023.jpeg","Скачать индивидуальный QR-код магазина")</f>
        <v>Скачать индивидуальный QR-код магазина</v>
      </c>
    </row>
    <row r="10714" spans="1:7" x14ac:dyDescent="0.25">
      <c r="A10714" t="s">
        <v>33432</v>
      </c>
      <c r="B10714" t="s">
        <v>33581</v>
      </c>
      <c r="C10714" t="s">
        <v>33548</v>
      </c>
      <c r="D10714" t="s">
        <v>33549</v>
      </c>
      <c r="E10714" t="s">
        <v>33550</v>
      </c>
      <c r="F10714" t="s">
        <v>33582</v>
      </c>
      <c r="G10714" s="2" t="str">
        <f>HYPERLINK("https://probpalata.gov.ru/files/ИП560600812800024.jpeg","Скачать индивидуальный QR-код магазина")</f>
        <v>Скачать индивидуальный QR-код магазина</v>
      </c>
    </row>
    <row r="10715" spans="1:7" x14ac:dyDescent="0.25">
      <c r="A10715" t="s">
        <v>33432</v>
      </c>
      <c r="B10715" t="s">
        <v>33583</v>
      </c>
      <c r="C10715" t="s">
        <v>33548</v>
      </c>
      <c r="D10715" t="s">
        <v>33549</v>
      </c>
      <c r="E10715" t="s">
        <v>33550</v>
      </c>
      <c r="F10715" t="s">
        <v>33584</v>
      </c>
      <c r="G10715" s="2" t="str">
        <f>HYPERLINK("https://probpalata.gov.ru/files/ИП560600812800026.jpeg","Скачать индивидуальный QR-код магазина")</f>
        <v>Скачать индивидуальный QR-код магазина</v>
      </c>
    </row>
    <row r="10716" spans="1:7" x14ac:dyDescent="0.25">
      <c r="A10716" t="s">
        <v>33432</v>
      </c>
      <c r="B10716" t="s">
        <v>33585</v>
      </c>
      <c r="C10716" t="s">
        <v>33548</v>
      </c>
      <c r="D10716" t="s">
        <v>33549</v>
      </c>
      <c r="E10716" t="s">
        <v>33550</v>
      </c>
      <c r="F10716" t="s">
        <v>33586</v>
      </c>
      <c r="G10716" s="2" t="str">
        <f>HYPERLINK("https://probpalata.gov.ru/files/ИП560600812800028.jpeg","Скачать индивидуальный QR-код магазина")</f>
        <v>Скачать индивидуальный QR-код магазина</v>
      </c>
    </row>
    <row r="10717" spans="1:7" x14ac:dyDescent="0.25">
      <c r="A10717" t="s">
        <v>33432</v>
      </c>
      <c r="B10717" t="s">
        <v>33587</v>
      </c>
      <c r="C10717" t="s">
        <v>33548</v>
      </c>
      <c r="D10717" t="s">
        <v>33549</v>
      </c>
      <c r="E10717" t="s">
        <v>33550</v>
      </c>
      <c r="F10717" t="s">
        <v>33588</v>
      </c>
      <c r="G10717" s="2" t="str">
        <f>HYPERLINK("https://probpalata.gov.ru/files/ИП560600812800030.jpeg","Скачать индивидуальный QR-код магазина")</f>
        <v>Скачать индивидуальный QR-код магазина</v>
      </c>
    </row>
    <row r="10718" spans="1:7" x14ac:dyDescent="0.25">
      <c r="A10718" t="s">
        <v>33432</v>
      </c>
      <c r="B10718" t="s">
        <v>33589</v>
      </c>
      <c r="C10718" t="s">
        <v>33548</v>
      </c>
      <c r="D10718" t="s">
        <v>33549</v>
      </c>
      <c r="E10718" t="s">
        <v>33550</v>
      </c>
      <c r="F10718" t="s">
        <v>33590</v>
      </c>
      <c r="G10718" s="2" t="str">
        <f>HYPERLINK("https://probpalata.gov.ru/files/ИП560600812800031.jpeg","Скачать индивидуальный QR-код магазина")</f>
        <v>Скачать индивидуальный QR-код магазина</v>
      </c>
    </row>
    <row r="10719" spans="1:7" x14ac:dyDescent="0.25">
      <c r="A10719" t="s">
        <v>33432</v>
      </c>
      <c r="B10719" t="s">
        <v>33591</v>
      </c>
      <c r="C10719" t="s">
        <v>33548</v>
      </c>
      <c r="D10719" t="s">
        <v>33549</v>
      </c>
      <c r="E10719" t="s">
        <v>33550</v>
      </c>
      <c r="F10719" t="s">
        <v>33592</v>
      </c>
      <c r="G10719" s="2" t="str">
        <f>HYPERLINK("https://probpalata.gov.ru/files/ИП560600812800032.jpeg","Скачать индивидуальный QR-код магазина")</f>
        <v>Скачать индивидуальный QR-код магазина</v>
      </c>
    </row>
    <row r="10720" spans="1:7" x14ac:dyDescent="0.25">
      <c r="A10720" t="s">
        <v>33432</v>
      </c>
      <c r="B10720" t="s">
        <v>33593</v>
      </c>
      <c r="C10720" t="s">
        <v>33548</v>
      </c>
      <c r="D10720" t="s">
        <v>33549</v>
      </c>
      <c r="E10720" t="s">
        <v>33550</v>
      </c>
      <c r="F10720" t="s">
        <v>33594</v>
      </c>
      <c r="G10720" s="2" t="str">
        <f>HYPERLINK("https://probpalata.gov.ru/files/ИП560600812800033.jpeg","Скачать индивидуальный QR-код магазина")</f>
        <v>Скачать индивидуальный QR-код магазина</v>
      </c>
    </row>
    <row r="10721" spans="1:7" x14ac:dyDescent="0.25">
      <c r="A10721" t="s">
        <v>33432</v>
      </c>
      <c r="B10721" t="s">
        <v>33595</v>
      </c>
      <c r="C10721" t="s">
        <v>33548</v>
      </c>
      <c r="D10721" t="s">
        <v>33549</v>
      </c>
      <c r="E10721" t="s">
        <v>33550</v>
      </c>
      <c r="F10721" t="s">
        <v>33596</v>
      </c>
      <c r="G10721" s="2" t="str">
        <f>HYPERLINK("https://probpalata.gov.ru/files/ИП560600812800034.jpeg","Скачать индивидуальный QR-код магазина")</f>
        <v>Скачать индивидуальный QR-код магазина</v>
      </c>
    </row>
    <row r="10722" spans="1:7" x14ac:dyDescent="0.25">
      <c r="A10722" t="s">
        <v>33432</v>
      </c>
      <c r="B10722" t="s">
        <v>33597</v>
      </c>
      <c r="C10722" t="s">
        <v>33548</v>
      </c>
      <c r="D10722" t="s">
        <v>33549</v>
      </c>
      <c r="E10722" t="s">
        <v>33550</v>
      </c>
      <c r="F10722" t="s">
        <v>33598</v>
      </c>
      <c r="G10722" s="2" t="str">
        <f>HYPERLINK("https://probpalata.gov.ru/files/ИП560600812800035.jpeg","Скачать индивидуальный QR-код магазина")</f>
        <v>Скачать индивидуальный QR-код магазина</v>
      </c>
    </row>
    <row r="10723" spans="1:7" x14ac:dyDescent="0.25">
      <c r="A10723" t="s">
        <v>33432</v>
      </c>
      <c r="B10723" t="s">
        <v>33599</v>
      </c>
      <c r="C10723" t="s">
        <v>33548</v>
      </c>
      <c r="D10723" t="s">
        <v>33549</v>
      </c>
      <c r="E10723" t="s">
        <v>33550</v>
      </c>
      <c r="F10723" t="s">
        <v>33600</v>
      </c>
      <c r="G10723" s="2" t="str">
        <f>HYPERLINK("https://probpalata.gov.ru/files/ИП560600812800037.jpeg","Скачать индивидуальный QR-код магазина")</f>
        <v>Скачать индивидуальный QR-код магазина</v>
      </c>
    </row>
    <row r="10724" spans="1:7" x14ac:dyDescent="0.25">
      <c r="A10724" t="s">
        <v>33432</v>
      </c>
      <c r="B10724" t="s">
        <v>33601</v>
      </c>
      <c r="C10724" t="s">
        <v>33548</v>
      </c>
      <c r="D10724" t="s">
        <v>33549</v>
      </c>
      <c r="E10724" t="s">
        <v>33550</v>
      </c>
      <c r="F10724" t="s">
        <v>33602</v>
      </c>
      <c r="G10724" s="2" t="str">
        <f>HYPERLINK("https://probpalata.gov.ru/files/ИП560600812800038.jpeg","Скачать индивидуальный QR-код магазина")</f>
        <v>Скачать индивидуальный QR-код магазина</v>
      </c>
    </row>
    <row r="10725" spans="1:7" x14ac:dyDescent="0.25">
      <c r="A10725" t="s">
        <v>33432</v>
      </c>
      <c r="B10725" t="s">
        <v>33603</v>
      </c>
      <c r="C10725" t="s">
        <v>33548</v>
      </c>
      <c r="D10725" t="s">
        <v>33549</v>
      </c>
      <c r="E10725" t="s">
        <v>33550</v>
      </c>
      <c r="F10725" t="s">
        <v>33604</v>
      </c>
      <c r="G10725" s="2" t="str">
        <f>HYPERLINK("https://probpalata.gov.ru/files/ИП560600812800039.jpeg","Скачать индивидуальный QR-код магазина")</f>
        <v>Скачать индивидуальный QR-код магазина</v>
      </c>
    </row>
    <row r="10726" spans="1:7" x14ac:dyDescent="0.25">
      <c r="A10726" t="s">
        <v>33432</v>
      </c>
      <c r="B10726" t="s">
        <v>33605</v>
      </c>
      <c r="C10726" t="s">
        <v>33548</v>
      </c>
      <c r="D10726" t="s">
        <v>33549</v>
      </c>
      <c r="E10726" t="s">
        <v>33550</v>
      </c>
      <c r="F10726" t="s">
        <v>33606</v>
      </c>
      <c r="G10726" s="2" t="str">
        <f>HYPERLINK("https://probpalata.gov.ru/files/ИП560600812800040.jpeg","Скачать индивидуальный QR-код магазина")</f>
        <v>Скачать индивидуальный QR-код магазина</v>
      </c>
    </row>
    <row r="10727" spans="1:7" x14ac:dyDescent="0.25">
      <c r="A10727" t="s">
        <v>33432</v>
      </c>
      <c r="B10727" t="s">
        <v>33607</v>
      </c>
      <c r="C10727" t="s">
        <v>33548</v>
      </c>
      <c r="D10727" t="s">
        <v>33549</v>
      </c>
      <c r="E10727" t="s">
        <v>33550</v>
      </c>
      <c r="F10727" t="s">
        <v>33608</v>
      </c>
      <c r="G10727" s="2" t="str">
        <f>HYPERLINK("https://probpalata.gov.ru/files/ИП560600812800041.jpeg","Скачать индивидуальный QR-код магазина")</f>
        <v>Скачать индивидуальный QR-код магазина</v>
      </c>
    </row>
    <row r="10728" spans="1:7" x14ac:dyDescent="0.25">
      <c r="A10728" t="s">
        <v>33432</v>
      </c>
      <c r="B10728" t="s">
        <v>33609</v>
      </c>
      <c r="C10728" t="s">
        <v>33610</v>
      </c>
      <c r="D10728" t="s">
        <v>33611</v>
      </c>
      <c r="E10728" t="s">
        <v>33612</v>
      </c>
      <c r="F10728" t="s">
        <v>33613</v>
      </c>
      <c r="G10728" s="2" t="str">
        <f>HYPERLINK("https://probpalata.gov.ru/files/ИП560600348600000.jpeg","Скачать индивидуальный QR-код магазина")</f>
        <v>Скачать индивидуальный QR-код магазина</v>
      </c>
    </row>
    <row r="10729" spans="1:7" x14ac:dyDescent="0.25">
      <c r="A10729" t="s">
        <v>33432</v>
      </c>
      <c r="B10729" t="s">
        <v>33614</v>
      </c>
      <c r="C10729" t="s">
        <v>33610</v>
      </c>
      <c r="D10729" t="s">
        <v>33611</v>
      </c>
      <c r="E10729" t="s">
        <v>33612</v>
      </c>
      <c r="F10729" t="s">
        <v>33615</v>
      </c>
      <c r="G10729" s="2" t="str">
        <f>HYPERLINK("https://probpalata.gov.ru/files/ИП560600348600005.jpeg","Скачать индивидуальный QR-код магазина")</f>
        <v>Скачать индивидуальный QR-код магазина</v>
      </c>
    </row>
    <row r="10730" spans="1:7" x14ac:dyDescent="0.25">
      <c r="A10730" t="s">
        <v>33432</v>
      </c>
      <c r="B10730" t="s">
        <v>33616</v>
      </c>
      <c r="C10730" t="s">
        <v>33610</v>
      </c>
      <c r="D10730" t="s">
        <v>33611</v>
      </c>
      <c r="E10730" t="s">
        <v>33612</v>
      </c>
      <c r="F10730" t="s">
        <v>33617</v>
      </c>
      <c r="G10730" s="2" t="str">
        <f>HYPERLINK("https://probpalata.gov.ru/files/ИП560600348600007.jpeg","Скачать индивидуальный QR-код магазина")</f>
        <v>Скачать индивидуальный QR-код магазина</v>
      </c>
    </row>
    <row r="10731" spans="1:7" x14ac:dyDescent="0.25">
      <c r="A10731" t="s">
        <v>33432</v>
      </c>
      <c r="B10731" t="s">
        <v>33618</v>
      </c>
      <c r="C10731" t="s">
        <v>33619</v>
      </c>
      <c r="D10731" t="s">
        <v>33620</v>
      </c>
      <c r="E10731" t="s">
        <v>33621</v>
      </c>
      <c r="F10731" t="s">
        <v>33622</v>
      </c>
      <c r="G10731" s="2" t="str">
        <f>HYPERLINK("https://probpalata.gov.ru/files/ИП560600437800000.jpeg","Скачать индивидуальный QR-код магазина")</f>
        <v>Скачать индивидуальный QR-код магазина</v>
      </c>
    </row>
    <row r="10732" spans="1:7" x14ac:dyDescent="0.25">
      <c r="A10732" t="s">
        <v>33432</v>
      </c>
      <c r="B10732" t="s">
        <v>33618</v>
      </c>
      <c r="C10732" t="s">
        <v>33619</v>
      </c>
      <c r="D10732" t="s">
        <v>33620</v>
      </c>
      <c r="E10732" t="s">
        <v>33621</v>
      </c>
      <c r="F10732" t="s">
        <v>33623</v>
      </c>
      <c r="G10732" s="2" t="str">
        <f>HYPERLINK("https://probpalata.gov.ru/files/ИП560600437800001.jpeg","Скачать индивидуальный QR-код магазина")</f>
        <v>Скачать индивидуальный QR-код магазина</v>
      </c>
    </row>
    <row r="10733" spans="1:7" x14ac:dyDescent="0.25">
      <c r="A10733" t="s">
        <v>33432</v>
      </c>
      <c r="B10733" t="s">
        <v>33624</v>
      </c>
      <c r="C10733" t="s">
        <v>33619</v>
      </c>
      <c r="D10733" t="s">
        <v>33620</v>
      </c>
      <c r="E10733" t="s">
        <v>33621</v>
      </c>
      <c r="F10733" t="s">
        <v>33625</v>
      </c>
      <c r="G10733" s="2" t="str">
        <f>HYPERLINK("https://probpalata.gov.ru/files/ИП560600437800002.jpeg","Скачать индивидуальный QR-код магазина")</f>
        <v>Скачать индивидуальный QR-код магазина</v>
      </c>
    </row>
    <row r="10734" spans="1:7" x14ac:dyDescent="0.25">
      <c r="A10734" t="s">
        <v>33432</v>
      </c>
      <c r="B10734" t="s">
        <v>33626</v>
      </c>
      <c r="C10734" t="s">
        <v>33619</v>
      </c>
      <c r="D10734" t="s">
        <v>33620</v>
      </c>
      <c r="E10734" t="s">
        <v>33621</v>
      </c>
      <c r="F10734" t="s">
        <v>33627</v>
      </c>
      <c r="G10734" s="2" t="str">
        <f>HYPERLINK("https://probpalata.gov.ru/files/ИП560600437800003.jpeg","Скачать индивидуальный QR-код магазина")</f>
        <v>Скачать индивидуальный QR-код магазина</v>
      </c>
    </row>
    <row r="10735" spans="1:7" x14ac:dyDescent="0.25">
      <c r="A10735" t="s">
        <v>33432</v>
      </c>
      <c r="B10735" t="s">
        <v>33628</v>
      </c>
      <c r="C10735" t="s">
        <v>33619</v>
      </c>
      <c r="D10735" t="s">
        <v>33620</v>
      </c>
      <c r="E10735" t="s">
        <v>33621</v>
      </c>
      <c r="F10735" t="s">
        <v>33629</v>
      </c>
      <c r="G10735" s="2" t="str">
        <f>HYPERLINK("https://probpalata.gov.ru/files/ИП560600437800004.jpeg","Скачать индивидуальный QR-код магазина")</f>
        <v>Скачать индивидуальный QR-код магазина</v>
      </c>
    </row>
    <row r="10736" spans="1:7" x14ac:dyDescent="0.25">
      <c r="A10736" t="s">
        <v>33432</v>
      </c>
      <c r="B10736" t="s">
        <v>33630</v>
      </c>
      <c r="C10736" t="s">
        <v>33619</v>
      </c>
      <c r="D10736" t="s">
        <v>33620</v>
      </c>
      <c r="E10736" t="s">
        <v>33621</v>
      </c>
      <c r="F10736" t="s">
        <v>33631</v>
      </c>
      <c r="G10736" s="2" t="str">
        <f>HYPERLINK("https://probpalata.gov.ru/files/ИП560600437800005.jpeg","Скачать индивидуальный QR-код магазина")</f>
        <v>Скачать индивидуальный QR-код магазина</v>
      </c>
    </row>
    <row r="10737" spans="1:7" x14ac:dyDescent="0.25">
      <c r="A10737" t="s">
        <v>33432</v>
      </c>
      <c r="B10737" t="s">
        <v>33632</v>
      </c>
      <c r="C10737" t="s">
        <v>33619</v>
      </c>
      <c r="D10737" t="s">
        <v>33620</v>
      </c>
      <c r="E10737" t="s">
        <v>33621</v>
      </c>
      <c r="F10737" t="s">
        <v>33633</v>
      </c>
      <c r="G10737" s="2" t="str">
        <f>HYPERLINK("https://probpalata.gov.ru/files/ИП560600437800006.jpeg","Скачать индивидуальный QR-код магазина")</f>
        <v>Скачать индивидуальный QR-код магазина</v>
      </c>
    </row>
    <row r="10738" spans="1:7" x14ac:dyDescent="0.25">
      <c r="A10738" t="s">
        <v>33432</v>
      </c>
      <c r="B10738" t="s">
        <v>33634</v>
      </c>
      <c r="C10738" t="s">
        <v>33635</v>
      </c>
      <c r="D10738" t="s">
        <v>33636</v>
      </c>
      <c r="E10738" t="s">
        <v>33637</v>
      </c>
      <c r="F10738" t="s">
        <v>33638</v>
      </c>
      <c r="G10738" s="2" t="str">
        <f>HYPERLINK("https://probpalata.gov.ru/files/ЮЛ560600172100000.jpeg","Скачать индивидуальный QR-код магазина")</f>
        <v>Скачать индивидуальный QR-код магазина</v>
      </c>
    </row>
    <row r="10739" spans="1:7" x14ac:dyDescent="0.25">
      <c r="A10739" t="s">
        <v>33432</v>
      </c>
      <c r="B10739" t="s">
        <v>33639</v>
      </c>
      <c r="C10739" t="s">
        <v>33635</v>
      </c>
      <c r="D10739" t="s">
        <v>33636</v>
      </c>
      <c r="E10739" t="s">
        <v>33637</v>
      </c>
      <c r="F10739" t="s">
        <v>33640</v>
      </c>
      <c r="G10739" s="2" t="str">
        <f>HYPERLINK("https://probpalata.gov.ru/files/ЮЛ560600172100001.jpeg","Скачать индивидуальный QR-код магазина")</f>
        <v>Скачать индивидуальный QR-код магазина</v>
      </c>
    </row>
    <row r="10740" spans="1:7" x14ac:dyDescent="0.25">
      <c r="A10740" t="s">
        <v>33432</v>
      </c>
      <c r="B10740" t="s">
        <v>33641</v>
      </c>
      <c r="C10740" t="s">
        <v>33635</v>
      </c>
      <c r="D10740" t="s">
        <v>33636</v>
      </c>
      <c r="E10740" t="s">
        <v>33637</v>
      </c>
      <c r="F10740" t="s">
        <v>33642</v>
      </c>
      <c r="G10740" s="2" t="str">
        <f>HYPERLINK("https://probpalata.gov.ru/files/ЮЛ560600172100004.jpeg","Скачать индивидуальный QR-код магазина")</f>
        <v>Скачать индивидуальный QR-код магазина</v>
      </c>
    </row>
    <row r="10741" spans="1:7" x14ac:dyDescent="0.25">
      <c r="A10741" t="s">
        <v>33432</v>
      </c>
      <c r="B10741" t="s">
        <v>33581</v>
      </c>
      <c r="C10741" t="s">
        <v>33635</v>
      </c>
      <c r="D10741" t="s">
        <v>33636</v>
      </c>
      <c r="E10741" t="s">
        <v>33637</v>
      </c>
      <c r="F10741" t="s">
        <v>33643</v>
      </c>
      <c r="G10741" s="2" t="str">
        <f>HYPERLINK("https://probpalata.gov.ru/files/ЮЛ560600172100005.jpeg","Скачать индивидуальный QR-код магазина")</f>
        <v>Скачать индивидуальный QR-код магазина</v>
      </c>
    </row>
    <row r="10742" spans="1:7" x14ac:dyDescent="0.25">
      <c r="A10742" t="s">
        <v>33432</v>
      </c>
      <c r="B10742" t="s">
        <v>33644</v>
      </c>
      <c r="C10742" t="s">
        <v>33635</v>
      </c>
      <c r="D10742" t="s">
        <v>33636</v>
      </c>
      <c r="E10742" t="s">
        <v>33637</v>
      </c>
      <c r="F10742" t="s">
        <v>33645</v>
      </c>
      <c r="G10742" s="2" t="str">
        <f>HYPERLINK("https://probpalata.gov.ru/files/ЮЛ560600172100006.jpeg","Скачать индивидуальный QR-код магазина")</f>
        <v>Скачать индивидуальный QR-код магазина</v>
      </c>
    </row>
    <row r="10743" spans="1:7" x14ac:dyDescent="0.25">
      <c r="A10743" t="s">
        <v>33432</v>
      </c>
      <c r="B10743" t="s">
        <v>33646</v>
      </c>
      <c r="C10743" t="s">
        <v>33635</v>
      </c>
      <c r="D10743" t="s">
        <v>33636</v>
      </c>
      <c r="E10743" t="s">
        <v>33637</v>
      </c>
      <c r="F10743" t="s">
        <v>33647</v>
      </c>
      <c r="G10743" s="2" t="str">
        <f>HYPERLINK("https://probpalata.gov.ru/files/ЮЛ560600172100007.jpeg","Скачать индивидуальный QR-код магазина")</f>
        <v>Скачать индивидуальный QR-код магазина</v>
      </c>
    </row>
    <row r="10744" spans="1:7" x14ac:dyDescent="0.25">
      <c r="A10744" t="s">
        <v>33432</v>
      </c>
      <c r="B10744" t="s">
        <v>33648</v>
      </c>
      <c r="C10744" t="s">
        <v>33635</v>
      </c>
      <c r="D10744" t="s">
        <v>33636</v>
      </c>
      <c r="E10744" t="s">
        <v>33637</v>
      </c>
      <c r="F10744" t="s">
        <v>33649</v>
      </c>
      <c r="G10744" s="2" t="str">
        <f>HYPERLINK("https://probpalata.gov.ru/files/ЮЛ560600172100008.jpeg","Скачать индивидуальный QR-код магазина")</f>
        <v>Скачать индивидуальный QR-код магазина</v>
      </c>
    </row>
    <row r="10745" spans="1:7" x14ac:dyDescent="0.25">
      <c r="A10745" t="s">
        <v>33432</v>
      </c>
      <c r="B10745" t="s">
        <v>33650</v>
      </c>
      <c r="C10745" t="s">
        <v>33651</v>
      </c>
      <c r="D10745" t="s">
        <v>33652</v>
      </c>
      <c r="E10745" t="s">
        <v>33653</v>
      </c>
      <c r="F10745" t="s">
        <v>33654</v>
      </c>
      <c r="G10745" s="2" t="str">
        <f>HYPERLINK("https://probpalata.gov.ru/files/ИП560600454600001.jpeg","Скачать индивидуальный QR-код магазина")</f>
        <v>Скачать индивидуальный QR-код магазина</v>
      </c>
    </row>
    <row r="10746" spans="1:7" x14ac:dyDescent="0.25">
      <c r="A10746" t="s">
        <v>33432</v>
      </c>
      <c r="B10746" t="s">
        <v>33655</v>
      </c>
      <c r="C10746" t="s">
        <v>33651</v>
      </c>
      <c r="D10746" t="s">
        <v>33652</v>
      </c>
      <c r="E10746" t="s">
        <v>33653</v>
      </c>
      <c r="F10746" t="s">
        <v>33656</v>
      </c>
      <c r="G10746" s="2" t="str">
        <f>HYPERLINK("https://probpalata.gov.ru/files/ИП560600454600002.jpeg","Скачать индивидуальный QR-код магазина")</f>
        <v>Скачать индивидуальный QR-код магазина</v>
      </c>
    </row>
    <row r="10747" spans="1:7" x14ac:dyDescent="0.25">
      <c r="A10747" t="s">
        <v>33432</v>
      </c>
      <c r="B10747" t="s">
        <v>33657</v>
      </c>
      <c r="C10747" t="s">
        <v>33651</v>
      </c>
      <c r="D10747" t="s">
        <v>33652</v>
      </c>
      <c r="E10747" t="s">
        <v>33653</v>
      </c>
      <c r="F10747" t="s">
        <v>33658</v>
      </c>
      <c r="G10747" s="2" t="str">
        <f>HYPERLINK("https://probpalata.gov.ru/files/ИП560600454600003.jpeg","Скачать индивидуальный QR-код магазина")</f>
        <v>Скачать индивидуальный QR-код магазина</v>
      </c>
    </row>
    <row r="10748" spans="1:7" x14ac:dyDescent="0.25">
      <c r="A10748" t="s">
        <v>33432</v>
      </c>
      <c r="B10748" t="s">
        <v>33659</v>
      </c>
      <c r="C10748" t="s">
        <v>33651</v>
      </c>
      <c r="D10748" t="s">
        <v>33652</v>
      </c>
      <c r="E10748" t="s">
        <v>33653</v>
      </c>
      <c r="F10748" t="s">
        <v>33660</v>
      </c>
      <c r="G10748" s="2" t="str">
        <f>HYPERLINK("https://probpalata.gov.ru/files/ИП560600454600004.jpeg","Скачать индивидуальный QR-код магазина")</f>
        <v>Скачать индивидуальный QR-код магазина</v>
      </c>
    </row>
    <row r="10749" spans="1:7" x14ac:dyDescent="0.25">
      <c r="A10749" t="s">
        <v>33432</v>
      </c>
      <c r="B10749" t="s">
        <v>33661</v>
      </c>
      <c r="C10749" t="s">
        <v>33651</v>
      </c>
      <c r="D10749" t="s">
        <v>33652</v>
      </c>
      <c r="E10749" t="s">
        <v>33653</v>
      </c>
      <c r="F10749" t="s">
        <v>33662</v>
      </c>
      <c r="G10749" s="2" t="str">
        <f>HYPERLINK("https://probpalata.gov.ru/files/ИП560600454600005.jpeg","Скачать индивидуальный QR-код магазина")</f>
        <v>Скачать индивидуальный QR-код магазина</v>
      </c>
    </row>
    <row r="10750" spans="1:7" x14ac:dyDescent="0.25">
      <c r="A10750" t="s">
        <v>33432</v>
      </c>
      <c r="B10750" t="s">
        <v>33663</v>
      </c>
      <c r="C10750" t="s">
        <v>33651</v>
      </c>
      <c r="D10750" t="s">
        <v>33652</v>
      </c>
      <c r="E10750" t="s">
        <v>33653</v>
      </c>
      <c r="F10750" t="s">
        <v>33664</v>
      </c>
      <c r="G10750" s="2" t="str">
        <f>HYPERLINK("https://probpalata.gov.ru/files/ИП560600454600006.jpeg","Скачать индивидуальный QR-код магазина")</f>
        <v>Скачать индивидуальный QR-код магазина</v>
      </c>
    </row>
    <row r="10751" spans="1:7" x14ac:dyDescent="0.25">
      <c r="A10751" t="s">
        <v>33432</v>
      </c>
      <c r="B10751" t="s">
        <v>33665</v>
      </c>
      <c r="C10751" t="s">
        <v>33666</v>
      </c>
      <c r="D10751" t="s">
        <v>33667</v>
      </c>
      <c r="E10751" t="s">
        <v>33668</v>
      </c>
      <c r="F10751" t="s">
        <v>33669</v>
      </c>
      <c r="G10751" s="2" t="str">
        <f>HYPERLINK("https://probpalata.gov.ru/files/ИП560601733700000.jpeg","Скачать индивидуальный QR-код магазина")</f>
        <v>Скачать индивидуальный QR-код магазина</v>
      </c>
    </row>
    <row r="10752" spans="1:7" x14ac:dyDescent="0.25">
      <c r="A10752" t="s">
        <v>33432</v>
      </c>
      <c r="B10752" t="s">
        <v>33670</v>
      </c>
      <c r="C10752" t="s">
        <v>33666</v>
      </c>
      <c r="D10752" t="s">
        <v>33667</v>
      </c>
      <c r="E10752" t="s">
        <v>33668</v>
      </c>
      <c r="F10752" t="s">
        <v>33671</v>
      </c>
      <c r="G10752" s="2" t="str">
        <f>HYPERLINK("https://probpalata.gov.ru/files/ИП560601733700002.jpeg","Скачать индивидуальный QR-код магазина")</f>
        <v>Скачать индивидуальный QR-код магазина</v>
      </c>
    </row>
    <row r="10753" spans="1:7" x14ac:dyDescent="0.25">
      <c r="A10753" t="s">
        <v>33432</v>
      </c>
      <c r="B10753" t="s">
        <v>33672</v>
      </c>
      <c r="C10753" t="s">
        <v>33673</v>
      </c>
      <c r="D10753" t="s">
        <v>33674</v>
      </c>
      <c r="E10753" t="s">
        <v>33675</v>
      </c>
      <c r="F10753" t="s">
        <v>33676</v>
      </c>
      <c r="G10753" s="2" t="str">
        <f>HYPERLINK("https://probpalata.gov.ru/files/ИП560600418800002.jpeg","Скачать индивидуальный QR-код магазина")</f>
        <v>Скачать индивидуальный QR-код магазина</v>
      </c>
    </row>
    <row r="10754" spans="1:7" x14ac:dyDescent="0.25">
      <c r="A10754" t="s">
        <v>33432</v>
      </c>
      <c r="B10754" t="s">
        <v>33677</v>
      </c>
      <c r="C10754" t="s">
        <v>33673</v>
      </c>
      <c r="D10754" t="s">
        <v>33674</v>
      </c>
      <c r="E10754" t="s">
        <v>33675</v>
      </c>
      <c r="F10754" t="s">
        <v>33678</v>
      </c>
      <c r="G10754" s="2" t="str">
        <f>HYPERLINK("https://probpalata.gov.ru/files/ИП560600418800003.jpeg","Скачать индивидуальный QR-код магазина")</f>
        <v>Скачать индивидуальный QR-код магазина</v>
      </c>
    </row>
    <row r="10755" spans="1:7" x14ac:dyDescent="0.25">
      <c r="A10755" t="s">
        <v>33432</v>
      </c>
      <c r="B10755" t="s">
        <v>33679</v>
      </c>
      <c r="C10755" t="s">
        <v>33673</v>
      </c>
      <c r="D10755" t="s">
        <v>33674</v>
      </c>
      <c r="E10755" t="s">
        <v>33675</v>
      </c>
      <c r="F10755" t="s">
        <v>33680</v>
      </c>
      <c r="G10755" s="2" t="str">
        <f>HYPERLINK("https://probpalata.gov.ru/files/ИП560600418800004.jpeg","Скачать индивидуальный QR-код магазина")</f>
        <v>Скачать индивидуальный QR-код магазина</v>
      </c>
    </row>
    <row r="10756" spans="1:7" x14ac:dyDescent="0.25">
      <c r="A10756" t="s">
        <v>33432</v>
      </c>
      <c r="B10756" t="s">
        <v>33681</v>
      </c>
      <c r="C10756" t="s">
        <v>33673</v>
      </c>
      <c r="D10756" t="s">
        <v>33674</v>
      </c>
      <c r="E10756" t="s">
        <v>33675</v>
      </c>
      <c r="F10756" t="s">
        <v>33682</v>
      </c>
      <c r="G10756" s="2" t="str">
        <f>HYPERLINK("https://probpalata.gov.ru/files/ИП560600418800006.jpeg","Скачать индивидуальный QR-код магазина")</f>
        <v>Скачать индивидуальный QR-код магазина</v>
      </c>
    </row>
    <row r="10757" spans="1:7" x14ac:dyDescent="0.25">
      <c r="A10757" t="s">
        <v>33432</v>
      </c>
      <c r="B10757" t="s">
        <v>33683</v>
      </c>
      <c r="C10757" t="s">
        <v>33673</v>
      </c>
      <c r="D10757" t="s">
        <v>33674</v>
      </c>
      <c r="E10757" t="s">
        <v>33675</v>
      </c>
      <c r="F10757" t="s">
        <v>33684</v>
      </c>
      <c r="G10757" s="2" t="str">
        <f>HYPERLINK("https://probpalata.gov.ru/files/ИП560600418800008.jpeg","Скачать индивидуальный QR-код магазина")</f>
        <v>Скачать индивидуальный QR-код магазина</v>
      </c>
    </row>
    <row r="10758" spans="1:7" x14ac:dyDescent="0.25">
      <c r="A10758" t="s">
        <v>33432</v>
      </c>
      <c r="B10758" t="s">
        <v>33685</v>
      </c>
      <c r="C10758" t="s">
        <v>33686</v>
      </c>
      <c r="D10758" t="s">
        <v>33687</v>
      </c>
      <c r="E10758" t="s">
        <v>33688</v>
      </c>
      <c r="F10758" t="s">
        <v>33689</v>
      </c>
      <c r="G10758" s="2" t="str">
        <f>HYPERLINK("https://probpalata.gov.ru/files/ЮЛ560600074200000.jpeg","Скачать индивидуальный QR-код магазина")</f>
        <v>Скачать индивидуальный QR-код магазина</v>
      </c>
    </row>
    <row r="10759" spans="1:7" x14ac:dyDescent="0.25">
      <c r="A10759" t="s">
        <v>33432</v>
      </c>
      <c r="B10759" t="s">
        <v>33690</v>
      </c>
      <c r="C10759" t="s">
        <v>33686</v>
      </c>
      <c r="D10759" t="s">
        <v>33687</v>
      </c>
      <c r="E10759" t="s">
        <v>33688</v>
      </c>
      <c r="F10759" t="s">
        <v>33691</v>
      </c>
      <c r="G10759" s="2" t="str">
        <f>HYPERLINK("https://probpalata.gov.ru/files/ЮЛ560600074200002.jpeg","Скачать индивидуальный QR-код магазина")</f>
        <v>Скачать индивидуальный QR-код магазина</v>
      </c>
    </row>
    <row r="10760" spans="1:7" x14ac:dyDescent="0.25">
      <c r="A10760" t="s">
        <v>33432</v>
      </c>
      <c r="B10760" t="s">
        <v>33692</v>
      </c>
      <c r="C10760" t="s">
        <v>33686</v>
      </c>
      <c r="D10760" t="s">
        <v>33687</v>
      </c>
      <c r="E10760" t="s">
        <v>33688</v>
      </c>
      <c r="F10760" t="s">
        <v>33693</v>
      </c>
      <c r="G10760" s="2" t="str">
        <f>HYPERLINK("https://probpalata.gov.ru/files/ЮЛ560600074200003.jpeg","Скачать индивидуальный QR-код магазина")</f>
        <v>Скачать индивидуальный QR-код магазина</v>
      </c>
    </row>
    <row r="10761" spans="1:7" x14ac:dyDescent="0.25">
      <c r="A10761" t="s">
        <v>33432</v>
      </c>
      <c r="B10761" t="s">
        <v>33694</v>
      </c>
      <c r="C10761" t="s">
        <v>33695</v>
      </c>
      <c r="D10761" t="s">
        <v>33696</v>
      </c>
      <c r="E10761" t="s">
        <v>33697</v>
      </c>
      <c r="F10761" t="s">
        <v>33698</v>
      </c>
      <c r="G10761" s="2" t="str">
        <f>HYPERLINK("https://probpalata.gov.ru/files/ЮЛ560600000400000.jpeg","Скачать индивидуальный QR-код магазина")</f>
        <v>Скачать индивидуальный QR-код магазина</v>
      </c>
    </row>
    <row r="10762" spans="1:7" x14ac:dyDescent="0.25">
      <c r="A10762" t="s">
        <v>33432</v>
      </c>
      <c r="B10762" t="s">
        <v>33699</v>
      </c>
      <c r="C10762" t="s">
        <v>33700</v>
      </c>
      <c r="D10762" t="s">
        <v>33701</v>
      </c>
      <c r="E10762" t="s">
        <v>33702</v>
      </c>
      <c r="F10762" t="s">
        <v>33703</v>
      </c>
      <c r="G10762" s="2" t="str">
        <f>HYPERLINK("https://probpalata.gov.ru/files/ЮЛ560600000300000.jpeg","Скачать индивидуальный QR-код магазина")</f>
        <v>Скачать индивидуальный QR-код магазина</v>
      </c>
    </row>
    <row r="10763" spans="1:7" x14ac:dyDescent="0.25">
      <c r="A10763" t="s">
        <v>33432</v>
      </c>
      <c r="B10763" t="s">
        <v>33704</v>
      </c>
      <c r="C10763" t="s">
        <v>33705</v>
      </c>
      <c r="D10763" t="s">
        <v>33706</v>
      </c>
      <c r="E10763" t="s">
        <v>33707</v>
      </c>
      <c r="F10763" t="s">
        <v>33708</v>
      </c>
      <c r="G10763" s="2" t="str">
        <f>HYPERLINK("https://probpalata.gov.ru/files/ИП560600395400000.jpeg","Скачать индивидуальный QR-код магазина")</f>
        <v>Скачать индивидуальный QR-код магазина</v>
      </c>
    </row>
    <row r="10764" spans="1:7" x14ac:dyDescent="0.25">
      <c r="A10764" t="s">
        <v>33432</v>
      </c>
      <c r="B10764" t="s">
        <v>33579</v>
      </c>
      <c r="C10764" t="s">
        <v>33709</v>
      </c>
      <c r="D10764" t="s">
        <v>33710</v>
      </c>
      <c r="E10764" t="s">
        <v>33711</v>
      </c>
      <c r="F10764" t="s">
        <v>33712</v>
      </c>
      <c r="G10764" s="2" t="str">
        <f>HYPERLINK("https://probpalata.gov.ru/files/ИП560600140900000.jpeg","Скачать индивидуальный QR-код магазина")</f>
        <v>Скачать индивидуальный QR-код магазина</v>
      </c>
    </row>
    <row r="10765" spans="1:7" x14ac:dyDescent="0.25">
      <c r="A10765" t="s">
        <v>33432</v>
      </c>
      <c r="B10765" t="s">
        <v>33713</v>
      </c>
      <c r="C10765" t="s">
        <v>33709</v>
      </c>
      <c r="D10765" t="s">
        <v>33710</v>
      </c>
      <c r="E10765" t="s">
        <v>33711</v>
      </c>
      <c r="F10765" t="s">
        <v>33714</v>
      </c>
      <c r="G10765" s="2" t="str">
        <f>HYPERLINK("https://probpalata.gov.ru/files/ИП560600140900002.jpeg","Скачать индивидуальный QR-код магазина")</f>
        <v>Скачать индивидуальный QR-код магазина</v>
      </c>
    </row>
    <row r="10766" spans="1:7" x14ac:dyDescent="0.25">
      <c r="A10766" t="s">
        <v>33432</v>
      </c>
      <c r="B10766" t="s">
        <v>33715</v>
      </c>
      <c r="C10766" t="s">
        <v>33709</v>
      </c>
      <c r="D10766" t="s">
        <v>33710</v>
      </c>
      <c r="E10766" t="s">
        <v>33711</v>
      </c>
      <c r="F10766" t="s">
        <v>33716</v>
      </c>
      <c r="G10766" s="2" t="str">
        <f>HYPERLINK("https://probpalata.gov.ru/files/ИП560600140900003.jpeg","Скачать индивидуальный QR-код магазина")</f>
        <v>Скачать индивидуальный QR-код магазина</v>
      </c>
    </row>
    <row r="10767" spans="1:7" x14ac:dyDescent="0.25">
      <c r="A10767" t="s">
        <v>33432</v>
      </c>
      <c r="B10767" t="s">
        <v>33717</v>
      </c>
      <c r="C10767" t="s">
        <v>33718</v>
      </c>
      <c r="D10767" t="s">
        <v>33719</v>
      </c>
      <c r="E10767" t="s">
        <v>33720</v>
      </c>
      <c r="F10767" t="s">
        <v>33721</v>
      </c>
      <c r="G10767" s="2" t="str">
        <f>HYPERLINK("https://probpalata.gov.ru/files/ЮЛ560601043100005.jpeg","Скачать индивидуальный QR-код магазина")</f>
        <v>Скачать индивидуальный QR-код магазина</v>
      </c>
    </row>
    <row r="10768" spans="1:7" x14ac:dyDescent="0.25">
      <c r="A10768" t="s">
        <v>33432</v>
      </c>
      <c r="B10768" t="s">
        <v>33722</v>
      </c>
      <c r="C10768" t="s">
        <v>33718</v>
      </c>
      <c r="D10768" t="s">
        <v>33719</v>
      </c>
      <c r="E10768" t="s">
        <v>33720</v>
      </c>
      <c r="F10768" t="s">
        <v>33723</v>
      </c>
      <c r="G10768" s="2" t="str">
        <f>HYPERLINK("https://probpalata.gov.ru/files/ЮЛ560601043100006.jpeg","Скачать индивидуальный QR-код магазина")</f>
        <v>Скачать индивидуальный QR-код магазина</v>
      </c>
    </row>
    <row r="10769" spans="1:7" x14ac:dyDescent="0.25">
      <c r="A10769" t="s">
        <v>33432</v>
      </c>
      <c r="B10769" t="s">
        <v>33724</v>
      </c>
      <c r="C10769" t="s">
        <v>33725</v>
      </c>
      <c r="D10769" t="s">
        <v>33726</v>
      </c>
      <c r="E10769" t="s">
        <v>33727</v>
      </c>
      <c r="F10769" t="s">
        <v>33728</v>
      </c>
      <c r="G10769" s="2" t="str">
        <f>HYPERLINK("https://probpalata.gov.ru/files/ИП560600373900000.jpeg","Скачать индивидуальный QR-код магазина")</f>
        <v>Скачать индивидуальный QR-код магазина</v>
      </c>
    </row>
    <row r="10770" spans="1:7" x14ac:dyDescent="0.25">
      <c r="A10770" t="s">
        <v>33432</v>
      </c>
      <c r="B10770" t="s">
        <v>33729</v>
      </c>
      <c r="C10770" t="s">
        <v>33730</v>
      </c>
      <c r="D10770" t="s">
        <v>33731</v>
      </c>
      <c r="E10770" t="s">
        <v>33732</v>
      </c>
      <c r="F10770" t="s">
        <v>33733</v>
      </c>
      <c r="G10770" s="2" t="str">
        <f>HYPERLINK("https://probpalata.gov.ru/files/ИП560600879800000.jpeg","Скачать индивидуальный QR-код магазина")</f>
        <v>Скачать индивидуальный QR-код магазина</v>
      </c>
    </row>
    <row r="10771" spans="1:7" x14ac:dyDescent="0.25">
      <c r="A10771" t="s">
        <v>33432</v>
      </c>
      <c r="B10771" t="s">
        <v>33526</v>
      </c>
      <c r="C10771" t="s">
        <v>33734</v>
      </c>
      <c r="D10771" t="s">
        <v>33735</v>
      </c>
      <c r="E10771" t="s">
        <v>33736</v>
      </c>
      <c r="F10771" t="s">
        <v>33737</v>
      </c>
      <c r="G10771" s="2" t="str">
        <f>HYPERLINK("https://probpalata.gov.ru/files/ЮЛ560600171300000.jpeg","Скачать индивидуальный QR-код магазина")</f>
        <v>Скачать индивидуальный QR-код магазина</v>
      </c>
    </row>
    <row r="10772" spans="1:7" x14ac:dyDescent="0.25">
      <c r="A10772" t="s">
        <v>33432</v>
      </c>
      <c r="B10772" t="s">
        <v>33738</v>
      </c>
      <c r="C10772" t="s">
        <v>33734</v>
      </c>
      <c r="D10772" t="s">
        <v>33735</v>
      </c>
      <c r="E10772" t="s">
        <v>33736</v>
      </c>
      <c r="F10772" t="s">
        <v>33739</v>
      </c>
      <c r="G10772" s="2" t="str">
        <f>HYPERLINK("https://probpalata.gov.ru/files/ЮЛ560600171300003.jpeg","Скачать индивидуальный QR-код магазина")</f>
        <v>Скачать индивидуальный QR-код магазина</v>
      </c>
    </row>
    <row r="10773" spans="1:7" x14ac:dyDescent="0.25">
      <c r="A10773" t="s">
        <v>33432</v>
      </c>
      <c r="B10773" t="s">
        <v>33740</v>
      </c>
      <c r="C10773" t="s">
        <v>33734</v>
      </c>
      <c r="D10773" t="s">
        <v>33735</v>
      </c>
      <c r="E10773" t="s">
        <v>33736</v>
      </c>
      <c r="F10773" t="s">
        <v>33741</v>
      </c>
      <c r="G10773" s="2" t="str">
        <f>HYPERLINK("https://probpalata.gov.ru/files/ЮЛ560600171300007.jpeg","Скачать индивидуальный QR-код магазина")</f>
        <v>Скачать индивидуальный QR-код магазина</v>
      </c>
    </row>
    <row r="10774" spans="1:7" x14ac:dyDescent="0.25">
      <c r="A10774" t="s">
        <v>33432</v>
      </c>
      <c r="B10774" t="s">
        <v>33717</v>
      </c>
      <c r="C10774" t="s">
        <v>33742</v>
      </c>
      <c r="D10774" t="s">
        <v>33743</v>
      </c>
      <c r="E10774" t="s">
        <v>33744</v>
      </c>
      <c r="F10774" t="s">
        <v>33745</v>
      </c>
      <c r="G10774" s="2" t="str">
        <f>HYPERLINK("https://probpalata.gov.ru/files/ЮЛ560600171900004.jpeg","Скачать индивидуальный QR-код магазина")</f>
        <v>Скачать индивидуальный QR-код магазина</v>
      </c>
    </row>
    <row r="10775" spans="1:7" x14ac:dyDescent="0.25">
      <c r="A10775" t="s">
        <v>33432</v>
      </c>
      <c r="B10775" t="s">
        <v>33746</v>
      </c>
      <c r="C10775" t="s">
        <v>33747</v>
      </c>
      <c r="D10775" t="s">
        <v>33748</v>
      </c>
      <c r="E10775" t="s">
        <v>33749</v>
      </c>
      <c r="F10775" t="s">
        <v>33750</v>
      </c>
      <c r="G10775" s="2" t="str">
        <f>HYPERLINK("https://probpalata.gov.ru/files/ИП560603212300000.jpeg","Скачать индивидуальный QR-код магазина")</f>
        <v>Скачать индивидуальный QR-код магазина</v>
      </c>
    </row>
    <row r="10776" spans="1:7" x14ac:dyDescent="0.25">
      <c r="A10776" t="s">
        <v>33432</v>
      </c>
      <c r="B10776" t="s">
        <v>33442</v>
      </c>
      <c r="C10776" t="s">
        <v>33751</v>
      </c>
      <c r="D10776" t="s">
        <v>33752</v>
      </c>
      <c r="E10776" t="s">
        <v>33753</v>
      </c>
      <c r="F10776" t="s">
        <v>33754</v>
      </c>
      <c r="G10776" s="2" t="str">
        <f>HYPERLINK("https://probpalata.gov.ru/files/ИП560601960500000.jpeg","Скачать индивидуальный QR-код магазина")</f>
        <v>Скачать индивидуальный QR-код магазина</v>
      </c>
    </row>
    <row r="10777" spans="1:7" x14ac:dyDescent="0.25">
      <c r="A10777" t="s">
        <v>33432</v>
      </c>
      <c r="B10777" t="s">
        <v>33755</v>
      </c>
      <c r="C10777" t="s">
        <v>33756</v>
      </c>
      <c r="D10777" t="s">
        <v>33757</v>
      </c>
      <c r="E10777" t="s">
        <v>33758</v>
      </c>
      <c r="F10777" t="s">
        <v>33759</v>
      </c>
      <c r="G10777" s="2" t="str">
        <f>HYPERLINK("https://probpalata.gov.ru/files/ИП560600575400000.jpeg","Скачать индивидуальный QR-код магазина")</f>
        <v>Скачать индивидуальный QR-код магазина</v>
      </c>
    </row>
    <row r="10778" spans="1:7" x14ac:dyDescent="0.25">
      <c r="A10778" t="s">
        <v>33432</v>
      </c>
      <c r="B10778" t="s">
        <v>33760</v>
      </c>
      <c r="C10778" t="s">
        <v>33761</v>
      </c>
      <c r="D10778" t="s">
        <v>33762</v>
      </c>
      <c r="E10778" t="s">
        <v>33763</v>
      </c>
      <c r="F10778" t="s">
        <v>33764</v>
      </c>
      <c r="G10778" s="2" t="str">
        <f>HYPERLINK("https://probpalata.gov.ru/files/ИП560601007400000.jpeg","Скачать индивидуальный QR-код магазина")</f>
        <v>Скачать индивидуальный QR-код магазина</v>
      </c>
    </row>
    <row r="10779" spans="1:7" x14ac:dyDescent="0.25">
      <c r="A10779" t="s">
        <v>33432</v>
      </c>
      <c r="B10779" t="s">
        <v>33765</v>
      </c>
      <c r="C10779" t="s">
        <v>33766</v>
      </c>
      <c r="D10779" t="s">
        <v>33767</v>
      </c>
      <c r="E10779" t="s">
        <v>33768</v>
      </c>
      <c r="F10779" t="s">
        <v>33769</v>
      </c>
      <c r="G10779" s="2" t="str">
        <f>HYPERLINK("https://probpalata.gov.ru/files/ЮЛ560601358100000.jpeg","Скачать индивидуальный QR-код магазина")</f>
        <v>Скачать индивидуальный QR-код магазина</v>
      </c>
    </row>
    <row r="10780" spans="1:7" x14ac:dyDescent="0.25">
      <c r="A10780" t="s">
        <v>33432</v>
      </c>
      <c r="B10780" t="s">
        <v>33746</v>
      </c>
      <c r="C10780" t="s">
        <v>33770</v>
      </c>
      <c r="D10780" t="s">
        <v>33771</v>
      </c>
      <c r="E10780" t="s">
        <v>33772</v>
      </c>
      <c r="F10780" t="s">
        <v>33773</v>
      </c>
      <c r="G10780" s="2" t="str">
        <f>HYPERLINK("https://probpalata.gov.ru/files/ИП560603693600000.jpeg","Скачать индивидуальный QR-код магазина")</f>
        <v>Скачать индивидуальный QR-код магазина</v>
      </c>
    </row>
    <row r="10781" spans="1:7" x14ac:dyDescent="0.25">
      <c r="A10781" t="s">
        <v>33432</v>
      </c>
      <c r="B10781" t="s">
        <v>33526</v>
      </c>
      <c r="C10781" t="s">
        <v>33774</v>
      </c>
      <c r="D10781" t="s">
        <v>33775</v>
      </c>
      <c r="E10781" t="s">
        <v>33776</v>
      </c>
      <c r="F10781" t="s">
        <v>33777</v>
      </c>
      <c r="G10781" s="2" t="str">
        <f>HYPERLINK("https://probpalata.gov.ru/files/ИП560600376200000.jpeg","Скачать индивидуальный QR-код магазина")</f>
        <v>Скачать индивидуальный QR-код магазина</v>
      </c>
    </row>
    <row r="10782" spans="1:7" x14ac:dyDescent="0.25">
      <c r="A10782" t="s">
        <v>33432</v>
      </c>
      <c r="B10782" t="s">
        <v>33778</v>
      </c>
      <c r="C10782" t="s">
        <v>33779</v>
      </c>
      <c r="D10782" t="s">
        <v>33780</v>
      </c>
      <c r="E10782" t="s">
        <v>33781</v>
      </c>
      <c r="F10782" t="s">
        <v>33782</v>
      </c>
      <c r="G10782" s="2" t="str">
        <f>HYPERLINK("https://probpalata.gov.ru/files/ИП560600134300000.jpeg","Скачать индивидуальный QR-код магазина")</f>
        <v>Скачать индивидуальный QR-код магазина</v>
      </c>
    </row>
    <row r="10783" spans="1:7" x14ac:dyDescent="0.25">
      <c r="A10783" t="s">
        <v>33432</v>
      </c>
      <c r="B10783" t="s">
        <v>33526</v>
      </c>
      <c r="C10783" t="s">
        <v>33779</v>
      </c>
      <c r="D10783" t="s">
        <v>33780</v>
      </c>
      <c r="E10783" t="s">
        <v>33781</v>
      </c>
      <c r="F10783" t="s">
        <v>33783</v>
      </c>
      <c r="G10783" s="2" t="str">
        <f>HYPERLINK("https://probpalata.gov.ru/files/ИП560600134300001.jpeg","Скачать индивидуальный QR-код магазина")</f>
        <v>Скачать индивидуальный QR-код магазина</v>
      </c>
    </row>
    <row r="10784" spans="1:7" x14ac:dyDescent="0.25">
      <c r="A10784" t="s">
        <v>33432</v>
      </c>
      <c r="B10784" t="s">
        <v>33784</v>
      </c>
      <c r="C10784" t="s">
        <v>33779</v>
      </c>
      <c r="D10784" t="s">
        <v>33780</v>
      </c>
      <c r="E10784" t="s">
        <v>33781</v>
      </c>
      <c r="F10784" t="s">
        <v>33785</v>
      </c>
      <c r="G10784" s="2" t="str">
        <f>HYPERLINK("https://probpalata.gov.ru/files/ИП560600134300002.jpeg","Скачать индивидуальный QR-код магазина")</f>
        <v>Скачать индивидуальный QR-код магазина</v>
      </c>
    </row>
    <row r="10785" spans="1:7" x14ac:dyDescent="0.25">
      <c r="A10785" t="s">
        <v>33432</v>
      </c>
      <c r="B10785" t="s">
        <v>33786</v>
      </c>
      <c r="C10785" t="s">
        <v>33779</v>
      </c>
      <c r="D10785" t="s">
        <v>33780</v>
      </c>
      <c r="E10785" t="s">
        <v>33781</v>
      </c>
      <c r="F10785" t="s">
        <v>33787</v>
      </c>
      <c r="G10785" s="2" t="str">
        <f>HYPERLINK("https://probpalata.gov.ru/files/ИП560600134300004.jpeg","Скачать индивидуальный QR-код магазина")</f>
        <v>Скачать индивидуальный QR-код магазина</v>
      </c>
    </row>
    <row r="10786" spans="1:7" x14ac:dyDescent="0.25">
      <c r="A10786" t="s">
        <v>33432</v>
      </c>
      <c r="B10786" t="s">
        <v>33788</v>
      </c>
      <c r="C10786" t="s">
        <v>33789</v>
      </c>
      <c r="D10786" t="s">
        <v>33790</v>
      </c>
      <c r="E10786" t="s">
        <v>33791</v>
      </c>
      <c r="F10786" t="s">
        <v>33792</v>
      </c>
      <c r="G10786" s="2" t="str">
        <f>HYPERLINK("https://probpalata.gov.ru/files/ИП560600183300000.jpeg","Скачать индивидуальный QR-код магазина")</f>
        <v>Скачать индивидуальный QR-код магазина</v>
      </c>
    </row>
    <row r="10787" spans="1:7" x14ac:dyDescent="0.25">
      <c r="A10787" t="s">
        <v>33432</v>
      </c>
      <c r="B10787" t="s">
        <v>33793</v>
      </c>
      <c r="C10787" t="s">
        <v>33794</v>
      </c>
      <c r="D10787" t="s">
        <v>33795</v>
      </c>
      <c r="E10787" t="s">
        <v>33796</v>
      </c>
      <c r="F10787" t="s">
        <v>33797</v>
      </c>
      <c r="G10787" s="2" t="str">
        <f>HYPERLINK("https://probpalata.gov.ru/files/ИП560600438000000.jpeg","Скачать индивидуальный QR-код магазина")</f>
        <v>Скачать индивидуальный QR-код магазина</v>
      </c>
    </row>
    <row r="10788" spans="1:7" x14ac:dyDescent="0.25">
      <c r="A10788" t="s">
        <v>33432</v>
      </c>
      <c r="B10788" t="s">
        <v>33798</v>
      </c>
      <c r="C10788" t="s">
        <v>33799</v>
      </c>
      <c r="D10788" t="s">
        <v>33800</v>
      </c>
      <c r="E10788" t="s">
        <v>33801</v>
      </c>
      <c r="F10788" t="s">
        <v>33802</v>
      </c>
      <c r="G10788" s="2" t="str">
        <f>HYPERLINK("https://probpalata.gov.ru/files/ИП560600056900000.jpeg","Скачать индивидуальный QR-код магазина")</f>
        <v>Скачать индивидуальный QR-код магазина</v>
      </c>
    </row>
    <row r="10789" spans="1:7" x14ac:dyDescent="0.25">
      <c r="A10789" t="s">
        <v>33432</v>
      </c>
      <c r="B10789" t="s">
        <v>33803</v>
      </c>
      <c r="C10789" t="s">
        <v>33799</v>
      </c>
      <c r="D10789" t="s">
        <v>33800</v>
      </c>
      <c r="E10789" t="s">
        <v>33801</v>
      </c>
      <c r="F10789" t="s">
        <v>33804</v>
      </c>
      <c r="G10789" s="2" t="str">
        <f>HYPERLINK("https://probpalata.gov.ru/files/ИП560600056900001.jpeg","Скачать индивидуальный QR-код магазина")</f>
        <v>Скачать индивидуальный QR-код магазина</v>
      </c>
    </row>
    <row r="10790" spans="1:7" x14ac:dyDescent="0.25">
      <c r="A10790" t="s">
        <v>33432</v>
      </c>
      <c r="B10790" t="s">
        <v>33805</v>
      </c>
      <c r="C10790" t="s">
        <v>33806</v>
      </c>
      <c r="D10790" t="s">
        <v>33807</v>
      </c>
      <c r="E10790" t="s">
        <v>33808</v>
      </c>
      <c r="F10790" t="s">
        <v>33809</v>
      </c>
      <c r="G10790" s="2" t="str">
        <f>HYPERLINK("https://probpalata.gov.ru/files/ИП560601195400000.jpeg","Скачать индивидуальный QR-код магазина")</f>
        <v>Скачать индивидуальный QR-код магазина</v>
      </c>
    </row>
    <row r="10791" spans="1:7" x14ac:dyDescent="0.25">
      <c r="A10791" t="s">
        <v>33432</v>
      </c>
      <c r="B10791" t="s">
        <v>33810</v>
      </c>
      <c r="C10791" t="s">
        <v>33811</v>
      </c>
      <c r="D10791" t="s">
        <v>33812</v>
      </c>
      <c r="E10791" t="s">
        <v>33813</v>
      </c>
      <c r="F10791" t="s">
        <v>33814</v>
      </c>
      <c r="G10791" s="2" t="str">
        <f>HYPERLINK("https://probpalata.gov.ru/files/ИП560600194500000.jpeg","Скачать индивидуальный QR-код магазина")</f>
        <v>Скачать индивидуальный QR-код магазина</v>
      </c>
    </row>
    <row r="10792" spans="1:7" x14ac:dyDescent="0.25">
      <c r="A10792" t="s">
        <v>33432</v>
      </c>
      <c r="B10792" t="s">
        <v>33815</v>
      </c>
      <c r="C10792" t="s">
        <v>33811</v>
      </c>
      <c r="D10792" t="s">
        <v>33812</v>
      </c>
      <c r="E10792" t="s">
        <v>33813</v>
      </c>
      <c r="F10792" t="s">
        <v>33816</v>
      </c>
      <c r="G10792" s="2" t="str">
        <f>HYPERLINK("https://probpalata.gov.ru/files/ИП560600194500001.jpeg","Скачать индивидуальный QR-код магазина")</f>
        <v>Скачать индивидуальный QR-код магазина</v>
      </c>
    </row>
    <row r="10793" spans="1:7" x14ac:dyDescent="0.25">
      <c r="A10793" t="s">
        <v>33432</v>
      </c>
      <c r="B10793" t="s">
        <v>33817</v>
      </c>
      <c r="C10793" t="s">
        <v>33811</v>
      </c>
      <c r="D10793" t="s">
        <v>33812</v>
      </c>
      <c r="E10793" t="s">
        <v>33813</v>
      </c>
      <c r="F10793" t="s">
        <v>33818</v>
      </c>
      <c r="G10793" s="2" t="str">
        <f>HYPERLINK("https://probpalata.gov.ru/files/ИП560600194500002.jpeg","Скачать индивидуальный QR-код магазина")</f>
        <v>Скачать индивидуальный QR-код магазина</v>
      </c>
    </row>
    <row r="10794" spans="1:7" x14ac:dyDescent="0.25">
      <c r="A10794" t="s">
        <v>33432</v>
      </c>
      <c r="B10794" t="s">
        <v>33819</v>
      </c>
      <c r="C10794" t="s">
        <v>33820</v>
      </c>
      <c r="D10794" t="s">
        <v>33821</v>
      </c>
      <c r="E10794" t="s">
        <v>33822</v>
      </c>
      <c r="F10794" t="s">
        <v>33823</v>
      </c>
      <c r="G10794" s="2" t="str">
        <f>HYPERLINK("https://probpalata.gov.ru/files/ИП560601534000000.jpeg","Скачать индивидуальный QR-код магазина")</f>
        <v>Скачать индивидуальный QR-код магазина</v>
      </c>
    </row>
    <row r="10795" spans="1:7" x14ac:dyDescent="0.25">
      <c r="A10795" t="s">
        <v>33432</v>
      </c>
      <c r="B10795" t="s">
        <v>33824</v>
      </c>
      <c r="C10795" t="s">
        <v>33820</v>
      </c>
      <c r="D10795" t="s">
        <v>33821</v>
      </c>
      <c r="E10795" t="s">
        <v>33822</v>
      </c>
      <c r="F10795" t="s">
        <v>33825</v>
      </c>
      <c r="G10795" s="2" t="str">
        <f>HYPERLINK("https://probpalata.gov.ru/files/ИП560601534000002.jpeg","Скачать индивидуальный QR-код магазина")</f>
        <v>Скачать индивидуальный QR-код магазина</v>
      </c>
    </row>
    <row r="10796" spans="1:7" x14ac:dyDescent="0.25">
      <c r="A10796" t="s">
        <v>33432</v>
      </c>
      <c r="B10796" t="s">
        <v>33826</v>
      </c>
      <c r="C10796" t="s">
        <v>33827</v>
      </c>
      <c r="D10796" t="s">
        <v>33828</v>
      </c>
      <c r="E10796" t="s">
        <v>33829</v>
      </c>
      <c r="F10796" t="s">
        <v>33830</v>
      </c>
      <c r="G10796" s="2" t="str">
        <f>HYPERLINK("https://probpalata.gov.ru/files/ИП560600132200004.jpeg","Скачать индивидуальный QR-код магазина")</f>
        <v>Скачать индивидуальный QR-код магазина</v>
      </c>
    </row>
    <row r="10797" spans="1:7" x14ac:dyDescent="0.25">
      <c r="A10797" t="s">
        <v>33432</v>
      </c>
      <c r="B10797" t="s">
        <v>33831</v>
      </c>
      <c r="C10797" t="s">
        <v>33827</v>
      </c>
      <c r="D10797" t="s">
        <v>33828</v>
      </c>
      <c r="E10797" t="s">
        <v>33829</v>
      </c>
      <c r="F10797" t="s">
        <v>33832</v>
      </c>
      <c r="G10797" s="2" t="str">
        <f>HYPERLINK("https://probpalata.gov.ru/files/ИП560600132200007.jpeg","Скачать индивидуальный QR-код магазина")</f>
        <v>Скачать индивидуальный QR-код магазина</v>
      </c>
    </row>
    <row r="10798" spans="1:7" x14ac:dyDescent="0.25">
      <c r="A10798" t="s">
        <v>33432</v>
      </c>
      <c r="B10798" t="s">
        <v>33833</v>
      </c>
      <c r="C10798" t="s">
        <v>33827</v>
      </c>
      <c r="D10798" t="s">
        <v>33828</v>
      </c>
      <c r="E10798" t="s">
        <v>33829</v>
      </c>
      <c r="F10798" t="s">
        <v>33834</v>
      </c>
      <c r="G10798" s="2" t="str">
        <f>HYPERLINK("https://probpalata.gov.ru/files/ИП560600132200009.jpeg","Скачать индивидуальный QR-код магазина")</f>
        <v>Скачать индивидуальный QR-код магазина</v>
      </c>
    </row>
    <row r="10799" spans="1:7" x14ac:dyDescent="0.25">
      <c r="A10799" t="s">
        <v>33432</v>
      </c>
      <c r="B10799" t="s">
        <v>33835</v>
      </c>
      <c r="C10799" t="s">
        <v>33827</v>
      </c>
      <c r="D10799" t="s">
        <v>33828</v>
      </c>
      <c r="E10799" t="s">
        <v>33829</v>
      </c>
      <c r="F10799" t="s">
        <v>33836</v>
      </c>
      <c r="G10799" s="2" t="str">
        <f>HYPERLINK("https://probpalata.gov.ru/files/ИП560600132200010.jpeg","Скачать индивидуальный QR-код магазина")</f>
        <v>Скачать индивидуальный QR-код магазина</v>
      </c>
    </row>
    <row r="10800" spans="1:7" x14ac:dyDescent="0.25">
      <c r="A10800" t="s">
        <v>33432</v>
      </c>
      <c r="B10800" t="s">
        <v>33837</v>
      </c>
      <c r="C10800" t="s">
        <v>33838</v>
      </c>
      <c r="D10800" t="s">
        <v>33839</v>
      </c>
      <c r="E10800" t="s">
        <v>33840</v>
      </c>
      <c r="F10800" t="s">
        <v>33841</v>
      </c>
      <c r="G10800" s="2" t="str">
        <f>HYPERLINK("https://probpalata.gov.ru/files/ИП770103094100000.jpeg","Скачать индивидуальный QR-код магазина")</f>
        <v>Скачать индивидуальный QR-код магазина</v>
      </c>
    </row>
    <row r="10801" spans="1:7" x14ac:dyDescent="0.25">
      <c r="A10801" t="s">
        <v>33432</v>
      </c>
      <c r="B10801" t="s">
        <v>33842</v>
      </c>
      <c r="C10801" t="s">
        <v>33843</v>
      </c>
      <c r="D10801" t="s">
        <v>33844</v>
      </c>
      <c r="E10801" t="s">
        <v>33845</v>
      </c>
      <c r="F10801" t="s">
        <v>33846</v>
      </c>
      <c r="G10801" s="2" t="str">
        <f>HYPERLINK("https://probpalata.gov.ru/files/ИП560600438800002.jpeg","Скачать индивидуальный QR-код магазина")</f>
        <v>Скачать индивидуальный QR-код магазина</v>
      </c>
    </row>
    <row r="10802" spans="1:7" x14ac:dyDescent="0.25">
      <c r="A10802" t="s">
        <v>33432</v>
      </c>
      <c r="B10802" t="s">
        <v>33824</v>
      </c>
      <c r="C10802" t="s">
        <v>33843</v>
      </c>
      <c r="D10802" t="s">
        <v>33844</v>
      </c>
      <c r="E10802" t="s">
        <v>33845</v>
      </c>
      <c r="F10802" t="s">
        <v>33847</v>
      </c>
      <c r="G10802" s="2" t="str">
        <f>HYPERLINK("https://probpalata.gov.ru/files/ИП560600438800003.jpeg","Скачать индивидуальный QR-код магазина")</f>
        <v>Скачать индивидуальный QR-код магазина</v>
      </c>
    </row>
    <row r="10803" spans="1:7" x14ac:dyDescent="0.25">
      <c r="A10803" t="s">
        <v>33432</v>
      </c>
      <c r="B10803" t="s">
        <v>33848</v>
      </c>
      <c r="C10803" t="s">
        <v>33843</v>
      </c>
      <c r="D10803" t="s">
        <v>33844</v>
      </c>
      <c r="E10803" t="s">
        <v>33845</v>
      </c>
      <c r="F10803" t="s">
        <v>33849</v>
      </c>
      <c r="G10803" s="2" t="str">
        <f>HYPERLINK("https://probpalata.gov.ru/files/ИП560600438800004.jpeg","Скачать индивидуальный QR-код магазина")</f>
        <v>Скачать индивидуальный QR-код магазина</v>
      </c>
    </row>
    <row r="10804" spans="1:7" x14ac:dyDescent="0.25">
      <c r="A10804" t="s">
        <v>33432</v>
      </c>
      <c r="B10804" t="s">
        <v>33850</v>
      </c>
      <c r="C10804" t="s">
        <v>33851</v>
      </c>
      <c r="D10804" t="s">
        <v>33852</v>
      </c>
      <c r="E10804" t="s">
        <v>33853</v>
      </c>
      <c r="F10804" t="s">
        <v>33854</v>
      </c>
      <c r="G10804" s="2" t="str">
        <f>HYPERLINK("https://probpalata.gov.ru/files/ИП560600691900000.jpeg","Скачать индивидуальный QR-код магазина")</f>
        <v>Скачать индивидуальный QR-код магазина</v>
      </c>
    </row>
    <row r="10805" spans="1:7" x14ac:dyDescent="0.25">
      <c r="A10805" t="s">
        <v>33432</v>
      </c>
      <c r="B10805" t="s">
        <v>33855</v>
      </c>
      <c r="C10805" t="s">
        <v>33856</v>
      </c>
      <c r="D10805" t="s">
        <v>33857</v>
      </c>
      <c r="E10805" t="s">
        <v>33858</v>
      </c>
      <c r="F10805" t="s">
        <v>33859</v>
      </c>
      <c r="G10805" s="2" t="str">
        <f>HYPERLINK("https://probpalata.gov.ru/files/ИП560600172600001.jpeg","Скачать индивидуальный QR-код магазина")</f>
        <v>Скачать индивидуальный QR-код магазина</v>
      </c>
    </row>
    <row r="10806" spans="1:7" x14ac:dyDescent="0.25">
      <c r="A10806" t="s">
        <v>33432</v>
      </c>
      <c r="B10806" t="s">
        <v>33860</v>
      </c>
      <c r="C10806" t="s">
        <v>33856</v>
      </c>
      <c r="D10806" t="s">
        <v>33857</v>
      </c>
      <c r="E10806" t="s">
        <v>33858</v>
      </c>
      <c r="F10806" t="s">
        <v>33861</v>
      </c>
      <c r="G10806" s="2" t="str">
        <f>HYPERLINK("https://probpalata.gov.ru/files/ИП560600172600002.jpeg","Скачать индивидуальный QR-код магазина")</f>
        <v>Скачать индивидуальный QR-код магазина</v>
      </c>
    </row>
    <row r="10807" spans="1:7" x14ac:dyDescent="0.25">
      <c r="A10807" t="s">
        <v>33432</v>
      </c>
      <c r="B10807" t="s">
        <v>33860</v>
      </c>
      <c r="C10807" t="s">
        <v>33856</v>
      </c>
      <c r="D10807" t="s">
        <v>33857</v>
      </c>
      <c r="E10807" t="s">
        <v>33858</v>
      </c>
      <c r="F10807" t="s">
        <v>33862</v>
      </c>
      <c r="G10807" s="2" t="str">
        <f>HYPERLINK("https://probpalata.gov.ru/files/ИП560600172600006.jpeg","Скачать индивидуальный QR-код магазина")</f>
        <v>Скачать индивидуальный QR-код магазина</v>
      </c>
    </row>
    <row r="10808" spans="1:7" x14ac:dyDescent="0.25">
      <c r="A10808" t="s">
        <v>33432</v>
      </c>
      <c r="B10808" t="s">
        <v>33855</v>
      </c>
      <c r="C10808" t="s">
        <v>33863</v>
      </c>
      <c r="D10808" t="s">
        <v>33864</v>
      </c>
      <c r="E10808" t="s">
        <v>33865</v>
      </c>
      <c r="F10808" t="s">
        <v>33866</v>
      </c>
      <c r="G10808" s="2" t="str">
        <f>HYPERLINK("https://probpalata.gov.ru/files/ЮЛ560600413100000.jpeg","Скачать индивидуальный QR-код магазина")</f>
        <v>Скачать индивидуальный QR-код магазина</v>
      </c>
    </row>
    <row r="10809" spans="1:7" x14ac:dyDescent="0.25">
      <c r="A10809" t="s">
        <v>33432</v>
      </c>
      <c r="B10809" t="s">
        <v>33867</v>
      </c>
      <c r="C10809" t="s">
        <v>33868</v>
      </c>
      <c r="D10809" t="s">
        <v>33869</v>
      </c>
      <c r="E10809" t="s">
        <v>33870</v>
      </c>
      <c r="F10809" t="s">
        <v>33871</v>
      </c>
      <c r="G10809" s="2" t="str">
        <f>HYPERLINK("https://probpalata.gov.ru/files/ИП560603269500000.jpeg","Скачать индивидуальный QR-код магазина")</f>
        <v>Скачать индивидуальный QR-код магазина</v>
      </c>
    </row>
    <row r="10810" spans="1:7" x14ac:dyDescent="0.25">
      <c r="A10810" t="s">
        <v>33432</v>
      </c>
      <c r="B10810" t="s">
        <v>33867</v>
      </c>
      <c r="C10810" t="s">
        <v>33868</v>
      </c>
      <c r="D10810" t="s">
        <v>33869</v>
      </c>
      <c r="E10810" t="s">
        <v>33870</v>
      </c>
      <c r="F10810" t="s">
        <v>33872</v>
      </c>
      <c r="G10810" s="2" t="str">
        <f>HYPERLINK("https://probpalata.gov.ru/files/ИП560603269500001.jpeg","Скачать индивидуальный QR-код магазина")</f>
        <v>Скачать индивидуальный QR-код магазина</v>
      </c>
    </row>
    <row r="10811" spans="1:7" x14ac:dyDescent="0.25">
      <c r="A10811" t="s">
        <v>33432</v>
      </c>
      <c r="B10811" t="s">
        <v>33873</v>
      </c>
      <c r="C10811" t="s">
        <v>33874</v>
      </c>
      <c r="D10811" t="s">
        <v>33875</v>
      </c>
      <c r="E10811" t="s">
        <v>33876</v>
      </c>
      <c r="F10811" t="s">
        <v>33877</v>
      </c>
      <c r="G10811" s="2" t="str">
        <f>HYPERLINK("https://probpalata.gov.ru/files/ИП560600401700000.jpeg","Скачать индивидуальный QR-код магазина")</f>
        <v>Скачать индивидуальный QR-код магазина</v>
      </c>
    </row>
    <row r="10812" spans="1:7" x14ac:dyDescent="0.25">
      <c r="A10812" t="s">
        <v>33432</v>
      </c>
      <c r="B10812" t="s">
        <v>33878</v>
      </c>
      <c r="C10812" t="s">
        <v>33879</v>
      </c>
      <c r="D10812" t="s">
        <v>33880</v>
      </c>
      <c r="E10812" t="s">
        <v>33881</v>
      </c>
      <c r="F10812" t="s">
        <v>33882</v>
      </c>
      <c r="G10812" s="2" t="str">
        <f>HYPERLINK("https://probpalata.gov.ru/files/ИП500101611700005.jpeg","Скачать индивидуальный QR-код магазина")</f>
        <v>Скачать индивидуальный QR-код магазина</v>
      </c>
    </row>
    <row r="10813" spans="1:7" x14ac:dyDescent="0.25">
      <c r="A10813" t="s">
        <v>33432</v>
      </c>
      <c r="B10813" t="s">
        <v>33883</v>
      </c>
      <c r="C10813" t="s">
        <v>33879</v>
      </c>
      <c r="D10813" t="s">
        <v>33880</v>
      </c>
      <c r="E10813" t="s">
        <v>33881</v>
      </c>
      <c r="F10813" t="s">
        <v>33884</v>
      </c>
      <c r="G10813" s="2" t="str">
        <f>HYPERLINK("https://probpalata.gov.ru/files/ИП500101611700007.jpeg","Скачать индивидуальный QR-код магазина")</f>
        <v>Скачать индивидуальный QR-код магазина</v>
      </c>
    </row>
    <row r="10814" spans="1:7" x14ac:dyDescent="0.25">
      <c r="A10814" t="s">
        <v>33432</v>
      </c>
      <c r="B10814" t="s">
        <v>33885</v>
      </c>
      <c r="C10814" t="s">
        <v>33879</v>
      </c>
      <c r="D10814" t="s">
        <v>33880</v>
      </c>
      <c r="E10814" t="s">
        <v>33881</v>
      </c>
      <c r="F10814" t="s">
        <v>33886</v>
      </c>
      <c r="G10814" s="2" t="str">
        <f>HYPERLINK("https://probpalata.gov.ru/files/ИП500101611700008.jpeg","Скачать индивидуальный QR-код магазина")</f>
        <v>Скачать индивидуальный QR-код магазина</v>
      </c>
    </row>
    <row r="10815" spans="1:7" x14ac:dyDescent="0.25">
      <c r="A10815" t="s">
        <v>33432</v>
      </c>
      <c r="B10815" t="s">
        <v>33887</v>
      </c>
      <c r="C10815" t="s">
        <v>11245</v>
      </c>
      <c r="D10815" t="s">
        <v>33888</v>
      </c>
      <c r="E10815" t="s">
        <v>33889</v>
      </c>
      <c r="F10815" t="s">
        <v>33890</v>
      </c>
      <c r="G10815" s="2" t="str">
        <f>HYPERLINK("https://probpalata.gov.ru/files/ИП560603112100000.jpeg","Скачать индивидуальный QR-код магазина")</f>
        <v>Скачать индивидуальный QR-код магазина</v>
      </c>
    </row>
    <row r="10816" spans="1:7" x14ac:dyDescent="0.25">
      <c r="A10816" t="s">
        <v>33432</v>
      </c>
      <c r="B10816" t="s">
        <v>33891</v>
      </c>
      <c r="C10816" t="s">
        <v>33892</v>
      </c>
      <c r="D10816" t="s">
        <v>33893</v>
      </c>
      <c r="E10816" t="s">
        <v>33894</v>
      </c>
      <c r="F10816" t="s">
        <v>33895</v>
      </c>
      <c r="G10816" s="2" t="str">
        <f>HYPERLINK("https://probpalata.gov.ru/files/ИП560603595100000.jpeg","Скачать индивидуальный QR-код магазина")</f>
        <v>Скачать индивидуальный QR-код магазина</v>
      </c>
    </row>
    <row r="10817" spans="1:7" x14ac:dyDescent="0.25">
      <c r="A10817" t="s">
        <v>33432</v>
      </c>
      <c r="B10817" t="s">
        <v>33896</v>
      </c>
      <c r="C10817" t="s">
        <v>33897</v>
      </c>
      <c r="D10817" t="s">
        <v>33898</v>
      </c>
      <c r="E10817" t="s">
        <v>33899</v>
      </c>
      <c r="F10817" t="s">
        <v>33900</v>
      </c>
      <c r="G10817" s="2" t="str">
        <f>HYPERLINK("https://probpalata.gov.ru/files/ИП560600506400000.jpeg","Скачать индивидуальный QR-код магазина")</f>
        <v>Скачать индивидуальный QR-код магазина</v>
      </c>
    </row>
    <row r="10818" spans="1:7" x14ac:dyDescent="0.25">
      <c r="A10818" t="s">
        <v>33432</v>
      </c>
      <c r="B10818" t="s">
        <v>33901</v>
      </c>
      <c r="C10818" t="s">
        <v>33902</v>
      </c>
      <c r="D10818" t="s">
        <v>33903</v>
      </c>
      <c r="E10818" t="s">
        <v>33904</v>
      </c>
      <c r="F10818" t="s">
        <v>33905</v>
      </c>
      <c r="G10818" s="2" t="str">
        <f>HYPERLINK("https://probpalata.gov.ru/files/ИП560600184100000.jpeg","Скачать индивидуальный QR-код магазина")</f>
        <v>Скачать индивидуальный QR-код магазина</v>
      </c>
    </row>
    <row r="10819" spans="1:7" x14ac:dyDescent="0.25">
      <c r="A10819" t="s">
        <v>33432</v>
      </c>
      <c r="B10819" t="s">
        <v>33906</v>
      </c>
      <c r="C10819" t="s">
        <v>33907</v>
      </c>
      <c r="D10819" t="s">
        <v>33908</v>
      </c>
      <c r="E10819" t="s">
        <v>33909</v>
      </c>
      <c r="F10819" t="s">
        <v>33910</v>
      </c>
      <c r="G10819" s="2" t="str">
        <f>HYPERLINK("https://probpalata.gov.ru/files/ИП560600184000000.jpeg","Скачать индивидуальный QR-код магазина")</f>
        <v>Скачать индивидуальный QR-код магазина</v>
      </c>
    </row>
    <row r="10820" spans="1:7" x14ac:dyDescent="0.25">
      <c r="A10820" t="s">
        <v>33432</v>
      </c>
      <c r="B10820" t="s">
        <v>33911</v>
      </c>
      <c r="C10820" t="s">
        <v>33912</v>
      </c>
      <c r="D10820" t="s">
        <v>33913</v>
      </c>
      <c r="E10820" t="s">
        <v>33914</v>
      </c>
      <c r="F10820" t="s">
        <v>33915</v>
      </c>
      <c r="G10820" s="2" t="str">
        <f>HYPERLINK("https://probpalata.gov.ru/files/ЮЛ560601949500000.jpeg","Скачать индивидуальный QR-код магазина")</f>
        <v>Скачать индивидуальный QR-код магазина</v>
      </c>
    </row>
    <row r="10821" spans="1:7" x14ac:dyDescent="0.25">
      <c r="A10821" t="s">
        <v>33432</v>
      </c>
      <c r="B10821" t="s">
        <v>33916</v>
      </c>
      <c r="C10821" t="s">
        <v>33912</v>
      </c>
      <c r="D10821" t="s">
        <v>33913</v>
      </c>
      <c r="E10821" t="s">
        <v>33914</v>
      </c>
      <c r="F10821" t="s">
        <v>33917</v>
      </c>
      <c r="G10821" s="2" t="str">
        <f>HYPERLINK("https://probpalata.gov.ru/files/ЮЛ560601949500001.jpeg","Скачать индивидуальный QR-код магазина")</f>
        <v>Скачать индивидуальный QR-код магазина</v>
      </c>
    </row>
    <row r="10822" spans="1:7" x14ac:dyDescent="0.25">
      <c r="A10822" t="s">
        <v>33432</v>
      </c>
      <c r="B10822" t="s">
        <v>33918</v>
      </c>
      <c r="C10822" t="s">
        <v>33919</v>
      </c>
      <c r="D10822" t="s">
        <v>33920</v>
      </c>
      <c r="E10822" t="s">
        <v>33921</v>
      </c>
      <c r="F10822" t="s">
        <v>33922</v>
      </c>
      <c r="G10822" s="2" t="str">
        <f>HYPERLINK("https://probpalata.gov.ru/files/ИП560600141800000.jpeg","Скачать индивидуальный QR-код магазина")</f>
        <v>Скачать индивидуальный QR-код магазина</v>
      </c>
    </row>
    <row r="10823" spans="1:7" x14ac:dyDescent="0.25">
      <c r="A10823" t="s">
        <v>33432</v>
      </c>
      <c r="B10823" t="s">
        <v>33923</v>
      </c>
      <c r="C10823" t="s">
        <v>33924</v>
      </c>
      <c r="D10823" t="s">
        <v>33925</v>
      </c>
      <c r="E10823" t="s">
        <v>33926</v>
      </c>
      <c r="F10823" t="s">
        <v>33927</v>
      </c>
      <c r="G10823" s="2" t="str">
        <f>HYPERLINK("https://probpalata.gov.ru/files/ЮЛ560600793100000.jpeg","Скачать индивидуальный QR-код магазина")</f>
        <v>Скачать индивидуальный QR-код магазина</v>
      </c>
    </row>
    <row r="10824" spans="1:7" x14ac:dyDescent="0.25">
      <c r="A10824" t="s">
        <v>33432</v>
      </c>
      <c r="B10824" t="s">
        <v>33928</v>
      </c>
      <c r="C10824" t="s">
        <v>33929</v>
      </c>
      <c r="D10824" t="s">
        <v>33930</v>
      </c>
      <c r="E10824" t="s">
        <v>33931</v>
      </c>
      <c r="F10824" t="s">
        <v>33932</v>
      </c>
      <c r="G10824" s="2" t="str">
        <f>HYPERLINK("https://probpalata.gov.ru/files/ИП560600920900000.jpeg","Скачать индивидуальный QR-код магазина")</f>
        <v>Скачать индивидуальный QR-код магазина</v>
      </c>
    </row>
    <row r="10825" spans="1:7" x14ac:dyDescent="0.25">
      <c r="A10825" t="s">
        <v>33432</v>
      </c>
      <c r="B10825" t="s">
        <v>33933</v>
      </c>
      <c r="C10825" t="s">
        <v>33934</v>
      </c>
      <c r="D10825" t="s">
        <v>33935</v>
      </c>
      <c r="E10825" t="s">
        <v>33936</v>
      </c>
      <c r="F10825" t="s">
        <v>33937</v>
      </c>
      <c r="G10825" s="2" t="str">
        <f>HYPERLINK("https://probpalata.gov.ru/files/ИП560600033600000.jpeg","Скачать индивидуальный QR-код магазина")</f>
        <v>Скачать индивидуальный QR-код магазина</v>
      </c>
    </row>
    <row r="10826" spans="1:7" x14ac:dyDescent="0.25">
      <c r="A10826" t="s">
        <v>33432</v>
      </c>
      <c r="B10826" t="s">
        <v>33938</v>
      </c>
      <c r="C10826" t="s">
        <v>33939</v>
      </c>
      <c r="D10826" t="s">
        <v>33940</v>
      </c>
      <c r="E10826" t="s">
        <v>33941</v>
      </c>
      <c r="F10826" t="s">
        <v>33942</v>
      </c>
      <c r="G10826" s="2" t="str">
        <f>HYPERLINK("https://probpalata.gov.ru/files/ИП560600364800000.jpeg","Скачать индивидуальный QR-код магазина")</f>
        <v>Скачать индивидуальный QR-код магазина</v>
      </c>
    </row>
    <row r="10827" spans="1:7" x14ac:dyDescent="0.25">
      <c r="A10827" t="s">
        <v>33432</v>
      </c>
      <c r="B10827" t="s">
        <v>33943</v>
      </c>
      <c r="C10827" t="s">
        <v>33944</v>
      </c>
      <c r="D10827" t="s">
        <v>33945</v>
      </c>
      <c r="E10827" t="s">
        <v>33946</v>
      </c>
      <c r="F10827" t="s">
        <v>33947</v>
      </c>
      <c r="G10827" s="2" t="str">
        <f>HYPERLINK("https://probpalata.gov.ru/files/ЮЛ630603235300014.jpeg","Скачать индивидуальный QR-код магазина")</f>
        <v>Скачать индивидуальный QR-код магазина</v>
      </c>
    </row>
    <row r="10828" spans="1:7" x14ac:dyDescent="0.25">
      <c r="A10828" t="s">
        <v>33432</v>
      </c>
      <c r="B10828" t="s">
        <v>33948</v>
      </c>
      <c r="C10828" t="s">
        <v>33949</v>
      </c>
      <c r="D10828" t="s">
        <v>33950</v>
      </c>
      <c r="E10828" t="s">
        <v>33951</v>
      </c>
      <c r="F10828" t="s">
        <v>33952</v>
      </c>
      <c r="G10828" s="2" t="str">
        <f>HYPERLINK("https://probpalata.gov.ru/files/ИП630603381400000.jpeg","Скачать индивидуальный QR-код магазина")</f>
        <v>Скачать индивидуальный QR-код магазина</v>
      </c>
    </row>
    <row r="10829" spans="1:7" x14ac:dyDescent="0.25">
      <c r="A10829" t="s">
        <v>33432</v>
      </c>
      <c r="B10829" t="s">
        <v>33501</v>
      </c>
      <c r="C10829" t="s">
        <v>2197</v>
      </c>
      <c r="D10829" t="s">
        <v>2198</v>
      </c>
      <c r="E10829" t="s">
        <v>2199</v>
      </c>
      <c r="F10829" t="s">
        <v>33953</v>
      </c>
      <c r="G10829" s="2" t="str">
        <f>HYPERLINK("https://probpalata.gov.ru/files/ИП630601425400002.jpeg","Скачать индивидуальный QR-код магазина")</f>
        <v>Скачать индивидуальный QR-код магазина</v>
      </c>
    </row>
    <row r="10830" spans="1:7" x14ac:dyDescent="0.25">
      <c r="A10830" t="s">
        <v>33432</v>
      </c>
      <c r="B10830" t="s">
        <v>33954</v>
      </c>
      <c r="C10830" t="s">
        <v>2197</v>
      </c>
      <c r="D10830" t="s">
        <v>2198</v>
      </c>
      <c r="E10830" t="s">
        <v>2199</v>
      </c>
      <c r="F10830" t="s">
        <v>33955</v>
      </c>
      <c r="G10830" s="2" t="str">
        <f>HYPERLINK("https://probpalata.gov.ru/files/ИП630601425400014.jpeg","Скачать индивидуальный QR-код магазина")</f>
        <v>Скачать индивидуальный QR-код магазина</v>
      </c>
    </row>
    <row r="10831" spans="1:7" x14ac:dyDescent="0.25">
      <c r="A10831" t="s">
        <v>33432</v>
      </c>
      <c r="B10831" t="s">
        <v>33878</v>
      </c>
      <c r="C10831" t="s">
        <v>2197</v>
      </c>
      <c r="D10831" t="s">
        <v>2198</v>
      </c>
      <c r="E10831" t="s">
        <v>2199</v>
      </c>
      <c r="F10831" t="s">
        <v>33956</v>
      </c>
      <c r="G10831" s="2" t="str">
        <f>HYPERLINK("https://probpalata.gov.ru/files/ИП630601425400030.jpeg","Скачать индивидуальный QR-код магазина")</f>
        <v>Скачать индивидуальный QR-код магазина</v>
      </c>
    </row>
    <row r="10832" spans="1:7" x14ac:dyDescent="0.25">
      <c r="A10832" t="s">
        <v>33432</v>
      </c>
      <c r="B10832" t="s">
        <v>33957</v>
      </c>
      <c r="C10832" t="s">
        <v>2197</v>
      </c>
      <c r="D10832" t="s">
        <v>2198</v>
      </c>
      <c r="E10832" t="s">
        <v>2199</v>
      </c>
      <c r="F10832" t="s">
        <v>33958</v>
      </c>
      <c r="G10832" s="2" t="str">
        <f>HYPERLINK("https://probpalata.gov.ru/files/ИП630601425400038.jpeg","Скачать индивидуальный QR-код магазина")</f>
        <v>Скачать индивидуальный QR-код магазина</v>
      </c>
    </row>
    <row r="10833" spans="1:7" x14ac:dyDescent="0.25">
      <c r="A10833" t="s">
        <v>33432</v>
      </c>
      <c r="B10833" t="s">
        <v>33959</v>
      </c>
      <c r="C10833" t="s">
        <v>2197</v>
      </c>
      <c r="D10833" t="s">
        <v>2198</v>
      </c>
      <c r="E10833" t="s">
        <v>2199</v>
      </c>
      <c r="F10833" t="s">
        <v>33960</v>
      </c>
      <c r="G10833" s="2" t="str">
        <f>HYPERLINK("https://probpalata.gov.ru/files/ИП630601425400105.jpeg","Скачать индивидуальный QR-код магазина")</f>
        <v>Скачать индивидуальный QR-код магазина</v>
      </c>
    </row>
    <row r="10834" spans="1:7" x14ac:dyDescent="0.25">
      <c r="A10834" t="s">
        <v>33432</v>
      </c>
      <c r="B10834" t="s">
        <v>33478</v>
      </c>
      <c r="C10834" t="s">
        <v>2197</v>
      </c>
      <c r="D10834" t="s">
        <v>2198</v>
      </c>
      <c r="E10834" t="s">
        <v>2199</v>
      </c>
      <c r="F10834" t="s">
        <v>33961</v>
      </c>
      <c r="G10834" s="2" t="str">
        <f>HYPERLINK("https://probpalata.gov.ru/files/ИП630601425400107.jpeg","Скачать индивидуальный QR-код магазина")</f>
        <v>Скачать индивидуальный QR-код магазина</v>
      </c>
    </row>
    <row r="10835" spans="1:7" x14ac:dyDescent="0.25">
      <c r="A10835" t="s">
        <v>33432</v>
      </c>
      <c r="B10835" t="s">
        <v>33962</v>
      </c>
      <c r="C10835" t="s">
        <v>2197</v>
      </c>
      <c r="D10835" t="s">
        <v>2198</v>
      </c>
      <c r="E10835" t="s">
        <v>2199</v>
      </c>
      <c r="F10835" t="s">
        <v>33963</v>
      </c>
      <c r="G10835" s="2" t="str">
        <f>HYPERLINK("https://probpalata.gov.ru/files/ИП630601425400121.jpeg","Скачать индивидуальный QR-код магазина")</f>
        <v>Скачать индивидуальный QR-код магазина</v>
      </c>
    </row>
    <row r="10836" spans="1:7" x14ac:dyDescent="0.25">
      <c r="A10836" t="s">
        <v>33432</v>
      </c>
      <c r="B10836" t="s">
        <v>33964</v>
      </c>
      <c r="C10836" t="s">
        <v>33965</v>
      </c>
      <c r="D10836" t="s">
        <v>33966</v>
      </c>
      <c r="E10836" t="s">
        <v>33967</v>
      </c>
      <c r="F10836" t="s">
        <v>33968</v>
      </c>
      <c r="G10836" s="2" t="str">
        <f>HYPERLINK("https://probpalata.gov.ru/files/ИП630600550300005.jpeg","Скачать индивидуальный QR-код магазина")</f>
        <v>Скачать индивидуальный QR-код магазина</v>
      </c>
    </row>
    <row r="10837" spans="1:7" x14ac:dyDescent="0.25">
      <c r="A10837" t="s">
        <v>33432</v>
      </c>
      <c r="B10837" t="s">
        <v>33969</v>
      </c>
      <c r="C10837" t="s">
        <v>33965</v>
      </c>
      <c r="D10837" t="s">
        <v>33966</v>
      </c>
      <c r="E10837" t="s">
        <v>33967</v>
      </c>
      <c r="F10837" t="s">
        <v>33970</v>
      </c>
      <c r="G10837" s="2" t="str">
        <f>HYPERLINK("https://probpalata.gov.ru/files/ИП630600550300014.jpeg","Скачать индивидуальный QR-код магазина")</f>
        <v>Скачать индивидуальный QR-код магазина</v>
      </c>
    </row>
    <row r="10838" spans="1:7" x14ac:dyDescent="0.25">
      <c r="A10838" t="s">
        <v>33432</v>
      </c>
      <c r="B10838" t="s">
        <v>33971</v>
      </c>
      <c r="C10838" t="s">
        <v>33965</v>
      </c>
      <c r="D10838" t="s">
        <v>33966</v>
      </c>
      <c r="E10838" t="s">
        <v>33967</v>
      </c>
      <c r="F10838" t="s">
        <v>33972</v>
      </c>
      <c r="G10838" s="2" t="str">
        <f>HYPERLINK("https://probpalata.gov.ru/files/ИП630600550300015.jpeg","Скачать индивидуальный QR-код магазина")</f>
        <v>Скачать индивидуальный QR-код магазина</v>
      </c>
    </row>
    <row r="10839" spans="1:7" x14ac:dyDescent="0.25">
      <c r="A10839" t="s">
        <v>33432</v>
      </c>
      <c r="B10839" t="s">
        <v>33973</v>
      </c>
      <c r="C10839" t="s">
        <v>33965</v>
      </c>
      <c r="D10839" t="s">
        <v>33966</v>
      </c>
      <c r="E10839" t="s">
        <v>33967</v>
      </c>
      <c r="F10839" t="s">
        <v>33974</v>
      </c>
      <c r="G10839" s="2" t="str">
        <f>HYPERLINK("https://probpalata.gov.ru/files/ИП630600550300016.jpeg","Скачать индивидуальный QR-код магазина")</f>
        <v>Скачать индивидуальный QR-код магазина</v>
      </c>
    </row>
    <row r="10840" spans="1:7" x14ac:dyDescent="0.25">
      <c r="A10840" t="s">
        <v>33432</v>
      </c>
      <c r="B10840" t="s">
        <v>33975</v>
      </c>
      <c r="C10840" t="s">
        <v>3828</v>
      </c>
      <c r="D10840" t="s">
        <v>3829</v>
      </c>
      <c r="E10840" t="s">
        <v>3830</v>
      </c>
      <c r="F10840" t="s">
        <v>33976</v>
      </c>
      <c r="G10840" s="2" t="str">
        <f>HYPERLINK("https://probpalata.gov.ru/files/ЮЛ630603373600032.jpeg","Скачать индивидуальный QR-код магазина")</f>
        <v>Скачать индивидуальный QR-код магазина</v>
      </c>
    </row>
    <row r="10841" spans="1:7" x14ac:dyDescent="0.25">
      <c r="A10841" t="s">
        <v>33432</v>
      </c>
      <c r="B10841" t="s">
        <v>33803</v>
      </c>
      <c r="C10841" t="s">
        <v>3828</v>
      </c>
      <c r="D10841" t="s">
        <v>3829</v>
      </c>
      <c r="E10841" t="s">
        <v>3830</v>
      </c>
      <c r="F10841" t="s">
        <v>33977</v>
      </c>
      <c r="G10841" s="2" t="str">
        <f>HYPERLINK("https://probpalata.gov.ru/files/ЮЛ630603373600033.jpeg","Скачать индивидуальный QR-код магазина")</f>
        <v>Скачать индивидуальный QR-код магазина</v>
      </c>
    </row>
    <row r="10842" spans="1:7" x14ac:dyDescent="0.25">
      <c r="A10842" t="s">
        <v>33432</v>
      </c>
      <c r="B10842" t="s">
        <v>33978</v>
      </c>
      <c r="C10842" t="s">
        <v>3828</v>
      </c>
      <c r="D10842" t="s">
        <v>3829</v>
      </c>
      <c r="E10842" t="s">
        <v>3830</v>
      </c>
      <c r="F10842" t="s">
        <v>33979</v>
      </c>
      <c r="G10842" s="2" t="str">
        <f>HYPERLINK("https://probpalata.gov.ru/files/ЮЛ630603373600036.jpeg","Скачать индивидуальный QR-код магазина")</f>
        <v>Скачать индивидуальный QR-код магазина</v>
      </c>
    </row>
    <row r="10843" spans="1:7" x14ac:dyDescent="0.25">
      <c r="A10843" t="s">
        <v>33432</v>
      </c>
      <c r="B10843" t="s">
        <v>33980</v>
      </c>
      <c r="C10843" t="s">
        <v>3828</v>
      </c>
      <c r="D10843" t="s">
        <v>3829</v>
      </c>
      <c r="E10843" t="s">
        <v>3830</v>
      </c>
      <c r="F10843" t="s">
        <v>33981</v>
      </c>
      <c r="G10843" s="2" t="str">
        <f>HYPERLINK("https://probpalata.gov.ru/files/ЮЛ630603373600079.jpeg","Скачать индивидуальный QR-код магазина")</f>
        <v>Скачать индивидуальный QR-код магазина</v>
      </c>
    </row>
    <row r="10844" spans="1:7" x14ac:dyDescent="0.25">
      <c r="A10844" t="s">
        <v>33432</v>
      </c>
      <c r="B10844" t="s">
        <v>33982</v>
      </c>
      <c r="C10844" t="s">
        <v>3828</v>
      </c>
      <c r="D10844" t="s">
        <v>3829</v>
      </c>
      <c r="E10844" t="s">
        <v>3830</v>
      </c>
      <c r="F10844" t="s">
        <v>33983</v>
      </c>
      <c r="G10844" s="2" t="str">
        <f>HYPERLINK("https://probpalata.gov.ru/files/ЮЛ630603373600080.jpeg","Скачать индивидуальный QR-код магазина")</f>
        <v>Скачать индивидуальный QR-код магазина</v>
      </c>
    </row>
    <row r="10845" spans="1:7" x14ac:dyDescent="0.25">
      <c r="A10845" t="s">
        <v>33432</v>
      </c>
      <c r="B10845" t="s">
        <v>33984</v>
      </c>
      <c r="C10845" t="s">
        <v>2204</v>
      </c>
      <c r="D10845" t="s">
        <v>2205</v>
      </c>
      <c r="E10845" t="s">
        <v>2206</v>
      </c>
      <c r="F10845" t="s">
        <v>33985</v>
      </c>
      <c r="G10845" s="2" t="str">
        <f>HYPERLINK("https://probpalata.gov.ru/files/ЮЛ630603037200001.jpeg","Скачать индивидуальный QR-код магазина")</f>
        <v>Скачать индивидуальный QR-код магазина</v>
      </c>
    </row>
    <row r="10846" spans="1:7" x14ac:dyDescent="0.25">
      <c r="A10846" t="s">
        <v>33432</v>
      </c>
      <c r="B10846" t="s">
        <v>33986</v>
      </c>
      <c r="C10846" t="s">
        <v>2204</v>
      </c>
      <c r="D10846" t="s">
        <v>2205</v>
      </c>
      <c r="E10846" t="s">
        <v>2206</v>
      </c>
      <c r="F10846" t="s">
        <v>33987</v>
      </c>
      <c r="G10846" s="2" t="str">
        <f>HYPERLINK("https://probpalata.gov.ru/files/ЮЛ630603037200002.jpeg","Скачать индивидуальный QR-код магазина")</f>
        <v>Скачать индивидуальный QR-код магазина</v>
      </c>
    </row>
    <row r="10847" spans="1:7" x14ac:dyDescent="0.25">
      <c r="A10847" t="s">
        <v>33432</v>
      </c>
      <c r="B10847" t="s">
        <v>33988</v>
      </c>
      <c r="C10847" t="s">
        <v>2204</v>
      </c>
      <c r="D10847" t="s">
        <v>2205</v>
      </c>
      <c r="E10847" t="s">
        <v>2206</v>
      </c>
      <c r="F10847" t="s">
        <v>33989</v>
      </c>
      <c r="G10847" s="2" t="str">
        <f>HYPERLINK("https://probpalata.gov.ru/files/ЮЛ630603037200006.jpeg","Скачать индивидуальный QR-код магазина")</f>
        <v>Скачать индивидуальный QR-код магазина</v>
      </c>
    </row>
    <row r="10848" spans="1:7" x14ac:dyDescent="0.25">
      <c r="A10848" t="s">
        <v>33432</v>
      </c>
      <c r="B10848" t="s">
        <v>33990</v>
      </c>
      <c r="C10848" t="s">
        <v>2204</v>
      </c>
      <c r="D10848" t="s">
        <v>2205</v>
      </c>
      <c r="E10848" t="s">
        <v>2206</v>
      </c>
      <c r="F10848" t="s">
        <v>33991</v>
      </c>
      <c r="G10848" s="2" t="str">
        <f>HYPERLINK("https://probpalata.gov.ru/files/ЮЛ630603037200007.jpeg","Скачать индивидуальный QR-код магазина")</f>
        <v>Скачать индивидуальный QR-код магазина</v>
      </c>
    </row>
    <row r="10849" spans="1:7" x14ac:dyDescent="0.25">
      <c r="A10849" t="s">
        <v>33432</v>
      </c>
      <c r="B10849" t="s">
        <v>33992</v>
      </c>
      <c r="C10849" t="s">
        <v>2204</v>
      </c>
      <c r="D10849" t="s">
        <v>2205</v>
      </c>
      <c r="E10849" t="s">
        <v>2206</v>
      </c>
      <c r="F10849" t="s">
        <v>33993</v>
      </c>
      <c r="G10849" s="2" t="str">
        <f>HYPERLINK("https://probpalata.gov.ru/files/ЮЛ630603037200013.jpeg","Скачать индивидуальный QR-код магазина")</f>
        <v>Скачать индивидуальный QR-код магазина</v>
      </c>
    </row>
    <row r="10850" spans="1:7" x14ac:dyDescent="0.25">
      <c r="A10850" t="s">
        <v>33432</v>
      </c>
      <c r="B10850" t="s">
        <v>33994</v>
      </c>
      <c r="C10850" t="s">
        <v>2204</v>
      </c>
      <c r="D10850" t="s">
        <v>2205</v>
      </c>
      <c r="E10850" t="s">
        <v>2206</v>
      </c>
      <c r="F10850" t="s">
        <v>33995</v>
      </c>
      <c r="G10850" s="2" t="str">
        <f>HYPERLINK("https://probpalata.gov.ru/files/ЮЛ630603037200020.jpeg","Скачать индивидуальный QR-код магазина")</f>
        <v>Скачать индивидуальный QR-код магазина</v>
      </c>
    </row>
    <row r="10851" spans="1:7" x14ac:dyDescent="0.25">
      <c r="A10851" t="s">
        <v>33432</v>
      </c>
      <c r="B10851" t="s">
        <v>33996</v>
      </c>
      <c r="C10851" t="s">
        <v>2204</v>
      </c>
      <c r="D10851" t="s">
        <v>2205</v>
      </c>
      <c r="E10851" t="s">
        <v>2206</v>
      </c>
      <c r="F10851" t="s">
        <v>33997</v>
      </c>
      <c r="G10851" s="2" t="str">
        <f>HYPERLINK("https://probpalata.gov.ru/files/ЮЛ630603037200061.jpeg","Скачать индивидуальный QR-код магазина")</f>
        <v>Скачать индивидуальный QR-код магазина</v>
      </c>
    </row>
    <row r="10852" spans="1:7" x14ac:dyDescent="0.25">
      <c r="A10852" t="s">
        <v>33432</v>
      </c>
      <c r="B10852" t="s">
        <v>33998</v>
      </c>
      <c r="C10852" t="s">
        <v>2204</v>
      </c>
      <c r="D10852" t="s">
        <v>2205</v>
      </c>
      <c r="E10852" t="s">
        <v>2206</v>
      </c>
      <c r="F10852" t="s">
        <v>33999</v>
      </c>
      <c r="G10852" s="2" t="str">
        <f>HYPERLINK("https://probpalata.gov.ru/files/ЮЛ630603037200062.jpeg","Скачать индивидуальный QR-код магазина")</f>
        <v>Скачать индивидуальный QR-код магазина</v>
      </c>
    </row>
    <row r="10853" spans="1:7" x14ac:dyDescent="0.25">
      <c r="A10853" t="s">
        <v>33432</v>
      </c>
      <c r="B10853" t="s">
        <v>34000</v>
      </c>
      <c r="C10853" t="s">
        <v>2204</v>
      </c>
      <c r="D10853" t="s">
        <v>2205</v>
      </c>
      <c r="E10853" t="s">
        <v>2206</v>
      </c>
      <c r="F10853" t="s">
        <v>34001</v>
      </c>
      <c r="G10853" s="2" t="str">
        <f>HYPERLINK("https://probpalata.gov.ru/files/ЮЛ630603037200073.jpeg","Скачать индивидуальный QR-код магазина")</f>
        <v>Скачать индивидуальный QR-код магазина</v>
      </c>
    </row>
    <row r="10854" spans="1:7" x14ac:dyDescent="0.25">
      <c r="A10854" t="s">
        <v>33432</v>
      </c>
      <c r="B10854" t="s">
        <v>34002</v>
      </c>
      <c r="C10854" t="s">
        <v>2204</v>
      </c>
      <c r="D10854" t="s">
        <v>2205</v>
      </c>
      <c r="E10854" t="s">
        <v>2206</v>
      </c>
      <c r="F10854" t="s">
        <v>34003</v>
      </c>
      <c r="G10854" s="2" t="str">
        <f>HYPERLINK("https://probpalata.gov.ru/files/ЮЛ630603037200087.jpeg","Скачать индивидуальный QR-код магазина")</f>
        <v>Скачать индивидуальный QR-код магазина</v>
      </c>
    </row>
    <row r="10855" spans="1:7" x14ac:dyDescent="0.25">
      <c r="A10855" t="s">
        <v>33432</v>
      </c>
      <c r="B10855" t="s">
        <v>33587</v>
      </c>
      <c r="C10855" t="s">
        <v>2204</v>
      </c>
      <c r="D10855" t="s">
        <v>2205</v>
      </c>
      <c r="E10855" t="s">
        <v>2206</v>
      </c>
      <c r="F10855" t="s">
        <v>34004</v>
      </c>
      <c r="G10855" s="2" t="str">
        <f>HYPERLINK("https://probpalata.gov.ru/files/ЮЛ630603037200107.jpeg","Скачать индивидуальный QR-код магазина")</f>
        <v>Скачать индивидуальный QR-код магазина</v>
      </c>
    </row>
    <row r="10856" spans="1:7" x14ac:dyDescent="0.25">
      <c r="A10856" t="s">
        <v>33432</v>
      </c>
      <c r="B10856" t="s">
        <v>34005</v>
      </c>
      <c r="C10856" t="s">
        <v>2204</v>
      </c>
      <c r="D10856" t="s">
        <v>2205</v>
      </c>
      <c r="E10856" t="s">
        <v>2206</v>
      </c>
      <c r="F10856" t="s">
        <v>34006</v>
      </c>
      <c r="G10856" s="2" t="str">
        <f>HYPERLINK("https://probpalata.gov.ru/files/ЮЛ630603037200108.jpeg","Скачать индивидуальный QR-код магазина")</f>
        <v>Скачать индивидуальный QR-код магазина</v>
      </c>
    </row>
    <row r="10857" spans="1:7" x14ac:dyDescent="0.25">
      <c r="A10857" t="s">
        <v>33432</v>
      </c>
      <c r="B10857" t="s">
        <v>34007</v>
      </c>
      <c r="C10857" t="s">
        <v>2204</v>
      </c>
      <c r="D10857" t="s">
        <v>2205</v>
      </c>
      <c r="E10857" t="s">
        <v>2206</v>
      </c>
      <c r="F10857" t="s">
        <v>34008</v>
      </c>
      <c r="G10857" s="2" t="str">
        <f>HYPERLINK("https://probpalata.gov.ru/files/ЮЛ630603037200109.jpeg","Скачать индивидуальный QR-код магазина")</f>
        <v>Скачать индивидуальный QR-код магазина</v>
      </c>
    </row>
    <row r="10858" spans="1:7" x14ac:dyDescent="0.25">
      <c r="A10858" t="s">
        <v>33432</v>
      </c>
      <c r="B10858" t="s">
        <v>34009</v>
      </c>
      <c r="C10858" t="s">
        <v>7965</v>
      </c>
      <c r="D10858" t="s">
        <v>7966</v>
      </c>
      <c r="E10858" t="s">
        <v>7967</v>
      </c>
      <c r="F10858" t="s">
        <v>34010</v>
      </c>
      <c r="G10858" s="2" t="str">
        <f>HYPERLINK("https://probpalata.gov.ru/files/ЮЛ660700070800132.jpeg","Скачать индивидуальный QR-код магазина")</f>
        <v>Скачать индивидуальный QR-код магазина</v>
      </c>
    </row>
    <row r="10859" spans="1:7" x14ac:dyDescent="0.25">
      <c r="A10859" t="s">
        <v>33432</v>
      </c>
      <c r="B10859" t="s">
        <v>34011</v>
      </c>
      <c r="C10859" t="s">
        <v>34012</v>
      </c>
      <c r="D10859" t="s">
        <v>34013</v>
      </c>
      <c r="E10859" t="s">
        <v>34014</v>
      </c>
      <c r="F10859" t="s">
        <v>34015</v>
      </c>
      <c r="G10859" s="2" t="str">
        <f>HYPERLINK("https://probpalata.gov.ru/files/ИП560604014200000.jpeg","Скачать индивидуальный QR-код магазина")</f>
        <v>Скачать индивидуальный QR-код магазина</v>
      </c>
    </row>
    <row r="10860" spans="1:7" x14ac:dyDescent="0.25">
      <c r="A10860" t="s">
        <v>33432</v>
      </c>
      <c r="B10860" t="s">
        <v>34016</v>
      </c>
      <c r="C10860" t="s">
        <v>21065</v>
      </c>
      <c r="D10860" t="s">
        <v>21066</v>
      </c>
      <c r="E10860" t="s">
        <v>21067</v>
      </c>
      <c r="F10860" t="s">
        <v>34017</v>
      </c>
      <c r="G10860" s="2" t="str">
        <f>HYPERLINK("https://probpalata.gov.ru/files/ЮЛ770100826401134.jpeg","Скачать индивидуальный QR-код магазина")</f>
        <v>Скачать индивидуальный QR-код магазина</v>
      </c>
    </row>
    <row r="10861" spans="1:7" x14ac:dyDescent="0.25">
      <c r="A10861" t="s">
        <v>33432</v>
      </c>
      <c r="B10861" t="s">
        <v>34018</v>
      </c>
      <c r="C10861" t="s">
        <v>3157</v>
      </c>
      <c r="D10861" t="s">
        <v>3158</v>
      </c>
      <c r="E10861" t="s">
        <v>3159</v>
      </c>
      <c r="F10861" t="s">
        <v>34019</v>
      </c>
      <c r="G10861" s="2" t="str">
        <f>HYPERLINK("https://probpalata.gov.ru/files/ИП770100417900030.jpeg","Скачать индивидуальный QR-код магазина")</f>
        <v>Скачать индивидуальный QR-код магазина</v>
      </c>
    </row>
    <row r="10862" spans="1:7" x14ac:dyDescent="0.25">
      <c r="A10862" t="s">
        <v>33432</v>
      </c>
      <c r="B10862" t="s">
        <v>34020</v>
      </c>
      <c r="C10862" t="s">
        <v>3157</v>
      </c>
      <c r="D10862" t="s">
        <v>3158</v>
      </c>
      <c r="E10862" t="s">
        <v>3159</v>
      </c>
      <c r="F10862" t="s">
        <v>34021</v>
      </c>
      <c r="G10862" s="2" t="str">
        <f>HYPERLINK("https://probpalata.gov.ru/files/ИП770100417900031.jpeg","Скачать индивидуальный QR-код магазина")</f>
        <v>Скачать индивидуальный QR-код магазина</v>
      </c>
    </row>
    <row r="10863" spans="1:7" x14ac:dyDescent="0.25">
      <c r="A10863" t="s">
        <v>33432</v>
      </c>
      <c r="B10863" t="s">
        <v>34022</v>
      </c>
      <c r="C10863" t="s">
        <v>3157</v>
      </c>
      <c r="D10863" t="s">
        <v>3158</v>
      </c>
      <c r="E10863" t="s">
        <v>3159</v>
      </c>
      <c r="F10863" t="s">
        <v>34023</v>
      </c>
      <c r="G10863" s="2" t="str">
        <f>HYPERLINK("https://probpalata.gov.ru/files/ИП770100417900034.jpeg","Скачать индивидуальный QR-код магазина")</f>
        <v>Скачать индивидуальный QR-код магазина</v>
      </c>
    </row>
    <row r="10864" spans="1:7" x14ac:dyDescent="0.25">
      <c r="A10864" t="s">
        <v>33432</v>
      </c>
      <c r="B10864" t="s">
        <v>34024</v>
      </c>
      <c r="C10864" t="s">
        <v>3157</v>
      </c>
      <c r="D10864" t="s">
        <v>3158</v>
      </c>
      <c r="E10864" t="s">
        <v>3159</v>
      </c>
      <c r="F10864" t="s">
        <v>34025</v>
      </c>
      <c r="G10864" s="2" t="str">
        <f>HYPERLINK("https://probpalata.gov.ru/files/ИП770100417900049.jpeg","Скачать индивидуальный QR-код магазина")</f>
        <v>Скачать индивидуальный QR-код магазина</v>
      </c>
    </row>
    <row r="10865" spans="1:7" x14ac:dyDescent="0.25">
      <c r="A10865" t="s">
        <v>33432</v>
      </c>
      <c r="B10865" t="s">
        <v>34026</v>
      </c>
      <c r="C10865" t="s">
        <v>713</v>
      </c>
      <c r="D10865" t="s">
        <v>714</v>
      </c>
      <c r="E10865" t="s">
        <v>715</v>
      </c>
      <c r="F10865" t="s">
        <v>34027</v>
      </c>
      <c r="G10865" s="2" t="str">
        <f>HYPERLINK("https://probpalata.gov.ru/files/ЮЛ770101216600107.jpeg","Скачать индивидуальный QR-код магазина")</f>
        <v>Скачать индивидуальный QR-код магазина</v>
      </c>
    </row>
    <row r="10866" spans="1:7" x14ac:dyDescent="0.25">
      <c r="A10866" t="s">
        <v>33432</v>
      </c>
      <c r="B10866" t="s">
        <v>34028</v>
      </c>
      <c r="C10866" t="s">
        <v>713</v>
      </c>
      <c r="D10866" t="s">
        <v>714</v>
      </c>
      <c r="E10866" t="s">
        <v>715</v>
      </c>
      <c r="F10866" t="s">
        <v>34029</v>
      </c>
      <c r="G10866" s="2" t="str">
        <f>HYPERLINK("https://probpalata.gov.ru/files/ЮЛ770101216600247.jpeg","Скачать индивидуальный QR-код магазина")</f>
        <v>Скачать индивидуальный QR-код магазина</v>
      </c>
    </row>
    <row r="10867" spans="1:7" x14ac:dyDescent="0.25">
      <c r="A10867" t="s">
        <v>33432</v>
      </c>
      <c r="B10867" t="s">
        <v>34030</v>
      </c>
      <c r="C10867" t="s">
        <v>713</v>
      </c>
      <c r="D10867" t="s">
        <v>714</v>
      </c>
      <c r="E10867" t="s">
        <v>715</v>
      </c>
      <c r="F10867" t="s">
        <v>34031</v>
      </c>
      <c r="G10867" s="2" t="str">
        <f>HYPERLINK("https://probpalata.gov.ru/files/ЮЛ770101216600311.jpeg","Скачать индивидуальный QR-код магазина")</f>
        <v>Скачать индивидуальный QR-код магазина</v>
      </c>
    </row>
    <row r="10868" spans="1:7" x14ac:dyDescent="0.25">
      <c r="A10868" t="s">
        <v>33432</v>
      </c>
      <c r="B10868" t="s">
        <v>34032</v>
      </c>
      <c r="C10868" t="s">
        <v>713</v>
      </c>
      <c r="D10868" t="s">
        <v>714</v>
      </c>
      <c r="E10868" t="s">
        <v>715</v>
      </c>
      <c r="F10868" t="s">
        <v>34033</v>
      </c>
      <c r="G10868" s="2" t="str">
        <f>HYPERLINK("https://probpalata.gov.ru/files/ЮЛ770101216600318.jpeg","Скачать индивидуальный QR-код магазина")</f>
        <v>Скачать индивидуальный QR-код магазина</v>
      </c>
    </row>
    <row r="10869" spans="1:7" x14ac:dyDescent="0.25">
      <c r="A10869" t="s">
        <v>33432</v>
      </c>
      <c r="B10869" t="s">
        <v>34034</v>
      </c>
      <c r="C10869" t="s">
        <v>713</v>
      </c>
      <c r="D10869" t="s">
        <v>714</v>
      </c>
      <c r="E10869" t="s">
        <v>715</v>
      </c>
      <c r="F10869" t="s">
        <v>34035</v>
      </c>
      <c r="G10869" s="2" t="str">
        <f>HYPERLINK("https://probpalata.gov.ru/files/ЮЛ770101216600340.jpeg","Скачать индивидуальный QR-код магазина")</f>
        <v>Скачать индивидуальный QR-код магазина</v>
      </c>
    </row>
    <row r="10870" spans="1:7" x14ac:dyDescent="0.25">
      <c r="A10870" t="s">
        <v>33432</v>
      </c>
      <c r="B10870" t="s">
        <v>34036</v>
      </c>
      <c r="C10870" t="s">
        <v>713</v>
      </c>
      <c r="D10870" t="s">
        <v>714</v>
      </c>
      <c r="E10870" t="s">
        <v>715</v>
      </c>
      <c r="F10870" t="s">
        <v>34037</v>
      </c>
      <c r="G10870" s="2" t="str">
        <f>HYPERLINK("https://probpalata.gov.ru/files/ЮЛ770101216600491.jpeg","Скачать индивидуальный QR-код магазина")</f>
        <v>Скачать индивидуальный QR-код магазина</v>
      </c>
    </row>
    <row r="10871" spans="1:7" x14ac:dyDescent="0.25">
      <c r="A10871" t="s">
        <v>33432</v>
      </c>
      <c r="B10871" t="s">
        <v>34038</v>
      </c>
      <c r="C10871" t="s">
        <v>713</v>
      </c>
      <c r="D10871" t="s">
        <v>714</v>
      </c>
      <c r="E10871" t="s">
        <v>715</v>
      </c>
      <c r="F10871" t="s">
        <v>34039</v>
      </c>
      <c r="G10871" s="2" t="str">
        <f>HYPERLINK("https://probpalata.gov.ru/files/ЮЛ770101216600494.jpeg","Скачать индивидуальный QR-код магазина")</f>
        <v>Скачать индивидуальный QR-код магазина</v>
      </c>
    </row>
    <row r="10872" spans="1:7" x14ac:dyDescent="0.25">
      <c r="A10872" t="s">
        <v>33432</v>
      </c>
      <c r="B10872" t="s">
        <v>34040</v>
      </c>
      <c r="C10872" t="s">
        <v>713</v>
      </c>
      <c r="D10872" t="s">
        <v>714</v>
      </c>
      <c r="E10872" t="s">
        <v>715</v>
      </c>
      <c r="F10872" t="s">
        <v>34041</v>
      </c>
      <c r="G10872" s="2" t="str">
        <f>HYPERLINK("https://probpalata.gov.ru/files/ЮЛ770101216600624.jpeg","Скачать индивидуальный QR-код магазина")</f>
        <v>Скачать индивидуальный QR-код магазина</v>
      </c>
    </row>
    <row r="10873" spans="1:7" x14ac:dyDescent="0.25">
      <c r="A10873" t="s">
        <v>33432</v>
      </c>
      <c r="B10873" t="s">
        <v>34042</v>
      </c>
      <c r="C10873" t="s">
        <v>713</v>
      </c>
      <c r="D10873" t="s">
        <v>714</v>
      </c>
      <c r="E10873" t="s">
        <v>715</v>
      </c>
      <c r="F10873" t="s">
        <v>34043</v>
      </c>
      <c r="G10873" s="2" t="str">
        <f>HYPERLINK("https://probpalata.gov.ru/files/ЮЛ770101216600653.jpeg","Скачать индивидуальный QR-код магазина")</f>
        <v>Скачать индивидуальный QR-код магазина</v>
      </c>
    </row>
    <row r="10874" spans="1:7" x14ac:dyDescent="0.25">
      <c r="A10874" t="s">
        <v>33432</v>
      </c>
      <c r="B10874" t="s">
        <v>34044</v>
      </c>
      <c r="C10874" t="s">
        <v>713</v>
      </c>
      <c r="D10874" t="s">
        <v>714</v>
      </c>
      <c r="E10874" t="s">
        <v>715</v>
      </c>
      <c r="F10874" t="s">
        <v>34045</v>
      </c>
      <c r="G10874" s="2" t="str">
        <f>HYPERLINK("https://probpalata.gov.ru/files/ЮЛ770101216600658.jpeg","Скачать индивидуальный QR-код магазина")</f>
        <v>Скачать индивидуальный QR-код магазина</v>
      </c>
    </row>
    <row r="10875" spans="1:7" x14ac:dyDescent="0.25">
      <c r="A10875" t="s">
        <v>33432</v>
      </c>
      <c r="B10875" t="s">
        <v>34046</v>
      </c>
      <c r="C10875" t="s">
        <v>713</v>
      </c>
      <c r="D10875" t="s">
        <v>714</v>
      </c>
      <c r="E10875" t="s">
        <v>715</v>
      </c>
      <c r="F10875" t="s">
        <v>34047</v>
      </c>
      <c r="G10875" s="2" t="str">
        <f>HYPERLINK("https://probpalata.gov.ru/files/ЮЛ770101216600661.jpeg","Скачать индивидуальный QR-код магазина")</f>
        <v>Скачать индивидуальный QR-код магазина</v>
      </c>
    </row>
    <row r="10876" spans="1:7" x14ac:dyDescent="0.25">
      <c r="A10876" t="s">
        <v>33432</v>
      </c>
      <c r="B10876" t="s">
        <v>34048</v>
      </c>
      <c r="C10876" t="s">
        <v>713</v>
      </c>
      <c r="D10876" t="s">
        <v>714</v>
      </c>
      <c r="E10876" t="s">
        <v>715</v>
      </c>
      <c r="F10876" t="s">
        <v>34049</v>
      </c>
      <c r="G10876" s="2" t="str">
        <f>HYPERLINK("https://probpalata.gov.ru/files/ЮЛ770101216600961.jpeg","Скачать индивидуальный QR-код магазина")</f>
        <v>Скачать индивидуальный QR-код магазина</v>
      </c>
    </row>
    <row r="10877" spans="1:7" x14ac:dyDescent="0.25">
      <c r="A10877" t="s">
        <v>33432</v>
      </c>
      <c r="B10877" t="s">
        <v>34050</v>
      </c>
      <c r="C10877" t="s">
        <v>748</v>
      </c>
      <c r="D10877" t="s">
        <v>749</v>
      </c>
      <c r="E10877" t="s">
        <v>750</v>
      </c>
      <c r="F10877" t="s">
        <v>34051</v>
      </c>
      <c r="G10877" s="2" t="str">
        <f>HYPERLINK("https://probpalata.gov.ru/files/ЮЛ770100193500211.jpeg","Скачать индивидуальный QR-код магазина")</f>
        <v>Скачать индивидуальный QR-код магазина</v>
      </c>
    </row>
    <row r="10878" spans="1:7" x14ac:dyDescent="0.25">
      <c r="A10878" t="s">
        <v>33432</v>
      </c>
      <c r="B10878" t="s">
        <v>34052</v>
      </c>
      <c r="C10878" t="s">
        <v>748</v>
      </c>
      <c r="D10878" t="s">
        <v>749</v>
      </c>
      <c r="E10878" t="s">
        <v>750</v>
      </c>
      <c r="F10878" t="s">
        <v>34053</v>
      </c>
      <c r="G10878" s="2" t="str">
        <f>HYPERLINK("https://probpalata.gov.ru/files/ЮЛ770100193500212.jpeg","Скачать индивидуальный QR-код магазина")</f>
        <v>Скачать индивидуальный QR-код магазина</v>
      </c>
    </row>
    <row r="10879" spans="1:7" x14ac:dyDescent="0.25">
      <c r="A10879" t="s">
        <v>33432</v>
      </c>
      <c r="B10879" t="s">
        <v>33581</v>
      </c>
      <c r="C10879" t="s">
        <v>748</v>
      </c>
      <c r="D10879" t="s">
        <v>749</v>
      </c>
      <c r="E10879" t="s">
        <v>750</v>
      </c>
      <c r="F10879" t="s">
        <v>34054</v>
      </c>
      <c r="G10879" s="2" t="str">
        <f>HYPERLINK("https://probpalata.gov.ru/files/ЮЛ770100193500213.jpeg","Скачать индивидуальный QR-код магазина")</f>
        <v>Скачать индивидуальный QR-код магазина</v>
      </c>
    </row>
    <row r="10880" spans="1:7" x14ac:dyDescent="0.25">
      <c r="A10880" t="s">
        <v>33432</v>
      </c>
      <c r="B10880" t="s">
        <v>34055</v>
      </c>
      <c r="C10880" t="s">
        <v>748</v>
      </c>
      <c r="D10880" t="s">
        <v>749</v>
      </c>
      <c r="E10880" t="s">
        <v>750</v>
      </c>
      <c r="F10880" t="s">
        <v>34056</v>
      </c>
      <c r="G10880" s="2" t="str">
        <f>HYPERLINK("https://probpalata.gov.ru/files/ЮЛ770100193500214.jpeg","Скачать индивидуальный QR-код магазина")</f>
        <v>Скачать индивидуальный QR-код магазина</v>
      </c>
    </row>
    <row r="10881" spans="1:7" x14ac:dyDescent="0.25">
      <c r="A10881" t="s">
        <v>33432</v>
      </c>
      <c r="B10881" t="s">
        <v>34057</v>
      </c>
      <c r="C10881" t="s">
        <v>748</v>
      </c>
      <c r="D10881" t="s">
        <v>749</v>
      </c>
      <c r="E10881" t="s">
        <v>750</v>
      </c>
      <c r="F10881" t="s">
        <v>34058</v>
      </c>
      <c r="G10881" s="2" t="str">
        <f>HYPERLINK("https://probpalata.gov.ru/files/ЮЛ770100193500487.jpeg","Скачать индивидуальный QR-код магазина")</f>
        <v>Скачать индивидуальный QR-код магазина</v>
      </c>
    </row>
    <row r="10882" spans="1:7" x14ac:dyDescent="0.25">
      <c r="A10882" t="s">
        <v>33432</v>
      </c>
      <c r="B10882" t="s">
        <v>34059</v>
      </c>
      <c r="C10882" t="s">
        <v>748</v>
      </c>
      <c r="D10882" t="s">
        <v>749</v>
      </c>
      <c r="E10882" t="s">
        <v>750</v>
      </c>
      <c r="F10882" t="s">
        <v>34060</v>
      </c>
      <c r="G10882" s="2" t="str">
        <f>HYPERLINK("https://probpalata.gov.ru/files/ЮЛ770100193500597.jpeg","Скачать индивидуальный QR-код магазина")</f>
        <v>Скачать индивидуальный QR-код магазина</v>
      </c>
    </row>
    <row r="10883" spans="1:7" x14ac:dyDescent="0.25">
      <c r="A10883" t="s">
        <v>33432</v>
      </c>
      <c r="B10883" t="s">
        <v>34061</v>
      </c>
      <c r="C10883" t="s">
        <v>748</v>
      </c>
      <c r="D10883" t="s">
        <v>749</v>
      </c>
      <c r="E10883" t="s">
        <v>750</v>
      </c>
      <c r="F10883" t="s">
        <v>34062</v>
      </c>
      <c r="G10883" s="2" t="str">
        <f>HYPERLINK("https://probpalata.gov.ru/files/ЮЛ770100193500705.jpeg","Скачать индивидуальный QR-код магазина")</f>
        <v>Скачать индивидуальный QR-код магазина</v>
      </c>
    </row>
    <row r="10884" spans="1:7" x14ac:dyDescent="0.25">
      <c r="A10884" t="s">
        <v>33432</v>
      </c>
      <c r="B10884" t="s">
        <v>34063</v>
      </c>
      <c r="C10884" t="s">
        <v>748</v>
      </c>
      <c r="D10884" t="s">
        <v>749</v>
      </c>
      <c r="E10884" t="s">
        <v>750</v>
      </c>
      <c r="F10884" t="s">
        <v>34064</v>
      </c>
      <c r="G10884" s="2" t="str">
        <f>HYPERLINK("https://probpalata.gov.ru/files/ЮЛ770100193500753.jpeg","Скачать индивидуальный QR-код магазина")</f>
        <v>Скачать индивидуальный QR-код магазина</v>
      </c>
    </row>
    <row r="10885" spans="1:7" x14ac:dyDescent="0.25">
      <c r="A10885" t="s">
        <v>33432</v>
      </c>
      <c r="B10885" t="s">
        <v>34065</v>
      </c>
      <c r="C10885" t="s">
        <v>748</v>
      </c>
      <c r="D10885" t="s">
        <v>749</v>
      </c>
      <c r="E10885" t="s">
        <v>750</v>
      </c>
      <c r="F10885" t="s">
        <v>34066</v>
      </c>
      <c r="G10885" s="2" t="str">
        <f>HYPERLINK("https://probpalata.gov.ru/files/ЮЛ770100193501041.jpeg","Скачать индивидуальный QR-код магазина")</f>
        <v>Скачать индивидуальный QR-код магазина</v>
      </c>
    </row>
    <row r="10886" spans="1:7" x14ac:dyDescent="0.25">
      <c r="A10886" t="s">
        <v>33432</v>
      </c>
      <c r="B10886" t="s">
        <v>34067</v>
      </c>
      <c r="C10886" t="s">
        <v>34068</v>
      </c>
      <c r="D10886" t="s">
        <v>34069</v>
      </c>
      <c r="E10886" t="s">
        <v>34070</v>
      </c>
      <c r="F10886" t="s">
        <v>34071</v>
      </c>
      <c r="G10886" s="2" t="str">
        <f>HYPERLINK("https://probpalata.gov.ru/files/ИП780300226000010.jpeg","Скачать индивидуальный QR-код магазина")</f>
        <v>Скачать индивидуальный QR-код магазина</v>
      </c>
    </row>
    <row r="10887" spans="1:7" x14ac:dyDescent="0.25">
      <c r="A10887" t="s">
        <v>33432</v>
      </c>
      <c r="B10887" t="s">
        <v>34072</v>
      </c>
      <c r="C10887" t="s">
        <v>791</v>
      </c>
      <c r="D10887" t="s">
        <v>792</v>
      </c>
      <c r="E10887" t="s">
        <v>793</v>
      </c>
      <c r="F10887" t="s">
        <v>34073</v>
      </c>
      <c r="G10887" s="2" t="str">
        <f>HYPERLINK("https://probpalata.gov.ru/files/ЮЛ780300323500022.jpeg","Скачать индивидуальный QR-код магазина")</f>
        <v>Скачать индивидуальный QR-код магазина</v>
      </c>
    </row>
    <row r="10888" spans="1:7" x14ac:dyDescent="0.25">
      <c r="A10888" t="s">
        <v>33432</v>
      </c>
      <c r="B10888" t="s">
        <v>34074</v>
      </c>
      <c r="C10888" t="s">
        <v>791</v>
      </c>
      <c r="D10888" t="s">
        <v>792</v>
      </c>
      <c r="E10888" t="s">
        <v>793</v>
      </c>
      <c r="F10888" t="s">
        <v>34075</v>
      </c>
      <c r="G10888" s="2" t="str">
        <f>HYPERLINK("https://probpalata.gov.ru/files/ЮЛ780300323500023.jpeg","Скачать индивидуальный QR-код магазина")</f>
        <v>Скачать индивидуальный QR-код магазина</v>
      </c>
    </row>
    <row r="10889" spans="1:7" x14ac:dyDescent="0.25">
      <c r="A10889" t="s">
        <v>33432</v>
      </c>
      <c r="B10889" t="s">
        <v>34076</v>
      </c>
      <c r="C10889" t="s">
        <v>798</v>
      </c>
      <c r="D10889" t="s">
        <v>799</v>
      </c>
      <c r="E10889" t="s">
        <v>800</v>
      </c>
      <c r="F10889" t="s">
        <v>34077</v>
      </c>
      <c r="G10889" s="2" t="str">
        <f>HYPERLINK("https://probpalata.gov.ru/files/ЮЛ780300308200171.jpeg","Скачать индивидуальный QR-код магазина")</f>
        <v>Скачать индивидуальный QR-код магазина</v>
      </c>
    </row>
    <row r="10890" spans="1:7" x14ac:dyDescent="0.25">
      <c r="A10890" t="s">
        <v>33432</v>
      </c>
      <c r="B10890" t="s">
        <v>34078</v>
      </c>
      <c r="C10890" t="s">
        <v>798</v>
      </c>
      <c r="D10890" t="s">
        <v>799</v>
      </c>
      <c r="E10890" t="s">
        <v>800</v>
      </c>
      <c r="F10890" t="s">
        <v>34079</v>
      </c>
      <c r="G10890" s="2" t="str">
        <f>HYPERLINK("https://probpalata.gov.ru/files/ЮЛ780300308200405.jpeg","Скачать индивидуальный QR-код магазина")</f>
        <v>Скачать индивидуальный QR-код магазина</v>
      </c>
    </row>
    <row r="10891" spans="1:7" x14ac:dyDescent="0.25">
      <c r="A10891" t="s">
        <v>33432</v>
      </c>
      <c r="B10891" t="s">
        <v>33574</v>
      </c>
      <c r="C10891" t="s">
        <v>798</v>
      </c>
      <c r="D10891" t="s">
        <v>799</v>
      </c>
      <c r="E10891" t="s">
        <v>800</v>
      </c>
      <c r="F10891" t="s">
        <v>34080</v>
      </c>
      <c r="G10891" s="2" t="str">
        <f>HYPERLINK("https://probpalata.gov.ru/files/ЮЛ780300308200490.jpeg","Скачать индивидуальный QR-код магазина")</f>
        <v>Скачать индивидуальный QR-код магазина</v>
      </c>
    </row>
    <row r="10892" spans="1:7" x14ac:dyDescent="0.25">
      <c r="A10892" t="s">
        <v>33432</v>
      </c>
      <c r="B10892" t="s">
        <v>34081</v>
      </c>
      <c r="C10892" t="s">
        <v>798</v>
      </c>
      <c r="D10892" t="s">
        <v>799</v>
      </c>
      <c r="E10892" t="s">
        <v>800</v>
      </c>
      <c r="F10892" t="s">
        <v>34082</v>
      </c>
      <c r="G10892" s="2" t="str">
        <f>HYPERLINK("https://probpalata.gov.ru/files/ЮЛ780300308200491.jpeg","Скачать индивидуальный QR-код магазина")</f>
        <v>Скачать индивидуальный QR-код магазина</v>
      </c>
    </row>
    <row r="10893" spans="1:7" x14ac:dyDescent="0.25">
      <c r="A10893" t="s">
        <v>33432</v>
      </c>
      <c r="B10893" t="s">
        <v>34083</v>
      </c>
      <c r="C10893" t="s">
        <v>798</v>
      </c>
      <c r="D10893" t="s">
        <v>799</v>
      </c>
      <c r="E10893" t="s">
        <v>800</v>
      </c>
      <c r="F10893" t="s">
        <v>34084</v>
      </c>
      <c r="G10893" s="2" t="str">
        <f>HYPERLINK("https://probpalata.gov.ru/files/ЮЛ780300308200633.jpeg","Скачать индивидуальный QR-код магазина")</f>
        <v>Скачать индивидуальный QR-код магазина</v>
      </c>
    </row>
    <row r="10894" spans="1:7" x14ac:dyDescent="0.25">
      <c r="A10894" t="s">
        <v>33432</v>
      </c>
      <c r="B10894" t="s">
        <v>34085</v>
      </c>
      <c r="C10894" t="s">
        <v>798</v>
      </c>
      <c r="D10894" t="s">
        <v>799</v>
      </c>
      <c r="E10894" t="s">
        <v>800</v>
      </c>
      <c r="F10894" t="s">
        <v>34086</v>
      </c>
      <c r="G10894" s="2" t="str">
        <f>HYPERLINK("https://probpalata.gov.ru/files/ЮЛ780300308200656.jpeg","Скачать индивидуальный QR-код магазина")</f>
        <v>Скачать индивидуальный QR-код магазина</v>
      </c>
    </row>
    <row r="10895" spans="1:7" x14ac:dyDescent="0.25">
      <c r="A10895" t="s">
        <v>33432</v>
      </c>
      <c r="B10895" t="s">
        <v>34087</v>
      </c>
      <c r="C10895" t="s">
        <v>798</v>
      </c>
      <c r="D10895" t="s">
        <v>799</v>
      </c>
      <c r="E10895" t="s">
        <v>800</v>
      </c>
      <c r="F10895" t="s">
        <v>34088</v>
      </c>
      <c r="G10895" s="2" t="str">
        <f>HYPERLINK("https://probpalata.gov.ru/files/ЮЛ780300308201050.jpeg","Скачать индивидуальный QR-код магазина")</f>
        <v>Скачать индивидуальный QR-код магазина</v>
      </c>
    </row>
    <row r="10896" spans="1:7" x14ac:dyDescent="0.25">
      <c r="A10896" t="s">
        <v>33432</v>
      </c>
      <c r="B10896" t="s">
        <v>34089</v>
      </c>
      <c r="C10896" t="s">
        <v>798</v>
      </c>
      <c r="D10896" t="s">
        <v>799</v>
      </c>
      <c r="E10896" t="s">
        <v>800</v>
      </c>
      <c r="F10896" t="s">
        <v>34090</v>
      </c>
      <c r="G10896" s="2" t="str">
        <f>HYPERLINK("https://probpalata.gov.ru/files/ЮЛ780300308201105.jpeg","Скачать индивидуальный QR-код магазина")</f>
        <v>Скачать индивидуальный QR-код магазина</v>
      </c>
    </row>
    <row r="10897" spans="1:7" x14ac:dyDescent="0.25">
      <c r="A10897" t="s">
        <v>33432</v>
      </c>
      <c r="B10897" t="s">
        <v>34091</v>
      </c>
      <c r="C10897" t="s">
        <v>798</v>
      </c>
      <c r="D10897" t="s">
        <v>799</v>
      </c>
      <c r="E10897" t="s">
        <v>800</v>
      </c>
      <c r="F10897" t="s">
        <v>34092</v>
      </c>
      <c r="G10897" s="2" t="str">
        <f>HYPERLINK("https://probpalata.gov.ru/files/ЮЛ780300308201118.jpeg","Скачать индивидуальный QR-код магазина")</f>
        <v>Скачать индивидуальный QR-код магазина</v>
      </c>
    </row>
    <row r="10898" spans="1:7" x14ac:dyDescent="0.25">
      <c r="A10898" t="s">
        <v>33432</v>
      </c>
      <c r="B10898" t="s">
        <v>34074</v>
      </c>
      <c r="C10898" t="s">
        <v>823</v>
      </c>
      <c r="D10898" t="s">
        <v>824</v>
      </c>
      <c r="E10898" t="s">
        <v>825</v>
      </c>
      <c r="F10898" t="s">
        <v>34093</v>
      </c>
      <c r="G10898" s="2" t="str">
        <f>HYPERLINK("https://probpalata.gov.ru/files/ЮЛ780300363500033.jpeg","Скачать индивидуальный QR-код магазина")</f>
        <v>Скачать индивидуальный QR-код магазина</v>
      </c>
    </row>
    <row r="10899" spans="1:7" x14ac:dyDescent="0.25">
      <c r="A10899" t="s">
        <v>33432</v>
      </c>
      <c r="B10899" t="s">
        <v>33574</v>
      </c>
      <c r="C10899" t="s">
        <v>823</v>
      </c>
      <c r="D10899" t="s">
        <v>824</v>
      </c>
      <c r="E10899" t="s">
        <v>825</v>
      </c>
      <c r="F10899" t="s">
        <v>34094</v>
      </c>
      <c r="G10899" s="2" t="str">
        <f>HYPERLINK("https://probpalata.gov.ru/files/ЮЛ780300363500169.jpeg","Скачать индивидуальный QR-код магазина")</f>
        <v>Скачать индивидуальный QR-код магазина</v>
      </c>
    </row>
    <row r="10900" spans="1:7" x14ac:dyDescent="0.25">
      <c r="A10900" t="s">
        <v>33432</v>
      </c>
      <c r="B10900" t="s">
        <v>34095</v>
      </c>
      <c r="C10900" t="s">
        <v>1490</v>
      </c>
      <c r="D10900" t="s">
        <v>1491</v>
      </c>
      <c r="E10900" t="s">
        <v>1492</v>
      </c>
      <c r="F10900" t="s">
        <v>34096</v>
      </c>
      <c r="G10900" s="2" t="str">
        <f>HYPERLINK("https://probpalata.gov.ru/files/ЮЛ780301261200021.jpeg","Скачать индивидуальный QR-код магазина")</f>
        <v>Скачать индивидуальный QR-код магазина</v>
      </c>
    </row>
    <row r="10901" spans="1:7" x14ac:dyDescent="0.25">
      <c r="A10901" t="s">
        <v>33432</v>
      </c>
      <c r="B10901" t="s">
        <v>34097</v>
      </c>
      <c r="C10901" t="s">
        <v>1490</v>
      </c>
      <c r="D10901" t="s">
        <v>1491</v>
      </c>
      <c r="E10901" t="s">
        <v>1492</v>
      </c>
      <c r="F10901" t="s">
        <v>34098</v>
      </c>
      <c r="G10901" s="2" t="str">
        <f>HYPERLINK("https://probpalata.gov.ru/files/ЮЛ780301261200030.jpeg","Скачать индивидуальный QR-код магазина")</f>
        <v>Скачать индивидуальный QR-код магазина</v>
      </c>
    </row>
    <row r="10902" spans="1:7" x14ac:dyDescent="0.25">
      <c r="A10902" t="s">
        <v>33432</v>
      </c>
      <c r="B10902" t="s">
        <v>34099</v>
      </c>
      <c r="C10902" t="s">
        <v>1490</v>
      </c>
      <c r="D10902" t="s">
        <v>1491</v>
      </c>
      <c r="E10902" t="s">
        <v>1492</v>
      </c>
      <c r="F10902" t="s">
        <v>34100</v>
      </c>
      <c r="G10902" s="2" t="str">
        <f>HYPERLINK("https://probpalata.gov.ru/files/ЮЛ780301261200032.jpeg","Скачать индивидуальный QR-код магазина")</f>
        <v>Скачать индивидуальный QR-код магазина</v>
      </c>
    </row>
    <row r="10903" spans="1:7" x14ac:dyDescent="0.25">
      <c r="A10903" t="s">
        <v>33432</v>
      </c>
      <c r="B10903" t="s">
        <v>34101</v>
      </c>
      <c r="C10903" t="s">
        <v>1490</v>
      </c>
      <c r="D10903" t="s">
        <v>1491</v>
      </c>
      <c r="E10903" t="s">
        <v>1492</v>
      </c>
      <c r="F10903" t="s">
        <v>34102</v>
      </c>
      <c r="G10903" s="2" t="str">
        <f>HYPERLINK("https://probpalata.gov.ru/files/ЮЛ780301261200033.jpeg","Скачать индивидуальный QR-код магазина")</f>
        <v>Скачать индивидуальный QR-код магазина</v>
      </c>
    </row>
    <row r="10904" spans="1:7" x14ac:dyDescent="0.25">
      <c r="A10904" t="s">
        <v>33432</v>
      </c>
      <c r="B10904" t="s">
        <v>34103</v>
      </c>
      <c r="C10904" t="s">
        <v>26401</v>
      </c>
      <c r="D10904" t="s">
        <v>26402</v>
      </c>
      <c r="E10904" t="s">
        <v>26403</v>
      </c>
      <c r="F10904" t="s">
        <v>34104</v>
      </c>
      <c r="G10904" s="2" t="str">
        <f>HYPERLINK("https://probpalata.gov.ru/files/ЮЛ770100938700043.jpeg","Скачать индивидуальный QR-код магазина")</f>
        <v>Скачать индивидуальный QR-код магазина</v>
      </c>
    </row>
    <row r="10905" spans="1:7" x14ac:dyDescent="0.25">
      <c r="A10905" t="s">
        <v>33432</v>
      </c>
      <c r="B10905" t="s">
        <v>34105</v>
      </c>
      <c r="C10905" t="s">
        <v>26401</v>
      </c>
      <c r="D10905" t="s">
        <v>26402</v>
      </c>
      <c r="E10905" t="s">
        <v>26403</v>
      </c>
      <c r="F10905" t="s">
        <v>34106</v>
      </c>
      <c r="G10905" s="2" t="str">
        <f>HYPERLINK("https://probpalata.gov.ru/files/ЮЛ770100938700044.jpeg","Скачать индивидуальный QR-код магазина")</f>
        <v>Скачать индивидуальный QR-код магазина</v>
      </c>
    </row>
    <row r="10906" spans="1:7" x14ac:dyDescent="0.25">
      <c r="A10906" t="s">
        <v>33432</v>
      </c>
      <c r="B10906" t="s">
        <v>33433</v>
      </c>
      <c r="C10906" t="s">
        <v>26401</v>
      </c>
      <c r="D10906" t="s">
        <v>26402</v>
      </c>
      <c r="E10906" t="s">
        <v>26403</v>
      </c>
      <c r="F10906" t="s">
        <v>34107</v>
      </c>
      <c r="G10906" s="2" t="str">
        <f>HYPERLINK("https://probpalata.gov.ru/files/ЮЛ770100938700047.jpeg","Скачать индивидуальный QR-код магазина")</f>
        <v>Скачать индивидуальный QR-код магазина</v>
      </c>
    </row>
    <row r="10907" spans="1:7" x14ac:dyDescent="0.25">
      <c r="A10907" t="s">
        <v>34108</v>
      </c>
      <c r="B10907" t="s">
        <v>34109</v>
      </c>
      <c r="C10907" t="s">
        <v>34110</v>
      </c>
      <c r="D10907" t="s">
        <v>34111</v>
      </c>
      <c r="E10907" t="s">
        <v>34112</v>
      </c>
      <c r="F10907" t="s">
        <v>34113</v>
      </c>
      <c r="G10907" s="2" t="str">
        <f>HYPERLINK("https://probpalata.gov.ru/files/ИП570103001500000.jpeg","Скачать индивидуальный QR-код магазина")</f>
        <v>Скачать индивидуальный QR-код магазина</v>
      </c>
    </row>
    <row r="10908" spans="1:7" x14ac:dyDescent="0.25">
      <c r="A10908" t="s">
        <v>34108</v>
      </c>
      <c r="B10908" t="s">
        <v>34114</v>
      </c>
      <c r="C10908" t="s">
        <v>1979</v>
      </c>
      <c r="D10908" t="s">
        <v>1980</v>
      </c>
      <c r="E10908" t="s">
        <v>1981</v>
      </c>
      <c r="F10908" t="s">
        <v>34115</v>
      </c>
      <c r="G10908" s="2" t="str">
        <f>HYPERLINK("https://probpalata.gov.ru/files/ИП310103412600005.jpeg","Скачать индивидуальный QR-код магазина")</f>
        <v>Скачать индивидуальный QR-код магазина</v>
      </c>
    </row>
    <row r="10909" spans="1:7" x14ac:dyDescent="0.25">
      <c r="A10909" t="s">
        <v>34108</v>
      </c>
      <c r="B10909" t="s">
        <v>34116</v>
      </c>
      <c r="C10909" t="s">
        <v>1979</v>
      </c>
      <c r="D10909" t="s">
        <v>1980</v>
      </c>
      <c r="E10909" t="s">
        <v>1981</v>
      </c>
      <c r="F10909" t="s">
        <v>34117</v>
      </c>
      <c r="G10909" s="2" t="str">
        <f>HYPERLINK("https://probpalata.gov.ru/files/ИП310103412600006.jpeg","Скачать индивидуальный QR-код магазина")</f>
        <v>Скачать индивидуальный QR-код магазина</v>
      </c>
    </row>
    <row r="10910" spans="1:7" x14ac:dyDescent="0.25">
      <c r="A10910" t="s">
        <v>34108</v>
      </c>
      <c r="B10910" t="s">
        <v>34118</v>
      </c>
      <c r="C10910" t="s">
        <v>1997</v>
      </c>
      <c r="D10910" t="s">
        <v>1998</v>
      </c>
      <c r="E10910" t="s">
        <v>1999</v>
      </c>
      <c r="F10910" t="s">
        <v>34119</v>
      </c>
      <c r="G10910" s="2" t="str">
        <f>HYPERLINK("https://probpalata.gov.ru/files/ЮЛ310100216200007.jpeg","Скачать индивидуальный QR-код магазина")</f>
        <v>Скачать индивидуальный QR-код магазина</v>
      </c>
    </row>
    <row r="10911" spans="1:7" x14ac:dyDescent="0.25">
      <c r="A10911" t="s">
        <v>34108</v>
      </c>
      <c r="B10911" t="s">
        <v>34120</v>
      </c>
      <c r="C10911" t="s">
        <v>2039</v>
      </c>
      <c r="D10911" t="s">
        <v>2040</v>
      </c>
      <c r="E10911" t="s">
        <v>2041</v>
      </c>
      <c r="F10911" t="s">
        <v>34121</v>
      </c>
      <c r="G10911" s="2" t="str">
        <f>HYPERLINK("https://probpalata.gov.ru/files/ЮЛ310100189400004.jpeg","Скачать индивидуальный QR-код магазина")</f>
        <v>Скачать индивидуальный QR-код магазина</v>
      </c>
    </row>
    <row r="10912" spans="1:7" x14ac:dyDescent="0.25">
      <c r="A10912" t="s">
        <v>34108</v>
      </c>
      <c r="B10912" t="s">
        <v>34122</v>
      </c>
      <c r="C10912" t="s">
        <v>2443</v>
      </c>
      <c r="D10912" t="s">
        <v>2444</v>
      </c>
      <c r="E10912" t="s">
        <v>2445</v>
      </c>
      <c r="F10912" t="s">
        <v>34123</v>
      </c>
      <c r="G10912" s="2" t="str">
        <f>HYPERLINK("https://probpalata.gov.ru/files/ИП770100193400005.jpeg","Скачать индивидуальный QR-код магазина")</f>
        <v>Скачать индивидуальный QR-код магазина</v>
      </c>
    </row>
    <row r="10913" spans="1:7" x14ac:dyDescent="0.25">
      <c r="A10913" t="s">
        <v>34108</v>
      </c>
      <c r="B10913" t="s">
        <v>34124</v>
      </c>
      <c r="C10913" t="s">
        <v>2486</v>
      </c>
      <c r="D10913" t="s">
        <v>2487</v>
      </c>
      <c r="E10913" t="s">
        <v>2488</v>
      </c>
      <c r="F10913" t="s">
        <v>34125</v>
      </c>
      <c r="G10913" s="2" t="str">
        <f>HYPERLINK("https://probpalata.gov.ru/files/ЮЛ320100307600010.jpeg","Скачать индивидуальный QR-код магазина")</f>
        <v>Скачать индивидуальный QR-код магазина</v>
      </c>
    </row>
    <row r="10914" spans="1:7" x14ac:dyDescent="0.25">
      <c r="A10914" t="s">
        <v>34108</v>
      </c>
      <c r="B10914" t="s">
        <v>34126</v>
      </c>
      <c r="C10914" t="s">
        <v>2185</v>
      </c>
      <c r="D10914" t="s">
        <v>2186</v>
      </c>
      <c r="E10914" t="s">
        <v>2187</v>
      </c>
      <c r="F10914" t="s">
        <v>34127</v>
      </c>
      <c r="G10914" s="2" t="str">
        <f>HYPERLINK("https://probpalata.gov.ru/files/ЮЛ480100215000022.jpeg","Скачать индивидуальный QR-код магазина")</f>
        <v>Скачать индивидуальный QR-код магазина</v>
      </c>
    </row>
    <row r="10915" spans="1:7" x14ac:dyDescent="0.25">
      <c r="A10915" t="s">
        <v>34108</v>
      </c>
      <c r="B10915" t="s">
        <v>34128</v>
      </c>
      <c r="C10915" t="s">
        <v>2185</v>
      </c>
      <c r="D10915" t="s">
        <v>2186</v>
      </c>
      <c r="E10915" t="s">
        <v>2187</v>
      </c>
      <c r="F10915" t="s">
        <v>34129</v>
      </c>
      <c r="G10915" s="2" t="str">
        <f>HYPERLINK("https://probpalata.gov.ru/files/ЮЛ480100215000030.jpeg","Скачать индивидуальный QR-код магазина")</f>
        <v>Скачать индивидуальный QR-код магазина</v>
      </c>
    </row>
    <row r="10916" spans="1:7" x14ac:dyDescent="0.25">
      <c r="A10916" t="s">
        <v>34108</v>
      </c>
      <c r="B10916" t="s">
        <v>34130</v>
      </c>
      <c r="C10916" t="s">
        <v>671</v>
      </c>
      <c r="D10916" t="s">
        <v>672</v>
      </c>
      <c r="E10916" t="s">
        <v>673</v>
      </c>
      <c r="F10916" t="s">
        <v>34131</v>
      </c>
      <c r="G10916" s="2" t="str">
        <f>HYPERLINK("https://probpalata.gov.ru/files/ИП500100445500120.jpeg","Скачать индивидуальный QR-код магазина")</f>
        <v>Скачать индивидуальный QR-код магазина</v>
      </c>
    </row>
    <row r="10917" spans="1:7" x14ac:dyDescent="0.25">
      <c r="A10917" t="s">
        <v>34108</v>
      </c>
      <c r="B10917" t="s">
        <v>34132</v>
      </c>
      <c r="C10917" t="s">
        <v>11936</v>
      </c>
      <c r="D10917" t="s">
        <v>34133</v>
      </c>
      <c r="E10917" t="s">
        <v>34134</v>
      </c>
      <c r="F10917" t="s">
        <v>34135</v>
      </c>
      <c r="G10917" s="2" t="str">
        <f>HYPERLINK("https://probpalata.gov.ru/files/ЮЛ570103223400000.jpeg","Скачать индивидуальный QR-код магазина")</f>
        <v>Скачать индивидуальный QR-код магазина</v>
      </c>
    </row>
    <row r="10918" spans="1:7" x14ac:dyDescent="0.25">
      <c r="A10918" t="s">
        <v>34108</v>
      </c>
      <c r="B10918" t="s">
        <v>34136</v>
      </c>
      <c r="C10918" t="s">
        <v>34137</v>
      </c>
      <c r="D10918" t="s">
        <v>34138</v>
      </c>
      <c r="E10918" t="s">
        <v>34139</v>
      </c>
      <c r="F10918" t="s">
        <v>34140</v>
      </c>
      <c r="G10918" s="2" t="str">
        <f>HYPERLINK("https://probpalata.gov.ru/files/ЮЛ570100627300000.jpeg","Скачать индивидуальный QR-код магазина")</f>
        <v>Скачать индивидуальный QR-код магазина</v>
      </c>
    </row>
    <row r="10919" spans="1:7" x14ac:dyDescent="0.25">
      <c r="A10919" t="s">
        <v>34108</v>
      </c>
      <c r="B10919" t="s">
        <v>34141</v>
      </c>
      <c r="C10919" t="s">
        <v>34142</v>
      </c>
      <c r="D10919" t="s">
        <v>34143</v>
      </c>
      <c r="E10919" t="s">
        <v>34144</v>
      </c>
      <c r="F10919" t="s">
        <v>34145</v>
      </c>
      <c r="G10919" s="2" t="str">
        <f>HYPERLINK("https://probpalata.gov.ru/files/ИП570100854300000.jpeg","Скачать индивидуальный QR-код магазина")</f>
        <v>Скачать индивидуальный QR-код магазина</v>
      </c>
    </row>
    <row r="10920" spans="1:7" x14ac:dyDescent="0.25">
      <c r="A10920" t="s">
        <v>34108</v>
      </c>
      <c r="B10920" t="s">
        <v>34146</v>
      </c>
      <c r="C10920" t="s">
        <v>34147</v>
      </c>
      <c r="D10920" t="s">
        <v>34148</v>
      </c>
      <c r="E10920" t="s">
        <v>34149</v>
      </c>
      <c r="F10920" t="s">
        <v>34150</v>
      </c>
      <c r="G10920" s="2" t="str">
        <f>HYPERLINK("https://probpalata.gov.ru/files/ИП570103848500000.jpeg","Скачать индивидуальный QR-код магазина")</f>
        <v>Скачать индивидуальный QR-код магазина</v>
      </c>
    </row>
    <row r="10921" spans="1:7" x14ac:dyDescent="0.25">
      <c r="A10921" t="s">
        <v>34108</v>
      </c>
      <c r="B10921" t="s">
        <v>34151</v>
      </c>
      <c r="C10921" t="s">
        <v>34152</v>
      </c>
      <c r="D10921" t="s">
        <v>34153</v>
      </c>
      <c r="E10921" t="s">
        <v>34154</v>
      </c>
      <c r="F10921" t="s">
        <v>34155</v>
      </c>
      <c r="G10921" s="2" t="str">
        <f>HYPERLINK("https://probpalata.gov.ru/files/ИП770100631300000.jpeg","Скачать индивидуальный QR-код магазина")</f>
        <v>Скачать индивидуальный QR-код магазина</v>
      </c>
    </row>
    <row r="10922" spans="1:7" x14ac:dyDescent="0.25">
      <c r="A10922" t="s">
        <v>34108</v>
      </c>
      <c r="B10922" t="s">
        <v>34156</v>
      </c>
      <c r="C10922" t="s">
        <v>34157</v>
      </c>
      <c r="D10922" t="s">
        <v>34158</v>
      </c>
      <c r="E10922" t="s">
        <v>34159</v>
      </c>
      <c r="F10922" t="s">
        <v>34160</v>
      </c>
      <c r="G10922" s="2" t="str">
        <f>HYPERLINK("https://probpalata.gov.ru/files/ИП570100691400000.jpeg","Скачать индивидуальный QR-код магазина")</f>
        <v>Скачать индивидуальный QR-код магазина</v>
      </c>
    </row>
    <row r="10923" spans="1:7" x14ac:dyDescent="0.25">
      <c r="A10923" t="s">
        <v>34108</v>
      </c>
      <c r="B10923" t="s">
        <v>34161</v>
      </c>
      <c r="C10923" t="s">
        <v>34162</v>
      </c>
      <c r="D10923" t="s">
        <v>34163</v>
      </c>
      <c r="E10923" t="s">
        <v>34164</v>
      </c>
      <c r="F10923" t="s">
        <v>34165</v>
      </c>
      <c r="G10923" s="2" t="str">
        <f>HYPERLINK("https://probpalata.gov.ru/files/ИП570100667000000.jpeg","Скачать индивидуальный QR-код магазина")</f>
        <v>Скачать индивидуальный QR-код магазина</v>
      </c>
    </row>
    <row r="10924" spans="1:7" x14ac:dyDescent="0.25">
      <c r="A10924" t="s">
        <v>34108</v>
      </c>
      <c r="B10924" t="s">
        <v>34166</v>
      </c>
      <c r="C10924" t="s">
        <v>34167</v>
      </c>
      <c r="D10924" t="s">
        <v>34168</v>
      </c>
      <c r="E10924" t="s">
        <v>34169</v>
      </c>
      <c r="F10924" t="s">
        <v>34170</v>
      </c>
      <c r="G10924" s="2" t="str">
        <f>HYPERLINK("https://probpalata.gov.ru/files/ИП570100638400000.jpeg","Скачать индивидуальный QR-код магазина")</f>
        <v>Скачать индивидуальный QR-код магазина</v>
      </c>
    </row>
    <row r="10925" spans="1:7" x14ac:dyDescent="0.25">
      <c r="A10925" t="s">
        <v>34108</v>
      </c>
      <c r="B10925" t="s">
        <v>34171</v>
      </c>
      <c r="C10925" t="s">
        <v>34167</v>
      </c>
      <c r="D10925" t="s">
        <v>34168</v>
      </c>
      <c r="E10925" t="s">
        <v>34169</v>
      </c>
      <c r="F10925" t="s">
        <v>34172</v>
      </c>
      <c r="G10925" s="2" t="str">
        <f>HYPERLINK("https://probpalata.gov.ru/files/ИП570100638400001.jpeg","Скачать индивидуальный QR-код магазина")</f>
        <v>Скачать индивидуальный QR-код магазина</v>
      </c>
    </row>
    <row r="10926" spans="1:7" x14ac:dyDescent="0.25">
      <c r="A10926" t="s">
        <v>34108</v>
      </c>
      <c r="B10926" t="s">
        <v>34173</v>
      </c>
      <c r="C10926" t="s">
        <v>34167</v>
      </c>
      <c r="D10926" t="s">
        <v>34168</v>
      </c>
      <c r="E10926" t="s">
        <v>34169</v>
      </c>
      <c r="F10926" t="s">
        <v>34174</v>
      </c>
      <c r="G10926" s="2" t="str">
        <f>HYPERLINK("https://probpalata.gov.ru/files/ИП570100638400002.jpeg","Скачать индивидуальный QR-код магазина")</f>
        <v>Скачать индивидуальный QR-код магазина</v>
      </c>
    </row>
    <row r="10927" spans="1:7" x14ac:dyDescent="0.25">
      <c r="A10927" t="s">
        <v>34108</v>
      </c>
      <c r="B10927" t="s">
        <v>34175</v>
      </c>
      <c r="C10927" t="s">
        <v>2546</v>
      </c>
      <c r="D10927" t="s">
        <v>2547</v>
      </c>
      <c r="E10927" t="s">
        <v>2548</v>
      </c>
      <c r="F10927" t="s">
        <v>34176</v>
      </c>
      <c r="G10927" s="2" t="str">
        <f>HYPERLINK("https://probpalata.gov.ru/files/ЮЛ570100272800000.jpeg","Скачать индивидуальный QR-код магазина")</f>
        <v>Скачать индивидуальный QR-код магазина</v>
      </c>
    </row>
    <row r="10928" spans="1:7" x14ac:dyDescent="0.25">
      <c r="A10928" t="s">
        <v>34108</v>
      </c>
      <c r="B10928" t="s">
        <v>34177</v>
      </c>
      <c r="C10928" t="s">
        <v>2546</v>
      </c>
      <c r="D10928" t="s">
        <v>2547</v>
      </c>
      <c r="E10928" t="s">
        <v>2548</v>
      </c>
      <c r="F10928" t="s">
        <v>34178</v>
      </c>
      <c r="G10928" s="2" t="str">
        <f>HYPERLINK("https://probpalata.gov.ru/files/ЮЛ570100272800001.jpeg","Скачать индивидуальный QR-код магазина")</f>
        <v>Скачать индивидуальный QR-код магазина</v>
      </c>
    </row>
    <row r="10929" spans="1:7" x14ac:dyDescent="0.25">
      <c r="A10929" t="s">
        <v>34108</v>
      </c>
      <c r="B10929" t="s">
        <v>34179</v>
      </c>
      <c r="C10929" t="s">
        <v>2546</v>
      </c>
      <c r="D10929" t="s">
        <v>2547</v>
      </c>
      <c r="E10929" t="s">
        <v>2548</v>
      </c>
      <c r="F10929" t="s">
        <v>34180</v>
      </c>
      <c r="G10929" s="2" t="str">
        <f>HYPERLINK("https://probpalata.gov.ru/files/ЮЛ570100272800003.jpeg","Скачать индивидуальный QR-код магазина")</f>
        <v>Скачать индивидуальный QR-код магазина</v>
      </c>
    </row>
    <row r="10930" spans="1:7" x14ac:dyDescent="0.25">
      <c r="A10930" t="s">
        <v>34108</v>
      </c>
      <c r="B10930" t="s">
        <v>34181</v>
      </c>
      <c r="C10930" t="s">
        <v>34182</v>
      </c>
      <c r="D10930" t="s">
        <v>34183</v>
      </c>
      <c r="E10930" t="s">
        <v>34184</v>
      </c>
      <c r="F10930" t="s">
        <v>34185</v>
      </c>
      <c r="G10930" s="2" t="str">
        <f>HYPERLINK("https://probpalata.gov.ru/files/ИП570104004300000.jpeg","Скачать индивидуальный QR-код магазина")</f>
        <v>Скачать индивидуальный QR-код магазина</v>
      </c>
    </row>
    <row r="10931" spans="1:7" x14ac:dyDescent="0.25">
      <c r="A10931" t="s">
        <v>34108</v>
      </c>
      <c r="B10931" t="s">
        <v>34186</v>
      </c>
      <c r="C10931" t="s">
        <v>34182</v>
      </c>
      <c r="D10931" t="s">
        <v>34183</v>
      </c>
      <c r="E10931" t="s">
        <v>34184</v>
      </c>
      <c r="F10931" t="s">
        <v>34187</v>
      </c>
      <c r="G10931" s="2" t="str">
        <f>HYPERLINK("https://probpalata.gov.ru/files/ИП570104004300001.jpeg","Скачать индивидуальный QR-код магазина")</f>
        <v>Скачать индивидуальный QR-код магазина</v>
      </c>
    </row>
    <row r="10932" spans="1:7" x14ac:dyDescent="0.25">
      <c r="A10932" t="s">
        <v>34108</v>
      </c>
      <c r="B10932" t="s">
        <v>34188</v>
      </c>
      <c r="C10932" t="s">
        <v>34182</v>
      </c>
      <c r="D10932" t="s">
        <v>34183</v>
      </c>
      <c r="E10932" t="s">
        <v>34184</v>
      </c>
      <c r="F10932" t="s">
        <v>34189</v>
      </c>
      <c r="G10932" s="2" t="str">
        <f>HYPERLINK("https://probpalata.gov.ru/files/ИП570104004300003.jpeg","Скачать индивидуальный QR-код магазина")</f>
        <v>Скачать индивидуальный QR-код магазина</v>
      </c>
    </row>
    <row r="10933" spans="1:7" x14ac:dyDescent="0.25">
      <c r="A10933" t="s">
        <v>34108</v>
      </c>
      <c r="B10933" t="s">
        <v>34190</v>
      </c>
      <c r="C10933" t="s">
        <v>34182</v>
      </c>
      <c r="D10933" t="s">
        <v>34183</v>
      </c>
      <c r="E10933" t="s">
        <v>34184</v>
      </c>
      <c r="F10933" t="s">
        <v>34191</v>
      </c>
      <c r="G10933" s="2" t="str">
        <f>HYPERLINK("https://probpalata.gov.ru/files/ИП570104004300004.jpeg","Скачать индивидуальный QR-код магазина")</f>
        <v>Скачать индивидуальный QR-код магазина</v>
      </c>
    </row>
    <row r="10934" spans="1:7" x14ac:dyDescent="0.25">
      <c r="A10934" t="s">
        <v>34108</v>
      </c>
      <c r="B10934" t="s">
        <v>34192</v>
      </c>
      <c r="C10934" t="s">
        <v>34193</v>
      </c>
      <c r="D10934" t="s">
        <v>34194</v>
      </c>
      <c r="E10934" t="s">
        <v>34195</v>
      </c>
      <c r="F10934" t="s">
        <v>34196</v>
      </c>
      <c r="G10934" s="2" t="str">
        <f>HYPERLINK("https://probpalata.gov.ru/files/ИП670100524800008.jpeg","Скачать индивидуальный QR-код магазина")</f>
        <v>Скачать индивидуальный QR-код магазина</v>
      </c>
    </row>
    <row r="10935" spans="1:7" x14ac:dyDescent="0.25">
      <c r="A10935" t="s">
        <v>34108</v>
      </c>
      <c r="B10935" t="s">
        <v>34197</v>
      </c>
      <c r="C10935" t="s">
        <v>5127</v>
      </c>
      <c r="D10935" t="s">
        <v>5128</v>
      </c>
      <c r="E10935" t="s">
        <v>5129</v>
      </c>
      <c r="F10935" t="s">
        <v>34198</v>
      </c>
      <c r="G10935" s="2" t="str">
        <f>HYPERLINK("https://probpalata.gov.ru/files/ИП000100637600005.jpeg","Скачать индивидуальный QR-код магазина")</f>
        <v>Скачать индивидуальный QR-код магазина</v>
      </c>
    </row>
    <row r="10936" spans="1:7" x14ac:dyDescent="0.25">
      <c r="A10936" t="s">
        <v>34108</v>
      </c>
      <c r="B10936" t="s">
        <v>34199</v>
      </c>
      <c r="C10936" t="s">
        <v>1740</v>
      </c>
      <c r="D10936" t="s">
        <v>1741</v>
      </c>
      <c r="E10936" t="s">
        <v>1742</v>
      </c>
      <c r="F10936" t="s">
        <v>34200</v>
      </c>
      <c r="G10936" s="2" t="str">
        <f>HYPERLINK("https://probpalata.gov.ru/files/ЮЛ760201190700046.jpeg","Скачать индивидуальный QR-код магазина")</f>
        <v>Скачать индивидуальный QR-код магазина</v>
      </c>
    </row>
    <row r="10937" spans="1:7" x14ac:dyDescent="0.25">
      <c r="A10937" t="s">
        <v>34108</v>
      </c>
      <c r="B10937" t="s">
        <v>34201</v>
      </c>
      <c r="C10937" t="s">
        <v>713</v>
      </c>
      <c r="D10937" t="s">
        <v>714</v>
      </c>
      <c r="E10937" t="s">
        <v>715</v>
      </c>
      <c r="F10937" t="s">
        <v>34202</v>
      </c>
      <c r="G10937" s="2" t="str">
        <f>HYPERLINK("https://probpalata.gov.ru/files/ЮЛ770101216600138.jpeg","Скачать индивидуальный QR-код магазина")</f>
        <v>Скачать индивидуальный QR-код магазина</v>
      </c>
    </row>
    <row r="10938" spans="1:7" x14ac:dyDescent="0.25">
      <c r="A10938" t="s">
        <v>34108</v>
      </c>
      <c r="B10938" t="s">
        <v>34203</v>
      </c>
      <c r="C10938" t="s">
        <v>713</v>
      </c>
      <c r="D10938" t="s">
        <v>714</v>
      </c>
      <c r="E10938" t="s">
        <v>715</v>
      </c>
      <c r="F10938" t="s">
        <v>34204</v>
      </c>
      <c r="G10938" s="2" t="str">
        <f>HYPERLINK("https://probpalata.gov.ru/files/ЮЛ770101216600144.jpeg","Скачать индивидуальный QR-код магазина")</f>
        <v>Скачать индивидуальный QR-код магазина</v>
      </c>
    </row>
    <row r="10939" spans="1:7" x14ac:dyDescent="0.25">
      <c r="A10939" t="s">
        <v>34108</v>
      </c>
      <c r="B10939" t="s">
        <v>34205</v>
      </c>
      <c r="C10939" t="s">
        <v>713</v>
      </c>
      <c r="D10939" t="s">
        <v>714</v>
      </c>
      <c r="E10939" t="s">
        <v>715</v>
      </c>
      <c r="F10939" t="s">
        <v>34206</v>
      </c>
      <c r="G10939" s="2" t="str">
        <f>HYPERLINK("https://probpalata.gov.ru/files/ЮЛ770101216600484.jpeg","Скачать индивидуальный QR-код магазина")</f>
        <v>Скачать индивидуальный QR-код магазина</v>
      </c>
    </row>
    <row r="10940" spans="1:7" x14ac:dyDescent="0.25">
      <c r="A10940" t="s">
        <v>34108</v>
      </c>
      <c r="B10940" t="s">
        <v>34207</v>
      </c>
      <c r="C10940" t="s">
        <v>713</v>
      </c>
      <c r="D10940" t="s">
        <v>714</v>
      </c>
      <c r="E10940" t="s">
        <v>715</v>
      </c>
      <c r="F10940" t="s">
        <v>34208</v>
      </c>
      <c r="G10940" s="2" t="str">
        <f>HYPERLINK("https://probpalata.gov.ru/files/ЮЛ770101216600583.jpeg","Скачать индивидуальный QR-код магазина")</f>
        <v>Скачать индивидуальный QR-код магазина</v>
      </c>
    </row>
    <row r="10941" spans="1:7" x14ac:dyDescent="0.25">
      <c r="A10941" t="s">
        <v>34108</v>
      </c>
      <c r="B10941" t="s">
        <v>34209</v>
      </c>
      <c r="C10941" t="s">
        <v>713</v>
      </c>
      <c r="D10941" t="s">
        <v>714</v>
      </c>
      <c r="E10941" t="s">
        <v>715</v>
      </c>
      <c r="F10941" t="s">
        <v>34210</v>
      </c>
      <c r="G10941" s="2" t="str">
        <f>HYPERLINK("https://probpalata.gov.ru/files/ЮЛ770101216600796.jpeg","Скачать индивидуальный QR-код магазина")</f>
        <v>Скачать индивидуальный QR-код магазина</v>
      </c>
    </row>
    <row r="10942" spans="1:7" x14ac:dyDescent="0.25">
      <c r="A10942" t="s">
        <v>34108</v>
      </c>
      <c r="B10942" t="s">
        <v>34211</v>
      </c>
      <c r="C10942" t="s">
        <v>713</v>
      </c>
      <c r="D10942" t="s">
        <v>714</v>
      </c>
      <c r="E10942" t="s">
        <v>715</v>
      </c>
      <c r="F10942" t="s">
        <v>34212</v>
      </c>
      <c r="G10942" s="2" t="str">
        <f>HYPERLINK("https://probpalata.gov.ru/files/ЮЛ770101216600805.jpeg","Скачать индивидуальный QR-код магазина")</f>
        <v>Скачать индивидуальный QR-код магазина</v>
      </c>
    </row>
    <row r="10943" spans="1:7" x14ac:dyDescent="0.25">
      <c r="A10943" t="s">
        <v>34108</v>
      </c>
      <c r="B10943" t="s">
        <v>34213</v>
      </c>
      <c r="C10943" t="s">
        <v>34214</v>
      </c>
      <c r="D10943" t="s">
        <v>34215</v>
      </c>
      <c r="E10943" t="s">
        <v>34216</v>
      </c>
      <c r="F10943" t="s">
        <v>34217</v>
      </c>
      <c r="G10943" s="2" t="str">
        <f>HYPERLINK("https://probpalata.gov.ru/files/ИП770101671200000.jpeg","Скачать индивидуальный QR-код магазина")</f>
        <v>Скачать индивидуальный QR-код магазина</v>
      </c>
    </row>
    <row r="10944" spans="1:7" x14ac:dyDescent="0.25">
      <c r="A10944" t="s">
        <v>34108</v>
      </c>
      <c r="B10944" t="s">
        <v>34218</v>
      </c>
      <c r="C10944" t="s">
        <v>34214</v>
      </c>
      <c r="D10944" t="s">
        <v>34215</v>
      </c>
      <c r="E10944" t="s">
        <v>34216</v>
      </c>
      <c r="F10944" t="s">
        <v>34219</v>
      </c>
      <c r="G10944" s="2" t="str">
        <f>HYPERLINK("https://probpalata.gov.ru/files/ИП770101671200001.jpeg","Скачать индивидуальный QR-код магазина")</f>
        <v>Скачать индивидуальный QR-код магазина</v>
      </c>
    </row>
    <row r="10945" spans="1:7" x14ac:dyDescent="0.25">
      <c r="A10945" t="s">
        <v>34108</v>
      </c>
      <c r="B10945" t="s">
        <v>34220</v>
      </c>
      <c r="C10945" t="s">
        <v>34214</v>
      </c>
      <c r="D10945" t="s">
        <v>34215</v>
      </c>
      <c r="E10945" t="s">
        <v>34216</v>
      </c>
      <c r="F10945" t="s">
        <v>34221</v>
      </c>
      <c r="G10945" s="2" t="str">
        <f>HYPERLINK("https://probpalata.gov.ru/files/ИП770101671200002.jpeg","Скачать индивидуальный QR-код магазина")</f>
        <v>Скачать индивидуальный QR-код магазина</v>
      </c>
    </row>
    <row r="10946" spans="1:7" x14ac:dyDescent="0.25">
      <c r="A10946" t="s">
        <v>34108</v>
      </c>
      <c r="B10946" t="s">
        <v>34222</v>
      </c>
      <c r="C10946" t="s">
        <v>34214</v>
      </c>
      <c r="D10946" t="s">
        <v>34215</v>
      </c>
      <c r="E10946" t="s">
        <v>34216</v>
      </c>
      <c r="F10946" t="s">
        <v>34223</v>
      </c>
      <c r="G10946" s="2" t="str">
        <f>HYPERLINK("https://probpalata.gov.ru/files/ИП770101671200003.jpeg","Скачать индивидуальный QR-код магазина")</f>
        <v>Скачать индивидуальный QR-код магазина</v>
      </c>
    </row>
    <row r="10947" spans="1:7" x14ac:dyDescent="0.25">
      <c r="A10947" t="s">
        <v>34108</v>
      </c>
      <c r="B10947" t="s">
        <v>34224</v>
      </c>
      <c r="C10947" t="s">
        <v>34214</v>
      </c>
      <c r="D10947" t="s">
        <v>34215</v>
      </c>
      <c r="E10947" t="s">
        <v>34216</v>
      </c>
      <c r="F10947" t="s">
        <v>34225</v>
      </c>
      <c r="G10947" s="2" t="str">
        <f>HYPERLINK("https://probpalata.gov.ru/files/ИП770101671200004.jpeg","Скачать индивидуальный QR-код магазина")</f>
        <v>Скачать индивидуальный QR-код магазина</v>
      </c>
    </row>
    <row r="10948" spans="1:7" x14ac:dyDescent="0.25">
      <c r="A10948" t="s">
        <v>34108</v>
      </c>
      <c r="B10948" t="s">
        <v>34226</v>
      </c>
      <c r="C10948" t="s">
        <v>34214</v>
      </c>
      <c r="D10948" t="s">
        <v>34215</v>
      </c>
      <c r="E10948" t="s">
        <v>34216</v>
      </c>
      <c r="F10948" t="s">
        <v>34227</v>
      </c>
      <c r="G10948" s="2" t="str">
        <f>HYPERLINK("https://probpalata.gov.ru/files/ИП770101671200005.jpeg","Скачать индивидуальный QR-код магазина")</f>
        <v>Скачать индивидуальный QR-код магазина</v>
      </c>
    </row>
    <row r="10949" spans="1:7" x14ac:dyDescent="0.25">
      <c r="A10949" t="s">
        <v>34108</v>
      </c>
      <c r="B10949" t="s">
        <v>34228</v>
      </c>
      <c r="C10949" t="s">
        <v>748</v>
      </c>
      <c r="D10949" t="s">
        <v>749</v>
      </c>
      <c r="E10949" t="s">
        <v>750</v>
      </c>
      <c r="F10949" t="s">
        <v>34229</v>
      </c>
      <c r="G10949" s="2" t="str">
        <f>HYPERLINK("https://probpalata.gov.ru/files/ЮЛ770100193500215.jpeg","Скачать индивидуальный QR-код магазина")</f>
        <v>Скачать индивидуальный QR-код магазина</v>
      </c>
    </row>
    <row r="10950" spans="1:7" x14ac:dyDescent="0.25">
      <c r="A10950" t="s">
        <v>34108</v>
      </c>
      <c r="B10950" t="s">
        <v>34230</v>
      </c>
      <c r="C10950" t="s">
        <v>748</v>
      </c>
      <c r="D10950" t="s">
        <v>749</v>
      </c>
      <c r="E10950" t="s">
        <v>750</v>
      </c>
      <c r="F10950" t="s">
        <v>34231</v>
      </c>
      <c r="G10950" s="2" t="str">
        <f>HYPERLINK("https://probpalata.gov.ru/files/ЮЛ770100193500216.jpeg","Скачать индивидуальный QR-код магазина")</f>
        <v>Скачать индивидуальный QR-код магазина</v>
      </c>
    </row>
    <row r="10951" spans="1:7" x14ac:dyDescent="0.25">
      <c r="A10951" t="s">
        <v>34108</v>
      </c>
      <c r="B10951" t="s">
        <v>34232</v>
      </c>
      <c r="C10951" t="s">
        <v>773</v>
      </c>
      <c r="D10951" t="s">
        <v>774</v>
      </c>
      <c r="E10951" t="s">
        <v>775</v>
      </c>
      <c r="F10951" t="s">
        <v>34233</v>
      </c>
      <c r="G10951" s="2" t="str">
        <f>HYPERLINK("https://probpalata.gov.ru/files/ЮЛ780300131300292.jpeg","Скачать индивидуальный QR-код магазина")</f>
        <v>Скачать индивидуальный QR-код магазина</v>
      </c>
    </row>
    <row r="10952" spans="1:7" x14ac:dyDescent="0.25">
      <c r="A10952" t="s">
        <v>34108</v>
      </c>
      <c r="B10952" t="s">
        <v>34234</v>
      </c>
      <c r="C10952" t="s">
        <v>773</v>
      </c>
      <c r="D10952" t="s">
        <v>774</v>
      </c>
      <c r="E10952" t="s">
        <v>775</v>
      </c>
      <c r="F10952" t="s">
        <v>34235</v>
      </c>
      <c r="G10952" s="2" t="str">
        <f>HYPERLINK("https://probpalata.gov.ru/files/ЮЛ780300131300293.jpeg","Скачать индивидуальный QR-код магазина")</f>
        <v>Скачать индивидуальный QR-код магазина</v>
      </c>
    </row>
    <row r="10953" spans="1:7" x14ac:dyDescent="0.25">
      <c r="A10953" t="s">
        <v>34108</v>
      </c>
      <c r="B10953" t="s">
        <v>34236</v>
      </c>
      <c r="C10953" t="s">
        <v>773</v>
      </c>
      <c r="D10953" t="s">
        <v>774</v>
      </c>
      <c r="E10953" t="s">
        <v>775</v>
      </c>
      <c r="F10953" t="s">
        <v>34237</v>
      </c>
      <c r="G10953" s="2" t="str">
        <f>HYPERLINK("https://probpalata.gov.ru/files/ЮЛ780300131300295.jpeg","Скачать индивидуальный QR-код магазина")</f>
        <v>Скачать индивидуальный QR-код магазина</v>
      </c>
    </row>
    <row r="10954" spans="1:7" x14ac:dyDescent="0.25">
      <c r="A10954" t="s">
        <v>34108</v>
      </c>
      <c r="B10954" t="s">
        <v>34238</v>
      </c>
      <c r="C10954" t="s">
        <v>773</v>
      </c>
      <c r="D10954" t="s">
        <v>774</v>
      </c>
      <c r="E10954" t="s">
        <v>775</v>
      </c>
      <c r="F10954" t="s">
        <v>34239</v>
      </c>
      <c r="G10954" s="2" t="str">
        <f>HYPERLINK("https://probpalata.gov.ru/files/ЮЛ780300131300426.jpeg","Скачать индивидуальный QR-код магазина")</f>
        <v>Скачать индивидуальный QR-код магазина</v>
      </c>
    </row>
    <row r="10955" spans="1:7" x14ac:dyDescent="0.25">
      <c r="A10955" t="s">
        <v>34108</v>
      </c>
      <c r="B10955" t="s">
        <v>34240</v>
      </c>
      <c r="C10955" t="s">
        <v>773</v>
      </c>
      <c r="D10955" t="s">
        <v>774</v>
      </c>
      <c r="E10955" t="s">
        <v>775</v>
      </c>
      <c r="F10955" t="s">
        <v>34241</v>
      </c>
      <c r="G10955" s="2" t="str">
        <f>HYPERLINK("https://probpalata.gov.ru/files/ЮЛ780300131300459.jpeg","Скачать индивидуальный QR-код магазина")</f>
        <v>Скачать индивидуальный QR-код магазина</v>
      </c>
    </row>
    <row r="10956" spans="1:7" x14ac:dyDescent="0.25">
      <c r="A10956" t="s">
        <v>34108</v>
      </c>
      <c r="B10956" t="s">
        <v>34242</v>
      </c>
      <c r="C10956" t="s">
        <v>798</v>
      </c>
      <c r="D10956" t="s">
        <v>799</v>
      </c>
      <c r="E10956" t="s">
        <v>800</v>
      </c>
      <c r="F10956" t="s">
        <v>34243</v>
      </c>
      <c r="G10956" s="2" t="str">
        <f>HYPERLINK("https://probpalata.gov.ru/files/ЮЛ780300308200037.jpeg","Скачать индивидуальный QR-код магазина")</f>
        <v>Скачать индивидуальный QR-код магазина</v>
      </c>
    </row>
    <row r="10957" spans="1:7" x14ac:dyDescent="0.25">
      <c r="A10957" t="s">
        <v>34108</v>
      </c>
      <c r="B10957" t="s">
        <v>34244</v>
      </c>
      <c r="C10957" t="s">
        <v>798</v>
      </c>
      <c r="D10957" t="s">
        <v>799</v>
      </c>
      <c r="E10957" t="s">
        <v>800</v>
      </c>
      <c r="F10957" t="s">
        <v>34245</v>
      </c>
      <c r="G10957" s="2" t="str">
        <f>HYPERLINK("https://probpalata.gov.ru/files/ЮЛ780300308200038.jpeg","Скачать индивидуальный QR-код магазина")</f>
        <v>Скачать индивидуальный QR-код магазина</v>
      </c>
    </row>
    <row r="10958" spans="1:7" x14ac:dyDescent="0.25">
      <c r="A10958" t="s">
        <v>34108</v>
      </c>
      <c r="B10958" t="s">
        <v>34246</v>
      </c>
      <c r="C10958" t="s">
        <v>798</v>
      </c>
      <c r="D10958" t="s">
        <v>799</v>
      </c>
      <c r="E10958" t="s">
        <v>800</v>
      </c>
      <c r="F10958" t="s">
        <v>34247</v>
      </c>
      <c r="G10958" s="2" t="str">
        <f>HYPERLINK("https://probpalata.gov.ru/files/ЮЛ780300308200051.jpeg","Скачать индивидуальный QR-код магазина")</f>
        <v>Скачать индивидуальный QR-код магазина</v>
      </c>
    </row>
    <row r="10959" spans="1:7" x14ac:dyDescent="0.25">
      <c r="A10959" t="s">
        <v>34108</v>
      </c>
      <c r="B10959" t="s">
        <v>34248</v>
      </c>
      <c r="C10959" t="s">
        <v>798</v>
      </c>
      <c r="D10959" t="s">
        <v>799</v>
      </c>
      <c r="E10959" t="s">
        <v>800</v>
      </c>
      <c r="F10959" t="s">
        <v>34249</v>
      </c>
      <c r="G10959" s="2" t="str">
        <f>HYPERLINK("https://probpalata.gov.ru/files/ЮЛ780300308200057.jpeg","Скачать индивидуальный QR-код магазина")</f>
        <v>Скачать индивидуальный QR-код магазина</v>
      </c>
    </row>
    <row r="10960" spans="1:7" x14ac:dyDescent="0.25">
      <c r="A10960" t="s">
        <v>34108</v>
      </c>
      <c r="B10960" t="s">
        <v>34250</v>
      </c>
      <c r="C10960" t="s">
        <v>798</v>
      </c>
      <c r="D10960" t="s">
        <v>799</v>
      </c>
      <c r="E10960" t="s">
        <v>800</v>
      </c>
      <c r="F10960" t="s">
        <v>34251</v>
      </c>
      <c r="G10960" s="2" t="str">
        <f>HYPERLINK("https://probpalata.gov.ru/files/ЮЛ780300308200288.jpeg","Скачать индивидуальный QR-код магазина")</f>
        <v>Скачать индивидуальный QR-код магазина</v>
      </c>
    </row>
    <row r="10961" spans="1:7" x14ac:dyDescent="0.25">
      <c r="A10961" t="s">
        <v>34108</v>
      </c>
      <c r="B10961" t="s">
        <v>34252</v>
      </c>
      <c r="C10961" t="s">
        <v>798</v>
      </c>
      <c r="D10961" t="s">
        <v>799</v>
      </c>
      <c r="E10961" t="s">
        <v>800</v>
      </c>
      <c r="F10961" t="s">
        <v>34253</v>
      </c>
      <c r="G10961" s="2" t="str">
        <f>HYPERLINK("https://probpalata.gov.ru/files/ЮЛ780300308200328.jpeg","Скачать индивидуальный QR-код магазина")</f>
        <v>Скачать индивидуальный QR-код магазина</v>
      </c>
    </row>
    <row r="10962" spans="1:7" x14ac:dyDescent="0.25">
      <c r="A10962" t="s">
        <v>34108</v>
      </c>
      <c r="B10962" t="s">
        <v>34254</v>
      </c>
      <c r="C10962" t="s">
        <v>798</v>
      </c>
      <c r="D10962" t="s">
        <v>799</v>
      </c>
      <c r="E10962" t="s">
        <v>800</v>
      </c>
      <c r="F10962" t="s">
        <v>34255</v>
      </c>
      <c r="G10962" s="2" t="str">
        <f>HYPERLINK("https://probpalata.gov.ru/files/ЮЛ780300308200747.jpeg","Скачать индивидуальный QR-код магазина")</f>
        <v>Скачать индивидуальный QR-код магазина</v>
      </c>
    </row>
    <row r="10963" spans="1:7" x14ac:dyDescent="0.25">
      <c r="A10963" t="s">
        <v>34108</v>
      </c>
      <c r="B10963" t="s">
        <v>34234</v>
      </c>
      <c r="C10963" t="s">
        <v>798</v>
      </c>
      <c r="D10963" t="s">
        <v>799</v>
      </c>
      <c r="E10963" t="s">
        <v>800</v>
      </c>
      <c r="F10963" t="s">
        <v>34256</v>
      </c>
      <c r="G10963" s="2" t="str">
        <f>HYPERLINK("https://probpalata.gov.ru/files/ЮЛ780300308200933.jpeg","Скачать индивидуальный QR-код магазина")</f>
        <v>Скачать индивидуальный QR-код магазина</v>
      </c>
    </row>
    <row r="10964" spans="1:7" x14ac:dyDescent="0.25">
      <c r="A10964" t="s">
        <v>34108</v>
      </c>
      <c r="B10964" t="s">
        <v>34257</v>
      </c>
      <c r="C10964" t="s">
        <v>798</v>
      </c>
      <c r="D10964" t="s">
        <v>799</v>
      </c>
      <c r="E10964" t="s">
        <v>800</v>
      </c>
      <c r="F10964" t="s">
        <v>34258</v>
      </c>
      <c r="G10964" s="2" t="str">
        <f>HYPERLINK("https://probpalata.gov.ru/files/ЮЛ780300308201003.jpeg","Скачать индивидуальный QR-код магазина")</f>
        <v>Скачать индивидуальный QR-код магазина</v>
      </c>
    </row>
    <row r="10965" spans="1:7" x14ac:dyDescent="0.25">
      <c r="A10965" t="s">
        <v>34108</v>
      </c>
      <c r="B10965" t="s">
        <v>34259</v>
      </c>
      <c r="C10965" t="s">
        <v>798</v>
      </c>
      <c r="D10965" t="s">
        <v>799</v>
      </c>
      <c r="E10965" t="s">
        <v>800</v>
      </c>
      <c r="F10965" t="s">
        <v>34260</v>
      </c>
      <c r="G10965" s="2" t="str">
        <f>HYPERLINK("https://probpalata.gov.ru/files/ЮЛ780300308201101.jpeg","Скачать индивидуальный QR-код магазина")</f>
        <v>Скачать индивидуальный QR-код магазина</v>
      </c>
    </row>
    <row r="10966" spans="1:7" x14ac:dyDescent="0.25">
      <c r="A10966" t="s">
        <v>34108</v>
      </c>
      <c r="B10966" t="s">
        <v>34261</v>
      </c>
      <c r="C10966" t="s">
        <v>2636</v>
      </c>
      <c r="D10966" t="s">
        <v>2637</v>
      </c>
      <c r="E10966" t="s">
        <v>2638</v>
      </c>
      <c r="F10966" t="s">
        <v>34262</v>
      </c>
      <c r="G10966" s="2" t="str">
        <f>HYPERLINK("https://probpalata.gov.ru/files/ЮЛ770100902000032.jpeg","Скачать индивидуальный QR-код магазина")</f>
        <v>Скачать индивидуальный QR-код магазина</v>
      </c>
    </row>
    <row r="10967" spans="1:7" x14ac:dyDescent="0.25">
      <c r="A10967" t="s">
        <v>34263</v>
      </c>
      <c r="B10967" t="s">
        <v>34264</v>
      </c>
      <c r="C10967" t="s">
        <v>3761</v>
      </c>
      <c r="D10967" t="s">
        <v>3762</v>
      </c>
      <c r="E10967" t="s">
        <v>3763</v>
      </c>
      <c r="F10967" t="s">
        <v>34265</v>
      </c>
      <c r="G10967" s="2" t="str">
        <f>HYPERLINK("https://probpalata.gov.ru/files/ЮЛ470300219500009.jpeg","Скачать индивидуальный QR-код магазина")</f>
        <v>Скачать индивидуальный QR-код магазина</v>
      </c>
    </row>
    <row r="10968" spans="1:7" x14ac:dyDescent="0.25">
      <c r="A10968" t="s">
        <v>34263</v>
      </c>
      <c r="B10968" t="s">
        <v>34266</v>
      </c>
      <c r="C10968" t="s">
        <v>2185</v>
      </c>
      <c r="D10968" t="s">
        <v>2186</v>
      </c>
      <c r="E10968" t="s">
        <v>2187</v>
      </c>
      <c r="F10968" t="s">
        <v>34267</v>
      </c>
      <c r="G10968" s="2" t="str">
        <f>HYPERLINK("https://probpalata.gov.ru/files/ЮЛ480100215000031.jpeg","Скачать индивидуальный QR-код магазина")</f>
        <v>Скачать индивидуальный QR-код магазина</v>
      </c>
    </row>
    <row r="10969" spans="1:7" x14ac:dyDescent="0.25">
      <c r="A10969" t="s">
        <v>34263</v>
      </c>
      <c r="B10969" t="s">
        <v>34268</v>
      </c>
      <c r="C10969" t="s">
        <v>681</v>
      </c>
      <c r="D10969" t="s">
        <v>682</v>
      </c>
      <c r="E10969" t="s">
        <v>683</v>
      </c>
      <c r="F10969" t="s">
        <v>34269</v>
      </c>
      <c r="G10969" s="2" t="str">
        <f>HYPERLINK("https://probpalata.gov.ru/files/ИП520600807800015.jpeg","Скачать индивидуальный QR-код магазина")</f>
        <v>Скачать индивидуальный QR-код магазина</v>
      </c>
    </row>
    <row r="10970" spans="1:7" x14ac:dyDescent="0.25">
      <c r="A10970" t="s">
        <v>34263</v>
      </c>
      <c r="B10970" t="s">
        <v>34270</v>
      </c>
      <c r="C10970" t="s">
        <v>34271</v>
      </c>
      <c r="D10970" t="s">
        <v>34272</v>
      </c>
      <c r="E10970" t="s">
        <v>34273</v>
      </c>
      <c r="F10970" t="s">
        <v>34274</v>
      </c>
      <c r="G10970" s="2" t="str">
        <f>HYPERLINK("https://probpalata.gov.ru/files/ИП580603813400000.jpeg","Скачать индивидуальный QR-код магазина")</f>
        <v>Скачать индивидуальный QR-код магазина</v>
      </c>
    </row>
    <row r="10971" spans="1:7" x14ac:dyDescent="0.25">
      <c r="A10971" t="s">
        <v>34263</v>
      </c>
      <c r="B10971" t="s">
        <v>34275</v>
      </c>
      <c r="C10971" t="s">
        <v>34276</v>
      </c>
      <c r="D10971" t="s">
        <v>34277</v>
      </c>
      <c r="E10971" t="s">
        <v>34278</v>
      </c>
      <c r="F10971" t="s">
        <v>34279</v>
      </c>
      <c r="G10971" s="2" t="str">
        <f>HYPERLINK("https://probpalata.gov.ru/files/ИП580600121200000.jpeg","Скачать индивидуальный QR-код магазина")</f>
        <v>Скачать индивидуальный QR-код магазина</v>
      </c>
    </row>
    <row r="10972" spans="1:7" x14ac:dyDescent="0.25">
      <c r="A10972" t="s">
        <v>34263</v>
      </c>
      <c r="B10972" t="s">
        <v>34280</v>
      </c>
      <c r="C10972" t="s">
        <v>34281</v>
      </c>
      <c r="D10972" t="s">
        <v>34282</v>
      </c>
      <c r="E10972" t="s">
        <v>34283</v>
      </c>
      <c r="F10972" t="s">
        <v>34284</v>
      </c>
      <c r="G10972" s="2" t="str">
        <f>HYPERLINK("https://probpalata.gov.ru/files/ИП580600412500000.jpeg","Скачать индивидуальный QR-код магазина")</f>
        <v>Скачать индивидуальный QR-код магазина</v>
      </c>
    </row>
    <row r="10973" spans="1:7" x14ac:dyDescent="0.25">
      <c r="A10973" t="s">
        <v>34263</v>
      </c>
      <c r="B10973" t="s">
        <v>34285</v>
      </c>
      <c r="C10973" t="s">
        <v>34286</v>
      </c>
      <c r="D10973" t="s">
        <v>34287</v>
      </c>
      <c r="E10973" t="s">
        <v>34288</v>
      </c>
      <c r="F10973" t="s">
        <v>34289</v>
      </c>
      <c r="G10973" s="2" t="str">
        <f>HYPERLINK("https://probpalata.gov.ru/files/ИП580600746400000.jpeg","Скачать индивидуальный QR-код магазина")</f>
        <v>Скачать индивидуальный QR-код магазина</v>
      </c>
    </row>
    <row r="10974" spans="1:7" x14ac:dyDescent="0.25">
      <c r="A10974" t="s">
        <v>34263</v>
      </c>
      <c r="B10974" t="s">
        <v>34290</v>
      </c>
      <c r="C10974" t="s">
        <v>34291</v>
      </c>
      <c r="D10974" t="s">
        <v>34292</v>
      </c>
      <c r="E10974" t="s">
        <v>34293</v>
      </c>
      <c r="F10974" t="s">
        <v>34294</v>
      </c>
      <c r="G10974" s="2" t="str">
        <f>HYPERLINK("https://probpalata.gov.ru/files/ИП580600850500000.jpeg","Скачать индивидуальный QR-код магазина")</f>
        <v>Скачать индивидуальный QR-код магазина</v>
      </c>
    </row>
    <row r="10975" spans="1:7" x14ac:dyDescent="0.25">
      <c r="A10975" t="s">
        <v>34263</v>
      </c>
      <c r="B10975" t="s">
        <v>34295</v>
      </c>
      <c r="C10975" t="s">
        <v>34291</v>
      </c>
      <c r="D10975" t="s">
        <v>34292</v>
      </c>
      <c r="E10975" t="s">
        <v>34293</v>
      </c>
      <c r="F10975" t="s">
        <v>34296</v>
      </c>
      <c r="G10975" s="2" t="str">
        <f>HYPERLINK("https://probpalata.gov.ru/files/ИП580600850500001.jpeg","Скачать индивидуальный QR-код магазина")</f>
        <v>Скачать индивидуальный QR-код магазина</v>
      </c>
    </row>
    <row r="10976" spans="1:7" x14ac:dyDescent="0.25">
      <c r="A10976" t="s">
        <v>34263</v>
      </c>
      <c r="B10976" t="s">
        <v>34297</v>
      </c>
      <c r="C10976" t="s">
        <v>34298</v>
      </c>
      <c r="D10976" t="s">
        <v>34299</v>
      </c>
      <c r="E10976" t="s">
        <v>34300</v>
      </c>
      <c r="F10976" t="s">
        <v>34301</v>
      </c>
      <c r="G10976" s="2" t="str">
        <f>HYPERLINK("https://probpalata.gov.ru/files/ИП770100207200000.jpeg","Скачать индивидуальный QR-код магазина")</f>
        <v>Скачать индивидуальный QR-код магазина</v>
      </c>
    </row>
    <row r="10977" spans="1:7" x14ac:dyDescent="0.25">
      <c r="A10977" t="s">
        <v>34263</v>
      </c>
      <c r="B10977" t="s">
        <v>34302</v>
      </c>
      <c r="C10977" t="s">
        <v>34303</v>
      </c>
      <c r="D10977" t="s">
        <v>34304</v>
      </c>
      <c r="E10977" t="s">
        <v>34305</v>
      </c>
      <c r="F10977" t="s">
        <v>34306</v>
      </c>
      <c r="G10977" s="2" t="str">
        <f>HYPERLINK("https://probpalata.gov.ru/files/ИП580600307100000.jpeg","Скачать индивидуальный QR-код магазина")</f>
        <v>Скачать индивидуальный QR-код магазина</v>
      </c>
    </row>
    <row r="10978" spans="1:7" x14ac:dyDescent="0.25">
      <c r="A10978" t="s">
        <v>34263</v>
      </c>
      <c r="B10978" t="s">
        <v>34307</v>
      </c>
      <c r="C10978" t="s">
        <v>34303</v>
      </c>
      <c r="D10978" t="s">
        <v>34304</v>
      </c>
      <c r="E10978" t="s">
        <v>34305</v>
      </c>
      <c r="F10978" t="s">
        <v>34308</v>
      </c>
      <c r="G10978" s="2" t="str">
        <f>HYPERLINK("https://probpalata.gov.ru/files/ИП580600307100001.jpeg","Скачать индивидуальный QR-код магазина")</f>
        <v>Скачать индивидуальный QR-код магазина</v>
      </c>
    </row>
    <row r="10979" spans="1:7" x14ac:dyDescent="0.25">
      <c r="A10979" t="s">
        <v>34263</v>
      </c>
      <c r="B10979" t="s">
        <v>34307</v>
      </c>
      <c r="C10979" t="s">
        <v>34303</v>
      </c>
      <c r="D10979" t="s">
        <v>34304</v>
      </c>
      <c r="E10979" t="s">
        <v>34305</v>
      </c>
      <c r="F10979" t="s">
        <v>34309</v>
      </c>
      <c r="G10979" s="2" t="str">
        <f>HYPERLINK("https://probpalata.gov.ru/files/ИП580600307100002.jpeg","Скачать индивидуальный QR-код магазина")</f>
        <v>Скачать индивидуальный QR-код магазина</v>
      </c>
    </row>
    <row r="10980" spans="1:7" x14ac:dyDescent="0.25">
      <c r="A10980" t="s">
        <v>34263</v>
      </c>
      <c r="B10980" t="s">
        <v>34310</v>
      </c>
      <c r="C10980" t="s">
        <v>34303</v>
      </c>
      <c r="D10980" t="s">
        <v>34304</v>
      </c>
      <c r="E10980" t="s">
        <v>34305</v>
      </c>
      <c r="F10980" t="s">
        <v>34311</v>
      </c>
      <c r="G10980" s="2" t="str">
        <f>HYPERLINK("https://probpalata.gov.ru/files/ИП580600307100003.jpeg","Скачать индивидуальный QR-код магазина")</f>
        <v>Скачать индивидуальный QR-код магазина</v>
      </c>
    </row>
    <row r="10981" spans="1:7" x14ac:dyDescent="0.25">
      <c r="A10981" t="s">
        <v>34263</v>
      </c>
      <c r="B10981" t="s">
        <v>34312</v>
      </c>
      <c r="C10981" t="s">
        <v>11670</v>
      </c>
      <c r="D10981" t="s">
        <v>34313</v>
      </c>
      <c r="E10981" t="s">
        <v>34314</v>
      </c>
      <c r="F10981" t="s">
        <v>34315</v>
      </c>
      <c r="G10981" s="2" t="str">
        <f>HYPERLINK("https://probpalata.gov.ru/files/ЮЛ580600874400000.jpeg","Скачать индивидуальный QR-код магазина")</f>
        <v>Скачать индивидуальный QR-код магазина</v>
      </c>
    </row>
    <row r="10982" spans="1:7" x14ac:dyDescent="0.25">
      <c r="A10982" t="s">
        <v>34263</v>
      </c>
      <c r="B10982" t="s">
        <v>34316</v>
      </c>
      <c r="C10982" t="s">
        <v>34317</v>
      </c>
      <c r="D10982" t="s">
        <v>34318</v>
      </c>
      <c r="E10982" t="s">
        <v>34319</v>
      </c>
      <c r="F10982" t="s">
        <v>34320</v>
      </c>
      <c r="G10982" s="2" t="str">
        <f>HYPERLINK("https://probpalata.gov.ru/files/ИП580603421800001.jpeg","Скачать индивидуальный QR-код магазина")</f>
        <v>Скачать индивидуальный QR-код магазина</v>
      </c>
    </row>
    <row r="10983" spans="1:7" x14ac:dyDescent="0.25">
      <c r="A10983" t="s">
        <v>34263</v>
      </c>
      <c r="B10983" t="s">
        <v>34321</v>
      </c>
      <c r="C10983" t="s">
        <v>34322</v>
      </c>
      <c r="D10983" t="s">
        <v>34323</v>
      </c>
      <c r="E10983" t="s">
        <v>34324</v>
      </c>
      <c r="F10983" t="s">
        <v>34325</v>
      </c>
      <c r="G10983" s="2" t="str">
        <f>HYPERLINK("https://probpalata.gov.ru/files/ИП580600527600000.jpeg","Скачать индивидуальный QR-код магазина")</f>
        <v>Скачать индивидуальный QR-код магазина</v>
      </c>
    </row>
    <row r="10984" spans="1:7" x14ac:dyDescent="0.25">
      <c r="A10984" t="s">
        <v>34263</v>
      </c>
      <c r="B10984" t="s">
        <v>34275</v>
      </c>
      <c r="C10984" t="s">
        <v>34326</v>
      </c>
      <c r="D10984" t="s">
        <v>34327</v>
      </c>
      <c r="E10984" t="s">
        <v>34328</v>
      </c>
      <c r="F10984" t="s">
        <v>34329</v>
      </c>
      <c r="G10984" s="2" t="str">
        <f>HYPERLINK("https://probpalata.gov.ru/files/ИП580600579900000.jpeg","Скачать индивидуальный QR-код магазина")</f>
        <v>Скачать индивидуальный QR-код магазина</v>
      </c>
    </row>
    <row r="10985" spans="1:7" x14ac:dyDescent="0.25">
      <c r="A10985" t="s">
        <v>34263</v>
      </c>
      <c r="B10985" t="s">
        <v>34307</v>
      </c>
      <c r="C10985" t="s">
        <v>34326</v>
      </c>
      <c r="D10985" t="s">
        <v>34327</v>
      </c>
      <c r="E10985" t="s">
        <v>34328</v>
      </c>
      <c r="F10985" t="s">
        <v>34330</v>
      </c>
      <c r="G10985" s="2" t="str">
        <f>HYPERLINK("https://probpalata.gov.ru/files/ИП580600579900001.jpeg","Скачать индивидуальный QR-код магазина")</f>
        <v>Скачать индивидуальный QR-код магазина</v>
      </c>
    </row>
    <row r="10986" spans="1:7" x14ac:dyDescent="0.25">
      <c r="A10986" t="s">
        <v>34263</v>
      </c>
      <c r="B10986" t="s">
        <v>34307</v>
      </c>
      <c r="C10986" t="s">
        <v>34331</v>
      </c>
      <c r="D10986" t="s">
        <v>34332</v>
      </c>
      <c r="E10986" t="s">
        <v>34333</v>
      </c>
      <c r="F10986" t="s">
        <v>34334</v>
      </c>
      <c r="G10986" s="2" t="str">
        <f>HYPERLINK("https://probpalata.gov.ru/files/ИП580604082800000.jpeg","Скачать индивидуальный QR-код магазина")</f>
        <v>Скачать индивидуальный QR-код магазина</v>
      </c>
    </row>
    <row r="10987" spans="1:7" x14ac:dyDescent="0.25">
      <c r="A10987" t="s">
        <v>34263</v>
      </c>
      <c r="B10987" t="s">
        <v>34335</v>
      </c>
      <c r="C10987" t="s">
        <v>34336</v>
      </c>
      <c r="D10987" t="s">
        <v>34337</v>
      </c>
      <c r="E10987" t="s">
        <v>34338</v>
      </c>
      <c r="F10987" t="s">
        <v>34339</v>
      </c>
      <c r="G10987" s="2" t="str">
        <f>HYPERLINK("https://probpalata.gov.ru/files/ИП580600885100000.jpeg","Скачать индивидуальный QR-код магазина")</f>
        <v>Скачать индивидуальный QR-код магазина</v>
      </c>
    </row>
    <row r="10988" spans="1:7" x14ac:dyDescent="0.25">
      <c r="A10988" t="s">
        <v>34263</v>
      </c>
      <c r="B10988" t="s">
        <v>34340</v>
      </c>
      <c r="C10988" t="s">
        <v>34341</v>
      </c>
      <c r="D10988" t="s">
        <v>34342</v>
      </c>
      <c r="E10988" t="s">
        <v>34343</v>
      </c>
      <c r="F10988" t="s">
        <v>34344</v>
      </c>
      <c r="G10988" s="2" t="str">
        <f>HYPERLINK("https://probpalata.gov.ru/files/ИП580602008100000.jpeg","Скачать индивидуальный QR-код магазина")</f>
        <v>Скачать индивидуальный QR-код магазина</v>
      </c>
    </row>
    <row r="10989" spans="1:7" x14ac:dyDescent="0.25">
      <c r="A10989" t="s">
        <v>34263</v>
      </c>
      <c r="B10989" t="s">
        <v>34345</v>
      </c>
      <c r="C10989" t="s">
        <v>34346</v>
      </c>
      <c r="D10989" t="s">
        <v>34347</v>
      </c>
      <c r="E10989" t="s">
        <v>34348</v>
      </c>
      <c r="F10989" t="s">
        <v>34349</v>
      </c>
      <c r="G10989" s="2" t="str">
        <f>HYPERLINK("https://probpalata.gov.ru/files/ИП580603351600000.jpeg","Скачать индивидуальный QR-код магазина")</f>
        <v>Скачать индивидуальный QR-код магазина</v>
      </c>
    </row>
    <row r="10990" spans="1:7" x14ac:dyDescent="0.25">
      <c r="A10990" t="s">
        <v>34263</v>
      </c>
      <c r="B10990" t="s">
        <v>34350</v>
      </c>
      <c r="C10990" t="s">
        <v>34351</v>
      </c>
      <c r="D10990" t="s">
        <v>34352</v>
      </c>
      <c r="E10990" t="s">
        <v>34353</v>
      </c>
      <c r="F10990" t="s">
        <v>34354</v>
      </c>
      <c r="G10990" s="2" t="str">
        <f>HYPERLINK("https://probpalata.gov.ru/files/ИП580603152100000.jpeg","Скачать индивидуальный QR-код магазина")</f>
        <v>Скачать индивидуальный QR-код магазина</v>
      </c>
    </row>
    <row r="10991" spans="1:7" x14ac:dyDescent="0.25">
      <c r="A10991" t="s">
        <v>34263</v>
      </c>
      <c r="B10991" t="s">
        <v>34355</v>
      </c>
      <c r="C10991" t="s">
        <v>34351</v>
      </c>
      <c r="D10991" t="s">
        <v>34352</v>
      </c>
      <c r="E10991" t="s">
        <v>34353</v>
      </c>
      <c r="F10991" t="s">
        <v>34356</v>
      </c>
      <c r="G10991" s="2" t="str">
        <f>HYPERLINK("https://probpalata.gov.ru/files/ИП580603152100002.jpeg","Скачать индивидуальный QR-код магазина")</f>
        <v>Скачать индивидуальный QR-код магазина</v>
      </c>
    </row>
    <row r="10992" spans="1:7" x14ac:dyDescent="0.25">
      <c r="A10992" t="s">
        <v>34263</v>
      </c>
      <c r="B10992" t="s">
        <v>34357</v>
      </c>
      <c r="C10992" t="s">
        <v>34358</v>
      </c>
      <c r="D10992" t="s">
        <v>34359</v>
      </c>
      <c r="E10992" t="s">
        <v>34360</v>
      </c>
      <c r="F10992" t="s">
        <v>34361</v>
      </c>
      <c r="G10992" s="2" t="str">
        <f>HYPERLINK("https://probpalata.gov.ru/files/ИП580600061000000.jpeg","Скачать индивидуальный QR-код магазина")</f>
        <v>Скачать индивидуальный QR-код магазина</v>
      </c>
    </row>
    <row r="10993" spans="1:7" x14ac:dyDescent="0.25">
      <c r="A10993" t="s">
        <v>34263</v>
      </c>
      <c r="B10993" t="s">
        <v>34362</v>
      </c>
      <c r="C10993" t="s">
        <v>34358</v>
      </c>
      <c r="D10993" t="s">
        <v>34359</v>
      </c>
      <c r="E10993" t="s">
        <v>34360</v>
      </c>
      <c r="F10993" t="s">
        <v>34363</v>
      </c>
      <c r="G10993" s="2" t="str">
        <f>HYPERLINK("https://probpalata.gov.ru/files/ИП580600061000001.jpeg","Скачать индивидуальный QR-код магазина")</f>
        <v>Скачать индивидуальный QR-код магазина</v>
      </c>
    </row>
    <row r="10994" spans="1:7" x14ac:dyDescent="0.25">
      <c r="A10994" t="s">
        <v>34263</v>
      </c>
      <c r="B10994" t="s">
        <v>34364</v>
      </c>
      <c r="C10994" t="s">
        <v>34365</v>
      </c>
      <c r="D10994" t="s">
        <v>34366</v>
      </c>
      <c r="E10994" t="s">
        <v>34367</v>
      </c>
      <c r="F10994" t="s">
        <v>34368</v>
      </c>
      <c r="G10994" s="2" t="str">
        <f>HYPERLINK("https://probpalata.gov.ru/files/ИП580600928400000.jpeg","Скачать индивидуальный QR-код магазина")</f>
        <v>Скачать индивидуальный QR-код магазина</v>
      </c>
    </row>
    <row r="10995" spans="1:7" x14ac:dyDescent="0.25">
      <c r="A10995" t="s">
        <v>34263</v>
      </c>
      <c r="B10995" t="s">
        <v>34369</v>
      </c>
      <c r="C10995" t="s">
        <v>34365</v>
      </c>
      <c r="D10995" t="s">
        <v>34366</v>
      </c>
      <c r="E10995" t="s">
        <v>34367</v>
      </c>
      <c r="F10995" t="s">
        <v>34370</v>
      </c>
      <c r="G10995" s="2" t="str">
        <f>HYPERLINK("https://probpalata.gov.ru/files/ИП580600928400001.jpeg","Скачать индивидуальный QR-код магазина")</f>
        <v>Скачать индивидуальный QR-код магазина</v>
      </c>
    </row>
    <row r="10996" spans="1:7" x14ac:dyDescent="0.25">
      <c r="A10996" t="s">
        <v>34263</v>
      </c>
      <c r="B10996" t="s">
        <v>34371</v>
      </c>
      <c r="C10996" t="s">
        <v>34365</v>
      </c>
      <c r="D10996" t="s">
        <v>34366</v>
      </c>
      <c r="E10996" t="s">
        <v>34367</v>
      </c>
      <c r="F10996" t="s">
        <v>34372</v>
      </c>
      <c r="G10996" s="2" t="str">
        <f>HYPERLINK("https://probpalata.gov.ru/files/ИП580600928400003.jpeg","Скачать индивидуальный QR-код магазина")</f>
        <v>Скачать индивидуальный QR-код магазина</v>
      </c>
    </row>
    <row r="10997" spans="1:7" x14ac:dyDescent="0.25">
      <c r="A10997" t="s">
        <v>34263</v>
      </c>
      <c r="B10997" t="s">
        <v>34373</v>
      </c>
      <c r="C10997" t="s">
        <v>34374</v>
      </c>
      <c r="D10997" t="s">
        <v>34375</v>
      </c>
      <c r="E10997" t="s">
        <v>34376</v>
      </c>
      <c r="F10997" t="s">
        <v>34377</v>
      </c>
      <c r="G10997" s="2" t="str">
        <f>HYPERLINK("https://probpalata.gov.ru/files/ИП580600113300000.jpeg","Скачать индивидуальный QR-код магазина")</f>
        <v>Скачать индивидуальный QR-код магазина</v>
      </c>
    </row>
    <row r="10998" spans="1:7" x14ac:dyDescent="0.25">
      <c r="A10998" t="s">
        <v>34263</v>
      </c>
      <c r="B10998" t="s">
        <v>34378</v>
      </c>
      <c r="C10998" t="s">
        <v>34374</v>
      </c>
      <c r="D10998" t="s">
        <v>34375</v>
      </c>
      <c r="E10998" t="s">
        <v>34376</v>
      </c>
      <c r="F10998" t="s">
        <v>34379</v>
      </c>
      <c r="G10998" s="2" t="str">
        <f>HYPERLINK("https://probpalata.gov.ru/files/ИП580600113300001.jpeg","Скачать индивидуальный QR-код магазина")</f>
        <v>Скачать индивидуальный QR-код магазина</v>
      </c>
    </row>
    <row r="10999" spans="1:7" x14ac:dyDescent="0.25">
      <c r="A10999" t="s">
        <v>34263</v>
      </c>
      <c r="B10999" t="s">
        <v>34380</v>
      </c>
      <c r="C10999" t="s">
        <v>34374</v>
      </c>
      <c r="D10999" t="s">
        <v>34375</v>
      </c>
      <c r="E10999" t="s">
        <v>34376</v>
      </c>
      <c r="F10999" t="s">
        <v>34381</v>
      </c>
      <c r="G10999" s="2" t="str">
        <f>HYPERLINK("https://probpalata.gov.ru/files/ИП580600113300002.jpeg","Скачать индивидуальный QR-код магазина")</f>
        <v>Скачать индивидуальный QR-код магазина</v>
      </c>
    </row>
    <row r="11000" spans="1:7" x14ac:dyDescent="0.25">
      <c r="A11000" t="s">
        <v>34263</v>
      </c>
      <c r="B11000" t="s">
        <v>34382</v>
      </c>
      <c r="C11000" t="s">
        <v>34383</v>
      </c>
      <c r="D11000" t="s">
        <v>34384</v>
      </c>
      <c r="E11000" t="s">
        <v>34385</v>
      </c>
      <c r="F11000" t="s">
        <v>34386</v>
      </c>
      <c r="G11000" s="2" t="str">
        <f>HYPERLINK("https://probpalata.gov.ru/files/ИП580600068500000.jpeg","Скачать индивидуальный QR-код магазина")</f>
        <v>Скачать индивидуальный QR-код магазина</v>
      </c>
    </row>
    <row r="11001" spans="1:7" x14ac:dyDescent="0.25">
      <c r="A11001" t="s">
        <v>34263</v>
      </c>
      <c r="B11001" t="s">
        <v>34387</v>
      </c>
      <c r="C11001" t="s">
        <v>34388</v>
      </c>
      <c r="D11001" t="s">
        <v>34389</v>
      </c>
      <c r="E11001" t="s">
        <v>34390</v>
      </c>
      <c r="F11001" t="s">
        <v>34391</v>
      </c>
      <c r="G11001" s="2" t="str">
        <f>HYPERLINK("https://probpalata.gov.ru/files/ИП580600199400000.jpeg","Скачать индивидуальный QR-код магазина")</f>
        <v>Скачать индивидуальный QR-код магазина</v>
      </c>
    </row>
    <row r="11002" spans="1:7" x14ac:dyDescent="0.25">
      <c r="A11002" t="s">
        <v>34263</v>
      </c>
      <c r="B11002" t="s">
        <v>34392</v>
      </c>
      <c r="C11002" t="s">
        <v>34388</v>
      </c>
      <c r="D11002" t="s">
        <v>34389</v>
      </c>
      <c r="E11002" t="s">
        <v>34390</v>
      </c>
      <c r="F11002" t="s">
        <v>34393</v>
      </c>
      <c r="G11002" s="2" t="str">
        <f>HYPERLINK("https://probpalata.gov.ru/files/ИП580600199400006.jpeg","Скачать индивидуальный QR-код магазина")</f>
        <v>Скачать индивидуальный QR-код магазина</v>
      </c>
    </row>
    <row r="11003" spans="1:7" x14ac:dyDescent="0.25">
      <c r="A11003" t="s">
        <v>34263</v>
      </c>
      <c r="B11003" t="s">
        <v>34394</v>
      </c>
      <c r="C11003" t="s">
        <v>34388</v>
      </c>
      <c r="D11003" t="s">
        <v>34389</v>
      </c>
      <c r="E11003" t="s">
        <v>34390</v>
      </c>
      <c r="F11003" t="s">
        <v>34395</v>
      </c>
      <c r="G11003" s="2" t="str">
        <f>HYPERLINK("https://probpalata.gov.ru/files/ИП580600199400007.jpeg","Скачать индивидуальный QR-код магазина")</f>
        <v>Скачать индивидуальный QR-код магазина</v>
      </c>
    </row>
    <row r="11004" spans="1:7" x14ac:dyDescent="0.25">
      <c r="A11004" t="s">
        <v>34263</v>
      </c>
      <c r="B11004" t="s">
        <v>34396</v>
      </c>
      <c r="C11004" t="s">
        <v>34388</v>
      </c>
      <c r="D11004" t="s">
        <v>34389</v>
      </c>
      <c r="E11004" t="s">
        <v>34390</v>
      </c>
      <c r="F11004" t="s">
        <v>34397</v>
      </c>
      <c r="G11004" s="2" t="str">
        <f>HYPERLINK("https://probpalata.gov.ru/files/ИП580600199400008.jpeg","Скачать индивидуальный QR-код магазина")</f>
        <v>Скачать индивидуальный QR-код магазина</v>
      </c>
    </row>
    <row r="11005" spans="1:7" x14ac:dyDescent="0.25">
      <c r="A11005" t="s">
        <v>34263</v>
      </c>
      <c r="B11005" t="s">
        <v>34398</v>
      </c>
      <c r="C11005" t="s">
        <v>34399</v>
      </c>
      <c r="D11005" t="s">
        <v>34400</v>
      </c>
      <c r="E11005" t="s">
        <v>34401</v>
      </c>
      <c r="F11005" t="s">
        <v>34402</v>
      </c>
      <c r="G11005" s="2" t="str">
        <f>HYPERLINK("https://probpalata.gov.ru/files/ИП580600277900000.jpeg","Скачать индивидуальный QR-код магазина")</f>
        <v>Скачать индивидуальный QR-код магазина</v>
      </c>
    </row>
    <row r="11006" spans="1:7" x14ac:dyDescent="0.25">
      <c r="A11006" t="s">
        <v>34263</v>
      </c>
      <c r="B11006" t="s">
        <v>34403</v>
      </c>
      <c r="C11006" t="s">
        <v>34404</v>
      </c>
      <c r="D11006" t="s">
        <v>34405</v>
      </c>
      <c r="E11006" t="s">
        <v>34406</v>
      </c>
      <c r="F11006" t="s">
        <v>34407</v>
      </c>
      <c r="G11006" s="2" t="str">
        <f>HYPERLINK("https://probpalata.gov.ru/files/ИП580600886400000.jpeg","Скачать индивидуальный QR-код магазина")</f>
        <v>Скачать индивидуальный QR-код магазина</v>
      </c>
    </row>
    <row r="11007" spans="1:7" x14ac:dyDescent="0.25">
      <c r="A11007" t="s">
        <v>34263</v>
      </c>
      <c r="B11007" t="s">
        <v>34408</v>
      </c>
      <c r="C11007" t="s">
        <v>34409</v>
      </c>
      <c r="D11007" t="s">
        <v>34410</v>
      </c>
      <c r="E11007" t="s">
        <v>34411</v>
      </c>
      <c r="F11007" t="s">
        <v>34412</v>
      </c>
      <c r="G11007" s="2" t="str">
        <f>HYPERLINK("https://probpalata.gov.ru/files/ИП580600184900000.jpeg","Скачать индивидуальный QR-код магазина")</f>
        <v>Скачать индивидуальный QR-код магазина</v>
      </c>
    </row>
    <row r="11008" spans="1:7" x14ac:dyDescent="0.25">
      <c r="A11008" t="s">
        <v>34263</v>
      </c>
      <c r="B11008" t="s">
        <v>34413</v>
      </c>
      <c r="C11008" t="s">
        <v>34414</v>
      </c>
      <c r="D11008" t="s">
        <v>34415</v>
      </c>
      <c r="E11008" t="s">
        <v>34416</v>
      </c>
      <c r="F11008" t="s">
        <v>34417</v>
      </c>
      <c r="G11008" s="2" t="str">
        <f>HYPERLINK("https://probpalata.gov.ru/files/ЮЛ580603270300000.jpeg","Скачать индивидуальный QR-код магазина")</f>
        <v>Скачать индивидуальный QR-код магазина</v>
      </c>
    </row>
    <row r="11009" spans="1:7" x14ac:dyDescent="0.25">
      <c r="A11009" t="s">
        <v>34263</v>
      </c>
      <c r="B11009" t="s">
        <v>34418</v>
      </c>
      <c r="C11009" t="s">
        <v>34419</v>
      </c>
      <c r="D11009" t="s">
        <v>34420</v>
      </c>
      <c r="E11009" t="s">
        <v>34421</v>
      </c>
      <c r="F11009" t="s">
        <v>34422</v>
      </c>
      <c r="G11009" s="2" t="str">
        <f>HYPERLINK("https://probpalata.gov.ru/files/ИП580600232200000.jpeg","Скачать индивидуальный QR-код магазина")</f>
        <v>Скачать индивидуальный QR-код магазина</v>
      </c>
    </row>
    <row r="11010" spans="1:7" x14ac:dyDescent="0.25">
      <c r="A11010" t="s">
        <v>34263</v>
      </c>
      <c r="B11010" t="s">
        <v>34423</v>
      </c>
      <c r="C11010" t="s">
        <v>34419</v>
      </c>
      <c r="D11010" t="s">
        <v>34420</v>
      </c>
      <c r="E11010" t="s">
        <v>34421</v>
      </c>
      <c r="F11010" t="s">
        <v>34424</v>
      </c>
      <c r="G11010" s="2" t="str">
        <f>HYPERLINK("https://probpalata.gov.ru/files/ИП580600232200003.jpeg","Скачать индивидуальный QR-код магазина")</f>
        <v>Скачать индивидуальный QR-код магазина</v>
      </c>
    </row>
    <row r="11011" spans="1:7" x14ac:dyDescent="0.25">
      <c r="A11011" t="s">
        <v>34263</v>
      </c>
      <c r="B11011" t="s">
        <v>34425</v>
      </c>
      <c r="C11011" t="s">
        <v>34419</v>
      </c>
      <c r="D11011" t="s">
        <v>34420</v>
      </c>
      <c r="E11011" t="s">
        <v>34421</v>
      </c>
      <c r="F11011" t="s">
        <v>34426</v>
      </c>
      <c r="G11011" s="2" t="str">
        <f>HYPERLINK("https://probpalata.gov.ru/files/ИП580600232200004.jpeg","Скачать индивидуальный QR-код магазина")</f>
        <v>Скачать индивидуальный QR-код магазина</v>
      </c>
    </row>
    <row r="11012" spans="1:7" x14ac:dyDescent="0.25">
      <c r="A11012" t="s">
        <v>34263</v>
      </c>
      <c r="B11012" t="s">
        <v>34427</v>
      </c>
      <c r="C11012" t="s">
        <v>34419</v>
      </c>
      <c r="D11012" t="s">
        <v>34420</v>
      </c>
      <c r="E11012" t="s">
        <v>34421</v>
      </c>
      <c r="F11012" t="s">
        <v>34428</v>
      </c>
      <c r="G11012" s="2" t="str">
        <f>HYPERLINK("https://probpalata.gov.ru/files/ИП580600232200005.jpeg","Скачать индивидуальный QR-код магазина")</f>
        <v>Скачать индивидуальный QR-код магазина</v>
      </c>
    </row>
    <row r="11013" spans="1:7" x14ac:dyDescent="0.25">
      <c r="A11013" t="s">
        <v>34263</v>
      </c>
      <c r="B11013" t="s">
        <v>34429</v>
      </c>
      <c r="C11013" t="s">
        <v>34419</v>
      </c>
      <c r="D11013" t="s">
        <v>34420</v>
      </c>
      <c r="E11013" t="s">
        <v>34421</v>
      </c>
      <c r="F11013" t="s">
        <v>34430</v>
      </c>
      <c r="G11013" s="2" t="str">
        <f>HYPERLINK("https://probpalata.gov.ru/files/ИП580600232200010.jpeg","Скачать индивидуальный QR-код магазина")</f>
        <v>Скачать индивидуальный QR-код магазина</v>
      </c>
    </row>
    <row r="11014" spans="1:7" x14ac:dyDescent="0.25">
      <c r="A11014" t="s">
        <v>34263</v>
      </c>
      <c r="B11014" t="s">
        <v>34429</v>
      </c>
      <c r="C11014" t="s">
        <v>34419</v>
      </c>
      <c r="D11014" t="s">
        <v>34420</v>
      </c>
      <c r="E11014" t="s">
        <v>34421</v>
      </c>
      <c r="F11014" t="s">
        <v>34431</v>
      </c>
      <c r="G11014" s="2" t="str">
        <f>HYPERLINK("https://probpalata.gov.ru/files/ИП580600232200012.jpeg","Скачать индивидуальный QR-код магазина")</f>
        <v>Скачать индивидуальный QR-код магазина</v>
      </c>
    </row>
    <row r="11015" spans="1:7" x14ac:dyDescent="0.25">
      <c r="A11015" t="s">
        <v>34263</v>
      </c>
      <c r="B11015" t="s">
        <v>34432</v>
      </c>
      <c r="C11015" t="s">
        <v>34433</v>
      </c>
      <c r="D11015" t="s">
        <v>34434</v>
      </c>
      <c r="E11015" t="s">
        <v>34435</v>
      </c>
      <c r="F11015" t="s">
        <v>34436</v>
      </c>
      <c r="G11015" s="2" t="str">
        <f>HYPERLINK("https://probpalata.gov.ru/files/ИП580600059600000.jpeg","Скачать индивидуальный QR-код магазина")</f>
        <v>Скачать индивидуальный QR-код магазина</v>
      </c>
    </row>
    <row r="11016" spans="1:7" x14ac:dyDescent="0.25">
      <c r="A11016" t="s">
        <v>34263</v>
      </c>
      <c r="B11016" t="s">
        <v>34437</v>
      </c>
      <c r="C11016" t="s">
        <v>34438</v>
      </c>
      <c r="D11016" t="s">
        <v>34439</v>
      </c>
      <c r="E11016" t="s">
        <v>34440</v>
      </c>
      <c r="F11016" t="s">
        <v>34441</v>
      </c>
      <c r="G11016" s="2" t="str">
        <f>HYPERLINK("https://probpalata.gov.ru/files/ИП580600028300000.jpeg","Скачать индивидуальный QR-код магазина")</f>
        <v>Скачать индивидуальный QR-код магазина</v>
      </c>
    </row>
    <row r="11017" spans="1:7" x14ac:dyDescent="0.25">
      <c r="A11017" t="s">
        <v>34263</v>
      </c>
      <c r="B11017" t="s">
        <v>34442</v>
      </c>
      <c r="C11017" t="s">
        <v>18168</v>
      </c>
      <c r="D11017" t="s">
        <v>34443</v>
      </c>
      <c r="E11017" t="s">
        <v>34444</v>
      </c>
      <c r="F11017" t="s">
        <v>34445</v>
      </c>
      <c r="G11017" s="2" t="str">
        <f>HYPERLINK("https://probpalata.gov.ru/files/ЮЛ580600028100000.jpeg","Скачать индивидуальный QR-код магазина")</f>
        <v>Скачать индивидуальный QR-код магазина</v>
      </c>
    </row>
    <row r="11018" spans="1:7" x14ac:dyDescent="0.25">
      <c r="A11018" t="s">
        <v>34263</v>
      </c>
      <c r="B11018" t="s">
        <v>34446</v>
      </c>
      <c r="C11018" t="s">
        <v>34447</v>
      </c>
      <c r="D11018" t="s">
        <v>34448</v>
      </c>
      <c r="E11018" t="s">
        <v>34449</v>
      </c>
      <c r="F11018" t="s">
        <v>34450</v>
      </c>
      <c r="G11018" s="2" t="str">
        <f>HYPERLINK("https://probpalata.gov.ru/files/ЮЛ580603406900000.jpeg","Скачать индивидуальный QR-код магазина")</f>
        <v>Скачать индивидуальный QR-код магазина</v>
      </c>
    </row>
    <row r="11019" spans="1:7" x14ac:dyDescent="0.25">
      <c r="A11019" t="s">
        <v>34263</v>
      </c>
      <c r="B11019" t="s">
        <v>34451</v>
      </c>
      <c r="C11019" t="s">
        <v>34452</v>
      </c>
      <c r="D11019" t="s">
        <v>34453</v>
      </c>
      <c r="E11019" t="s">
        <v>34454</v>
      </c>
      <c r="F11019" t="s">
        <v>34455</v>
      </c>
      <c r="G11019" s="2" t="str">
        <f>HYPERLINK("https://probpalata.gov.ru/files/ИП580600995500000.jpeg","Скачать индивидуальный QR-код магазина")</f>
        <v>Скачать индивидуальный QR-код магазина</v>
      </c>
    </row>
    <row r="11020" spans="1:7" x14ac:dyDescent="0.25">
      <c r="A11020" t="s">
        <v>34263</v>
      </c>
      <c r="B11020" t="s">
        <v>34456</v>
      </c>
      <c r="C11020" t="s">
        <v>34457</v>
      </c>
      <c r="D11020" t="s">
        <v>34458</v>
      </c>
      <c r="E11020" t="s">
        <v>34459</v>
      </c>
      <c r="F11020" t="s">
        <v>34460</v>
      </c>
      <c r="G11020" s="2" t="str">
        <f>HYPERLINK("https://probpalata.gov.ru/files/ИП580600416800000.jpeg","Скачать индивидуальный QR-код магазина")</f>
        <v>Скачать индивидуальный QR-код магазина</v>
      </c>
    </row>
    <row r="11021" spans="1:7" x14ac:dyDescent="0.25">
      <c r="A11021" t="s">
        <v>34263</v>
      </c>
      <c r="B11021" t="s">
        <v>34461</v>
      </c>
      <c r="C11021" t="s">
        <v>34462</v>
      </c>
      <c r="D11021" t="s">
        <v>34463</v>
      </c>
      <c r="E11021" t="s">
        <v>34464</v>
      </c>
      <c r="F11021" t="s">
        <v>34465</v>
      </c>
      <c r="G11021" s="2" t="str">
        <f>HYPERLINK("https://probpalata.gov.ru/files/ИП580600299800000.jpeg","Скачать индивидуальный QR-код магазина")</f>
        <v>Скачать индивидуальный QR-код магазина</v>
      </c>
    </row>
    <row r="11022" spans="1:7" x14ac:dyDescent="0.25">
      <c r="A11022" t="s">
        <v>34263</v>
      </c>
      <c r="B11022" t="s">
        <v>34466</v>
      </c>
      <c r="C11022" t="s">
        <v>34467</v>
      </c>
      <c r="D11022" t="s">
        <v>34468</v>
      </c>
      <c r="E11022" t="s">
        <v>34469</v>
      </c>
      <c r="F11022" t="s">
        <v>34470</v>
      </c>
      <c r="G11022" s="2" t="str">
        <f>HYPERLINK("https://probpalata.gov.ru/files/ИП580600313300000.jpeg","Скачать индивидуальный QR-код магазина")</f>
        <v>Скачать индивидуальный QR-код магазина</v>
      </c>
    </row>
    <row r="11023" spans="1:7" x14ac:dyDescent="0.25">
      <c r="A11023" t="s">
        <v>34263</v>
      </c>
      <c r="B11023" t="s">
        <v>34471</v>
      </c>
      <c r="C11023" t="s">
        <v>34472</v>
      </c>
      <c r="D11023" t="s">
        <v>34473</v>
      </c>
      <c r="E11023" t="s">
        <v>34474</v>
      </c>
      <c r="F11023" t="s">
        <v>34475</v>
      </c>
      <c r="G11023" s="2" t="str">
        <f>HYPERLINK("https://probpalata.gov.ru/files/ЮЛ580603246800000.jpeg","Скачать индивидуальный QR-код магазина")</f>
        <v>Скачать индивидуальный QR-код магазина</v>
      </c>
    </row>
    <row r="11024" spans="1:7" x14ac:dyDescent="0.25">
      <c r="A11024" t="s">
        <v>34263</v>
      </c>
      <c r="B11024" t="s">
        <v>34476</v>
      </c>
      <c r="C11024" t="s">
        <v>34477</v>
      </c>
      <c r="D11024" t="s">
        <v>34478</v>
      </c>
      <c r="E11024" t="s">
        <v>34479</v>
      </c>
      <c r="F11024" t="s">
        <v>34480</v>
      </c>
      <c r="G11024" s="2" t="str">
        <f>HYPERLINK("https://probpalata.gov.ru/files/ИП580600919200000.jpeg","Скачать индивидуальный QR-код магазина")</f>
        <v>Скачать индивидуальный QR-код магазина</v>
      </c>
    </row>
    <row r="11025" spans="1:7" x14ac:dyDescent="0.25">
      <c r="A11025" t="s">
        <v>34263</v>
      </c>
      <c r="B11025" t="s">
        <v>34481</v>
      </c>
      <c r="C11025" t="s">
        <v>34482</v>
      </c>
      <c r="D11025" t="s">
        <v>34483</v>
      </c>
      <c r="E11025" t="s">
        <v>34484</v>
      </c>
      <c r="F11025" t="s">
        <v>34485</v>
      </c>
      <c r="G11025" s="2" t="str">
        <f>HYPERLINK("https://probpalata.gov.ru/files/ИП580600995800000.jpeg","Скачать индивидуальный QR-код магазина")</f>
        <v>Скачать индивидуальный QR-код магазина</v>
      </c>
    </row>
    <row r="11026" spans="1:7" x14ac:dyDescent="0.25">
      <c r="A11026" t="s">
        <v>34263</v>
      </c>
      <c r="B11026" t="s">
        <v>34486</v>
      </c>
      <c r="C11026" t="s">
        <v>34482</v>
      </c>
      <c r="D11026" t="s">
        <v>34483</v>
      </c>
      <c r="E11026" t="s">
        <v>34484</v>
      </c>
      <c r="F11026" t="s">
        <v>34487</v>
      </c>
      <c r="G11026" s="2" t="str">
        <f>HYPERLINK("https://probpalata.gov.ru/files/ИП580600995800001.jpeg","Скачать индивидуальный QR-код магазина")</f>
        <v>Скачать индивидуальный QR-код магазина</v>
      </c>
    </row>
    <row r="11027" spans="1:7" x14ac:dyDescent="0.25">
      <c r="A11027" t="s">
        <v>34263</v>
      </c>
      <c r="B11027" t="s">
        <v>34488</v>
      </c>
      <c r="C11027" t="s">
        <v>34482</v>
      </c>
      <c r="D11027" t="s">
        <v>34483</v>
      </c>
      <c r="E11027" t="s">
        <v>34484</v>
      </c>
      <c r="F11027" t="s">
        <v>34489</v>
      </c>
      <c r="G11027" s="2" t="str">
        <f>HYPERLINK("https://probpalata.gov.ru/files/ИП580600995800002.jpeg","Скачать индивидуальный QR-код магазина")</f>
        <v>Скачать индивидуальный QR-код магазина</v>
      </c>
    </row>
    <row r="11028" spans="1:7" x14ac:dyDescent="0.25">
      <c r="A11028" t="s">
        <v>34263</v>
      </c>
      <c r="B11028" t="s">
        <v>34490</v>
      </c>
      <c r="C11028" t="s">
        <v>34491</v>
      </c>
      <c r="D11028" t="s">
        <v>34492</v>
      </c>
      <c r="E11028" t="s">
        <v>34493</v>
      </c>
      <c r="F11028" t="s">
        <v>34494</v>
      </c>
      <c r="G11028" s="2" t="str">
        <f>HYPERLINK("https://probpalata.gov.ru/files/ИП580600022300000.jpeg","Скачать индивидуальный QR-код магазина")</f>
        <v>Скачать индивидуальный QR-код магазина</v>
      </c>
    </row>
    <row r="11029" spans="1:7" x14ac:dyDescent="0.25">
      <c r="A11029" t="s">
        <v>34263</v>
      </c>
      <c r="B11029" t="s">
        <v>34495</v>
      </c>
      <c r="C11029" t="s">
        <v>34491</v>
      </c>
      <c r="D11029" t="s">
        <v>34492</v>
      </c>
      <c r="E11029" t="s">
        <v>34493</v>
      </c>
      <c r="F11029" t="s">
        <v>34496</v>
      </c>
      <c r="G11029" s="2" t="str">
        <f>HYPERLINK("https://probpalata.gov.ru/files/ИП580600022300001.jpeg","Скачать индивидуальный QR-код магазина")</f>
        <v>Скачать индивидуальный QR-код магазина</v>
      </c>
    </row>
    <row r="11030" spans="1:7" x14ac:dyDescent="0.25">
      <c r="A11030" t="s">
        <v>34263</v>
      </c>
      <c r="B11030" t="s">
        <v>34497</v>
      </c>
      <c r="C11030" t="s">
        <v>34498</v>
      </c>
      <c r="D11030" t="s">
        <v>34499</v>
      </c>
      <c r="E11030" t="s">
        <v>34500</v>
      </c>
      <c r="F11030" t="s">
        <v>34501</v>
      </c>
      <c r="G11030" s="2" t="str">
        <f>HYPERLINK("https://probpalata.gov.ru/files/ЮЛ580601141400000.jpeg","Скачать индивидуальный QR-код магазина")</f>
        <v>Скачать индивидуальный QR-код магазина</v>
      </c>
    </row>
    <row r="11031" spans="1:7" x14ac:dyDescent="0.25">
      <c r="A11031" t="s">
        <v>34263</v>
      </c>
      <c r="B11031" t="s">
        <v>34502</v>
      </c>
      <c r="C11031" t="s">
        <v>34503</v>
      </c>
      <c r="D11031" t="s">
        <v>34504</v>
      </c>
      <c r="E11031" t="s">
        <v>34505</v>
      </c>
      <c r="F11031" t="s">
        <v>34506</v>
      </c>
      <c r="G11031" s="2" t="str">
        <f>HYPERLINK("https://probpalata.gov.ru/files/ИП580600029200000.jpeg","Скачать индивидуальный QR-код магазина")</f>
        <v>Скачать индивидуальный QR-код магазина</v>
      </c>
    </row>
    <row r="11032" spans="1:7" x14ac:dyDescent="0.25">
      <c r="A11032" t="s">
        <v>34263</v>
      </c>
      <c r="B11032" t="s">
        <v>34507</v>
      </c>
      <c r="C11032" t="s">
        <v>34503</v>
      </c>
      <c r="D11032" t="s">
        <v>34504</v>
      </c>
      <c r="E11032" t="s">
        <v>34505</v>
      </c>
      <c r="F11032" t="s">
        <v>34508</v>
      </c>
      <c r="G11032" s="2" t="str">
        <f>HYPERLINK("https://probpalata.gov.ru/files/ИП580600029200001.jpeg","Скачать индивидуальный QR-код магазина")</f>
        <v>Скачать индивидуальный QR-код магазина</v>
      </c>
    </row>
    <row r="11033" spans="1:7" x14ac:dyDescent="0.25">
      <c r="A11033" t="s">
        <v>34263</v>
      </c>
      <c r="B11033" t="s">
        <v>34509</v>
      </c>
      <c r="C11033" t="s">
        <v>34503</v>
      </c>
      <c r="D11033" t="s">
        <v>34504</v>
      </c>
      <c r="E11033" t="s">
        <v>34505</v>
      </c>
      <c r="F11033" t="s">
        <v>34510</v>
      </c>
      <c r="G11033" s="2" t="str">
        <f>HYPERLINK("https://probpalata.gov.ru/files/ИП580600029200002.jpeg","Скачать индивидуальный QR-код магазина")</f>
        <v>Скачать индивидуальный QR-код магазина</v>
      </c>
    </row>
    <row r="11034" spans="1:7" x14ac:dyDescent="0.25">
      <c r="A11034" t="s">
        <v>34263</v>
      </c>
      <c r="B11034" t="s">
        <v>34511</v>
      </c>
      <c r="C11034" t="s">
        <v>34512</v>
      </c>
      <c r="D11034" t="s">
        <v>34513</v>
      </c>
      <c r="E11034" t="s">
        <v>34514</v>
      </c>
      <c r="F11034" t="s">
        <v>34515</v>
      </c>
      <c r="G11034" s="2" t="str">
        <f>HYPERLINK("https://probpalata.gov.ru/files/ИП580600187600000.jpeg","Скачать индивидуальный QR-код магазина")</f>
        <v>Скачать индивидуальный QR-код магазина</v>
      </c>
    </row>
    <row r="11035" spans="1:7" x14ac:dyDescent="0.25">
      <c r="A11035" t="s">
        <v>34263</v>
      </c>
      <c r="B11035" t="s">
        <v>34516</v>
      </c>
      <c r="C11035" t="s">
        <v>34517</v>
      </c>
      <c r="D11035" t="s">
        <v>34518</v>
      </c>
      <c r="E11035" t="s">
        <v>34519</v>
      </c>
      <c r="F11035" t="s">
        <v>34520</v>
      </c>
      <c r="G11035" s="2" t="str">
        <f>HYPERLINK("https://probpalata.gov.ru/files/ИП580603601300000.jpeg","Скачать индивидуальный QR-код магазина")</f>
        <v>Скачать индивидуальный QR-код магазина</v>
      </c>
    </row>
    <row r="11036" spans="1:7" x14ac:dyDescent="0.25">
      <c r="A11036" t="s">
        <v>34263</v>
      </c>
      <c r="B11036" t="s">
        <v>34521</v>
      </c>
      <c r="C11036" t="s">
        <v>34517</v>
      </c>
      <c r="D11036" t="s">
        <v>34518</v>
      </c>
      <c r="E11036" t="s">
        <v>34519</v>
      </c>
      <c r="F11036" t="s">
        <v>34522</v>
      </c>
      <c r="G11036" s="2" t="str">
        <f>HYPERLINK("https://probpalata.gov.ru/files/ИП580603601300002.jpeg","Скачать индивидуальный QR-код магазина")</f>
        <v>Скачать индивидуальный QR-код магазина</v>
      </c>
    </row>
    <row r="11037" spans="1:7" x14ac:dyDescent="0.25">
      <c r="A11037" t="s">
        <v>34263</v>
      </c>
      <c r="B11037" t="s">
        <v>34523</v>
      </c>
      <c r="C11037" t="s">
        <v>34517</v>
      </c>
      <c r="D11037" t="s">
        <v>34518</v>
      </c>
      <c r="E11037" t="s">
        <v>34519</v>
      </c>
      <c r="F11037" t="s">
        <v>34524</v>
      </c>
      <c r="G11037" s="2" t="str">
        <f>HYPERLINK("https://probpalata.gov.ru/files/ИП580603601300003.jpeg","Скачать индивидуальный QR-код магазина")</f>
        <v>Скачать индивидуальный QR-код магазина</v>
      </c>
    </row>
    <row r="11038" spans="1:7" x14ac:dyDescent="0.25">
      <c r="A11038" t="s">
        <v>34263</v>
      </c>
      <c r="B11038" t="s">
        <v>34525</v>
      </c>
      <c r="C11038" t="s">
        <v>34526</v>
      </c>
      <c r="D11038" t="s">
        <v>34527</v>
      </c>
      <c r="E11038" t="s">
        <v>34528</v>
      </c>
      <c r="F11038" t="s">
        <v>34529</v>
      </c>
      <c r="G11038" s="2" t="str">
        <f>HYPERLINK("https://probpalata.gov.ru/files/ИП580600087300000.jpeg","Скачать индивидуальный QR-код магазина")</f>
        <v>Скачать индивидуальный QR-код магазина</v>
      </c>
    </row>
    <row r="11039" spans="1:7" x14ac:dyDescent="0.25">
      <c r="A11039" t="s">
        <v>34263</v>
      </c>
      <c r="B11039" t="s">
        <v>34530</v>
      </c>
      <c r="C11039" t="s">
        <v>34531</v>
      </c>
      <c r="D11039" t="s">
        <v>34532</v>
      </c>
      <c r="E11039" t="s">
        <v>34533</v>
      </c>
      <c r="F11039" t="s">
        <v>34534</v>
      </c>
      <c r="G11039" s="2" t="str">
        <f>HYPERLINK("https://probpalata.gov.ru/files/ИП580600063500000.jpeg","Скачать индивидуальный QR-код магазина")</f>
        <v>Скачать индивидуальный QR-код магазина</v>
      </c>
    </row>
    <row r="11040" spans="1:7" x14ac:dyDescent="0.25">
      <c r="A11040" t="s">
        <v>34263</v>
      </c>
      <c r="B11040" t="s">
        <v>34535</v>
      </c>
      <c r="C11040" t="s">
        <v>34531</v>
      </c>
      <c r="D11040" t="s">
        <v>34532</v>
      </c>
      <c r="E11040" t="s">
        <v>34533</v>
      </c>
      <c r="F11040" t="s">
        <v>34536</v>
      </c>
      <c r="G11040" s="2" t="str">
        <f>HYPERLINK("https://probpalata.gov.ru/files/ИП580600063500001.jpeg","Скачать индивидуальный QR-код магазина")</f>
        <v>Скачать индивидуальный QR-код магазина</v>
      </c>
    </row>
    <row r="11041" spans="1:7" x14ac:dyDescent="0.25">
      <c r="A11041" t="s">
        <v>34263</v>
      </c>
      <c r="B11041" t="s">
        <v>34537</v>
      </c>
      <c r="C11041" t="s">
        <v>34538</v>
      </c>
      <c r="D11041" t="s">
        <v>34539</v>
      </c>
      <c r="E11041" t="s">
        <v>34540</v>
      </c>
      <c r="F11041" t="s">
        <v>34541</v>
      </c>
      <c r="G11041" s="2" t="str">
        <f>HYPERLINK("https://probpalata.gov.ru/files/ИП580600113100000.jpeg","Скачать индивидуальный QR-код магазина")</f>
        <v>Скачать индивидуальный QR-код магазина</v>
      </c>
    </row>
    <row r="11042" spans="1:7" x14ac:dyDescent="0.25">
      <c r="A11042" t="s">
        <v>34263</v>
      </c>
      <c r="B11042" t="s">
        <v>34542</v>
      </c>
      <c r="C11042" t="s">
        <v>34543</v>
      </c>
      <c r="D11042" t="s">
        <v>34544</v>
      </c>
      <c r="E11042" t="s">
        <v>34545</v>
      </c>
      <c r="F11042" t="s">
        <v>34546</v>
      </c>
      <c r="G11042" s="2" t="str">
        <f>HYPERLINK("https://probpalata.gov.ru/files/ИП580600222500000.jpeg","Скачать индивидуальный QR-код магазина")</f>
        <v>Скачать индивидуальный QR-код магазина</v>
      </c>
    </row>
    <row r="11043" spans="1:7" x14ac:dyDescent="0.25">
      <c r="A11043" t="s">
        <v>34263</v>
      </c>
      <c r="B11043" t="s">
        <v>34547</v>
      </c>
      <c r="C11043" t="s">
        <v>34548</v>
      </c>
      <c r="D11043" t="s">
        <v>34549</v>
      </c>
      <c r="E11043" t="s">
        <v>34550</v>
      </c>
      <c r="F11043" t="s">
        <v>34551</v>
      </c>
      <c r="G11043" s="2" t="str">
        <f>HYPERLINK("https://probpalata.gov.ru/files/ЮЛ580600037800000.jpeg","Скачать индивидуальный QR-код магазина")</f>
        <v>Скачать индивидуальный QR-код магазина</v>
      </c>
    </row>
    <row r="11044" spans="1:7" x14ac:dyDescent="0.25">
      <c r="A11044" t="s">
        <v>34263</v>
      </c>
      <c r="B11044" t="s">
        <v>34552</v>
      </c>
      <c r="C11044" t="s">
        <v>34548</v>
      </c>
      <c r="D11044" t="s">
        <v>34549</v>
      </c>
      <c r="E11044" t="s">
        <v>34550</v>
      </c>
      <c r="F11044" t="s">
        <v>34553</v>
      </c>
      <c r="G11044" s="2" t="str">
        <f>HYPERLINK("https://probpalata.gov.ru/files/ЮЛ580600037800003.jpeg","Скачать индивидуальный QR-код магазина")</f>
        <v>Скачать индивидуальный QR-код магазина</v>
      </c>
    </row>
    <row r="11045" spans="1:7" x14ac:dyDescent="0.25">
      <c r="A11045" t="s">
        <v>34263</v>
      </c>
      <c r="B11045" t="s">
        <v>34432</v>
      </c>
      <c r="C11045" t="s">
        <v>34554</v>
      </c>
      <c r="D11045" t="s">
        <v>34555</v>
      </c>
      <c r="E11045" t="s">
        <v>34556</v>
      </c>
      <c r="F11045" t="s">
        <v>34557</v>
      </c>
      <c r="G11045" s="2" t="str">
        <f>HYPERLINK("https://probpalata.gov.ru/files/ИП580603172300000.jpeg","Скачать индивидуальный QR-код магазина")</f>
        <v>Скачать индивидуальный QR-код магазина</v>
      </c>
    </row>
    <row r="11046" spans="1:7" x14ac:dyDescent="0.25">
      <c r="A11046" t="s">
        <v>34263</v>
      </c>
      <c r="B11046" t="s">
        <v>34547</v>
      </c>
      <c r="C11046" t="s">
        <v>34558</v>
      </c>
      <c r="D11046" t="s">
        <v>34559</v>
      </c>
      <c r="E11046" t="s">
        <v>34560</v>
      </c>
      <c r="F11046" t="s">
        <v>34561</v>
      </c>
      <c r="G11046" s="2" t="str">
        <f>HYPERLINK("https://probpalata.gov.ru/files/ИП580600955900000.jpeg","Скачать индивидуальный QR-код магазина")</f>
        <v>Скачать индивидуальный QR-код магазина</v>
      </c>
    </row>
    <row r="11047" spans="1:7" x14ac:dyDescent="0.25">
      <c r="A11047" t="s">
        <v>34263</v>
      </c>
      <c r="B11047" t="s">
        <v>34562</v>
      </c>
      <c r="C11047" t="s">
        <v>34558</v>
      </c>
      <c r="D11047" t="s">
        <v>34559</v>
      </c>
      <c r="E11047" t="s">
        <v>34560</v>
      </c>
      <c r="F11047" t="s">
        <v>34563</v>
      </c>
      <c r="G11047" s="2" t="str">
        <f>HYPERLINK("https://probpalata.gov.ru/files/ИП580600955900002.jpeg","Скачать индивидуальный QR-код магазина")</f>
        <v>Скачать индивидуальный QR-код магазина</v>
      </c>
    </row>
    <row r="11048" spans="1:7" x14ac:dyDescent="0.25">
      <c r="A11048" t="s">
        <v>34263</v>
      </c>
      <c r="B11048" t="s">
        <v>34564</v>
      </c>
      <c r="C11048" t="s">
        <v>34565</v>
      </c>
      <c r="D11048" t="s">
        <v>34566</v>
      </c>
      <c r="E11048" t="s">
        <v>34567</v>
      </c>
      <c r="F11048" t="s">
        <v>34568</v>
      </c>
      <c r="G11048" s="2" t="str">
        <f>HYPERLINK("https://probpalata.gov.ru/files/ИП580600076000000.jpeg","Скачать индивидуальный QR-код магазина")</f>
        <v>Скачать индивидуальный QR-код магазина</v>
      </c>
    </row>
    <row r="11049" spans="1:7" x14ac:dyDescent="0.25">
      <c r="A11049" t="s">
        <v>34263</v>
      </c>
      <c r="B11049" t="s">
        <v>34569</v>
      </c>
      <c r="C11049" t="s">
        <v>34570</v>
      </c>
      <c r="D11049" t="s">
        <v>34571</v>
      </c>
      <c r="E11049" t="s">
        <v>34572</v>
      </c>
      <c r="F11049" t="s">
        <v>34573</v>
      </c>
      <c r="G11049" s="2" t="str">
        <f>HYPERLINK("https://probpalata.gov.ru/files/ИП580600233700000.jpeg","Скачать индивидуальный QR-код магазина")</f>
        <v>Скачать индивидуальный QR-код магазина</v>
      </c>
    </row>
    <row r="11050" spans="1:7" x14ac:dyDescent="0.25">
      <c r="A11050" t="s">
        <v>34263</v>
      </c>
      <c r="B11050" t="s">
        <v>34574</v>
      </c>
      <c r="C11050" t="s">
        <v>34575</v>
      </c>
      <c r="D11050" t="s">
        <v>34576</v>
      </c>
      <c r="E11050" t="s">
        <v>34577</v>
      </c>
      <c r="F11050" t="s">
        <v>34578</v>
      </c>
      <c r="G11050" s="2" t="str">
        <f>HYPERLINK("https://probpalata.gov.ru/files/ИП580600931100000.jpeg","Скачать индивидуальный QR-код магазина")</f>
        <v>Скачать индивидуальный QR-код магазина</v>
      </c>
    </row>
    <row r="11051" spans="1:7" x14ac:dyDescent="0.25">
      <c r="A11051" t="s">
        <v>34263</v>
      </c>
      <c r="B11051" t="s">
        <v>34579</v>
      </c>
      <c r="C11051" t="s">
        <v>34580</v>
      </c>
      <c r="D11051" t="s">
        <v>34581</v>
      </c>
      <c r="E11051" t="s">
        <v>34582</v>
      </c>
      <c r="F11051" t="s">
        <v>34583</v>
      </c>
      <c r="G11051" s="2" t="str">
        <f>HYPERLINK("https://probpalata.gov.ru/files/ИП580600081900000.jpeg","Скачать индивидуальный QR-код магазина")</f>
        <v>Скачать индивидуальный QR-код магазина</v>
      </c>
    </row>
    <row r="11052" spans="1:7" x14ac:dyDescent="0.25">
      <c r="A11052" t="s">
        <v>34263</v>
      </c>
      <c r="B11052" t="s">
        <v>34584</v>
      </c>
      <c r="C11052" t="s">
        <v>34585</v>
      </c>
      <c r="D11052" t="s">
        <v>34586</v>
      </c>
      <c r="E11052" t="s">
        <v>34587</v>
      </c>
      <c r="F11052" t="s">
        <v>34588</v>
      </c>
      <c r="G11052" s="2" t="str">
        <f>HYPERLINK("https://probpalata.gov.ru/files/ИП580600751300000.jpeg","Скачать индивидуальный QR-код магазина")</f>
        <v>Скачать индивидуальный QR-код магазина</v>
      </c>
    </row>
    <row r="11053" spans="1:7" x14ac:dyDescent="0.25">
      <c r="A11053" t="s">
        <v>34263</v>
      </c>
      <c r="B11053" t="s">
        <v>34589</v>
      </c>
      <c r="C11053" t="s">
        <v>34585</v>
      </c>
      <c r="D11053" t="s">
        <v>34586</v>
      </c>
      <c r="E11053" t="s">
        <v>34587</v>
      </c>
      <c r="F11053" t="s">
        <v>34590</v>
      </c>
      <c r="G11053" s="2" t="str">
        <f>HYPERLINK("https://probpalata.gov.ru/files/ИП580600751300001.jpeg","Скачать индивидуальный QR-код магазина")</f>
        <v>Скачать индивидуальный QR-код магазина</v>
      </c>
    </row>
    <row r="11054" spans="1:7" x14ac:dyDescent="0.25">
      <c r="A11054" t="s">
        <v>34263</v>
      </c>
      <c r="B11054" t="s">
        <v>34446</v>
      </c>
      <c r="C11054" t="s">
        <v>34585</v>
      </c>
      <c r="D11054" t="s">
        <v>34586</v>
      </c>
      <c r="E11054" t="s">
        <v>34587</v>
      </c>
      <c r="F11054" t="s">
        <v>34591</v>
      </c>
      <c r="G11054" s="2" t="str">
        <f>HYPERLINK("https://probpalata.gov.ru/files/ИП580600751300002.jpeg","Скачать индивидуальный QR-код магазина")</f>
        <v>Скачать индивидуальный QR-код магазина</v>
      </c>
    </row>
    <row r="11055" spans="1:7" x14ac:dyDescent="0.25">
      <c r="A11055" t="s">
        <v>34263</v>
      </c>
      <c r="B11055" t="s">
        <v>34592</v>
      </c>
      <c r="C11055" t="s">
        <v>2286</v>
      </c>
      <c r="D11055" t="s">
        <v>34593</v>
      </c>
      <c r="E11055" t="s">
        <v>34594</v>
      </c>
      <c r="F11055" t="s">
        <v>34595</v>
      </c>
      <c r="G11055" s="2" t="str">
        <f>HYPERLINK("https://probpalata.gov.ru/files/ЮЛ580603349200000.jpeg","Скачать индивидуальный QR-код магазина")</f>
        <v>Скачать индивидуальный QR-код магазина</v>
      </c>
    </row>
    <row r="11056" spans="1:7" x14ac:dyDescent="0.25">
      <c r="A11056" t="s">
        <v>34263</v>
      </c>
      <c r="B11056" t="s">
        <v>34596</v>
      </c>
      <c r="C11056" t="s">
        <v>2286</v>
      </c>
      <c r="D11056" t="s">
        <v>34593</v>
      </c>
      <c r="E11056" t="s">
        <v>34594</v>
      </c>
      <c r="F11056" t="s">
        <v>34597</v>
      </c>
      <c r="G11056" s="2" t="str">
        <f>HYPERLINK("https://probpalata.gov.ru/files/ЮЛ580603349200002.jpeg","Скачать индивидуальный QR-код магазина")</f>
        <v>Скачать индивидуальный QR-код магазина</v>
      </c>
    </row>
    <row r="11057" spans="1:7" x14ac:dyDescent="0.25">
      <c r="A11057" t="s">
        <v>34263</v>
      </c>
      <c r="B11057" t="s">
        <v>34598</v>
      </c>
      <c r="C11057" t="s">
        <v>34599</v>
      </c>
      <c r="D11057" t="s">
        <v>34600</v>
      </c>
      <c r="E11057" t="s">
        <v>34601</v>
      </c>
      <c r="F11057" t="s">
        <v>34602</v>
      </c>
      <c r="G11057" s="2" t="str">
        <f>HYPERLINK("https://probpalata.gov.ru/files/ИП580600513900000.jpeg","Скачать индивидуальный QR-код магазина")</f>
        <v>Скачать индивидуальный QR-код магазина</v>
      </c>
    </row>
    <row r="11058" spans="1:7" x14ac:dyDescent="0.25">
      <c r="A11058" t="s">
        <v>34263</v>
      </c>
      <c r="B11058" t="s">
        <v>34603</v>
      </c>
      <c r="C11058" t="s">
        <v>2197</v>
      </c>
      <c r="D11058" t="s">
        <v>2198</v>
      </c>
      <c r="E11058" t="s">
        <v>2199</v>
      </c>
      <c r="F11058" t="s">
        <v>34604</v>
      </c>
      <c r="G11058" s="2" t="str">
        <f>HYPERLINK("https://probpalata.gov.ru/files/ИП630601425400090.jpeg","Скачать индивидуальный QR-код магазина")</f>
        <v>Скачать индивидуальный QR-код магазина</v>
      </c>
    </row>
    <row r="11059" spans="1:7" x14ac:dyDescent="0.25">
      <c r="A11059" t="s">
        <v>34263</v>
      </c>
      <c r="B11059" t="s">
        <v>34605</v>
      </c>
      <c r="C11059" t="s">
        <v>2197</v>
      </c>
      <c r="D11059" t="s">
        <v>2198</v>
      </c>
      <c r="E11059" t="s">
        <v>2199</v>
      </c>
      <c r="F11059" t="s">
        <v>34606</v>
      </c>
      <c r="G11059" s="2" t="str">
        <f>HYPERLINK("https://probpalata.gov.ru/files/ИП630601425400117.jpeg","Скачать индивидуальный QR-код магазина")</f>
        <v>Скачать индивидуальный QR-код магазина</v>
      </c>
    </row>
    <row r="11060" spans="1:7" x14ac:dyDescent="0.25">
      <c r="A11060" t="s">
        <v>34263</v>
      </c>
      <c r="B11060" t="s">
        <v>34607</v>
      </c>
      <c r="C11060" t="s">
        <v>34608</v>
      </c>
      <c r="D11060" t="s">
        <v>34609</v>
      </c>
      <c r="E11060" t="s">
        <v>34610</v>
      </c>
      <c r="F11060" t="s">
        <v>34611</v>
      </c>
      <c r="G11060" s="2" t="str">
        <f>HYPERLINK("https://probpalata.gov.ru/files/ЮЛ630603516800001.jpeg","Скачать индивидуальный QR-код магазина")</f>
        <v>Скачать индивидуальный QR-код магазина</v>
      </c>
    </row>
    <row r="11061" spans="1:7" x14ac:dyDescent="0.25">
      <c r="A11061" t="s">
        <v>34263</v>
      </c>
      <c r="B11061" t="s">
        <v>34612</v>
      </c>
      <c r="C11061" t="s">
        <v>34608</v>
      </c>
      <c r="D11061" t="s">
        <v>34609</v>
      </c>
      <c r="E11061" t="s">
        <v>34610</v>
      </c>
      <c r="F11061" t="s">
        <v>34613</v>
      </c>
      <c r="G11061" s="2" t="str">
        <f>HYPERLINK("https://probpalata.gov.ru/files/ЮЛ630603516800003.jpeg","Скачать индивидуальный QR-код магазина")</f>
        <v>Скачать индивидуальный QR-код магазина</v>
      </c>
    </row>
    <row r="11062" spans="1:7" x14ac:dyDescent="0.25">
      <c r="A11062" t="s">
        <v>34263</v>
      </c>
      <c r="B11062" t="s">
        <v>34614</v>
      </c>
      <c r="C11062" t="s">
        <v>34608</v>
      </c>
      <c r="D11062" t="s">
        <v>34609</v>
      </c>
      <c r="E11062" t="s">
        <v>34610</v>
      </c>
      <c r="F11062" t="s">
        <v>34615</v>
      </c>
      <c r="G11062" s="2" t="str">
        <f>HYPERLINK("https://probpalata.gov.ru/files/ЮЛ630603516800004.jpeg","Скачать индивидуальный QR-код магазина")</f>
        <v>Скачать индивидуальный QR-код магазина</v>
      </c>
    </row>
    <row r="11063" spans="1:7" x14ac:dyDescent="0.25">
      <c r="A11063" t="s">
        <v>34263</v>
      </c>
      <c r="B11063" t="s">
        <v>34616</v>
      </c>
      <c r="C11063" t="s">
        <v>34608</v>
      </c>
      <c r="D11063" t="s">
        <v>34609</v>
      </c>
      <c r="E11063" t="s">
        <v>34610</v>
      </c>
      <c r="F11063" t="s">
        <v>34617</v>
      </c>
      <c r="G11063" s="2" t="str">
        <f>HYPERLINK("https://probpalata.gov.ru/files/ЮЛ630603516800005.jpeg","Скачать индивидуальный QR-код магазина")</f>
        <v>Скачать индивидуальный QR-код магазина</v>
      </c>
    </row>
    <row r="11064" spans="1:7" x14ac:dyDescent="0.25">
      <c r="A11064" t="s">
        <v>34263</v>
      </c>
      <c r="B11064" t="s">
        <v>34618</v>
      </c>
      <c r="C11064" t="s">
        <v>34608</v>
      </c>
      <c r="D11064" t="s">
        <v>34609</v>
      </c>
      <c r="E11064" t="s">
        <v>34610</v>
      </c>
      <c r="F11064" t="s">
        <v>34619</v>
      </c>
      <c r="G11064" s="2" t="str">
        <f>HYPERLINK("https://probpalata.gov.ru/files/ЮЛ630603516800006.jpeg","Скачать индивидуальный QR-код магазина")</f>
        <v>Скачать индивидуальный QR-код магазина</v>
      </c>
    </row>
    <row r="11065" spans="1:7" x14ac:dyDescent="0.25">
      <c r="A11065" t="s">
        <v>34263</v>
      </c>
      <c r="B11065" t="s">
        <v>34620</v>
      </c>
      <c r="C11065" t="s">
        <v>34621</v>
      </c>
      <c r="D11065" t="s">
        <v>34622</v>
      </c>
      <c r="E11065" t="s">
        <v>34623</v>
      </c>
      <c r="F11065" t="s">
        <v>34624</v>
      </c>
      <c r="G11065" s="2" t="str">
        <f>HYPERLINK("https://probpalata.gov.ru/files/ИП640601186100001.jpeg","Скачать индивидуальный QR-код магазина")</f>
        <v>Скачать индивидуальный QR-код магазина</v>
      </c>
    </row>
    <row r="11066" spans="1:7" x14ac:dyDescent="0.25">
      <c r="A11066" t="s">
        <v>34263</v>
      </c>
      <c r="B11066" t="s">
        <v>34625</v>
      </c>
      <c r="C11066" t="s">
        <v>34626</v>
      </c>
      <c r="D11066" t="s">
        <v>34627</v>
      </c>
      <c r="E11066" t="s">
        <v>34628</v>
      </c>
      <c r="F11066" t="s">
        <v>34629</v>
      </c>
      <c r="G11066" s="2" t="str">
        <f>HYPERLINK("https://probpalata.gov.ru/files/ИП640600348300000.jpeg","Скачать индивидуальный QR-код магазина")</f>
        <v>Скачать индивидуальный QR-код магазина</v>
      </c>
    </row>
    <row r="11067" spans="1:7" x14ac:dyDescent="0.25">
      <c r="A11067" t="s">
        <v>34263</v>
      </c>
      <c r="B11067" t="s">
        <v>34630</v>
      </c>
      <c r="C11067" t="s">
        <v>34631</v>
      </c>
      <c r="D11067" t="s">
        <v>34632</v>
      </c>
      <c r="E11067" t="s">
        <v>34633</v>
      </c>
      <c r="F11067" t="s">
        <v>34634</v>
      </c>
      <c r="G11067" s="2" t="str">
        <f>HYPERLINK("https://probpalata.gov.ru/files/ИП640603195400003.jpeg","Скачать индивидуальный QR-код магазина")</f>
        <v>Скачать индивидуальный QR-код магазина</v>
      </c>
    </row>
    <row r="11068" spans="1:7" x14ac:dyDescent="0.25">
      <c r="A11068" t="s">
        <v>34263</v>
      </c>
      <c r="B11068" t="s">
        <v>34635</v>
      </c>
      <c r="C11068" t="s">
        <v>34636</v>
      </c>
      <c r="D11068" t="s">
        <v>34637</v>
      </c>
      <c r="E11068" t="s">
        <v>34638</v>
      </c>
      <c r="F11068" t="s">
        <v>34639</v>
      </c>
      <c r="G11068" s="2" t="str">
        <f>HYPERLINK("https://probpalata.gov.ru/files/ИП730601179100007.jpeg","Скачать индивидуальный QR-код магазина")</f>
        <v>Скачать индивидуальный QR-код магазина</v>
      </c>
    </row>
    <row r="11069" spans="1:7" x14ac:dyDescent="0.25">
      <c r="A11069" t="s">
        <v>34263</v>
      </c>
      <c r="B11069" t="s">
        <v>34640</v>
      </c>
      <c r="C11069" t="s">
        <v>1740</v>
      </c>
      <c r="D11069" t="s">
        <v>1741</v>
      </c>
      <c r="E11069" t="s">
        <v>1742</v>
      </c>
      <c r="F11069" t="s">
        <v>34641</v>
      </c>
      <c r="G11069" s="2" t="str">
        <f>HYPERLINK("https://probpalata.gov.ru/files/ЮЛ760201190700014.jpeg","Скачать индивидуальный QR-код магазина")</f>
        <v>Скачать индивидуальный QR-код магазина</v>
      </c>
    </row>
    <row r="11070" spans="1:7" x14ac:dyDescent="0.25">
      <c r="A11070" t="s">
        <v>34263</v>
      </c>
      <c r="B11070" t="s">
        <v>34642</v>
      </c>
      <c r="C11070" t="s">
        <v>1740</v>
      </c>
      <c r="D11070" t="s">
        <v>1741</v>
      </c>
      <c r="E11070" t="s">
        <v>1742</v>
      </c>
      <c r="F11070" t="s">
        <v>34643</v>
      </c>
      <c r="G11070" s="2" t="str">
        <f>HYPERLINK("https://probpalata.gov.ru/files/ЮЛ760201190700074.jpeg","Скачать индивидуальный QR-код магазина")</f>
        <v>Скачать индивидуальный QR-код магазина</v>
      </c>
    </row>
    <row r="11071" spans="1:7" x14ac:dyDescent="0.25">
      <c r="A11071" t="s">
        <v>34263</v>
      </c>
      <c r="B11071" t="s">
        <v>34644</v>
      </c>
      <c r="C11071" t="s">
        <v>713</v>
      </c>
      <c r="D11071" t="s">
        <v>714</v>
      </c>
      <c r="E11071" t="s">
        <v>715</v>
      </c>
      <c r="F11071" t="s">
        <v>34645</v>
      </c>
      <c r="G11071" s="2" t="str">
        <f>HYPERLINK("https://probpalata.gov.ru/files/ЮЛ770101216600157.jpeg","Скачать индивидуальный QR-код магазина")</f>
        <v>Скачать индивидуальный QR-код магазина</v>
      </c>
    </row>
    <row r="11072" spans="1:7" x14ac:dyDescent="0.25">
      <c r="A11072" t="s">
        <v>34263</v>
      </c>
      <c r="B11072" t="s">
        <v>34646</v>
      </c>
      <c r="C11072" t="s">
        <v>713</v>
      </c>
      <c r="D11072" t="s">
        <v>714</v>
      </c>
      <c r="E11072" t="s">
        <v>715</v>
      </c>
      <c r="F11072" t="s">
        <v>34647</v>
      </c>
      <c r="G11072" s="2" t="str">
        <f>HYPERLINK("https://probpalata.gov.ru/files/ЮЛ770101216600196.jpeg","Скачать индивидуальный QR-код магазина")</f>
        <v>Скачать индивидуальный QR-код магазина</v>
      </c>
    </row>
    <row r="11073" spans="1:7" x14ac:dyDescent="0.25">
      <c r="A11073" t="s">
        <v>34263</v>
      </c>
      <c r="B11073" t="s">
        <v>34648</v>
      </c>
      <c r="C11073" t="s">
        <v>713</v>
      </c>
      <c r="D11073" t="s">
        <v>714</v>
      </c>
      <c r="E11073" t="s">
        <v>715</v>
      </c>
      <c r="F11073" t="s">
        <v>34649</v>
      </c>
      <c r="G11073" s="2" t="str">
        <f>HYPERLINK("https://probpalata.gov.ru/files/ЮЛ770101216600382.jpeg","Скачать индивидуальный QR-код магазина")</f>
        <v>Скачать индивидуальный QR-код магазина</v>
      </c>
    </row>
    <row r="11074" spans="1:7" x14ac:dyDescent="0.25">
      <c r="A11074" t="s">
        <v>34263</v>
      </c>
      <c r="B11074" t="s">
        <v>34650</v>
      </c>
      <c r="C11074" t="s">
        <v>713</v>
      </c>
      <c r="D11074" t="s">
        <v>714</v>
      </c>
      <c r="E11074" t="s">
        <v>715</v>
      </c>
      <c r="F11074" t="s">
        <v>34651</v>
      </c>
      <c r="G11074" s="2" t="str">
        <f>HYPERLINK("https://probpalata.gov.ru/files/ЮЛ770101216600410.jpeg","Скачать индивидуальный QR-код магазина")</f>
        <v>Скачать индивидуальный QR-код магазина</v>
      </c>
    </row>
    <row r="11075" spans="1:7" x14ac:dyDescent="0.25">
      <c r="A11075" t="s">
        <v>34263</v>
      </c>
      <c r="B11075" t="s">
        <v>34652</v>
      </c>
      <c r="C11075" t="s">
        <v>713</v>
      </c>
      <c r="D11075" t="s">
        <v>714</v>
      </c>
      <c r="E11075" t="s">
        <v>715</v>
      </c>
      <c r="F11075" t="s">
        <v>34653</v>
      </c>
      <c r="G11075" s="2" t="str">
        <f>HYPERLINK("https://probpalata.gov.ru/files/ЮЛ770101216600434.jpeg","Скачать индивидуальный QR-код магазина")</f>
        <v>Скачать индивидуальный QR-код магазина</v>
      </c>
    </row>
    <row r="11076" spans="1:7" x14ac:dyDescent="0.25">
      <c r="A11076" t="s">
        <v>34263</v>
      </c>
      <c r="B11076" t="s">
        <v>34654</v>
      </c>
      <c r="C11076" t="s">
        <v>713</v>
      </c>
      <c r="D11076" t="s">
        <v>714</v>
      </c>
      <c r="E11076" t="s">
        <v>715</v>
      </c>
      <c r="F11076" t="s">
        <v>34655</v>
      </c>
      <c r="G11076" s="2" t="str">
        <f>HYPERLINK("https://probpalata.gov.ru/files/ЮЛ770101216600490.jpeg","Скачать индивидуальный QR-код магазина")</f>
        <v>Скачать индивидуальный QR-код магазина</v>
      </c>
    </row>
    <row r="11077" spans="1:7" x14ac:dyDescent="0.25">
      <c r="A11077" t="s">
        <v>34263</v>
      </c>
      <c r="B11077" t="s">
        <v>34656</v>
      </c>
      <c r="C11077" t="s">
        <v>713</v>
      </c>
      <c r="D11077" t="s">
        <v>714</v>
      </c>
      <c r="E11077" t="s">
        <v>715</v>
      </c>
      <c r="F11077" t="s">
        <v>34657</v>
      </c>
      <c r="G11077" s="2" t="str">
        <f>HYPERLINK("https://probpalata.gov.ru/files/ЮЛ770101216600566.jpeg","Скачать индивидуальный QR-код магазина")</f>
        <v>Скачать индивидуальный QR-код магазина</v>
      </c>
    </row>
    <row r="11078" spans="1:7" x14ac:dyDescent="0.25">
      <c r="A11078" t="s">
        <v>34263</v>
      </c>
      <c r="B11078" t="s">
        <v>34658</v>
      </c>
      <c r="C11078" t="s">
        <v>713</v>
      </c>
      <c r="D11078" t="s">
        <v>714</v>
      </c>
      <c r="E11078" t="s">
        <v>715</v>
      </c>
      <c r="F11078" t="s">
        <v>34659</v>
      </c>
      <c r="G11078" s="2" t="str">
        <f>HYPERLINK("https://probpalata.gov.ru/files/ЮЛ770101216600679.jpeg","Скачать индивидуальный QR-код магазина")</f>
        <v>Скачать индивидуальный QR-код магазина</v>
      </c>
    </row>
    <row r="11079" spans="1:7" x14ac:dyDescent="0.25">
      <c r="A11079" t="s">
        <v>34263</v>
      </c>
      <c r="B11079" t="s">
        <v>34660</v>
      </c>
      <c r="C11079" t="s">
        <v>713</v>
      </c>
      <c r="D11079" t="s">
        <v>714</v>
      </c>
      <c r="E11079" t="s">
        <v>715</v>
      </c>
      <c r="F11079" t="s">
        <v>34661</v>
      </c>
      <c r="G11079" s="2" t="str">
        <f>HYPERLINK("https://probpalata.gov.ru/files/ЮЛ770101216600683.jpeg","Скачать индивидуальный QR-код магазина")</f>
        <v>Скачать индивидуальный QR-код магазина</v>
      </c>
    </row>
    <row r="11080" spans="1:7" x14ac:dyDescent="0.25">
      <c r="A11080" t="s">
        <v>34263</v>
      </c>
      <c r="B11080" t="s">
        <v>34662</v>
      </c>
      <c r="C11080" t="s">
        <v>713</v>
      </c>
      <c r="D11080" t="s">
        <v>714</v>
      </c>
      <c r="E11080" t="s">
        <v>715</v>
      </c>
      <c r="F11080" t="s">
        <v>34663</v>
      </c>
      <c r="G11080" s="2" t="str">
        <f>HYPERLINK("https://probpalata.gov.ru/files/ЮЛ770101216600722.jpeg","Скачать индивидуальный QR-код магазина")</f>
        <v>Скачать индивидуальный QR-код магазина</v>
      </c>
    </row>
    <row r="11081" spans="1:7" x14ac:dyDescent="0.25">
      <c r="A11081" t="s">
        <v>34263</v>
      </c>
      <c r="B11081" t="s">
        <v>34664</v>
      </c>
      <c r="C11081" t="s">
        <v>713</v>
      </c>
      <c r="D11081" t="s">
        <v>714</v>
      </c>
      <c r="E11081" t="s">
        <v>715</v>
      </c>
      <c r="F11081" t="s">
        <v>34665</v>
      </c>
      <c r="G11081" s="2" t="str">
        <f>HYPERLINK("https://probpalata.gov.ru/files/ЮЛ770101216600734.jpeg","Скачать индивидуальный QR-код магазина")</f>
        <v>Скачать индивидуальный QR-код магазина</v>
      </c>
    </row>
    <row r="11082" spans="1:7" x14ac:dyDescent="0.25">
      <c r="A11082" t="s">
        <v>34263</v>
      </c>
      <c r="B11082" t="s">
        <v>34666</v>
      </c>
      <c r="C11082" t="s">
        <v>713</v>
      </c>
      <c r="D11082" t="s">
        <v>714</v>
      </c>
      <c r="E11082" t="s">
        <v>715</v>
      </c>
      <c r="F11082" t="s">
        <v>34667</v>
      </c>
      <c r="G11082" s="2" t="str">
        <f>HYPERLINK("https://probpalata.gov.ru/files/ЮЛ770101216600941.jpeg","Скачать индивидуальный QR-код магазина")</f>
        <v>Скачать индивидуальный QR-код магазина</v>
      </c>
    </row>
    <row r="11083" spans="1:7" x14ac:dyDescent="0.25">
      <c r="A11083" t="s">
        <v>34263</v>
      </c>
      <c r="B11083" t="s">
        <v>34429</v>
      </c>
      <c r="C11083" t="s">
        <v>1416</v>
      </c>
      <c r="D11083" t="s">
        <v>1417</v>
      </c>
      <c r="E11083" t="s">
        <v>1418</v>
      </c>
      <c r="F11083" t="s">
        <v>34668</v>
      </c>
      <c r="G11083" s="2" t="str">
        <f>HYPERLINK("https://probpalata.gov.ru/files/ЮЛ770100419400097.jpeg","Скачать индивидуальный QR-код магазина")</f>
        <v>Скачать индивидуальный QR-код магазина</v>
      </c>
    </row>
    <row r="11084" spans="1:7" x14ac:dyDescent="0.25">
      <c r="A11084" t="s">
        <v>34263</v>
      </c>
      <c r="B11084" t="s">
        <v>34669</v>
      </c>
      <c r="C11084" t="s">
        <v>748</v>
      </c>
      <c r="D11084" t="s">
        <v>749</v>
      </c>
      <c r="E11084" t="s">
        <v>750</v>
      </c>
      <c r="F11084" t="s">
        <v>34670</v>
      </c>
      <c r="G11084" s="2" t="str">
        <f>HYPERLINK("https://probpalata.gov.ru/files/ЮЛ770100193500217.jpeg","Скачать индивидуальный QR-код магазина")</f>
        <v>Скачать индивидуальный QR-код магазина</v>
      </c>
    </row>
    <row r="11085" spans="1:7" x14ac:dyDescent="0.25">
      <c r="A11085" t="s">
        <v>34263</v>
      </c>
      <c r="B11085" t="s">
        <v>34671</v>
      </c>
      <c r="C11085" t="s">
        <v>748</v>
      </c>
      <c r="D11085" t="s">
        <v>749</v>
      </c>
      <c r="E11085" t="s">
        <v>750</v>
      </c>
      <c r="F11085" t="s">
        <v>34672</v>
      </c>
      <c r="G11085" s="2" t="str">
        <f>HYPERLINK("https://probpalata.gov.ru/files/ЮЛ770100193500218.jpeg","Скачать индивидуальный QR-код магазина")</f>
        <v>Скачать индивидуальный QR-код магазина</v>
      </c>
    </row>
    <row r="11086" spans="1:7" x14ac:dyDescent="0.25">
      <c r="A11086" t="s">
        <v>34263</v>
      </c>
      <c r="B11086" t="s">
        <v>34673</v>
      </c>
      <c r="C11086" t="s">
        <v>748</v>
      </c>
      <c r="D11086" t="s">
        <v>749</v>
      </c>
      <c r="E11086" t="s">
        <v>750</v>
      </c>
      <c r="F11086" t="s">
        <v>34674</v>
      </c>
      <c r="G11086" s="2" t="str">
        <f>HYPERLINK("https://probpalata.gov.ru/files/ЮЛ770100193500219.jpeg","Скачать индивидуальный QR-код магазина")</f>
        <v>Скачать индивидуальный QR-код магазина</v>
      </c>
    </row>
    <row r="11087" spans="1:7" x14ac:dyDescent="0.25">
      <c r="A11087" t="s">
        <v>34263</v>
      </c>
      <c r="B11087" t="s">
        <v>34675</v>
      </c>
      <c r="C11087" t="s">
        <v>748</v>
      </c>
      <c r="D11087" t="s">
        <v>749</v>
      </c>
      <c r="E11087" t="s">
        <v>750</v>
      </c>
      <c r="F11087" t="s">
        <v>34676</v>
      </c>
      <c r="G11087" s="2" t="str">
        <f>HYPERLINK("https://probpalata.gov.ru/files/ЮЛ770100193500220.jpeg","Скачать индивидуальный QR-код магазина")</f>
        <v>Скачать индивидуальный QR-код магазина</v>
      </c>
    </row>
    <row r="11088" spans="1:7" x14ac:dyDescent="0.25">
      <c r="A11088" t="s">
        <v>34263</v>
      </c>
      <c r="B11088" t="s">
        <v>34677</v>
      </c>
      <c r="C11088" t="s">
        <v>748</v>
      </c>
      <c r="D11088" t="s">
        <v>749</v>
      </c>
      <c r="E11088" t="s">
        <v>750</v>
      </c>
      <c r="F11088" t="s">
        <v>34678</v>
      </c>
      <c r="G11088" s="2" t="str">
        <f>HYPERLINK("https://probpalata.gov.ru/files/ЮЛ770100193500856.jpeg","Скачать индивидуальный QR-код магазина")</f>
        <v>Скачать индивидуальный QR-код магазина</v>
      </c>
    </row>
    <row r="11089" spans="1:7" x14ac:dyDescent="0.25">
      <c r="A11089" t="s">
        <v>34263</v>
      </c>
      <c r="B11089" t="s">
        <v>34679</v>
      </c>
      <c r="C11089" t="s">
        <v>748</v>
      </c>
      <c r="D11089" t="s">
        <v>749</v>
      </c>
      <c r="E11089" t="s">
        <v>750</v>
      </c>
      <c r="F11089" t="s">
        <v>34680</v>
      </c>
      <c r="G11089" s="2" t="str">
        <f>HYPERLINK("https://probpalata.gov.ru/files/ЮЛ770100193500930.jpeg","Скачать индивидуальный QR-код магазина")</f>
        <v>Скачать индивидуальный QR-код магазина</v>
      </c>
    </row>
    <row r="11090" spans="1:7" x14ac:dyDescent="0.25">
      <c r="A11090" t="s">
        <v>34263</v>
      </c>
      <c r="B11090" t="s">
        <v>34681</v>
      </c>
      <c r="C11090" t="s">
        <v>791</v>
      </c>
      <c r="D11090" t="s">
        <v>792</v>
      </c>
      <c r="E11090" t="s">
        <v>793</v>
      </c>
      <c r="F11090" t="s">
        <v>34682</v>
      </c>
      <c r="G11090" s="2" t="str">
        <f>HYPERLINK("https://probpalata.gov.ru/files/ЮЛ780300323500093.jpeg","Скачать индивидуальный QR-код магазина")</f>
        <v>Скачать индивидуальный QR-код магазина</v>
      </c>
    </row>
    <row r="11091" spans="1:7" x14ac:dyDescent="0.25">
      <c r="A11091" t="s">
        <v>34263</v>
      </c>
      <c r="B11091" t="s">
        <v>34683</v>
      </c>
      <c r="C11091" t="s">
        <v>791</v>
      </c>
      <c r="D11091" t="s">
        <v>792</v>
      </c>
      <c r="E11091" t="s">
        <v>793</v>
      </c>
      <c r="F11091" t="s">
        <v>34684</v>
      </c>
      <c r="G11091" s="2" t="str">
        <f>HYPERLINK("https://probpalata.gov.ru/files/ЮЛ780300323500108.jpeg","Скачать индивидуальный QR-код магазина")</f>
        <v>Скачать индивидуальный QR-код магазина</v>
      </c>
    </row>
    <row r="11092" spans="1:7" x14ac:dyDescent="0.25">
      <c r="A11092" t="s">
        <v>34263</v>
      </c>
      <c r="B11092" t="s">
        <v>34685</v>
      </c>
      <c r="C11092" t="s">
        <v>791</v>
      </c>
      <c r="D11092" t="s">
        <v>792</v>
      </c>
      <c r="E11092" t="s">
        <v>793</v>
      </c>
      <c r="F11092" t="s">
        <v>34686</v>
      </c>
      <c r="G11092" s="2" t="str">
        <f>HYPERLINK("https://probpalata.gov.ru/files/ЮЛ780300323500109.jpeg","Скачать индивидуальный QR-код магазина")</f>
        <v>Скачать индивидуальный QR-код магазина</v>
      </c>
    </row>
    <row r="11093" spans="1:7" x14ac:dyDescent="0.25">
      <c r="A11093" t="s">
        <v>34263</v>
      </c>
      <c r="B11093" t="s">
        <v>34387</v>
      </c>
      <c r="C11093" t="s">
        <v>798</v>
      </c>
      <c r="D11093" t="s">
        <v>799</v>
      </c>
      <c r="E11093" t="s">
        <v>800</v>
      </c>
      <c r="F11093" t="s">
        <v>34687</v>
      </c>
      <c r="G11093" s="2" t="str">
        <f>HYPERLINK("https://probpalata.gov.ru/files/ЮЛ780300308200139.jpeg","Скачать индивидуальный QR-код магазина")</f>
        <v>Скачать индивидуальный QR-код магазина</v>
      </c>
    </row>
    <row r="11094" spans="1:7" x14ac:dyDescent="0.25">
      <c r="A11094" t="s">
        <v>34263</v>
      </c>
      <c r="B11094" t="s">
        <v>34307</v>
      </c>
      <c r="C11094" t="s">
        <v>798</v>
      </c>
      <c r="D11094" t="s">
        <v>799</v>
      </c>
      <c r="E11094" t="s">
        <v>800</v>
      </c>
      <c r="F11094" t="s">
        <v>34688</v>
      </c>
      <c r="G11094" s="2" t="str">
        <f>HYPERLINK("https://probpalata.gov.ru/files/ЮЛ780300308200210.jpeg","Скачать индивидуальный QR-код магазина")</f>
        <v>Скачать индивидуальный QR-код магазина</v>
      </c>
    </row>
    <row r="11095" spans="1:7" x14ac:dyDescent="0.25">
      <c r="A11095" t="s">
        <v>34263</v>
      </c>
      <c r="B11095" t="s">
        <v>34689</v>
      </c>
      <c r="C11095" t="s">
        <v>798</v>
      </c>
      <c r="D11095" t="s">
        <v>799</v>
      </c>
      <c r="E11095" t="s">
        <v>800</v>
      </c>
      <c r="F11095" t="s">
        <v>34690</v>
      </c>
      <c r="G11095" s="2" t="str">
        <f>HYPERLINK("https://probpalata.gov.ru/files/ЮЛ780300308200215.jpeg","Скачать индивидуальный QR-код магазина")</f>
        <v>Скачать индивидуальный QR-код магазина</v>
      </c>
    </row>
    <row r="11096" spans="1:7" x14ac:dyDescent="0.25">
      <c r="A11096" t="s">
        <v>34263</v>
      </c>
      <c r="B11096" t="s">
        <v>34691</v>
      </c>
      <c r="C11096" t="s">
        <v>798</v>
      </c>
      <c r="D11096" t="s">
        <v>799</v>
      </c>
      <c r="E11096" t="s">
        <v>800</v>
      </c>
      <c r="F11096" t="s">
        <v>34692</v>
      </c>
      <c r="G11096" s="2" t="str">
        <f>HYPERLINK("https://probpalata.gov.ru/files/ЮЛ780300308200414.jpeg","Скачать индивидуальный QR-код магазина")</f>
        <v>Скачать индивидуальный QR-код магазина</v>
      </c>
    </row>
    <row r="11097" spans="1:7" x14ac:dyDescent="0.25">
      <c r="A11097" t="s">
        <v>34263</v>
      </c>
      <c r="B11097" t="s">
        <v>34380</v>
      </c>
      <c r="C11097" t="s">
        <v>798</v>
      </c>
      <c r="D11097" t="s">
        <v>799</v>
      </c>
      <c r="E11097" t="s">
        <v>800</v>
      </c>
      <c r="F11097" t="s">
        <v>34693</v>
      </c>
      <c r="G11097" s="2" t="str">
        <f>HYPERLINK("https://probpalata.gov.ru/files/ЮЛ780300308200562.jpeg","Скачать индивидуальный QR-код магазина")</f>
        <v>Скачать индивидуальный QR-код магазина</v>
      </c>
    </row>
    <row r="11098" spans="1:7" x14ac:dyDescent="0.25">
      <c r="A11098" t="s">
        <v>34263</v>
      </c>
      <c r="B11098" t="s">
        <v>34694</v>
      </c>
      <c r="C11098" t="s">
        <v>798</v>
      </c>
      <c r="D11098" t="s">
        <v>799</v>
      </c>
      <c r="E11098" t="s">
        <v>800</v>
      </c>
      <c r="F11098" t="s">
        <v>34695</v>
      </c>
      <c r="G11098" s="2" t="str">
        <f>HYPERLINK("https://probpalata.gov.ru/files/ЮЛ780300308200797.jpeg","Скачать индивидуальный QR-код магазина")</f>
        <v>Скачать индивидуальный QR-код магазина</v>
      </c>
    </row>
    <row r="11099" spans="1:7" x14ac:dyDescent="0.25">
      <c r="A11099" t="s">
        <v>34263</v>
      </c>
      <c r="B11099" t="s">
        <v>34696</v>
      </c>
      <c r="C11099" t="s">
        <v>798</v>
      </c>
      <c r="D11099" t="s">
        <v>799</v>
      </c>
      <c r="E11099" t="s">
        <v>800</v>
      </c>
      <c r="F11099" t="s">
        <v>34697</v>
      </c>
      <c r="G11099" s="2" t="str">
        <f>HYPERLINK("https://probpalata.gov.ru/files/ЮЛ780300308201053.jpeg","Скачать индивидуальный QR-код магазина")</f>
        <v>Скачать индивидуальный QR-код магазина</v>
      </c>
    </row>
    <row r="11100" spans="1:7" x14ac:dyDescent="0.25">
      <c r="A11100" t="s">
        <v>34263</v>
      </c>
      <c r="B11100" t="s">
        <v>34698</v>
      </c>
      <c r="C11100" t="s">
        <v>823</v>
      </c>
      <c r="D11100" t="s">
        <v>824</v>
      </c>
      <c r="E11100" t="s">
        <v>825</v>
      </c>
      <c r="F11100" t="s">
        <v>34699</v>
      </c>
      <c r="G11100" s="2" t="str">
        <f>HYPERLINK("https://probpalata.gov.ru/files/ЮЛ780300363500172.jpeg","Скачать индивидуальный QR-код магазина")</f>
        <v>Скачать индивидуальный QR-код магазина</v>
      </c>
    </row>
    <row r="11101" spans="1:7" x14ac:dyDescent="0.25">
      <c r="A11101" t="s">
        <v>34263</v>
      </c>
      <c r="B11101" t="s">
        <v>34683</v>
      </c>
      <c r="C11101" t="s">
        <v>823</v>
      </c>
      <c r="D11101" t="s">
        <v>824</v>
      </c>
      <c r="E11101" t="s">
        <v>825</v>
      </c>
      <c r="F11101" t="s">
        <v>34700</v>
      </c>
      <c r="G11101" s="2" t="str">
        <f>HYPERLINK("https://probpalata.gov.ru/files/ЮЛ780300363500174.jpeg","Скачать индивидуальный QR-код магазина")</f>
        <v>Скачать индивидуальный QR-код магазина</v>
      </c>
    </row>
    <row r="11102" spans="1:7" x14ac:dyDescent="0.25">
      <c r="A11102" t="s">
        <v>34263</v>
      </c>
      <c r="B11102" t="s">
        <v>34685</v>
      </c>
      <c r="C11102" t="s">
        <v>823</v>
      </c>
      <c r="D11102" t="s">
        <v>824</v>
      </c>
      <c r="E11102" t="s">
        <v>825</v>
      </c>
      <c r="F11102" t="s">
        <v>34701</v>
      </c>
      <c r="G11102" s="2" t="str">
        <f>HYPERLINK("https://probpalata.gov.ru/files/ЮЛ780300363500277.jpeg","Скачать индивидуальный QR-код магазина")</f>
        <v>Скачать индивидуальный QR-код магазина</v>
      </c>
    </row>
    <row r="11103" spans="1:7" x14ac:dyDescent="0.25">
      <c r="A11103" t="s">
        <v>34263</v>
      </c>
      <c r="B11103" t="s">
        <v>34702</v>
      </c>
      <c r="C11103" t="s">
        <v>1501</v>
      </c>
      <c r="D11103" t="s">
        <v>1502</v>
      </c>
      <c r="E11103" t="s">
        <v>1503</v>
      </c>
      <c r="F11103" t="s">
        <v>34703</v>
      </c>
      <c r="G11103" s="2" t="str">
        <f>HYPERLINK("https://probpalata.gov.ru/files/ЮЛ770100439200102.jpeg","Скачать индивидуальный QR-код магазина")</f>
        <v>Скачать индивидуальный QR-код магазина</v>
      </c>
    </row>
    <row r="11104" spans="1:7" x14ac:dyDescent="0.25">
      <c r="A11104" t="s">
        <v>34263</v>
      </c>
      <c r="B11104" t="s">
        <v>34603</v>
      </c>
      <c r="C11104" t="s">
        <v>1501</v>
      </c>
      <c r="D11104" t="s">
        <v>1502</v>
      </c>
      <c r="E11104" t="s">
        <v>1503</v>
      </c>
      <c r="F11104" t="s">
        <v>34704</v>
      </c>
      <c r="G11104" s="2" t="str">
        <f>HYPERLINK("https://probpalata.gov.ru/files/ЮЛ770100439200103.jpeg","Скачать индивидуальный QR-код магазина")</f>
        <v>Скачать индивидуальный QR-код магазина</v>
      </c>
    </row>
    <row r="11105" spans="1:7" x14ac:dyDescent="0.25">
      <c r="A11105" t="s">
        <v>34263</v>
      </c>
      <c r="B11105" t="s">
        <v>34705</v>
      </c>
      <c r="C11105" t="s">
        <v>34706</v>
      </c>
      <c r="D11105" t="s">
        <v>34707</v>
      </c>
      <c r="E11105" t="s">
        <v>34708</v>
      </c>
      <c r="F11105" t="s">
        <v>34709</v>
      </c>
      <c r="G11105" s="2" t="str">
        <f>HYPERLINK("https://probpalata.gov.ru/files/ЮЛ770103745400000.jpeg","Скачать индивидуальный QR-код магазина")</f>
        <v>Скачать индивидуальный QR-код магазина</v>
      </c>
    </row>
    <row r="11106" spans="1:7" x14ac:dyDescent="0.25">
      <c r="A11106" t="s">
        <v>34710</v>
      </c>
      <c r="B11106" t="s">
        <v>34711</v>
      </c>
      <c r="C11106" t="s">
        <v>34712</v>
      </c>
      <c r="D11106" t="s">
        <v>34713</v>
      </c>
      <c r="E11106" t="s">
        <v>34714</v>
      </c>
      <c r="F11106" t="s">
        <v>34715</v>
      </c>
      <c r="G11106" s="2" t="str">
        <f>HYPERLINK("https://probpalata.gov.ru/files/ЮЛ020603262800003.jpeg","Скачать индивидуальный QR-код магазина")</f>
        <v>Скачать индивидуальный QR-код магазина</v>
      </c>
    </row>
    <row r="11107" spans="1:7" x14ac:dyDescent="0.25">
      <c r="A11107" t="s">
        <v>34710</v>
      </c>
      <c r="B11107" t="s">
        <v>34716</v>
      </c>
      <c r="C11107" t="s">
        <v>9495</v>
      </c>
      <c r="D11107" t="s">
        <v>9496</v>
      </c>
      <c r="E11107" t="s">
        <v>9497</v>
      </c>
      <c r="F11107" t="s">
        <v>34717</v>
      </c>
      <c r="G11107" s="2" t="str">
        <f>HYPERLINK("https://probpalata.gov.ru/files/ЮЛ020603117700026.jpeg","Скачать индивидуальный QR-код магазина")</f>
        <v>Скачать индивидуальный QR-код магазина</v>
      </c>
    </row>
    <row r="11108" spans="1:7" x14ac:dyDescent="0.25">
      <c r="A11108" t="s">
        <v>34710</v>
      </c>
      <c r="B11108" t="s">
        <v>34718</v>
      </c>
      <c r="C11108" t="s">
        <v>10991</v>
      </c>
      <c r="D11108" t="s">
        <v>10992</v>
      </c>
      <c r="E11108" t="s">
        <v>10993</v>
      </c>
      <c r="F11108" t="s">
        <v>34719</v>
      </c>
      <c r="G11108" s="2" t="str">
        <f>HYPERLINK("https://probpalata.gov.ru/files/ИП120600362800009.jpeg","Скачать индивидуальный QR-код магазина")</f>
        <v>Скачать индивидуальный QR-код магазина</v>
      </c>
    </row>
    <row r="11109" spans="1:7" x14ac:dyDescent="0.25">
      <c r="A11109" t="s">
        <v>34710</v>
      </c>
      <c r="B11109" t="s">
        <v>34720</v>
      </c>
      <c r="C11109" t="s">
        <v>34721</v>
      </c>
      <c r="D11109" t="s">
        <v>34722</v>
      </c>
      <c r="E11109" t="s">
        <v>34723</v>
      </c>
      <c r="F11109" t="s">
        <v>34724</v>
      </c>
      <c r="G11109" s="2" t="str">
        <f>HYPERLINK("https://probpalata.gov.ru/files/ИП590600652500000.jpeg","Скачать индивидуальный QR-код магазина")</f>
        <v>Скачать индивидуальный QR-код магазина</v>
      </c>
    </row>
    <row r="11110" spans="1:7" x14ac:dyDescent="0.25">
      <c r="A11110" t="s">
        <v>34710</v>
      </c>
      <c r="B11110" t="s">
        <v>34725</v>
      </c>
      <c r="C11110" t="s">
        <v>34726</v>
      </c>
      <c r="D11110" t="s">
        <v>34727</v>
      </c>
      <c r="E11110" t="s">
        <v>34728</v>
      </c>
      <c r="F11110" t="s">
        <v>34729</v>
      </c>
      <c r="G11110" s="2" t="str">
        <f>HYPERLINK("https://probpalata.gov.ru/files/ИП590600093900000.jpeg","Скачать индивидуальный QR-код магазина")</f>
        <v>Скачать индивидуальный QR-код магазина</v>
      </c>
    </row>
    <row r="11111" spans="1:7" x14ac:dyDescent="0.25">
      <c r="A11111" t="s">
        <v>34710</v>
      </c>
      <c r="B11111" t="s">
        <v>34730</v>
      </c>
      <c r="C11111" t="s">
        <v>34731</v>
      </c>
      <c r="D11111" t="s">
        <v>34732</v>
      </c>
      <c r="E11111" t="s">
        <v>34733</v>
      </c>
      <c r="F11111" t="s">
        <v>34734</v>
      </c>
      <c r="G11111" s="2" t="str">
        <f>HYPERLINK("https://probpalata.gov.ru/files/ИП180600103900001.jpeg","Скачать индивидуальный QR-код магазина")</f>
        <v>Скачать индивидуальный QR-код магазина</v>
      </c>
    </row>
    <row r="11112" spans="1:7" x14ac:dyDescent="0.25">
      <c r="A11112" t="s">
        <v>34710</v>
      </c>
      <c r="B11112" t="s">
        <v>34735</v>
      </c>
      <c r="C11112" t="s">
        <v>34736</v>
      </c>
      <c r="D11112" t="s">
        <v>34737</v>
      </c>
      <c r="E11112" t="s">
        <v>34738</v>
      </c>
      <c r="F11112" t="s">
        <v>34739</v>
      </c>
      <c r="G11112" s="2" t="str">
        <f>HYPERLINK("https://probpalata.gov.ru/files/ИП590600097000000.jpeg","Скачать индивидуальный QR-код магазина")</f>
        <v>Скачать индивидуальный QR-код магазина</v>
      </c>
    </row>
    <row r="11113" spans="1:7" x14ac:dyDescent="0.25">
      <c r="A11113" t="s">
        <v>34710</v>
      </c>
      <c r="B11113" t="s">
        <v>34740</v>
      </c>
      <c r="C11113" t="s">
        <v>34741</v>
      </c>
      <c r="D11113" t="s">
        <v>34742</v>
      </c>
      <c r="E11113" t="s">
        <v>34743</v>
      </c>
      <c r="F11113" t="s">
        <v>34744</v>
      </c>
      <c r="G11113" s="2" t="str">
        <f>HYPERLINK("https://probpalata.gov.ru/files/ИП590600352100000.jpeg","Скачать индивидуальный QR-код магазина")</f>
        <v>Скачать индивидуальный QR-код магазина</v>
      </c>
    </row>
    <row r="11114" spans="1:7" x14ac:dyDescent="0.25">
      <c r="A11114" t="s">
        <v>34710</v>
      </c>
      <c r="B11114" t="s">
        <v>34745</v>
      </c>
      <c r="C11114" t="s">
        <v>34746</v>
      </c>
      <c r="D11114" t="s">
        <v>34747</v>
      </c>
      <c r="E11114" t="s">
        <v>34748</v>
      </c>
      <c r="F11114" t="s">
        <v>34749</v>
      </c>
      <c r="G11114" s="2" t="str">
        <f>HYPERLINK("https://probpalata.gov.ru/files/ИП180603314200000.jpeg","Скачать индивидуальный QR-код магазина")</f>
        <v>Скачать индивидуальный QR-код магазина</v>
      </c>
    </row>
    <row r="11115" spans="1:7" x14ac:dyDescent="0.25">
      <c r="A11115" t="s">
        <v>34710</v>
      </c>
      <c r="B11115" t="s">
        <v>34750</v>
      </c>
      <c r="C11115" t="s">
        <v>34751</v>
      </c>
      <c r="D11115" t="s">
        <v>34752</v>
      </c>
      <c r="E11115" t="s">
        <v>34753</v>
      </c>
      <c r="F11115" t="s">
        <v>34754</v>
      </c>
      <c r="G11115" s="2" t="str">
        <f>HYPERLINK("https://probpalata.gov.ru/files/ЮЛ180603136700001.jpeg","Скачать индивидуальный QR-код магазина")</f>
        <v>Скачать индивидуальный QR-код магазина</v>
      </c>
    </row>
    <row r="11116" spans="1:7" x14ac:dyDescent="0.25">
      <c r="A11116" t="s">
        <v>34710</v>
      </c>
      <c r="B11116" t="s">
        <v>34755</v>
      </c>
      <c r="C11116" t="s">
        <v>10091</v>
      </c>
      <c r="D11116" t="s">
        <v>10092</v>
      </c>
      <c r="E11116" t="s">
        <v>10093</v>
      </c>
      <c r="F11116" t="s">
        <v>34756</v>
      </c>
      <c r="G11116" s="2" t="str">
        <f>HYPERLINK("https://probpalata.gov.ru/files/ИП420801368200000.jpeg","Скачать индивидуальный QR-код магазина")</f>
        <v>Скачать индивидуальный QR-код магазина</v>
      </c>
    </row>
    <row r="11117" spans="1:7" x14ac:dyDescent="0.25">
      <c r="A11117" t="s">
        <v>34710</v>
      </c>
      <c r="B11117" t="s">
        <v>34757</v>
      </c>
      <c r="C11117" t="s">
        <v>671</v>
      </c>
      <c r="D11117" t="s">
        <v>672</v>
      </c>
      <c r="E11117" t="s">
        <v>673</v>
      </c>
      <c r="F11117" t="s">
        <v>34758</v>
      </c>
      <c r="G11117" s="2" t="str">
        <f>HYPERLINK("https://probpalata.gov.ru/files/ИП500100445500026.jpeg","Скачать индивидуальный QR-код магазина")</f>
        <v>Скачать индивидуальный QR-код магазина</v>
      </c>
    </row>
    <row r="11118" spans="1:7" x14ac:dyDescent="0.25">
      <c r="A11118" t="s">
        <v>34710</v>
      </c>
      <c r="B11118" t="s">
        <v>34759</v>
      </c>
      <c r="C11118" t="s">
        <v>671</v>
      </c>
      <c r="D11118" t="s">
        <v>672</v>
      </c>
      <c r="E11118" t="s">
        <v>673</v>
      </c>
      <c r="F11118" t="s">
        <v>34760</v>
      </c>
      <c r="G11118" s="2" t="str">
        <f>HYPERLINK("https://probpalata.gov.ru/files/ИП500100445500069.jpeg","Скачать индивидуальный QR-код магазина")</f>
        <v>Скачать индивидуальный QR-код магазина</v>
      </c>
    </row>
    <row r="11119" spans="1:7" x14ac:dyDescent="0.25">
      <c r="A11119" t="s">
        <v>34710</v>
      </c>
      <c r="B11119" t="s">
        <v>34761</v>
      </c>
      <c r="C11119" t="s">
        <v>10732</v>
      </c>
      <c r="D11119" t="s">
        <v>10733</v>
      </c>
      <c r="E11119" t="s">
        <v>10734</v>
      </c>
      <c r="F11119" t="s">
        <v>34762</v>
      </c>
      <c r="G11119" s="2" t="str">
        <f>HYPERLINK("https://probpalata.gov.ru/files/ИП440200426400027.jpeg","Скачать индивидуальный QR-код магазина")</f>
        <v>Скачать индивидуальный QR-код магазина</v>
      </c>
    </row>
    <row r="11120" spans="1:7" x14ac:dyDescent="0.25">
      <c r="A11120" t="s">
        <v>34710</v>
      </c>
      <c r="B11120" t="s">
        <v>34763</v>
      </c>
      <c r="C11120" t="s">
        <v>34764</v>
      </c>
      <c r="D11120" t="s">
        <v>34765</v>
      </c>
      <c r="E11120" t="s">
        <v>34766</v>
      </c>
      <c r="F11120" t="s">
        <v>34767</v>
      </c>
      <c r="G11120" s="2" t="str">
        <f>HYPERLINK("https://probpalata.gov.ru/files/ИП500100872400000.jpeg","Скачать индивидуальный QR-код магазина")</f>
        <v>Скачать индивидуальный QR-код магазина</v>
      </c>
    </row>
    <row r="11121" spans="1:7" x14ac:dyDescent="0.25">
      <c r="A11121" t="s">
        <v>34710</v>
      </c>
      <c r="B11121" t="s">
        <v>34768</v>
      </c>
      <c r="C11121" t="s">
        <v>34764</v>
      </c>
      <c r="D11121" t="s">
        <v>34765</v>
      </c>
      <c r="E11121" t="s">
        <v>34766</v>
      </c>
      <c r="F11121" t="s">
        <v>34769</v>
      </c>
      <c r="G11121" s="2" t="str">
        <f>HYPERLINK("https://probpalata.gov.ru/files/ИП500100872400001.jpeg","Скачать индивидуальный QR-код магазина")</f>
        <v>Скачать индивидуальный QR-код магазина</v>
      </c>
    </row>
    <row r="11122" spans="1:7" x14ac:dyDescent="0.25">
      <c r="A11122" t="s">
        <v>34710</v>
      </c>
      <c r="B11122" t="s">
        <v>34770</v>
      </c>
      <c r="C11122" t="s">
        <v>681</v>
      </c>
      <c r="D11122" t="s">
        <v>682</v>
      </c>
      <c r="E11122" t="s">
        <v>683</v>
      </c>
      <c r="F11122" t="s">
        <v>34771</v>
      </c>
      <c r="G11122" s="2" t="str">
        <f>HYPERLINK("https://probpalata.gov.ru/files/ИП520600807800018.jpeg","Скачать индивидуальный QR-код магазина")</f>
        <v>Скачать индивидуальный QR-код магазина</v>
      </c>
    </row>
    <row r="11123" spans="1:7" x14ac:dyDescent="0.25">
      <c r="A11123" t="s">
        <v>34710</v>
      </c>
      <c r="B11123" t="s">
        <v>34772</v>
      </c>
      <c r="C11123" t="s">
        <v>681</v>
      </c>
      <c r="D11123" t="s">
        <v>682</v>
      </c>
      <c r="E11123" t="s">
        <v>683</v>
      </c>
      <c r="F11123" t="s">
        <v>34773</v>
      </c>
      <c r="G11123" s="2" t="str">
        <f>HYPERLINK("https://probpalata.gov.ru/files/ИП520600807800030.jpeg","Скачать индивидуальный QR-код магазина")</f>
        <v>Скачать индивидуальный QR-код магазина</v>
      </c>
    </row>
    <row r="11124" spans="1:7" x14ac:dyDescent="0.25">
      <c r="A11124" t="s">
        <v>34710</v>
      </c>
      <c r="B11124" t="s">
        <v>34774</v>
      </c>
      <c r="C11124" t="s">
        <v>1735</v>
      </c>
      <c r="D11124" t="s">
        <v>1736</v>
      </c>
      <c r="E11124" t="s">
        <v>1737</v>
      </c>
      <c r="F11124" t="s">
        <v>34775</v>
      </c>
      <c r="G11124" s="2" t="str">
        <f>HYPERLINK("https://probpalata.gov.ru/files/ЮЛ520603376600050.jpeg","Скачать индивидуальный QR-код магазина")</f>
        <v>Скачать индивидуальный QR-код магазина</v>
      </c>
    </row>
    <row r="11125" spans="1:7" x14ac:dyDescent="0.25">
      <c r="A11125" t="s">
        <v>34710</v>
      </c>
      <c r="B11125" t="s">
        <v>34776</v>
      </c>
      <c r="C11125" t="s">
        <v>1735</v>
      </c>
      <c r="D11125" t="s">
        <v>1736</v>
      </c>
      <c r="E11125" t="s">
        <v>1737</v>
      </c>
      <c r="F11125" t="s">
        <v>34777</v>
      </c>
      <c r="G11125" s="2" t="str">
        <f>HYPERLINK("https://probpalata.gov.ru/files/ЮЛ520603376600098.jpeg","Скачать индивидуальный QR-код магазина")</f>
        <v>Скачать индивидуальный QR-код магазина</v>
      </c>
    </row>
    <row r="11126" spans="1:7" x14ac:dyDescent="0.25">
      <c r="A11126" t="s">
        <v>34710</v>
      </c>
      <c r="B11126" t="s">
        <v>34778</v>
      </c>
      <c r="C11126" t="s">
        <v>34779</v>
      </c>
      <c r="D11126" t="s">
        <v>34780</v>
      </c>
      <c r="E11126" t="s">
        <v>34781</v>
      </c>
      <c r="F11126" t="s">
        <v>34782</v>
      </c>
      <c r="G11126" s="2" t="str">
        <f>HYPERLINK("https://probpalata.gov.ru/files/ИП590601804300000.jpeg","Скачать индивидуальный QR-код магазина")</f>
        <v>Скачать индивидуальный QR-код магазина</v>
      </c>
    </row>
    <row r="11127" spans="1:7" x14ac:dyDescent="0.25">
      <c r="A11127" t="s">
        <v>34710</v>
      </c>
      <c r="B11127" t="s">
        <v>34783</v>
      </c>
      <c r="C11127" t="s">
        <v>34784</v>
      </c>
      <c r="D11127" t="s">
        <v>34785</v>
      </c>
      <c r="E11127" t="s">
        <v>34786</v>
      </c>
      <c r="F11127" t="s">
        <v>34787</v>
      </c>
      <c r="G11127" s="2" t="str">
        <f>HYPERLINK("https://probpalata.gov.ru/files/ИП590600240800000.jpeg","Скачать индивидуальный QR-код магазина")</f>
        <v>Скачать индивидуальный QR-код магазина</v>
      </c>
    </row>
    <row r="11128" spans="1:7" x14ac:dyDescent="0.25">
      <c r="A11128" t="s">
        <v>34710</v>
      </c>
      <c r="B11128" t="s">
        <v>34788</v>
      </c>
      <c r="C11128" t="s">
        <v>34789</v>
      </c>
      <c r="D11128" t="s">
        <v>34790</v>
      </c>
      <c r="E11128" t="s">
        <v>34791</v>
      </c>
      <c r="F11128" t="s">
        <v>34792</v>
      </c>
      <c r="G11128" s="2" t="str">
        <f>HYPERLINK("https://probpalata.gov.ru/files/ИП590603708000000.jpeg","Скачать индивидуальный QR-код магазина")</f>
        <v>Скачать индивидуальный QR-код магазина</v>
      </c>
    </row>
    <row r="11129" spans="1:7" x14ac:dyDescent="0.25">
      <c r="A11129" t="s">
        <v>34710</v>
      </c>
      <c r="B11129" t="s">
        <v>34793</v>
      </c>
      <c r="C11129" t="s">
        <v>34794</v>
      </c>
      <c r="D11129" t="s">
        <v>34795</v>
      </c>
      <c r="E11129" t="s">
        <v>34796</v>
      </c>
      <c r="F11129" t="s">
        <v>34797</v>
      </c>
      <c r="G11129" s="2" t="str">
        <f>HYPERLINK("https://probpalata.gov.ru/files/ЮЛ590600062800000.jpeg","Скачать индивидуальный QR-код магазина")</f>
        <v>Скачать индивидуальный QR-код магазина</v>
      </c>
    </row>
    <row r="11130" spans="1:7" x14ac:dyDescent="0.25">
      <c r="A11130" t="s">
        <v>34710</v>
      </c>
      <c r="B11130" t="s">
        <v>34798</v>
      </c>
      <c r="C11130" t="s">
        <v>34799</v>
      </c>
      <c r="D11130" t="s">
        <v>34800</v>
      </c>
      <c r="E11130" t="s">
        <v>34801</v>
      </c>
      <c r="F11130" t="s">
        <v>34802</v>
      </c>
      <c r="G11130" s="2" t="str">
        <f>HYPERLINK("https://probpalata.gov.ru/files/ЮЛ590600046600000.jpeg","Скачать индивидуальный QR-код магазина")</f>
        <v>Скачать индивидуальный QR-код магазина</v>
      </c>
    </row>
    <row r="11131" spans="1:7" x14ac:dyDescent="0.25">
      <c r="A11131" t="s">
        <v>34710</v>
      </c>
      <c r="B11131" t="s">
        <v>34803</v>
      </c>
      <c r="C11131" t="s">
        <v>34804</v>
      </c>
      <c r="D11131" t="s">
        <v>34805</v>
      </c>
      <c r="E11131" t="s">
        <v>34806</v>
      </c>
      <c r="F11131" t="s">
        <v>34807</v>
      </c>
      <c r="G11131" s="2" t="str">
        <f>HYPERLINK("https://probpalata.gov.ru/files/ИП590601170200000.jpeg","Скачать индивидуальный QR-код магазина")</f>
        <v>Скачать индивидуальный QR-код магазина</v>
      </c>
    </row>
    <row r="11132" spans="1:7" x14ac:dyDescent="0.25">
      <c r="A11132" t="s">
        <v>34710</v>
      </c>
      <c r="B11132" t="s">
        <v>34808</v>
      </c>
      <c r="C11132" t="s">
        <v>34809</v>
      </c>
      <c r="D11132" t="s">
        <v>34810</v>
      </c>
      <c r="E11132" t="s">
        <v>34811</v>
      </c>
      <c r="F11132" t="s">
        <v>34812</v>
      </c>
      <c r="G11132" s="2" t="str">
        <f>HYPERLINK("https://probpalata.gov.ru/files/ИП590600154300000.jpeg","Скачать индивидуальный QR-код магазина")</f>
        <v>Скачать индивидуальный QR-код магазина</v>
      </c>
    </row>
    <row r="11133" spans="1:7" x14ac:dyDescent="0.25">
      <c r="A11133" t="s">
        <v>34710</v>
      </c>
      <c r="B11133" t="s">
        <v>34813</v>
      </c>
      <c r="C11133" t="s">
        <v>34814</v>
      </c>
      <c r="D11133" t="s">
        <v>34815</v>
      </c>
      <c r="E11133" t="s">
        <v>34816</v>
      </c>
      <c r="F11133" t="s">
        <v>34817</v>
      </c>
      <c r="G11133" s="2" t="str">
        <f>HYPERLINK("https://probpalata.gov.ru/files/ИП590600077800000.jpeg","Скачать индивидуальный QR-код магазина")</f>
        <v>Скачать индивидуальный QR-код магазина</v>
      </c>
    </row>
    <row r="11134" spans="1:7" x14ac:dyDescent="0.25">
      <c r="A11134" t="s">
        <v>34710</v>
      </c>
      <c r="B11134" t="s">
        <v>34818</v>
      </c>
      <c r="C11134" t="s">
        <v>34819</v>
      </c>
      <c r="D11134" t="s">
        <v>34820</v>
      </c>
      <c r="E11134" t="s">
        <v>34821</v>
      </c>
      <c r="F11134" t="s">
        <v>34822</v>
      </c>
      <c r="G11134" s="2" t="str">
        <f>HYPERLINK("https://probpalata.gov.ru/files/ИП590600011900000.jpeg","Скачать индивидуальный QR-код магазина")</f>
        <v>Скачать индивидуальный QR-код магазина</v>
      </c>
    </row>
    <row r="11135" spans="1:7" x14ac:dyDescent="0.25">
      <c r="A11135" t="s">
        <v>34710</v>
      </c>
      <c r="B11135" t="s">
        <v>34823</v>
      </c>
      <c r="C11135" t="s">
        <v>34819</v>
      </c>
      <c r="D11135" t="s">
        <v>34820</v>
      </c>
      <c r="E11135" t="s">
        <v>34821</v>
      </c>
      <c r="F11135" t="s">
        <v>34824</v>
      </c>
      <c r="G11135" s="2" t="str">
        <f>HYPERLINK("https://probpalata.gov.ru/files/ИП590600011900001.jpeg","Скачать индивидуальный QR-код магазина")</f>
        <v>Скачать индивидуальный QR-код магазина</v>
      </c>
    </row>
    <row r="11136" spans="1:7" x14ac:dyDescent="0.25">
      <c r="A11136" t="s">
        <v>34710</v>
      </c>
      <c r="B11136" t="s">
        <v>34825</v>
      </c>
      <c r="C11136" t="s">
        <v>34819</v>
      </c>
      <c r="D11136" t="s">
        <v>34820</v>
      </c>
      <c r="E11136" t="s">
        <v>34821</v>
      </c>
      <c r="F11136" t="s">
        <v>34826</v>
      </c>
      <c r="G11136" s="2" t="str">
        <f>HYPERLINK("https://probpalata.gov.ru/files/ИП590600011900002.jpeg","Скачать индивидуальный QR-код магазина")</f>
        <v>Скачать индивидуальный QR-код магазина</v>
      </c>
    </row>
    <row r="11137" spans="1:7" x14ac:dyDescent="0.25">
      <c r="A11137" t="s">
        <v>34710</v>
      </c>
      <c r="B11137" t="s">
        <v>34759</v>
      </c>
      <c r="C11137" t="s">
        <v>34819</v>
      </c>
      <c r="D11137" t="s">
        <v>34820</v>
      </c>
      <c r="E11137" t="s">
        <v>34821</v>
      </c>
      <c r="F11137" t="s">
        <v>34827</v>
      </c>
      <c r="G11137" s="2" t="str">
        <f>HYPERLINK("https://probpalata.gov.ru/files/ИП590600011900004.jpeg","Скачать индивидуальный QR-код магазина")</f>
        <v>Скачать индивидуальный QR-код магазина</v>
      </c>
    </row>
    <row r="11138" spans="1:7" x14ac:dyDescent="0.25">
      <c r="A11138" t="s">
        <v>34710</v>
      </c>
      <c r="B11138" t="s">
        <v>34828</v>
      </c>
      <c r="C11138" t="s">
        <v>34819</v>
      </c>
      <c r="D11138" t="s">
        <v>34820</v>
      </c>
      <c r="E11138" t="s">
        <v>34821</v>
      </c>
      <c r="F11138" t="s">
        <v>34829</v>
      </c>
      <c r="G11138" s="2" t="str">
        <f>HYPERLINK("https://probpalata.gov.ru/files/ИП590600011900005.jpeg","Скачать индивидуальный QR-код магазина")</f>
        <v>Скачать индивидуальный QR-код магазина</v>
      </c>
    </row>
    <row r="11139" spans="1:7" x14ac:dyDescent="0.25">
      <c r="A11139" t="s">
        <v>34710</v>
      </c>
      <c r="B11139" t="s">
        <v>34830</v>
      </c>
      <c r="C11139" t="s">
        <v>34831</v>
      </c>
      <c r="D11139" t="s">
        <v>34832</v>
      </c>
      <c r="E11139" t="s">
        <v>34833</v>
      </c>
      <c r="F11139" t="s">
        <v>34834</v>
      </c>
      <c r="G11139" s="2" t="str">
        <f>HYPERLINK("https://probpalata.gov.ru/files/ИП590603710200000.jpeg","Скачать индивидуальный QR-код магазина")</f>
        <v>Скачать индивидуальный QR-код магазина</v>
      </c>
    </row>
    <row r="11140" spans="1:7" x14ac:dyDescent="0.25">
      <c r="A11140" t="s">
        <v>34710</v>
      </c>
      <c r="B11140" t="s">
        <v>34835</v>
      </c>
      <c r="C11140" t="s">
        <v>34836</v>
      </c>
      <c r="D11140" t="s">
        <v>34837</v>
      </c>
      <c r="E11140" t="s">
        <v>34838</v>
      </c>
      <c r="F11140" t="s">
        <v>34839</v>
      </c>
      <c r="G11140" s="2" t="str">
        <f>HYPERLINK("https://probpalata.gov.ru/files/ИП590603456200000.jpeg","Скачать индивидуальный QR-код магазина")</f>
        <v>Скачать индивидуальный QR-код магазина</v>
      </c>
    </row>
    <row r="11141" spans="1:7" x14ac:dyDescent="0.25">
      <c r="A11141" t="s">
        <v>34710</v>
      </c>
      <c r="B11141" t="s">
        <v>34840</v>
      </c>
      <c r="C11141" t="s">
        <v>34841</v>
      </c>
      <c r="D11141" t="s">
        <v>34842</v>
      </c>
      <c r="E11141" t="s">
        <v>34843</v>
      </c>
      <c r="F11141" t="s">
        <v>34844</v>
      </c>
      <c r="G11141" s="2" t="str">
        <f>HYPERLINK("https://probpalata.gov.ru/files/ИП590601847400000.jpeg","Скачать индивидуальный QR-код магазина")</f>
        <v>Скачать индивидуальный QR-код магазина</v>
      </c>
    </row>
    <row r="11142" spans="1:7" x14ac:dyDescent="0.25">
      <c r="A11142" t="s">
        <v>34710</v>
      </c>
      <c r="B11142" t="s">
        <v>34845</v>
      </c>
      <c r="C11142" t="s">
        <v>34841</v>
      </c>
      <c r="D11142" t="s">
        <v>34842</v>
      </c>
      <c r="E11142" t="s">
        <v>34843</v>
      </c>
      <c r="F11142" t="s">
        <v>34846</v>
      </c>
      <c r="G11142" s="2" t="str">
        <f>HYPERLINK("https://probpalata.gov.ru/files/ИП590601847400004.jpeg","Скачать индивидуальный QR-код магазина")</f>
        <v>Скачать индивидуальный QR-код магазина</v>
      </c>
    </row>
    <row r="11143" spans="1:7" x14ac:dyDescent="0.25">
      <c r="A11143" t="s">
        <v>34710</v>
      </c>
      <c r="B11143" t="s">
        <v>34847</v>
      </c>
      <c r="C11143" t="s">
        <v>34848</v>
      </c>
      <c r="D11143" t="s">
        <v>34849</v>
      </c>
      <c r="E11143" t="s">
        <v>34850</v>
      </c>
      <c r="F11143" t="s">
        <v>34851</v>
      </c>
      <c r="G11143" s="2" t="str">
        <f>HYPERLINK("https://probpalata.gov.ru/files/ИП590600178300000.jpeg","Скачать индивидуальный QR-код магазина")</f>
        <v>Скачать индивидуальный QR-код магазина</v>
      </c>
    </row>
    <row r="11144" spans="1:7" x14ac:dyDescent="0.25">
      <c r="A11144" t="s">
        <v>34710</v>
      </c>
      <c r="B11144" t="s">
        <v>34852</v>
      </c>
      <c r="C11144" t="s">
        <v>34848</v>
      </c>
      <c r="D11144" t="s">
        <v>34849</v>
      </c>
      <c r="E11144" t="s">
        <v>34850</v>
      </c>
      <c r="F11144" t="s">
        <v>34853</v>
      </c>
      <c r="G11144" s="2" t="str">
        <f>HYPERLINK("https://probpalata.gov.ru/files/ИП590600178300002.jpeg","Скачать индивидуальный QR-код магазина")</f>
        <v>Скачать индивидуальный QR-код магазина</v>
      </c>
    </row>
    <row r="11145" spans="1:7" x14ac:dyDescent="0.25">
      <c r="A11145" t="s">
        <v>34710</v>
      </c>
      <c r="B11145" t="s">
        <v>34854</v>
      </c>
      <c r="C11145" t="s">
        <v>34855</v>
      </c>
      <c r="D11145" t="s">
        <v>34856</v>
      </c>
      <c r="E11145" t="s">
        <v>34857</v>
      </c>
      <c r="F11145" t="s">
        <v>34858</v>
      </c>
      <c r="G11145" s="2" t="str">
        <f>HYPERLINK("https://probpalata.gov.ru/files/ЮЛ590600127800000.jpeg","Скачать индивидуальный QR-код магазина")</f>
        <v>Скачать индивидуальный QR-код магазина</v>
      </c>
    </row>
    <row r="11146" spans="1:7" x14ac:dyDescent="0.25">
      <c r="A11146" t="s">
        <v>34710</v>
      </c>
      <c r="B11146" t="s">
        <v>34859</v>
      </c>
      <c r="C11146" t="s">
        <v>34860</v>
      </c>
      <c r="D11146" t="s">
        <v>34861</v>
      </c>
      <c r="E11146" t="s">
        <v>34862</v>
      </c>
      <c r="F11146" t="s">
        <v>34863</v>
      </c>
      <c r="G11146" s="2" t="str">
        <f>HYPERLINK("https://probpalata.gov.ru/files/ЮЛ590600105600001.jpeg","Скачать индивидуальный QR-код магазина")</f>
        <v>Скачать индивидуальный QR-код магазина</v>
      </c>
    </row>
    <row r="11147" spans="1:7" x14ac:dyDescent="0.25">
      <c r="A11147" t="s">
        <v>34710</v>
      </c>
      <c r="B11147" t="s">
        <v>34864</v>
      </c>
      <c r="C11147" t="s">
        <v>34860</v>
      </c>
      <c r="D11147" t="s">
        <v>34861</v>
      </c>
      <c r="E11147" t="s">
        <v>34862</v>
      </c>
      <c r="F11147" t="s">
        <v>34865</v>
      </c>
      <c r="G11147" s="2" t="str">
        <f>HYPERLINK("https://probpalata.gov.ru/files/ЮЛ590600105600003.jpeg","Скачать индивидуальный QR-код магазина")</f>
        <v>Скачать индивидуальный QR-код магазина</v>
      </c>
    </row>
    <row r="11148" spans="1:7" x14ac:dyDescent="0.25">
      <c r="A11148" t="s">
        <v>34710</v>
      </c>
      <c r="B11148" t="s">
        <v>34866</v>
      </c>
      <c r="C11148" t="s">
        <v>34860</v>
      </c>
      <c r="D11148" t="s">
        <v>34861</v>
      </c>
      <c r="E11148" t="s">
        <v>34862</v>
      </c>
      <c r="F11148" t="s">
        <v>34867</v>
      </c>
      <c r="G11148" s="2" t="str">
        <f>HYPERLINK("https://probpalata.gov.ru/files/ЮЛ590600105600007.jpeg","Скачать индивидуальный QR-код магазина")</f>
        <v>Скачать индивидуальный QR-код магазина</v>
      </c>
    </row>
    <row r="11149" spans="1:7" x14ac:dyDescent="0.25">
      <c r="A11149" t="s">
        <v>34710</v>
      </c>
      <c r="B11149" t="s">
        <v>34868</v>
      </c>
      <c r="C11149" t="s">
        <v>34860</v>
      </c>
      <c r="D11149" t="s">
        <v>34861</v>
      </c>
      <c r="E11149" t="s">
        <v>34862</v>
      </c>
      <c r="F11149" t="s">
        <v>34869</v>
      </c>
      <c r="G11149" s="2" t="str">
        <f>HYPERLINK("https://probpalata.gov.ru/files/ЮЛ590600105600008.jpeg","Скачать индивидуальный QR-код магазина")</f>
        <v>Скачать индивидуальный QR-код магазина</v>
      </c>
    </row>
    <row r="11150" spans="1:7" x14ac:dyDescent="0.25">
      <c r="A11150" t="s">
        <v>34710</v>
      </c>
      <c r="B11150" t="s">
        <v>34870</v>
      </c>
      <c r="C11150" t="s">
        <v>34871</v>
      </c>
      <c r="D11150" t="s">
        <v>34872</v>
      </c>
      <c r="E11150" t="s">
        <v>34873</v>
      </c>
      <c r="F11150" t="s">
        <v>34874</v>
      </c>
      <c r="G11150" s="2" t="str">
        <f>HYPERLINK("https://probpalata.gov.ru/files/ИП590603306600000.jpeg","Скачать индивидуальный QR-код магазина")</f>
        <v>Скачать индивидуальный QR-код магазина</v>
      </c>
    </row>
    <row r="11151" spans="1:7" x14ac:dyDescent="0.25">
      <c r="A11151" t="s">
        <v>34710</v>
      </c>
      <c r="B11151" t="s">
        <v>34875</v>
      </c>
      <c r="C11151" t="s">
        <v>34871</v>
      </c>
      <c r="D11151" t="s">
        <v>34872</v>
      </c>
      <c r="E11151" t="s">
        <v>34873</v>
      </c>
      <c r="F11151" t="s">
        <v>34876</v>
      </c>
      <c r="G11151" s="2" t="str">
        <f>HYPERLINK("https://probpalata.gov.ru/files/ИП590603306600001.jpeg","Скачать индивидуальный QR-код магазина")</f>
        <v>Скачать индивидуальный QR-код магазина</v>
      </c>
    </row>
    <row r="11152" spans="1:7" x14ac:dyDescent="0.25">
      <c r="A11152" t="s">
        <v>34710</v>
      </c>
      <c r="B11152" t="s">
        <v>34877</v>
      </c>
      <c r="C11152" t="s">
        <v>34878</v>
      </c>
      <c r="D11152" t="s">
        <v>34879</v>
      </c>
      <c r="E11152" t="s">
        <v>34880</v>
      </c>
      <c r="F11152" t="s">
        <v>34881</v>
      </c>
      <c r="G11152" s="2" t="str">
        <f>HYPERLINK("https://probpalata.gov.ru/files/ИП590600240700000.jpeg","Скачать индивидуальный QR-код магазина")</f>
        <v>Скачать индивидуальный QR-код магазина</v>
      </c>
    </row>
    <row r="11153" spans="1:7" x14ac:dyDescent="0.25">
      <c r="A11153" t="s">
        <v>34710</v>
      </c>
      <c r="B11153" t="s">
        <v>34882</v>
      </c>
      <c r="C11153" t="s">
        <v>34883</v>
      </c>
      <c r="D11153" t="s">
        <v>34884</v>
      </c>
      <c r="E11153" t="s">
        <v>34885</v>
      </c>
      <c r="F11153" t="s">
        <v>34886</v>
      </c>
      <c r="G11153" s="2" t="str">
        <f>HYPERLINK("https://probpalata.gov.ru/files/ЮЛ590600071800006.jpeg","Скачать индивидуальный QR-код магазина")</f>
        <v>Скачать индивидуальный QR-код магазина</v>
      </c>
    </row>
    <row r="11154" spans="1:7" x14ac:dyDescent="0.25">
      <c r="A11154" t="s">
        <v>34710</v>
      </c>
      <c r="B11154" t="s">
        <v>34887</v>
      </c>
      <c r="C11154" t="s">
        <v>34883</v>
      </c>
      <c r="D11154" t="s">
        <v>34884</v>
      </c>
      <c r="E11154" t="s">
        <v>34885</v>
      </c>
      <c r="F11154" t="s">
        <v>34888</v>
      </c>
      <c r="G11154" s="2" t="str">
        <f>HYPERLINK("https://probpalata.gov.ru/files/ЮЛ590600071800007.jpeg","Скачать индивидуальный QR-код магазина")</f>
        <v>Скачать индивидуальный QR-код магазина</v>
      </c>
    </row>
    <row r="11155" spans="1:7" x14ac:dyDescent="0.25">
      <c r="A11155" t="s">
        <v>34710</v>
      </c>
      <c r="B11155" t="s">
        <v>34889</v>
      </c>
      <c r="C11155" t="s">
        <v>34883</v>
      </c>
      <c r="D11155" t="s">
        <v>34884</v>
      </c>
      <c r="E11155" t="s">
        <v>34885</v>
      </c>
      <c r="F11155" t="s">
        <v>34890</v>
      </c>
      <c r="G11155" s="2" t="str">
        <f>HYPERLINK("https://probpalata.gov.ru/files/ЮЛ590600071800009.jpeg","Скачать индивидуальный QR-код магазина")</f>
        <v>Скачать индивидуальный QR-код магазина</v>
      </c>
    </row>
    <row r="11156" spans="1:7" x14ac:dyDescent="0.25">
      <c r="A11156" t="s">
        <v>34710</v>
      </c>
      <c r="B11156" t="s">
        <v>34891</v>
      </c>
      <c r="C11156" t="s">
        <v>34892</v>
      </c>
      <c r="D11156" t="s">
        <v>34893</v>
      </c>
      <c r="E11156" t="s">
        <v>34894</v>
      </c>
      <c r="F11156" t="s">
        <v>34895</v>
      </c>
      <c r="G11156" s="2" t="str">
        <f>HYPERLINK("https://probpalata.gov.ru/files/ИП590601452100000.jpeg","Скачать индивидуальный QR-код магазина")</f>
        <v>Скачать индивидуальный QR-код магазина</v>
      </c>
    </row>
    <row r="11157" spans="1:7" x14ac:dyDescent="0.25">
      <c r="A11157" t="s">
        <v>34710</v>
      </c>
      <c r="B11157" t="s">
        <v>34896</v>
      </c>
      <c r="C11157" t="s">
        <v>34892</v>
      </c>
      <c r="D11157" t="s">
        <v>34893</v>
      </c>
      <c r="E11157" t="s">
        <v>34894</v>
      </c>
      <c r="F11157" t="s">
        <v>34897</v>
      </c>
      <c r="G11157" s="2" t="str">
        <f>HYPERLINK("https://probpalata.gov.ru/files/ИП590601452100012.jpeg","Скачать индивидуальный QR-код магазина")</f>
        <v>Скачать индивидуальный QR-код магазина</v>
      </c>
    </row>
    <row r="11158" spans="1:7" x14ac:dyDescent="0.25">
      <c r="A11158" t="s">
        <v>34710</v>
      </c>
      <c r="B11158" t="s">
        <v>34898</v>
      </c>
      <c r="C11158" t="s">
        <v>34892</v>
      </c>
      <c r="D11158" t="s">
        <v>34893</v>
      </c>
      <c r="E11158" t="s">
        <v>34894</v>
      </c>
      <c r="F11158" t="s">
        <v>34899</v>
      </c>
      <c r="G11158" s="2" t="str">
        <f>HYPERLINK("https://probpalata.gov.ru/files/ИП590601452100014.jpeg","Скачать индивидуальный QR-код магазина")</f>
        <v>Скачать индивидуальный QR-код магазина</v>
      </c>
    </row>
    <row r="11159" spans="1:7" x14ac:dyDescent="0.25">
      <c r="A11159" t="s">
        <v>34710</v>
      </c>
      <c r="B11159" t="s">
        <v>34900</v>
      </c>
      <c r="C11159" t="s">
        <v>34892</v>
      </c>
      <c r="D11159" t="s">
        <v>34893</v>
      </c>
      <c r="E11159" t="s">
        <v>34894</v>
      </c>
      <c r="F11159" t="s">
        <v>34901</v>
      </c>
      <c r="G11159" s="2" t="str">
        <f>HYPERLINK("https://probpalata.gov.ru/files/ИП590601452100015.jpeg","Скачать индивидуальный QR-код магазина")</f>
        <v>Скачать индивидуальный QR-код магазина</v>
      </c>
    </row>
    <row r="11160" spans="1:7" x14ac:dyDescent="0.25">
      <c r="A11160" t="s">
        <v>34710</v>
      </c>
      <c r="B11160" t="s">
        <v>34902</v>
      </c>
      <c r="C11160" t="s">
        <v>34892</v>
      </c>
      <c r="D11160" t="s">
        <v>34893</v>
      </c>
      <c r="E11160" t="s">
        <v>34894</v>
      </c>
      <c r="F11160" t="s">
        <v>34903</v>
      </c>
      <c r="G11160" s="2" t="str">
        <f>HYPERLINK("https://probpalata.gov.ru/files/ИП590601452100018.jpeg","Скачать индивидуальный QR-код магазина")</f>
        <v>Скачать индивидуальный QR-код магазина</v>
      </c>
    </row>
    <row r="11161" spans="1:7" x14ac:dyDescent="0.25">
      <c r="A11161" t="s">
        <v>34710</v>
      </c>
      <c r="B11161" t="s">
        <v>34904</v>
      </c>
      <c r="C11161" t="s">
        <v>34892</v>
      </c>
      <c r="D11161" t="s">
        <v>34893</v>
      </c>
      <c r="E11161" t="s">
        <v>34894</v>
      </c>
      <c r="F11161" t="s">
        <v>34905</v>
      </c>
      <c r="G11161" s="2" t="str">
        <f>HYPERLINK("https://probpalata.gov.ru/files/ИП590601452100020.jpeg","Скачать индивидуальный QR-код магазина")</f>
        <v>Скачать индивидуальный QR-код магазина</v>
      </c>
    </row>
    <row r="11162" spans="1:7" x14ac:dyDescent="0.25">
      <c r="A11162" t="s">
        <v>34710</v>
      </c>
      <c r="B11162" t="s">
        <v>34906</v>
      </c>
      <c r="C11162" t="s">
        <v>34892</v>
      </c>
      <c r="D11162" t="s">
        <v>34893</v>
      </c>
      <c r="E11162" t="s">
        <v>34894</v>
      </c>
      <c r="F11162" t="s">
        <v>34907</v>
      </c>
      <c r="G11162" s="2" t="str">
        <f>HYPERLINK("https://probpalata.gov.ru/files/ИП590601452100021.jpeg","Скачать индивидуальный QR-код магазина")</f>
        <v>Скачать индивидуальный QR-код магазина</v>
      </c>
    </row>
    <row r="11163" spans="1:7" x14ac:dyDescent="0.25">
      <c r="A11163" t="s">
        <v>34710</v>
      </c>
      <c r="B11163" t="s">
        <v>34908</v>
      </c>
      <c r="C11163" t="s">
        <v>34892</v>
      </c>
      <c r="D11163" t="s">
        <v>34893</v>
      </c>
      <c r="E11163" t="s">
        <v>34894</v>
      </c>
      <c r="F11163" t="s">
        <v>34909</v>
      </c>
      <c r="G11163" s="2" t="str">
        <f>HYPERLINK("https://probpalata.gov.ru/files/ИП590601452100022.jpeg","Скачать индивидуальный QR-код магазина")</f>
        <v>Скачать индивидуальный QR-код магазина</v>
      </c>
    </row>
    <row r="11164" spans="1:7" x14ac:dyDescent="0.25">
      <c r="A11164" t="s">
        <v>34710</v>
      </c>
      <c r="B11164" t="s">
        <v>34910</v>
      </c>
      <c r="C11164" t="s">
        <v>34892</v>
      </c>
      <c r="D11164" t="s">
        <v>34893</v>
      </c>
      <c r="E11164" t="s">
        <v>34894</v>
      </c>
      <c r="F11164" t="s">
        <v>34911</v>
      </c>
      <c r="G11164" s="2" t="str">
        <f>HYPERLINK("https://probpalata.gov.ru/files/ИП590601452100023.jpeg","Скачать индивидуальный QR-код магазина")</f>
        <v>Скачать индивидуальный QR-код магазина</v>
      </c>
    </row>
    <row r="11165" spans="1:7" x14ac:dyDescent="0.25">
      <c r="A11165" t="s">
        <v>34710</v>
      </c>
      <c r="B11165" t="s">
        <v>34912</v>
      </c>
      <c r="C11165" t="s">
        <v>34892</v>
      </c>
      <c r="D11165" t="s">
        <v>34893</v>
      </c>
      <c r="E11165" t="s">
        <v>34894</v>
      </c>
      <c r="F11165" t="s">
        <v>34913</v>
      </c>
      <c r="G11165" s="2" t="str">
        <f>HYPERLINK("https://probpalata.gov.ru/files/ИП590601452100027.jpeg","Скачать индивидуальный QR-код магазина")</f>
        <v>Скачать индивидуальный QR-код магазина</v>
      </c>
    </row>
    <row r="11166" spans="1:7" x14ac:dyDescent="0.25">
      <c r="A11166" t="s">
        <v>34710</v>
      </c>
      <c r="B11166" t="s">
        <v>34914</v>
      </c>
      <c r="C11166" t="s">
        <v>34892</v>
      </c>
      <c r="D11166" t="s">
        <v>34893</v>
      </c>
      <c r="E11166" t="s">
        <v>34894</v>
      </c>
      <c r="F11166" t="s">
        <v>34915</v>
      </c>
      <c r="G11166" s="2" t="str">
        <f>HYPERLINK("https://probpalata.gov.ru/files/ИП590601452100028.jpeg","Скачать индивидуальный QR-код магазина")</f>
        <v>Скачать индивидуальный QR-код магазина</v>
      </c>
    </row>
    <row r="11167" spans="1:7" x14ac:dyDescent="0.25">
      <c r="A11167" t="s">
        <v>34710</v>
      </c>
      <c r="B11167" t="s">
        <v>34916</v>
      </c>
      <c r="C11167" t="s">
        <v>34917</v>
      </c>
      <c r="D11167" t="s">
        <v>34918</v>
      </c>
      <c r="E11167" t="s">
        <v>34919</v>
      </c>
      <c r="F11167" t="s">
        <v>34920</v>
      </c>
      <c r="G11167" s="2" t="str">
        <f>HYPERLINK("https://probpalata.gov.ru/files/ЮЛ590600925600001.jpeg","Скачать индивидуальный QR-код магазина")</f>
        <v>Скачать индивидуальный QR-код магазина</v>
      </c>
    </row>
    <row r="11168" spans="1:7" x14ac:dyDescent="0.25">
      <c r="A11168" t="s">
        <v>34710</v>
      </c>
      <c r="B11168" t="s">
        <v>34921</v>
      </c>
      <c r="C11168" t="s">
        <v>34917</v>
      </c>
      <c r="D11168" t="s">
        <v>34918</v>
      </c>
      <c r="E11168" t="s">
        <v>34919</v>
      </c>
      <c r="F11168" t="s">
        <v>34922</v>
      </c>
      <c r="G11168" s="2" t="str">
        <f>HYPERLINK("https://probpalata.gov.ru/files/ЮЛ590600925600002.jpeg","Скачать индивидуальный QR-код магазина")</f>
        <v>Скачать индивидуальный QR-код магазина</v>
      </c>
    </row>
    <row r="11169" spans="1:7" x14ac:dyDescent="0.25">
      <c r="A11169" t="s">
        <v>34710</v>
      </c>
      <c r="B11169" t="s">
        <v>34923</v>
      </c>
      <c r="C11169" t="s">
        <v>3634</v>
      </c>
      <c r="D11169" t="s">
        <v>34924</v>
      </c>
      <c r="E11169" t="s">
        <v>34925</v>
      </c>
      <c r="F11169" t="s">
        <v>34926</v>
      </c>
      <c r="G11169" s="2" t="str">
        <f>HYPERLINK("https://probpalata.gov.ru/files/ЮЛ590600063600003.jpeg","Скачать индивидуальный QR-код магазина")</f>
        <v>Скачать индивидуальный QR-код магазина</v>
      </c>
    </row>
    <row r="11170" spans="1:7" x14ac:dyDescent="0.25">
      <c r="A11170" t="s">
        <v>34710</v>
      </c>
      <c r="B11170" t="s">
        <v>34927</v>
      </c>
      <c r="C11170" t="s">
        <v>3634</v>
      </c>
      <c r="D11170" t="s">
        <v>34924</v>
      </c>
      <c r="E11170" t="s">
        <v>34925</v>
      </c>
      <c r="F11170" t="s">
        <v>34928</v>
      </c>
      <c r="G11170" s="2" t="str">
        <f>HYPERLINK("https://probpalata.gov.ru/files/ЮЛ590600063600005.jpeg","Скачать индивидуальный QR-код магазина")</f>
        <v>Скачать индивидуальный QR-код магазина</v>
      </c>
    </row>
    <row r="11171" spans="1:7" x14ac:dyDescent="0.25">
      <c r="A11171" t="s">
        <v>34710</v>
      </c>
      <c r="B11171" t="s">
        <v>34929</v>
      </c>
      <c r="C11171" t="s">
        <v>3634</v>
      </c>
      <c r="D11171" t="s">
        <v>34924</v>
      </c>
      <c r="E11171" t="s">
        <v>34925</v>
      </c>
      <c r="F11171" t="s">
        <v>34930</v>
      </c>
      <c r="G11171" s="2" t="str">
        <f>HYPERLINK("https://probpalata.gov.ru/files/ЮЛ590600063600007.jpeg","Скачать индивидуальный QR-код магазина")</f>
        <v>Скачать индивидуальный QR-код магазина</v>
      </c>
    </row>
    <row r="11172" spans="1:7" x14ac:dyDescent="0.25">
      <c r="A11172" t="s">
        <v>34710</v>
      </c>
      <c r="B11172" t="s">
        <v>34931</v>
      </c>
      <c r="C11172" t="s">
        <v>34932</v>
      </c>
      <c r="D11172" t="s">
        <v>34933</v>
      </c>
      <c r="E11172" t="s">
        <v>34934</v>
      </c>
      <c r="F11172" t="s">
        <v>34935</v>
      </c>
      <c r="G11172" s="2" t="str">
        <f>HYPERLINK("https://probpalata.gov.ru/files/ИП770101013600000.jpeg","Скачать индивидуальный QR-код магазина")</f>
        <v>Скачать индивидуальный QR-код магазина</v>
      </c>
    </row>
    <row r="11173" spans="1:7" x14ac:dyDescent="0.25">
      <c r="A11173" t="s">
        <v>34710</v>
      </c>
      <c r="B11173" t="s">
        <v>34936</v>
      </c>
      <c r="C11173" t="s">
        <v>34932</v>
      </c>
      <c r="D11173" t="s">
        <v>34933</v>
      </c>
      <c r="E11173" t="s">
        <v>34934</v>
      </c>
      <c r="F11173" t="s">
        <v>34937</v>
      </c>
      <c r="G11173" s="2" t="str">
        <f>HYPERLINK("https://probpalata.gov.ru/files/ИП770101013600001.jpeg","Скачать индивидуальный QR-код магазина")</f>
        <v>Скачать индивидуальный QR-код магазина</v>
      </c>
    </row>
    <row r="11174" spans="1:7" x14ac:dyDescent="0.25">
      <c r="A11174" t="s">
        <v>34710</v>
      </c>
      <c r="B11174" t="s">
        <v>34938</v>
      </c>
      <c r="C11174" t="s">
        <v>34932</v>
      </c>
      <c r="D11174" t="s">
        <v>34933</v>
      </c>
      <c r="E11174" t="s">
        <v>34934</v>
      </c>
      <c r="F11174" t="s">
        <v>34939</v>
      </c>
      <c r="G11174" s="2" t="str">
        <f>HYPERLINK("https://probpalata.gov.ru/files/ИП770101013600002.jpeg","Скачать индивидуальный QR-код магазина")</f>
        <v>Скачать индивидуальный QR-код магазина</v>
      </c>
    </row>
    <row r="11175" spans="1:7" x14ac:dyDescent="0.25">
      <c r="A11175" t="s">
        <v>34710</v>
      </c>
      <c r="B11175" t="s">
        <v>34940</v>
      </c>
      <c r="C11175" t="s">
        <v>34932</v>
      </c>
      <c r="D11175" t="s">
        <v>34933</v>
      </c>
      <c r="E11175" t="s">
        <v>34934</v>
      </c>
      <c r="F11175" t="s">
        <v>34941</v>
      </c>
      <c r="G11175" s="2" t="str">
        <f>HYPERLINK("https://probpalata.gov.ru/files/ИП770101013600004.jpeg","Скачать индивидуальный QR-код магазина")</f>
        <v>Скачать индивидуальный QR-код магазина</v>
      </c>
    </row>
    <row r="11176" spans="1:7" x14ac:dyDescent="0.25">
      <c r="A11176" t="s">
        <v>34710</v>
      </c>
      <c r="B11176" t="s">
        <v>34942</v>
      </c>
      <c r="C11176" t="s">
        <v>34932</v>
      </c>
      <c r="D11176" t="s">
        <v>34933</v>
      </c>
      <c r="E11176" t="s">
        <v>34934</v>
      </c>
      <c r="F11176" t="s">
        <v>34943</v>
      </c>
      <c r="G11176" s="2" t="str">
        <f>HYPERLINK("https://probpalata.gov.ru/files/ИП770101013600005.jpeg","Скачать индивидуальный QR-код магазина")</f>
        <v>Скачать индивидуальный QR-код магазина</v>
      </c>
    </row>
    <row r="11177" spans="1:7" x14ac:dyDescent="0.25">
      <c r="A11177" t="s">
        <v>34710</v>
      </c>
      <c r="B11177" t="s">
        <v>34944</v>
      </c>
      <c r="C11177" t="s">
        <v>34932</v>
      </c>
      <c r="D11177" t="s">
        <v>34933</v>
      </c>
      <c r="E11177" t="s">
        <v>34934</v>
      </c>
      <c r="F11177" t="s">
        <v>34945</v>
      </c>
      <c r="G11177" s="2" t="str">
        <f>HYPERLINK("https://probpalata.gov.ru/files/ИП770101013600006.jpeg","Скачать индивидуальный QR-код магазина")</f>
        <v>Скачать индивидуальный QR-код магазина</v>
      </c>
    </row>
    <row r="11178" spans="1:7" x14ac:dyDescent="0.25">
      <c r="A11178" t="s">
        <v>34710</v>
      </c>
      <c r="B11178" t="s">
        <v>34946</v>
      </c>
      <c r="C11178" t="s">
        <v>34932</v>
      </c>
      <c r="D11178" t="s">
        <v>34933</v>
      </c>
      <c r="E11178" t="s">
        <v>34934</v>
      </c>
      <c r="F11178" t="s">
        <v>34947</v>
      </c>
      <c r="G11178" s="2" t="str">
        <f>HYPERLINK("https://probpalata.gov.ru/files/ИП770101013600007.jpeg","Скачать индивидуальный QR-код магазина")</f>
        <v>Скачать индивидуальный QR-код магазина</v>
      </c>
    </row>
    <row r="11179" spans="1:7" x14ac:dyDescent="0.25">
      <c r="A11179" t="s">
        <v>34710</v>
      </c>
      <c r="B11179" t="s">
        <v>34948</v>
      </c>
      <c r="C11179" t="s">
        <v>34932</v>
      </c>
      <c r="D11179" t="s">
        <v>34933</v>
      </c>
      <c r="E11179" t="s">
        <v>34934</v>
      </c>
      <c r="F11179" t="s">
        <v>34949</v>
      </c>
      <c r="G11179" s="2" t="str">
        <f>HYPERLINK("https://probpalata.gov.ru/files/ИП770101013600008.jpeg","Скачать индивидуальный QR-код магазина")</f>
        <v>Скачать индивидуальный QR-код магазина</v>
      </c>
    </row>
    <row r="11180" spans="1:7" x14ac:dyDescent="0.25">
      <c r="A11180" t="s">
        <v>34710</v>
      </c>
      <c r="B11180" t="s">
        <v>34950</v>
      </c>
      <c r="C11180" t="s">
        <v>34932</v>
      </c>
      <c r="D11180" t="s">
        <v>34933</v>
      </c>
      <c r="E11180" t="s">
        <v>34934</v>
      </c>
      <c r="F11180" t="s">
        <v>34951</v>
      </c>
      <c r="G11180" s="2" t="str">
        <f>HYPERLINK("https://probpalata.gov.ru/files/ИП770101013600009.jpeg","Скачать индивидуальный QR-код магазина")</f>
        <v>Скачать индивидуальный QR-код магазина</v>
      </c>
    </row>
    <row r="11181" spans="1:7" x14ac:dyDescent="0.25">
      <c r="A11181" t="s">
        <v>34710</v>
      </c>
      <c r="B11181" t="s">
        <v>34952</v>
      </c>
      <c r="C11181" t="s">
        <v>34932</v>
      </c>
      <c r="D11181" t="s">
        <v>34933</v>
      </c>
      <c r="E11181" t="s">
        <v>34934</v>
      </c>
      <c r="F11181" t="s">
        <v>34953</v>
      </c>
      <c r="G11181" s="2" t="str">
        <f>HYPERLINK("https://probpalata.gov.ru/files/ИП770101013600012.jpeg","Скачать индивидуальный QR-код магазина")</f>
        <v>Скачать индивидуальный QR-код магазина</v>
      </c>
    </row>
    <row r="11182" spans="1:7" x14ac:dyDescent="0.25">
      <c r="A11182" t="s">
        <v>34710</v>
      </c>
      <c r="B11182" t="s">
        <v>34916</v>
      </c>
      <c r="C11182" t="s">
        <v>34932</v>
      </c>
      <c r="D11182" t="s">
        <v>34933</v>
      </c>
      <c r="E11182" t="s">
        <v>34934</v>
      </c>
      <c r="F11182" t="s">
        <v>34954</v>
      </c>
      <c r="G11182" s="2" t="str">
        <f>HYPERLINK("https://probpalata.gov.ru/files/ИП770101013600013.jpeg","Скачать индивидуальный QR-код магазина")</f>
        <v>Скачать индивидуальный QR-код магазина</v>
      </c>
    </row>
    <row r="11183" spans="1:7" x14ac:dyDescent="0.25">
      <c r="A11183" t="s">
        <v>34710</v>
      </c>
      <c r="B11183" t="s">
        <v>34955</v>
      </c>
      <c r="C11183" t="s">
        <v>34932</v>
      </c>
      <c r="D11183" t="s">
        <v>34933</v>
      </c>
      <c r="E11183" t="s">
        <v>34934</v>
      </c>
      <c r="F11183" t="s">
        <v>34956</v>
      </c>
      <c r="G11183" s="2" t="str">
        <f>HYPERLINK("https://probpalata.gov.ru/files/ИП770101013600016.jpeg","Скачать индивидуальный QR-код магазина")</f>
        <v>Скачать индивидуальный QR-код магазина</v>
      </c>
    </row>
    <row r="11184" spans="1:7" x14ac:dyDescent="0.25">
      <c r="A11184" t="s">
        <v>34710</v>
      </c>
      <c r="B11184" t="s">
        <v>34957</v>
      </c>
      <c r="C11184" t="s">
        <v>34958</v>
      </c>
      <c r="D11184" t="s">
        <v>34959</v>
      </c>
      <c r="E11184" t="s">
        <v>34960</v>
      </c>
      <c r="F11184" t="s">
        <v>34961</v>
      </c>
      <c r="G11184" s="2" t="str">
        <f>HYPERLINK("https://probpalata.gov.ru/files/ЮЛ590600173900010.jpeg","Скачать индивидуальный QR-код магазина")</f>
        <v>Скачать индивидуальный QR-код магазина</v>
      </c>
    </row>
    <row r="11185" spans="1:7" x14ac:dyDescent="0.25">
      <c r="A11185" t="s">
        <v>34710</v>
      </c>
      <c r="B11185" t="s">
        <v>34908</v>
      </c>
      <c r="C11185" t="s">
        <v>34962</v>
      </c>
      <c r="D11185" t="s">
        <v>34963</v>
      </c>
      <c r="E11185" t="s">
        <v>34964</v>
      </c>
      <c r="F11185" t="s">
        <v>34965</v>
      </c>
      <c r="G11185" s="2" t="str">
        <f>HYPERLINK("https://probpalata.gov.ru/files/ЮЛ590600829000001.jpeg","Скачать индивидуальный QR-код магазина")</f>
        <v>Скачать индивидуальный QR-код магазина</v>
      </c>
    </row>
    <row r="11186" spans="1:7" x14ac:dyDescent="0.25">
      <c r="A11186" t="s">
        <v>34710</v>
      </c>
      <c r="B11186" t="s">
        <v>34891</v>
      </c>
      <c r="C11186" t="s">
        <v>34962</v>
      </c>
      <c r="D11186" t="s">
        <v>34963</v>
      </c>
      <c r="E11186" t="s">
        <v>34964</v>
      </c>
      <c r="F11186" t="s">
        <v>34966</v>
      </c>
      <c r="G11186" s="2" t="str">
        <f>HYPERLINK("https://probpalata.gov.ru/files/ЮЛ590600829000002.jpeg","Скачать индивидуальный QR-код магазина")</f>
        <v>Скачать индивидуальный QR-код магазина</v>
      </c>
    </row>
    <row r="11187" spans="1:7" x14ac:dyDescent="0.25">
      <c r="A11187" t="s">
        <v>34710</v>
      </c>
      <c r="B11187" t="s">
        <v>34912</v>
      </c>
      <c r="C11187" t="s">
        <v>34962</v>
      </c>
      <c r="D11187" t="s">
        <v>34963</v>
      </c>
      <c r="E11187" t="s">
        <v>34964</v>
      </c>
      <c r="F11187" t="s">
        <v>34967</v>
      </c>
      <c r="G11187" s="2" t="str">
        <f>HYPERLINK("https://probpalata.gov.ru/files/ЮЛ590600829000006.jpeg","Скачать индивидуальный QR-код магазина")</f>
        <v>Скачать индивидуальный QR-код магазина</v>
      </c>
    </row>
    <row r="11188" spans="1:7" x14ac:dyDescent="0.25">
      <c r="A11188" t="s">
        <v>34710</v>
      </c>
      <c r="B11188" t="s">
        <v>34968</v>
      </c>
      <c r="C11188" t="s">
        <v>26616</v>
      </c>
      <c r="D11188" t="s">
        <v>34969</v>
      </c>
      <c r="E11188" t="s">
        <v>34970</v>
      </c>
      <c r="F11188" t="s">
        <v>34971</v>
      </c>
      <c r="G11188" s="2" t="str">
        <f>HYPERLINK("https://probpalata.gov.ru/files/ЮЛ590603467200000.jpeg","Скачать индивидуальный QR-код магазина")</f>
        <v>Скачать индивидуальный QR-код магазина</v>
      </c>
    </row>
    <row r="11189" spans="1:7" x14ac:dyDescent="0.25">
      <c r="A11189" t="s">
        <v>34710</v>
      </c>
      <c r="B11189" t="s">
        <v>34972</v>
      </c>
      <c r="C11189" t="s">
        <v>26616</v>
      </c>
      <c r="D11189" t="s">
        <v>34969</v>
      </c>
      <c r="E11189" t="s">
        <v>34970</v>
      </c>
      <c r="F11189" t="s">
        <v>34973</v>
      </c>
      <c r="G11189" s="2" t="str">
        <f>HYPERLINK("https://probpalata.gov.ru/files/ЮЛ590603467200001.jpeg","Скачать индивидуальный QR-код магазина")</f>
        <v>Скачать индивидуальный QR-код магазина</v>
      </c>
    </row>
    <row r="11190" spans="1:7" x14ac:dyDescent="0.25">
      <c r="A11190" t="s">
        <v>34710</v>
      </c>
      <c r="B11190" t="s">
        <v>34974</v>
      </c>
      <c r="C11190" t="s">
        <v>26616</v>
      </c>
      <c r="D11190" t="s">
        <v>34969</v>
      </c>
      <c r="E11190" t="s">
        <v>34970</v>
      </c>
      <c r="F11190" t="s">
        <v>34975</v>
      </c>
      <c r="G11190" s="2" t="str">
        <f>HYPERLINK("https://probpalata.gov.ru/files/ЮЛ590603467200002.jpeg","Скачать индивидуальный QR-код магазина")</f>
        <v>Скачать индивидуальный QR-код магазина</v>
      </c>
    </row>
    <row r="11191" spans="1:7" x14ac:dyDescent="0.25">
      <c r="A11191" t="s">
        <v>34710</v>
      </c>
      <c r="B11191" t="s">
        <v>34976</v>
      </c>
      <c r="C11191" t="s">
        <v>34977</v>
      </c>
      <c r="D11191" t="s">
        <v>34978</v>
      </c>
      <c r="E11191" t="s">
        <v>34979</v>
      </c>
      <c r="F11191" t="s">
        <v>34980</v>
      </c>
      <c r="G11191" s="2" t="str">
        <f>HYPERLINK("https://probpalata.gov.ru/files/ИП590600176400000.jpeg","Скачать индивидуальный QR-код магазина")</f>
        <v>Скачать индивидуальный QR-код магазина</v>
      </c>
    </row>
    <row r="11192" spans="1:7" x14ac:dyDescent="0.25">
      <c r="A11192" t="s">
        <v>34710</v>
      </c>
      <c r="B11192" t="s">
        <v>34981</v>
      </c>
      <c r="C11192" t="s">
        <v>34977</v>
      </c>
      <c r="D11192" t="s">
        <v>34978</v>
      </c>
      <c r="E11192" t="s">
        <v>34979</v>
      </c>
      <c r="F11192" t="s">
        <v>34982</v>
      </c>
      <c r="G11192" s="2" t="str">
        <f>HYPERLINK("https://probpalata.gov.ru/files/ИП590600176400001.jpeg","Скачать индивидуальный QR-код магазина")</f>
        <v>Скачать индивидуальный QR-код магазина</v>
      </c>
    </row>
    <row r="11193" spans="1:7" x14ac:dyDescent="0.25">
      <c r="A11193" t="s">
        <v>34710</v>
      </c>
      <c r="B11193" t="s">
        <v>34983</v>
      </c>
      <c r="C11193" t="s">
        <v>34977</v>
      </c>
      <c r="D11193" t="s">
        <v>34978</v>
      </c>
      <c r="E11193" t="s">
        <v>34979</v>
      </c>
      <c r="F11193" t="s">
        <v>34984</v>
      </c>
      <c r="G11193" s="2" t="str">
        <f>HYPERLINK("https://probpalata.gov.ru/files/ИП590600176400002.jpeg","Скачать индивидуальный QR-код магазина")</f>
        <v>Скачать индивидуальный QR-код магазина</v>
      </c>
    </row>
    <row r="11194" spans="1:7" x14ac:dyDescent="0.25">
      <c r="A11194" t="s">
        <v>34710</v>
      </c>
      <c r="B11194" t="s">
        <v>34985</v>
      </c>
      <c r="C11194" t="s">
        <v>34977</v>
      </c>
      <c r="D11194" t="s">
        <v>34978</v>
      </c>
      <c r="E11194" t="s">
        <v>34979</v>
      </c>
      <c r="F11194" t="s">
        <v>34986</v>
      </c>
      <c r="G11194" s="2" t="str">
        <f>HYPERLINK("https://probpalata.gov.ru/files/ИП590600176400003.jpeg","Скачать индивидуальный QR-код магазина")</f>
        <v>Скачать индивидуальный QR-код магазина</v>
      </c>
    </row>
    <row r="11195" spans="1:7" x14ac:dyDescent="0.25">
      <c r="A11195" t="s">
        <v>34710</v>
      </c>
      <c r="B11195" t="s">
        <v>34987</v>
      </c>
      <c r="C11195" t="s">
        <v>34977</v>
      </c>
      <c r="D11195" t="s">
        <v>34978</v>
      </c>
      <c r="E11195" t="s">
        <v>34979</v>
      </c>
      <c r="F11195" t="s">
        <v>34988</v>
      </c>
      <c r="G11195" s="2" t="str">
        <f>HYPERLINK("https://probpalata.gov.ru/files/ИП590600176400004.jpeg","Скачать индивидуальный QR-код магазина")</f>
        <v>Скачать индивидуальный QR-код магазина</v>
      </c>
    </row>
    <row r="11196" spans="1:7" x14ac:dyDescent="0.25">
      <c r="A11196" t="s">
        <v>34710</v>
      </c>
      <c r="B11196" t="s">
        <v>34989</v>
      </c>
      <c r="C11196" t="s">
        <v>34977</v>
      </c>
      <c r="D11196" t="s">
        <v>34978</v>
      </c>
      <c r="E11196" t="s">
        <v>34979</v>
      </c>
      <c r="F11196" t="s">
        <v>34990</v>
      </c>
      <c r="G11196" s="2" t="str">
        <f>HYPERLINK("https://probpalata.gov.ru/files/ИП590600176400005.jpeg","Скачать индивидуальный QR-код магазина")</f>
        <v>Скачать индивидуальный QR-код магазина</v>
      </c>
    </row>
    <row r="11197" spans="1:7" x14ac:dyDescent="0.25">
      <c r="A11197" t="s">
        <v>34710</v>
      </c>
      <c r="B11197" t="s">
        <v>34991</v>
      </c>
      <c r="C11197" t="s">
        <v>34977</v>
      </c>
      <c r="D11197" t="s">
        <v>34978</v>
      </c>
      <c r="E11197" t="s">
        <v>34979</v>
      </c>
      <c r="F11197" t="s">
        <v>34992</v>
      </c>
      <c r="G11197" s="2" t="str">
        <f>HYPERLINK("https://probpalata.gov.ru/files/ИП590600176400006.jpeg","Скачать индивидуальный QR-код магазина")</f>
        <v>Скачать индивидуальный QR-код магазина</v>
      </c>
    </row>
    <row r="11198" spans="1:7" x14ac:dyDescent="0.25">
      <c r="A11198" t="s">
        <v>34710</v>
      </c>
      <c r="B11198" t="s">
        <v>34993</v>
      </c>
      <c r="C11198" t="s">
        <v>34977</v>
      </c>
      <c r="D11198" t="s">
        <v>34978</v>
      </c>
      <c r="E11198" t="s">
        <v>34979</v>
      </c>
      <c r="F11198" t="s">
        <v>34994</v>
      </c>
      <c r="G11198" s="2" t="str">
        <f>HYPERLINK("https://probpalata.gov.ru/files/ИП590600176400007.jpeg","Скачать индивидуальный QR-код магазина")</f>
        <v>Скачать индивидуальный QR-код магазина</v>
      </c>
    </row>
    <row r="11199" spans="1:7" x14ac:dyDescent="0.25">
      <c r="A11199" t="s">
        <v>34710</v>
      </c>
      <c r="B11199" t="s">
        <v>34995</v>
      </c>
      <c r="C11199" t="s">
        <v>34977</v>
      </c>
      <c r="D11199" t="s">
        <v>34978</v>
      </c>
      <c r="E11199" t="s">
        <v>34979</v>
      </c>
      <c r="F11199" t="s">
        <v>34996</v>
      </c>
      <c r="G11199" s="2" t="str">
        <f>HYPERLINK("https://probpalata.gov.ru/files/ИП590600176400009.jpeg","Скачать индивидуальный QR-код магазина")</f>
        <v>Скачать индивидуальный QR-код магазина</v>
      </c>
    </row>
    <row r="11200" spans="1:7" x14ac:dyDescent="0.25">
      <c r="A11200" t="s">
        <v>34710</v>
      </c>
      <c r="B11200" t="s">
        <v>34997</v>
      </c>
      <c r="C11200" t="s">
        <v>34977</v>
      </c>
      <c r="D11200" t="s">
        <v>34978</v>
      </c>
      <c r="E11200" t="s">
        <v>34979</v>
      </c>
      <c r="F11200" t="s">
        <v>34998</v>
      </c>
      <c r="G11200" s="2" t="str">
        <f>HYPERLINK("https://probpalata.gov.ru/files/ИП590600176400010.jpeg","Скачать индивидуальный QR-код магазина")</f>
        <v>Скачать индивидуальный QR-код магазина</v>
      </c>
    </row>
    <row r="11201" spans="1:7" x14ac:dyDescent="0.25">
      <c r="A11201" t="s">
        <v>34710</v>
      </c>
      <c r="B11201" t="s">
        <v>34999</v>
      </c>
      <c r="C11201" t="s">
        <v>34977</v>
      </c>
      <c r="D11201" t="s">
        <v>34978</v>
      </c>
      <c r="E11201" t="s">
        <v>34979</v>
      </c>
      <c r="F11201" t="s">
        <v>35000</v>
      </c>
      <c r="G11201" s="2" t="str">
        <f>HYPERLINK("https://probpalata.gov.ru/files/ИП590600176400011.jpeg","Скачать индивидуальный QR-код магазина")</f>
        <v>Скачать индивидуальный QR-код магазина</v>
      </c>
    </row>
    <row r="11202" spans="1:7" x14ac:dyDescent="0.25">
      <c r="A11202" t="s">
        <v>34710</v>
      </c>
      <c r="B11202" t="s">
        <v>35001</v>
      </c>
      <c r="C11202" t="s">
        <v>35002</v>
      </c>
      <c r="D11202" t="s">
        <v>35003</v>
      </c>
      <c r="E11202" t="s">
        <v>35004</v>
      </c>
      <c r="F11202" t="s">
        <v>35005</v>
      </c>
      <c r="G11202" s="2" t="str">
        <f>HYPERLINK("https://probpalata.gov.ru/files/ИП590600153000010.jpeg","Скачать индивидуальный QR-код магазина")</f>
        <v>Скачать индивидуальный QR-код магазина</v>
      </c>
    </row>
    <row r="11203" spans="1:7" x14ac:dyDescent="0.25">
      <c r="A11203" t="s">
        <v>34710</v>
      </c>
      <c r="B11203" t="s">
        <v>35006</v>
      </c>
      <c r="C11203" t="s">
        <v>35002</v>
      </c>
      <c r="D11203" t="s">
        <v>35003</v>
      </c>
      <c r="E11203" t="s">
        <v>35004</v>
      </c>
      <c r="F11203" t="s">
        <v>35007</v>
      </c>
      <c r="G11203" s="2" t="str">
        <f>HYPERLINK("https://probpalata.gov.ru/files/ИП590600153000018.jpeg","Скачать индивидуальный QR-код магазина")</f>
        <v>Скачать индивидуальный QR-код магазина</v>
      </c>
    </row>
    <row r="11204" spans="1:7" x14ac:dyDescent="0.25">
      <c r="A11204" t="s">
        <v>34710</v>
      </c>
      <c r="B11204" t="s">
        <v>34866</v>
      </c>
      <c r="C11204" t="s">
        <v>35002</v>
      </c>
      <c r="D11204" t="s">
        <v>35003</v>
      </c>
      <c r="E11204" t="s">
        <v>35004</v>
      </c>
      <c r="F11204" t="s">
        <v>35008</v>
      </c>
      <c r="G11204" s="2" t="str">
        <f>HYPERLINK("https://probpalata.gov.ru/files/ИП590600153000019.jpeg","Скачать индивидуальный QR-код магазина")</f>
        <v>Скачать индивидуальный QR-код магазина</v>
      </c>
    </row>
    <row r="11205" spans="1:7" x14ac:dyDescent="0.25">
      <c r="A11205" t="s">
        <v>34710</v>
      </c>
      <c r="B11205" t="s">
        <v>35009</v>
      </c>
      <c r="C11205" t="s">
        <v>35002</v>
      </c>
      <c r="D11205" t="s">
        <v>35003</v>
      </c>
      <c r="E11205" t="s">
        <v>35004</v>
      </c>
      <c r="F11205" t="s">
        <v>35010</v>
      </c>
      <c r="G11205" s="2" t="str">
        <f>HYPERLINK("https://probpalata.gov.ru/files/ИП590600153000020.jpeg","Скачать индивидуальный QR-код магазина")</f>
        <v>Скачать индивидуальный QR-код магазина</v>
      </c>
    </row>
    <row r="11206" spans="1:7" x14ac:dyDescent="0.25">
      <c r="A11206" t="s">
        <v>34710</v>
      </c>
      <c r="B11206" t="s">
        <v>35011</v>
      </c>
      <c r="C11206" t="s">
        <v>35012</v>
      </c>
      <c r="D11206" t="s">
        <v>35013</v>
      </c>
      <c r="E11206" t="s">
        <v>35014</v>
      </c>
      <c r="F11206" t="s">
        <v>35015</v>
      </c>
      <c r="G11206" s="2" t="str">
        <f>HYPERLINK("https://probpalata.gov.ru/files/ИП590601914100003.jpeg","Скачать индивидуальный QR-код магазина")</f>
        <v>Скачать индивидуальный QR-код магазина</v>
      </c>
    </row>
    <row r="11207" spans="1:7" x14ac:dyDescent="0.25">
      <c r="A11207" t="s">
        <v>34710</v>
      </c>
      <c r="B11207" t="s">
        <v>35016</v>
      </c>
      <c r="C11207" t="s">
        <v>20475</v>
      </c>
      <c r="D11207" t="s">
        <v>20476</v>
      </c>
      <c r="E11207" t="s">
        <v>20477</v>
      </c>
      <c r="F11207" t="s">
        <v>35017</v>
      </c>
      <c r="G11207" s="2" t="str">
        <f>HYPERLINK("https://probpalata.gov.ru/files/ИП590600044200000.jpeg","Скачать индивидуальный QR-код магазина")</f>
        <v>Скачать индивидуальный QR-код магазина</v>
      </c>
    </row>
    <row r="11208" spans="1:7" x14ac:dyDescent="0.25">
      <c r="A11208" t="s">
        <v>34710</v>
      </c>
      <c r="B11208" t="s">
        <v>35018</v>
      </c>
      <c r="C11208" t="s">
        <v>20475</v>
      </c>
      <c r="D11208" t="s">
        <v>20476</v>
      </c>
      <c r="E11208" t="s">
        <v>20477</v>
      </c>
      <c r="F11208" t="s">
        <v>35019</v>
      </c>
      <c r="G11208" s="2" t="str">
        <f>HYPERLINK("https://probpalata.gov.ru/files/ИП590600044200002.jpeg","Скачать индивидуальный QR-код магазина")</f>
        <v>Скачать индивидуальный QR-код магазина</v>
      </c>
    </row>
    <row r="11209" spans="1:7" x14ac:dyDescent="0.25">
      <c r="A11209" t="s">
        <v>34710</v>
      </c>
      <c r="B11209" t="s">
        <v>35020</v>
      </c>
      <c r="C11209" t="s">
        <v>20475</v>
      </c>
      <c r="D11209" t="s">
        <v>20476</v>
      </c>
      <c r="E11209" t="s">
        <v>20477</v>
      </c>
      <c r="F11209" t="s">
        <v>35021</v>
      </c>
      <c r="G11209" s="2" t="str">
        <f>HYPERLINK("https://probpalata.gov.ru/files/ИП590600044200003.jpeg","Скачать индивидуальный QR-код магазина")</f>
        <v>Скачать индивидуальный QR-код магазина</v>
      </c>
    </row>
    <row r="11210" spans="1:7" x14ac:dyDescent="0.25">
      <c r="A11210" t="s">
        <v>34710</v>
      </c>
      <c r="B11210" t="s">
        <v>35022</v>
      </c>
      <c r="C11210" t="s">
        <v>20475</v>
      </c>
      <c r="D11210" t="s">
        <v>20476</v>
      </c>
      <c r="E11210" t="s">
        <v>20477</v>
      </c>
      <c r="F11210" t="s">
        <v>35023</v>
      </c>
      <c r="G11210" s="2" t="str">
        <f>HYPERLINK("https://probpalata.gov.ru/files/ИП590600044200005.jpeg","Скачать индивидуальный QR-код магазина")</f>
        <v>Скачать индивидуальный QR-код магазина</v>
      </c>
    </row>
    <row r="11211" spans="1:7" x14ac:dyDescent="0.25">
      <c r="A11211" t="s">
        <v>34710</v>
      </c>
      <c r="B11211" t="s">
        <v>35024</v>
      </c>
      <c r="C11211" t="s">
        <v>20475</v>
      </c>
      <c r="D11211" t="s">
        <v>20476</v>
      </c>
      <c r="E11211" t="s">
        <v>20477</v>
      </c>
      <c r="F11211" t="s">
        <v>35025</v>
      </c>
      <c r="G11211" s="2" t="str">
        <f>HYPERLINK("https://probpalata.gov.ru/files/ИП590600044200006.jpeg","Скачать индивидуальный QR-код магазина")</f>
        <v>Скачать индивидуальный QR-код магазина</v>
      </c>
    </row>
    <row r="11212" spans="1:7" x14ac:dyDescent="0.25">
      <c r="A11212" t="s">
        <v>34710</v>
      </c>
      <c r="B11212" t="s">
        <v>35026</v>
      </c>
      <c r="C11212" t="s">
        <v>20475</v>
      </c>
      <c r="D11212" t="s">
        <v>20476</v>
      </c>
      <c r="E11212" t="s">
        <v>20477</v>
      </c>
      <c r="F11212" t="s">
        <v>35027</v>
      </c>
      <c r="G11212" s="2" t="str">
        <f>HYPERLINK("https://probpalata.gov.ru/files/ИП590600044200007.jpeg","Скачать индивидуальный QR-код магазина")</f>
        <v>Скачать индивидуальный QR-код магазина</v>
      </c>
    </row>
    <row r="11213" spans="1:7" x14ac:dyDescent="0.25">
      <c r="A11213" t="s">
        <v>34710</v>
      </c>
      <c r="B11213" t="s">
        <v>35022</v>
      </c>
      <c r="C11213" t="s">
        <v>35028</v>
      </c>
      <c r="D11213" t="s">
        <v>35029</v>
      </c>
      <c r="E11213" t="s">
        <v>35030</v>
      </c>
      <c r="F11213" t="s">
        <v>35031</v>
      </c>
      <c r="G11213" s="2" t="str">
        <f>HYPERLINK("https://probpalata.gov.ru/files/ИП590600127900000.jpeg","Скачать индивидуальный QR-код магазина")</f>
        <v>Скачать индивидуальный QR-код магазина</v>
      </c>
    </row>
    <row r="11214" spans="1:7" x14ac:dyDescent="0.25">
      <c r="A11214" t="s">
        <v>34710</v>
      </c>
      <c r="B11214" t="s">
        <v>35032</v>
      </c>
      <c r="C11214" t="s">
        <v>35033</v>
      </c>
      <c r="D11214" t="s">
        <v>35034</v>
      </c>
      <c r="E11214" t="s">
        <v>35035</v>
      </c>
      <c r="F11214" t="s">
        <v>35036</v>
      </c>
      <c r="G11214" s="2" t="str">
        <f>HYPERLINK("https://probpalata.gov.ru/files/ИП590601324400002.jpeg","Скачать индивидуальный QR-код магазина")</f>
        <v>Скачать индивидуальный QR-код магазина</v>
      </c>
    </row>
    <row r="11215" spans="1:7" x14ac:dyDescent="0.25">
      <c r="A11215" t="s">
        <v>34710</v>
      </c>
      <c r="B11215" t="s">
        <v>35037</v>
      </c>
      <c r="C11215" t="s">
        <v>35033</v>
      </c>
      <c r="D11215" t="s">
        <v>35034</v>
      </c>
      <c r="E11215" t="s">
        <v>35035</v>
      </c>
      <c r="F11215" t="s">
        <v>35038</v>
      </c>
      <c r="G11215" s="2" t="str">
        <f>HYPERLINK("https://probpalata.gov.ru/files/ИП590601324400005.jpeg","Скачать индивидуальный QR-код магазина")</f>
        <v>Скачать индивидуальный QR-код магазина</v>
      </c>
    </row>
    <row r="11216" spans="1:7" x14ac:dyDescent="0.25">
      <c r="A11216" t="s">
        <v>34710</v>
      </c>
      <c r="B11216" t="s">
        <v>35039</v>
      </c>
      <c r="C11216" t="s">
        <v>35033</v>
      </c>
      <c r="D11216" t="s">
        <v>35034</v>
      </c>
      <c r="E11216" t="s">
        <v>35035</v>
      </c>
      <c r="F11216" t="s">
        <v>35040</v>
      </c>
      <c r="G11216" s="2" t="str">
        <f>HYPERLINK("https://probpalata.gov.ru/files/ИП590601324400006.jpeg","Скачать индивидуальный QR-код магазина")</f>
        <v>Скачать индивидуальный QR-код магазина</v>
      </c>
    </row>
    <row r="11217" spans="1:7" x14ac:dyDescent="0.25">
      <c r="A11217" t="s">
        <v>34710</v>
      </c>
      <c r="B11217" t="s">
        <v>35041</v>
      </c>
      <c r="C11217" t="s">
        <v>35033</v>
      </c>
      <c r="D11217" t="s">
        <v>35034</v>
      </c>
      <c r="E11217" t="s">
        <v>35035</v>
      </c>
      <c r="F11217" t="s">
        <v>35042</v>
      </c>
      <c r="G11217" s="2" t="str">
        <f>HYPERLINK("https://probpalata.gov.ru/files/ИП590601324400007.jpeg","Скачать индивидуальный QR-код магазина")</f>
        <v>Скачать индивидуальный QR-код магазина</v>
      </c>
    </row>
    <row r="11218" spans="1:7" x14ac:dyDescent="0.25">
      <c r="A11218" t="s">
        <v>34710</v>
      </c>
      <c r="B11218" t="s">
        <v>35043</v>
      </c>
      <c r="C11218" t="s">
        <v>35033</v>
      </c>
      <c r="D11218" t="s">
        <v>35034</v>
      </c>
      <c r="E11218" t="s">
        <v>35035</v>
      </c>
      <c r="F11218" t="s">
        <v>35044</v>
      </c>
      <c r="G11218" s="2" t="str">
        <f>HYPERLINK("https://probpalata.gov.ru/files/ИП590601324400009.jpeg","Скачать индивидуальный QR-код магазина")</f>
        <v>Скачать индивидуальный QR-код магазина</v>
      </c>
    </row>
    <row r="11219" spans="1:7" x14ac:dyDescent="0.25">
      <c r="A11219" t="s">
        <v>34710</v>
      </c>
      <c r="B11219" t="s">
        <v>35041</v>
      </c>
      <c r="C11219" t="s">
        <v>35045</v>
      </c>
      <c r="D11219" t="s">
        <v>35046</v>
      </c>
      <c r="E11219" t="s">
        <v>35047</v>
      </c>
      <c r="F11219" t="s">
        <v>35048</v>
      </c>
      <c r="G11219" s="2" t="str">
        <f>HYPERLINK("https://probpalata.gov.ru/files/ИП590603686500001.jpeg","Скачать индивидуальный QR-код магазина")</f>
        <v>Скачать индивидуальный QR-код магазина</v>
      </c>
    </row>
    <row r="11220" spans="1:7" x14ac:dyDescent="0.25">
      <c r="A11220" t="s">
        <v>34710</v>
      </c>
      <c r="B11220" t="s">
        <v>35049</v>
      </c>
      <c r="C11220" t="s">
        <v>35045</v>
      </c>
      <c r="D11220" t="s">
        <v>35046</v>
      </c>
      <c r="E11220" t="s">
        <v>35047</v>
      </c>
      <c r="F11220" t="s">
        <v>35050</v>
      </c>
      <c r="G11220" s="2" t="str">
        <f>HYPERLINK("https://probpalata.gov.ru/files/ИП590603686500002.jpeg","Скачать индивидуальный QR-код магазина")</f>
        <v>Скачать индивидуальный QR-код магазина</v>
      </c>
    </row>
    <row r="11221" spans="1:7" x14ac:dyDescent="0.25">
      <c r="A11221" t="s">
        <v>34710</v>
      </c>
      <c r="B11221" t="s">
        <v>35051</v>
      </c>
      <c r="C11221" t="s">
        <v>35045</v>
      </c>
      <c r="D11221" t="s">
        <v>35046</v>
      </c>
      <c r="E11221" t="s">
        <v>35047</v>
      </c>
      <c r="F11221" t="s">
        <v>35052</v>
      </c>
      <c r="G11221" s="2" t="str">
        <f>HYPERLINK("https://probpalata.gov.ru/files/ИП590603686500003.jpeg","Скачать индивидуальный QR-код магазина")</f>
        <v>Скачать индивидуальный QR-код магазина</v>
      </c>
    </row>
    <row r="11222" spans="1:7" x14ac:dyDescent="0.25">
      <c r="A11222" t="s">
        <v>34710</v>
      </c>
      <c r="B11222" t="s">
        <v>35053</v>
      </c>
      <c r="C11222" t="s">
        <v>35045</v>
      </c>
      <c r="D11222" t="s">
        <v>35046</v>
      </c>
      <c r="E11222" t="s">
        <v>35047</v>
      </c>
      <c r="F11222" t="s">
        <v>35054</v>
      </c>
      <c r="G11222" s="2" t="str">
        <f>HYPERLINK("https://probpalata.gov.ru/files/ИП590603686500004.jpeg","Скачать индивидуальный QR-код магазина")</f>
        <v>Скачать индивидуальный QR-код магазина</v>
      </c>
    </row>
    <row r="11223" spans="1:7" x14ac:dyDescent="0.25">
      <c r="A11223" t="s">
        <v>34710</v>
      </c>
      <c r="B11223" t="s">
        <v>35055</v>
      </c>
      <c r="C11223" t="s">
        <v>35045</v>
      </c>
      <c r="D11223" t="s">
        <v>35046</v>
      </c>
      <c r="E11223" t="s">
        <v>35047</v>
      </c>
      <c r="F11223" t="s">
        <v>35056</v>
      </c>
      <c r="G11223" s="2" t="str">
        <f>HYPERLINK("https://probpalata.gov.ru/files/ИП590603686500005.jpeg","Скачать индивидуальный QR-код магазина")</f>
        <v>Скачать индивидуальный QR-код магазина</v>
      </c>
    </row>
    <row r="11224" spans="1:7" x14ac:dyDescent="0.25">
      <c r="A11224" t="s">
        <v>34710</v>
      </c>
      <c r="B11224" t="s">
        <v>35057</v>
      </c>
      <c r="C11224" t="s">
        <v>35058</v>
      </c>
      <c r="D11224" t="s">
        <v>35059</v>
      </c>
      <c r="E11224" t="s">
        <v>35060</v>
      </c>
      <c r="F11224" t="s">
        <v>35061</v>
      </c>
      <c r="G11224" s="2" t="str">
        <f>HYPERLINK("https://probpalata.gov.ru/files/ИП590601758500000.jpeg","Скачать индивидуальный QR-код магазина")</f>
        <v>Скачать индивидуальный QR-код магазина</v>
      </c>
    </row>
    <row r="11225" spans="1:7" x14ac:dyDescent="0.25">
      <c r="A11225" t="s">
        <v>34710</v>
      </c>
      <c r="B11225" t="s">
        <v>35062</v>
      </c>
      <c r="C11225" t="s">
        <v>35063</v>
      </c>
      <c r="D11225" t="s">
        <v>35064</v>
      </c>
      <c r="E11225" t="s">
        <v>35065</v>
      </c>
      <c r="F11225" t="s">
        <v>35066</v>
      </c>
      <c r="G11225" s="2" t="str">
        <f>HYPERLINK("https://probpalata.gov.ru/files/ИП590601186600000.jpeg","Скачать индивидуальный QR-код магазина")</f>
        <v>Скачать индивидуальный QR-код магазина</v>
      </c>
    </row>
    <row r="11226" spans="1:7" x14ac:dyDescent="0.25">
      <c r="A11226" t="s">
        <v>34710</v>
      </c>
      <c r="B11226" t="s">
        <v>35067</v>
      </c>
      <c r="C11226" t="s">
        <v>35063</v>
      </c>
      <c r="D11226" t="s">
        <v>35064</v>
      </c>
      <c r="E11226" t="s">
        <v>35065</v>
      </c>
      <c r="F11226" t="s">
        <v>35068</v>
      </c>
      <c r="G11226" s="2" t="str">
        <f>HYPERLINK("https://probpalata.gov.ru/files/ИП590601186600002.jpeg","Скачать индивидуальный QR-код магазина")</f>
        <v>Скачать индивидуальный QR-код магазина</v>
      </c>
    </row>
    <row r="11227" spans="1:7" x14ac:dyDescent="0.25">
      <c r="A11227" t="s">
        <v>34710</v>
      </c>
      <c r="B11227" t="s">
        <v>35069</v>
      </c>
      <c r="C11227" t="s">
        <v>35063</v>
      </c>
      <c r="D11227" t="s">
        <v>35064</v>
      </c>
      <c r="E11227" t="s">
        <v>35065</v>
      </c>
      <c r="F11227" t="s">
        <v>35070</v>
      </c>
      <c r="G11227" s="2" t="str">
        <f>HYPERLINK("https://probpalata.gov.ru/files/ИП590601186600004.jpeg","Скачать индивидуальный QR-код магазина")</f>
        <v>Скачать индивидуальный QR-код магазина</v>
      </c>
    </row>
    <row r="11228" spans="1:7" x14ac:dyDescent="0.25">
      <c r="A11228" t="s">
        <v>34710</v>
      </c>
      <c r="B11228" t="s">
        <v>35071</v>
      </c>
      <c r="C11228" t="s">
        <v>35063</v>
      </c>
      <c r="D11228" t="s">
        <v>35064</v>
      </c>
      <c r="E11228" t="s">
        <v>35065</v>
      </c>
      <c r="F11228" t="s">
        <v>35072</v>
      </c>
      <c r="G11228" s="2" t="str">
        <f>HYPERLINK("https://probpalata.gov.ru/files/ИП590601186600005.jpeg","Скачать индивидуальный QR-код магазина")</f>
        <v>Скачать индивидуальный QR-код магазина</v>
      </c>
    </row>
    <row r="11229" spans="1:7" x14ac:dyDescent="0.25">
      <c r="A11229" t="s">
        <v>34710</v>
      </c>
      <c r="B11229" t="s">
        <v>35073</v>
      </c>
      <c r="C11229" t="s">
        <v>35063</v>
      </c>
      <c r="D11229" t="s">
        <v>35064</v>
      </c>
      <c r="E11229" t="s">
        <v>35065</v>
      </c>
      <c r="F11229" t="s">
        <v>35074</v>
      </c>
      <c r="G11229" s="2" t="str">
        <f>HYPERLINK("https://probpalata.gov.ru/files/ИП590601186600007.jpeg","Скачать индивидуальный QR-код магазина")</f>
        <v>Скачать индивидуальный QR-код магазина</v>
      </c>
    </row>
    <row r="11230" spans="1:7" x14ac:dyDescent="0.25">
      <c r="A11230" t="s">
        <v>34710</v>
      </c>
      <c r="B11230" t="s">
        <v>35075</v>
      </c>
      <c r="C11230" t="s">
        <v>35063</v>
      </c>
      <c r="D11230" t="s">
        <v>35064</v>
      </c>
      <c r="E11230" t="s">
        <v>35065</v>
      </c>
      <c r="F11230" t="s">
        <v>35076</v>
      </c>
      <c r="G11230" s="2" t="str">
        <f>HYPERLINK("https://probpalata.gov.ru/files/ИП590601186600008.jpeg","Скачать индивидуальный QR-код магазина")</f>
        <v>Скачать индивидуальный QR-код магазина</v>
      </c>
    </row>
    <row r="11231" spans="1:7" x14ac:dyDescent="0.25">
      <c r="A11231" t="s">
        <v>34710</v>
      </c>
      <c r="B11231" t="s">
        <v>35077</v>
      </c>
      <c r="C11231" t="s">
        <v>35063</v>
      </c>
      <c r="D11231" t="s">
        <v>35064</v>
      </c>
      <c r="E11231" t="s">
        <v>35065</v>
      </c>
      <c r="F11231" t="s">
        <v>35078</v>
      </c>
      <c r="G11231" s="2" t="str">
        <f>HYPERLINK("https://probpalata.gov.ru/files/ИП590601186600009.jpeg","Скачать индивидуальный QR-код магазина")</f>
        <v>Скачать индивидуальный QR-код магазина</v>
      </c>
    </row>
    <row r="11232" spans="1:7" x14ac:dyDescent="0.25">
      <c r="A11232" t="s">
        <v>34710</v>
      </c>
      <c r="B11232" t="s">
        <v>35079</v>
      </c>
      <c r="C11232" t="s">
        <v>35063</v>
      </c>
      <c r="D11232" t="s">
        <v>35064</v>
      </c>
      <c r="E11232" t="s">
        <v>35065</v>
      </c>
      <c r="F11232" t="s">
        <v>35080</v>
      </c>
      <c r="G11232" s="2" t="str">
        <f>HYPERLINK("https://probpalata.gov.ru/files/ИП590601186600010.jpeg","Скачать индивидуальный QR-код магазина")</f>
        <v>Скачать индивидуальный QR-код магазина</v>
      </c>
    </row>
    <row r="11233" spans="1:7" x14ac:dyDescent="0.25">
      <c r="A11233" t="s">
        <v>34710</v>
      </c>
      <c r="B11233" t="s">
        <v>34718</v>
      </c>
      <c r="C11233" t="s">
        <v>35063</v>
      </c>
      <c r="D11233" t="s">
        <v>35064</v>
      </c>
      <c r="E11233" t="s">
        <v>35065</v>
      </c>
      <c r="F11233" t="s">
        <v>35081</v>
      </c>
      <c r="G11233" s="2" t="str">
        <f>HYPERLINK("https://probpalata.gov.ru/files/ИП590601186600011.jpeg","Скачать индивидуальный QR-код магазина")</f>
        <v>Скачать индивидуальный QR-код магазина</v>
      </c>
    </row>
    <row r="11234" spans="1:7" x14ac:dyDescent="0.25">
      <c r="A11234" t="s">
        <v>34710</v>
      </c>
      <c r="B11234" t="s">
        <v>35082</v>
      </c>
      <c r="C11234" t="s">
        <v>35083</v>
      </c>
      <c r="D11234" t="s">
        <v>35084</v>
      </c>
      <c r="E11234" t="s">
        <v>35085</v>
      </c>
      <c r="F11234" t="s">
        <v>35086</v>
      </c>
      <c r="G11234" s="2" t="str">
        <f>HYPERLINK("https://probpalata.gov.ru/files/ИП590603344700000.jpeg","Скачать индивидуальный QR-код магазина")</f>
        <v>Скачать индивидуальный QR-код магазина</v>
      </c>
    </row>
    <row r="11235" spans="1:7" x14ac:dyDescent="0.25">
      <c r="A11235" t="s">
        <v>34710</v>
      </c>
      <c r="B11235" t="s">
        <v>35087</v>
      </c>
      <c r="C11235" t="s">
        <v>35088</v>
      </c>
      <c r="D11235" t="s">
        <v>35089</v>
      </c>
      <c r="E11235" t="s">
        <v>35090</v>
      </c>
      <c r="F11235" t="s">
        <v>35091</v>
      </c>
      <c r="G11235" s="2" t="str">
        <f>HYPERLINK("https://probpalata.gov.ru/files/ИП590601246400000.jpeg","Скачать индивидуальный QR-код магазина")</f>
        <v>Скачать индивидуальный QR-код магазина</v>
      </c>
    </row>
    <row r="11236" spans="1:7" x14ac:dyDescent="0.25">
      <c r="A11236" t="s">
        <v>34710</v>
      </c>
      <c r="B11236" t="s">
        <v>35092</v>
      </c>
      <c r="C11236" t="s">
        <v>35088</v>
      </c>
      <c r="D11236" t="s">
        <v>35089</v>
      </c>
      <c r="E11236" t="s">
        <v>35090</v>
      </c>
      <c r="F11236" t="s">
        <v>35093</v>
      </c>
      <c r="G11236" s="2" t="str">
        <f>HYPERLINK("https://probpalata.gov.ru/files/ИП590601246400001.jpeg","Скачать индивидуальный QR-код магазина")</f>
        <v>Скачать индивидуальный QR-код магазина</v>
      </c>
    </row>
    <row r="11237" spans="1:7" x14ac:dyDescent="0.25">
      <c r="A11237" t="s">
        <v>34710</v>
      </c>
      <c r="B11237" t="s">
        <v>35094</v>
      </c>
      <c r="C11237" t="s">
        <v>35088</v>
      </c>
      <c r="D11237" t="s">
        <v>35089</v>
      </c>
      <c r="E11237" t="s">
        <v>35090</v>
      </c>
      <c r="F11237" t="s">
        <v>35095</v>
      </c>
      <c r="G11237" s="2" t="str">
        <f>HYPERLINK("https://probpalata.gov.ru/files/ИП590601246400002.jpeg","Скачать индивидуальный QR-код магазина")</f>
        <v>Скачать индивидуальный QR-код магазина</v>
      </c>
    </row>
    <row r="11238" spans="1:7" x14ac:dyDescent="0.25">
      <c r="A11238" t="s">
        <v>34710</v>
      </c>
      <c r="B11238" t="s">
        <v>35096</v>
      </c>
      <c r="C11238" t="s">
        <v>35097</v>
      </c>
      <c r="D11238" t="s">
        <v>35098</v>
      </c>
      <c r="E11238" t="s">
        <v>35099</v>
      </c>
      <c r="F11238" t="s">
        <v>35100</v>
      </c>
      <c r="G11238" s="2" t="str">
        <f>HYPERLINK("https://probpalata.gov.ru/files/ЮЛ590603202800000.jpeg","Скачать индивидуальный QR-код магазина")</f>
        <v>Скачать индивидуальный QR-код магазина</v>
      </c>
    </row>
    <row r="11239" spans="1:7" x14ac:dyDescent="0.25">
      <c r="A11239" t="s">
        <v>34710</v>
      </c>
      <c r="B11239" t="s">
        <v>35101</v>
      </c>
      <c r="C11239" t="s">
        <v>35102</v>
      </c>
      <c r="D11239" t="s">
        <v>35103</v>
      </c>
      <c r="E11239" t="s">
        <v>35104</v>
      </c>
      <c r="F11239" t="s">
        <v>35105</v>
      </c>
      <c r="G11239" s="2" t="str">
        <f>HYPERLINK("https://probpalata.gov.ru/files/ИП590604037200000.jpeg","Скачать индивидуальный QR-код магазина")</f>
        <v>Скачать индивидуальный QR-код магазина</v>
      </c>
    </row>
    <row r="11240" spans="1:7" x14ac:dyDescent="0.25">
      <c r="A11240" t="s">
        <v>34710</v>
      </c>
      <c r="B11240" t="s">
        <v>35106</v>
      </c>
      <c r="C11240" t="s">
        <v>35107</v>
      </c>
      <c r="D11240" t="s">
        <v>35108</v>
      </c>
      <c r="E11240" t="s">
        <v>35109</v>
      </c>
      <c r="F11240" t="s">
        <v>35110</v>
      </c>
      <c r="G11240" s="2" t="str">
        <f>HYPERLINK("https://probpalata.gov.ru/files/ЮЛ590604096400000.jpeg","Скачать индивидуальный QR-код магазина")</f>
        <v>Скачать индивидуальный QR-код магазина</v>
      </c>
    </row>
    <row r="11241" spans="1:7" x14ac:dyDescent="0.25">
      <c r="A11241" t="s">
        <v>34710</v>
      </c>
      <c r="B11241" t="s">
        <v>35111</v>
      </c>
      <c r="C11241" t="s">
        <v>35112</v>
      </c>
      <c r="D11241" t="s">
        <v>35113</v>
      </c>
      <c r="E11241" t="s">
        <v>35114</v>
      </c>
      <c r="F11241" t="s">
        <v>35115</v>
      </c>
      <c r="G11241" s="2" t="str">
        <f>HYPERLINK("https://probpalata.gov.ru/files/ИП590601240200000.jpeg","Скачать индивидуальный QR-код магазина")</f>
        <v>Скачать индивидуальный QR-код магазина</v>
      </c>
    </row>
    <row r="11242" spans="1:7" x14ac:dyDescent="0.25">
      <c r="A11242" t="s">
        <v>34710</v>
      </c>
      <c r="B11242" t="s">
        <v>35116</v>
      </c>
      <c r="C11242" t="s">
        <v>35117</v>
      </c>
      <c r="D11242" t="s">
        <v>35118</v>
      </c>
      <c r="E11242" t="s">
        <v>35119</v>
      </c>
      <c r="F11242" t="s">
        <v>35120</v>
      </c>
      <c r="G11242" s="2" t="str">
        <f>HYPERLINK("https://probpalata.gov.ru/files/ЮЛ590600300100000.jpeg","Скачать индивидуальный QR-код магазина")</f>
        <v>Скачать индивидуальный QR-код магазина</v>
      </c>
    </row>
    <row r="11243" spans="1:7" x14ac:dyDescent="0.25">
      <c r="A11243" t="s">
        <v>34710</v>
      </c>
      <c r="B11243" t="s">
        <v>35121</v>
      </c>
      <c r="C11243" t="s">
        <v>35122</v>
      </c>
      <c r="D11243" t="s">
        <v>35123</v>
      </c>
      <c r="E11243" t="s">
        <v>35124</v>
      </c>
      <c r="F11243" t="s">
        <v>35125</v>
      </c>
      <c r="G11243" s="2" t="str">
        <f>HYPERLINK("https://probpalata.gov.ru/files/ИП590601113400000.jpeg","Скачать индивидуальный QR-код магазина")</f>
        <v>Скачать индивидуальный QR-код магазина</v>
      </c>
    </row>
    <row r="11244" spans="1:7" x14ac:dyDescent="0.25">
      <c r="A11244" t="s">
        <v>34710</v>
      </c>
      <c r="B11244" t="s">
        <v>35126</v>
      </c>
      <c r="C11244" t="s">
        <v>35127</v>
      </c>
      <c r="D11244" t="s">
        <v>35128</v>
      </c>
      <c r="E11244" t="s">
        <v>35129</v>
      </c>
      <c r="F11244" t="s">
        <v>35130</v>
      </c>
      <c r="G11244" s="2" t="str">
        <f>HYPERLINK("https://probpalata.gov.ru/files/ИП590601179900000.jpeg","Скачать индивидуальный QR-код магазина")</f>
        <v>Скачать индивидуальный QR-код магазина</v>
      </c>
    </row>
    <row r="11245" spans="1:7" x14ac:dyDescent="0.25">
      <c r="A11245" t="s">
        <v>34710</v>
      </c>
      <c r="B11245" t="s">
        <v>35131</v>
      </c>
      <c r="C11245" t="s">
        <v>35132</v>
      </c>
      <c r="D11245" t="s">
        <v>35133</v>
      </c>
      <c r="E11245" t="s">
        <v>35134</v>
      </c>
      <c r="F11245" t="s">
        <v>35135</v>
      </c>
      <c r="G11245" s="2" t="str">
        <f>HYPERLINK("https://probpalata.gov.ru/files/ИП590601964900000.jpeg","Скачать индивидуальный QR-код магазина")</f>
        <v>Скачать индивидуальный QR-код магазина</v>
      </c>
    </row>
    <row r="11246" spans="1:7" x14ac:dyDescent="0.25">
      <c r="A11246" t="s">
        <v>34710</v>
      </c>
      <c r="B11246" t="s">
        <v>35136</v>
      </c>
      <c r="C11246" t="s">
        <v>35137</v>
      </c>
      <c r="D11246" t="s">
        <v>35138</v>
      </c>
      <c r="E11246" t="s">
        <v>35139</v>
      </c>
      <c r="F11246" t="s">
        <v>35140</v>
      </c>
      <c r="G11246" s="2" t="str">
        <f>HYPERLINK("https://probpalata.gov.ru/files/ИП590603278200000.jpeg","Скачать индивидуальный QR-код магазина")</f>
        <v>Скачать индивидуальный QR-код магазина</v>
      </c>
    </row>
    <row r="11247" spans="1:7" x14ac:dyDescent="0.25">
      <c r="A11247" t="s">
        <v>34710</v>
      </c>
      <c r="B11247" t="s">
        <v>35141</v>
      </c>
      <c r="C11247" t="s">
        <v>35142</v>
      </c>
      <c r="D11247" t="s">
        <v>35143</v>
      </c>
      <c r="E11247" t="s">
        <v>35144</v>
      </c>
      <c r="F11247" t="s">
        <v>35145</v>
      </c>
      <c r="G11247" s="2" t="str">
        <f>HYPERLINK("https://probpalata.gov.ru/files/ИП590600458700000.jpeg","Скачать индивидуальный QR-код магазина")</f>
        <v>Скачать индивидуальный QR-код магазина</v>
      </c>
    </row>
    <row r="11248" spans="1:7" x14ac:dyDescent="0.25">
      <c r="A11248" t="s">
        <v>34710</v>
      </c>
      <c r="B11248" t="s">
        <v>35146</v>
      </c>
      <c r="C11248" t="s">
        <v>35147</v>
      </c>
      <c r="D11248" t="s">
        <v>35148</v>
      </c>
      <c r="E11248" t="s">
        <v>35149</v>
      </c>
      <c r="F11248" t="s">
        <v>35150</v>
      </c>
      <c r="G11248" s="2" t="str">
        <f>HYPERLINK("https://probpalata.gov.ru/files/ИП590600174200000.jpeg","Скачать индивидуальный QR-код магазина")</f>
        <v>Скачать индивидуальный QR-код магазина</v>
      </c>
    </row>
    <row r="11249" spans="1:7" x14ac:dyDescent="0.25">
      <c r="A11249" t="s">
        <v>34710</v>
      </c>
      <c r="B11249" t="s">
        <v>35151</v>
      </c>
      <c r="C11249" t="s">
        <v>35152</v>
      </c>
      <c r="D11249" t="s">
        <v>35153</v>
      </c>
      <c r="E11249" t="s">
        <v>35154</v>
      </c>
      <c r="F11249" t="s">
        <v>35155</v>
      </c>
      <c r="G11249" s="2" t="str">
        <f>HYPERLINK("https://probpalata.gov.ru/files/ИП590603709500000.jpeg","Скачать индивидуальный QR-код магазина")</f>
        <v>Скачать индивидуальный QR-код магазина</v>
      </c>
    </row>
    <row r="11250" spans="1:7" x14ac:dyDescent="0.25">
      <c r="A11250" t="s">
        <v>34710</v>
      </c>
      <c r="B11250" t="s">
        <v>35156</v>
      </c>
      <c r="C11250" t="s">
        <v>35157</v>
      </c>
      <c r="D11250" t="s">
        <v>35158</v>
      </c>
      <c r="E11250" t="s">
        <v>35159</v>
      </c>
      <c r="F11250" t="s">
        <v>35160</v>
      </c>
      <c r="G11250" s="2" t="str">
        <f>HYPERLINK("https://probpalata.gov.ru/files/ИП590601167400000.jpeg","Скачать индивидуальный QR-код магазина")</f>
        <v>Скачать индивидуальный QR-код магазина</v>
      </c>
    </row>
    <row r="11251" spans="1:7" x14ac:dyDescent="0.25">
      <c r="A11251" t="s">
        <v>34710</v>
      </c>
      <c r="B11251" t="s">
        <v>35161</v>
      </c>
      <c r="C11251" t="s">
        <v>35157</v>
      </c>
      <c r="D11251" t="s">
        <v>35158</v>
      </c>
      <c r="E11251" t="s">
        <v>35159</v>
      </c>
      <c r="F11251" t="s">
        <v>35162</v>
      </c>
      <c r="G11251" s="2" t="str">
        <f>HYPERLINK("https://probpalata.gov.ru/files/ИП590601167400003.jpeg","Скачать индивидуальный QR-код магазина")</f>
        <v>Скачать индивидуальный QR-код магазина</v>
      </c>
    </row>
    <row r="11252" spans="1:7" x14ac:dyDescent="0.25">
      <c r="A11252" t="s">
        <v>34710</v>
      </c>
      <c r="B11252" t="s">
        <v>35163</v>
      </c>
      <c r="C11252" t="s">
        <v>35164</v>
      </c>
      <c r="D11252" t="s">
        <v>35165</v>
      </c>
      <c r="E11252" t="s">
        <v>35166</v>
      </c>
      <c r="F11252" t="s">
        <v>35167</v>
      </c>
      <c r="G11252" s="2" t="str">
        <f>HYPERLINK("https://probpalata.gov.ru/files/ИП590600801300000.jpeg","Скачать индивидуальный QR-код магазина")</f>
        <v>Скачать индивидуальный QR-код магазина</v>
      </c>
    </row>
    <row r="11253" spans="1:7" x14ac:dyDescent="0.25">
      <c r="A11253" t="s">
        <v>34710</v>
      </c>
      <c r="B11253" t="s">
        <v>35168</v>
      </c>
      <c r="C11253" t="s">
        <v>35164</v>
      </c>
      <c r="D11253" t="s">
        <v>35165</v>
      </c>
      <c r="E11253" t="s">
        <v>35166</v>
      </c>
      <c r="F11253" t="s">
        <v>35169</v>
      </c>
      <c r="G11253" s="2" t="str">
        <f>HYPERLINK("https://probpalata.gov.ru/files/ИП590600801300001.jpeg","Скачать индивидуальный QR-код магазина")</f>
        <v>Скачать индивидуальный QR-код магазина</v>
      </c>
    </row>
    <row r="11254" spans="1:7" x14ac:dyDescent="0.25">
      <c r="A11254" t="s">
        <v>34710</v>
      </c>
      <c r="B11254" t="s">
        <v>35170</v>
      </c>
      <c r="C11254" t="s">
        <v>35164</v>
      </c>
      <c r="D11254" t="s">
        <v>35165</v>
      </c>
      <c r="E11254" t="s">
        <v>35166</v>
      </c>
      <c r="F11254" t="s">
        <v>35171</v>
      </c>
      <c r="G11254" s="2" t="str">
        <f>HYPERLINK("https://probpalata.gov.ru/files/ИП590600801300004.jpeg","Скачать индивидуальный QR-код магазина")</f>
        <v>Скачать индивидуальный QR-код магазина</v>
      </c>
    </row>
    <row r="11255" spans="1:7" x14ac:dyDescent="0.25">
      <c r="A11255" t="s">
        <v>34710</v>
      </c>
      <c r="B11255" t="s">
        <v>35172</v>
      </c>
      <c r="C11255" t="s">
        <v>35164</v>
      </c>
      <c r="D11255" t="s">
        <v>35165</v>
      </c>
      <c r="E11255" t="s">
        <v>35166</v>
      </c>
      <c r="F11255" t="s">
        <v>35173</v>
      </c>
      <c r="G11255" s="2" t="str">
        <f>HYPERLINK("https://probpalata.gov.ru/files/ИП590600801300005.jpeg","Скачать индивидуальный QR-код магазина")</f>
        <v>Скачать индивидуальный QR-код магазина</v>
      </c>
    </row>
    <row r="11256" spans="1:7" x14ac:dyDescent="0.25">
      <c r="A11256" t="s">
        <v>34710</v>
      </c>
      <c r="B11256" t="s">
        <v>35174</v>
      </c>
      <c r="C11256" t="s">
        <v>35164</v>
      </c>
      <c r="D11256" t="s">
        <v>35165</v>
      </c>
      <c r="E11256" t="s">
        <v>35166</v>
      </c>
      <c r="F11256" t="s">
        <v>35175</v>
      </c>
      <c r="G11256" s="2" t="str">
        <f>HYPERLINK("https://probpalata.gov.ru/files/ИП590600801300006.jpeg","Скачать индивидуальный QR-код магазина")</f>
        <v>Скачать индивидуальный QR-код магазина</v>
      </c>
    </row>
    <row r="11257" spans="1:7" x14ac:dyDescent="0.25">
      <c r="A11257" t="s">
        <v>34710</v>
      </c>
      <c r="B11257" t="s">
        <v>35163</v>
      </c>
      <c r="C11257" t="s">
        <v>35176</v>
      </c>
      <c r="D11257" t="s">
        <v>35177</v>
      </c>
      <c r="E11257" t="s">
        <v>35178</v>
      </c>
      <c r="F11257" t="s">
        <v>35179</v>
      </c>
      <c r="G11257" s="2" t="str">
        <f>HYPERLINK("https://probpalata.gov.ru/files/ИП590600157800000.jpeg","Скачать индивидуальный QR-код магазина")</f>
        <v>Скачать индивидуальный QR-код магазина</v>
      </c>
    </row>
    <row r="11258" spans="1:7" x14ac:dyDescent="0.25">
      <c r="A11258" t="s">
        <v>34710</v>
      </c>
      <c r="B11258" t="s">
        <v>35180</v>
      </c>
      <c r="C11258" t="s">
        <v>35176</v>
      </c>
      <c r="D11258" t="s">
        <v>35177</v>
      </c>
      <c r="E11258" t="s">
        <v>35178</v>
      </c>
      <c r="F11258" t="s">
        <v>35181</v>
      </c>
      <c r="G11258" s="2" t="str">
        <f>HYPERLINK("https://probpalata.gov.ru/files/ИП590600157800001.jpeg","Скачать индивидуальный QR-код магазина")</f>
        <v>Скачать индивидуальный QR-код магазина</v>
      </c>
    </row>
    <row r="11259" spans="1:7" x14ac:dyDescent="0.25">
      <c r="A11259" t="s">
        <v>34710</v>
      </c>
      <c r="B11259" t="s">
        <v>35182</v>
      </c>
      <c r="C11259" t="s">
        <v>35176</v>
      </c>
      <c r="D11259" t="s">
        <v>35177</v>
      </c>
      <c r="E11259" t="s">
        <v>35178</v>
      </c>
      <c r="F11259" t="s">
        <v>35183</v>
      </c>
      <c r="G11259" s="2" t="str">
        <f>HYPERLINK("https://probpalata.gov.ru/files/ИП590600157800002.jpeg","Скачать индивидуальный QR-код магазина")</f>
        <v>Скачать индивидуальный QR-код магазина</v>
      </c>
    </row>
    <row r="11260" spans="1:7" x14ac:dyDescent="0.25">
      <c r="A11260" t="s">
        <v>34710</v>
      </c>
      <c r="B11260" t="s">
        <v>35184</v>
      </c>
      <c r="C11260" t="s">
        <v>35176</v>
      </c>
      <c r="D11260" t="s">
        <v>35177</v>
      </c>
      <c r="E11260" t="s">
        <v>35178</v>
      </c>
      <c r="F11260" t="s">
        <v>35185</v>
      </c>
      <c r="G11260" s="2" t="str">
        <f>HYPERLINK("https://probpalata.gov.ru/files/ИП590600157800003.jpeg","Скачать индивидуальный QR-код магазина")</f>
        <v>Скачать индивидуальный QR-код магазина</v>
      </c>
    </row>
    <row r="11261" spans="1:7" x14ac:dyDescent="0.25">
      <c r="A11261" t="s">
        <v>34710</v>
      </c>
      <c r="B11261" t="s">
        <v>35174</v>
      </c>
      <c r="C11261" t="s">
        <v>35176</v>
      </c>
      <c r="D11261" t="s">
        <v>35177</v>
      </c>
      <c r="E11261" t="s">
        <v>35178</v>
      </c>
      <c r="F11261" t="s">
        <v>35186</v>
      </c>
      <c r="G11261" s="2" t="str">
        <f>HYPERLINK("https://probpalata.gov.ru/files/ИП590600157800007.jpeg","Скачать индивидуальный QR-код магазина")</f>
        <v>Скачать индивидуальный QR-код магазина</v>
      </c>
    </row>
    <row r="11262" spans="1:7" x14ac:dyDescent="0.25">
      <c r="A11262" t="s">
        <v>34710</v>
      </c>
      <c r="B11262" t="s">
        <v>35163</v>
      </c>
      <c r="C11262" t="s">
        <v>35187</v>
      </c>
      <c r="D11262" t="s">
        <v>35188</v>
      </c>
      <c r="E11262" t="s">
        <v>35189</v>
      </c>
      <c r="F11262" t="s">
        <v>35190</v>
      </c>
      <c r="G11262" s="2" t="str">
        <f>HYPERLINK("https://probpalata.gov.ru/files/ИП590601037000000.jpeg","Скачать индивидуальный QR-код магазина")</f>
        <v>Скачать индивидуальный QR-код магазина</v>
      </c>
    </row>
    <row r="11263" spans="1:7" x14ac:dyDescent="0.25">
      <c r="A11263" t="s">
        <v>34710</v>
      </c>
      <c r="B11263" t="s">
        <v>35191</v>
      </c>
      <c r="C11263" t="s">
        <v>35192</v>
      </c>
      <c r="D11263" t="s">
        <v>35193</v>
      </c>
      <c r="E11263" t="s">
        <v>35194</v>
      </c>
      <c r="F11263" t="s">
        <v>35195</v>
      </c>
      <c r="G11263" s="2" t="str">
        <f>HYPERLINK("https://probpalata.gov.ru/files/ИП590603226400000.jpeg","Скачать индивидуальный QR-код магазина")</f>
        <v>Скачать индивидуальный QR-код магазина</v>
      </c>
    </row>
    <row r="11264" spans="1:7" x14ac:dyDescent="0.25">
      <c r="A11264" t="s">
        <v>34710</v>
      </c>
      <c r="B11264" t="s">
        <v>34825</v>
      </c>
      <c r="C11264" t="s">
        <v>35196</v>
      </c>
      <c r="D11264" t="s">
        <v>35197</v>
      </c>
      <c r="E11264" t="s">
        <v>35198</v>
      </c>
      <c r="F11264" t="s">
        <v>35199</v>
      </c>
      <c r="G11264" s="2" t="str">
        <f>HYPERLINK("https://probpalata.gov.ru/files/ИП590603449200000.jpeg","Скачать индивидуальный QR-код магазина")</f>
        <v>Скачать индивидуальный QR-код магазина</v>
      </c>
    </row>
    <row r="11265" spans="1:7" x14ac:dyDescent="0.25">
      <c r="A11265" t="s">
        <v>34710</v>
      </c>
      <c r="B11265" t="s">
        <v>35200</v>
      </c>
      <c r="C11265" t="s">
        <v>35201</v>
      </c>
      <c r="D11265" t="s">
        <v>35202</v>
      </c>
      <c r="E11265" t="s">
        <v>35203</v>
      </c>
      <c r="F11265" t="s">
        <v>35204</v>
      </c>
      <c r="G11265" s="2" t="str">
        <f>HYPERLINK("https://probpalata.gov.ru/files/ИП590600281600000.jpeg","Скачать индивидуальный QR-код магазина")</f>
        <v>Скачать индивидуальный QR-код магазина</v>
      </c>
    </row>
    <row r="11266" spans="1:7" x14ac:dyDescent="0.25">
      <c r="A11266" t="s">
        <v>34710</v>
      </c>
      <c r="B11266" t="s">
        <v>35205</v>
      </c>
      <c r="C11266" t="s">
        <v>35206</v>
      </c>
      <c r="D11266" t="s">
        <v>35207</v>
      </c>
      <c r="E11266" t="s">
        <v>35208</v>
      </c>
      <c r="F11266" t="s">
        <v>35209</v>
      </c>
      <c r="G11266" s="2" t="str">
        <f>HYPERLINK("https://probpalata.gov.ru/files/ЮЛ590601325400000.jpeg","Скачать индивидуальный QR-код магазина")</f>
        <v>Скачать индивидуальный QR-код магазина</v>
      </c>
    </row>
    <row r="11267" spans="1:7" x14ac:dyDescent="0.25">
      <c r="A11267" t="s">
        <v>34710</v>
      </c>
      <c r="B11267" t="s">
        <v>35210</v>
      </c>
      <c r="C11267" t="s">
        <v>35211</v>
      </c>
      <c r="D11267" t="s">
        <v>35212</v>
      </c>
      <c r="E11267" t="s">
        <v>35213</v>
      </c>
      <c r="F11267" t="s">
        <v>35214</v>
      </c>
      <c r="G11267" s="2" t="str">
        <f>HYPERLINK("https://probpalata.gov.ru/files/ИП590604083100000.jpeg","Скачать индивидуальный QR-код магазина")</f>
        <v>Скачать индивидуальный QR-код магазина</v>
      </c>
    </row>
    <row r="11268" spans="1:7" x14ac:dyDescent="0.25">
      <c r="A11268" t="s">
        <v>34710</v>
      </c>
      <c r="B11268" t="s">
        <v>34906</v>
      </c>
      <c r="C11268" t="s">
        <v>35215</v>
      </c>
      <c r="D11268" t="s">
        <v>35216</v>
      </c>
      <c r="E11268" t="s">
        <v>35217</v>
      </c>
      <c r="F11268" t="s">
        <v>35218</v>
      </c>
      <c r="G11268" s="2" t="str">
        <f>HYPERLINK("https://probpalata.gov.ru/files/ЮЛ590601012300001.jpeg","Скачать индивидуальный QR-код магазина")</f>
        <v>Скачать индивидуальный QR-код магазина</v>
      </c>
    </row>
    <row r="11269" spans="1:7" x14ac:dyDescent="0.25">
      <c r="A11269" t="s">
        <v>34710</v>
      </c>
      <c r="B11269" t="s">
        <v>34902</v>
      </c>
      <c r="C11269" t="s">
        <v>35215</v>
      </c>
      <c r="D11269" t="s">
        <v>35216</v>
      </c>
      <c r="E11269" t="s">
        <v>35217</v>
      </c>
      <c r="F11269" t="s">
        <v>35219</v>
      </c>
      <c r="G11269" s="2" t="str">
        <f>HYPERLINK("https://probpalata.gov.ru/files/ЮЛ590601012300002.jpeg","Скачать индивидуальный QR-код магазина")</f>
        <v>Скачать индивидуальный QR-код магазина</v>
      </c>
    </row>
    <row r="11270" spans="1:7" x14ac:dyDescent="0.25">
      <c r="A11270" t="s">
        <v>34710</v>
      </c>
      <c r="B11270" t="s">
        <v>35220</v>
      </c>
      <c r="C11270" t="s">
        <v>35215</v>
      </c>
      <c r="D11270" t="s">
        <v>35216</v>
      </c>
      <c r="E11270" t="s">
        <v>35217</v>
      </c>
      <c r="F11270" t="s">
        <v>35221</v>
      </c>
      <c r="G11270" s="2" t="str">
        <f>HYPERLINK("https://probpalata.gov.ru/files/ЮЛ590601012300003.jpeg","Скачать индивидуальный QR-код магазина")</f>
        <v>Скачать индивидуальный QR-код магазина</v>
      </c>
    </row>
    <row r="11271" spans="1:7" x14ac:dyDescent="0.25">
      <c r="A11271" t="s">
        <v>34710</v>
      </c>
      <c r="B11271" t="s">
        <v>35222</v>
      </c>
      <c r="C11271" t="s">
        <v>35223</v>
      </c>
      <c r="D11271" t="s">
        <v>35224</v>
      </c>
      <c r="E11271" t="s">
        <v>35225</v>
      </c>
      <c r="F11271" t="s">
        <v>35226</v>
      </c>
      <c r="G11271" s="2" t="str">
        <f>HYPERLINK("https://probpalata.gov.ru/files/ЮЛ590601036400001.jpeg","Скачать индивидуальный QR-код магазина")</f>
        <v>Скачать индивидуальный QR-код магазина</v>
      </c>
    </row>
    <row r="11272" spans="1:7" x14ac:dyDescent="0.25">
      <c r="A11272" t="s">
        <v>34710</v>
      </c>
      <c r="B11272" t="s">
        <v>35227</v>
      </c>
      <c r="C11272" t="s">
        <v>35223</v>
      </c>
      <c r="D11272" t="s">
        <v>35224</v>
      </c>
      <c r="E11272" t="s">
        <v>35225</v>
      </c>
      <c r="F11272" t="s">
        <v>35228</v>
      </c>
      <c r="G11272" s="2" t="str">
        <f>HYPERLINK("https://probpalata.gov.ru/files/ЮЛ590601036400002.jpeg","Скачать индивидуальный QR-код магазина")</f>
        <v>Скачать индивидуальный QR-код магазина</v>
      </c>
    </row>
    <row r="11273" spans="1:7" x14ac:dyDescent="0.25">
      <c r="A11273" t="s">
        <v>34710</v>
      </c>
      <c r="B11273" t="s">
        <v>34942</v>
      </c>
      <c r="C11273" t="s">
        <v>35223</v>
      </c>
      <c r="D11273" t="s">
        <v>35224</v>
      </c>
      <c r="E11273" t="s">
        <v>35225</v>
      </c>
      <c r="F11273" t="s">
        <v>35229</v>
      </c>
      <c r="G11273" s="2" t="str">
        <f>HYPERLINK("https://probpalata.gov.ru/files/ЮЛ590601036400003.jpeg","Скачать индивидуальный QR-код магазина")</f>
        <v>Скачать индивидуальный QR-код магазина</v>
      </c>
    </row>
    <row r="11274" spans="1:7" x14ac:dyDescent="0.25">
      <c r="A11274" t="s">
        <v>34710</v>
      </c>
      <c r="B11274" t="s">
        <v>35230</v>
      </c>
      <c r="C11274" t="s">
        <v>35223</v>
      </c>
      <c r="D11274" t="s">
        <v>35224</v>
      </c>
      <c r="E11274" t="s">
        <v>35225</v>
      </c>
      <c r="F11274" t="s">
        <v>35231</v>
      </c>
      <c r="G11274" s="2" t="str">
        <f>HYPERLINK("https://probpalata.gov.ru/files/ЮЛ590601036400004.jpeg","Скачать индивидуальный QR-код магазина")</f>
        <v>Скачать индивидуальный QR-код магазина</v>
      </c>
    </row>
    <row r="11275" spans="1:7" x14ac:dyDescent="0.25">
      <c r="A11275" t="s">
        <v>34710</v>
      </c>
      <c r="B11275" t="s">
        <v>35232</v>
      </c>
      <c r="C11275" t="s">
        <v>35233</v>
      </c>
      <c r="D11275" t="s">
        <v>35234</v>
      </c>
      <c r="E11275" t="s">
        <v>35235</v>
      </c>
      <c r="F11275" t="s">
        <v>35236</v>
      </c>
      <c r="G11275" s="2" t="str">
        <f>HYPERLINK("https://probpalata.gov.ru/files/ИП590600061200000.jpeg","Скачать индивидуальный QR-код магазина")</f>
        <v>Скачать индивидуальный QR-код магазина</v>
      </c>
    </row>
    <row r="11276" spans="1:7" x14ac:dyDescent="0.25">
      <c r="A11276" t="s">
        <v>34710</v>
      </c>
      <c r="B11276" t="s">
        <v>35237</v>
      </c>
      <c r="C11276" t="s">
        <v>35238</v>
      </c>
      <c r="D11276" t="s">
        <v>35239</v>
      </c>
      <c r="E11276" t="s">
        <v>35240</v>
      </c>
      <c r="F11276" t="s">
        <v>35241</v>
      </c>
      <c r="G11276" s="2" t="str">
        <f>HYPERLINK("https://probpalata.gov.ru/files/ИП590603244000000.jpeg","Скачать индивидуальный QR-код магазина")</f>
        <v>Скачать индивидуальный QR-код магазина</v>
      </c>
    </row>
    <row r="11277" spans="1:7" x14ac:dyDescent="0.25">
      <c r="A11277" t="s">
        <v>34710</v>
      </c>
      <c r="B11277" t="s">
        <v>35242</v>
      </c>
      <c r="C11277" t="s">
        <v>35243</v>
      </c>
      <c r="D11277" t="s">
        <v>35244</v>
      </c>
      <c r="E11277" t="s">
        <v>35245</v>
      </c>
      <c r="F11277" t="s">
        <v>35246</v>
      </c>
      <c r="G11277" s="2" t="str">
        <f>HYPERLINK("https://probpalata.gov.ru/files/ИП590604034100000.jpeg","Скачать индивидуальный QR-код магазина")</f>
        <v>Скачать индивидуальный QR-код магазина</v>
      </c>
    </row>
    <row r="11278" spans="1:7" x14ac:dyDescent="0.25">
      <c r="A11278" t="s">
        <v>34710</v>
      </c>
      <c r="B11278" t="s">
        <v>35242</v>
      </c>
      <c r="C11278" t="s">
        <v>35247</v>
      </c>
      <c r="D11278" t="s">
        <v>35248</v>
      </c>
      <c r="E11278" t="s">
        <v>35249</v>
      </c>
      <c r="F11278" t="s">
        <v>35250</v>
      </c>
      <c r="G11278" s="2" t="str">
        <f>HYPERLINK("https://probpalata.gov.ru/files/ИП590603409800000.jpeg","Скачать индивидуальный QR-код магазина")</f>
        <v>Скачать индивидуальный QR-код магазина</v>
      </c>
    </row>
    <row r="11279" spans="1:7" x14ac:dyDescent="0.25">
      <c r="A11279" t="s">
        <v>34710</v>
      </c>
      <c r="B11279" t="s">
        <v>35251</v>
      </c>
      <c r="C11279" t="s">
        <v>35252</v>
      </c>
      <c r="D11279" t="s">
        <v>35253</v>
      </c>
      <c r="E11279" t="s">
        <v>35254</v>
      </c>
      <c r="F11279" t="s">
        <v>35255</v>
      </c>
      <c r="G11279" s="2" t="str">
        <f>HYPERLINK("https://probpalata.gov.ru/files/ИП590601970800000.jpeg","Скачать индивидуальный QR-код магазина")</f>
        <v>Скачать индивидуальный QR-код магазина</v>
      </c>
    </row>
    <row r="11280" spans="1:7" x14ac:dyDescent="0.25">
      <c r="A11280" t="s">
        <v>34710</v>
      </c>
      <c r="B11280" t="s">
        <v>35256</v>
      </c>
      <c r="C11280" t="s">
        <v>35257</v>
      </c>
      <c r="D11280" t="s">
        <v>35258</v>
      </c>
      <c r="E11280" t="s">
        <v>35259</v>
      </c>
      <c r="F11280" t="s">
        <v>35260</v>
      </c>
      <c r="G11280" s="2" t="str">
        <f>HYPERLINK("https://probpalata.gov.ru/files/ИП590601725100000.jpeg","Скачать индивидуальный QR-код магазина")</f>
        <v>Скачать индивидуальный QR-код магазина</v>
      </c>
    </row>
    <row r="11281" spans="1:7" x14ac:dyDescent="0.25">
      <c r="A11281" t="s">
        <v>34710</v>
      </c>
      <c r="B11281" t="s">
        <v>35261</v>
      </c>
      <c r="C11281" t="s">
        <v>35262</v>
      </c>
      <c r="D11281" t="s">
        <v>35263</v>
      </c>
      <c r="E11281" t="s">
        <v>35264</v>
      </c>
      <c r="F11281" t="s">
        <v>35265</v>
      </c>
      <c r="G11281" s="2" t="str">
        <f>HYPERLINK("https://probpalata.gov.ru/files/ИП590601426900000.jpeg","Скачать индивидуальный QR-код магазина")</f>
        <v>Скачать индивидуальный QR-код магазина</v>
      </c>
    </row>
    <row r="11282" spans="1:7" x14ac:dyDescent="0.25">
      <c r="A11282" t="s">
        <v>34710</v>
      </c>
      <c r="B11282" t="s">
        <v>35266</v>
      </c>
      <c r="C11282" t="s">
        <v>35262</v>
      </c>
      <c r="D11282" t="s">
        <v>35263</v>
      </c>
      <c r="E11282" t="s">
        <v>35264</v>
      </c>
      <c r="F11282" t="s">
        <v>35267</v>
      </c>
      <c r="G11282" s="2" t="str">
        <f>HYPERLINK("https://probpalata.gov.ru/files/ИП590601426900038.jpeg","Скачать индивидуальный QR-код магазина")</f>
        <v>Скачать индивидуальный QR-код магазина</v>
      </c>
    </row>
    <row r="11283" spans="1:7" x14ac:dyDescent="0.25">
      <c r="A11283" t="s">
        <v>34710</v>
      </c>
      <c r="B11283" t="s">
        <v>35268</v>
      </c>
      <c r="C11283" t="s">
        <v>35262</v>
      </c>
      <c r="D11283" t="s">
        <v>35263</v>
      </c>
      <c r="E11283" t="s">
        <v>35264</v>
      </c>
      <c r="F11283" t="s">
        <v>35269</v>
      </c>
      <c r="G11283" s="2" t="str">
        <f>HYPERLINK("https://probpalata.gov.ru/files/ИП590601426900049.jpeg","Скачать индивидуальный QR-код магазина")</f>
        <v>Скачать индивидуальный QR-код магазина</v>
      </c>
    </row>
    <row r="11284" spans="1:7" x14ac:dyDescent="0.25">
      <c r="A11284" t="s">
        <v>34710</v>
      </c>
      <c r="B11284" t="s">
        <v>35270</v>
      </c>
      <c r="C11284" t="s">
        <v>35271</v>
      </c>
      <c r="D11284" t="s">
        <v>35272</v>
      </c>
      <c r="E11284" t="s">
        <v>35273</v>
      </c>
      <c r="F11284" t="s">
        <v>35274</v>
      </c>
      <c r="G11284" s="2" t="str">
        <f>HYPERLINK("https://probpalata.gov.ru/files/ИП590600353800000.jpeg","Скачать индивидуальный QR-код магазина")</f>
        <v>Скачать индивидуальный QR-код магазина</v>
      </c>
    </row>
    <row r="11285" spans="1:7" x14ac:dyDescent="0.25">
      <c r="A11285" t="s">
        <v>34710</v>
      </c>
      <c r="B11285" t="s">
        <v>35275</v>
      </c>
      <c r="C11285" t="s">
        <v>35276</v>
      </c>
      <c r="D11285" t="s">
        <v>35277</v>
      </c>
      <c r="E11285" t="s">
        <v>35278</v>
      </c>
      <c r="F11285" t="s">
        <v>35279</v>
      </c>
      <c r="G11285" s="2" t="str">
        <f>HYPERLINK("https://probpalata.gov.ru/files/ИП590600851900000.jpeg","Скачать индивидуальный QR-код магазина")</f>
        <v>Скачать индивидуальный QR-код магазина</v>
      </c>
    </row>
    <row r="11286" spans="1:7" x14ac:dyDescent="0.25">
      <c r="A11286" t="s">
        <v>34710</v>
      </c>
      <c r="B11286" t="s">
        <v>35280</v>
      </c>
      <c r="C11286" t="s">
        <v>35281</v>
      </c>
      <c r="D11286" t="s">
        <v>35282</v>
      </c>
      <c r="E11286" t="s">
        <v>35283</v>
      </c>
      <c r="F11286" t="s">
        <v>35284</v>
      </c>
      <c r="G11286" s="2" t="str">
        <f>HYPERLINK("https://probpalata.gov.ru/files/ИП590603349000000.jpeg","Скачать индивидуальный QR-код магазина")</f>
        <v>Скачать индивидуальный QR-код магазина</v>
      </c>
    </row>
    <row r="11287" spans="1:7" x14ac:dyDescent="0.25">
      <c r="A11287" t="s">
        <v>34710</v>
      </c>
      <c r="B11287" t="s">
        <v>35285</v>
      </c>
      <c r="C11287" t="s">
        <v>35281</v>
      </c>
      <c r="D11287" t="s">
        <v>35282</v>
      </c>
      <c r="E11287" t="s">
        <v>35283</v>
      </c>
      <c r="F11287" t="s">
        <v>35286</v>
      </c>
      <c r="G11287" s="2" t="str">
        <f>HYPERLINK("https://probpalata.gov.ru/files/ИП590603349000001.jpeg","Скачать индивидуальный QR-код магазина")</f>
        <v>Скачать индивидуальный QR-код магазина</v>
      </c>
    </row>
    <row r="11288" spans="1:7" x14ac:dyDescent="0.25">
      <c r="A11288" t="s">
        <v>34710</v>
      </c>
      <c r="B11288" t="s">
        <v>35026</v>
      </c>
      <c r="C11288" t="s">
        <v>35281</v>
      </c>
      <c r="D11288" t="s">
        <v>35282</v>
      </c>
      <c r="E11288" t="s">
        <v>35283</v>
      </c>
      <c r="F11288" t="s">
        <v>35287</v>
      </c>
      <c r="G11288" s="2" t="str">
        <f>HYPERLINK("https://probpalata.gov.ru/files/ИП590603349000003.jpeg","Скачать индивидуальный QR-код магазина")</f>
        <v>Скачать индивидуальный QR-код магазина</v>
      </c>
    </row>
    <row r="11289" spans="1:7" x14ac:dyDescent="0.25">
      <c r="A11289" t="s">
        <v>34710</v>
      </c>
      <c r="B11289" t="s">
        <v>35288</v>
      </c>
      <c r="C11289" t="s">
        <v>35289</v>
      </c>
      <c r="D11289" t="s">
        <v>35290</v>
      </c>
      <c r="E11289" t="s">
        <v>35291</v>
      </c>
      <c r="F11289" t="s">
        <v>35292</v>
      </c>
      <c r="G11289" s="2" t="str">
        <f>HYPERLINK("https://probpalata.gov.ru/files/ИП590601640200000.jpeg","Скачать индивидуальный QR-код магазина")</f>
        <v>Скачать индивидуальный QR-код магазина</v>
      </c>
    </row>
    <row r="11290" spans="1:7" x14ac:dyDescent="0.25">
      <c r="A11290" t="s">
        <v>34710</v>
      </c>
      <c r="B11290" t="s">
        <v>35293</v>
      </c>
      <c r="C11290" t="s">
        <v>35294</v>
      </c>
      <c r="D11290" t="s">
        <v>35295</v>
      </c>
      <c r="E11290" t="s">
        <v>35296</v>
      </c>
      <c r="F11290" t="s">
        <v>35297</v>
      </c>
      <c r="G11290" s="2" t="str">
        <f>HYPERLINK("https://probpalata.gov.ru/files/ИП590604011900000.jpeg","Скачать индивидуальный QR-код магазина")</f>
        <v>Скачать индивидуальный QR-код магазина</v>
      </c>
    </row>
    <row r="11291" spans="1:7" x14ac:dyDescent="0.25">
      <c r="A11291" t="s">
        <v>34710</v>
      </c>
      <c r="B11291" t="s">
        <v>35298</v>
      </c>
      <c r="C11291" t="s">
        <v>35299</v>
      </c>
      <c r="D11291" t="s">
        <v>35300</v>
      </c>
      <c r="E11291" t="s">
        <v>35301</v>
      </c>
      <c r="F11291" t="s">
        <v>35302</v>
      </c>
      <c r="G11291" s="2" t="str">
        <f>HYPERLINK("https://probpalata.gov.ru/files/ИП590600314200000.jpeg","Скачать индивидуальный QR-код магазина")</f>
        <v>Скачать индивидуальный QR-код магазина</v>
      </c>
    </row>
    <row r="11292" spans="1:7" x14ac:dyDescent="0.25">
      <c r="A11292" t="s">
        <v>34710</v>
      </c>
      <c r="B11292" t="s">
        <v>35298</v>
      </c>
      <c r="C11292" t="s">
        <v>35303</v>
      </c>
      <c r="D11292" t="s">
        <v>35304</v>
      </c>
      <c r="E11292" t="s">
        <v>35305</v>
      </c>
      <c r="F11292" t="s">
        <v>35306</v>
      </c>
      <c r="G11292" s="2" t="str">
        <f>HYPERLINK("https://probpalata.gov.ru/files/ИП590603186000000.jpeg","Скачать индивидуальный QR-код магазина")</f>
        <v>Скачать индивидуальный QR-код магазина</v>
      </c>
    </row>
    <row r="11293" spans="1:7" x14ac:dyDescent="0.25">
      <c r="A11293" t="s">
        <v>34710</v>
      </c>
      <c r="B11293" t="s">
        <v>35307</v>
      </c>
      <c r="C11293" t="s">
        <v>35308</v>
      </c>
      <c r="D11293" t="s">
        <v>35309</v>
      </c>
      <c r="E11293" t="s">
        <v>35310</v>
      </c>
      <c r="F11293" t="s">
        <v>35311</v>
      </c>
      <c r="G11293" s="2" t="str">
        <f>HYPERLINK("https://probpalata.gov.ru/files/ИП590603226500000.jpeg","Скачать индивидуальный QR-код магазина")</f>
        <v>Скачать индивидуальный QR-код магазина</v>
      </c>
    </row>
    <row r="11294" spans="1:7" x14ac:dyDescent="0.25">
      <c r="A11294" t="s">
        <v>34710</v>
      </c>
      <c r="B11294" t="s">
        <v>35312</v>
      </c>
      <c r="C11294" t="s">
        <v>35313</v>
      </c>
      <c r="D11294" t="s">
        <v>35314</v>
      </c>
      <c r="E11294" t="s">
        <v>35315</v>
      </c>
      <c r="F11294" t="s">
        <v>35316</v>
      </c>
      <c r="G11294" s="2" t="str">
        <f>HYPERLINK("https://probpalata.gov.ru/files/ИП590600633300000.jpeg","Скачать индивидуальный QR-код магазина")</f>
        <v>Скачать индивидуальный QR-код магазина</v>
      </c>
    </row>
    <row r="11295" spans="1:7" x14ac:dyDescent="0.25">
      <c r="A11295" t="s">
        <v>34710</v>
      </c>
      <c r="B11295" t="s">
        <v>35317</v>
      </c>
      <c r="C11295" t="s">
        <v>35313</v>
      </c>
      <c r="D11295" t="s">
        <v>35314</v>
      </c>
      <c r="E11295" t="s">
        <v>35315</v>
      </c>
      <c r="F11295" t="s">
        <v>35318</v>
      </c>
      <c r="G11295" s="2" t="str">
        <f>HYPERLINK("https://probpalata.gov.ru/files/ИП590600633300001.jpeg","Скачать индивидуальный QR-код магазина")</f>
        <v>Скачать индивидуальный QR-код магазина</v>
      </c>
    </row>
    <row r="11296" spans="1:7" x14ac:dyDescent="0.25">
      <c r="A11296" t="s">
        <v>34710</v>
      </c>
      <c r="B11296" t="s">
        <v>34995</v>
      </c>
      <c r="C11296" t="s">
        <v>35319</v>
      </c>
      <c r="D11296" t="s">
        <v>35320</v>
      </c>
      <c r="E11296" t="s">
        <v>35321</v>
      </c>
      <c r="F11296" t="s">
        <v>35322</v>
      </c>
      <c r="G11296" s="2" t="str">
        <f>HYPERLINK("https://probpalata.gov.ru/files/ЮЛ590600704800001.jpeg","Скачать индивидуальный QR-код магазина")</f>
        <v>Скачать индивидуальный QR-код магазина</v>
      </c>
    </row>
    <row r="11297" spans="1:7" x14ac:dyDescent="0.25">
      <c r="A11297" t="s">
        <v>34710</v>
      </c>
      <c r="B11297" t="s">
        <v>34910</v>
      </c>
      <c r="C11297" t="s">
        <v>35319</v>
      </c>
      <c r="D11297" t="s">
        <v>35320</v>
      </c>
      <c r="E11297" t="s">
        <v>35321</v>
      </c>
      <c r="F11297" t="s">
        <v>35323</v>
      </c>
      <c r="G11297" s="2" t="str">
        <f>HYPERLINK("https://probpalata.gov.ru/files/ЮЛ590600704800003.jpeg","Скачать индивидуальный QR-код магазина")</f>
        <v>Скачать индивидуальный QR-код магазина</v>
      </c>
    </row>
    <row r="11298" spans="1:7" x14ac:dyDescent="0.25">
      <c r="A11298" t="s">
        <v>34710</v>
      </c>
      <c r="B11298" t="s">
        <v>35324</v>
      </c>
      <c r="C11298" t="s">
        <v>35325</v>
      </c>
      <c r="D11298" t="s">
        <v>35326</v>
      </c>
      <c r="E11298" t="s">
        <v>35327</v>
      </c>
      <c r="F11298" t="s">
        <v>35328</v>
      </c>
      <c r="G11298" s="2" t="str">
        <f>HYPERLINK("https://probpalata.gov.ru/files/ИП590601080000004.jpeg","Скачать индивидуальный QR-код магазина")</f>
        <v>Скачать индивидуальный QR-код магазина</v>
      </c>
    </row>
    <row r="11299" spans="1:7" x14ac:dyDescent="0.25">
      <c r="A11299" t="s">
        <v>34710</v>
      </c>
      <c r="B11299" t="s">
        <v>35256</v>
      </c>
      <c r="C11299" t="s">
        <v>35325</v>
      </c>
      <c r="D11299" t="s">
        <v>35326</v>
      </c>
      <c r="E11299" t="s">
        <v>35327</v>
      </c>
      <c r="F11299" t="s">
        <v>35329</v>
      </c>
      <c r="G11299" s="2" t="str">
        <f>HYPERLINK("https://probpalata.gov.ru/files/ИП590601080000006.jpeg","Скачать индивидуальный QR-код магазина")</f>
        <v>Скачать индивидуальный QR-код магазина</v>
      </c>
    </row>
    <row r="11300" spans="1:7" x14ac:dyDescent="0.25">
      <c r="A11300" t="s">
        <v>34710</v>
      </c>
      <c r="B11300" t="s">
        <v>35330</v>
      </c>
      <c r="C11300" t="s">
        <v>35325</v>
      </c>
      <c r="D11300" t="s">
        <v>35326</v>
      </c>
      <c r="E11300" t="s">
        <v>35327</v>
      </c>
      <c r="F11300" t="s">
        <v>35331</v>
      </c>
      <c r="G11300" s="2" t="str">
        <f>HYPERLINK("https://probpalata.gov.ru/files/ИП590601080000007.jpeg","Скачать индивидуальный QR-код магазина")</f>
        <v>Скачать индивидуальный QR-код магазина</v>
      </c>
    </row>
    <row r="11301" spans="1:7" x14ac:dyDescent="0.25">
      <c r="A11301" t="s">
        <v>34710</v>
      </c>
      <c r="B11301" t="s">
        <v>35332</v>
      </c>
      <c r="C11301" t="s">
        <v>35325</v>
      </c>
      <c r="D11301" t="s">
        <v>35326</v>
      </c>
      <c r="E11301" t="s">
        <v>35327</v>
      </c>
      <c r="F11301" t="s">
        <v>35333</v>
      </c>
      <c r="G11301" s="2" t="str">
        <f>HYPERLINK("https://probpalata.gov.ru/files/ИП590601080000008.jpeg","Скачать индивидуальный QR-код магазина")</f>
        <v>Скачать индивидуальный QR-код магазина</v>
      </c>
    </row>
    <row r="11302" spans="1:7" x14ac:dyDescent="0.25">
      <c r="A11302" t="s">
        <v>34710</v>
      </c>
      <c r="B11302" t="s">
        <v>35334</v>
      </c>
      <c r="C11302" t="s">
        <v>35325</v>
      </c>
      <c r="D11302" t="s">
        <v>35326</v>
      </c>
      <c r="E11302" t="s">
        <v>35327</v>
      </c>
      <c r="F11302" t="s">
        <v>35335</v>
      </c>
      <c r="G11302" s="2" t="str">
        <f>HYPERLINK("https://probpalata.gov.ru/files/ИП590601080000009.jpeg","Скачать индивидуальный QR-код магазина")</f>
        <v>Скачать индивидуальный QR-код магазина</v>
      </c>
    </row>
    <row r="11303" spans="1:7" x14ac:dyDescent="0.25">
      <c r="A11303" t="s">
        <v>34710</v>
      </c>
      <c r="B11303" t="s">
        <v>34904</v>
      </c>
      <c r="C11303" t="s">
        <v>35336</v>
      </c>
      <c r="D11303" t="s">
        <v>35337</v>
      </c>
      <c r="E11303" t="s">
        <v>35338</v>
      </c>
      <c r="F11303" t="s">
        <v>35339</v>
      </c>
      <c r="G11303" s="2" t="str">
        <f>HYPERLINK("https://probpalata.gov.ru/files/ЮЛ590600832800001.jpeg","Скачать индивидуальный QR-код магазина")</f>
        <v>Скачать индивидуальный QR-код магазина</v>
      </c>
    </row>
    <row r="11304" spans="1:7" x14ac:dyDescent="0.25">
      <c r="A11304" t="s">
        <v>34710</v>
      </c>
      <c r="B11304" t="s">
        <v>35340</v>
      </c>
      <c r="C11304" t="s">
        <v>35336</v>
      </c>
      <c r="D11304" t="s">
        <v>35337</v>
      </c>
      <c r="E11304" t="s">
        <v>35338</v>
      </c>
      <c r="F11304" t="s">
        <v>35341</v>
      </c>
      <c r="G11304" s="2" t="str">
        <f>HYPERLINK("https://probpalata.gov.ru/files/ЮЛ590600832800003.jpeg","Скачать индивидуальный QR-код магазина")</f>
        <v>Скачать индивидуальный QR-код магазина</v>
      </c>
    </row>
    <row r="11305" spans="1:7" x14ac:dyDescent="0.25">
      <c r="A11305" t="s">
        <v>34710</v>
      </c>
      <c r="B11305" t="s">
        <v>35342</v>
      </c>
      <c r="C11305" t="s">
        <v>35336</v>
      </c>
      <c r="D11305" t="s">
        <v>35337</v>
      </c>
      <c r="E11305" t="s">
        <v>35338</v>
      </c>
      <c r="F11305" t="s">
        <v>35343</v>
      </c>
      <c r="G11305" s="2" t="str">
        <f>HYPERLINK("https://probpalata.gov.ru/files/ЮЛ590600832800004.jpeg","Скачать индивидуальный QR-код магазина")</f>
        <v>Скачать индивидуальный QR-код магазина</v>
      </c>
    </row>
    <row r="11306" spans="1:7" x14ac:dyDescent="0.25">
      <c r="A11306" t="s">
        <v>34710</v>
      </c>
      <c r="B11306" t="s">
        <v>35344</v>
      </c>
      <c r="C11306" t="s">
        <v>35336</v>
      </c>
      <c r="D11306" t="s">
        <v>35337</v>
      </c>
      <c r="E11306" t="s">
        <v>35338</v>
      </c>
      <c r="F11306" t="s">
        <v>35345</v>
      </c>
      <c r="G11306" s="2" t="str">
        <f>HYPERLINK("https://probpalata.gov.ru/files/ЮЛ590600832800006.jpeg","Скачать индивидуальный QR-код магазина")</f>
        <v>Скачать индивидуальный QR-код магазина</v>
      </c>
    </row>
    <row r="11307" spans="1:7" x14ac:dyDescent="0.25">
      <c r="A11307" t="s">
        <v>34710</v>
      </c>
      <c r="B11307" t="s">
        <v>34938</v>
      </c>
      <c r="C11307" t="s">
        <v>35346</v>
      </c>
      <c r="D11307" t="s">
        <v>35347</v>
      </c>
      <c r="E11307" t="s">
        <v>35348</v>
      </c>
      <c r="F11307" t="s">
        <v>35349</v>
      </c>
      <c r="G11307" s="2" t="str">
        <f>HYPERLINK("https://probpalata.gov.ru/files/ЮЛ590601025600001.jpeg","Скачать индивидуальный QR-код магазина")</f>
        <v>Скачать индивидуальный QR-код магазина</v>
      </c>
    </row>
    <row r="11308" spans="1:7" x14ac:dyDescent="0.25">
      <c r="A11308" t="s">
        <v>34710</v>
      </c>
      <c r="B11308" t="s">
        <v>35350</v>
      </c>
      <c r="C11308" t="s">
        <v>35346</v>
      </c>
      <c r="D11308" t="s">
        <v>35347</v>
      </c>
      <c r="E11308" t="s">
        <v>35348</v>
      </c>
      <c r="F11308" t="s">
        <v>35351</v>
      </c>
      <c r="G11308" s="2" t="str">
        <f>HYPERLINK("https://probpalata.gov.ru/files/ЮЛ590601025600002.jpeg","Скачать индивидуальный QR-код магазина")</f>
        <v>Скачать индивидуальный QR-код магазина</v>
      </c>
    </row>
    <row r="11309" spans="1:7" x14ac:dyDescent="0.25">
      <c r="A11309" t="s">
        <v>34710</v>
      </c>
      <c r="B11309" t="s">
        <v>35352</v>
      </c>
      <c r="C11309" t="s">
        <v>35346</v>
      </c>
      <c r="D11309" t="s">
        <v>35347</v>
      </c>
      <c r="E11309" t="s">
        <v>35348</v>
      </c>
      <c r="F11309" t="s">
        <v>35353</v>
      </c>
      <c r="G11309" s="2" t="str">
        <f>HYPERLINK("https://probpalata.gov.ru/files/ЮЛ590601025600005.jpeg","Скачать индивидуальный QR-код магазина")</f>
        <v>Скачать индивидуальный QR-код магазина</v>
      </c>
    </row>
    <row r="11310" spans="1:7" x14ac:dyDescent="0.25">
      <c r="A11310" t="s">
        <v>34710</v>
      </c>
      <c r="B11310" t="s">
        <v>35354</v>
      </c>
      <c r="C11310" t="s">
        <v>35355</v>
      </c>
      <c r="D11310" t="s">
        <v>35356</v>
      </c>
      <c r="E11310" t="s">
        <v>35357</v>
      </c>
      <c r="F11310" t="s">
        <v>35358</v>
      </c>
      <c r="G11310" s="2" t="str">
        <f>HYPERLINK("https://probpalata.gov.ru/files/ИП590600691300000.jpeg","Скачать индивидуальный QR-код магазина")</f>
        <v>Скачать индивидуальный QR-код магазина</v>
      </c>
    </row>
    <row r="11311" spans="1:7" x14ac:dyDescent="0.25">
      <c r="A11311" t="s">
        <v>34710</v>
      </c>
      <c r="B11311" t="s">
        <v>35359</v>
      </c>
      <c r="C11311" t="s">
        <v>35355</v>
      </c>
      <c r="D11311" t="s">
        <v>35356</v>
      </c>
      <c r="E11311" t="s">
        <v>35357</v>
      </c>
      <c r="F11311" t="s">
        <v>35360</v>
      </c>
      <c r="G11311" s="2" t="str">
        <f>HYPERLINK("https://probpalata.gov.ru/files/ИП590600691300001.jpeg","Скачать индивидуальный QR-код магазина")</f>
        <v>Скачать индивидуальный QR-код магазина</v>
      </c>
    </row>
    <row r="11312" spans="1:7" x14ac:dyDescent="0.25">
      <c r="A11312" t="s">
        <v>34710</v>
      </c>
      <c r="B11312" t="s">
        <v>35361</v>
      </c>
      <c r="C11312" t="s">
        <v>35362</v>
      </c>
      <c r="D11312" t="s">
        <v>35363</v>
      </c>
      <c r="E11312" t="s">
        <v>35364</v>
      </c>
      <c r="F11312" t="s">
        <v>35365</v>
      </c>
      <c r="G11312" s="2" t="str">
        <f>HYPERLINK("https://probpalata.gov.ru/files/ЮЛ590601115800000.jpeg","Скачать индивидуальный QR-код магазина")</f>
        <v>Скачать индивидуальный QR-код магазина</v>
      </c>
    </row>
    <row r="11313" spans="1:7" x14ac:dyDescent="0.25">
      <c r="A11313" t="s">
        <v>34710</v>
      </c>
      <c r="B11313" t="s">
        <v>35073</v>
      </c>
      <c r="C11313" t="s">
        <v>35362</v>
      </c>
      <c r="D11313" t="s">
        <v>35363</v>
      </c>
      <c r="E11313" t="s">
        <v>35364</v>
      </c>
      <c r="F11313" t="s">
        <v>35366</v>
      </c>
      <c r="G11313" s="2" t="str">
        <f>HYPERLINK("https://probpalata.gov.ru/files/ЮЛ590601115800001.jpeg","Скачать индивидуальный QR-код магазина")</f>
        <v>Скачать индивидуальный QR-код магазина</v>
      </c>
    </row>
    <row r="11314" spans="1:7" x14ac:dyDescent="0.25">
      <c r="A11314" t="s">
        <v>34710</v>
      </c>
      <c r="B11314" t="s">
        <v>35062</v>
      </c>
      <c r="C11314" t="s">
        <v>35362</v>
      </c>
      <c r="D11314" t="s">
        <v>35363</v>
      </c>
      <c r="E11314" t="s">
        <v>35364</v>
      </c>
      <c r="F11314" t="s">
        <v>35367</v>
      </c>
      <c r="G11314" s="2" t="str">
        <f>HYPERLINK("https://probpalata.gov.ru/files/ЮЛ590601115800002.jpeg","Скачать индивидуальный QR-код магазина")</f>
        <v>Скачать индивидуальный QR-код магазина</v>
      </c>
    </row>
    <row r="11315" spans="1:7" x14ac:dyDescent="0.25">
      <c r="A11315" t="s">
        <v>34710</v>
      </c>
      <c r="B11315" t="s">
        <v>35368</v>
      </c>
      <c r="C11315" t="s">
        <v>35362</v>
      </c>
      <c r="D11315" t="s">
        <v>35363</v>
      </c>
      <c r="E11315" t="s">
        <v>35364</v>
      </c>
      <c r="F11315" t="s">
        <v>35369</v>
      </c>
      <c r="G11315" s="2" t="str">
        <f>HYPERLINK("https://probpalata.gov.ru/files/ЮЛ590601115800003.jpeg","Скачать индивидуальный QR-код магазина")</f>
        <v>Скачать индивидуальный QR-код магазина</v>
      </c>
    </row>
    <row r="11316" spans="1:7" x14ac:dyDescent="0.25">
      <c r="A11316" t="s">
        <v>34710</v>
      </c>
      <c r="B11316" t="s">
        <v>35069</v>
      </c>
      <c r="C11316" t="s">
        <v>35362</v>
      </c>
      <c r="D11316" t="s">
        <v>35363</v>
      </c>
      <c r="E11316" t="s">
        <v>35364</v>
      </c>
      <c r="F11316" t="s">
        <v>35370</v>
      </c>
      <c r="G11316" s="2" t="str">
        <f>HYPERLINK("https://probpalata.gov.ru/files/ЮЛ590601115800004.jpeg","Скачать индивидуальный QR-код магазина")</f>
        <v>Скачать индивидуальный QR-код магазина</v>
      </c>
    </row>
    <row r="11317" spans="1:7" x14ac:dyDescent="0.25">
      <c r="A11317" t="s">
        <v>34710</v>
      </c>
      <c r="B11317" t="s">
        <v>35371</v>
      </c>
      <c r="C11317" t="s">
        <v>35362</v>
      </c>
      <c r="D11317" t="s">
        <v>35363</v>
      </c>
      <c r="E11317" t="s">
        <v>35364</v>
      </c>
      <c r="F11317" t="s">
        <v>35372</v>
      </c>
      <c r="G11317" s="2" t="str">
        <f>HYPERLINK("https://probpalata.gov.ru/files/ЮЛ590601115800006.jpeg","Скачать индивидуальный QR-код магазина")</f>
        <v>Скачать индивидуальный QR-код магазина</v>
      </c>
    </row>
    <row r="11318" spans="1:7" x14ac:dyDescent="0.25">
      <c r="A11318" t="s">
        <v>34710</v>
      </c>
      <c r="B11318" t="s">
        <v>35077</v>
      </c>
      <c r="C11318" t="s">
        <v>35362</v>
      </c>
      <c r="D11318" t="s">
        <v>35363</v>
      </c>
      <c r="E11318" t="s">
        <v>35364</v>
      </c>
      <c r="F11318" t="s">
        <v>35373</v>
      </c>
      <c r="G11318" s="2" t="str">
        <f>HYPERLINK("https://probpalata.gov.ru/files/ЮЛ590601115800007.jpeg","Скачать индивидуальный QR-код магазина")</f>
        <v>Скачать индивидуальный QR-код магазина</v>
      </c>
    </row>
    <row r="11319" spans="1:7" x14ac:dyDescent="0.25">
      <c r="A11319" t="s">
        <v>34710</v>
      </c>
      <c r="B11319" t="s">
        <v>35374</v>
      </c>
      <c r="C11319" t="s">
        <v>35362</v>
      </c>
      <c r="D11319" t="s">
        <v>35363</v>
      </c>
      <c r="E11319" t="s">
        <v>35364</v>
      </c>
      <c r="F11319" t="s">
        <v>35375</v>
      </c>
      <c r="G11319" s="2" t="str">
        <f>HYPERLINK("https://probpalata.gov.ru/files/ЮЛ590601115800009.jpeg","Скачать индивидуальный QR-код магазина")</f>
        <v>Скачать индивидуальный QR-код магазина</v>
      </c>
    </row>
    <row r="11320" spans="1:7" x14ac:dyDescent="0.25">
      <c r="A11320" t="s">
        <v>34710</v>
      </c>
      <c r="B11320" t="s">
        <v>34718</v>
      </c>
      <c r="C11320" t="s">
        <v>35362</v>
      </c>
      <c r="D11320" t="s">
        <v>35363</v>
      </c>
      <c r="E11320" t="s">
        <v>35364</v>
      </c>
      <c r="F11320" t="s">
        <v>35376</v>
      </c>
      <c r="G11320" s="2" t="str">
        <f>HYPERLINK("https://probpalata.gov.ru/files/ЮЛ590601115800010.jpeg","Скачать индивидуальный QR-код магазина")</f>
        <v>Скачать индивидуальный QR-код магазина</v>
      </c>
    </row>
    <row r="11321" spans="1:7" x14ac:dyDescent="0.25">
      <c r="A11321" t="s">
        <v>34710</v>
      </c>
      <c r="B11321" t="s">
        <v>35377</v>
      </c>
      <c r="C11321" t="s">
        <v>35378</v>
      </c>
      <c r="D11321" t="s">
        <v>35379</v>
      </c>
      <c r="E11321" t="s">
        <v>35380</v>
      </c>
      <c r="F11321" t="s">
        <v>35381</v>
      </c>
      <c r="G11321" s="2" t="str">
        <f>HYPERLINK("https://probpalata.gov.ru/files/ИП590601775600000.jpeg","Скачать индивидуальный QR-код магазина")</f>
        <v>Скачать индивидуальный QR-код магазина</v>
      </c>
    </row>
    <row r="11322" spans="1:7" x14ac:dyDescent="0.25">
      <c r="A11322" t="s">
        <v>34710</v>
      </c>
      <c r="B11322" t="s">
        <v>35382</v>
      </c>
      <c r="C11322" t="s">
        <v>35383</v>
      </c>
      <c r="D11322" t="s">
        <v>35384</v>
      </c>
      <c r="E11322" t="s">
        <v>35385</v>
      </c>
      <c r="F11322" t="s">
        <v>35386</v>
      </c>
      <c r="G11322" s="2" t="str">
        <f>HYPERLINK("https://probpalata.gov.ru/files/ИП590603208200000.jpeg","Скачать индивидуальный QR-код магазина")</f>
        <v>Скачать индивидуальный QR-код магазина</v>
      </c>
    </row>
    <row r="11323" spans="1:7" x14ac:dyDescent="0.25">
      <c r="A11323" t="s">
        <v>34710</v>
      </c>
      <c r="B11323" t="s">
        <v>35387</v>
      </c>
      <c r="C11323" t="s">
        <v>35383</v>
      </c>
      <c r="D11323" t="s">
        <v>35384</v>
      </c>
      <c r="E11323" t="s">
        <v>35385</v>
      </c>
      <c r="F11323" t="s">
        <v>35388</v>
      </c>
      <c r="G11323" s="2" t="str">
        <f>HYPERLINK("https://probpalata.gov.ru/files/ИП590603208200001.jpeg","Скачать индивидуальный QR-код магазина")</f>
        <v>Скачать индивидуальный QR-код магазина</v>
      </c>
    </row>
    <row r="11324" spans="1:7" x14ac:dyDescent="0.25">
      <c r="A11324" t="s">
        <v>34710</v>
      </c>
      <c r="B11324" t="s">
        <v>35389</v>
      </c>
      <c r="C11324" t="s">
        <v>35390</v>
      </c>
      <c r="D11324" t="s">
        <v>35391</v>
      </c>
      <c r="E11324" t="s">
        <v>35392</v>
      </c>
      <c r="F11324" t="s">
        <v>35393</v>
      </c>
      <c r="G11324" s="2" t="str">
        <f>HYPERLINK("https://probpalata.gov.ru/files/ИП590603494300000.jpeg","Скачать индивидуальный QR-код магазина")</f>
        <v>Скачать индивидуальный QR-код магазина</v>
      </c>
    </row>
    <row r="11325" spans="1:7" x14ac:dyDescent="0.25">
      <c r="A11325" t="s">
        <v>34710</v>
      </c>
      <c r="B11325" t="s">
        <v>35394</v>
      </c>
      <c r="C11325" t="s">
        <v>35395</v>
      </c>
      <c r="D11325" t="s">
        <v>35396</v>
      </c>
      <c r="E11325" t="s">
        <v>35397</v>
      </c>
      <c r="F11325" t="s">
        <v>35398</v>
      </c>
      <c r="G11325" s="2" t="str">
        <f>HYPERLINK("https://probpalata.gov.ru/files/ИП590600661400002.jpeg","Скачать индивидуальный QR-код магазина")</f>
        <v>Скачать индивидуальный QR-код магазина</v>
      </c>
    </row>
    <row r="11326" spans="1:7" x14ac:dyDescent="0.25">
      <c r="A11326" t="s">
        <v>34710</v>
      </c>
      <c r="B11326" t="s">
        <v>34946</v>
      </c>
      <c r="C11326" t="s">
        <v>35399</v>
      </c>
      <c r="D11326" t="s">
        <v>35400</v>
      </c>
      <c r="E11326" t="s">
        <v>35401</v>
      </c>
      <c r="F11326" t="s">
        <v>35402</v>
      </c>
      <c r="G11326" s="2" t="str">
        <f>HYPERLINK("https://probpalata.gov.ru/files/ЮЛ590600769900001.jpeg","Скачать индивидуальный QR-код магазина")</f>
        <v>Скачать индивидуальный QR-код магазина</v>
      </c>
    </row>
    <row r="11327" spans="1:7" x14ac:dyDescent="0.25">
      <c r="A11327" t="s">
        <v>34710</v>
      </c>
      <c r="B11327" t="s">
        <v>35403</v>
      </c>
      <c r="C11327" t="s">
        <v>35399</v>
      </c>
      <c r="D11327" t="s">
        <v>35400</v>
      </c>
      <c r="E11327" t="s">
        <v>35401</v>
      </c>
      <c r="F11327" t="s">
        <v>35404</v>
      </c>
      <c r="G11327" s="2" t="str">
        <f>HYPERLINK("https://probpalata.gov.ru/files/ЮЛ590600769900003.jpeg","Скачать индивидуальный QR-код магазина")</f>
        <v>Скачать индивидуальный QR-код магазина</v>
      </c>
    </row>
    <row r="11328" spans="1:7" x14ac:dyDescent="0.25">
      <c r="A11328" t="s">
        <v>34710</v>
      </c>
      <c r="B11328" t="s">
        <v>35405</v>
      </c>
      <c r="C11328" t="s">
        <v>35406</v>
      </c>
      <c r="D11328" t="s">
        <v>35407</v>
      </c>
      <c r="E11328" t="s">
        <v>35408</v>
      </c>
      <c r="F11328" t="s">
        <v>35409</v>
      </c>
      <c r="G11328" s="2" t="str">
        <f>HYPERLINK("https://probpalata.gov.ru/files/ИП590600075400000.jpeg","Скачать индивидуальный QR-код магазина")</f>
        <v>Скачать индивидуальный QR-код магазина</v>
      </c>
    </row>
    <row r="11329" spans="1:7" x14ac:dyDescent="0.25">
      <c r="A11329" t="s">
        <v>34710</v>
      </c>
      <c r="B11329" t="s">
        <v>35410</v>
      </c>
      <c r="C11329" t="s">
        <v>35406</v>
      </c>
      <c r="D11329" t="s">
        <v>35407</v>
      </c>
      <c r="E11329" t="s">
        <v>35408</v>
      </c>
      <c r="F11329" t="s">
        <v>35411</v>
      </c>
      <c r="G11329" s="2" t="str">
        <f>HYPERLINK("https://probpalata.gov.ru/files/ИП590600075400001.jpeg","Скачать индивидуальный QR-код магазина")</f>
        <v>Скачать индивидуальный QR-код магазина</v>
      </c>
    </row>
    <row r="11330" spans="1:7" x14ac:dyDescent="0.25">
      <c r="A11330" t="s">
        <v>34710</v>
      </c>
      <c r="B11330" t="s">
        <v>35412</v>
      </c>
      <c r="C11330" t="s">
        <v>35413</v>
      </c>
      <c r="D11330" t="s">
        <v>35414</v>
      </c>
      <c r="E11330" t="s">
        <v>35415</v>
      </c>
      <c r="F11330" t="s">
        <v>35416</v>
      </c>
      <c r="G11330" s="2" t="str">
        <f>HYPERLINK("https://probpalata.gov.ru/files/ИП590600052800000.jpeg","Скачать индивидуальный QR-код магазина")</f>
        <v>Скачать индивидуальный QR-код магазина</v>
      </c>
    </row>
    <row r="11331" spans="1:7" x14ac:dyDescent="0.25">
      <c r="A11331" t="s">
        <v>34710</v>
      </c>
      <c r="B11331" t="s">
        <v>35417</v>
      </c>
      <c r="C11331" t="s">
        <v>35418</v>
      </c>
      <c r="D11331" t="s">
        <v>35419</v>
      </c>
      <c r="E11331" t="s">
        <v>35420</v>
      </c>
      <c r="F11331" t="s">
        <v>35421</v>
      </c>
      <c r="G11331" s="2" t="str">
        <f>HYPERLINK("https://probpalata.gov.ru/files/ЮЛ590604059000000.jpeg","Скачать индивидуальный QR-код магазина")</f>
        <v>Скачать индивидуальный QR-код магазина</v>
      </c>
    </row>
    <row r="11332" spans="1:7" x14ac:dyDescent="0.25">
      <c r="A11332" t="s">
        <v>34710</v>
      </c>
      <c r="B11332" t="s">
        <v>35422</v>
      </c>
      <c r="C11332" t="s">
        <v>35423</v>
      </c>
      <c r="D11332" t="s">
        <v>35424</v>
      </c>
      <c r="E11332" t="s">
        <v>35425</v>
      </c>
      <c r="F11332" t="s">
        <v>35426</v>
      </c>
      <c r="G11332" s="2" t="str">
        <f>HYPERLINK("https://probpalata.gov.ru/files/ИП180600792600000.jpeg","Скачать индивидуальный QR-код магазина")</f>
        <v>Скачать индивидуальный QR-код магазина</v>
      </c>
    </row>
    <row r="11333" spans="1:7" x14ac:dyDescent="0.25">
      <c r="A11333" t="s">
        <v>34710</v>
      </c>
      <c r="B11333" t="s">
        <v>35427</v>
      </c>
      <c r="C11333" t="s">
        <v>35428</v>
      </c>
      <c r="D11333" t="s">
        <v>35429</v>
      </c>
      <c r="E11333" t="s">
        <v>35430</v>
      </c>
      <c r="F11333" t="s">
        <v>35431</v>
      </c>
      <c r="G11333" s="2" t="str">
        <f>HYPERLINK("https://probpalata.gov.ru/files/ИП590603199900000.jpeg","Скачать индивидуальный QR-код магазина")</f>
        <v>Скачать индивидуальный QR-код магазина</v>
      </c>
    </row>
    <row r="11334" spans="1:7" x14ac:dyDescent="0.25">
      <c r="A11334" t="s">
        <v>34710</v>
      </c>
      <c r="B11334" t="s">
        <v>35432</v>
      </c>
      <c r="C11334" t="s">
        <v>35433</v>
      </c>
      <c r="D11334" t="s">
        <v>35434</v>
      </c>
      <c r="E11334" t="s">
        <v>35435</v>
      </c>
      <c r="F11334" t="s">
        <v>35436</v>
      </c>
      <c r="G11334" s="2" t="str">
        <f>HYPERLINK("https://probpalata.gov.ru/files/ИП590601965300000.jpeg","Скачать индивидуальный QR-код магазина")</f>
        <v>Скачать индивидуальный QR-код магазина</v>
      </c>
    </row>
    <row r="11335" spans="1:7" x14ac:dyDescent="0.25">
      <c r="A11335" t="s">
        <v>34710</v>
      </c>
      <c r="B11335" t="s">
        <v>35437</v>
      </c>
      <c r="C11335" t="s">
        <v>35438</v>
      </c>
      <c r="D11335" t="s">
        <v>35439</v>
      </c>
      <c r="E11335" t="s">
        <v>35440</v>
      </c>
      <c r="F11335" t="s">
        <v>35441</v>
      </c>
      <c r="G11335" s="2" t="str">
        <f>HYPERLINK("https://probpalata.gov.ru/files/ЮЛ630603748700001.jpeg","Скачать индивидуальный QR-код магазина")</f>
        <v>Скачать индивидуальный QR-код магазина</v>
      </c>
    </row>
    <row r="11336" spans="1:7" x14ac:dyDescent="0.25">
      <c r="A11336" t="s">
        <v>34710</v>
      </c>
      <c r="B11336" t="s">
        <v>35442</v>
      </c>
      <c r="C11336" t="s">
        <v>35438</v>
      </c>
      <c r="D11336" t="s">
        <v>35439</v>
      </c>
      <c r="E11336" t="s">
        <v>35440</v>
      </c>
      <c r="F11336" t="s">
        <v>35443</v>
      </c>
      <c r="G11336" s="2" t="str">
        <f>HYPERLINK("https://probpalata.gov.ru/files/ЮЛ630603748700002.jpeg","Скачать индивидуальный QR-код магазина")</f>
        <v>Скачать индивидуальный QR-код магазина</v>
      </c>
    </row>
    <row r="11337" spans="1:7" x14ac:dyDescent="0.25">
      <c r="A11337" t="s">
        <v>34710</v>
      </c>
      <c r="B11337" t="s">
        <v>35444</v>
      </c>
      <c r="C11337" t="s">
        <v>35438</v>
      </c>
      <c r="D11337" t="s">
        <v>35439</v>
      </c>
      <c r="E11337" t="s">
        <v>35440</v>
      </c>
      <c r="F11337" t="s">
        <v>35445</v>
      </c>
      <c r="G11337" s="2" t="str">
        <f>HYPERLINK("https://probpalata.gov.ru/files/ЮЛ630603748700003.jpeg","Скачать индивидуальный QR-код магазина")</f>
        <v>Скачать индивидуальный QR-код магазина</v>
      </c>
    </row>
    <row r="11338" spans="1:7" x14ac:dyDescent="0.25">
      <c r="A11338" t="s">
        <v>34710</v>
      </c>
      <c r="B11338" t="s">
        <v>35446</v>
      </c>
      <c r="C11338" t="s">
        <v>35438</v>
      </c>
      <c r="D11338" t="s">
        <v>35439</v>
      </c>
      <c r="E11338" t="s">
        <v>35440</v>
      </c>
      <c r="F11338" t="s">
        <v>35447</v>
      </c>
      <c r="G11338" s="2" t="str">
        <f>HYPERLINK("https://probpalata.gov.ru/files/ЮЛ630603748700004.jpeg","Скачать индивидуальный QR-код магазина")</f>
        <v>Скачать индивидуальный QR-код магазина</v>
      </c>
    </row>
    <row r="11339" spans="1:7" x14ac:dyDescent="0.25">
      <c r="A11339" t="s">
        <v>34710</v>
      </c>
      <c r="B11339" t="s">
        <v>35448</v>
      </c>
      <c r="C11339" t="s">
        <v>35438</v>
      </c>
      <c r="D11339" t="s">
        <v>35439</v>
      </c>
      <c r="E11339" t="s">
        <v>35440</v>
      </c>
      <c r="F11339" t="s">
        <v>35449</v>
      </c>
      <c r="G11339" s="2" t="str">
        <f>HYPERLINK("https://probpalata.gov.ru/files/ЮЛ630603748700005.jpeg","Скачать индивидуальный QR-код магазина")</f>
        <v>Скачать индивидуальный QR-код магазина</v>
      </c>
    </row>
    <row r="11340" spans="1:7" x14ac:dyDescent="0.25">
      <c r="A11340" t="s">
        <v>34710</v>
      </c>
      <c r="B11340" t="s">
        <v>34906</v>
      </c>
      <c r="C11340" t="s">
        <v>35438</v>
      </c>
      <c r="D11340" t="s">
        <v>35439</v>
      </c>
      <c r="E11340" t="s">
        <v>35440</v>
      </c>
      <c r="F11340" t="s">
        <v>35450</v>
      </c>
      <c r="G11340" s="2" t="str">
        <f>HYPERLINK("https://probpalata.gov.ru/files/ЮЛ630603748700006.jpeg","Скачать индивидуальный QR-код магазина")</f>
        <v>Скачать индивидуальный QR-код магазина</v>
      </c>
    </row>
    <row r="11341" spans="1:7" x14ac:dyDescent="0.25">
      <c r="A11341" t="s">
        <v>34710</v>
      </c>
      <c r="B11341" t="s">
        <v>35451</v>
      </c>
      <c r="C11341" t="s">
        <v>35438</v>
      </c>
      <c r="D11341" t="s">
        <v>35439</v>
      </c>
      <c r="E11341" t="s">
        <v>35440</v>
      </c>
      <c r="F11341" t="s">
        <v>35452</v>
      </c>
      <c r="G11341" s="2" t="str">
        <f>HYPERLINK("https://probpalata.gov.ru/files/ЮЛ630603748700007.jpeg","Скачать индивидуальный QR-код магазина")</f>
        <v>Скачать индивидуальный QR-код магазина</v>
      </c>
    </row>
    <row r="11342" spans="1:7" x14ac:dyDescent="0.25">
      <c r="A11342" t="s">
        <v>34710</v>
      </c>
      <c r="B11342" t="s">
        <v>35453</v>
      </c>
      <c r="C11342" t="s">
        <v>35438</v>
      </c>
      <c r="D11342" t="s">
        <v>35439</v>
      </c>
      <c r="E11342" t="s">
        <v>35440</v>
      </c>
      <c r="F11342" t="s">
        <v>35454</v>
      </c>
      <c r="G11342" s="2" t="str">
        <f>HYPERLINK("https://probpalata.gov.ru/files/ЮЛ630603748700008.jpeg","Скачать индивидуальный QR-код магазина")</f>
        <v>Скачать индивидуальный QR-код магазина</v>
      </c>
    </row>
    <row r="11343" spans="1:7" x14ac:dyDescent="0.25">
      <c r="A11343" t="s">
        <v>34710</v>
      </c>
      <c r="B11343" t="s">
        <v>35455</v>
      </c>
      <c r="C11343" t="s">
        <v>35438</v>
      </c>
      <c r="D11343" t="s">
        <v>35439</v>
      </c>
      <c r="E11343" t="s">
        <v>35440</v>
      </c>
      <c r="F11343" t="s">
        <v>35456</v>
      </c>
      <c r="G11343" s="2" t="str">
        <f>HYPERLINK("https://probpalata.gov.ru/files/ЮЛ630603748700009.jpeg","Скачать индивидуальный QR-код магазина")</f>
        <v>Скачать индивидуальный QR-код магазина</v>
      </c>
    </row>
    <row r="11344" spans="1:7" x14ac:dyDescent="0.25">
      <c r="A11344" t="s">
        <v>34710</v>
      </c>
      <c r="B11344" t="s">
        <v>35457</v>
      </c>
      <c r="C11344" t="s">
        <v>35438</v>
      </c>
      <c r="D11344" t="s">
        <v>35439</v>
      </c>
      <c r="E11344" t="s">
        <v>35440</v>
      </c>
      <c r="F11344" t="s">
        <v>35458</v>
      </c>
      <c r="G11344" s="2" t="str">
        <f>HYPERLINK("https://probpalata.gov.ru/files/ЮЛ630603748700010.jpeg","Скачать индивидуальный QR-код магазина")</f>
        <v>Скачать индивидуальный QR-код магазина</v>
      </c>
    </row>
    <row r="11345" spans="1:7" x14ac:dyDescent="0.25">
      <c r="A11345" t="s">
        <v>34710</v>
      </c>
      <c r="B11345" t="s">
        <v>35459</v>
      </c>
      <c r="C11345" t="s">
        <v>35460</v>
      </c>
      <c r="D11345" t="s">
        <v>35461</v>
      </c>
      <c r="E11345" t="s">
        <v>35462</v>
      </c>
      <c r="F11345" t="s">
        <v>35463</v>
      </c>
      <c r="G11345" s="2" t="str">
        <f>HYPERLINK("https://probpalata.gov.ru/files/ИП590601344800000.jpeg","Скачать индивидуальный QR-код магазина")</f>
        <v>Скачать индивидуальный QR-код магазина</v>
      </c>
    </row>
    <row r="11346" spans="1:7" x14ac:dyDescent="0.25">
      <c r="A11346" t="s">
        <v>34710</v>
      </c>
      <c r="B11346" t="s">
        <v>35464</v>
      </c>
      <c r="C11346" t="s">
        <v>6178</v>
      </c>
      <c r="D11346" t="s">
        <v>6179</v>
      </c>
      <c r="E11346" t="s">
        <v>6180</v>
      </c>
      <c r="F11346" t="s">
        <v>35465</v>
      </c>
      <c r="G11346" s="2" t="str">
        <f>HYPERLINK("https://probpalata.gov.ru/files/ИП750900123200009.jpeg","Скачать индивидуальный QR-код магазина")</f>
        <v>Скачать индивидуальный QR-код магазина</v>
      </c>
    </row>
    <row r="11347" spans="1:7" x14ac:dyDescent="0.25">
      <c r="A11347" t="s">
        <v>34710</v>
      </c>
      <c r="B11347" t="s">
        <v>35464</v>
      </c>
      <c r="C11347" t="s">
        <v>35466</v>
      </c>
      <c r="D11347" t="s">
        <v>35467</v>
      </c>
      <c r="E11347" t="s">
        <v>35468</v>
      </c>
      <c r="F11347" t="s">
        <v>35469</v>
      </c>
      <c r="G11347" s="2" t="str">
        <f>HYPERLINK("https://probpalata.gov.ru/files/ЮЛ590600046800000.jpeg","Скачать индивидуальный QR-код магазина")</f>
        <v>Скачать индивидуальный QR-код магазина</v>
      </c>
    </row>
    <row r="11348" spans="1:7" x14ac:dyDescent="0.25">
      <c r="A11348" t="s">
        <v>34710</v>
      </c>
      <c r="B11348" t="s">
        <v>35470</v>
      </c>
      <c r="C11348" t="s">
        <v>1740</v>
      </c>
      <c r="D11348" t="s">
        <v>1741</v>
      </c>
      <c r="E11348" t="s">
        <v>1742</v>
      </c>
      <c r="F11348" t="s">
        <v>35471</v>
      </c>
      <c r="G11348" s="2" t="str">
        <f>HYPERLINK("https://probpalata.gov.ru/files/ЮЛ760201190700034.jpeg","Скачать индивидуальный QR-код магазина")</f>
        <v>Скачать индивидуальный QR-код магазина</v>
      </c>
    </row>
    <row r="11349" spans="1:7" x14ac:dyDescent="0.25">
      <c r="A11349" t="s">
        <v>34710</v>
      </c>
      <c r="B11349" t="s">
        <v>35472</v>
      </c>
      <c r="C11349" t="s">
        <v>713</v>
      </c>
      <c r="D11349" t="s">
        <v>714</v>
      </c>
      <c r="E11349" t="s">
        <v>715</v>
      </c>
      <c r="F11349" t="s">
        <v>35473</v>
      </c>
      <c r="G11349" s="2" t="str">
        <f>HYPERLINK("https://probpalata.gov.ru/files/ЮЛ770101216600145.jpeg","Скачать индивидуальный QR-код магазина")</f>
        <v>Скачать индивидуальный QR-код магазина</v>
      </c>
    </row>
    <row r="11350" spans="1:7" x14ac:dyDescent="0.25">
      <c r="A11350" t="s">
        <v>34710</v>
      </c>
      <c r="B11350" t="s">
        <v>35474</v>
      </c>
      <c r="C11350" t="s">
        <v>713</v>
      </c>
      <c r="D11350" t="s">
        <v>714</v>
      </c>
      <c r="E11350" t="s">
        <v>715</v>
      </c>
      <c r="F11350" t="s">
        <v>35475</v>
      </c>
      <c r="G11350" s="2" t="str">
        <f>HYPERLINK("https://probpalata.gov.ru/files/ЮЛ770101216600248.jpeg","Скачать индивидуальный QR-код магазина")</f>
        <v>Скачать индивидуальный QR-код магазина</v>
      </c>
    </row>
    <row r="11351" spans="1:7" x14ac:dyDescent="0.25">
      <c r="A11351" t="s">
        <v>34710</v>
      </c>
      <c r="B11351" t="s">
        <v>35476</v>
      </c>
      <c r="C11351" t="s">
        <v>713</v>
      </c>
      <c r="D11351" t="s">
        <v>714</v>
      </c>
      <c r="E11351" t="s">
        <v>715</v>
      </c>
      <c r="F11351" t="s">
        <v>35477</v>
      </c>
      <c r="G11351" s="2" t="str">
        <f>HYPERLINK("https://probpalata.gov.ru/files/ЮЛ770101216600302.jpeg","Скачать индивидуальный QR-код магазина")</f>
        <v>Скачать индивидуальный QR-код магазина</v>
      </c>
    </row>
    <row r="11352" spans="1:7" x14ac:dyDescent="0.25">
      <c r="A11352" t="s">
        <v>34710</v>
      </c>
      <c r="B11352" t="s">
        <v>35478</v>
      </c>
      <c r="C11352" t="s">
        <v>713</v>
      </c>
      <c r="D11352" t="s">
        <v>714</v>
      </c>
      <c r="E11352" t="s">
        <v>715</v>
      </c>
      <c r="F11352" t="s">
        <v>35479</v>
      </c>
      <c r="G11352" s="2" t="str">
        <f>HYPERLINK("https://probpalata.gov.ru/files/ЮЛ770101216600310.jpeg","Скачать индивидуальный QR-код магазина")</f>
        <v>Скачать индивидуальный QR-код магазина</v>
      </c>
    </row>
    <row r="11353" spans="1:7" x14ac:dyDescent="0.25">
      <c r="A11353" t="s">
        <v>34710</v>
      </c>
      <c r="B11353" t="s">
        <v>35480</v>
      </c>
      <c r="C11353" t="s">
        <v>713</v>
      </c>
      <c r="D11353" t="s">
        <v>714</v>
      </c>
      <c r="E11353" t="s">
        <v>715</v>
      </c>
      <c r="F11353" t="s">
        <v>35481</v>
      </c>
      <c r="G11353" s="2" t="str">
        <f>HYPERLINK("https://probpalata.gov.ru/files/ЮЛ770101216600328.jpeg","Скачать индивидуальный QR-код магазина")</f>
        <v>Скачать индивидуальный QR-код магазина</v>
      </c>
    </row>
    <row r="11354" spans="1:7" x14ac:dyDescent="0.25">
      <c r="A11354" t="s">
        <v>34710</v>
      </c>
      <c r="B11354" t="s">
        <v>35482</v>
      </c>
      <c r="C11354" t="s">
        <v>713</v>
      </c>
      <c r="D11354" t="s">
        <v>714</v>
      </c>
      <c r="E11354" t="s">
        <v>715</v>
      </c>
      <c r="F11354" t="s">
        <v>35483</v>
      </c>
      <c r="G11354" s="2" t="str">
        <f>HYPERLINK("https://probpalata.gov.ru/files/ЮЛ770101216600397.jpeg","Скачать индивидуальный QR-код магазина")</f>
        <v>Скачать индивидуальный QR-код магазина</v>
      </c>
    </row>
    <row r="11355" spans="1:7" x14ac:dyDescent="0.25">
      <c r="A11355" t="s">
        <v>34710</v>
      </c>
      <c r="B11355" t="s">
        <v>35484</v>
      </c>
      <c r="C11355" t="s">
        <v>713</v>
      </c>
      <c r="D11355" t="s">
        <v>714</v>
      </c>
      <c r="E11355" t="s">
        <v>715</v>
      </c>
      <c r="F11355" t="s">
        <v>35485</v>
      </c>
      <c r="G11355" s="2" t="str">
        <f>HYPERLINK("https://probpalata.gov.ru/files/ЮЛ770101216600467.jpeg","Скачать индивидуальный QR-код магазина")</f>
        <v>Скачать индивидуальный QR-код магазина</v>
      </c>
    </row>
    <row r="11356" spans="1:7" x14ac:dyDescent="0.25">
      <c r="A11356" t="s">
        <v>34710</v>
      </c>
      <c r="B11356" t="s">
        <v>35486</v>
      </c>
      <c r="C11356" t="s">
        <v>713</v>
      </c>
      <c r="D11356" t="s">
        <v>714</v>
      </c>
      <c r="E11356" t="s">
        <v>715</v>
      </c>
      <c r="F11356" t="s">
        <v>35487</v>
      </c>
      <c r="G11356" s="2" t="str">
        <f>HYPERLINK("https://probpalata.gov.ru/files/ЮЛ770101216600500.jpeg","Скачать индивидуальный QR-код магазина")</f>
        <v>Скачать индивидуальный QR-код магазина</v>
      </c>
    </row>
    <row r="11357" spans="1:7" x14ac:dyDescent="0.25">
      <c r="A11357" t="s">
        <v>34710</v>
      </c>
      <c r="B11357" t="s">
        <v>35488</v>
      </c>
      <c r="C11357" t="s">
        <v>713</v>
      </c>
      <c r="D11357" t="s">
        <v>714</v>
      </c>
      <c r="E11357" t="s">
        <v>715</v>
      </c>
      <c r="F11357" t="s">
        <v>35489</v>
      </c>
      <c r="G11357" s="2" t="str">
        <f>HYPERLINK("https://probpalata.gov.ru/files/ЮЛ770101216600501.jpeg","Скачать индивидуальный QR-код магазина")</f>
        <v>Скачать индивидуальный QR-код магазина</v>
      </c>
    </row>
    <row r="11358" spans="1:7" x14ac:dyDescent="0.25">
      <c r="A11358" t="s">
        <v>34710</v>
      </c>
      <c r="B11358" t="s">
        <v>35490</v>
      </c>
      <c r="C11358" t="s">
        <v>713</v>
      </c>
      <c r="D11358" t="s">
        <v>714</v>
      </c>
      <c r="E11358" t="s">
        <v>715</v>
      </c>
      <c r="F11358" t="s">
        <v>35491</v>
      </c>
      <c r="G11358" s="2" t="str">
        <f>HYPERLINK("https://probpalata.gov.ru/files/ЮЛ770101216600513.jpeg","Скачать индивидуальный QR-код магазина")</f>
        <v>Скачать индивидуальный QR-код магазина</v>
      </c>
    </row>
    <row r="11359" spans="1:7" x14ac:dyDescent="0.25">
      <c r="A11359" t="s">
        <v>34710</v>
      </c>
      <c r="B11359" t="s">
        <v>35492</v>
      </c>
      <c r="C11359" t="s">
        <v>713</v>
      </c>
      <c r="D11359" t="s">
        <v>714</v>
      </c>
      <c r="E11359" t="s">
        <v>715</v>
      </c>
      <c r="F11359" t="s">
        <v>35493</v>
      </c>
      <c r="G11359" s="2" t="str">
        <f>HYPERLINK("https://probpalata.gov.ru/files/ЮЛ770101216600522.jpeg","Скачать индивидуальный QR-код магазина")</f>
        <v>Скачать индивидуальный QR-код магазина</v>
      </c>
    </row>
    <row r="11360" spans="1:7" x14ac:dyDescent="0.25">
      <c r="A11360" t="s">
        <v>34710</v>
      </c>
      <c r="B11360" t="s">
        <v>35494</v>
      </c>
      <c r="C11360" t="s">
        <v>713</v>
      </c>
      <c r="D11360" t="s">
        <v>714</v>
      </c>
      <c r="E11360" t="s">
        <v>715</v>
      </c>
      <c r="F11360" t="s">
        <v>35495</v>
      </c>
      <c r="G11360" s="2" t="str">
        <f>HYPERLINK("https://probpalata.gov.ru/files/ЮЛ770101216600572.jpeg","Скачать индивидуальный QR-код магазина")</f>
        <v>Скачать индивидуальный QR-код магазина</v>
      </c>
    </row>
    <row r="11361" spans="1:7" x14ac:dyDescent="0.25">
      <c r="A11361" t="s">
        <v>34710</v>
      </c>
      <c r="B11361" t="s">
        <v>35496</v>
      </c>
      <c r="C11361" t="s">
        <v>713</v>
      </c>
      <c r="D11361" t="s">
        <v>714</v>
      </c>
      <c r="E11361" t="s">
        <v>715</v>
      </c>
      <c r="F11361" t="s">
        <v>35497</v>
      </c>
      <c r="G11361" s="2" t="str">
        <f>HYPERLINK("https://probpalata.gov.ru/files/ЮЛ770101216600813.jpeg","Скачать индивидуальный QR-код магазина")</f>
        <v>Скачать индивидуальный QR-код магазина</v>
      </c>
    </row>
    <row r="11362" spans="1:7" x14ac:dyDescent="0.25">
      <c r="A11362" t="s">
        <v>34710</v>
      </c>
      <c r="B11362" t="s">
        <v>35498</v>
      </c>
      <c r="C11362" t="s">
        <v>713</v>
      </c>
      <c r="D11362" t="s">
        <v>714</v>
      </c>
      <c r="E11362" t="s">
        <v>715</v>
      </c>
      <c r="F11362" t="s">
        <v>35499</v>
      </c>
      <c r="G11362" s="2" t="str">
        <f>HYPERLINK("https://probpalata.gov.ru/files/ЮЛ770101216600833.jpeg","Скачать индивидуальный QR-код магазина")</f>
        <v>Скачать индивидуальный QR-код магазина</v>
      </c>
    </row>
    <row r="11363" spans="1:7" x14ac:dyDescent="0.25">
      <c r="A11363" t="s">
        <v>34710</v>
      </c>
      <c r="B11363" t="s">
        <v>35500</v>
      </c>
      <c r="C11363" t="s">
        <v>713</v>
      </c>
      <c r="D11363" t="s">
        <v>714</v>
      </c>
      <c r="E11363" t="s">
        <v>715</v>
      </c>
      <c r="F11363" t="s">
        <v>35501</v>
      </c>
      <c r="G11363" s="2" t="str">
        <f>HYPERLINK("https://probpalata.gov.ru/files/ЮЛ770101216600883.jpeg","Скачать индивидуальный QR-код магазина")</f>
        <v>Скачать индивидуальный QR-код магазина</v>
      </c>
    </row>
    <row r="11364" spans="1:7" x14ac:dyDescent="0.25">
      <c r="A11364" t="s">
        <v>34710</v>
      </c>
      <c r="B11364" t="s">
        <v>35502</v>
      </c>
      <c r="C11364" t="s">
        <v>713</v>
      </c>
      <c r="D11364" t="s">
        <v>714</v>
      </c>
      <c r="E11364" t="s">
        <v>715</v>
      </c>
      <c r="F11364" t="s">
        <v>35503</v>
      </c>
      <c r="G11364" s="2" t="str">
        <f>HYPERLINK("https://probpalata.gov.ru/files/ЮЛ770101216600960.jpeg","Скачать индивидуальный QR-код магазина")</f>
        <v>Скачать индивидуальный QR-код магазина</v>
      </c>
    </row>
    <row r="11365" spans="1:7" x14ac:dyDescent="0.25">
      <c r="A11365" t="s">
        <v>34710</v>
      </c>
      <c r="B11365" t="s">
        <v>35504</v>
      </c>
      <c r="C11365" t="s">
        <v>7727</v>
      </c>
      <c r="D11365" t="s">
        <v>7728</v>
      </c>
      <c r="E11365" t="s">
        <v>7729</v>
      </c>
      <c r="F11365" t="s">
        <v>35505</v>
      </c>
      <c r="G11365" s="2" t="str">
        <f>HYPERLINK("https://probpalata.gov.ru/files/ЮЛ770100167700011.jpeg","Скачать индивидуальный QR-код магазина")</f>
        <v>Скачать индивидуальный QR-код магазина</v>
      </c>
    </row>
    <row r="11366" spans="1:7" x14ac:dyDescent="0.25">
      <c r="A11366" t="s">
        <v>34710</v>
      </c>
      <c r="B11366" t="s">
        <v>34755</v>
      </c>
      <c r="C11366" t="s">
        <v>1416</v>
      </c>
      <c r="D11366" t="s">
        <v>1417</v>
      </c>
      <c r="E11366" t="s">
        <v>1418</v>
      </c>
      <c r="F11366" t="s">
        <v>35506</v>
      </c>
      <c r="G11366" s="2" t="str">
        <f>HYPERLINK("https://probpalata.gov.ru/files/ЮЛ770100419400062.jpeg","Скачать индивидуальный QR-код магазина")</f>
        <v>Скачать индивидуальный QR-код магазина</v>
      </c>
    </row>
    <row r="11367" spans="1:7" x14ac:dyDescent="0.25">
      <c r="A11367" t="s">
        <v>34710</v>
      </c>
      <c r="B11367" t="s">
        <v>34818</v>
      </c>
      <c r="C11367" t="s">
        <v>1416</v>
      </c>
      <c r="D11367" t="s">
        <v>1417</v>
      </c>
      <c r="E11367" t="s">
        <v>1418</v>
      </c>
      <c r="F11367" t="s">
        <v>35507</v>
      </c>
      <c r="G11367" s="2" t="str">
        <f>HYPERLINK("https://probpalata.gov.ru/files/ЮЛ770100419400168.jpeg","Скачать индивидуальный QR-код магазина")</f>
        <v>Скачать индивидуальный QR-код магазина</v>
      </c>
    </row>
    <row r="11368" spans="1:7" x14ac:dyDescent="0.25">
      <c r="A11368" t="s">
        <v>34710</v>
      </c>
      <c r="B11368" t="s">
        <v>34759</v>
      </c>
      <c r="C11368" t="s">
        <v>1416</v>
      </c>
      <c r="D11368" t="s">
        <v>1417</v>
      </c>
      <c r="E11368" t="s">
        <v>1418</v>
      </c>
      <c r="F11368" t="s">
        <v>35508</v>
      </c>
      <c r="G11368" s="2" t="str">
        <f>HYPERLINK("https://probpalata.gov.ru/files/ЮЛ770100419400211.jpeg","Скачать индивидуальный QR-код магазина")</f>
        <v>Скачать индивидуальный QR-код магазина</v>
      </c>
    </row>
    <row r="11369" spans="1:7" x14ac:dyDescent="0.25">
      <c r="A11369" t="s">
        <v>34710</v>
      </c>
      <c r="B11369" t="s">
        <v>35509</v>
      </c>
      <c r="C11369" t="s">
        <v>1416</v>
      </c>
      <c r="D11369" t="s">
        <v>1417</v>
      </c>
      <c r="E11369" t="s">
        <v>1418</v>
      </c>
      <c r="F11369" t="s">
        <v>35510</v>
      </c>
      <c r="G11369" s="2" t="str">
        <f>HYPERLINK("https://probpalata.gov.ru/files/ЮЛ770100419400224.jpeg","Скачать индивидуальный QR-код магазина")</f>
        <v>Скачать индивидуальный QR-код магазина</v>
      </c>
    </row>
    <row r="11370" spans="1:7" x14ac:dyDescent="0.25">
      <c r="A11370" t="s">
        <v>34710</v>
      </c>
      <c r="B11370" t="s">
        <v>35511</v>
      </c>
      <c r="C11370" t="s">
        <v>748</v>
      </c>
      <c r="D11370" t="s">
        <v>749</v>
      </c>
      <c r="E11370" t="s">
        <v>750</v>
      </c>
      <c r="F11370" t="s">
        <v>35512</v>
      </c>
      <c r="G11370" s="2" t="str">
        <f>HYPERLINK("https://probpalata.gov.ru/files/ЮЛ770100193500221.jpeg","Скачать индивидуальный QR-код магазина")</f>
        <v>Скачать индивидуальный QR-код магазина</v>
      </c>
    </row>
    <row r="11371" spans="1:7" x14ac:dyDescent="0.25">
      <c r="A11371" t="s">
        <v>34710</v>
      </c>
      <c r="B11371" t="s">
        <v>35513</v>
      </c>
      <c r="C11371" t="s">
        <v>748</v>
      </c>
      <c r="D11371" t="s">
        <v>749</v>
      </c>
      <c r="E11371" t="s">
        <v>750</v>
      </c>
      <c r="F11371" t="s">
        <v>35514</v>
      </c>
      <c r="G11371" s="2" t="str">
        <f>HYPERLINK("https://probpalata.gov.ru/files/ЮЛ770100193500222.jpeg","Скачать индивидуальный QR-код магазина")</f>
        <v>Скачать индивидуальный QR-код магазина</v>
      </c>
    </row>
    <row r="11372" spans="1:7" x14ac:dyDescent="0.25">
      <c r="A11372" t="s">
        <v>34710</v>
      </c>
      <c r="B11372" t="s">
        <v>35515</v>
      </c>
      <c r="C11372" t="s">
        <v>748</v>
      </c>
      <c r="D11372" t="s">
        <v>749</v>
      </c>
      <c r="E11372" t="s">
        <v>750</v>
      </c>
      <c r="F11372" t="s">
        <v>35516</v>
      </c>
      <c r="G11372" s="2" t="str">
        <f>HYPERLINK("https://probpalata.gov.ru/files/ЮЛ770100193500224.jpeg","Скачать индивидуальный QR-код магазина")</f>
        <v>Скачать индивидуальный QR-код магазина</v>
      </c>
    </row>
    <row r="11373" spans="1:7" x14ac:dyDescent="0.25">
      <c r="A11373" t="s">
        <v>34710</v>
      </c>
      <c r="B11373" t="s">
        <v>35517</v>
      </c>
      <c r="C11373" t="s">
        <v>748</v>
      </c>
      <c r="D11373" t="s">
        <v>749</v>
      </c>
      <c r="E11373" t="s">
        <v>750</v>
      </c>
      <c r="F11373" t="s">
        <v>35518</v>
      </c>
      <c r="G11373" s="2" t="str">
        <f>HYPERLINK("https://probpalata.gov.ru/files/ЮЛ770100193500600.jpeg","Скачать индивидуальный QR-код магазина")</f>
        <v>Скачать индивидуальный QR-код магазина</v>
      </c>
    </row>
    <row r="11374" spans="1:7" x14ac:dyDescent="0.25">
      <c r="A11374" t="s">
        <v>34710</v>
      </c>
      <c r="B11374" t="s">
        <v>35519</v>
      </c>
      <c r="C11374" t="s">
        <v>748</v>
      </c>
      <c r="D11374" t="s">
        <v>749</v>
      </c>
      <c r="E11374" t="s">
        <v>750</v>
      </c>
      <c r="F11374" t="s">
        <v>35520</v>
      </c>
      <c r="G11374" s="2" t="str">
        <f>HYPERLINK("https://probpalata.gov.ru/files/ЮЛ770100193500731.jpeg","Скачать индивидуальный QR-код магазина")</f>
        <v>Скачать индивидуальный QR-код магазина</v>
      </c>
    </row>
    <row r="11375" spans="1:7" x14ac:dyDescent="0.25">
      <c r="A11375" t="s">
        <v>34710</v>
      </c>
      <c r="B11375" t="s">
        <v>35521</v>
      </c>
      <c r="C11375" t="s">
        <v>748</v>
      </c>
      <c r="D11375" t="s">
        <v>749</v>
      </c>
      <c r="E11375" t="s">
        <v>750</v>
      </c>
      <c r="F11375" t="s">
        <v>35522</v>
      </c>
      <c r="G11375" s="2" t="str">
        <f>HYPERLINK("https://probpalata.gov.ru/files/ЮЛ770100193500763.jpeg","Скачать индивидуальный QR-код магазина")</f>
        <v>Скачать индивидуальный QR-код магазина</v>
      </c>
    </row>
    <row r="11376" spans="1:7" x14ac:dyDescent="0.25">
      <c r="A11376" t="s">
        <v>34710</v>
      </c>
      <c r="B11376" t="s">
        <v>35523</v>
      </c>
      <c r="C11376" t="s">
        <v>748</v>
      </c>
      <c r="D11376" t="s">
        <v>749</v>
      </c>
      <c r="E11376" t="s">
        <v>750</v>
      </c>
      <c r="F11376" t="s">
        <v>35524</v>
      </c>
      <c r="G11376" s="2" t="str">
        <f>HYPERLINK("https://probpalata.gov.ru/files/ЮЛ770100193500773.jpeg","Скачать индивидуальный QR-код магазина")</f>
        <v>Скачать индивидуальный QR-код магазина</v>
      </c>
    </row>
    <row r="11377" spans="1:7" x14ac:dyDescent="0.25">
      <c r="A11377" t="s">
        <v>34710</v>
      </c>
      <c r="B11377" t="s">
        <v>35525</v>
      </c>
      <c r="C11377" t="s">
        <v>748</v>
      </c>
      <c r="D11377" t="s">
        <v>749</v>
      </c>
      <c r="E11377" t="s">
        <v>750</v>
      </c>
      <c r="F11377" t="s">
        <v>35526</v>
      </c>
      <c r="G11377" s="2" t="str">
        <f>HYPERLINK("https://probpalata.gov.ru/files/ЮЛ770100193500776.jpeg","Скачать индивидуальный QR-код магазина")</f>
        <v>Скачать индивидуальный QR-код магазина</v>
      </c>
    </row>
    <row r="11378" spans="1:7" x14ac:dyDescent="0.25">
      <c r="A11378" t="s">
        <v>34710</v>
      </c>
      <c r="B11378" t="s">
        <v>35527</v>
      </c>
      <c r="C11378" t="s">
        <v>748</v>
      </c>
      <c r="D11378" t="s">
        <v>749</v>
      </c>
      <c r="E11378" t="s">
        <v>750</v>
      </c>
      <c r="F11378" t="s">
        <v>35528</v>
      </c>
      <c r="G11378" s="2" t="str">
        <f>HYPERLINK("https://probpalata.gov.ru/files/ЮЛ770100193500843.jpeg","Скачать индивидуальный QR-код магазина")</f>
        <v>Скачать индивидуальный QR-код магазина</v>
      </c>
    </row>
    <row r="11379" spans="1:7" x14ac:dyDescent="0.25">
      <c r="A11379" t="s">
        <v>34710</v>
      </c>
      <c r="B11379" t="s">
        <v>35529</v>
      </c>
      <c r="C11379" t="s">
        <v>748</v>
      </c>
      <c r="D11379" t="s">
        <v>749</v>
      </c>
      <c r="E11379" t="s">
        <v>750</v>
      </c>
      <c r="F11379" t="s">
        <v>35530</v>
      </c>
      <c r="G11379" s="2" t="str">
        <f>HYPERLINK("https://probpalata.gov.ru/files/ЮЛ770100193500852.jpeg","Скачать индивидуальный QR-код магазина")</f>
        <v>Скачать индивидуальный QR-код магазина</v>
      </c>
    </row>
    <row r="11380" spans="1:7" x14ac:dyDescent="0.25">
      <c r="A11380" t="s">
        <v>34710</v>
      </c>
      <c r="B11380" t="s">
        <v>35531</v>
      </c>
      <c r="C11380" t="s">
        <v>748</v>
      </c>
      <c r="D11380" t="s">
        <v>749</v>
      </c>
      <c r="E11380" t="s">
        <v>750</v>
      </c>
      <c r="F11380" t="s">
        <v>35532</v>
      </c>
      <c r="G11380" s="2" t="str">
        <f>HYPERLINK("https://probpalata.gov.ru/files/ЮЛ770100193501134.jpeg","Скачать индивидуальный QR-код магазина")</f>
        <v>Скачать индивидуальный QR-код магазина</v>
      </c>
    </row>
    <row r="11381" spans="1:7" x14ac:dyDescent="0.25">
      <c r="A11381" t="s">
        <v>34710</v>
      </c>
      <c r="B11381" t="s">
        <v>35533</v>
      </c>
      <c r="C11381" t="s">
        <v>34068</v>
      </c>
      <c r="D11381" t="s">
        <v>34069</v>
      </c>
      <c r="E11381" t="s">
        <v>34070</v>
      </c>
      <c r="F11381" t="s">
        <v>35534</v>
      </c>
      <c r="G11381" s="2" t="str">
        <f>HYPERLINK("https://probpalata.gov.ru/files/ИП780300226000002.jpeg","Скачать индивидуальный QR-код магазина")</f>
        <v>Скачать индивидуальный QR-код магазина</v>
      </c>
    </row>
    <row r="11382" spans="1:7" x14ac:dyDescent="0.25">
      <c r="A11382" t="s">
        <v>34710</v>
      </c>
      <c r="B11382" t="s">
        <v>35535</v>
      </c>
      <c r="C11382" t="s">
        <v>34068</v>
      </c>
      <c r="D11382" t="s">
        <v>34069</v>
      </c>
      <c r="E11382" t="s">
        <v>34070</v>
      </c>
      <c r="F11382" t="s">
        <v>35536</v>
      </c>
      <c r="G11382" s="2" t="str">
        <f>HYPERLINK("https://probpalata.gov.ru/files/ИП780300226000004.jpeg","Скачать индивидуальный QR-код магазина")</f>
        <v>Скачать индивидуальный QR-код магазина</v>
      </c>
    </row>
    <row r="11383" spans="1:7" x14ac:dyDescent="0.25">
      <c r="A11383" t="s">
        <v>34710</v>
      </c>
      <c r="B11383" t="s">
        <v>35537</v>
      </c>
      <c r="C11383" t="s">
        <v>34068</v>
      </c>
      <c r="D11383" t="s">
        <v>34069</v>
      </c>
      <c r="E11383" t="s">
        <v>34070</v>
      </c>
      <c r="F11383" t="s">
        <v>35538</v>
      </c>
      <c r="G11383" s="2" t="str">
        <f>HYPERLINK("https://probpalata.gov.ru/files/ИП780300226000007.jpeg","Скачать индивидуальный QR-код магазина")</f>
        <v>Скачать индивидуальный QR-код магазина</v>
      </c>
    </row>
    <row r="11384" spans="1:7" x14ac:dyDescent="0.25">
      <c r="A11384" t="s">
        <v>34710</v>
      </c>
      <c r="B11384" t="s">
        <v>35539</v>
      </c>
      <c r="C11384" t="s">
        <v>773</v>
      </c>
      <c r="D11384" t="s">
        <v>774</v>
      </c>
      <c r="E11384" t="s">
        <v>775</v>
      </c>
      <c r="F11384" t="s">
        <v>35540</v>
      </c>
      <c r="G11384" s="2" t="str">
        <f>HYPERLINK("https://probpalata.gov.ru/files/ЮЛ780300131300430.jpeg","Скачать индивидуальный QR-код магазина")</f>
        <v>Скачать индивидуальный QR-код магазина</v>
      </c>
    </row>
    <row r="11385" spans="1:7" x14ac:dyDescent="0.25">
      <c r="A11385" t="s">
        <v>34710</v>
      </c>
      <c r="B11385" t="s">
        <v>35541</v>
      </c>
      <c r="C11385" t="s">
        <v>4077</v>
      </c>
      <c r="D11385" t="s">
        <v>4078</v>
      </c>
      <c r="E11385" t="s">
        <v>4079</v>
      </c>
      <c r="F11385" t="s">
        <v>35542</v>
      </c>
      <c r="G11385" s="2" t="str">
        <f>HYPERLINK("https://probpalata.gov.ru/files/ЮЛ780300331800048.jpeg","Скачать индивидуальный QR-код магазина")</f>
        <v>Скачать индивидуальный QR-код магазина</v>
      </c>
    </row>
    <row r="11386" spans="1:7" x14ac:dyDescent="0.25">
      <c r="A11386" t="s">
        <v>34710</v>
      </c>
      <c r="B11386" t="s">
        <v>35543</v>
      </c>
      <c r="C11386" t="s">
        <v>791</v>
      </c>
      <c r="D11386" t="s">
        <v>792</v>
      </c>
      <c r="E11386" t="s">
        <v>793</v>
      </c>
      <c r="F11386" t="s">
        <v>35544</v>
      </c>
      <c r="G11386" s="2" t="str">
        <f>HYPERLINK("https://probpalata.gov.ru/files/ЮЛ780300323500035.jpeg","Скачать индивидуальный QR-код магазина")</f>
        <v>Скачать индивидуальный QR-код магазина</v>
      </c>
    </row>
    <row r="11387" spans="1:7" x14ac:dyDescent="0.25">
      <c r="A11387" t="s">
        <v>34710</v>
      </c>
      <c r="B11387" t="s">
        <v>35545</v>
      </c>
      <c r="C11387" t="s">
        <v>791</v>
      </c>
      <c r="D11387" t="s">
        <v>792</v>
      </c>
      <c r="E11387" t="s">
        <v>793</v>
      </c>
      <c r="F11387" t="s">
        <v>35546</v>
      </c>
      <c r="G11387" s="2" t="str">
        <f>HYPERLINK("https://probpalata.gov.ru/files/ЮЛ780300323500045.jpeg","Скачать индивидуальный QR-код магазина")</f>
        <v>Скачать индивидуальный QR-код магазина</v>
      </c>
    </row>
    <row r="11388" spans="1:7" x14ac:dyDescent="0.25">
      <c r="A11388" t="s">
        <v>34710</v>
      </c>
      <c r="B11388" t="s">
        <v>35547</v>
      </c>
      <c r="C11388" t="s">
        <v>791</v>
      </c>
      <c r="D11388" t="s">
        <v>792</v>
      </c>
      <c r="E11388" t="s">
        <v>793</v>
      </c>
      <c r="F11388" t="s">
        <v>35548</v>
      </c>
      <c r="G11388" s="2" t="str">
        <f>HYPERLINK("https://probpalata.gov.ru/files/ЮЛ780300323500099.jpeg","Скачать индивидуальный QR-код магазина")</f>
        <v>Скачать индивидуальный QR-код магазина</v>
      </c>
    </row>
    <row r="11389" spans="1:7" x14ac:dyDescent="0.25">
      <c r="A11389" t="s">
        <v>34710</v>
      </c>
      <c r="B11389" t="s">
        <v>35549</v>
      </c>
      <c r="C11389" t="s">
        <v>791</v>
      </c>
      <c r="D11389" t="s">
        <v>792</v>
      </c>
      <c r="E11389" t="s">
        <v>793</v>
      </c>
      <c r="F11389" t="s">
        <v>35550</v>
      </c>
      <c r="G11389" s="2" t="str">
        <f>HYPERLINK("https://probpalata.gov.ru/files/ЮЛ780300323500100.jpeg","Скачать индивидуальный QR-код магазина")</f>
        <v>Скачать индивидуальный QR-код магазина</v>
      </c>
    </row>
    <row r="11390" spans="1:7" x14ac:dyDescent="0.25">
      <c r="A11390" t="s">
        <v>34710</v>
      </c>
      <c r="B11390" t="s">
        <v>35551</v>
      </c>
      <c r="C11390" t="s">
        <v>791</v>
      </c>
      <c r="D11390" t="s">
        <v>792</v>
      </c>
      <c r="E11390" t="s">
        <v>793</v>
      </c>
      <c r="F11390" t="s">
        <v>35552</v>
      </c>
      <c r="G11390" s="2" t="str">
        <f>HYPERLINK("https://probpalata.gov.ru/files/ЮЛ780300323500101.jpeg","Скачать индивидуальный QR-код магазина")</f>
        <v>Скачать индивидуальный QR-код магазина</v>
      </c>
    </row>
    <row r="11391" spans="1:7" x14ac:dyDescent="0.25">
      <c r="A11391" t="s">
        <v>34710</v>
      </c>
      <c r="B11391" t="s">
        <v>35553</v>
      </c>
      <c r="C11391" t="s">
        <v>791</v>
      </c>
      <c r="D11391" t="s">
        <v>792</v>
      </c>
      <c r="E11391" t="s">
        <v>793</v>
      </c>
      <c r="F11391" t="s">
        <v>35554</v>
      </c>
      <c r="G11391" s="2" t="str">
        <f>HYPERLINK("https://probpalata.gov.ru/files/ЮЛ780300323500102.jpeg","Скачать индивидуальный QR-код магазина")</f>
        <v>Скачать индивидуальный QR-код магазина</v>
      </c>
    </row>
    <row r="11392" spans="1:7" x14ac:dyDescent="0.25">
      <c r="A11392" t="s">
        <v>34710</v>
      </c>
      <c r="B11392" t="s">
        <v>35555</v>
      </c>
      <c r="C11392" t="s">
        <v>791</v>
      </c>
      <c r="D11392" t="s">
        <v>792</v>
      </c>
      <c r="E11392" t="s">
        <v>793</v>
      </c>
      <c r="F11392" t="s">
        <v>35556</v>
      </c>
      <c r="G11392" s="2" t="str">
        <f>HYPERLINK("https://probpalata.gov.ru/files/ЮЛ780300323500110.jpeg","Скачать индивидуальный QR-код магазина")</f>
        <v>Скачать индивидуальный QR-код магазина</v>
      </c>
    </row>
    <row r="11393" spans="1:7" x14ac:dyDescent="0.25">
      <c r="A11393" t="s">
        <v>34710</v>
      </c>
      <c r="B11393" t="s">
        <v>35557</v>
      </c>
      <c r="C11393" t="s">
        <v>791</v>
      </c>
      <c r="D11393" t="s">
        <v>792</v>
      </c>
      <c r="E11393" t="s">
        <v>793</v>
      </c>
      <c r="F11393" t="s">
        <v>35558</v>
      </c>
      <c r="G11393" s="2" t="str">
        <f>HYPERLINK("https://probpalata.gov.ru/files/ЮЛ780300323500111.jpeg","Скачать индивидуальный QR-код магазина")</f>
        <v>Скачать индивидуальный QR-код магазина</v>
      </c>
    </row>
    <row r="11394" spans="1:7" x14ac:dyDescent="0.25">
      <c r="A11394" t="s">
        <v>34710</v>
      </c>
      <c r="B11394" t="s">
        <v>35559</v>
      </c>
      <c r="C11394" t="s">
        <v>791</v>
      </c>
      <c r="D11394" t="s">
        <v>792</v>
      </c>
      <c r="E11394" t="s">
        <v>793</v>
      </c>
      <c r="F11394" t="s">
        <v>35560</v>
      </c>
      <c r="G11394" s="2" t="str">
        <f>HYPERLINK("https://probpalata.gov.ru/files/ЮЛ780300323500112.jpeg","Скачать индивидуальный QR-код магазина")</f>
        <v>Скачать индивидуальный QR-код магазина</v>
      </c>
    </row>
    <row r="11395" spans="1:7" x14ac:dyDescent="0.25">
      <c r="A11395" t="s">
        <v>34710</v>
      </c>
      <c r="B11395" t="s">
        <v>35446</v>
      </c>
      <c r="C11395" t="s">
        <v>791</v>
      </c>
      <c r="D11395" t="s">
        <v>792</v>
      </c>
      <c r="E11395" t="s">
        <v>793</v>
      </c>
      <c r="F11395" t="s">
        <v>35561</v>
      </c>
      <c r="G11395" s="2" t="str">
        <f>HYPERLINK("https://probpalata.gov.ru/files/ЮЛ780300323500113.jpeg","Скачать индивидуальный QR-код магазина")</f>
        <v>Скачать индивидуальный QR-код магазина</v>
      </c>
    </row>
    <row r="11396" spans="1:7" x14ac:dyDescent="0.25">
      <c r="A11396" t="s">
        <v>34710</v>
      </c>
      <c r="B11396" t="s">
        <v>35562</v>
      </c>
      <c r="C11396" t="s">
        <v>798</v>
      </c>
      <c r="D11396" t="s">
        <v>799</v>
      </c>
      <c r="E11396" t="s">
        <v>800</v>
      </c>
      <c r="F11396" t="s">
        <v>35563</v>
      </c>
      <c r="G11396" s="2" t="str">
        <f>HYPERLINK("https://probpalata.gov.ru/files/ЮЛ780300308200162.jpeg","Скачать индивидуальный QR-код магазина")</f>
        <v>Скачать индивидуальный QR-код магазина</v>
      </c>
    </row>
    <row r="11397" spans="1:7" x14ac:dyDescent="0.25">
      <c r="A11397" t="s">
        <v>34710</v>
      </c>
      <c r="B11397" t="s">
        <v>35564</v>
      </c>
      <c r="C11397" t="s">
        <v>798</v>
      </c>
      <c r="D11397" t="s">
        <v>799</v>
      </c>
      <c r="E11397" t="s">
        <v>800</v>
      </c>
      <c r="F11397" t="s">
        <v>35565</v>
      </c>
      <c r="G11397" s="2" t="str">
        <f>HYPERLINK("https://probpalata.gov.ru/files/ЮЛ780300308200172.jpeg","Скачать индивидуальный QR-код магазина")</f>
        <v>Скачать индивидуальный QR-код магазина</v>
      </c>
    </row>
    <row r="11398" spans="1:7" x14ac:dyDescent="0.25">
      <c r="A11398" t="s">
        <v>34710</v>
      </c>
      <c r="B11398" t="s">
        <v>35566</v>
      </c>
      <c r="C11398" t="s">
        <v>798</v>
      </c>
      <c r="D11398" t="s">
        <v>799</v>
      </c>
      <c r="E11398" t="s">
        <v>800</v>
      </c>
      <c r="F11398" t="s">
        <v>35567</v>
      </c>
      <c r="G11398" s="2" t="str">
        <f>HYPERLINK("https://probpalata.gov.ru/files/ЮЛ780300308200173.jpeg","Скачать индивидуальный QR-код магазина")</f>
        <v>Скачать индивидуальный QR-код магазина</v>
      </c>
    </row>
    <row r="11399" spans="1:7" x14ac:dyDescent="0.25">
      <c r="A11399" t="s">
        <v>34710</v>
      </c>
      <c r="B11399" t="s">
        <v>35568</v>
      </c>
      <c r="C11399" t="s">
        <v>798</v>
      </c>
      <c r="D11399" t="s">
        <v>799</v>
      </c>
      <c r="E11399" t="s">
        <v>800</v>
      </c>
      <c r="F11399" t="s">
        <v>35569</v>
      </c>
      <c r="G11399" s="2" t="str">
        <f>HYPERLINK("https://probpalata.gov.ru/files/ЮЛ780300308200174.jpeg","Скачать индивидуальный QR-код магазина")</f>
        <v>Скачать индивидуальный QR-код магазина</v>
      </c>
    </row>
    <row r="11400" spans="1:7" x14ac:dyDescent="0.25">
      <c r="A11400" t="s">
        <v>34710</v>
      </c>
      <c r="B11400" t="s">
        <v>35570</v>
      </c>
      <c r="C11400" t="s">
        <v>798</v>
      </c>
      <c r="D11400" t="s">
        <v>799</v>
      </c>
      <c r="E11400" t="s">
        <v>800</v>
      </c>
      <c r="F11400" t="s">
        <v>35571</v>
      </c>
      <c r="G11400" s="2" t="str">
        <f>HYPERLINK("https://probpalata.gov.ru/files/ЮЛ780300308200175.jpeg","Скачать индивидуальный QR-код магазина")</f>
        <v>Скачать индивидуальный QR-код магазина</v>
      </c>
    </row>
    <row r="11401" spans="1:7" x14ac:dyDescent="0.25">
      <c r="A11401" t="s">
        <v>34710</v>
      </c>
      <c r="B11401" t="s">
        <v>35572</v>
      </c>
      <c r="C11401" t="s">
        <v>798</v>
      </c>
      <c r="D11401" t="s">
        <v>799</v>
      </c>
      <c r="E11401" t="s">
        <v>800</v>
      </c>
      <c r="F11401" t="s">
        <v>35573</v>
      </c>
      <c r="G11401" s="2" t="str">
        <f>HYPERLINK("https://probpalata.gov.ru/files/ЮЛ780300308200222.jpeg","Скачать индивидуальный QR-код магазина")</f>
        <v>Скачать индивидуальный QR-код магазина</v>
      </c>
    </row>
    <row r="11402" spans="1:7" x14ac:dyDescent="0.25">
      <c r="A11402" t="s">
        <v>34710</v>
      </c>
      <c r="B11402" t="s">
        <v>35574</v>
      </c>
      <c r="C11402" t="s">
        <v>798</v>
      </c>
      <c r="D11402" t="s">
        <v>799</v>
      </c>
      <c r="E11402" t="s">
        <v>800</v>
      </c>
      <c r="F11402" t="s">
        <v>35575</v>
      </c>
      <c r="G11402" s="2" t="str">
        <f>HYPERLINK("https://probpalata.gov.ru/files/ЮЛ780300308200292.jpeg","Скачать индивидуальный QR-код магазина")</f>
        <v>Скачать индивидуальный QR-код магазина</v>
      </c>
    </row>
    <row r="11403" spans="1:7" x14ac:dyDescent="0.25">
      <c r="A11403" t="s">
        <v>34710</v>
      </c>
      <c r="B11403" t="s">
        <v>35576</v>
      </c>
      <c r="C11403" t="s">
        <v>798</v>
      </c>
      <c r="D11403" t="s">
        <v>799</v>
      </c>
      <c r="E11403" t="s">
        <v>800</v>
      </c>
      <c r="F11403" t="s">
        <v>35577</v>
      </c>
      <c r="G11403" s="2" t="str">
        <f>HYPERLINK("https://probpalata.gov.ru/files/ЮЛ780300308200293.jpeg","Скачать индивидуальный QR-код магазина")</f>
        <v>Скачать индивидуальный QR-код магазина</v>
      </c>
    </row>
    <row r="11404" spans="1:7" x14ac:dyDescent="0.25">
      <c r="A11404" t="s">
        <v>34710</v>
      </c>
      <c r="B11404" t="s">
        <v>35578</v>
      </c>
      <c r="C11404" t="s">
        <v>798</v>
      </c>
      <c r="D11404" t="s">
        <v>799</v>
      </c>
      <c r="E11404" t="s">
        <v>800</v>
      </c>
      <c r="F11404" t="s">
        <v>35579</v>
      </c>
      <c r="G11404" s="2" t="str">
        <f>HYPERLINK("https://probpalata.gov.ru/files/ЮЛ780300308200363.jpeg","Скачать индивидуальный QR-код магазина")</f>
        <v>Скачать индивидуальный QR-код магазина</v>
      </c>
    </row>
    <row r="11405" spans="1:7" x14ac:dyDescent="0.25">
      <c r="A11405" t="s">
        <v>34710</v>
      </c>
      <c r="B11405" t="s">
        <v>35580</v>
      </c>
      <c r="C11405" t="s">
        <v>798</v>
      </c>
      <c r="D11405" t="s">
        <v>799</v>
      </c>
      <c r="E11405" t="s">
        <v>800</v>
      </c>
      <c r="F11405" t="s">
        <v>35581</v>
      </c>
      <c r="G11405" s="2" t="str">
        <f>HYPERLINK("https://probpalata.gov.ru/files/ЮЛ780300308200378.jpeg","Скачать индивидуальный QR-код магазина")</f>
        <v>Скачать индивидуальный QR-код магазина</v>
      </c>
    </row>
    <row r="11406" spans="1:7" x14ac:dyDescent="0.25">
      <c r="A11406" t="s">
        <v>34710</v>
      </c>
      <c r="B11406" t="s">
        <v>35582</v>
      </c>
      <c r="C11406" t="s">
        <v>798</v>
      </c>
      <c r="D11406" t="s">
        <v>799</v>
      </c>
      <c r="E11406" t="s">
        <v>800</v>
      </c>
      <c r="F11406" t="s">
        <v>35583</v>
      </c>
      <c r="G11406" s="2" t="str">
        <f>HYPERLINK("https://probpalata.gov.ru/files/ЮЛ780300308200492.jpeg","Скачать индивидуальный QR-код магазина")</f>
        <v>Скачать индивидуальный QR-код магазина</v>
      </c>
    </row>
    <row r="11407" spans="1:7" x14ac:dyDescent="0.25">
      <c r="A11407" t="s">
        <v>34710</v>
      </c>
      <c r="B11407" t="s">
        <v>35559</v>
      </c>
      <c r="C11407" t="s">
        <v>798</v>
      </c>
      <c r="D11407" t="s">
        <v>799</v>
      </c>
      <c r="E11407" t="s">
        <v>800</v>
      </c>
      <c r="F11407" t="s">
        <v>35584</v>
      </c>
      <c r="G11407" s="2" t="str">
        <f>HYPERLINK("https://probpalata.gov.ru/files/ЮЛ780300308200493.jpeg","Скачать индивидуальный QR-код магазина")</f>
        <v>Скачать индивидуальный QR-код магазина</v>
      </c>
    </row>
    <row r="11408" spans="1:7" x14ac:dyDescent="0.25">
      <c r="A11408" t="s">
        <v>34710</v>
      </c>
      <c r="B11408" t="s">
        <v>35539</v>
      </c>
      <c r="C11408" t="s">
        <v>798</v>
      </c>
      <c r="D11408" t="s">
        <v>799</v>
      </c>
      <c r="E11408" t="s">
        <v>800</v>
      </c>
      <c r="F11408" t="s">
        <v>35585</v>
      </c>
      <c r="G11408" s="2" t="str">
        <f>HYPERLINK("https://probpalata.gov.ru/files/ЮЛ780300308200494.jpeg","Скачать индивидуальный QR-код магазина")</f>
        <v>Скачать индивидуальный QR-код магазина</v>
      </c>
    </row>
    <row r="11409" spans="1:7" x14ac:dyDescent="0.25">
      <c r="A11409" t="s">
        <v>34710</v>
      </c>
      <c r="B11409" t="s">
        <v>35586</v>
      </c>
      <c r="C11409" t="s">
        <v>798</v>
      </c>
      <c r="D11409" t="s">
        <v>799</v>
      </c>
      <c r="E11409" t="s">
        <v>800</v>
      </c>
      <c r="F11409" t="s">
        <v>35587</v>
      </c>
      <c r="G11409" s="2" t="str">
        <f>HYPERLINK("https://probpalata.gov.ru/files/ЮЛ780300308200764.jpeg","Скачать индивидуальный QR-код магазина")</f>
        <v>Скачать индивидуальный QR-код магазина</v>
      </c>
    </row>
    <row r="11410" spans="1:7" x14ac:dyDescent="0.25">
      <c r="A11410" t="s">
        <v>34710</v>
      </c>
      <c r="B11410" t="s">
        <v>35588</v>
      </c>
      <c r="C11410" t="s">
        <v>798</v>
      </c>
      <c r="D11410" t="s">
        <v>799</v>
      </c>
      <c r="E11410" t="s">
        <v>800</v>
      </c>
      <c r="F11410" t="s">
        <v>35589</v>
      </c>
      <c r="G11410" s="2" t="str">
        <f>HYPERLINK("https://probpalata.gov.ru/files/ЮЛ780300308200876.jpeg","Скачать индивидуальный QR-код магазина")</f>
        <v>Скачать индивидуальный QR-код магазина</v>
      </c>
    </row>
    <row r="11411" spans="1:7" x14ac:dyDescent="0.25">
      <c r="A11411" t="s">
        <v>34710</v>
      </c>
      <c r="B11411" t="s">
        <v>35590</v>
      </c>
      <c r="C11411" t="s">
        <v>798</v>
      </c>
      <c r="D11411" t="s">
        <v>799</v>
      </c>
      <c r="E11411" t="s">
        <v>800</v>
      </c>
      <c r="F11411" t="s">
        <v>35591</v>
      </c>
      <c r="G11411" s="2" t="str">
        <f>HYPERLINK("https://probpalata.gov.ru/files/ЮЛ780300308200910.jpeg","Скачать индивидуальный QR-код магазина")</f>
        <v>Скачать индивидуальный QR-код магазина</v>
      </c>
    </row>
    <row r="11412" spans="1:7" x14ac:dyDescent="0.25">
      <c r="A11412" t="s">
        <v>34710</v>
      </c>
      <c r="B11412" t="s">
        <v>35592</v>
      </c>
      <c r="C11412" t="s">
        <v>798</v>
      </c>
      <c r="D11412" t="s">
        <v>799</v>
      </c>
      <c r="E11412" t="s">
        <v>800</v>
      </c>
      <c r="F11412" t="s">
        <v>35593</v>
      </c>
      <c r="G11412" s="2" t="str">
        <f>HYPERLINK("https://probpalata.gov.ru/files/ЮЛ780300308201017.jpeg","Скачать индивидуальный QR-код магазина")</f>
        <v>Скачать индивидуальный QR-код магазина</v>
      </c>
    </row>
    <row r="11413" spans="1:7" x14ac:dyDescent="0.25">
      <c r="A11413" t="s">
        <v>34710</v>
      </c>
      <c r="B11413" t="s">
        <v>35539</v>
      </c>
      <c r="C11413" t="s">
        <v>798</v>
      </c>
      <c r="D11413" t="s">
        <v>799</v>
      </c>
      <c r="E11413" t="s">
        <v>800</v>
      </c>
      <c r="F11413" t="s">
        <v>35594</v>
      </c>
      <c r="G11413" s="2" t="str">
        <f>HYPERLINK("https://probpalata.gov.ru/files/ЮЛ780300308201246.jpeg","Скачать индивидуальный QR-код магазина")</f>
        <v>Скачать индивидуальный QR-код магазина</v>
      </c>
    </row>
    <row r="11414" spans="1:7" x14ac:dyDescent="0.25">
      <c r="A11414" t="s">
        <v>34710</v>
      </c>
      <c r="B11414" t="s">
        <v>35545</v>
      </c>
      <c r="C11414" t="s">
        <v>823</v>
      </c>
      <c r="D11414" t="s">
        <v>824</v>
      </c>
      <c r="E11414" t="s">
        <v>825</v>
      </c>
      <c r="F11414" t="s">
        <v>35595</v>
      </c>
      <c r="G11414" s="2" t="str">
        <f>HYPERLINK("https://probpalata.gov.ru/files/ЮЛ780300363500006.jpeg","Скачать индивидуальный QR-код магазина")</f>
        <v>Скачать индивидуальный QR-код магазина</v>
      </c>
    </row>
    <row r="11415" spans="1:7" x14ac:dyDescent="0.25">
      <c r="A11415" t="s">
        <v>34710</v>
      </c>
      <c r="B11415" t="s">
        <v>35543</v>
      </c>
      <c r="C11415" t="s">
        <v>823</v>
      </c>
      <c r="D11415" t="s">
        <v>824</v>
      </c>
      <c r="E11415" t="s">
        <v>825</v>
      </c>
      <c r="F11415" t="s">
        <v>35596</v>
      </c>
      <c r="G11415" s="2" t="str">
        <f>HYPERLINK("https://probpalata.gov.ru/files/ЮЛ780300363500043.jpeg","Скачать индивидуальный QR-код магазина")</f>
        <v>Скачать индивидуальный QR-код магазина</v>
      </c>
    </row>
    <row r="11416" spans="1:7" x14ac:dyDescent="0.25">
      <c r="A11416" t="s">
        <v>34710</v>
      </c>
      <c r="B11416" t="s">
        <v>35551</v>
      </c>
      <c r="C11416" t="s">
        <v>823</v>
      </c>
      <c r="D11416" t="s">
        <v>824</v>
      </c>
      <c r="E11416" t="s">
        <v>825</v>
      </c>
      <c r="F11416" t="s">
        <v>35597</v>
      </c>
      <c r="G11416" s="2" t="str">
        <f>HYPERLINK("https://probpalata.gov.ru/files/ЮЛ780300363500176.jpeg","Скачать индивидуальный QR-код магазина")</f>
        <v>Скачать индивидуальный QR-код магазина</v>
      </c>
    </row>
    <row r="11417" spans="1:7" x14ac:dyDescent="0.25">
      <c r="A11417" t="s">
        <v>34710</v>
      </c>
      <c r="B11417" t="s">
        <v>35549</v>
      </c>
      <c r="C11417" t="s">
        <v>823</v>
      </c>
      <c r="D11417" t="s">
        <v>824</v>
      </c>
      <c r="E11417" t="s">
        <v>825</v>
      </c>
      <c r="F11417" t="s">
        <v>35598</v>
      </c>
      <c r="G11417" s="2" t="str">
        <f>HYPERLINK("https://probpalata.gov.ru/files/ЮЛ780300363500177.jpeg","Скачать индивидуальный QR-код магазина")</f>
        <v>Скачать индивидуальный QR-код магазина</v>
      </c>
    </row>
    <row r="11418" spans="1:7" x14ac:dyDescent="0.25">
      <c r="A11418" t="s">
        <v>34710</v>
      </c>
      <c r="B11418" t="s">
        <v>35599</v>
      </c>
      <c r="C11418" t="s">
        <v>823</v>
      </c>
      <c r="D11418" t="s">
        <v>824</v>
      </c>
      <c r="E11418" t="s">
        <v>825</v>
      </c>
      <c r="F11418" t="s">
        <v>35600</v>
      </c>
      <c r="G11418" s="2" t="str">
        <f>HYPERLINK("https://probpalata.gov.ru/files/ЮЛ780300363500178.jpeg","Скачать индивидуальный QR-код магазина")</f>
        <v>Скачать индивидуальный QR-код магазина</v>
      </c>
    </row>
    <row r="11419" spans="1:7" x14ac:dyDescent="0.25">
      <c r="A11419" t="s">
        <v>34710</v>
      </c>
      <c r="B11419" t="s">
        <v>35559</v>
      </c>
      <c r="C11419" t="s">
        <v>823</v>
      </c>
      <c r="D11419" t="s">
        <v>824</v>
      </c>
      <c r="E11419" t="s">
        <v>825</v>
      </c>
      <c r="F11419" t="s">
        <v>35601</v>
      </c>
      <c r="G11419" s="2" t="str">
        <f>HYPERLINK("https://probpalata.gov.ru/files/ЮЛ780300363500180.jpeg","Скачать индивидуальный QR-код магазина")</f>
        <v>Скачать индивидуальный QR-код магазина</v>
      </c>
    </row>
    <row r="11420" spans="1:7" x14ac:dyDescent="0.25">
      <c r="A11420" t="s">
        <v>34710</v>
      </c>
      <c r="B11420" t="s">
        <v>35557</v>
      </c>
      <c r="C11420" t="s">
        <v>823</v>
      </c>
      <c r="D11420" t="s">
        <v>824</v>
      </c>
      <c r="E11420" t="s">
        <v>825</v>
      </c>
      <c r="F11420" t="s">
        <v>35602</v>
      </c>
      <c r="G11420" s="2" t="str">
        <f>HYPERLINK("https://probpalata.gov.ru/files/ЮЛ780300363500181.jpeg","Скачать индивидуальный QR-код магазина")</f>
        <v>Скачать индивидуальный QR-код магазина</v>
      </c>
    </row>
    <row r="11421" spans="1:7" x14ac:dyDescent="0.25">
      <c r="A11421" t="s">
        <v>34710</v>
      </c>
      <c r="B11421" t="s">
        <v>35555</v>
      </c>
      <c r="C11421" t="s">
        <v>823</v>
      </c>
      <c r="D11421" t="s">
        <v>824</v>
      </c>
      <c r="E11421" t="s">
        <v>825</v>
      </c>
      <c r="F11421" t="s">
        <v>35603</v>
      </c>
      <c r="G11421" s="2" t="str">
        <f>HYPERLINK("https://probpalata.gov.ru/files/ЮЛ780300363500183.jpeg","Скачать индивидуальный QR-код магазина")</f>
        <v>Скачать индивидуальный QR-код магазина</v>
      </c>
    </row>
    <row r="11422" spans="1:7" x14ac:dyDescent="0.25">
      <c r="A11422" t="s">
        <v>34710</v>
      </c>
      <c r="B11422" t="s">
        <v>35446</v>
      </c>
      <c r="C11422" t="s">
        <v>823</v>
      </c>
      <c r="D11422" t="s">
        <v>824</v>
      </c>
      <c r="E11422" t="s">
        <v>825</v>
      </c>
      <c r="F11422" t="s">
        <v>35604</v>
      </c>
      <c r="G11422" s="2" t="str">
        <f>HYPERLINK("https://probpalata.gov.ru/files/ЮЛ780300363500278.jpeg","Скачать индивидуальный QR-код магазина")</f>
        <v>Скачать индивидуальный QR-код магазина</v>
      </c>
    </row>
    <row r="11423" spans="1:7" x14ac:dyDescent="0.25">
      <c r="A11423" t="s">
        <v>34710</v>
      </c>
      <c r="B11423" t="s">
        <v>35182</v>
      </c>
      <c r="C11423" t="s">
        <v>823</v>
      </c>
      <c r="D11423" t="s">
        <v>824</v>
      </c>
      <c r="E11423" t="s">
        <v>825</v>
      </c>
      <c r="F11423" t="s">
        <v>35605</v>
      </c>
      <c r="G11423" s="2" t="str">
        <f>HYPERLINK("https://probpalata.gov.ru/files/ЮЛ780300363500279.jpeg","Скачать индивидуальный QR-код магазина")</f>
        <v>Скачать индивидуальный QR-код магазина</v>
      </c>
    </row>
    <row r="11424" spans="1:7" x14ac:dyDescent="0.25">
      <c r="A11424" t="s">
        <v>34710</v>
      </c>
      <c r="B11424" t="s">
        <v>35606</v>
      </c>
      <c r="C11424" t="s">
        <v>35607</v>
      </c>
      <c r="D11424" t="s">
        <v>35608</v>
      </c>
      <c r="E11424" t="s">
        <v>35609</v>
      </c>
      <c r="F11424" t="s">
        <v>35610</v>
      </c>
      <c r="G11424" s="2" t="str">
        <f>HYPERLINK("https://probpalata.gov.ru/files/ИП590601941800000.jpeg","Скачать индивидуальный QR-код магазина")</f>
        <v>Скачать индивидуальный QR-код магазина</v>
      </c>
    </row>
    <row r="11425" spans="1:7" x14ac:dyDescent="0.25">
      <c r="A11425" t="s">
        <v>34710</v>
      </c>
      <c r="B11425" t="s">
        <v>35611</v>
      </c>
      <c r="C11425" t="s">
        <v>35612</v>
      </c>
      <c r="D11425" t="s">
        <v>35613</v>
      </c>
      <c r="E11425" t="s">
        <v>35614</v>
      </c>
      <c r="F11425" t="s">
        <v>35615</v>
      </c>
      <c r="G11425" s="2" t="str">
        <f>HYPERLINK("https://probpalata.gov.ru/files/ИП590601770200000.jpeg","Скачать индивидуальный QR-код магазина")</f>
        <v>Скачать индивидуальный QR-код магазина</v>
      </c>
    </row>
    <row r="11426" spans="1:7" x14ac:dyDescent="0.25">
      <c r="A11426" t="s">
        <v>34710</v>
      </c>
      <c r="B11426" t="s">
        <v>35616</v>
      </c>
      <c r="C11426" t="s">
        <v>35612</v>
      </c>
      <c r="D11426" t="s">
        <v>35613</v>
      </c>
      <c r="E11426" t="s">
        <v>35614</v>
      </c>
      <c r="F11426" t="s">
        <v>35617</v>
      </c>
      <c r="G11426" s="2" t="str">
        <f>HYPERLINK("https://probpalata.gov.ru/files/ИП590601770200001.jpeg","Скачать индивидуальный QR-код магазина")</f>
        <v>Скачать индивидуальный QR-код магазина</v>
      </c>
    </row>
    <row r="11427" spans="1:7" x14ac:dyDescent="0.25">
      <c r="A11427" t="s">
        <v>34710</v>
      </c>
      <c r="B11427" t="s">
        <v>35618</v>
      </c>
      <c r="C11427" t="s">
        <v>1853</v>
      </c>
      <c r="D11427" t="s">
        <v>1854</v>
      </c>
      <c r="E11427" t="s">
        <v>1855</v>
      </c>
      <c r="F11427" t="s">
        <v>35619</v>
      </c>
      <c r="G11427" s="2" t="str">
        <f>HYPERLINK("https://probpalata.gov.ru/files/ЮЛ770104000500006.jpeg","Скачать индивидуальный QR-код магазина")</f>
        <v>Скачать индивидуальный QR-код магазина</v>
      </c>
    </row>
    <row r="11428" spans="1:7" x14ac:dyDescent="0.25">
      <c r="A11428" t="s">
        <v>35620</v>
      </c>
      <c r="B11428" t="s">
        <v>35621</v>
      </c>
      <c r="C11428" t="s">
        <v>35622</v>
      </c>
      <c r="D11428" t="s">
        <v>35623</v>
      </c>
      <c r="E11428" t="s">
        <v>35624</v>
      </c>
      <c r="F11428" t="s">
        <v>35625</v>
      </c>
      <c r="G11428" s="2" t="str">
        <f>HYPERLINK("https://probpalata.gov.ru/files/ЮЛ140900211300011.jpeg","Скачать индивидуальный QR-код магазина")</f>
        <v>Скачать индивидуальный QR-код магазина</v>
      </c>
    </row>
    <row r="11429" spans="1:7" x14ac:dyDescent="0.25">
      <c r="A11429" t="s">
        <v>35620</v>
      </c>
      <c r="B11429" t="s">
        <v>35626</v>
      </c>
      <c r="C11429" t="s">
        <v>35627</v>
      </c>
      <c r="D11429" t="s">
        <v>35628</v>
      </c>
      <c r="E11429" t="s">
        <v>35629</v>
      </c>
      <c r="F11429" t="s">
        <v>35630</v>
      </c>
      <c r="G11429" s="2" t="str">
        <f>HYPERLINK("https://probpalata.gov.ru/files/ИП140901657200000.jpeg","Скачать индивидуальный QR-код магазина")</f>
        <v>Скачать индивидуальный QR-код магазина</v>
      </c>
    </row>
    <row r="11430" spans="1:7" x14ac:dyDescent="0.25">
      <c r="A11430" t="s">
        <v>35620</v>
      </c>
      <c r="B11430" t="s">
        <v>35631</v>
      </c>
      <c r="C11430" t="s">
        <v>13915</v>
      </c>
      <c r="D11430" t="s">
        <v>13916</v>
      </c>
      <c r="E11430" t="s">
        <v>13917</v>
      </c>
      <c r="F11430" t="s">
        <v>35632</v>
      </c>
      <c r="G11430" s="2" t="str">
        <f>HYPERLINK("https://probpalata.gov.ru/files/ЮЛ230403096500006.jpeg","Скачать индивидуальный QR-код магазина")</f>
        <v>Скачать индивидуальный QR-код магазина</v>
      </c>
    </row>
    <row r="11431" spans="1:7" x14ac:dyDescent="0.25">
      <c r="A11431" t="s">
        <v>35620</v>
      </c>
      <c r="B11431" t="s">
        <v>35633</v>
      </c>
      <c r="C11431" t="s">
        <v>35634</v>
      </c>
      <c r="D11431" t="s">
        <v>35635</v>
      </c>
      <c r="E11431" t="s">
        <v>35636</v>
      </c>
      <c r="F11431" t="s">
        <v>35637</v>
      </c>
      <c r="G11431" s="2" t="str">
        <f>HYPERLINK("https://probpalata.gov.ru/files/ИП250900571400000.jpeg","Скачать индивидуальный QR-код магазина")</f>
        <v>Скачать индивидуальный QR-код магазина</v>
      </c>
    </row>
    <row r="11432" spans="1:7" x14ac:dyDescent="0.25">
      <c r="A11432" t="s">
        <v>35620</v>
      </c>
      <c r="B11432" t="s">
        <v>35638</v>
      </c>
      <c r="C11432" t="s">
        <v>35634</v>
      </c>
      <c r="D11432" t="s">
        <v>35635</v>
      </c>
      <c r="E11432" t="s">
        <v>35636</v>
      </c>
      <c r="F11432" t="s">
        <v>35639</v>
      </c>
      <c r="G11432" s="2" t="str">
        <f>HYPERLINK("https://probpalata.gov.ru/files/ИП250900571400002.jpeg","Скачать индивидуальный QR-код магазина")</f>
        <v>Скачать индивидуальный QR-код магазина</v>
      </c>
    </row>
    <row r="11433" spans="1:7" x14ac:dyDescent="0.25">
      <c r="A11433" t="s">
        <v>35620</v>
      </c>
      <c r="B11433" t="s">
        <v>35640</v>
      </c>
      <c r="C11433" t="s">
        <v>35634</v>
      </c>
      <c r="D11433" t="s">
        <v>35635</v>
      </c>
      <c r="E11433" t="s">
        <v>35636</v>
      </c>
      <c r="F11433" t="s">
        <v>35641</v>
      </c>
      <c r="G11433" s="2" t="str">
        <f>HYPERLINK("https://probpalata.gov.ru/files/ИП250900571400003.jpeg","Скачать индивидуальный QR-код магазина")</f>
        <v>Скачать индивидуальный QR-код магазина</v>
      </c>
    </row>
    <row r="11434" spans="1:7" x14ac:dyDescent="0.25">
      <c r="A11434" t="s">
        <v>35620</v>
      </c>
      <c r="B11434" t="s">
        <v>35642</v>
      </c>
      <c r="C11434" t="s">
        <v>35643</v>
      </c>
      <c r="D11434" t="s">
        <v>35644</v>
      </c>
      <c r="E11434" t="s">
        <v>35645</v>
      </c>
      <c r="F11434" t="s">
        <v>35646</v>
      </c>
      <c r="G11434" s="2" t="str">
        <f>HYPERLINK("https://probpalata.gov.ru/files/ИП250900791500000.jpeg","Скачать индивидуальный QR-код магазина")</f>
        <v>Скачать индивидуальный QR-код магазина</v>
      </c>
    </row>
    <row r="11435" spans="1:7" x14ac:dyDescent="0.25">
      <c r="A11435" t="s">
        <v>35620</v>
      </c>
      <c r="B11435" t="s">
        <v>35647</v>
      </c>
      <c r="C11435" t="s">
        <v>35648</v>
      </c>
      <c r="D11435" t="s">
        <v>35649</v>
      </c>
      <c r="E11435" t="s">
        <v>35650</v>
      </c>
      <c r="F11435" t="s">
        <v>35651</v>
      </c>
      <c r="G11435" s="2" t="str">
        <f>HYPERLINK("https://probpalata.gov.ru/files/ЮЛ250900912100000.jpeg","Скачать индивидуальный QR-код магазина")</f>
        <v>Скачать индивидуальный QR-код магазина</v>
      </c>
    </row>
    <row r="11436" spans="1:7" x14ac:dyDescent="0.25">
      <c r="A11436" t="s">
        <v>35620</v>
      </c>
      <c r="B11436" t="s">
        <v>35652</v>
      </c>
      <c r="C11436" t="s">
        <v>35653</v>
      </c>
      <c r="D11436" t="s">
        <v>35654</v>
      </c>
      <c r="E11436" t="s">
        <v>35655</v>
      </c>
      <c r="F11436" t="s">
        <v>35656</v>
      </c>
      <c r="G11436" s="2" t="str">
        <f>HYPERLINK("https://probpalata.gov.ru/files/ИП250901104400000.jpeg","Скачать индивидуальный QR-код магазина")</f>
        <v>Скачать индивидуальный QR-код магазина</v>
      </c>
    </row>
    <row r="11437" spans="1:7" x14ac:dyDescent="0.25">
      <c r="A11437" t="s">
        <v>35620</v>
      </c>
      <c r="B11437" t="s">
        <v>35657</v>
      </c>
      <c r="C11437" t="s">
        <v>35658</v>
      </c>
      <c r="D11437" t="s">
        <v>35659</v>
      </c>
      <c r="E11437" t="s">
        <v>35660</v>
      </c>
      <c r="F11437" t="s">
        <v>35661</v>
      </c>
      <c r="G11437" s="2" t="str">
        <f>HYPERLINK("https://probpalata.gov.ru/files/ИП250903448800000.jpeg","Скачать индивидуальный QR-код магазина")</f>
        <v>Скачать индивидуальный QR-код магазина</v>
      </c>
    </row>
    <row r="11438" spans="1:7" x14ac:dyDescent="0.25">
      <c r="A11438" t="s">
        <v>35620</v>
      </c>
      <c r="B11438" t="s">
        <v>35662</v>
      </c>
      <c r="C11438" t="s">
        <v>35663</v>
      </c>
      <c r="D11438" t="s">
        <v>35664</v>
      </c>
      <c r="E11438" t="s">
        <v>35665</v>
      </c>
      <c r="F11438" t="s">
        <v>35666</v>
      </c>
      <c r="G11438" s="2" t="str">
        <f>HYPERLINK("https://probpalata.gov.ru/files/ИП250900302700000.jpeg","Скачать индивидуальный QR-код магазина")</f>
        <v>Скачать индивидуальный QR-код магазина</v>
      </c>
    </row>
    <row r="11439" spans="1:7" x14ac:dyDescent="0.25">
      <c r="A11439" t="s">
        <v>35620</v>
      </c>
      <c r="B11439" t="s">
        <v>35667</v>
      </c>
      <c r="C11439" t="s">
        <v>35663</v>
      </c>
      <c r="D11439" t="s">
        <v>35664</v>
      </c>
      <c r="E11439" t="s">
        <v>35665</v>
      </c>
      <c r="F11439" t="s">
        <v>35668</v>
      </c>
      <c r="G11439" s="2" t="str">
        <f>HYPERLINK("https://probpalata.gov.ru/files/ИП250900302700002.jpeg","Скачать индивидуальный QR-код магазина")</f>
        <v>Скачать индивидуальный QR-код магазина</v>
      </c>
    </row>
    <row r="11440" spans="1:7" x14ac:dyDescent="0.25">
      <c r="A11440" t="s">
        <v>35620</v>
      </c>
      <c r="B11440" t="s">
        <v>35669</v>
      </c>
      <c r="C11440" t="s">
        <v>35663</v>
      </c>
      <c r="D11440" t="s">
        <v>35664</v>
      </c>
      <c r="E11440" t="s">
        <v>35665</v>
      </c>
      <c r="F11440" t="s">
        <v>35670</v>
      </c>
      <c r="G11440" s="2" t="str">
        <f>HYPERLINK("https://probpalata.gov.ru/files/ИП250900302700003.jpeg","Скачать индивидуальный QR-код магазина")</f>
        <v>Скачать индивидуальный QR-код магазина</v>
      </c>
    </row>
    <row r="11441" spans="1:7" x14ac:dyDescent="0.25">
      <c r="A11441" t="s">
        <v>35620</v>
      </c>
      <c r="B11441" t="s">
        <v>35671</v>
      </c>
      <c r="C11441" t="s">
        <v>35663</v>
      </c>
      <c r="D11441" t="s">
        <v>35664</v>
      </c>
      <c r="E11441" t="s">
        <v>35665</v>
      </c>
      <c r="F11441" t="s">
        <v>35672</v>
      </c>
      <c r="G11441" s="2" t="str">
        <f>HYPERLINK("https://probpalata.gov.ru/files/ИП250900302700004.jpeg","Скачать индивидуальный QR-код магазина")</f>
        <v>Скачать индивидуальный QR-код магазина</v>
      </c>
    </row>
    <row r="11442" spans="1:7" x14ac:dyDescent="0.25">
      <c r="A11442" t="s">
        <v>35620</v>
      </c>
      <c r="B11442" t="s">
        <v>35673</v>
      </c>
      <c r="C11442" t="s">
        <v>35663</v>
      </c>
      <c r="D11442" t="s">
        <v>35664</v>
      </c>
      <c r="E11442" t="s">
        <v>35665</v>
      </c>
      <c r="F11442" t="s">
        <v>35674</v>
      </c>
      <c r="G11442" s="2" t="str">
        <f>HYPERLINK("https://probpalata.gov.ru/files/ИП250900302700005.jpeg","Скачать индивидуальный QR-код магазина")</f>
        <v>Скачать индивидуальный QR-код магазина</v>
      </c>
    </row>
    <row r="11443" spans="1:7" x14ac:dyDescent="0.25">
      <c r="A11443" t="s">
        <v>35620</v>
      </c>
      <c r="B11443" t="s">
        <v>35675</v>
      </c>
      <c r="C11443" t="s">
        <v>35663</v>
      </c>
      <c r="D11443" t="s">
        <v>35664</v>
      </c>
      <c r="E11443" t="s">
        <v>35665</v>
      </c>
      <c r="F11443" t="s">
        <v>35676</v>
      </c>
      <c r="G11443" s="2" t="str">
        <f>HYPERLINK("https://probpalata.gov.ru/files/ИП250900302700006.jpeg","Скачать индивидуальный QR-код магазина")</f>
        <v>Скачать индивидуальный QR-код магазина</v>
      </c>
    </row>
    <row r="11444" spans="1:7" x14ac:dyDescent="0.25">
      <c r="A11444" t="s">
        <v>35620</v>
      </c>
      <c r="B11444" t="s">
        <v>35677</v>
      </c>
      <c r="C11444" t="s">
        <v>35663</v>
      </c>
      <c r="D11444" t="s">
        <v>35664</v>
      </c>
      <c r="E11444" t="s">
        <v>35665</v>
      </c>
      <c r="F11444" t="s">
        <v>35678</v>
      </c>
      <c r="G11444" s="2" t="str">
        <f>HYPERLINK("https://probpalata.gov.ru/files/ИП250900302700008.jpeg","Скачать индивидуальный QR-код магазина")</f>
        <v>Скачать индивидуальный QR-код магазина</v>
      </c>
    </row>
    <row r="11445" spans="1:7" x14ac:dyDescent="0.25">
      <c r="A11445" t="s">
        <v>35620</v>
      </c>
      <c r="B11445" t="s">
        <v>35679</v>
      </c>
      <c r="C11445" t="s">
        <v>17916</v>
      </c>
      <c r="D11445" t="s">
        <v>35680</v>
      </c>
      <c r="E11445" t="s">
        <v>35681</v>
      </c>
      <c r="F11445" t="s">
        <v>35682</v>
      </c>
      <c r="G11445" s="2" t="str">
        <f>HYPERLINK("https://probpalata.gov.ru/files/ЮЛ250900914200000.jpeg","Скачать индивидуальный QR-код магазина")</f>
        <v>Скачать индивидуальный QR-код магазина</v>
      </c>
    </row>
    <row r="11446" spans="1:7" x14ac:dyDescent="0.25">
      <c r="A11446" t="s">
        <v>35620</v>
      </c>
      <c r="B11446" t="s">
        <v>35683</v>
      </c>
      <c r="C11446" t="s">
        <v>35684</v>
      </c>
      <c r="D11446" t="s">
        <v>35685</v>
      </c>
      <c r="E11446" t="s">
        <v>35686</v>
      </c>
      <c r="F11446" t="s">
        <v>35687</v>
      </c>
      <c r="G11446" s="2" t="str">
        <f>HYPERLINK("https://probpalata.gov.ru/files/ЮЛ250900212100000.jpeg","Скачать индивидуальный QR-код магазина")</f>
        <v>Скачать индивидуальный QR-код магазина</v>
      </c>
    </row>
    <row r="11447" spans="1:7" x14ac:dyDescent="0.25">
      <c r="A11447" t="s">
        <v>35620</v>
      </c>
      <c r="B11447" t="s">
        <v>35688</v>
      </c>
      <c r="C11447" t="s">
        <v>35684</v>
      </c>
      <c r="D11447" t="s">
        <v>35685</v>
      </c>
      <c r="E11447" t="s">
        <v>35686</v>
      </c>
      <c r="F11447" t="s">
        <v>35689</v>
      </c>
      <c r="G11447" s="2" t="str">
        <f>HYPERLINK("https://probpalata.gov.ru/files/ЮЛ250900212100002.jpeg","Скачать индивидуальный QR-код магазина")</f>
        <v>Скачать индивидуальный QR-код магазина</v>
      </c>
    </row>
    <row r="11448" spans="1:7" x14ac:dyDescent="0.25">
      <c r="A11448" t="s">
        <v>35620</v>
      </c>
      <c r="B11448" t="s">
        <v>35690</v>
      </c>
      <c r="C11448" t="s">
        <v>35684</v>
      </c>
      <c r="D11448" t="s">
        <v>35685</v>
      </c>
      <c r="E11448" t="s">
        <v>35686</v>
      </c>
      <c r="F11448" t="s">
        <v>35691</v>
      </c>
      <c r="G11448" s="2" t="str">
        <f>HYPERLINK("https://probpalata.gov.ru/files/ЮЛ250900212100005.jpeg","Скачать индивидуальный QR-код магазина")</f>
        <v>Скачать индивидуальный QR-код магазина</v>
      </c>
    </row>
    <row r="11449" spans="1:7" x14ac:dyDescent="0.25">
      <c r="A11449" t="s">
        <v>35620</v>
      </c>
      <c r="B11449" t="s">
        <v>35692</v>
      </c>
      <c r="C11449" t="s">
        <v>35684</v>
      </c>
      <c r="D11449" t="s">
        <v>35685</v>
      </c>
      <c r="E11449" t="s">
        <v>35686</v>
      </c>
      <c r="F11449" t="s">
        <v>35693</v>
      </c>
      <c r="G11449" s="2" t="str">
        <f>HYPERLINK("https://probpalata.gov.ru/files/ЮЛ250900212100006.jpeg","Скачать индивидуальный QR-код магазина")</f>
        <v>Скачать индивидуальный QR-код магазина</v>
      </c>
    </row>
    <row r="11450" spans="1:7" x14ac:dyDescent="0.25">
      <c r="A11450" t="s">
        <v>35620</v>
      </c>
      <c r="B11450" t="s">
        <v>35694</v>
      </c>
      <c r="C11450" t="s">
        <v>35695</v>
      </c>
      <c r="D11450" t="s">
        <v>35696</v>
      </c>
      <c r="E11450" t="s">
        <v>35697</v>
      </c>
      <c r="F11450" t="s">
        <v>35698</v>
      </c>
      <c r="G11450" s="2" t="str">
        <f>HYPERLINK("https://probpalata.gov.ru/files/ЮЛ250900093700000.jpeg","Скачать индивидуальный QR-код магазина")</f>
        <v>Скачать индивидуальный QR-код магазина</v>
      </c>
    </row>
    <row r="11451" spans="1:7" x14ac:dyDescent="0.25">
      <c r="A11451" t="s">
        <v>35620</v>
      </c>
      <c r="B11451" t="s">
        <v>35699</v>
      </c>
      <c r="C11451" t="s">
        <v>35695</v>
      </c>
      <c r="D11451" t="s">
        <v>35696</v>
      </c>
      <c r="E11451" t="s">
        <v>35697</v>
      </c>
      <c r="F11451" t="s">
        <v>35700</v>
      </c>
      <c r="G11451" s="2" t="str">
        <f>HYPERLINK("https://probpalata.gov.ru/files/ЮЛ250900093700007.jpeg","Скачать индивидуальный QR-код магазина")</f>
        <v>Скачать индивидуальный QR-код магазина</v>
      </c>
    </row>
    <row r="11452" spans="1:7" x14ac:dyDescent="0.25">
      <c r="A11452" t="s">
        <v>35620</v>
      </c>
      <c r="B11452" t="s">
        <v>35701</v>
      </c>
      <c r="C11452" t="s">
        <v>35702</v>
      </c>
      <c r="D11452" t="s">
        <v>35703</v>
      </c>
      <c r="E11452" t="s">
        <v>35704</v>
      </c>
      <c r="F11452" t="s">
        <v>35705</v>
      </c>
      <c r="G11452" s="2" t="str">
        <f>HYPERLINK("https://probpalata.gov.ru/files/ЮЛ250900336200000.jpeg","Скачать индивидуальный QR-код магазина")</f>
        <v>Скачать индивидуальный QR-код магазина</v>
      </c>
    </row>
    <row r="11453" spans="1:7" x14ac:dyDescent="0.25">
      <c r="A11453" t="s">
        <v>35620</v>
      </c>
      <c r="B11453" t="s">
        <v>35706</v>
      </c>
      <c r="C11453" t="s">
        <v>35702</v>
      </c>
      <c r="D11453" t="s">
        <v>35703</v>
      </c>
      <c r="E11453" t="s">
        <v>35704</v>
      </c>
      <c r="F11453" t="s">
        <v>35707</v>
      </c>
      <c r="G11453" s="2" t="str">
        <f>HYPERLINK("https://probpalata.gov.ru/files/ЮЛ250900336200002.jpeg","Скачать индивидуальный QR-код магазина")</f>
        <v>Скачать индивидуальный QR-код магазина</v>
      </c>
    </row>
    <row r="11454" spans="1:7" x14ac:dyDescent="0.25">
      <c r="A11454" t="s">
        <v>35620</v>
      </c>
      <c r="B11454" t="s">
        <v>35708</v>
      </c>
      <c r="C11454" t="s">
        <v>35702</v>
      </c>
      <c r="D11454" t="s">
        <v>35703</v>
      </c>
      <c r="E11454" t="s">
        <v>35704</v>
      </c>
      <c r="F11454" t="s">
        <v>35709</v>
      </c>
      <c r="G11454" s="2" t="str">
        <f>HYPERLINK("https://probpalata.gov.ru/files/ЮЛ250900336200003.jpeg","Скачать индивидуальный QR-код магазина")</f>
        <v>Скачать индивидуальный QR-код магазина</v>
      </c>
    </row>
    <row r="11455" spans="1:7" x14ac:dyDescent="0.25">
      <c r="A11455" t="s">
        <v>35620</v>
      </c>
      <c r="B11455" t="s">
        <v>35710</v>
      </c>
      <c r="C11455" t="s">
        <v>35702</v>
      </c>
      <c r="D11455" t="s">
        <v>35703</v>
      </c>
      <c r="E11455" t="s">
        <v>35704</v>
      </c>
      <c r="F11455" t="s">
        <v>35711</v>
      </c>
      <c r="G11455" s="2" t="str">
        <f>HYPERLINK("https://probpalata.gov.ru/files/ЮЛ250900336200004.jpeg","Скачать индивидуальный QR-код магазина")</f>
        <v>Скачать индивидуальный QR-код магазина</v>
      </c>
    </row>
    <row r="11456" spans="1:7" x14ac:dyDescent="0.25">
      <c r="A11456" t="s">
        <v>35620</v>
      </c>
      <c r="B11456" t="s">
        <v>35712</v>
      </c>
      <c r="C11456" t="s">
        <v>35702</v>
      </c>
      <c r="D11456" t="s">
        <v>35703</v>
      </c>
      <c r="E11456" t="s">
        <v>35704</v>
      </c>
      <c r="F11456" t="s">
        <v>35713</v>
      </c>
      <c r="G11456" s="2" t="str">
        <f>HYPERLINK("https://probpalata.gov.ru/files/ЮЛ250900336200009.jpeg","Скачать индивидуальный QR-код магазина")</f>
        <v>Скачать индивидуальный QR-код магазина</v>
      </c>
    </row>
    <row r="11457" spans="1:7" x14ac:dyDescent="0.25">
      <c r="A11457" t="s">
        <v>35620</v>
      </c>
      <c r="B11457" t="s">
        <v>35714</v>
      </c>
      <c r="C11457" t="s">
        <v>35702</v>
      </c>
      <c r="D11457" t="s">
        <v>35703</v>
      </c>
      <c r="E11457" t="s">
        <v>35704</v>
      </c>
      <c r="F11457" t="s">
        <v>35715</v>
      </c>
      <c r="G11457" s="2" t="str">
        <f>HYPERLINK("https://probpalata.gov.ru/files/ЮЛ250900336200011.jpeg","Скачать индивидуальный QR-код магазина")</f>
        <v>Скачать индивидуальный QR-код магазина</v>
      </c>
    </row>
    <row r="11458" spans="1:7" x14ac:dyDescent="0.25">
      <c r="A11458" t="s">
        <v>35620</v>
      </c>
      <c r="B11458" t="s">
        <v>35716</v>
      </c>
      <c r="C11458" t="s">
        <v>35702</v>
      </c>
      <c r="D11458" t="s">
        <v>35703</v>
      </c>
      <c r="E11458" t="s">
        <v>35704</v>
      </c>
      <c r="F11458" t="s">
        <v>35717</v>
      </c>
      <c r="G11458" s="2" t="str">
        <f>HYPERLINK("https://probpalata.gov.ru/files/ЮЛ250900336200013.jpeg","Скачать индивидуальный QR-код магазина")</f>
        <v>Скачать индивидуальный QR-код магазина</v>
      </c>
    </row>
    <row r="11459" spans="1:7" x14ac:dyDescent="0.25">
      <c r="A11459" t="s">
        <v>35620</v>
      </c>
      <c r="B11459" t="s">
        <v>35718</v>
      </c>
      <c r="C11459" t="s">
        <v>35702</v>
      </c>
      <c r="D11459" t="s">
        <v>35703</v>
      </c>
      <c r="E11459" t="s">
        <v>35704</v>
      </c>
      <c r="F11459" t="s">
        <v>35719</v>
      </c>
      <c r="G11459" s="2" t="str">
        <f>HYPERLINK("https://probpalata.gov.ru/files/ЮЛ250900336200014.jpeg","Скачать индивидуальный QR-код магазина")</f>
        <v>Скачать индивидуальный QR-код магазина</v>
      </c>
    </row>
    <row r="11460" spans="1:7" x14ac:dyDescent="0.25">
      <c r="A11460" t="s">
        <v>35620</v>
      </c>
      <c r="B11460" t="s">
        <v>35720</v>
      </c>
      <c r="C11460" t="s">
        <v>35702</v>
      </c>
      <c r="D11460" t="s">
        <v>35703</v>
      </c>
      <c r="E11460" t="s">
        <v>35704</v>
      </c>
      <c r="F11460" t="s">
        <v>35721</v>
      </c>
      <c r="G11460" s="2" t="str">
        <f>HYPERLINK("https://probpalata.gov.ru/files/ЮЛ250900336200015.jpeg","Скачать индивидуальный QR-код магазина")</f>
        <v>Скачать индивидуальный QR-код магазина</v>
      </c>
    </row>
    <row r="11461" spans="1:7" x14ac:dyDescent="0.25">
      <c r="A11461" t="s">
        <v>35620</v>
      </c>
      <c r="B11461" t="s">
        <v>35722</v>
      </c>
      <c r="C11461" t="s">
        <v>35702</v>
      </c>
      <c r="D11461" t="s">
        <v>35703</v>
      </c>
      <c r="E11461" t="s">
        <v>35704</v>
      </c>
      <c r="F11461" t="s">
        <v>35723</v>
      </c>
      <c r="G11461" s="2" t="str">
        <f>HYPERLINK("https://probpalata.gov.ru/files/ЮЛ250900336200017.jpeg","Скачать индивидуальный QR-код магазина")</f>
        <v>Скачать индивидуальный QR-код магазина</v>
      </c>
    </row>
    <row r="11462" spans="1:7" x14ac:dyDescent="0.25">
      <c r="A11462" t="s">
        <v>35620</v>
      </c>
      <c r="B11462" t="s">
        <v>35724</v>
      </c>
      <c r="C11462" t="s">
        <v>35702</v>
      </c>
      <c r="D11462" t="s">
        <v>35703</v>
      </c>
      <c r="E11462" t="s">
        <v>35704</v>
      </c>
      <c r="F11462" t="s">
        <v>35725</v>
      </c>
      <c r="G11462" s="2" t="str">
        <f>HYPERLINK("https://probpalata.gov.ru/files/ЮЛ250900336200019.jpeg","Скачать индивидуальный QR-код магазина")</f>
        <v>Скачать индивидуальный QR-код магазина</v>
      </c>
    </row>
    <row r="11463" spans="1:7" x14ac:dyDescent="0.25">
      <c r="A11463" t="s">
        <v>35620</v>
      </c>
      <c r="B11463" t="s">
        <v>35726</v>
      </c>
      <c r="C11463" t="s">
        <v>35702</v>
      </c>
      <c r="D11463" t="s">
        <v>35703</v>
      </c>
      <c r="E11463" t="s">
        <v>35704</v>
      </c>
      <c r="F11463" t="s">
        <v>35727</v>
      </c>
      <c r="G11463" s="2" t="str">
        <f>HYPERLINK("https://probpalata.gov.ru/files/ЮЛ250900336200020.jpeg","Скачать индивидуальный QR-код магазина")</f>
        <v>Скачать индивидуальный QR-код магазина</v>
      </c>
    </row>
    <row r="11464" spans="1:7" x14ac:dyDescent="0.25">
      <c r="A11464" t="s">
        <v>35620</v>
      </c>
      <c r="B11464" t="s">
        <v>35728</v>
      </c>
      <c r="C11464" t="s">
        <v>35729</v>
      </c>
      <c r="D11464" t="s">
        <v>35730</v>
      </c>
      <c r="E11464" t="s">
        <v>35731</v>
      </c>
      <c r="F11464" t="s">
        <v>35732</v>
      </c>
      <c r="G11464" s="2" t="str">
        <f>HYPERLINK("https://probpalata.gov.ru/files/ЮЛ250901437200000.jpeg","Скачать индивидуальный QR-код магазина")</f>
        <v>Скачать индивидуальный QR-код магазина</v>
      </c>
    </row>
    <row r="11465" spans="1:7" x14ac:dyDescent="0.25">
      <c r="A11465" t="s">
        <v>35620</v>
      </c>
      <c r="B11465" t="s">
        <v>35733</v>
      </c>
      <c r="C11465" t="s">
        <v>35734</v>
      </c>
      <c r="D11465" t="s">
        <v>35735</v>
      </c>
      <c r="E11465" t="s">
        <v>35736</v>
      </c>
      <c r="F11465" t="s">
        <v>35737</v>
      </c>
      <c r="G11465" s="2" t="str">
        <f>HYPERLINK("https://probpalata.gov.ru/files/ИП250903919600000.jpeg","Скачать индивидуальный QR-код магазина")</f>
        <v>Скачать индивидуальный QR-код магазина</v>
      </c>
    </row>
    <row r="11466" spans="1:7" x14ac:dyDescent="0.25">
      <c r="A11466" t="s">
        <v>35620</v>
      </c>
      <c r="B11466" t="s">
        <v>35738</v>
      </c>
      <c r="C11466" t="s">
        <v>35739</v>
      </c>
      <c r="D11466" t="s">
        <v>35740</v>
      </c>
      <c r="E11466" t="s">
        <v>35741</v>
      </c>
      <c r="F11466" t="s">
        <v>35742</v>
      </c>
      <c r="G11466" s="2" t="str">
        <f>HYPERLINK("https://probpalata.gov.ru/files/ИП250900782200000.jpeg","Скачать индивидуальный QR-код магазина")</f>
        <v>Скачать индивидуальный QR-код магазина</v>
      </c>
    </row>
    <row r="11467" spans="1:7" x14ac:dyDescent="0.25">
      <c r="A11467" t="s">
        <v>35620</v>
      </c>
      <c r="B11467" t="s">
        <v>35743</v>
      </c>
      <c r="C11467" t="s">
        <v>35739</v>
      </c>
      <c r="D11467" t="s">
        <v>35740</v>
      </c>
      <c r="E11467" t="s">
        <v>35741</v>
      </c>
      <c r="F11467" t="s">
        <v>35744</v>
      </c>
      <c r="G11467" s="2" t="str">
        <f>HYPERLINK("https://probpalata.gov.ru/files/ИП250900782200002.jpeg","Скачать индивидуальный QR-код магазина")</f>
        <v>Скачать индивидуальный QR-код магазина</v>
      </c>
    </row>
    <row r="11468" spans="1:7" x14ac:dyDescent="0.25">
      <c r="A11468" t="s">
        <v>35620</v>
      </c>
      <c r="B11468" t="s">
        <v>35745</v>
      </c>
      <c r="C11468" t="s">
        <v>35739</v>
      </c>
      <c r="D11468" t="s">
        <v>35740</v>
      </c>
      <c r="E11468" t="s">
        <v>35741</v>
      </c>
      <c r="F11468" t="s">
        <v>35746</v>
      </c>
      <c r="G11468" s="2" t="str">
        <f>HYPERLINK("https://probpalata.gov.ru/files/ИП250900782200003.jpeg","Скачать индивидуальный QR-код магазина")</f>
        <v>Скачать индивидуальный QR-код магазина</v>
      </c>
    </row>
    <row r="11469" spans="1:7" x14ac:dyDescent="0.25">
      <c r="A11469" t="s">
        <v>35620</v>
      </c>
      <c r="B11469" t="s">
        <v>35747</v>
      </c>
      <c r="C11469" t="s">
        <v>35739</v>
      </c>
      <c r="D11469" t="s">
        <v>35740</v>
      </c>
      <c r="E11469" t="s">
        <v>35741</v>
      </c>
      <c r="F11469" t="s">
        <v>35748</v>
      </c>
      <c r="G11469" s="2" t="str">
        <f>HYPERLINK("https://probpalata.gov.ru/files/ИП250900782200008.jpeg","Скачать индивидуальный QR-код магазина")</f>
        <v>Скачать индивидуальный QR-код магазина</v>
      </c>
    </row>
    <row r="11470" spans="1:7" x14ac:dyDescent="0.25">
      <c r="A11470" t="s">
        <v>35620</v>
      </c>
      <c r="B11470" t="s">
        <v>35749</v>
      </c>
      <c r="C11470" t="s">
        <v>35750</v>
      </c>
      <c r="D11470" t="s">
        <v>35751</v>
      </c>
      <c r="E11470" t="s">
        <v>35752</v>
      </c>
      <c r="F11470" t="s">
        <v>35753</v>
      </c>
      <c r="G11470" s="2" t="str">
        <f>HYPERLINK("https://probpalata.gov.ru/files/ИП250903518700001.jpeg","Скачать индивидуальный QR-код магазина")</f>
        <v>Скачать индивидуальный QR-код магазина</v>
      </c>
    </row>
    <row r="11471" spans="1:7" x14ac:dyDescent="0.25">
      <c r="A11471" t="s">
        <v>35620</v>
      </c>
      <c r="B11471" t="s">
        <v>35754</v>
      </c>
      <c r="C11471" t="s">
        <v>35755</v>
      </c>
      <c r="D11471" t="s">
        <v>35756</v>
      </c>
      <c r="E11471" t="s">
        <v>35757</v>
      </c>
      <c r="F11471" t="s">
        <v>35758</v>
      </c>
      <c r="G11471" s="2" t="str">
        <f>HYPERLINK("https://probpalata.gov.ru/files/ИП250900341900000.jpeg","Скачать индивидуальный QR-код магазина")</f>
        <v>Скачать индивидуальный QR-код магазина</v>
      </c>
    </row>
    <row r="11472" spans="1:7" x14ac:dyDescent="0.25">
      <c r="A11472" t="s">
        <v>35620</v>
      </c>
      <c r="B11472" t="s">
        <v>35759</v>
      </c>
      <c r="C11472" t="s">
        <v>35760</v>
      </c>
      <c r="D11472" t="s">
        <v>35761</v>
      </c>
      <c r="E11472" t="s">
        <v>35762</v>
      </c>
      <c r="F11472" t="s">
        <v>35763</v>
      </c>
      <c r="G11472" s="2" t="str">
        <f>HYPERLINK("https://probpalata.gov.ru/files/ИП250900919000000.jpeg","Скачать индивидуальный QR-код магазина")</f>
        <v>Скачать индивидуальный QR-код магазина</v>
      </c>
    </row>
    <row r="11473" spans="1:7" x14ac:dyDescent="0.25">
      <c r="A11473" t="s">
        <v>35620</v>
      </c>
      <c r="B11473" t="s">
        <v>35764</v>
      </c>
      <c r="C11473" t="s">
        <v>35760</v>
      </c>
      <c r="D11473" t="s">
        <v>35761</v>
      </c>
      <c r="E11473" t="s">
        <v>35762</v>
      </c>
      <c r="F11473" t="s">
        <v>35765</v>
      </c>
      <c r="G11473" s="2" t="str">
        <f>HYPERLINK("https://probpalata.gov.ru/files/ИП250900919000005.jpeg","Скачать индивидуальный QR-код магазина")</f>
        <v>Скачать индивидуальный QR-код магазина</v>
      </c>
    </row>
    <row r="11474" spans="1:7" x14ac:dyDescent="0.25">
      <c r="A11474" t="s">
        <v>35620</v>
      </c>
      <c r="B11474" t="s">
        <v>35766</v>
      </c>
      <c r="C11474" t="s">
        <v>35760</v>
      </c>
      <c r="D11474" t="s">
        <v>35761</v>
      </c>
      <c r="E11474" t="s">
        <v>35762</v>
      </c>
      <c r="F11474" t="s">
        <v>35767</v>
      </c>
      <c r="G11474" s="2" t="str">
        <f>HYPERLINK("https://probpalata.gov.ru/files/ИП250900919000006.jpeg","Скачать индивидуальный QR-код магазина")</f>
        <v>Скачать индивидуальный QR-код магазина</v>
      </c>
    </row>
    <row r="11475" spans="1:7" x14ac:dyDescent="0.25">
      <c r="A11475" t="s">
        <v>35620</v>
      </c>
      <c r="B11475" t="s">
        <v>35768</v>
      </c>
      <c r="C11475" t="s">
        <v>35769</v>
      </c>
      <c r="D11475" t="s">
        <v>35770</v>
      </c>
      <c r="E11475" t="s">
        <v>35771</v>
      </c>
      <c r="F11475" t="s">
        <v>35772</v>
      </c>
      <c r="G11475" s="2" t="str">
        <f>HYPERLINK("https://probpalata.gov.ru/files/ИП250901022800000.jpeg","Скачать индивидуальный QR-код магазина")</f>
        <v>Скачать индивидуальный QR-код магазина</v>
      </c>
    </row>
    <row r="11476" spans="1:7" x14ac:dyDescent="0.25">
      <c r="A11476" t="s">
        <v>35620</v>
      </c>
      <c r="B11476" t="s">
        <v>35773</v>
      </c>
      <c r="C11476" t="s">
        <v>35769</v>
      </c>
      <c r="D11476" t="s">
        <v>35770</v>
      </c>
      <c r="E11476" t="s">
        <v>35771</v>
      </c>
      <c r="F11476" t="s">
        <v>35774</v>
      </c>
      <c r="G11476" s="2" t="str">
        <f>HYPERLINK("https://probpalata.gov.ru/files/ИП250901022800001.jpeg","Скачать индивидуальный QR-код магазина")</f>
        <v>Скачать индивидуальный QR-код магазина</v>
      </c>
    </row>
    <row r="11477" spans="1:7" x14ac:dyDescent="0.25">
      <c r="A11477" t="s">
        <v>35620</v>
      </c>
      <c r="B11477" t="s">
        <v>35775</v>
      </c>
      <c r="C11477" t="s">
        <v>35776</v>
      </c>
      <c r="D11477" t="s">
        <v>35777</v>
      </c>
      <c r="E11477" t="s">
        <v>35778</v>
      </c>
      <c r="F11477" t="s">
        <v>35779</v>
      </c>
      <c r="G11477" s="2" t="str">
        <f>HYPERLINK("https://probpalata.gov.ru/files/ЮЛ250900181900000.jpeg","Скачать индивидуальный QR-код магазина")</f>
        <v>Скачать индивидуальный QR-код магазина</v>
      </c>
    </row>
    <row r="11478" spans="1:7" x14ac:dyDescent="0.25">
      <c r="A11478" t="s">
        <v>35620</v>
      </c>
      <c r="B11478" t="s">
        <v>35780</v>
      </c>
      <c r="C11478" t="s">
        <v>35781</v>
      </c>
      <c r="D11478" t="s">
        <v>35782</v>
      </c>
      <c r="E11478" t="s">
        <v>35783</v>
      </c>
      <c r="F11478" t="s">
        <v>35784</v>
      </c>
      <c r="G11478" s="2" t="str">
        <f>HYPERLINK("https://probpalata.gov.ru/files/ИП250901095100000.jpeg","Скачать индивидуальный QR-код магазина")</f>
        <v>Скачать индивидуальный QR-код магазина</v>
      </c>
    </row>
    <row r="11479" spans="1:7" x14ac:dyDescent="0.25">
      <c r="A11479" t="s">
        <v>35620</v>
      </c>
      <c r="B11479" t="s">
        <v>35785</v>
      </c>
      <c r="C11479" t="s">
        <v>35786</v>
      </c>
      <c r="D11479" t="s">
        <v>35787</v>
      </c>
      <c r="E11479" t="s">
        <v>35788</v>
      </c>
      <c r="F11479" t="s">
        <v>35789</v>
      </c>
      <c r="G11479" s="2" t="str">
        <f>HYPERLINK("https://probpalata.gov.ru/files/ИП250900346300000.jpeg","Скачать индивидуальный QR-код магазина")</f>
        <v>Скачать индивидуальный QR-код магазина</v>
      </c>
    </row>
    <row r="11480" spans="1:7" x14ac:dyDescent="0.25">
      <c r="A11480" t="s">
        <v>35620</v>
      </c>
      <c r="B11480" t="s">
        <v>35790</v>
      </c>
      <c r="C11480" t="s">
        <v>35791</v>
      </c>
      <c r="D11480" t="s">
        <v>35792</v>
      </c>
      <c r="E11480" t="s">
        <v>35793</v>
      </c>
      <c r="F11480" t="s">
        <v>35794</v>
      </c>
      <c r="G11480" s="2" t="str">
        <f>HYPERLINK("https://probpalata.gov.ru/files/ИП250901103500000.jpeg","Скачать индивидуальный QR-код магазина")</f>
        <v>Скачать индивидуальный QR-код магазина</v>
      </c>
    </row>
    <row r="11481" spans="1:7" x14ac:dyDescent="0.25">
      <c r="A11481" t="s">
        <v>35620</v>
      </c>
      <c r="B11481" t="s">
        <v>35795</v>
      </c>
      <c r="C11481" t="s">
        <v>35791</v>
      </c>
      <c r="D11481" t="s">
        <v>35792</v>
      </c>
      <c r="E11481" t="s">
        <v>35793</v>
      </c>
      <c r="F11481" t="s">
        <v>35796</v>
      </c>
      <c r="G11481" s="2" t="str">
        <f>HYPERLINK("https://probpalata.gov.ru/files/ИП250901103500001.jpeg","Скачать индивидуальный QR-код магазина")</f>
        <v>Скачать индивидуальный QR-код магазина</v>
      </c>
    </row>
    <row r="11482" spans="1:7" x14ac:dyDescent="0.25">
      <c r="A11482" t="s">
        <v>35620</v>
      </c>
      <c r="B11482" t="s">
        <v>35797</v>
      </c>
      <c r="C11482" t="s">
        <v>35798</v>
      </c>
      <c r="D11482" t="s">
        <v>35799</v>
      </c>
      <c r="E11482" t="s">
        <v>35800</v>
      </c>
      <c r="F11482" t="s">
        <v>35801</v>
      </c>
      <c r="G11482" s="2" t="str">
        <f>HYPERLINK("https://probpalata.gov.ru/files/ЮЛ250900285300000.jpeg","Скачать индивидуальный QR-код магазина")</f>
        <v>Скачать индивидуальный QR-код магазина</v>
      </c>
    </row>
    <row r="11483" spans="1:7" x14ac:dyDescent="0.25">
      <c r="A11483" t="s">
        <v>35620</v>
      </c>
      <c r="B11483" t="s">
        <v>35802</v>
      </c>
      <c r="C11483" t="s">
        <v>35803</v>
      </c>
      <c r="D11483" t="s">
        <v>35804</v>
      </c>
      <c r="E11483" t="s">
        <v>35805</v>
      </c>
      <c r="F11483" t="s">
        <v>35806</v>
      </c>
      <c r="G11483" s="2" t="str">
        <f>HYPERLINK("https://probpalata.gov.ru/files/ИП250901212600000.jpeg","Скачать индивидуальный QR-код магазина")</f>
        <v>Скачать индивидуальный QR-код магазина</v>
      </c>
    </row>
    <row r="11484" spans="1:7" x14ac:dyDescent="0.25">
      <c r="A11484" t="s">
        <v>35620</v>
      </c>
      <c r="B11484" t="s">
        <v>35807</v>
      </c>
      <c r="C11484" t="s">
        <v>35803</v>
      </c>
      <c r="D11484" t="s">
        <v>35804</v>
      </c>
      <c r="E11484" t="s">
        <v>35805</v>
      </c>
      <c r="F11484" t="s">
        <v>35808</v>
      </c>
      <c r="G11484" s="2" t="str">
        <f>HYPERLINK("https://probpalata.gov.ru/files/ИП250901212600003.jpeg","Скачать индивидуальный QR-код магазина")</f>
        <v>Скачать индивидуальный QR-код магазина</v>
      </c>
    </row>
    <row r="11485" spans="1:7" x14ac:dyDescent="0.25">
      <c r="A11485" t="s">
        <v>35620</v>
      </c>
      <c r="B11485" t="s">
        <v>35809</v>
      </c>
      <c r="C11485" t="s">
        <v>35803</v>
      </c>
      <c r="D11485" t="s">
        <v>35804</v>
      </c>
      <c r="E11485" t="s">
        <v>35805</v>
      </c>
      <c r="F11485" t="s">
        <v>35810</v>
      </c>
      <c r="G11485" s="2" t="str">
        <f>HYPERLINK("https://probpalata.gov.ru/files/ИП250901212600004.jpeg","Скачать индивидуальный QR-код магазина")</f>
        <v>Скачать индивидуальный QR-код магазина</v>
      </c>
    </row>
    <row r="11486" spans="1:7" x14ac:dyDescent="0.25">
      <c r="A11486" t="s">
        <v>35620</v>
      </c>
      <c r="B11486" t="s">
        <v>35811</v>
      </c>
      <c r="C11486" t="s">
        <v>35812</v>
      </c>
      <c r="D11486" t="s">
        <v>35813</v>
      </c>
      <c r="E11486" t="s">
        <v>35814</v>
      </c>
      <c r="F11486" t="s">
        <v>35815</v>
      </c>
      <c r="G11486" s="2" t="str">
        <f>HYPERLINK("https://probpalata.gov.ru/files/ИП250903717300000.jpeg","Скачать индивидуальный QR-код магазина")</f>
        <v>Скачать индивидуальный QR-код магазина</v>
      </c>
    </row>
    <row r="11487" spans="1:7" x14ac:dyDescent="0.25">
      <c r="A11487" t="s">
        <v>35620</v>
      </c>
      <c r="B11487" t="s">
        <v>35816</v>
      </c>
      <c r="C11487" t="s">
        <v>35812</v>
      </c>
      <c r="D11487" t="s">
        <v>35813</v>
      </c>
      <c r="E11487" t="s">
        <v>35814</v>
      </c>
      <c r="F11487" t="s">
        <v>35817</v>
      </c>
      <c r="G11487" s="2" t="str">
        <f>HYPERLINK("https://probpalata.gov.ru/files/ИП250903717300003.jpeg","Скачать индивидуальный QR-код магазина")</f>
        <v>Скачать индивидуальный QR-код магазина</v>
      </c>
    </row>
    <row r="11488" spans="1:7" x14ac:dyDescent="0.25">
      <c r="A11488" t="s">
        <v>35620</v>
      </c>
      <c r="B11488" t="s">
        <v>35818</v>
      </c>
      <c r="C11488" t="s">
        <v>35812</v>
      </c>
      <c r="D11488" t="s">
        <v>35813</v>
      </c>
      <c r="E11488" t="s">
        <v>35814</v>
      </c>
      <c r="F11488" t="s">
        <v>35819</v>
      </c>
      <c r="G11488" s="2" t="str">
        <f>HYPERLINK("https://probpalata.gov.ru/files/ИП250903717300004.jpeg","Скачать индивидуальный QR-код магазина")</f>
        <v>Скачать индивидуальный QR-код магазина</v>
      </c>
    </row>
    <row r="11489" spans="1:7" x14ac:dyDescent="0.25">
      <c r="A11489" t="s">
        <v>35620</v>
      </c>
      <c r="B11489" t="s">
        <v>35820</v>
      </c>
      <c r="C11489" t="s">
        <v>35821</v>
      </c>
      <c r="D11489" t="s">
        <v>35822</v>
      </c>
      <c r="E11489" t="s">
        <v>35823</v>
      </c>
      <c r="F11489" t="s">
        <v>35824</v>
      </c>
      <c r="G11489" s="2" t="str">
        <f>HYPERLINK("https://probpalata.gov.ru/files/ИП250901701400000.jpeg","Скачать индивидуальный QR-код магазина")</f>
        <v>Скачать индивидуальный QR-код магазина</v>
      </c>
    </row>
    <row r="11490" spans="1:7" x14ac:dyDescent="0.25">
      <c r="A11490" t="s">
        <v>35620</v>
      </c>
      <c r="B11490" t="s">
        <v>35811</v>
      </c>
      <c r="C11490" t="s">
        <v>2481</v>
      </c>
      <c r="D11490" t="s">
        <v>35825</v>
      </c>
      <c r="E11490" t="s">
        <v>35826</v>
      </c>
      <c r="F11490" t="s">
        <v>35827</v>
      </c>
      <c r="G11490" s="2" t="str">
        <f>HYPERLINK("https://probpalata.gov.ru/files/ЮЛ250900838900000.jpeg","Скачать индивидуальный QR-код магазина")</f>
        <v>Скачать индивидуальный QR-код магазина</v>
      </c>
    </row>
    <row r="11491" spans="1:7" x14ac:dyDescent="0.25">
      <c r="A11491" t="s">
        <v>35620</v>
      </c>
      <c r="B11491" t="s">
        <v>35818</v>
      </c>
      <c r="C11491" t="s">
        <v>2481</v>
      </c>
      <c r="D11491" t="s">
        <v>35825</v>
      </c>
      <c r="E11491" t="s">
        <v>35826</v>
      </c>
      <c r="F11491" t="s">
        <v>35828</v>
      </c>
      <c r="G11491" s="2" t="str">
        <f>HYPERLINK("https://probpalata.gov.ru/files/ЮЛ250900838900001.jpeg","Скачать индивидуальный QR-код магазина")</f>
        <v>Скачать индивидуальный QR-код магазина</v>
      </c>
    </row>
    <row r="11492" spans="1:7" x14ac:dyDescent="0.25">
      <c r="A11492" t="s">
        <v>35620</v>
      </c>
      <c r="B11492" t="s">
        <v>35829</v>
      </c>
      <c r="C11492" t="s">
        <v>2481</v>
      </c>
      <c r="D11492" t="s">
        <v>35825</v>
      </c>
      <c r="E11492" t="s">
        <v>35826</v>
      </c>
      <c r="F11492" t="s">
        <v>35830</v>
      </c>
      <c r="G11492" s="2" t="str">
        <f>HYPERLINK("https://probpalata.gov.ru/files/ЮЛ250900838900003.jpeg","Скачать индивидуальный QR-код магазина")</f>
        <v>Скачать индивидуальный QR-код магазина</v>
      </c>
    </row>
    <row r="11493" spans="1:7" x14ac:dyDescent="0.25">
      <c r="A11493" t="s">
        <v>35620</v>
      </c>
      <c r="B11493" t="s">
        <v>35831</v>
      </c>
      <c r="C11493" t="s">
        <v>35832</v>
      </c>
      <c r="D11493" t="s">
        <v>35833</v>
      </c>
      <c r="E11493" t="s">
        <v>35834</v>
      </c>
      <c r="F11493" t="s">
        <v>35835</v>
      </c>
      <c r="G11493" s="2" t="str">
        <f>HYPERLINK("https://probpalata.gov.ru/files/ИП250900213500000.jpeg","Скачать индивидуальный QR-код магазина")</f>
        <v>Скачать индивидуальный QR-код магазина</v>
      </c>
    </row>
    <row r="11494" spans="1:7" x14ac:dyDescent="0.25">
      <c r="A11494" t="s">
        <v>35620</v>
      </c>
      <c r="B11494" t="s">
        <v>35836</v>
      </c>
      <c r="C11494" t="s">
        <v>35837</v>
      </c>
      <c r="D11494" t="s">
        <v>35838</v>
      </c>
      <c r="E11494" t="s">
        <v>35839</v>
      </c>
      <c r="F11494" t="s">
        <v>35840</v>
      </c>
      <c r="G11494" s="2" t="str">
        <f>HYPERLINK("https://probpalata.gov.ru/files/ИП250900228300000.jpeg","Скачать индивидуальный QR-код магазина")</f>
        <v>Скачать индивидуальный QR-код магазина</v>
      </c>
    </row>
    <row r="11495" spans="1:7" x14ac:dyDescent="0.25">
      <c r="A11495" t="s">
        <v>35620</v>
      </c>
      <c r="B11495" t="s">
        <v>35841</v>
      </c>
      <c r="C11495" t="s">
        <v>35648</v>
      </c>
      <c r="D11495" t="s">
        <v>35842</v>
      </c>
      <c r="E11495" t="s">
        <v>35843</v>
      </c>
      <c r="F11495" t="s">
        <v>35844</v>
      </c>
      <c r="G11495" s="2" t="str">
        <f>HYPERLINK("https://probpalata.gov.ru/files/ЮЛ250900338700001.jpeg","Скачать индивидуальный QR-код магазина")</f>
        <v>Скачать индивидуальный QR-код магазина</v>
      </c>
    </row>
    <row r="11496" spans="1:7" x14ac:dyDescent="0.25">
      <c r="A11496" t="s">
        <v>35620</v>
      </c>
      <c r="B11496" t="s">
        <v>35845</v>
      </c>
      <c r="C11496" t="s">
        <v>35648</v>
      </c>
      <c r="D11496" t="s">
        <v>35842</v>
      </c>
      <c r="E11496" t="s">
        <v>35843</v>
      </c>
      <c r="F11496" t="s">
        <v>35846</v>
      </c>
      <c r="G11496" s="2" t="str">
        <f>HYPERLINK("https://probpalata.gov.ru/files/ЮЛ250900338700006.jpeg","Скачать индивидуальный QR-код магазина")</f>
        <v>Скачать индивидуальный QR-код магазина</v>
      </c>
    </row>
    <row r="11497" spans="1:7" x14ac:dyDescent="0.25">
      <c r="A11497" t="s">
        <v>35620</v>
      </c>
      <c r="B11497" t="s">
        <v>35847</v>
      </c>
      <c r="C11497" t="s">
        <v>35848</v>
      </c>
      <c r="D11497" t="s">
        <v>35849</v>
      </c>
      <c r="E11497" t="s">
        <v>35850</v>
      </c>
      <c r="F11497" t="s">
        <v>35851</v>
      </c>
      <c r="G11497" s="2" t="str">
        <f>HYPERLINK("https://probpalata.gov.ru/files/ИП250901991300000.jpeg","Скачать индивидуальный QR-код магазина")</f>
        <v>Скачать индивидуальный QR-код магазина</v>
      </c>
    </row>
    <row r="11498" spans="1:7" x14ac:dyDescent="0.25">
      <c r="A11498" t="s">
        <v>35620</v>
      </c>
      <c r="B11498" t="s">
        <v>35829</v>
      </c>
      <c r="C11498" t="s">
        <v>35848</v>
      </c>
      <c r="D11498" t="s">
        <v>35849</v>
      </c>
      <c r="E11498" t="s">
        <v>35850</v>
      </c>
      <c r="F11498" t="s">
        <v>35852</v>
      </c>
      <c r="G11498" s="2" t="str">
        <f>HYPERLINK("https://probpalata.gov.ru/files/ИП250901991300001.jpeg","Скачать индивидуальный QR-код магазина")</f>
        <v>Скачать индивидуальный QR-код магазина</v>
      </c>
    </row>
    <row r="11499" spans="1:7" x14ac:dyDescent="0.25">
      <c r="A11499" t="s">
        <v>35620</v>
      </c>
      <c r="B11499" t="s">
        <v>35853</v>
      </c>
      <c r="C11499" t="s">
        <v>35848</v>
      </c>
      <c r="D11499" t="s">
        <v>35849</v>
      </c>
      <c r="E11499" t="s">
        <v>35850</v>
      </c>
      <c r="F11499" t="s">
        <v>35854</v>
      </c>
      <c r="G11499" s="2" t="str">
        <f>HYPERLINK("https://probpalata.gov.ru/files/ИП250901991300002.jpeg","Скачать индивидуальный QR-код магазина")</f>
        <v>Скачать индивидуальный QR-код магазина</v>
      </c>
    </row>
    <row r="11500" spans="1:7" x14ac:dyDescent="0.25">
      <c r="A11500" t="s">
        <v>35620</v>
      </c>
      <c r="B11500" t="s">
        <v>35855</v>
      </c>
      <c r="C11500" t="s">
        <v>35848</v>
      </c>
      <c r="D11500" t="s">
        <v>35849</v>
      </c>
      <c r="E11500" t="s">
        <v>35850</v>
      </c>
      <c r="F11500" t="s">
        <v>35856</v>
      </c>
      <c r="G11500" s="2" t="str">
        <f>HYPERLINK("https://probpalata.gov.ru/files/ИП250901991300004.jpeg","Скачать индивидуальный QR-код магазина")</f>
        <v>Скачать индивидуальный QR-код магазина</v>
      </c>
    </row>
    <row r="11501" spans="1:7" x14ac:dyDescent="0.25">
      <c r="A11501" t="s">
        <v>35620</v>
      </c>
      <c r="B11501" t="s">
        <v>35857</v>
      </c>
      <c r="C11501" t="s">
        <v>35848</v>
      </c>
      <c r="D11501" t="s">
        <v>35849</v>
      </c>
      <c r="E11501" t="s">
        <v>35850</v>
      </c>
      <c r="F11501" t="s">
        <v>35858</v>
      </c>
      <c r="G11501" s="2" t="str">
        <f>HYPERLINK("https://probpalata.gov.ru/files/ИП250901991300005.jpeg","Скачать индивидуальный QR-код магазина")</f>
        <v>Скачать индивидуальный QR-код магазина</v>
      </c>
    </row>
    <row r="11502" spans="1:7" x14ac:dyDescent="0.25">
      <c r="A11502" t="s">
        <v>35620</v>
      </c>
      <c r="B11502" t="s">
        <v>35859</v>
      </c>
      <c r="C11502" t="s">
        <v>35860</v>
      </c>
      <c r="D11502" t="s">
        <v>35861</v>
      </c>
      <c r="E11502" t="s">
        <v>35862</v>
      </c>
      <c r="F11502" t="s">
        <v>35863</v>
      </c>
      <c r="G11502" s="2" t="str">
        <f>HYPERLINK("https://probpalata.gov.ru/files/ИП250900284300000.jpeg","Скачать индивидуальный QR-код магазина")</f>
        <v>Скачать индивидуальный QR-код магазина</v>
      </c>
    </row>
    <row r="11503" spans="1:7" x14ac:dyDescent="0.25">
      <c r="A11503" t="s">
        <v>35620</v>
      </c>
      <c r="B11503" t="s">
        <v>35864</v>
      </c>
      <c r="C11503" t="s">
        <v>35860</v>
      </c>
      <c r="D11503" t="s">
        <v>35861</v>
      </c>
      <c r="E11503" t="s">
        <v>35862</v>
      </c>
      <c r="F11503" t="s">
        <v>35865</v>
      </c>
      <c r="G11503" s="2" t="str">
        <f>HYPERLINK("https://probpalata.gov.ru/files/ИП250900284300001.jpeg","Скачать индивидуальный QR-код магазина")</f>
        <v>Скачать индивидуальный QR-код магазина</v>
      </c>
    </row>
    <row r="11504" spans="1:7" x14ac:dyDescent="0.25">
      <c r="A11504" t="s">
        <v>35620</v>
      </c>
      <c r="B11504" t="s">
        <v>35866</v>
      </c>
      <c r="C11504" t="s">
        <v>35867</v>
      </c>
      <c r="D11504" t="s">
        <v>35868</v>
      </c>
      <c r="E11504" t="s">
        <v>35869</v>
      </c>
      <c r="F11504" t="s">
        <v>35870</v>
      </c>
      <c r="G11504" s="2" t="str">
        <f>HYPERLINK("https://probpalata.gov.ru/files/ИП250900071500000.jpeg","Скачать индивидуальный QR-код магазина")</f>
        <v>Скачать индивидуальный QR-код магазина</v>
      </c>
    </row>
    <row r="11505" spans="1:7" x14ac:dyDescent="0.25">
      <c r="A11505" t="s">
        <v>35620</v>
      </c>
      <c r="B11505" t="s">
        <v>35871</v>
      </c>
      <c r="C11505" t="s">
        <v>35872</v>
      </c>
      <c r="D11505" t="s">
        <v>35873</v>
      </c>
      <c r="E11505" t="s">
        <v>35874</v>
      </c>
      <c r="F11505" t="s">
        <v>35875</v>
      </c>
      <c r="G11505" s="2" t="str">
        <f>HYPERLINK("https://probpalata.gov.ru/files/ИП250900395100000.jpeg","Скачать индивидуальный QR-код магазина")</f>
        <v>Скачать индивидуальный QR-код магазина</v>
      </c>
    </row>
    <row r="11506" spans="1:7" x14ac:dyDescent="0.25">
      <c r="A11506" t="s">
        <v>35620</v>
      </c>
      <c r="B11506" t="s">
        <v>35876</v>
      </c>
      <c r="C11506" t="s">
        <v>35877</v>
      </c>
      <c r="D11506" t="s">
        <v>35878</v>
      </c>
      <c r="E11506" t="s">
        <v>35879</v>
      </c>
      <c r="F11506" t="s">
        <v>35880</v>
      </c>
      <c r="G11506" s="2" t="str">
        <f>HYPERLINK("https://probpalata.gov.ru/files/ИП250901099600000.jpeg","Скачать индивидуальный QR-код магазина")</f>
        <v>Скачать индивидуальный QR-код магазина</v>
      </c>
    </row>
    <row r="11507" spans="1:7" x14ac:dyDescent="0.25">
      <c r="A11507" t="s">
        <v>35620</v>
      </c>
      <c r="B11507" t="s">
        <v>35881</v>
      </c>
      <c r="C11507" t="s">
        <v>35882</v>
      </c>
      <c r="D11507" t="s">
        <v>35883</v>
      </c>
      <c r="E11507" t="s">
        <v>35884</v>
      </c>
      <c r="F11507" t="s">
        <v>35885</v>
      </c>
      <c r="G11507" s="2" t="str">
        <f>HYPERLINK("https://probpalata.gov.ru/files/ИП250903154800000.jpeg","Скачать индивидуальный QR-код магазина")</f>
        <v>Скачать индивидуальный QR-код магазина</v>
      </c>
    </row>
    <row r="11508" spans="1:7" x14ac:dyDescent="0.25">
      <c r="A11508" t="s">
        <v>35620</v>
      </c>
      <c r="B11508" t="s">
        <v>35886</v>
      </c>
      <c r="C11508" t="s">
        <v>35882</v>
      </c>
      <c r="D11508" t="s">
        <v>35883</v>
      </c>
      <c r="E11508" t="s">
        <v>35884</v>
      </c>
      <c r="F11508" t="s">
        <v>35887</v>
      </c>
      <c r="G11508" s="2" t="str">
        <f>HYPERLINK("https://probpalata.gov.ru/files/ИП250903154800004.jpeg","Скачать индивидуальный QR-код магазина")</f>
        <v>Скачать индивидуальный QR-код магазина</v>
      </c>
    </row>
    <row r="11509" spans="1:7" x14ac:dyDescent="0.25">
      <c r="A11509" t="s">
        <v>35620</v>
      </c>
      <c r="B11509" t="s">
        <v>35888</v>
      </c>
      <c r="C11509" t="s">
        <v>35882</v>
      </c>
      <c r="D11509" t="s">
        <v>35883</v>
      </c>
      <c r="E11509" t="s">
        <v>35884</v>
      </c>
      <c r="F11509" t="s">
        <v>35889</v>
      </c>
      <c r="G11509" s="2" t="str">
        <f>HYPERLINK("https://probpalata.gov.ru/files/ИП250903154800005.jpeg","Скачать индивидуальный QR-код магазина")</f>
        <v>Скачать индивидуальный QR-код магазина</v>
      </c>
    </row>
    <row r="11510" spans="1:7" x14ac:dyDescent="0.25">
      <c r="A11510" t="s">
        <v>35620</v>
      </c>
      <c r="B11510" t="s">
        <v>35890</v>
      </c>
      <c r="C11510" t="s">
        <v>35882</v>
      </c>
      <c r="D11510" t="s">
        <v>35883</v>
      </c>
      <c r="E11510" t="s">
        <v>35884</v>
      </c>
      <c r="F11510" t="s">
        <v>35891</v>
      </c>
      <c r="G11510" s="2" t="str">
        <f>HYPERLINK("https://probpalata.gov.ru/files/ИП250903154800006.jpeg","Скачать индивидуальный QR-код магазина")</f>
        <v>Скачать индивидуальный QR-код магазина</v>
      </c>
    </row>
    <row r="11511" spans="1:7" x14ac:dyDescent="0.25">
      <c r="A11511" t="s">
        <v>35620</v>
      </c>
      <c r="B11511" t="s">
        <v>35892</v>
      </c>
      <c r="C11511" t="s">
        <v>35893</v>
      </c>
      <c r="D11511" t="s">
        <v>35894</v>
      </c>
      <c r="E11511" t="s">
        <v>35895</v>
      </c>
      <c r="F11511" t="s">
        <v>35896</v>
      </c>
      <c r="G11511" s="2" t="str">
        <f>HYPERLINK("https://probpalata.gov.ru/files/ИП250901105900000.jpeg","Скачать индивидуальный QR-код магазина")</f>
        <v>Скачать индивидуальный QR-код магазина</v>
      </c>
    </row>
    <row r="11512" spans="1:7" x14ac:dyDescent="0.25">
      <c r="A11512" t="s">
        <v>35620</v>
      </c>
      <c r="B11512" t="s">
        <v>35897</v>
      </c>
      <c r="C11512" t="s">
        <v>35893</v>
      </c>
      <c r="D11512" t="s">
        <v>35894</v>
      </c>
      <c r="E11512" t="s">
        <v>35895</v>
      </c>
      <c r="F11512" t="s">
        <v>35898</v>
      </c>
      <c r="G11512" s="2" t="str">
        <f>HYPERLINK("https://probpalata.gov.ru/files/ИП250901105900001.jpeg","Скачать индивидуальный QR-код магазина")</f>
        <v>Скачать индивидуальный QR-код магазина</v>
      </c>
    </row>
    <row r="11513" spans="1:7" x14ac:dyDescent="0.25">
      <c r="A11513" t="s">
        <v>35620</v>
      </c>
      <c r="B11513" t="s">
        <v>35899</v>
      </c>
      <c r="C11513" t="s">
        <v>35893</v>
      </c>
      <c r="D11513" t="s">
        <v>35894</v>
      </c>
      <c r="E11513" t="s">
        <v>35895</v>
      </c>
      <c r="F11513" t="s">
        <v>35900</v>
      </c>
      <c r="G11513" s="2" t="str">
        <f>HYPERLINK("https://probpalata.gov.ru/files/ИП250901105900003.jpeg","Скачать индивидуальный QR-код магазина")</f>
        <v>Скачать индивидуальный QR-код магазина</v>
      </c>
    </row>
    <row r="11514" spans="1:7" x14ac:dyDescent="0.25">
      <c r="A11514" t="s">
        <v>35620</v>
      </c>
      <c r="B11514" t="s">
        <v>35901</v>
      </c>
      <c r="C11514" t="s">
        <v>35902</v>
      </c>
      <c r="D11514" t="s">
        <v>35903</v>
      </c>
      <c r="E11514" t="s">
        <v>35904</v>
      </c>
      <c r="F11514" t="s">
        <v>35905</v>
      </c>
      <c r="G11514" s="2" t="str">
        <f>HYPERLINK("https://probpalata.gov.ru/files/ИП250904057600000.jpeg","Скачать индивидуальный QR-код магазина")</f>
        <v>Скачать индивидуальный QR-код магазина</v>
      </c>
    </row>
    <row r="11515" spans="1:7" x14ac:dyDescent="0.25">
      <c r="A11515" t="s">
        <v>35620</v>
      </c>
      <c r="B11515" t="s">
        <v>35906</v>
      </c>
      <c r="C11515" t="s">
        <v>35907</v>
      </c>
      <c r="D11515" t="s">
        <v>35908</v>
      </c>
      <c r="E11515" t="s">
        <v>35909</v>
      </c>
      <c r="F11515" t="s">
        <v>35910</v>
      </c>
      <c r="G11515" s="2" t="str">
        <f>HYPERLINK("https://probpalata.gov.ru/files/ИП250900502900002.jpeg","Скачать индивидуальный QR-код магазина")</f>
        <v>Скачать индивидуальный QR-код магазина</v>
      </c>
    </row>
    <row r="11516" spans="1:7" x14ac:dyDescent="0.25">
      <c r="A11516" t="s">
        <v>35620</v>
      </c>
      <c r="B11516" t="s">
        <v>35897</v>
      </c>
      <c r="C11516" t="s">
        <v>35907</v>
      </c>
      <c r="D11516" t="s">
        <v>35908</v>
      </c>
      <c r="E11516" t="s">
        <v>35909</v>
      </c>
      <c r="F11516" t="s">
        <v>35911</v>
      </c>
      <c r="G11516" s="2" t="str">
        <f>HYPERLINK("https://probpalata.gov.ru/files/ИП250900502900003.jpeg","Скачать индивидуальный QR-код магазина")</f>
        <v>Скачать индивидуальный QR-код магазина</v>
      </c>
    </row>
    <row r="11517" spans="1:7" x14ac:dyDescent="0.25">
      <c r="A11517" t="s">
        <v>35620</v>
      </c>
      <c r="B11517" t="s">
        <v>35912</v>
      </c>
      <c r="C11517" t="s">
        <v>35907</v>
      </c>
      <c r="D11517" t="s">
        <v>35908</v>
      </c>
      <c r="E11517" t="s">
        <v>35909</v>
      </c>
      <c r="F11517" t="s">
        <v>35913</v>
      </c>
      <c r="G11517" s="2" t="str">
        <f>HYPERLINK("https://probpalata.gov.ru/files/ИП250900502900005.jpeg","Скачать индивидуальный QR-код магазина")</f>
        <v>Скачать индивидуальный QR-код магазина</v>
      </c>
    </row>
    <row r="11518" spans="1:7" x14ac:dyDescent="0.25">
      <c r="A11518" t="s">
        <v>35620</v>
      </c>
      <c r="B11518" t="s">
        <v>35914</v>
      </c>
      <c r="C11518" t="s">
        <v>35907</v>
      </c>
      <c r="D11518" t="s">
        <v>35908</v>
      </c>
      <c r="E11518" t="s">
        <v>35909</v>
      </c>
      <c r="F11518" t="s">
        <v>35915</v>
      </c>
      <c r="G11518" s="2" t="str">
        <f>HYPERLINK("https://probpalata.gov.ru/files/ИП250900502900006.jpeg","Скачать индивидуальный QR-код магазина")</f>
        <v>Скачать индивидуальный QR-код магазина</v>
      </c>
    </row>
    <row r="11519" spans="1:7" x14ac:dyDescent="0.25">
      <c r="A11519" t="s">
        <v>35620</v>
      </c>
      <c r="B11519" t="s">
        <v>35916</v>
      </c>
      <c r="C11519" t="s">
        <v>35907</v>
      </c>
      <c r="D11519" t="s">
        <v>35908</v>
      </c>
      <c r="E11519" t="s">
        <v>35909</v>
      </c>
      <c r="F11519" t="s">
        <v>35917</v>
      </c>
      <c r="G11519" s="2" t="str">
        <f>HYPERLINK("https://probpalata.gov.ru/files/ИП250900502900007.jpeg","Скачать индивидуальный QR-код магазина")</f>
        <v>Скачать индивидуальный QR-код магазина</v>
      </c>
    </row>
    <row r="11520" spans="1:7" x14ac:dyDescent="0.25">
      <c r="A11520" t="s">
        <v>35620</v>
      </c>
      <c r="B11520" t="s">
        <v>35918</v>
      </c>
      <c r="C11520" t="s">
        <v>35907</v>
      </c>
      <c r="D11520" t="s">
        <v>35908</v>
      </c>
      <c r="E11520" t="s">
        <v>35909</v>
      </c>
      <c r="F11520" t="s">
        <v>35919</v>
      </c>
      <c r="G11520" s="2" t="str">
        <f>HYPERLINK("https://probpalata.gov.ru/files/ИП250900502900008.jpeg","Скачать индивидуальный QR-код магазина")</f>
        <v>Скачать индивидуальный QR-код магазина</v>
      </c>
    </row>
    <row r="11521" spans="1:7" x14ac:dyDescent="0.25">
      <c r="A11521" t="s">
        <v>35620</v>
      </c>
      <c r="B11521" t="s">
        <v>35920</v>
      </c>
      <c r="C11521" t="s">
        <v>35907</v>
      </c>
      <c r="D11521" t="s">
        <v>35908</v>
      </c>
      <c r="E11521" t="s">
        <v>35909</v>
      </c>
      <c r="F11521" t="s">
        <v>35921</v>
      </c>
      <c r="G11521" s="2" t="str">
        <f>HYPERLINK("https://probpalata.gov.ru/files/ИП250900502900010.jpeg","Скачать индивидуальный QR-код магазина")</f>
        <v>Скачать индивидуальный QR-код магазина</v>
      </c>
    </row>
    <row r="11522" spans="1:7" x14ac:dyDescent="0.25">
      <c r="A11522" t="s">
        <v>35620</v>
      </c>
      <c r="B11522" t="s">
        <v>35922</v>
      </c>
      <c r="C11522" t="s">
        <v>35907</v>
      </c>
      <c r="D11522" t="s">
        <v>35908</v>
      </c>
      <c r="E11522" t="s">
        <v>35909</v>
      </c>
      <c r="F11522" t="s">
        <v>35923</v>
      </c>
      <c r="G11522" s="2" t="str">
        <f>HYPERLINK("https://probpalata.gov.ru/files/ИП250900502900012.jpeg","Скачать индивидуальный QR-код магазина")</f>
        <v>Скачать индивидуальный QR-код магазина</v>
      </c>
    </row>
    <row r="11523" spans="1:7" x14ac:dyDescent="0.25">
      <c r="A11523" t="s">
        <v>35620</v>
      </c>
      <c r="B11523" t="s">
        <v>35924</v>
      </c>
      <c r="C11523" t="s">
        <v>35907</v>
      </c>
      <c r="D11523" t="s">
        <v>35908</v>
      </c>
      <c r="E11523" t="s">
        <v>35909</v>
      </c>
      <c r="F11523" t="s">
        <v>35925</v>
      </c>
      <c r="G11523" s="2" t="str">
        <f>HYPERLINK("https://probpalata.gov.ru/files/ИП250900502900013.jpeg","Скачать индивидуальный QR-код магазина")</f>
        <v>Скачать индивидуальный QR-код магазина</v>
      </c>
    </row>
    <row r="11524" spans="1:7" x14ac:dyDescent="0.25">
      <c r="A11524" t="s">
        <v>35620</v>
      </c>
      <c r="B11524" t="s">
        <v>35926</v>
      </c>
      <c r="C11524" t="s">
        <v>35907</v>
      </c>
      <c r="D11524" t="s">
        <v>35908</v>
      </c>
      <c r="E11524" t="s">
        <v>35909</v>
      </c>
      <c r="F11524" t="s">
        <v>35927</v>
      </c>
      <c r="G11524" s="2" t="str">
        <f>HYPERLINK("https://probpalata.gov.ru/files/ИП250900502900014.jpeg","Скачать индивидуальный QR-код магазина")</f>
        <v>Скачать индивидуальный QR-код магазина</v>
      </c>
    </row>
    <row r="11525" spans="1:7" x14ac:dyDescent="0.25">
      <c r="A11525" t="s">
        <v>35620</v>
      </c>
      <c r="B11525" t="s">
        <v>35928</v>
      </c>
      <c r="C11525" t="s">
        <v>35907</v>
      </c>
      <c r="D11525" t="s">
        <v>35908</v>
      </c>
      <c r="E11525" t="s">
        <v>35909</v>
      </c>
      <c r="F11525" t="s">
        <v>35929</v>
      </c>
      <c r="G11525" s="2" t="str">
        <f>HYPERLINK("https://probpalata.gov.ru/files/ИП250900502900015.jpeg","Скачать индивидуальный QR-код магазина")</f>
        <v>Скачать индивидуальный QR-код магазина</v>
      </c>
    </row>
    <row r="11526" spans="1:7" x14ac:dyDescent="0.25">
      <c r="A11526" t="s">
        <v>35620</v>
      </c>
      <c r="B11526" t="s">
        <v>35930</v>
      </c>
      <c r="C11526" t="s">
        <v>35907</v>
      </c>
      <c r="D11526" t="s">
        <v>35908</v>
      </c>
      <c r="E11526" t="s">
        <v>35909</v>
      </c>
      <c r="F11526" t="s">
        <v>35931</v>
      </c>
      <c r="G11526" s="2" t="str">
        <f>HYPERLINK("https://probpalata.gov.ru/files/ИП250900502900016.jpeg","Скачать индивидуальный QR-код магазина")</f>
        <v>Скачать индивидуальный QR-код магазина</v>
      </c>
    </row>
    <row r="11527" spans="1:7" x14ac:dyDescent="0.25">
      <c r="A11527" t="s">
        <v>35620</v>
      </c>
      <c r="B11527" t="s">
        <v>35932</v>
      </c>
      <c r="C11527" t="s">
        <v>35933</v>
      </c>
      <c r="D11527" t="s">
        <v>35934</v>
      </c>
      <c r="E11527" t="s">
        <v>35935</v>
      </c>
      <c r="F11527" t="s">
        <v>35936</v>
      </c>
      <c r="G11527" s="2" t="str">
        <f>HYPERLINK("https://probpalata.gov.ru/files/ИП250900188700000.jpeg","Скачать индивидуальный QR-код магазина")</f>
        <v>Скачать индивидуальный QR-код магазина</v>
      </c>
    </row>
    <row r="11528" spans="1:7" x14ac:dyDescent="0.25">
      <c r="A11528" t="s">
        <v>35620</v>
      </c>
      <c r="B11528" t="s">
        <v>35937</v>
      </c>
      <c r="C11528" t="s">
        <v>35933</v>
      </c>
      <c r="D11528" t="s">
        <v>35934</v>
      </c>
      <c r="E11528" t="s">
        <v>35935</v>
      </c>
      <c r="F11528" t="s">
        <v>35938</v>
      </c>
      <c r="G11528" s="2" t="str">
        <f>HYPERLINK("https://probpalata.gov.ru/files/ИП250900188700001.jpeg","Скачать индивидуальный QR-код магазина")</f>
        <v>Скачать индивидуальный QR-код магазина</v>
      </c>
    </row>
    <row r="11529" spans="1:7" x14ac:dyDescent="0.25">
      <c r="A11529" t="s">
        <v>35620</v>
      </c>
      <c r="B11529" t="s">
        <v>35939</v>
      </c>
      <c r="C11529" t="s">
        <v>35933</v>
      </c>
      <c r="D11529" t="s">
        <v>35934</v>
      </c>
      <c r="E11529" t="s">
        <v>35935</v>
      </c>
      <c r="F11529" t="s">
        <v>35940</v>
      </c>
      <c r="G11529" s="2" t="str">
        <f>HYPERLINK("https://probpalata.gov.ru/files/ИП250900188700002.jpeg","Скачать индивидуальный QR-код магазина")</f>
        <v>Скачать индивидуальный QR-код магазина</v>
      </c>
    </row>
    <row r="11530" spans="1:7" x14ac:dyDescent="0.25">
      <c r="A11530" t="s">
        <v>35620</v>
      </c>
      <c r="B11530" t="s">
        <v>35941</v>
      </c>
      <c r="C11530" t="s">
        <v>35933</v>
      </c>
      <c r="D11530" t="s">
        <v>35934</v>
      </c>
      <c r="E11530" t="s">
        <v>35935</v>
      </c>
      <c r="F11530" t="s">
        <v>35942</v>
      </c>
      <c r="G11530" s="2" t="str">
        <f>HYPERLINK("https://probpalata.gov.ru/files/ИП250900188700003.jpeg","Скачать индивидуальный QR-код магазина")</f>
        <v>Скачать индивидуальный QR-код магазина</v>
      </c>
    </row>
    <row r="11531" spans="1:7" x14ac:dyDescent="0.25">
      <c r="A11531" t="s">
        <v>35620</v>
      </c>
      <c r="B11531" t="s">
        <v>35943</v>
      </c>
      <c r="C11531" t="s">
        <v>35933</v>
      </c>
      <c r="D11531" t="s">
        <v>35934</v>
      </c>
      <c r="E11531" t="s">
        <v>35935</v>
      </c>
      <c r="F11531" t="s">
        <v>35944</v>
      </c>
      <c r="G11531" s="2" t="str">
        <f>HYPERLINK("https://probpalata.gov.ru/files/ИП250900188700005.jpeg","Скачать индивидуальный QR-код магазина")</f>
        <v>Скачать индивидуальный QR-код магазина</v>
      </c>
    </row>
    <row r="11532" spans="1:7" x14ac:dyDescent="0.25">
      <c r="A11532" t="s">
        <v>35620</v>
      </c>
      <c r="B11532" t="s">
        <v>35945</v>
      </c>
      <c r="C11532" t="s">
        <v>35946</v>
      </c>
      <c r="D11532" t="s">
        <v>35947</v>
      </c>
      <c r="E11532" t="s">
        <v>35948</v>
      </c>
      <c r="F11532" t="s">
        <v>35949</v>
      </c>
      <c r="G11532" s="2" t="str">
        <f>HYPERLINK("https://probpalata.gov.ru/files/ИП250900141700000.jpeg","Скачать индивидуальный QR-код магазина")</f>
        <v>Скачать индивидуальный QR-код магазина</v>
      </c>
    </row>
    <row r="11533" spans="1:7" x14ac:dyDescent="0.25">
      <c r="A11533" t="s">
        <v>35620</v>
      </c>
      <c r="B11533" t="s">
        <v>35950</v>
      </c>
      <c r="C11533" t="s">
        <v>35951</v>
      </c>
      <c r="D11533" t="s">
        <v>35952</v>
      </c>
      <c r="E11533" t="s">
        <v>35953</v>
      </c>
      <c r="F11533" t="s">
        <v>35954</v>
      </c>
      <c r="G11533" s="2" t="str">
        <f>HYPERLINK("https://probpalata.gov.ru/files/ИП250900839600000.jpeg","Скачать индивидуальный QR-код магазина")</f>
        <v>Скачать индивидуальный QR-код магазина</v>
      </c>
    </row>
    <row r="11534" spans="1:7" x14ac:dyDescent="0.25">
      <c r="A11534" t="s">
        <v>35620</v>
      </c>
      <c r="B11534" t="s">
        <v>35955</v>
      </c>
      <c r="C11534" t="s">
        <v>35956</v>
      </c>
      <c r="D11534" t="s">
        <v>35957</v>
      </c>
      <c r="E11534" t="s">
        <v>35958</v>
      </c>
      <c r="F11534" t="s">
        <v>35959</v>
      </c>
      <c r="G11534" s="2" t="str">
        <f>HYPERLINK("https://probpalata.gov.ru/files/ЮЛ250900081000000.jpeg","Скачать индивидуальный QR-код магазина")</f>
        <v>Скачать индивидуальный QR-код магазина</v>
      </c>
    </row>
    <row r="11535" spans="1:7" x14ac:dyDescent="0.25">
      <c r="A11535" t="s">
        <v>35620</v>
      </c>
      <c r="B11535" t="s">
        <v>35960</v>
      </c>
      <c r="C11535" t="s">
        <v>35956</v>
      </c>
      <c r="D11535" t="s">
        <v>35957</v>
      </c>
      <c r="E11535" t="s">
        <v>35958</v>
      </c>
      <c r="F11535" t="s">
        <v>35961</v>
      </c>
      <c r="G11535" s="2" t="str">
        <f>HYPERLINK("https://probpalata.gov.ru/files/ЮЛ250900081000001.jpeg","Скачать индивидуальный QR-код магазина")</f>
        <v>Скачать индивидуальный QR-код магазина</v>
      </c>
    </row>
    <row r="11536" spans="1:7" x14ac:dyDescent="0.25">
      <c r="A11536" t="s">
        <v>35620</v>
      </c>
      <c r="B11536" t="s">
        <v>35962</v>
      </c>
      <c r="C11536" t="s">
        <v>35963</v>
      </c>
      <c r="D11536" t="s">
        <v>35964</v>
      </c>
      <c r="E11536" t="s">
        <v>35965</v>
      </c>
      <c r="F11536" t="s">
        <v>35966</v>
      </c>
      <c r="G11536" s="2" t="str">
        <f>HYPERLINK("https://probpalata.gov.ru/files/ИП250901298700000.jpeg","Скачать индивидуальный QR-код магазина")</f>
        <v>Скачать индивидуальный QR-код магазина</v>
      </c>
    </row>
    <row r="11537" spans="1:7" x14ac:dyDescent="0.25">
      <c r="A11537" t="s">
        <v>35620</v>
      </c>
      <c r="B11537" t="s">
        <v>35967</v>
      </c>
      <c r="C11537" t="s">
        <v>35963</v>
      </c>
      <c r="D11537" t="s">
        <v>35964</v>
      </c>
      <c r="E11537" t="s">
        <v>35965</v>
      </c>
      <c r="F11537" t="s">
        <v>35968</v>
      </c>
      <c r="G11537" s="2" t="str">
        <f>HYPERLINK("https://probpalata.gov.ru/files/ИП250901298700001.jpeg","Скачать индивидуальный QR-код магазина")</f>
        <v>Скачать индивидуальный QR-код магазина</v>
      </c>
    </row>
    <row r="11538" spans="1:7" x14ac:dyDescent="0.25">
      <c r="A11538" t="s">
        <v>35620</v>
      </c>
      <c r="B11538" t="s">
        <v>35969</v>
      </c>
      <c r="C11538" t="s">
        <v>35970</v>
      </c>
      <c r="D11538" t="s">
        <v>35971</v>
      </c>
      <c r="E11538" t="s">
        <v>35972</v>
      </c>
      <c r="F11538" t="s">
        <v>35973</v>
      </c>
      <c r="G11538" s="2" t="str">
        <f>HYPERLINK("https://probpalata.gov.ru/files/ЮЛ250901024600000.jpeg","Скачать индивидуальный QR-код магазина")</f>
        <v>Скачать индивидуальный QR-код магазина</v>
      </c>
    </row>
    <row r="11539" spans="1:7" x14ac:dyDescent="0.25">
      <c r="A11539" t="s">
        <v>35620</v>
      </c>
      <c r="B11539" t="s">
        <v>35974</v>
      </c>
      <c r="C11539" t="s">
        <v>35970</v>
      </c>
      <c r="D11539" t="s">
        <v>35971</v>
      </c>
      <c r="E11539" t="s">
        <v>35972</v>
      </c>
      <c r="F11539" t="s">
        <v>35975</v>
      </c>
      <c r="G11539" s="2" t="str">
        <f>HYPERLINK("https://probpalata.gov.ru/files/ЮЛ250901024600001.jpeg","Скачать индивидуальный QR-код магазина")</f>
        <v>Скачать индивидуальный QR-код магазина</v>
      </c>
    </row>
    <row r="11540" spans="1:7" x14ac:dyDescent="0.25">
      <c r="A11540" t="s">
        <v>35620</v>
      </c>
      <c r="B11540" t="s">
        <v>35976</v>
      </c>
      <c r="C11540" t="s">
        <v>35977</v>
      </c>
      <c r="D11540" t="s">
        <v>35978</v>
      </c>
      <c r="E11540" t="s">
        <v>35979</v>
      </c>
      <c r="F11540" t="s">
        <v>35980</v>
      </c>
      <c r="G11540" s="2" t="str">
        <f>HYPERLINK("https://probpalata.gov.ru/files/ЮЛ250901946900000.jpeg","Скачать индивидуальный QR-код магазина")</f>
        <v>Скачать индивидуальный QR-код магазина</v>
      </c>
    </row>
    <row r="11541" spans="1:7" x14ac:dyDescent="0.25">
      <c r="A11541" t="s">
        <v>35620</v>
      </c>
      <c r="B11541" t="s">
        <v>35981</v>
      </c>
      <c r="C11541" t="s">
        <v>35982</v>
      </c>
      <c r="D11541" t="s">
        <v>35983</v>
      </c>
      <c r="E11541" t="s">
        <v>35984</v>
      </c>
      <c r="F11541" t="s">
        <v>35985</v>
      </c>
      <c r="G11541" s="2" t="str">
        <f>HYPERLINK("https://probpalata.gov.ru/files/ЮЛ250901098800000.jpeg","Скачать индивидуальный QR-код магазина")</f>
        <v>Скачать индивидуальный QR-код магазина</v>
      </c>
    </row>
    <row r="11542" spans="1:7" x14ac:dyDescent="0.25">
      <c r="A11542" t="s">
        <v>35620</v>
      </c>
      <c r="B11542" t="s">
        <v>35986</v>
      </c>
      <c r="C11542" t="s">
        <v>35982</v>
      </c>
      <c r="D11542" t="s">
        <v>35983</v>
      </c>
      <c r="E11542" t="s">
        <v>35984</v>
      </c>
      <c r="F11542" t="s">
        <v>35987</v>
      </c>
      <c r="G11542" s="2" t="str">
        <f>HYPERLINK("https://probpalata.gov.ru/files/ЮЛ250901098800002.jpeg","Скачать индивидуальный QR-код магазина")</f>
        <v>Скачать индивидуальный QR-код магазина</v>
      </c>
    </row>
    <row r="11543" spans="1:7" x14ac:dyDescent="0.25">
      <c r="A11543" t="s">
        <v>35620</v>
      </c>
      <c r="B11543" t="s">
        <v>35988</v>
      </c>
      <c r="C11543" t="s">
        <v>35982</v>
      </c>
      <c r="D11543" t="s">
        <v>35983</v>
      </c>
      <c r="E11543" t="s">
        <v>35984</v>
      </c>
      <c r="F11543" t="s">
        <v>35989</v>
      </c>
      <c r="G11543" s="2" t="str">
        <f>HYPERLINK("https://probpalata.gov.ru/files/ЮЛ250901098800003.jpeg","Скачать индивидуальный QR-код магазина")</f>
        <v>Скачать индивидуальный QR-код магазина</v>
      </c>
    </row>
    <row r="11544" spans="1:7" x14ac:dyDescent="0.25">
      <c r="A11544" t="s">
        <v>35620</v>
      </c>
      <c r="B11544" t="s">
        <v>35990</v>
      </c>
      <c r="C11544" t="s">
        <v>35982</v>
      </c>
      <c r="D11544" t="s">
        <v>35983</v>
      </c>
      <c r="E11544" t="s">
        <v>35984</v>
      </c>
      <c r="F11544" t="s">
        <v>35991</v>
      </c>
      <c r="G11544" s="2" t="str">
        <f>HYPERLINK("https://probpalata.gov.ru/files/ЮЛ250901098800004.jpeg","Скачать индивидуальный QR-код магазина")</f>
        <v>Скачать индивидуальный QR-код магазина</v>
      </c>
    </row>
    <row r="11545" spans="1:7" x14ac:dyDescent="0.25">
      <c r="A11545" t="s">
        <v>35620</v>
      </c>
      <c r="B11545" t="s">
        <v>35992</v>
      </c>
      <c r="C11545" t="s">
        <v>35982</v>
      </c>
      <c r="D11545" t="s">
        <v>35983</v>
      </c>
      <c r="E11545" t="s">
        <v>35984</v>
      </c>
      <c r="F11545" t="s">
        <v>35993</v>
      </c>
      <c r="G11545" s="2" t="str">
        <f>HYPERLINK("https://probpalata.gov.ru/files/ЮЛ250901098800005.jpeg","Скачать индивидуальный QR-код магазина")</f>
        <v>Скачать индивидуальный QR-код магазина</v>
      </c>
    </row>
    <row r="11546" spans="1:7" x14ac:dyDescent="0.25">
      <c r="A11546" t="s">
        <v>35620</v>
      </c>
      <c r="B11546" t="s">
        <v>35994</v>
      </c>
      <c r="C11546" t="s">
        <v>35982</v>
      </c>
      <c r="D11546" t="s">
        <v>35983</v>
      </c>
      <c r="E11546" t="s">
        <v>35984</v>
      </c>
      <c r="F11546" t="s">
        <v>35995</v>
      </c>
      <c r="G11546" s="2" t="str">
        <f>HYPERLINK("https://probpalata.gov.ru/files/ЮЛ250901098800006.jpeg","Скачать индивидуальный QR-код магазина")</f>
        <v>Скачать индивидуальный QR-код магазина</v>
      </c>
    </row>
    <row r="11547" spans="1:7" x14ac:dyDescent="0.25">
      <c r="A11547" t="s">
        <v>35620</v>
      </c>
      <c r="B11547" t="s">
        <v>35996</v>
      </c>
      <c r="C11547" t="s">
        <v>35982</v>
      </c>
      <c r="D11547" t="s">
        <v>35983</v>
      </c>
      <c r="E11547" t="s">
        <v>35984</v>
      </c>
      <c r="F11547" t="s">
        <v>35997</v>
      </c>
      <c r="G11547" s="2" t="str">
        <f>HYPERLINK("https://probpalata.gov.ru/files/ЮЛ250901098800007.jpeg","Скачать индивидуальный QR-код магазина")</f>
        <v>Скачать индивидуальный QR-код магазина</v>
      </c>
    </row>
    <row r="11548" spans="1:7" x14ac:dyDescent="0.25">
      <c r="A11548" t="s">
        <v>35620</v>
      </c>
      <c r="B11548" t="s">
        <v>35998</v>
      </c>
      <c r="C11548" t="s">
        <v>35982</v>
      </c>
      <c r="D11548" t="s">
        <v>35983</v>
      </c>
      <c r="E11548" t="s">
        <v>35984</v>
      </c>
      <c r="F11548" t="s">
        <v>35999</v>
      </c>
      <c r="G11548" s="2" t="str">
        <f>HYPERLINK("https://probpalata.gov.ru/files/ЮЛ250901098800008.jpeg","Скачать индивидуальный QR-код магазина")</f>
        <v>Скачать индивидуальный QR-код магазина</v>
      </c>
    </row>
    <row r="11549" spans="1:7" x14ac:dyDescent="0.25">
      <c r="A11549" t="s">
        <v>35620</v>
      </c>
      <c r="B11549" t="s">
        <v>36000</v>
      </c>
      <c r="C11549" t="s">
        <v>35982</v>
      </c>
      <c r="D11549" t="s">
        <v>35983</v>
      </c>
      <c r="E11549" t="s">
        <v>35984</v>
      </c>
      <c r="F11549" t="s">
        <v>36001</v>
      </c>
      <c r="G11549" s="2" t="str">
        <f>HYPERLINK("https://probpalata.gov.ru/files/ЮЛ250901098800009.jpeg","Скачать индивидуальный QR-код магазина")</f>
        <v>Скачать индивидуальный QR-код магазина</v>
      </c>
    </row>
    <row r="11550" spans="1:7" x14ac:dyDescent="0.25">
      <c r="A11550" t="s">
        <v>35620</v>
      </c>
      <c r="B11550" t="s">
        <v>36002</v>
      </c>
      <c r="C11550" t="s">
        <v>35982</v>
      </c>
      <c r="D11550" t="s">
        <v>35983</v>
      </c>
      <c r="E11550" t="s">
        <v>35984</v>
      </c>
      <c r="F11550" t="s">
        <v>36003</v>
      </c>
      <c r="G11550" s="2" t="str">
        <f>HYPERLINK("https://probpalata.gov.ru/files/ЮЛ250901098800010.jpeg","Скачать индивидуальный QR-код магазина")</f>
        <v>Скачать индивидуальный QR-код магазина</v>
      </c>
    </row>
    <row r="11551" spans="1:7" x14ac:dyDescent="0.25">
      <c r="A11551" t="s">
        <v>35620</v>
      </c>
      <c r="B11551" t="s">
        <v>36004</v>
      </c>
      <c r="C11551" t="s">
        <v>35982</v>
      </c>
      <c r="D11551" t="s">
        <v>35983</v>
      </c>
      <c r="E11551" t="s">
        <v>35984</v>
      </c>
      <c r="F11551" t="s">
        <v>36005</v>
      </c>
      <c r="G11551" s="2" t="str">
        <f>HYPERLINK("https://probpalata.gov.ru/files/ЮЛ250901098800011.jpeg","Скачать индивидуальный QR-код магазина")</f>
        <v>Скачать индивидуальный QR-код магазина</v>
      </c>
    </row>
    <row r="11552" spans="1:7" x14ac:dyDescent="0.25">
      <c r="A11552" t="s">
        <v>35620</v>
      </c>
      <c r="B11552" t="s">
        <v>36006</v>
      </c>
      <c r="C11552" t="s">
        <v>36007</v>
      </c>
      <c r="D11552" t="s">
        <v>36008</v>
      </c>
      <c r="E11552" t="s">
        <v>36009</v>
      </c>
      <c r="F11552" t="s">
        <v>36010</v>
      </c>
      <c r="G11552" s="2" t="str">
        <f>HYPERLINK("https://probpalata.gov.ru/files/ЮЛ250903192800000.jpeg","Скачать индивидуальный QR-код магазина")</f>
        <v>Скачать индивидуальный QR-код магазина</v>
      </c>
    </row>
    <row r="11553" spans="1:7" x14ac:dyDescent="0.25">
      <c r="A11553" t="s">
        <v>35620</v>
      </c>
      <c r="B11553" t="s">
        <v>36011</v>
      </c>
      <c r="C11553" t="s">
        <v>36012</v>
      </c>
      <c r="D11553" t="s">
        <v>36013</v>
      </c>
      <c r="E11553" t="s">
        <v>36014</v>
      </c>
      <c r="F11553" t="s">
        <v>36015</v>
      </c>
      <c r="G11553" s="2" t="str">
        <f>HYPERLINK("https://probpalata.gov.ru/files/ИП250900496300000.jpeg","Скачать индивидуальный QR-код магазина")</f>
        <v>Скачать индивидуальный QR-код магазина</v>
      </c>
    </row>
    <row r="11554" spans="1:7" x14ac:dyDescent="0.25">
      <c r="A11554" t="s">
        <v>35620</v>
      </c>
      <c r="B11554" t="s">
        <v>36016</v>
      </c>
      <c r="C11554" t="s">
        <v>36012</v>
      </c>
      <c r="D11554" t="s">
        <v>36013</v>
      </c>
      <c r="E11554" t="s">
        <v>36014</v>
      </c>
      <c r="F11554" t="s">
        <v>36017</v>
      </c>
      <c r="G11554" s="2" t="str">
        <f>HYPERLINK("https://probpalata.gov.ru/files/ИП250900496300001.jpeg","Скачать индивидуальный QR-код магазина")</f>
        <v>Скачать индивидуальный QR-код магазина</v>
      </c>
    </row>
    <row r="11555" spans="1:7" x14ac:dyDescent="0.25">
      <c r="A11555" t="s">
        <v>35620</v>
      </c>
      <c r="B11555" t="s">
        <v>36018</v>
      </c>
      <c r="C11555" t="s">
        <v>36012</v>
      </c>
      <c r="D11555" t="s">
        <v>36013</v>
      </c>
      <c r="E11555" t="s">
        <v>36014</v>
      </c>
      <c r="F11555" t="s">
        <v>36019</v>
      </c>
      <c r="G11555" s="2" t="str">
        <f>HYPERLINK("https://probpalata.gov.ru/files/ИП250900496300002.jpeg","Скачать индивидуальный QR-код магазина")</f>
        <v>Скачать индивидуальный QR-код магазина</v>
      </c>
    </row>
    <row r="11556" spans="1:7" x14ac:dyDescent="0.25">
      <c r="A11556" t="s">
        <v>35620</v>
      </c>
      <c r="B11556" t="s">
        <v>36020</v>
      </c>
      <c r="C11556" t="s">
        <v>36021</v>
      </c>
      <c r="D11556" t="s">
        <v>36022</v>
      </c>
      <c r="E11556" t="s">
        <v>36023</v>
      </c>
      <c r="F11556" t="s">
        <v>36024</v>
      </c>
      <c r="G11556" s="2" t="str">
        <f>HYPERLINK("https://probpalata.gov.ru/files/ИП250900119800000.jpeg","Скачать индивидуальный QR-код магазина")</f>
        <v>Скачать индивидуальный QR-код магазина</v>
      </c>
    </row>
    <row r="11557" spans="1:7" x14ac:dyDescent="0.25">
      <c r="A11557" t="s">
        <v>35620</v>
      </c>
      <c r="B11557" t="s">
        <v>36025</v>
      </c>
      <c r="C11557" t="s">
        <v>36026</v>
      </c>
      <c r="D11557" t="s">
        <v>36027</v>
      </c>
      <c r="E11557" t="s">
        <v>36028</v>
      </c>
      <c r="F11557" t="s">
        <v>36029</v>
      </c>
      <c r="G11557" s="2" t="str">
        <f>HYPERLINK("https://probpalata.gov.ru/files/ИП250900394400000.jpeg","Скачать индивидуальный QR-код магазина")</f>
        <v>Скачать индивидуальный QR-код магазина</v>
      </c>
    </row>
    <row r="11558" spans="1:7" x14ac:dyDescent="0.25">
      <c r="A11558" t="s">
        <v>35620</v>
      </c>
      <c r="B11558" t="s">
        <v>36030</v>
      </c>
      <c r="C11558" t="s">
        <v>36026</v>
      </c>
      <c r="D11558" t="s">
        <v>36027</v>
      </c>
      <c r="E11558" t="s">
        <v>36028</v>
      </c>
      <c r="F11558" t="s">
        <v>36031</v>
      </c>
      <c r="G11558" s="2" t="str">
        <f>HYPERLINK("https://probpalata.gov.ru/files/ИП250900394400002.jpeg","Скачать индивидуальный QR-код магазина")</f>
        <v>Скачать индивидуальный QR-код магазина</v>
      </c>
    </row>
    <row r="11559" spans="1:7" x14ac:dyDescent="0.25">
      <c r="A11559" t="s">
        <v>35620</v>
      </c>
      <c r="B11559" t="s">
        <v>36032</v>
      </c>
      <c r="C11559" t="s">
        <v>36033</v>
      </c>
      <c r="D11559" t="s">
        <v>36034</v>
      </c>
      <c r="E11559" t="s">
        <v>36035</v>
      </c>
      <c r="F11559" t="s">
        <v>36036</v>
      </c>
      <c r="G11559" s="2" t="str">
        <f>HYPERLINK("https://probpalata.gov.ru/files/ИП250900499300000.jpeg","Скачать индивидуальный QR-код магазина")</f>
        <v>Скачать индивидуальный QR-код магазина</v>
      </c>
    </row>
    <row r="11560" spans="1:7" x14ac:dyDescent="0.25">
      <c r="A11560" t="s">
        <v>35620</v>
      </c>
      <c r="B11560" t="s">
        <v>36025</v>
      </c>
      <c r="C11560" t="s">
        <v>36037</v>
      </c>
      <c r="D11560" t="s">
        <v>36038</v>
      </c>
      <c r="E11560" t="s">
        <v>36039</v>
      </c>
      <c r="F11560" t="s">
        <v>36040</v>
      </c>
      <c r="G11560" s="2" t="str">
        <f>HYPERLINK("https://probpalata.gov.ru/files/ИП250903672300000.jpeg","Скачать индивидуальный QR-код магазина")</f>
        <v>Скачать индивидуальный QR-код магазина</v>
      </c>
    </row>
    <row r="11561" spans="1:7" x14ac:dyDescent="0.25">
      <c r="A11561" t="s">
        <v>35620</v>
      </c>
      <c r="B11561" t="s">
        <v>36041</v>
      </c>
      <c r="C11561" t="s">
        <v>36042</v>
      </c>
      <c r="D11561" t="s">
        <v>36043</v>
      </c>
      <c r="E11561" t="s">
        <v>36044</v>
      </c>
      <c r="F11561" t="s">
        <v>36045</v>
      </c>
      <c r="G11561" s="2" t="str">
        <f>HYPERLINK("https://probpalata.gov.ru/files/ИП250901252400000.jpeg","Скачать индивидуальный QR-код магазина")</f>
        <v>Скачать индивидуальный QR-код магазина</v>
      </c>
    </row>
    <row r="11562" spans="1:7" x14ac:dyDescent="0.25">
      <c r="A11562" t="s">
        <v>35620</v>
      </c>
      <c r="B11562" t="s">
        <v>36046</v>
      </c>
      <c r="C11562" t="s">
        <v>36047</v>
      </c>
      <c r="D11562" t="s">
        <v>36048</v>
      </c>
      <c r="E11562" t="s">
        <v>36049</v>
      </c>
      <c r="F11562" t="s">
        <v>36050</v>
      </c>
      <c r="G11562" s="2" t="str">
        <f>HYPERLINK("https://probpalata.gov.ru/files/ИП250900337400000.jpeg","Скачать индивидуальный QR-код магазина")</f>
        <v>Скачать индивидуальный QR-код магазина</v>
      </c>
    </row>
    <row r="11563" spans="1:7" x14ac:dyDescent="0.25">
      <c r="A11563" t="s">
        <v>35620</v>
      </c>
      <c r="B11563" t="s">
        <v>36051</v>
      </c>
      <c r="C11563" t="s">
        <v>36047</v>
      </c>
      <c r="D11563" t="s">
        <v>36048</v>
      </c>
      <c r="E11563" t="s">
        <v>36049</v>
      </c>
      <c r="F11563" t="s">
        <v>36052</v>
      </c>
      <c r="G11563" s="2" t="str">
        <f>HYPERLINK("https://probpalata.gov.ru/files/ИП250900337400001.jpeg","Скачать индивидуальный QR-код магазина")</f>
        <v>Скачать индивидуальный QR-код магазина</v>
      </c>
    </row>
    <row r="11564" spans="1:7" x14ac:dyDescent="0.25">
      <c r="A11564" t="s">
        <v>35620</v>
      </c>
      <c r="B11564" t="s">
        <v>36053</v>
      </c>
      <c r="C11564" t="s">
        <v>36054</v>
      </c>
      <c r="D11564" t="s">
        <v>36055</v>
      </c>
      <c r="E11564" t="s">
        <v>36056</v>
      </c>
      <c r="F11564" t="s">
        <v>36057</v>
      </c>
      <c r="G11564" s="2" t="str">
        <f>HYPERLINK("https://probpalata.gov.ru/files/ИП250901943300000.jpeg","Скачать индивидуальный QR-код магазина")</f>
        <v>Скачать индивидуальный QR-код магазина</v>
      </c>
    </row>
    <row r="11565" spans="1:7" x14ac:dyDescent="0.25">
      <c r="A11565" t="s">
        <v>35620</v>
      </c>
      <c r="B11565" t="s">
        <v>36058</v>
      </c>
      <c r="C11565" t="s">
        <v>36059</v>
      </c>
      <c r="D11565" t="s">
        <v>36060</v>
      </c>
      <c r="E11565" t="s">
        <v>36061</v>
      </c>
      <c r="F11565" t="s">
        <v>36062</v>
      </c>
      <c r="G11565" s="2" t="str">
        <f>HYPERLINK("https://probpalata.gov.ru/files/ИП250900340800002.jpeg","Скачать индивидуальный QR-код магазина")</f>
        <v>Скачать индивидуальный QR-код магазина</v>
      </c>
    </row>
    <row r="11566" spans="1:7" x14ac:dyDescent="0.25">
      <c r="A11566" t="s">
        <v>35620</v>
      </c>
      <c r="B11566" t="s">
        <v>36063</v>
      </c>
      <c r="C11566" t="s">
        <v>36059</v>
      </c>
      <c r="D11566" t="s">
        <v>36060</v>
      </c>
      <c r="E11566" t="s">
        <v>36061</v>
      </c>
      <c r="F11566" t="s">
        <v>36064</v>
      </c>
      <c r="G11566" s="2" t="str">
        <f>HYPERLINK("https://probpalata.gov.ru/files/ИП250900340800003.jpeg","Скачать индивидуальный QR-код магазина")</f>
        <v>Скачать индивидуальный QR-код магазина</v>
      </c>
    </row>
    <row r="11567" spans="1:7" x14ac:dyDescent="0.25">
      <c r="A11567" t="s">
        <v>35620</v>
      </c>
      <c r="B11567" t="s">
        <v>36065</v>
      </c>
      <c r="C11567" t="s">
        <v>36059</v>
      </c>
      <c r="D11567" t="s">
        <v>36060</v>
      </c>
      <c r="E11567" t="s">
        <v>36061</v>
      </c>
      <c r="F11567" t="s">
        <v>36066</v>
      </c>
      <c r="G11567" s="2" t="str">
        <f>HYPERLINK("https://probpalata.gov.ru/files/ИП250900340800004.jpeg","Скачать индивидуальный QR-код магазина")</f>
        <v>Скачать индивидуальный QR-код магазина</v>
      </c>
    </row>
    <row r="11568" spans="1:7" x14ac:dyDescent="0.25">
      <c r="A11568" t="s">
        <v>35620</v>
      </c>
      <c r="B11568" t="s">
        <v>36067</v>
      </c>
      <c r="C11568" t="s">
        <v>36059</v>
      </c>
      <c r="D11568" t="s">
        <v>36060</v>
      </c>
      <c r="E11568" t="s">
        <v>36061</v>
      </c>
      <c r="F11568" t="s">
        <v>36068</v>
      </c>
      <c r="G11568" s="2" t="str">
        <f>HYPERLINK("https://probpalata.gov.ru/files/ИП250900340800005.jpeg","Скачать индивидуальный QR-код магазина")</f>
        <v>Скачать индивидуальный QR-код магазина</v>
      </c>
    </row>
    <row r="11569" spans="1:7" x14ac:dyDescent="0.25">
      <c r="A11569" t="s">
        <v>35620</v>
      </c>
      <c r="B11569" t="s">
        <v>36069</v>
      </c>
      <c r="C11569" t="s">
        <v>36059</v>
      </c>
      <c r="D11569" t="s">
        <v>36060</v>
      </c>
      <c r="E11569" t="s">
        <v>36061</v>
      </c>
      <c r="F11569" t="s">
        <v>36070</v>
      </c>
      <c r="G11569" s="2" t="str">
        <f>HYPERLINK("https://probpalata.gov.ru/files/ИП250900340800006.jpeg","Скачать индивидуальный QR-код магазина")</f>
        <v>Скачать индивидуальный QR-код магазина</v>
      </c>
    </row>
    <row r="11570" spans="1:7" x14ac:dyDescent="0.25">
      <c r="A11570" t="s">
        <v>35620</v>
      </c>
      <c r="B11570" t="s">
        <v>36071</v>
      </c>
      <c r="C11570" t="s">
        <v>36072</v>
      </c>
      <c r="D11570" t="s">
        <v>36073</v>
      </c>
      <c r="E11570" t="s">
        <v>36074</v>
      </c>
      <c r="F11570" t="s">
        <v>36075</v>
      </c>
      <c r="G11570" s="2" t="str">
        <f>HYPERLINK("https://probpalata.gov.ru/files/ИП250900299500000.jpeg","Скачать индивидуальный QR-код магазина")</f>
        <v>Скачать индивидуальный QR-код магазина</v>
      </c>
    </row>
    <row r="11571" spans="1:7" x14ac:dyDescent="0.25">
      <c r="A11571" t="s">
        <v>35620</v>
      </c>
      <c r="B11571" t="s">
        <v>36076</v>
      </c>
      <c r="C11571" t="s">
        <v>36077</v>
      </c>
      <c r="D11571" t="s">
        <v>36078</v>
      </c>
      <c r="E11571" t="s">
        <v>36079</v>
      </c>
      <c r="F11571" t="s">
        <v>36080</v>
      </c>
      <c r="G11571" s="2" t="str">
        <f>HYPERLINK("https://probpalata.gov.ru/files/ИП250900781800000.jpeg","Скачать индивидуальный QR-код магазина")</f>
        <v>Скачать индивидуальный QR-код магазина</v>
      </c>
    </row>
    <row r="11572" spans="1:7" x14ac:dyDescent="0.25">
      <c r="A11572" t="s">
        <v>35620</v>
      </c>
      <c r="B11572" t="s">
        <v>36076</v>
      </c>
      <c r="C11572" t="s">
        <v>36081</v>
      </c>
      <c r="D11572" t="s">
        <v>36082</v>
      </c>
      <c r="E11572" t="s">
        <v>36083</v>
      </c>
      <c r="F11572" t="s">
        <v>36084</v>
      </c>
      <c r="G11572" s="2" t="str">
        <f>HYPERLINK("https://probpalata.gov.ru/files/ИП250900786500000.jpeg","Скачать индивидуальный QR-код магазина")</f>
        <v>Скачать индивидуальный QR-код магазина</v>
      </c>
    </row>
    <row r="11573" spans="1:7" x14ac:dyDescent="0.25">
      <c r="A11573" t="s">
        <v>35620</v>
      </c>
      <c r="B11573" t="s">
        <v>36085</v>
      </c>
      <c r="C11573" t="s">
        <v>36081</v>
      </c>
      <c r="D11573" t="s">
        <v>36082</v>
      </c>
      <c r="E11573" t="s">
        <v>36083</v>
      </c>
      <c r="F11573" t="s">
        <v>36086</v>
      </c>
      <c r="G11573" s="2" t="str">
        <f>HYPERLINK("https://probpalata.gov.ru/files/ИП250900786500001.jpeg","Скачать индивидуальный QR-код магазина")</f>
        <v>Скачать индивидуальный QR-код магазина</v>
      </c>
    </row>
    <row r="11574" spans="1:7" x14ac:dyDescent="0.25">
      <c r="A11574" t="s">
        <v>35620</v>
      </c>
      <c r="B11574" t="s">
        <v>36087</v>
      </c>
      <c r="C11574" t="s">
        <v>36081</v>
      </c>
      <c r="D11574" t="s">
        <v>36082</v>
      </c>
      <c r="E11574" t="s">
        <v>36083</v>
      </c>
      <c r="F11574" t="s">
        <v>36088</v>
      </c>
      <c r="G11574" s="2" t="str">
        <f>HYPERLINK("https://probpalata.gov.ru/files/ИП250900786500003.jpeg","Скачать индивидуальный QR-код магазина")</f>
        <v>Скачать индивидуальный QR-код магазина</v>
      </c>
    </row>
    <row r="11575" spans="1:7" x14ac:dyDescent="0.25">
      <c r="A11575" t="s">
        <v>35620</v>
      </c>
      <c r="B11575" t="s">
        <v>36089</v>
      </c>
      <c r="C11575" t="s">
        <v>36081</v>
      </c>
      <c r="D11575" t="s">
        <v>36082</v>
      </c>
      <c r="E11575" t="s">
        <v>36083</v>
      </c>
      <c r="F11575" t="s">
        <v>36090</v>
      </c>
      <c r="G11575" s="2" t="str">
        <f>HYPERLINK("https://probpalata.gov.ru/files/ИП250900786500004.jpeg","Скачать индивидуальный QR-код магазина")</f>
        <v>Скачать индивидуальный QR-код магазина</v>
      </c>
    </row>
    <row r="11576" spans="1:7" x14ac:dyDescent="0.25">
      <c r="A11576" t="s">
        <v>35620</v>
      </c>
      <c r="B11576" t="s">
        <v>36091</v>
      </c>
      <c r="C11576" t="s">
        <v>36092</v>
      </c>
      <c r="D11576" t="s">
        <v>36093</v>
      </c>
      <c r="E11576" t="s">
        <v>36094</v>
      </c>
      <c r="F11576" t="s">
        <v>36095</v>
      </c>
      <c r="G11576" s="2" t="str">
        <f>HYPERLINK("https://probpalata.gov.ru/files/ИП250900286300000.jpeg","Скачать индивидуальный QR-код магазина")</f>
        <v>Скачать индивидуальный QR-код магазина</v>
      </c>
    </row>
    <row r="11577" spans="1:7" x14ac:dyDescent="0.25">
      <c r="A11577" t="s">
        <v>35620</v>
      </c>
      <c r="B11577" t="s">
        <v>36096</v>
      </c>
      <c r="C11577" t="s">
        <v>36097</v>
      </c>
      <c r="D11577" t="s">
        <v>36098</v>
      </c>
      <c r="E11577" t="s">
        <v>36099</v>
      </c>
      <c r="F11577" t="s">
        <v>36100</v>
      </c>
      <c r="G11577" s="2" t="str">
        <f>HYPERLINK("https://probpalata.gov.ru/files/ЮЛ250900210900001.jpeg","Скачать индивидуальный QR-код магазина")</f>
        <v>Скачать индивидуальный QR-код магазина</v>
      </c>
    </row>
    <row r="11578" spans="1:7" x14ac:dyDescent="0.25">
      <c r="A11578" t="s">
        <v>35620</v>
      </c>
      <c r="B11578" t="s">
        <v>35962</v>
      </c>
      <c r="C11578" t="s">
        <v>36097</v>
      </c>
      <c r="D11578" t="s">
        <v>36098</v>
      </c>
      <c r="E11578" t="s">
        <v>36099</v>
      </c>
      <c r="F11578" t="s">
        <v>36101</v>
      </c>
      <c r="G11578" s="2" t="str">
        <f>HYPERLINK("https://probpalata.gov.ru/files/ЮЛ250900210900002.jpeg","Скачать индивидуальный QR-код магазина")</f>
        <v>Скачать индивидуальный QR-код магазина</v>
      </c>
    </row>
    <row r="11579" spans="1:7" x14ac:dyDescent="0.25">
      <c r="A11579" t="s">
        <v>35620</v>
      </c>
      <c r="B11579" t="s">
        <v>36102</v>
      </c>
      <c r="C11579" t="s">
        <v>36097</v>
      </c>
      <c r="D11579" t="s">
        <v>36098</v>
      </c>
      <c r="E11579" t="s">
        <v>36099</v>
      </c>
      <c r="F11579" t="s">
        <v>36103</v>
      </c>
      <c r="G11579" s="2" t="str">
        <f>HYPERLINK("https://probpalata.gov.ru/files/ЮЛ250900210900003.jpeg","Скачать индивидуальный QR-код магазина")</f>
        <v>Скачать индивидуальный QR-код магазина</v>
      </c>
    </row>
    <row r="11580" spans="1:7" x14ac:dyDescent="0.25">
      <c r="A11580" t="s">
        <v>35620</v>
      </c>
      <c r="B11580" t="s">
        <v>36104</v>
      </c>
      <c r="C11580" t="s">
        <v>36097</v>
      </c>
      <c r="D11580" t="s">
        <v>36098</v>
      </c>
      <c r="E11580" t="s">
        <v>36099</v>
      </c>
      <c r="F11580" t="s">
        <v>36105</v>
      </c>
      <c r="G11580" s="2" t="str">
        <f>HYPERLINK("https://probpalata.gov.ru/files/ЮЛ250900210900004.jpeg","Скачать индивидуальный QR-код магазина")</f>
        <v>Скачать индивидуальный QR-код магазина</v>
      </c>
    </row>
    <row r="11581" spans="1:7" x14ac:dyDescent="0.25">
      <c r="A11581" t="s">
        <v>35620</v>
      </c>
      <c r="B11581" t="s">
        <v>36106</v>
      </c>
      <c r="C11581" t="s">
        <v>36097</v>
      </c>
      <c r="D11581" t="s">
        <v>36098</v>
      </c>
      <c r="E11581" t="s">
        <v>36099</v>
      </c>
      <c r="F11581" t="s">
        <v>36107</v>
      </c>
      <c r="G11581" s="2" t="str">
        <f>HYPERLINK("https://probpalata.gov.ru/files/ЮЛ250900210900005.jpeg","Скачать индивидуальный QR-код магазина")</f>
        <v>Скачать индивидуальный QR-код магазина</v>
      </c>
    </row>
    <row r="11582" spans="1:7" x14ac:dyDescent="0.25">
      <c r="A11582" t="s">
        <v>35620</v>
      </c>
      <c r="B11582" t="s">
        <v>36108</v>
      </c>
      <c r="C11582" t="s">
        <v>36097</v>
      </c>
      <c r="D11582" t="s">
        <v>36098</v>
      </c>
      <c r="E11582" t="s">
        <v>36099</v>
      </c>
      <c r="F11582" t="s">
        <v>36109</v>
      </c>
      <c r="G11582" s="2" t="str">
        <f>HYPERLINK("https://probpalata.gov.ru/files/ЮЛ250900210900006.jpeg","Скачать индивидуальный QR-код магазина")</f>
        <v>Скачать индивидуальный QR-код магазина</v>
      </c>
    </row>
    <row r="11583" spans="1:7" x14ac:dyDescent="0.25">
      <c r="A11583" t="s">
        <v>35620</v>
      </c>
      <c r="B11583" t="s">
        <v>36110</v>
      </c>
      <c r="C11583" t="s">
        <v>36111</v>
      </c>
      <c r="D11583" t="s">
        <v>36112</v>
      </c>
      <c r="E11583" t="s">
        <v>36113</v>
      </c>
      <c r="F11583" t="s">
        <v>36114</v>
      </c>
      <c r="G11583" s="2" t="str">
        <f>HYPERLINK("https://probpalata.gov.ru/files/ИП250900448900000.jpeg","Скачать индивидуальный QR-код магазина")</f>
        <v>Скачать индивидуальный QR-код магазина</v>
      </c>
    </row>
    <row r="11584" spans="1:7" x14ac:dyDescent="0.25">
      <c r="A11584" t="s">
        <v>35620</v>
      </c>
      <c r="B11584" t="s">
        <v>36115</v>
      </c>
      <c r="C11584" t="s">
        <v>36116</v>
      </c>
      <c r="D11584" t="s">
        <v>36117</v>
      </c>
      <c r="E11584" t="s">
        <v>36118</v>
      </c>
      <c r="F11584" t="s">
        <v>36119</v>
      </c>
      <c r="G11584" s="2" t="str">
        <f>HYPERLINK("https://probpalata.gov.ru/files/ЮЛ250900016000000.jpeg","Скачать индивидуальный QR-код магазина")</f>
        <v>Скачать индивидуальный QR-код магазина</v>
      </c>
    </row>
    <row r="11585" spans="1:7" x14ac:dyDescent="0.25">
      <c r="A11585" t="s">
        <v>35620</v>
      </c>
      <c r="B11585" t="s">
        <v>36120</v>
      </c>
      <c r="C11585" t="s">
        <v>36121</v>
      </c>
      <c r="D11585" t="s">
        <v>36122</v>
      </c>
      <c r="E11585" t="s">
        <v>36123</v>
      </c>
      <c r="F11585" t="s">
        <v>36124</v>
      </c>
      <c r="G11585" s="2" t="str">
        <f>HYPERLINK("https://probpalata.gov.ru/files/ИП250904109500000.jpeg","Скачать индивидуальный QR-код магазина")</f>
        <v>Скачать индивидуальный QR-код магазина</v>
      </c>
    </row>
    <row r="11586" spans="1:7" x14ac:dyDescent="0.25">
      <c r="A11586" t="s">
        <v>35620</v>
      </c>
      <c r="B11586" t="s">
        <v>36125</v>
      </c>
      <c r="C11586" t="s">
        <v>36126</v>
      </c>
      <c r="D11586" t="s">
        <v>36127</v>
      </c>
      <c r="E11586" t="s">
        <v>36128</v>
      </c>
      <c r="F11586" t="s">
        <v>36129</v>
      </c>
      <c r="G11586" s="2" t="str">
        <f>HYPERLINK("https://probpalata.gov.ru/files/ИП250900567700000.jpeg","Скачать индивидуальный QR-код магазина")</f>
        <v>Скачать индивидуальный QR-код магазина</v>
      </c>
    </row>
    <row r="11587" spans="1:7" x14ac:dyDescent="0.25">
      <c r="A11587" t="s">
        <v>35620</v>
      </c>
      <c r="B11587" t="s">
        <v>36115</v>
      </c>
      <c r="C11587" t="s">
        <v>36130</v>
      </c>
      <c r="D11587" t="s">
        <v>36131</v>
      </c>
      <c r="E11587" t="s">
        <v>36132</v>
      </c>
      <c r="F11587" t="s">
        <v>36133</v>
      </c>
      <c r="G11587" s="2" t="str">
        <f>HYPERLINK("https://probpalata.gov.ru/files/ИП250900030100000.jpeg","Скачать индивидуальный QR-код магазина")</f>
        <v>Скачать индивидуальный QR-код магазина</v>
      </c>
    </row>
    <row r="11588" spans="1:7" x14ac:dyDescent="0.25">
      <c r="A11588" t="s">
        <v>35620</v>
      </c>
      <c r="B11588" t="s">
        <v>36134</v>
      </c>
      <c r="C11588" t="s">
        <v>36135</v>
      </c>
      <c r="D11588" t="s">
        <v>36136</v>
      </c>
      <c r="E11588" t="s">
        <v>36137</v>
      </c>
      <c r="F11588" t="s">
        <v>36138</v>
      </c>
      <c r="G11588" s="2" t="str">
        <f>HYPERLINK("https://probpalata.gov.ru/files/ИП250900509800000.jpeg","Скачать индивидуальный QR-код магазина")</f>
        <v>Скачать индивидуальный QR-код магазина</v>
      </c>
    </row>
    <row r="11589" spans="1:7" x14ac:dyDescent="0.25">
      <c r="A11589" t="s">
        <v>35620</v>
      </c>
      <c r="B11589" t="s">
        <v>36139</v>
      </c>
      <c r="C11589" t="s">
        <v>36140</v>
      </c>
      <c r="D11589" t="s">
        <v>36141</v>
      </c>
      <c r="E11589" t="s">
        <v>36142</v>
      </c>
      <c r="F11589" t="s">
        <v>36143</v>
      </c>
      <c r="G11589" s="2" t="str">
        <f>HYPERLINK("https://probpalata.gov.ru/files/ИП250901353600000.jpeg","Скачать индивидуальный QR-код магазина")</f>
        <v>Скачать индивидуальный QR-код магазина</v>
      </c>
    </row>
    <row r="11590" spans="1:7" x14ac:dyDescent="0.25">
      <c r="A11590" t="s">
        <v>35620</v>
      </c>
      <c r="B11590" t="s">
        <v>36144</v>
      </c>
      <c r="C11590" t="s">
        <v>36140</v>
      </c>
      <c r="D11590" t="s">
        <v>36141</v>
      </c>
      <c r="E11590" t="s">
        <v>36142</v>
      </c>
      <c r="F11590" t="s">
        <v>36145</v>
      </c>
      <c r="G11590" s="2" t="str">
        <f>HYPERLINK("https://probpalata.gov.ru/files/ИП250901353600001.jpeg","Скачать индивидуальный QR-код магазина")</f>
        <v>Скачать индивидуальный QR-код магазина</v>
      </c>
    </row>
    <row r="11591" spans="1:7" x14ac:dyDescent="0.25">
      <c r="A11591" t="s">
        <v>35620</v>
      </c>
      <c r="B11591" t="s">
        <v>36146</v>
      </c>
      <c r="C11591" t="s">
        <v>36147</v>
      </c>
      <c r="D11591" t="s">
        <v>36148</v>
      </c>
      <c r="E11591" t="s">
        <v>36149</v>
      </c>
      <c r="F11591" t="s">
        <v>36150</v>
      </c>
      <c r="G11591" s="2" t="str">
        <f>HYPERLINK("https://probpalata.gov.ru/files/ИП250900248000001.jpeg","Скачать индивидуальный QR-код магазина")</f>
        <v>Скачать индивидуальный QR-код магазина</v>
      </c>
    </row>
    <row r="11592" spans="1:7" x14ac:dyDescent="0.25">
      <c r="A11592" t="s">
        <v>35620</v>
      </c>
      <c r="B11592" t="s">
        <v>36151</v>
      </c>
      <c r="C11592" t="s">
        <v>36147</v>
      </c>
      <c r="D11592" t="s">
        <v>36148</v>
      </c>
      <c r="E11592" t="s">
        <v>36149</v>
      </c>
      <c r="F11592" t="s">
        <v>36152</v>
      </c>
      <c r="G11592" s="2" t="str">
        <f>HYPERLINK("https://probpalata.gov.ru/files/ИП250900248000003.jpeg","Скачать индивидуальный QR-код магазина")</f>
        <v>Скачать индивидуальный QR-код магазина</v>
      </c>
    </row>
    <row r="11593" spans="1:7" x14ac:dyDescent="0.25">
      <c r="A11593" t="s">
        <v>35620</v>
      </c>
      <c r="B11593" t="s">
        <v>36153</v>
      </c>
      <c r="C11593" t="s">
        <v>36147</v>
      </c>
      <c r="D11593" t="s">
        <v>36148</v>
      </c>
      <c r="E11593" t="s">
        <v>36149</v>
      </c>
      <c r="F11593" t="s">
        <v>36154</v>
      </c>
      <c r="G11593" s="2" t="str">
        <f>HYPERLINK("https://probpalata.gov.ru/files/ИП250900248000004.jpeg","Скачать индивидуальный QR-код магазина")</f>
        <v>Скачать индивидуальный QR-код магазина</v>
      </c>
    </row>
    <row r="11594" spans="1:7" x14ac:dyDescent="0.25">
      <c r="A11594" t="s">
        <v>35620</v>
      </c>
      <c r="B11594" t="s">
        <v>36155</v>
      </c>
      <c r="C11594" t="s">
        <v>36147</v>
      </c>
      <c r="D11594" t="s">
        <v>36148</v>
      </c>
      <c r="E11594" t="s">
        <v>36149</v>
      </c>
      <c r="F11594" t="s">
        <v>36156</v>
      </c>
      <c r="G11594" s="2" t="str">
        <f>HYPERLINK("https://probpalata.gov.ru/files/ИП250900248000005.jpeg","Скачать индивидуальный QR-код магазина")</f>
        <v>Скачать индивидуальный QR-код магазина</v>
      </c>
    </row>
    <row r="11595" spans="1:7" x14ac:dyDescent="0.25">
      <c r="A11595" t="s">
        <v>35620</v>
      </c>
      <c r="B11595" t="s">
        <v>36157</v>
      </c>
      <c r="C11595" t="s">
        <v>36147</v>
      </c>
      <c r="D11595" t="s">
        <v>36148</v>
      </c>
      <c r="E11595" t="s">
        <v>36149</v>
      </c>
      <c r="F11595" t="s">
        <v>36158</v>
      </c>
      <c r="G11595" s="2" t="str">
        <f>HYPERLINK("https://probpalata.gov.ru/files/ИП250900248000006.jpeg","Скачать индивидуальный QR-код магазина")</f>
        <v>Скачать индивидуальный QR-код магазина</v>
      </c>
    </row>
    <row r="11596" spans="1:7" x14ac:dyDescent="0.25">
      <c r="A11596" t="s">
        <v>35620</v>
      </c>
      <c r="B11596" t="s">
        <v>36159</v>
      </c>
      <c r="C11596" t="s">
        <v>36147</v>
      </c>
      <c r="D11596" t="s">
        <v>36148</v>
      </c>
      <c r="E11596" t="s">
        <v>36149</v>
      </c>
      <c r="F11596" t="s">
        <v>36160</v>
      </c>
      <c r="G11596" s="2" t="str">
        <f>HYPERLINK("https://probpalata.gov.ru/files/ИП250900248000007.jpeg","Скачать индивидуальный QR-код магазина")</f>
        <v>Скачать индивидуальный QR-код магазина</v>
      </c>
    </row>
    <row r="11597" spans="1:7" x14ac:dyDescent="0.25">
      <c r="A11597" t="s">
        <v>35620</v>
      </c>
      <c r="B11597" t="s">
        <v>36161</v>
      </c>
      <c r="C11597" t="s">
        <v>36147</v>
      </c>
      <c r="D11597" t="s">
        <v>36148</v>
      </c>
      <c r="E11597" t="s">
        <v>36149</v>
      </c>
      <c r="F11597" t="s">
        <v>36162</v>
      </c>
      <c r="G11597" s="2" t="str">
        <f>HYPERLINK("https://probpalata.gov.ru/files/ИП250900248000009.jpeg","Скачать индивидуальный QR-код магазина")</f>
        <v>Скачать индивидуальный QR-код магазина</v>
      </c>
    </row>
    <row r="11598" spans="1:7" x14ac:dyDescent="0.25">
      <c r="A11598" t="s">
        <v>35620</v>
      </c>
      <c r="B11598" t="s">
        <v>36163</v>
      </c>
      <c r="C11598" t="s">
        <v>36147</v>
      </c>
      <c r="D11598" t="s">
        <v>36148</v>
      </c>
      <c r="E11598" t="s">
        <v>36149</v>
      </c>
      <c r="F11598" t="s">
        <v>36164</v>
      </c>
      <c r="G11598" s="2" t="str">
        <f>HYPERLINK("https://probpalata.gov.ru/files/ИП250900248000011.jpeg","Скачать индивидуальный QR-код магазина")</f>
        <v>Скачать индивидуальный QR-код магазина</v>
      </c>
    </row>
    <row r="11599" spans="1:7" x14ac:dyDescent="0.25">
      <c r="A11599" t="s">
        <v>35620</v>
      </c>
      <c r="B11599" t="s">
        <v>36165</v>
      </c>
      <c r="C11599" t="s">
        <v>36147</v>
      </c>
      <c r="D11599" t="s">
        <v>36148</v>
      </c>
      <c r="E11599" t="s">
        <v>36149</v>
      </c>
      <c r="F11599" t="s">
        <v>36166</v>
      </c>
      <c r="G11599" s="2" t="str">
        <f>HYPERLINK("https://probpalata.gov.ru/files/ИП250900248000012.jpeg","Скачать индивидуальный QR-код магазина")</f>
        <v>Скачать индивидуальный QR-код магазина</v>
      </c>
    </row>
    <row r="11600" spans="1:7" x14ac:dyDescent="0.25">
      <c r="A11600" t="s">
        <v>35620</v>
      </c>
      <c r="B11600" t="s">
        <v>36167</v>
      </c>
      <c r="C11600" t="s">
        <v>36147</v>
      </c>
      <c r="D11600" t="s">
        <v>36148</v>
      </c>
      <c r="E11600" t="s">
        <v>36149</v>
      </c>
      <c r="F11600" t="s">
        <v>36168</v>
      </c>
      <c r="G11600" s="2" t="str">
        <f>HYPERLINK("https://probpalata.gov.ru/files/ИП250900248000013.jpeg","Скачать индивидуальный QR-код магазина")</f>
        <v>Скачать индивидуальный QR-код магазина</v>
      </c>
    </row>
    <row r="11601" spans="1:7" x14ac:dyDescent="0.25">
      <c r="A11601" t="s">
        <v>35620</v>
      </c>
      <c r="B11601" t="s">
        <v>36169</v>
      </c>
      <c r="C11601" t="s">
        <v>36147</v>
      </c>
      <c r="D11601" t="s">
        <v>36148</v>
      </c>
      <c r="E11601" t="s">
        <v>36149</v>
      </c>
      <c r="F11601" t="s">
        <v>36170</v>
      </c>
      <c r="G11601" s="2" t="str">
        <f>HYPERLINK("https://probpalata.gov.ru/files/ИП250900248000014.jpeg","Скачать индивидуальный QR-код магазина")</f>
        <v>Скачать индивидуальный QR-код магазина</v>
      </c>
    </row>
    <row r="11602" spans="1:7" x14ac:dyDescent="0.25">
      <c r="A11602" t="s">
        <v>35620</v>
      </c>
      <c r="B11602" t="s">
        <v>36171</v>
      </c>
      <c r="C11602" t="s">
        <v>36147</v>
      </c>
      <c r="D11602" t="s">
        <v>36148</v>
      </c>
      <c r="E11602" t="s">
        <v>36149</v>
      </c>
      <c r="F11602" t="s">
        <v>36172</v>
      </c>
      <c r="G11602" s="2" t="str">
        <f>HYPERLINK("https://probpalata.gov.ru/files/ИП250900248000015.jpeg","Скачать индивидуальный QR-код магазина")</f>
        <v>Скачать индивидуальный QR-код магазина</v>
      </c>
    </row>
    <row r="11603" spans="1:7" x14ac:dyDescent="0.25">
      <c r="A11603" t="s">
        <v>35620</v>
      </c>
      <c r="B11603" t="s">
        <v>35785</v>
      </c>
      <c r="C11603" t="s">
        <v>36147</v>
      </c>
      <c r="D11603" t="s">
        <v>36148</v>
      </c>
      <c r="E11603" t="s">
        <v>36149</v>
      </c>
      <c r="F11603" t="s">
        <v>36173</v>
      </c>
      <c r="G11603" s="2" t="str">
        <f>HYPERLINK("https://probpalata.gov.ru/files/ИП250900248000020.jpeg","Скачать индивидуальный QR-код магазина")</f>
        <v>Скачать индивидуальный QR-код магазина</v>
      </c>
    </row>
    <row r="11604" spans="1:7" x14ac:dyDescent="0.25">
      <c r="A11604" t="s">
        <v>35620</v>
      </c>
      <c r="B11604" t="s">
        <v>36174</v>
      </c>
      <c r="C11604" t="s">
        <v>36147</v>
      </c>
      <c r="D11604" t="s">
        <v>36148</v>
      </c>
      <c r="E11604" t="s">
        <v>36149</v>
      </c>
      <c r="F11604" t="s">
        <v>36175</v>
      </c>
      <c r="G11604" s="2" t="str">
        <f>HYPERLINK("https://probpalata.gov.ru/files/ИП250900248000021.jpeg","Скачать индивидуальный QR-код магазина")</f>
        <v>Скачать индивидуальный QR-код магазина</v>
      </c>
    </row>
    <row r="11605" spans="1:7" x14ac:dyDescent="0.25">
      <c r="A11605" t="s">
        <v>35620</v>
      </c>
      <c r="B11605" t="s">
        <v>36176</v>
      </c>
      <c r="C11605" t="s">
        <v>36147</v>
      </c>
      <c r="D11605" t="s">
        <v>36148</v>
      </c>
      <c r="E11605" t="s">
        <v>36149</v>
      </c>
      <c r="F11605" t="s">
        <v>36177</v>
      </c>
      <c r="G11605" s="2" t="str">
        <f>HYPERLINK("https://probpalata.gov.ru/files/ИП250900248000022.jpeg","Скачать индивидуальный QR-код магазина")</f>
        <v>Скачать индивидуальный QR-код магазина</v>
      </c>
    </row>
    <row r="11606" spans="1:7" x14ac:dyDescent="0.25">
      <c r="A11606" t="s">
        <v>35620</v>
      </c>
      <c r="B11606" t="s">
        <v>36178</v>
      </c>
      <c r="C11606" t="s">
        <v>36147</v>
      </c>
      <c r="D11606" t="s">
        <v>36148</v>
      </c>
      <c r="E11606" t="s">
        <v>36149</v>
      </c>
      <c r="F11606" t="s">
        <v>36179</v>
      </c>
      <c r="G11606" s="2" t="str">
        <f>HYPERLINK("https://probpalata.gov.ru/files/ИП250900248000024.jpeg","Скачать индивидуальный QR-код магазина")</f>
        <v>Скачать индивидуальный QR-код магазина</v>
      </c>
    </row>
    <row r="11607" spans="1:7" x14ac:dyDescent="0.25">
      <c r="A11607" t="s">
        <v>35620</v>
      </c>
      <c r="B11607" t="s">
        <v>36180</v>
      </c>
      <c r="C11607" t="s">
        <v>36147</v>
      </c>
      <c r="D11607" t="s">
        <v>36148</v>
      </c>
      <c r="E11607" t="s">
        <v>36149</v>
      </c>
      <c r="F11607" t="s">
        <v>36181</v>
      </c>
      <c r="G11607" s="2" t="str">
        <f>HYPERLINK("https://probpalata.gov.ru/files/ИП250900248000025.jpeg","Скачать индивидуальный QR-код магазина")</f>
        <v>Скачать индивидуальный QR-код магазина</v>
      </c>
    </row>
    <row r="11608" spans="1:7" x14ac:dyDescent="0.25">
      <c r="A11608" t="s">
        <v>35620</v>
      </c>
      <c r="B11608" t="s">
        <v>36182</v>
      </c>
      <c r="C11608" t="s">
        <v>36147</v>
      </c>
      <c r="D11608" t="s">
        <v>36148</v>
      </c>
      <c r="E11608" t="s">
        <v>36149</v>
      </c>
      <c r="F11608" t="s">
        <v>36183</v>
      </c>
      <c r="G11608" s="2" t="str">
        <f>HYPERLINK("https://probpalata.gov.ru/files/ИП250900248000026.jpeg","Скачать индивидуальный QR-код магазина")</f>
        <v>Скачать индивидуальный QR-код магазина</v>
      </c>
    </row>
    <row r="11609" spans="1:7" x14ac:dyDescent="0.25">
      <c r="A11609" t="s">
        <v>35620</v>
      </c>
      <c r="B11609" t="s">
        <v>35724</v>
      </c>
      <c r="C11609" t="s">
        <v>36184</v>
      </c>
      <c r="D11609" t="s">
        <v>36185</v>
      </c>
      <c r="E11609" t="s">
        <v>36186</v>
      </c>
      <c r="F11609" t="s">
        <v>36187</v>
      </c>
      <c r="G11609" s="2" t="str">
        <f>HYPERLINK("https://probpalata.gov.ru/files/ИП250901157600000.jpeg","Скачать индивидуальный QR-код магазина")</f>
        <v>Скачать индивидуальный QR-код магазина</v>
      </c>
    </row>
    <row r="11610" spans="1:7" x14ac:dyDescent="0.25">
      <c r="A11610" t="s">
        <v>35620</v>
      </c>
      <c r="B11610" t="s">
        <v>36188</v>
      </c>
      <c r="C11610" t="s">
        <v>36189</v>
      </c>
      <c r="D11610" t="s">
        <v>36190</v>
      </c>
      <c r="E11610" t="s">
        <v>36191</v>
      </c>
      <c r="F11610" t="s">
        <v>36192</v>
      </c>
      <c r="G11610" s="2" t="str">
        <f>HYPERLINK("https://probpalata.gov.ru/files/ИП250900094400000.jpeg","Скачать индивидуальный QR-код магазина")</f>
        <v>Скачать индивидуальный QR-код магазина</v>
      </c>
    </row>
    <row r="11611" spans="1:7" x14ac:dyDescent="0.25">
      <c r="A11611" t="s">
        <v>35620</v>
      </c>
      <c r="B11611" t="s">
        <v>36193</v>
      </c>
      <c r="C11611" t="s">
        <v>36189</v>
      </c>
      <c r="D11611" t="s">
        <v>36190</v>
      </c>
      <c r="E11611" t="s">
        <v>36191</v>
      </c>
      <c r="F11611" t="s">
        <v>36194</v>
      </c>
      <c r="G11611" s="2" t="str">
        <f>HYPERLINK("https://probpalata.gov.ru/files/ИП250900094400001.jpeg","Скачать индивидуальный QR-код магазина")</f>
        <v>Скачать индивидуальный QR-код магазина</v>
      </c>
    </row>
    <row r="11612" spans="1:7" x14ac:dyDescent="0.25">
      <c r="A11612" t="s">
        <v>35620</v>
      </c>
      <c r="B11612" t="s">
        <v>36195</v>
      </c>
      <c r="C11612" t="s">
        <v>36189</v>
      </c>
      <c r="D11612" t="s">
        <v>36190</v>
      </c>
      <c r="E11612" t="s">
        <v>36191</v>
      </c>
      <c r="F11612" t="s">
        <v>36196</v>
      </c>
      <c r="G11612" s="2" t="str">
        <f>HYPERLINK("https://probpalata.gov.ru/files/ИП250900094400002.jpeg","Скачать индивидуальный QR-код магазина")</f>
        <v>Скачать индивидуальный QR-код магазина</v>
      </c>
    </row>
    <row r="11613" spans="1:7" x14ac:dyDescent="0.25">
      <c r="A11613" t="s">
        <v>35620</v>
      </c>
      <c r="B11613" t="s">
        <v>36197</v>
      </c>
      <c r="C11613" t="s">
        <v>36189</v>
      </c>
      <c r="D11613" t="s">
        <v>36190</v>
      </c>
      <c r="E11613" t="s">
        <v>36191</v>
      </c>
      <c r="F11613" t="s">
        <v>36198</v>
      </c>
      <c r="G11613" s="2" t="str">
        <f>HYPERLINK("https://probpalata.gov.ru/files/ИП250900094400003.jpeg","Скачать индивидуальный QR-код магазина")</f>
        <v>Скачать индивидуальный QR-код магазина</v>
      </c>
    </row>
    <row r="11614" spans="1:7" x14ac:dyDescent="0.25">
      <c r="A11614" t="s">
        <v>35620</v>
      </c>
      <c r="B11614" t="s">
        <v>36199</v>
      </c>
      <c r="C11614" t="s">
        <v>36200</v>
      </c>
      <c r="D11614" t="s">
        <v>36201</v>
      </c>
      <c r="E11614" t="s">
        <v>36202</v>
      </c>
      <c r="F11614" t="s">
        <v>36203</v>
      </c>
      <c r="G11614" s="2" t="str">
        <f>HYPERLINK("https://probpalata.gov.ru/files/ИП250900787100000.jpeg","Скачать индивидуальный QR-код магазина")</f>
        <v>Скачать индивидуальный QR-код магазина</v>
      </c>
    </row>
    <row r="11615" spans="1:7" x14ac:dyDescent="0.25">
      <c r="A11615" t="s">
        <v>35620</v>
      </c>
      <c r="B11615" t="s">
        <v>36204</v>
      </c>
      <c r="C11615" t="s">
        <v>36205</v>
      </c>
      <c r="D11615" t="s">
        <v>36206</v>
      </c>
      <c r="E11615" t="s">
        <v>36207</v>
      </c>
      <c r="F11615" t="s">
        <v>36208</v>
      </c>
      <c r="G11615" s="2" t="str">
        <f>HYPERLINK("https://probpalata.gov.ru/files/ИП250901098900000.jpeg","Скачать индивидуальный QR-код магазина")</f>
        <v>Скачать индивидуальный QR-код магазина</v>
      </c>
    </row>
    <row r="11616" spans="1:7" x14ac:dyDescent="0.25">
      <c r="A11616" t="s">
        <v>35620</v>
      </c>
      <c r="B11616" t="s">
        <v>36209</v>
      </c>
      <c r="C11616" t="s">
        <v>36205</v>
      </c>
      <c r="D11616" t="s">
        <v>36206</v>
      </c>
      <c r="E11616" t="s">
        <v>36207</v>
      </c>
      <c r="F11616" t="s">
        <v>36210</v>
      </c>
      <c r="G11616" s="2" t="str">
        <f>HYPERLINK("https://probpalata.gov.ru/files/ИП250901098900001.jpeg","Скачать индивидуальный QR-код магазина")</f>
        <v>Скачать индивидуальный QR-код магазина</v>
      </c>
    </row>
    <row r="11617" spans="1:7" x14ac:dyDescent="0.25">
      <c r="A11617" t="s">
        <v>35620</v>
      </c>
      <c r="B11617" t="s">
        <v>36211</v>
      </c>
      <c r="C11617" t="s">
        <v>36205</v>
      </c>
      <c r="D11617" t="s">
        <v>36206</v>
      </c>
      <c r="E11617" t="s">
        <v>36207</v>
      </c>
      <c r="F11617" t="s">
        <v>36212</v>
      </c>
      <c r="G11617" s="2" t="str">
        <f>HYPERLINK("https://probpalata.gov.ru/files/ИП250901098900002.jpeg","Скачать индивидуальный QR-код магазина")</f>
        <v>Скачать индивидуальный QR-код магазина</v>
      </c>
    </row>
    <row r="11618" spans="1:7" x14ac:dyDescent="0.25">
      <c r="A11618" t="s">
        <v>35620</v>
      </c>
      <c r="B11618" t="s">
        <v>36213</v>
      </c>
      <c r="C11618" t="s">
        <v>36205</v>
      </c>
      <c r="D11618" t="s">
        <v>36206</v>
      </c>
      <c r="E11618" t="s">
        <v>36207</v>
      </c>
      <c r="F11618" t="s">
        <v>36214</v>
      </c>
      <c r="G11618" s="2" t="str">
        <f>HYPERLINK("https://probpalata.gov.ru/files/ИП250901098900003.jpeg","Скачать индивидуальный QR-код магазина")</f>
        <v>Скачать индивидуальный QR-код магазина</v>
      </c>
    </row>
    <row r="11619" spans="1:7" x14ac:dyDescent="0.25">
      <c r="A11619" t="s">
        <v>35620</v>
      </c>
      <c r="B11619" t="s">
        <v>36215</v>
      </c>
      <c r="C11619" t="s">
        <v>36216</v>
      </c>
      <c r="D11619" t="s">
        <v>36217</v>
      </c>
      <c r="E11619" t="s">
        <v>36218</v>
      </c>
      <c r="F11619" t="s">
        <v>36219</v>
      </c>
      <c r="G11619" s="2" t="str">
        <f>HYPERLINK("https://probpalata.gov.ru/files/ИП250900584000000.jpeg","Скачать индивидуальный QR-код магазина")</f>
        <v>Скачать индивидуальный QR-код магазина</v>
      </c>
    </row>
    <row r="11620" spans="1:7" x14ac:dyDescent="0.25">
      <c r="A11620" t="s">
        <v>35620</v>
      </c>
      <c r="B11620" t="s">
        <v>36220</v>
      </c>
      <c r="C11620" t="s">
        <v>36216</v>
      </c>
      <c r="D11620" t="s">
        <v>36217</v>
      </c>
      <c r="E11620" t="s">
        <v>36218</v>
      </c>
      <c r="F11620" t="s">
        <v>36221</v>
      </c>
      <c r="G11620" s="2" t="str">
        <f>HYPERLINK("https://probpalata.gov.ru/files/ИП250900584000004.jpeg","Скачать индивидуальный QR-код магазина")</f>
        <v>Скачать индивидуальный QR-код магазина</v>
      </c>
    </row>
    <row r="11621" spans="1:7" x14ac:dyDescent="0.25">
      <c r="A11621" t="s">
        <v>35620</v>
      </c>
      <c r="B11621" t="s">
        <v>36222</v>
      </c>
      <c r="C11621" t="s">
        <v>36216</v>
      </c>
      <c r="D11621" t="s">
        <v>36217</v>
      </c>
      <c r="E11621" t="s">
        <v>36218</v>
      </c>
      <c r="F11621" t="s">
        <v>36223</v>
      </c>
      <c r="G11621" s="2" t="str">
        <f>HYPERLINK("https://probpalata.gov.ru/files/ИП250900584000005.jpeg","Скачать индивидуальный QR-код магазина")</f>
        <v>Скачать индивидуальный QR-код магазина</v>
      </c>
    </row>
    <row r="11622" spans="1:7" x14ac:dyDescent="0.25">
      <c r="A11622" t="s">
        <v>35620</v>
      </c>
      <c r="B11622" t="s">
        <v>36224</v>
      </c>
      <c r="C11622" t="s">
        <v>36216</v>
      </c>
      <c r="D11622" t="s">
        <v>36217</v>
      </c>
      <c r="E11622" t="s">
        <v>36218</v>
      </c>
      <c r="F11622" t="s">
        <v>36225</v>
      </c>
      <c r="G11622" s="2" t="str">
        <f>HYPERLINK("https://probpalata.gov.ru/files/ИП250900584000006.jpeg","Скачать индивидуальный QR-код магазина")</f>
        <v>Скачать индивидуальный QR-код магазина</v>
      </c>
    </row>
    <row r="11623" spans="1:7" x14ac:dyDescent="0.25">
      <c r="A11623" t="s">
        <v>35620</v>
      </c>
      <c r="B11623" t="s">
        <v>36226</v>
      </c>
      <c r="C11623" t="s">
        <v>36216</v>
      </c>
      <c r="D11623" t="s">
        <v>36217</v>
      </c>
      <c r="E11623" t="s">
        <v>36218</v>
      </c>
      <c r="F11623" t="s">
        <v>36227</v>
      </c>
      <c r="G11623" s="2" t="str">
        <f>HYPERLINK("https://probpalata.gov.ru/files/ИП250900584000007.jpeg","Скачать индивидуальный QR-код магазина")</f>
        <v>Скачать индивидуальный QR-код магазина</v>
      </c>
    </row>
    <row r="11624" spans="1:7" x14ac:dyDescent="0.25">
      <c r="A11624" t="s">
        <v>35620</v>
      </c>
      <c r="B11624" t="s">
        <v>36228</v>
      </c>
      <c r="C11624" t="s">
        <v>36216</v>
      </c>
      <c r="D11624" t="s">
        <v>36217</v>
      </c>
      <c r="E11624" t="s">
        <v>36218</v>
      </c>
      <c r="F11624" t="s">
        <v>36229</v>
      </c>
      <c r="G11624" s="2" t="str">
        <f>HYPERLINK("https://probpalata.gov.ru/files/ИП250900584000009.jpeg","Скачать индивидуальный QR-код магазина")</f>
        <v>Скачать индивидуальный QR-код магазина</v>
      </c>
    </row>
    <row r="11625" spans="1:7" x14ac:dyDescent="0.25">
      <c r="A11625" t="s">
        <v>35620</v>
      </c>
      <c r="B11625" t="s">
        <v>36230</v>
      </c>
      <c r="C11625" t="s">
        <v>36231</v>
      </c>
      <c r="D11625" t="s">
        <v>36232</v>
      </c>
      <c r="E11625" t="s">
        <v>36233</v>
      </c>
      <c r="F11625" t="s">
        <v>36234</v>
      </c>
      <c r="G11625" s="2" t="str">
        <f>HYPERLINK("https://probpalata.gov.ru/files/ИП250900840700000.jpeg","Скачать индивидуальный QR-код магазина")</f>
        <v>Скачать индивидуальный QR-код магазина</v>
      </c>
    </row>
    <row r="11626" spans="1:7" x14ac:dyDescent="0.25">
      <c r="A11626" t="s">
        <v>35620</v>
      </c>
      <c r="B11626" t="s">
        <v>36235</v>
      </c>
      <c r="C11626" t="s">
        <v>36236</v>
      </c>
      <c r="D11626" t="s">
        <v>36237</v>
      </c>
      <c r="E11626" t="s">
        <v>36238</v>
      </c>
      <c r="F11626" t="s">
        <v>36239</v>
      </c>
      <c r="G11626" s="2" t="str">
        <f>HYPERLINK("https://probpalata.gov.ru/files/ИП250903180800000.jpeg","Скачать индивидуальный QR-код магазина")</f>
        <v>Скачать индивидуальный QR-код магазина</v>
      </c>
    </row>
    <row r="11627" spans="1:7" x14ac:dyDescent="0.25">
      <c r="A11627" t="s">
        <v>35620</v>
      </c>
      <c r="B11627" t="s">
        <v>36240</v>
      </c>
      <c r="C11627" t="s">
        <v>36241</v>
      </c>
      <c r="D11627" t="s">
        <v>36242</v>
      </c>
      <c r="E11627" t="s">
        <v>36243</v>
      </c>
      <c r="F11627" t="s">
        <v>36244</v>
      </c>
      <c r="G11627" s="2" t="str">
        <f>HYPERLINK("https://probpalata.gov.ru/files/ИП250900212500000.jpeg","Скачать индивидуальный QR-код магазина")</f>
        <v>Скачать индивидуальный QR-код магазина</v>
      </c>
    </row>
    <row r="11628" spans="1:7" x14ac:dyDescent="0.25">
      <c r="A11628" t="s">
        <v>35620</v>
      </c>
      <c r="B11628" t="s">
        <v>36245</v>
      </c>
      <c r="C11628" t="s">
        <v>36241</v>
      </c>
      <c r="D11628" t="s">
        <v>36242</v>
      </c>
      <c r="E11628" t="s">
        <v>36243</v>
      </c>
      <c r="F11628" t="s">
        <v>36246</v>
      </c>
      <c r="G11628" s="2" t="str">
        <f>HYPERLINK("https://probpalata.gov.ru/files/ИП250900212500003.jpeg","Скачать индивидуальный QR-код магазина")</f>
        <v>Скачать индивидуальный QR-код магазина</v>
      </c>
    </row>
    <row r="11629" spans="1:7" x14ac:dyDescent="0.25">
      <c r="A11629" t="s">
        <v>35620</v>
      </c>
      <c r="B11629" t="s">
        <v>36247</v>
      </c>
      <c r="C11629" t="s">
        <v>36248</v>
      </c>
      <c r="D11629" t="s">
        <v>36249</v>
      </c>
      <c r="E11629" t="s">
        <v>36250</v>
      </c>
      <c r="F11629" t="s">
        <v>36251</v>
      </c>
      <c r="G11629" s="2" t="str">
        <f>HYPERLINK("https://probpalata.gov.ru/files/ИП250903491300000.jpeg","Скачать индивидуальный QR-код магазина")</f>
        <v>Скачать индивидуальный QR-код магазина</v>
      </c>
    </row>
    <row r="11630" spans="1:7" x14ac:dyDescent="0.25">
      <c r="A11630" t="s">
        <v>35620</v>
      </c>
      <c r="B11630" t="s">
        <v>35930</v>
      </c>
      <c r="C11630" t="s">
        <v>36252</v>
      </c>
      <c r="D11630" t="s">
        <v>36253</v>
      </c>
      <c r="E11630" t="s">
        <v>36254</v>
      </c>
      <c r="F11630" t="s">
        <v>36255</v>
      </c>
      <c r="G11630" s="2" t="str">
        <f>HYPERLINK("https://probpalata.gov.ru/files/ИП250900789600000.jpeg","Скачать индивидуальный QR-код магазина")</f>
        <v>Скачать индивидуальный QR-код магазина</v>
      </c>
    </row>
    <row r="11631" spans="1:7" x14ac:dyDescent="0.25">
      <c r="A11631" t="s">
        <v>35620</v>
      </c>
      <c r="B11631" t="s">
        <v>36220</v>
      </c>
      <c r="C11631" t="s">
        <v>36256</v>
      </c>
      <c r="D11631" t="s">
        <v>36257</v>
      </c>
      <c r="E11631" t="s">
        <v>36258</v>
      </c>
      <c r="F11631" t="s">
        <v>36259</v>
      </c>
      <c r="G11631" s="2" t="str">
        <f>HYPERLINK("https://probpalata.gov.ru/files/ЮЛ250900346800001.jpeg","Скачать индивидуальный QR-код магазина")</f>
        <v>Скачать индивидуальный QR-код магазина</v>
      </c>
    </row>
    <row r="11632" spans="1:7" x14ac:dyDescent="0.25">
      <c r="A11632" t="s">
        <v>35620</v>
      </c>
      <c r="B11632" t="s">
        <v>36260</v>
      </c>
      <c r="C11632" t="s">
        <v>36256</v>
      </c>
      <c r="D11632" t="s">
        <v>36257</v>
      </c>
      <c r="E11632" t="s">
        <v>36258</v>
      </c>
      <c r="F11632" t="s">
        <v>36261</v>
      </c>
      <c r="G11632" s="2" t="str">
        <f>HYPERLINK("https://probpalata.gov.ru/files/ЮЛ250900346800005.jpeg","Скачать индивидуальный QR-код магазина")</f>
        <v>Скачать индивидуальный QR-код магазина</v>
      </c>
    </row>
    <row r="11633" spans="1:7" x14ac:dyDescent="0.25">
      <c r="A11633" t="s">
        <v>35620</v>
      </c>
      <c r="B11633" t="s">
        <v>36262</v>
      </c>
      <c r="C11633" t="s">
        <v>36256</v>
      </c>
      <c r="D11633" t="s">
        <v>36257</v>
      </c>
      <c r="E11633" t="s">
        <v>36258</v>
      </c>
      <c r="F11633" t="s">
        <v>36263</v>
      </c>
      <c r="G11633" s="2" t="str">
        <f>HYPERLINK("https://probpalata.gov.ru/files/ЮЛ250900346800011.jpeg","Скачать индивидуальный QR-код магазина")</f>
        <v>Скачать индивидуальный QR-код магазина</v>
      </c>
    </row>
    <row r="11634" spans="1:7" x14ac:dyDescent="0.25">
      <c r="A11634" t="s">
        <v>35620</v>
      </c>
      <c r="B11634" t="s">
        <v>36264</v>
      </c>
      <c r="C11634" t="s">
        <v>36256</v>
      </c>
      <c r="D11634" t="s">
        <v>36257</v>
      </c>
      <c r="E11634" t="s">
        <v>36258</v>
      </c>
      <c r="F11634" t="s">
        <v>36265</v>
      </c>
      <c r="G11634" s="2" t="str">
        <f>HYPERLINK("https://probpalata.gov.ru/files/ЮЛ250900346800012.jpeg","Скачать индивидуальный QR-код магазина")</f>
        <v>Скачать индивидуальный QR-код магазина</v>
      </c>
    </row>
    <row r="11635" spans="1:7" x14ac:dyDescent="0.25">
      <c r="A11635" t="s">
        <v>35620</v>
      </c>
      <c r="B11635" t="s">
        <v>36266</v>
      </c>
      <c r="C11635" t="s">
        <v>36256</v>
      </c>
      <c r="D11635" t="s">
        <v>36257</v>
      </c>
      <c r="E11635" t="s">
        <v>36258</v>
      </c>
      <c r="F11635" t="s">
        <v>36267</v>
      </c>
      <c r="G11635" s="2" t="str">
        <f>HYPERLINK("https://probpalata.gov.ru/files/ЮЛ250900346800014.jpeg","Скачать индивидуальный QR-код магазина")</f>
        <v>Скачать индивидуальный QR-код магазина</v>
      </c>
    </row>
    <row r="11636" spans="1:7" x14ac:dyDescent="0.25">
      <c r="A11636" t="s">
        <v>35620</v>
      </c>
      <c r="B11636" t="s">
        <v>36268</v>
      </c>
      <c r="C11636" t="s">
        <v>36256</v>
      </c>
      <c r="D11636" t="s">
        <v>36257</v>
      </c>
      <c r="E11636" t="s">
        <v>36258</v>
      </c>
      <c r="F11636" t="s">
        <v>36269</v>
      </c>
      <c r="G11636" s="2" t="str">
        <f>HYPERLINK("https://probpalata.gov.ru/files/ЮЛ250900346800017.jpeg","Скачать индивидуальный QR-код магазина")</f>
        <v>Скачать индивидуальный QR-код магазина</v>
      </c>
    </row>
    <row r="11637" spans="1:7" x14ac:dyDescent="0.25">
      <c r="A11637" t="s">
        <v>35620</v>
      </c>
      <c r="B11637" t="s">
        <v>35988</v>
      </c>
      <c r="C11637" t="s">
        <v>36270</v>
      </c>
      <c r="D11637" t="s">
        <v>36271</v>
      </c>
      <c r="E11637" t="s">
        <v>36272</v>
      </c>
      <c r="F11637" t="s">
        <v>36273</v>
      </c>
      <c r="G11637" s="2" t="str">
        <f>HYPERLINK("https://probpalata.gov.ru/files/ЮЛ250900838100000.jpeg","Скачать индивидуальный QR-код магазина")</f>
        <v>Скачать индивидуальный QR-код магазина</v>
      </c>
    </row>
    <row r="11638" spans="1:7" x14ac:dyDescent="0.25">
      <c r="A11638" t="s">
        <v>35620</v>
      </c>
      <c r="B11638" t="s">
        <v>36274</v>
      </c>
      <c r="C11638" t="s">
        <v>36275</v>
      </c>
      <c r="D11638" t="s">
        <v>36276</v>
      </c>
      <c r="E11638" t="s">
        <v>36277</v>
      </c>
      <c r="F11638" t="s">
        <v>36278</v>
      </c>
      <c r="G11638" s="2" t="str">
        <f>HYPERLINK("https://probpalata.gov.ru/files/ЮЛ250903185200000.jpeg","Скачать индивидуальный QR-код магазина")</f>
        <v>Скачать индивидуальный QR-код магазина</v>
      </c>
    </row>
    <row r="11639" spans="1:7" x14ac:dyDescent="0.25">
      <c r="A11639" t="s">
        <v>35620</v>
      </c>
      <c r="B11639" t="s">
        <v>36279</v>
      </c>
      <c r="C11639" t="s">
        <v>36275</v>
      </c>
      <c r="D11639" t="s">
        <v>36276</v>
      </c>
      <c r="E11639" t="s">
        <v>36277</v>
      </c>
      <c r="F11639" t="s">
        <v>36280</v>
      </c>
      <c r="G11639" s="2" t="str">
        <f>HYPERLINK("https://probpalata.gov.ru/files/ЮЛ250903185200001.jpeg","Скачать индивидуальный QR-код магазина")</f>
        <v>Скачать индивидуальный QR-код магазина</v>
      </c>
    </row>
    <row r="11640" spans="1:7" x14ac:dyDescent="0.25">
      <c r="A11640" t="s">
        <v>35620</v>
      </c>
      <c r="B11640" t="s">
        <v>36281</v>
      </c>
      <c r="C11640" t="s">
        <v>36275</v>
      </c>
      <c r="D11640" t="s">
        <v>36276</v>
      </c>
      <c r="E11640" t="s">
        <v>36277</v>
      </c>
      <c r="F11640" t="s">
        <v>36282</v>
      </c>
      <c r="G11640" s="2" t="str">
        <f>HYPERLINK("https://probpalata.gov.ru/files/ЮЛ250903185200002.jpeg","Скачать индивидуальный QR-код магазина")</f>
        <v>Скачать индивидуальный QR-код магазина</v>
      </c>
    </row>
    <row r="11641" spans="1:7" x14ac:dyDescent="0.25">
      <c r="A11641" t="s">
        <v>35620</v>
      </c>
      <c r="B11641" t="s">
        <v>35699</v>
      </c>
      <c r="C11641" t="s">
        <v>36275</v>
      </c>
      <c r="D11641" t="s">
        <v>36276</v>
      </c>
      <c r="E11641" t="s">
        <v>36277</v>
      </c>
      <c r="F11641" t="s">
        <v>36283</v>
      </c>
      <c r="G11641" s="2" t="str">
        <f>HYPERLINK("https://probpalata.gov.ru/files/ЮЛ250903185200003.jpeg","Скачать индивидуальный QR-код магазина")</f>
        <v>Скачать индивидуальный QR-код магазина</v>
      </c>
    </row>
    <row r="11642" spans="1:7" x14ac:dyDescent="0.25">
      <c r="A11642" t="s">
        <v>35620</v>
      </c>
      <c r="B11642" t="s">
        <v>36284</v>
      </c>
      <c r="C11642" t="s">
        <v>36285</v>
      </c>
      <c r="D11642" t="s">
        <v>36286</v>
      </c>
      <c r="E11642" t="s">
        <v>36287</v>
      </c>
      <c r="F11642" t="s">
        <v>36288</v>
      </c>
      <c r="G11642" s="2" t="str">
        <f>HYPERLINK("https://probpalata.gov.ru/files/ЮЛ250903915900000.jpeg","Скачать индивидуальный QR-код магазина")</f>
        <v>Скачать индивидуальный QR-код магазина</v>
      </c>
    </row>
    <row r="11643" spans="1:7" x14ac:dyDescent="0.25">
      <c r="A11643" t="s">
        <v>35620</v>
      </c>
      <c r="B11643" t="s">
        <v>36289</v>
      </c>
      <c r="C11643" t="s">
        <v>848</v>
      </c>
      <c r="D11643" t="s">
        <v>849</v>
      </c>
      <c r="E11643" t="s">
        <v>850</v>
      </c>
      <c r="F11643" t="s">
        <v>36290</v>
      </c>
      <c r="G11643" s="2" t="str">
        <f>HYPERLINK("https://probpalata.gov.ru/files/ИП270901193700004.jpeg","Скачать индивидуальный QR-код магазина")</f>
        <v>Скачать индивидуальный QR-код магазина</v>
      </c>
    </row>
    <row r="11644" spans="1:7" x14ac:dyDescent="0.25">
      <c r="A11644" t="s">
        <v>35620</v>
      </c>
      <c r="B11644" t="s">
        <v>36291</v>
      </c>
      <c r="C11644" t="s">
        <v>36292</v>
      </c>
      <c r="D11644" t="s">
        <v>36293</v>
      </c>
      <c r="E11644" t="s">
        <v>36294</v>
      </c>
      <c r="F11644" t="s">
        <v>36295</v>
      </c>
      <c r="G11644" s="2" t="str">
        <f>HYPERLINK("https://probpalata.gov.ru/files/ЮЛ270900004700012.jpeg","Скачать индивидуальный QR-код магазина")</f>
        <v>Скачать индивидуальный QR-код магазина</v>
      </c>
    </row>
    <row r="11645" spans="1:7" x14ac:dyDescent="0.25">
      <c r="A11645" t="s">
        <v>35620</v>
      </c>
      <c r="B11645" t="s">
        <v>36296</v>
      </c>
      <c r="C11645" t="s">
        <v>863</v>
      </c>
      <c r="D11645" t="s">
        <v>864</v>
      </c>
      <c r="E11645" t="s">
        <v>865</v>
      </c>
      <c r="F11645" t="s">
        <v>36297</v>
      </c>
      <c r="G11645" s="2" t="str">
        <f>HYPERLINK("https://probpalata.gov.ru/files/ЮЛ270900211200001.jpeg","Скачать индивидуальный QR-код магазина")</f>
        <v>Скачать индивидуальный QR-код магазина</v>
      </c>
    </row>
    <row r="11646" spans="1:7" x14ac:dyDescent="0.25">
      <c r="A11646" t="s">
        <v>35620</v>
      </c>
      <c r="B11646" t="s">
        <v>36298</v>
      </c>
      <c r="C11646" t="s">
        <v>863</v>
      </c>
      <c r="D11646" t="s">
        <v>864</v>
      </c>
      <c r="E11646" t="s">
        <v>865</v>
      </c>
      <c r="F11646" t="s">
        <v>36299</v>
      </c>
      <c r="G11646" s="2" t="str">
        <f>HYPERLINK("https://probpalata.gov.ru/files/ЮЛ270900211200003.jpeg","Скачать индивидуальный QR-код магазина")</f>
        <v>Скачать индивидуальный QR-код магазина</v>
      </c>
    </row>
    <row r="11647" spans="1:7" x14ac:dyDescent="0.25">
      <c r="A11647" t="s">
        <v>35620</v>
      </c>
      <c r="B11647" t="s">
        <v>36300</v>
      </c>
      <c r="C11647" t="s">
        <v>863</v>
      </c>
      <c r="D11647" t="s">
        <v>864</v>
      </c>
      <c r="E11647" t="s">
        <v>865</v>
      </c>
      <c r="F11647" t="s">
        <v>36301</v>
      </c>
      <c r="G11647" s="2" t="str">
        <f>HYPERLINK("https://probpalata.gov.ru/files/ЮЛ270900211200013.jpeg","Скачать индивидуальный QR-код магазина")</f>
        <v>Скачать индивидуальный QR-код магазина</v>
      </c>
    </row>
    <row r="11648" spans="1:7" x14ac:dyDescent="0.25">
      <c r="A11648" t="s">
        <v>35620</v>
      </c>
      <c r="B11648" t="s">
        <v>36302</v>
      </c>
      <c r="C11648" t="s">
        <v>863</v>
      </c>
      <c r="D11648" t="s">
        <v>864</v>
      </c>
      <c r="E11648" t="s">
        <v>865</v>
      </c>
      <c r="F11648" t="s">
        <v>36303</v>
      </c>
      <c r="G11648" s="2" t="str">
        <f>HYPERLINK("https://probpalata.gov.ru/files/ЮЛ270900211200018.jpeg","Скачать индивидуальный QR-код магазина")</f>
        <v>Скачать индивидуальный QR-код магазина</v>
      </c>
    </row>
    <row r="11649" spans="1:7" x14ac:dyDescent="0.25">
      <c r="A11649" t="s">
        <v>35620</v>
      </c>
      <c r="B11649" t="s">
        <v>35785</v>
      </c>
      <c r="C11649" t="s">
        <v>863</v>
      </c>
      <c r="D11649" t="s">
        <v>864</v>
      </c>
      <c r="E11649" t="s">
        <v>865</v>
      </c>
      <c r="F11649" t="s">
        <v>36304</v>
      </c>
      <c r="G11649" s="2" t="str">
        <f>HYPERLINK("https://probpalata.gov.ru/files/ЮЛ270900211200022.jpeg","Скачать индивидуальный QR-код магазина")</f>
        <v>Скачать индивидуальный QR-код магазина</v>
      </c>
    </row>
    <row r="11650" spans="1:7" x14ac:dyDescent="0.25">
      <c r="A11650" t="s">
        <v>35620</v>
      </c>
      <c r="B11650" t="s">
        <v>36305</v>
      </c>
      <c r="C11650" t="s">
        <v>863</v>
      </c>
      <c r="D11650" t="s">
        <v>864</v>
      </c>
      <c r="E11650" t="s">
        <v>865</v>
      </c>
      <c r="F11650" t="s">
        <v>36306</v>
      </c>
      <c r="G11650" s="2" t="str">
        <f>HYPERLINK("https://probpalata.gov.ru/files/ЮЛ270900211200023.jpeg","Скачать индивидуальный QR-код магазина")</f>
        <v>Скачать индивидуальный QR-код магазина</v>
      </c>
    </row>
    <row r="11651" spans="1:7" x14ac:dyDescent="0.25">
      <c r="A11651" t="s">
        <v>35620</v>
      </c>
      <c r="B11651" t="s">
        <v>36307</v>
      </c>
      <c r="C11651" t="s">
        <v>863</v>
      </c>
      <c r="D11651" t="s">
        <v>864</v>
      </c>
      <c r="E11651" t="s">
        <v>865</v>
      </c>
      <c r="F11651" t="s">
        <v>36308</v>
      </c>
      <c r="G11651" s="2" t="str">
        <f>HYPERLINK("https://probpalata.gov.ru/files/ЮЛ270900211200024.jpeg","Скачать индивидуальный QR-код магазина")</f>
        <v>Скачать индивидуальный QR-код магазина</v>
      </c>
    </row>
    <row r="11652" spans="1:7" x14ac:dyDescent="0.25">
      <c r="A11652" t="s">
        <v>35620</v>
      </c>
      <c r="B11652" t="s">
        <v>36309</v>
      </c>
      <c r="C11652" t="s">
        <v>863</v>
      </c>
      <c r="D11652" t="s">
        <v>864</v>
      </c>
      <c r="E11652" t="s">
        <v>865</v>
      </c>
      <c r="F11652" t="s">
        <v>36310</v>
      </c>
      <c r="G11652" s="2" t="str">
        <f>HYPERLINK("https://probpalata.gov.ru/files/ЮЛ270900211200025.jpeg","Скачать индивидуальный QR-код магазина")</f>
        <v>Скачать индивидуальный QR-код магазина</v>
      </c>
    </row>
    <row r="11653" spans="1:7" x14ac:dyDescent="0.25">
      <c r="A11653" t="s">
        <v>35620</v>
      </c>
      <c r="B11653" t="s">
        <v>36311</v>
      </c>
      <c r="C11653" t="s">
        <v>863</v>
      </c>
      <c r="D11653" t="s">
        <v>864</v>
      </c>
      <c r="E11653" t="s">
        <v>865</v>
      </c>
      <c r="F11653" t="s">
        <v>36312</v>
      </c>
      <c r="G11653" s="2" t="str">
        <f>HYPERLINK("https://probpalata.gov.ru/files/ЮЛ270900211200026.jpeg","Скачать индивидуальный QR-код магазина")</f>
        <v>Скачать индивидуальный QR-код магазина</v>
      </c>
    </row>
    <row r="11654" spans="1:7" x14ac:dyDescent="0.25">
      <c r="A11654" t="s">
        <v>35620</v>
      </c>
      <c r="B11654" t="s">
        <v>36313</v>
      </c>
      <c r="C11654" t="s">
        <v>863</v>
      </c>
      <c r="D11654" t="s">
        <v>864</v>
      </c>
      <c r="E11654" t="s">
        <v>865</v>
      </c>
      <c r="F11654" t="s">
        <v>36314</v>
      </c>
      <c r="G11654" s="2" t="str">
        <f>HYPERLINK("https://probpalata.gov.ru/files/ЮЛ270900211200027.jpeg","Скачать индивидуальный QR-код магазина")</f>
        <v>Скачать индивидуальный QR-код магазина</v>
      </c>
    </row>
    <row r="11655" spans="1:7" x14ac:dyDescent="0.25">
      <c r="A11655" t="s">
        <v>35620</v>
      </c>
      <c r="B11655" t="s">
        <v>36315</v>
      </c>
      <c r="C11655" t="s">
        <v>863</v>
      </c>
      <c r="D11655" t="s">
        <v>864</v>
      </c>
      <c r="E11655" t="s">
        <v>865</v>
      </c>
      <c r="F11655" t="s">
        <v>36316</v>
      </c>
      <c r="G11655" s="2" t="str">
        <f>HYPERLINK("https://probpalata.gov.ru/files/ЮЛ270900211200028.jpeg","Скачать индивидуальный QR-код магазина")</f>
        <v>Скачать индивидуальный QR-код магазина</v>
      </c>
    </row>
    <row r="11656" spans="1:7" x14ac:dyDescent="0.25">
      <c r="A11656" t="s">
        <v>35620</v>
      </c>
      <c r="B11656" t="s">
        <v>35897</v>
      </c>
      <c r="C11656" t="s">
        <v>863</v>
      </c>
      <c r="D11656" t="s">
        <v>864</v>
      </c>
      <c r="E11656" t="s">
        <v>865</v>
      </c>
      <c r="F11656" t="s">
        <v>36317</v>
      </c>
      <c r="G11656" s="2" t="str">
        <f>HYPERLINK("https://probpalata.gov.ru/files/ЮЛ270900211200029.jpeg","Скачать индивидуальный QR-код магазина")</f>
        <v>Скачать индивидуальный QR-код магазина</v>
      </c>
    </row>
    <row r="11657" spans="1:7" x14ac:dyDescent="0.25">
      <c r="A11657" t="s">
        <v>35620</v>
      </c>
      <c r="B11657" t="s">
        <v>36318</v>
      </c>
      <c r="C11657" t="s">
        <v>863</v>
      </c>
      <c r="D11657" t="s">
        <v>864</v>
      </c>
      <c r="E11657" t="s">
        <v>865</v>
      </c>
      <c r="F11657" t="s">
        <v>36319</v>
      </c>
      <c r="G11657" s="2" t="str">
        <f>HYPERLINK("https://probpalata.gov.ru/files/ЮЛ270900211200030.jpeg","Скачать индивидуальный QR-код магазина")</f>
        <v>Скачать индивидуальный QR-код магазина</v>
      </c>
    </row>
    <row r="11658" spans="1:7" x14ac:dyDescent="0.25">
      <c r="A11658" t="s">
        <v>35620</v>
      </c>
      <c r="B11658" t="s">
        <v>36320</v>
      </c>
      <c r="C11658" t="s">
        <v>863</v>
      </c>
      <c r="D11658" t="s">
        <v>864</v>
      </c>
      <c r="E11658" t="s">
        <v>865</v>
      </c>
      <c r="F11658" t="s">
        <v>36321</v>
      </c>
      <c r="G11658" s="2" t="str">
        <f>HYPERLINK("https://probpalata.gov.ru/files/ЮЛ270900211200031.jpeg","Скачать индивидуальный QR-код магазина")</f>
        <v>Скачать индивидуальный QR-код магазина</v>
      </c>
    </row>
    <row r="11659" spans="1:7" x14ac:dyDescent="0.25">
      <c r="A11659" t="s">
        <v>35620</v>
      </c>
      <c r="B11659" t="s">
        <v>36322</v>
      </c>
      <c r="C11659" t="s">
        <v>863</v>
      </c>
      <c r="D11659" t="s">
        <v>864</v>
      </c>
      <c r="E11659" t="s">
        <v>865</v>
      </c>
      <c r="F11659" t="s">
        <v>36323</v>
      </c>
      <c r="G11659" s="2" t="str">
        <f>HYPERLINK("https://probpalata.gov.ru/files/ЮЛ270900211200034.jpeg","Скачать индивидуальный QR-код магазина")</f>
        <v>Скачать индивидуальный QR-код магазина</v>
      </c>
    </row>
    <row r="11660" spans="1:7" x14ac:dyDescent="0.25">
      <c r="A11660" t="s">
        <v>35620</v>
      </c>
      <c r="B11660" t="s">
        <v>36324</v>
      </c>
      <c r="C11660" t="s">
        <v>863</v>
      </c>
      <c r="D11660" t="s">
        <v>864</v>
      </c>
      <c r="E11660" t="s">
        <v>865</v>
      </c>
      <c r="F11660" t="s">
        <v>36325</v>
      </c>
      <c r="G11660" s="2" t="str">
        <f>HYPERLINK("https://probpalata.gov.ru/files/ЮЛ270900211200039.jpeg","Скачать индивидуальный QR-код магазина")</f>
        <v>Скачать индивидуальный QR-код магазина</v>
      </c>
    </row>
    <row r="11661" spans="1:7" x14ac:dyDescent="0.25">
      <c r="A11661" t="s">
        <v>35620</v>
      </c>
      <c r="B11661" t="s">
        <v>36326</v>
      </c>
      <c r="C11661" t="s">
        <v>863</v>
      </c>
      <c r="D11661" t="s">
        <v>864</v>
      </c>
      <c r="E11661" t="s">
        <v>865</v>
      </c>
      <c r="F11661" t="s">
        <v>36327</v>
      </c>
      <c r="G11661" s="2" t="str">
        <f>HYPERLINK("https://probpalata.gov.ru/files/ЮЛ270900211200040.jpeg","Скачать индивидуальный QR-код магазина")</f>
        <v>Скачать индивидуальный QR-код магазина</v>
      </c>
    </row>
    <row r="11662" spans="1:7" x14ac:dyDescent="0.25">
      <c r="A11662" t="s">
        <v>35620</v>
      </c>
      <c r="B11662" t="s">
        <v>36328</v>
      </c>
      <c r="C11662" t="s">
        <v>863</v>
      </c>
      <c r="D11662" t="s">
        <v>864</v>
      </c>
      <c r="E11662" t="s">
        <v>865</v>
      </c>
      <c r="F11662" t="s">
        <v>36329</v>
      </c>
      <c r="G11662" s="2" t="str">
        <f>HYPERLINK("https://probpalata.gov.ru/files/ЮЛ270900211200041.jpeg","Скачать индивидуальный QR-код магазина")</f>
        <v>Скачать индивидуальный QR-код магазина</v>
      </c>
    </row>
    <row r="11663" spans="1:7" x14ac:dyDescent="0.25">
      <c r="A11663" t="s">
        <v>35620</v>
      </c>
      <c r="B11663" t="s">
        <v>35818</v>
      </c>
      <c r="C11663" t="s">
        <v>863</v>
      </c>
      <c r="D11663" t="s">
        <v>864</v>
      </c>
      <c r="E11663" t="s">
        <v>865</v>
      </c>
      <c r="F11663" t="s">
        <v>36330</v>
      </c>
      <c r="G11663" s="2" t="str">
        <f>HYPERLINK("https://probpalata.gov.ru/files/ЮЛ270900211200042.jpeg","Скачать индивидуальный QR-код магазина")</f>
        <v>Скачать индивидуальный QR-код магазина</v>
      </c>
    </row>
    <row r="11664" spans="1:7" x14ac:dyDescent="0.25">
      <c r="A11664" t="s">
        <v>35620</v>
      </c>
      <c r="B11664" t="s">
        <v>36331</v>
      </c>
      <c r="C11664" t="s">
        <v>863</v>
      </c>
      <c r="D11664" t="s">
        <v>864</v>
      </c>
      <c r="E11664" t="s">
        <v>865</v>
      </c>
      <c r="F11664" t="s">
        <v>36332</v>
      </c>
      <c r="G11664" s="2" t="str">
        <f>HYPERLINK("https://probpalata.gov.ru/files/ЮЛ270900211200043.jpeg","Скачать индивидуальный QR-код магазина")</f>
        <v>Скачать индивидуальный QR-код магазина</v>
      </c>
    </row>
    <row r="11665" spans="1:7" x14ac:dyDescent="0.25">
      <c r="A11665" t="s">
        <v>35620</v>
      </c>
      <c r="B11665" t="s">
        <v>36333</v>
      </c>
      <c r="C11665" t="s">
        <v>863</v>
      </c>
      <c r="D11665" t="s">
        <v>864</v>
      </c>
      <c r="E11665" t="s">
        <v>865</v>
      </c>
      <c r="F11665" t="s">
        <v>36334</v>
      </c>
      <c r="G11665" s="2" t="str">
        <f>HYPERLINK("https://probpalata.gov.ru/files/ЮЛ270900211200044.jpeg","Скачать индивидуальный QR-код магазина")</f>
        <v>Скачать индивидуальный QR-код магазина</v>
      </c>
    </row>
    <row r="11666" spans="1:7" x14ac:dyDescent="0.25">
      <c r="A11666" t="s">
        <v>35620</v>
      </c>
      <c r="B11666" t="s">
        <v>36335</v>
      </c>
      <c r="C11666" t="s">
        <v>863</v>
      </c>
      <c r="D11666" t="s">
        <v>864</v>
      </c>
      <c r="E11666" t="s">
        <v>865</v>
      </c>
      <c r="F11666" t="s">
        <v>36336</v>
      </c>
      <c r="G11666" s="2" t="str">
        <f>HYPERLINK("https://probpalata.gov.ru/files/ЮЛ270900211200047.jpeg","Скачать индивидуальный QR-код магазина")</f>
        <v>Скачать индивидуальный QR-код магазина</v>
      </c>
    </row>
    <row r="11667" spans="1:7" x14ac:dyDescent="0.25">
      <c r="A11667" t="s">
        <v>35620</v>
      </c>
      <c r="B11667" t="s">
        <v>36337</v>
      </c>
      <c r="C11667" t="s">
        <v>863</v>
      </c>
      <c r="D11667" t="s">
        <v>864</v>
      </c>
      <c r="E11667" t="s">
        <v>865</v>
      </c>
      <c r="F11667" t="s">
        <v>36338</v>
      </c>
      <c r="G11667" s="2" t="str">
        <f>HYPERLINK("https://probpalata.gov.ru/files/ЮЛ270900211200057.jpeg","Скачать индивидуальный QR-код магазина")</f>
        <v>Скачать индивидуальный QR-код магазина</v>
      </c>
    </row>
    <row r="11668" spans="1:7" x14ac:dyDescent="0.25">
      <c r="A11668" t="s">
        <v>35620</v>
      </c>
      <c r="B11668" t="s">
        <v>36339</v>
      </c>
      <c r="C11668" t="s">
        <v>863</v>
      </c>
      <c r="D11668" t="s">
        <v>864</v>
      </c>
      <c r="E11668" t="s">
        <v>865</v>
      </c>
      <c r="F11668" t="s">
        <v>36340</v>
      </c>
      <c r="G11668" s="2" t="str">
        <f>HYPERLINK("https://probpalata.gov.ru/files/ЮЛ270900211200060.jpeg","Скачать индивидуальный QR-код магазина")</f>
        <v>Скачать индивидуальный QR-код магазина</v>
      </c>
    </row>
    <row r="11669" spans="1:7" x14ac:dyDescent="0.25">
      <c r="A11669" t="s">
        <v>35620</v>
      </c>
      <c r="B11669" t="s">
        <v>36341</v>
      </c>
      <c r="C11669" t="s">
        <v>863</v>
      </c>
      <c r="D11669" t="s">
        <v>864</v>
      </c>
      <c r="E11669" t="s">
        <v>865</v>
      </c>
      <c r="F11669" t="s">
        <v>36342</v>
      </c>
      <c r="G11669" s="2" t="str">
        <f>HYPERLINK("https://probpalata.gov.ru/files/ЮЛ270900211200061.jpeg","Скачать индивидуальный QR-код магазина")</f>
        <v>Скачать индивидуальный QR-код магазина</v>
      </c>
    </row>
    <row r="11670" spans="1:7" x14ac:dyDescent="0.25">
      <c r="A11670" t="s">
        <v>35620</v>
      </c>
      <c r="B11670" t="s">
        <v>36343</v>
      </c>
      <c r="C11670" t="s">
        <v>863</v>
      </c>
      <c r="D11670" t="s">
        <v>864</v>
      </c>
      <c r="E11670" t="s">
        <v>865</v>
      </c>
      <c r="F11670" t="s">
        <v>36344</v>
      </c>
      <c r="G11670" s="2" t="str">
        <f>HYPERLINK("https://probpalata.gov.ru/files/ЮЛ270900211200062.jpeg","Скачать индивидуальный QR-код магазина")</f>
        <v>Скачать индивидуальный QR-код магазина</v>
      </c>
    </row>
    <row r="11671" spans="1:7" x14ac:dyDescent="0.25">
      <c r="A11671" t="s">
        <v>35620</v>
      </c>
      <c r="B11671" t="s">
        <v>36345</v>
      </c>
      <c r="C11671" t="s">
        <v>863</v>
      </c>
      <c r="D11671" t="s">
        <v>864</v>
      </c>
      <c r="E11671" t="s">
        <v>865</v>
      </c>
      <c r="F11671" t="s">
        <v>36346</v>
      </c>
      <c r="G11671" s="2" t="str">
        <f>HYPERLINK("https://probpalata.gov.ru/files/ЮЛ270900211200063.jpeg","Скачать индивидуальный QR-код магазина")</f>
        <v>Скачать индивидуальный QR-код магазина</v>
      </c>
    </row>
    <row r="11672" spans="1:7" x14ac:dyDescent="0.25">
      <c r="A11672" t="s">
        <v>35620</v>
      </c>
      <c r="B11672" t="s">
        <v>36347</v>
      </c>
      <c r="C11672" t="s">
        <v>863</v>
      </c>
      <c r="D11672" t="s">
        <v>864</v>
      </c>
      <c r="E11672" t="s">
        <v>865</v>
      </c>
      <c r="F11672" t="s">
        <v>36348</v>
      </c>
      <c r="G11672" s="2" t="str">
        <f>HYPERLINK("https://probpalata.gov.ru/files/ЮЛ270900211200065.jpeg","Скачать индивидуальный QR-код магазина")</f>
        <v>Скачать индивидуальный QR-код магазина</v>
      </c>
    </row>
    <row r="11673" spans="1:7" x14ac:dyDescent="0.25">
      <c r="A11673" t="s">
        <v>35620</v>
      </c>
      <c r="B11673" t="s">
        <v>36349</v>
      </c>
      <c r="C11673" t="s">
        <v>863</v>
      </c>
      <c r="D11673" t="s">
        <v>864</v>
      </c>
      <c r="E11673" t="s">
        <v>865</v>
      </c>
      <c r="F11673" t="s">
        <v>36350</v>
      </c>
      <c r="G11673" s="2" t="str">
        <f>HYPERLINK("https://probpalata.gov.ru/files/ЮЛ270900211200081.jpeg","Скачать индивидуальный QR-код магазина")</f>
        <v>Скачать индивидуальный QR-код магазина</v>
      </c>
    </row>
    <row r="11674" spans="1:7" x14ac:dyDescent="0.25">
      <c r="A11674" t="s">
        <v>35620</v>
      </c>
      <c r="B11674" t="s">
        <v>36157</v>
      </c>
      <c r="C11674" t="s">
        <v>885</v>
      </c>
      <c r="D11674" t="s">
        <v>886</v>
      </c>
      <c r="E11674" t="s">
        <v>887</v>
      </c>
      <c r="F11674" t="s">
        <v>36351</v>
      </c>
      <c r="G11674" s="2" t="str">
        <f>HYPERLINK("https://probpalata.gov.ru/files/ИП270900018300003.jpeg","Скачать индивидуальный QR-код магазина")</f>
        <v>Скачать индивидуальный QR-код магазина</v>
      </c>
    </row>
    <row r="11675" spans="1:7" x14ac:dyDescent="0.25">
      <c r="A11675" t="s">
        <v>35620</v>
      </c>
      <c r="B11675" t="s">
        <v>36352</v>
      </c>
      <c r="C11675" t="s">
        <v>36353</v>
      </c>
      <c r="D11675" t="s">
        <v>36354</v>
      </c>
      <c r="E11675" t="s">
        <v>36355</v>
      </c>
      <c r="F11675" t="s">
        <v>36356</v>
      </c>
      <c r="G11675" s="2" t="str">
        <f>HYPERLINK("https://probpalata.gov.ru/files/ИП770103234800003.jpeg","Скачать индивидуальный QR-код магазина")</f>
        <v>Скачать индивидуальный QR-код магазина</v>
      </c>
    </row>
    <row r="11676" spans="1:7" x14ac:dyDescent="0.25">
      <c r="A11676" t="s">
        <v>35620</v>
      </c>
      <c r="B11676" t="s">
        <v>36357</v>
      </c>
      <c r="C11676" t="s">
        <v>36353</v>
      </c>
      <c r="D11676" t="s">
        <v>36354</v>
      </c>
      <c r="E11676" t="s">
        <v>36355</v>
      </c>
      <c r="F11676" t="s">
        <v>36358</v>
      </c>
      <c r="G11676" s="2" t="str">
        <f>HYPERLINK("https://probpalata.gov.ru/files/ИП770103234800005.jpeg","Скачать индивидуальный QR-код магазина")</f>
        <v>Скачать индивидуальный QR-код магазина</v>
      </c>
    </row>
    <row r="11677" spans="1:7" x14ac:dyDescent="0.25">
      <c r="A11677" t="s">
        <v>35620</v>
      </c>
      <c r="B11677" t="s">
        <v>36359</v>
      </c>
      <c r="C11677" t="s">
        <v>1735</v>
      </c>
      <c r="D11677" t="s">
        <v>1736</v>
      </c>
      <c r="E11677" t="s">
        <v>1737</v>
      </c>
      <c r="F11677" t="s">
        <v>36360</v>
      </c>
      <c r="G11677" s="2" t="str">
        <f>HYPERLINK("https://probpalata.gov.ru/files/ЮЛ520603376600063.jpeg","Скачать индивидуальный QR-код магазина")</f>
        <v>Скачать индивидуальный QR-код магазина</v>
      </c>
    </row>
    <row r="11678" spans="1:7" x14ac:dyDescent="0.25">
      <c r="A11678" t="s">
        <v>35620</v>
      </c>
      <c r="B11678" t="s">
        <v>36361</v>
      </c>
      <c r="C11678" t="s">
        <v>1735</v>
      </c>
      <c r="D11678" t="s">
        <v>1736</v>
      </c>
      <c r="E11678" t="s">
        <v>1737</v>
      </c>
      <c r="F11678" t="s">
        <v>36362</v>
      </c>
      <c r="G11678" s="2" t="str">
        <f>HYPERLINK("https://probpalata.gov.ru/files/ЮЛ520603376600064.jpeg","Скачать индивидуальный QR-код магазина")</f>
        <v>Скачать индивидуальный QR-код магазина</v>
      </c>
    </row>
    <row r="11679" spans="1:7" x14ac:dyDescent="0.25">
      <c r="A11679" t="s">
        <v>35620</v>
      </c>
      <c r="B11679" t="s">
        <v>36363</v>
      </c>
      <c r="C11679" t="s">
        <v>6039</v>
      </c>
      <c r="D11679" t="s">
        <v>6040</v>
      </c>
      <c r="E11679" t="s">
        <v>6041</v>
      </c>
      <c r="F11679" t="s">
        <v>36364</v>
      </c>
      <c r="G11679" s="2" t="str">
        <f>HYPERLINK("https://probpalata.gov.ru/files/ИП770101425100002.jpeg","Скачать индивидуальный QR-код магазина")</f>
        <v>Скачать индивидуальный QR-код магазина</v>
      </c>
    </row>
    <row r="11680" spans="1:7" x14ac:dyDescent="0.25">
      <c r="A11680" t="s">
        <v>35620</v>
      </c>
      <c r="B11680" t="s">
        <v>36365</v>
      </c>
      <c r="C11680" t="s">
        <v>6039</v>
      </c>
      <c r="D11680" t="s">
        <v>6040</v>
      </c>
      <c r="E11680" t="s">
        <v>6041</v>
      </c>
      <c r="F11680" t="s">
        <v>36366</v>
      </c>
      <c r="G11680" s="2" t="str">
        <f>HYPERLINK("https://probpalata.gov.ru/files/ИП770101425100003.jpeg","Скачать индивидуальный QR-код магазина")</f>
        <v>Скачать индивидуальный QR-код магазина</v>
      </c>
    </row>
    <row r="11681" spans="1:7" x14ac:dyDescent="0.25">
      <c r="A11681" t="s">
        <v>35620</v>
      </c>
      <c r="B11681" t="s">
        <v>36367</v>
      </c>
      <c r="C11681" t="s">
        <v>6039</v>
      </c>
      <c r="D11681" t="s">
        <v>6040</v>
      </c>
      <c r="E11681" t="s">
        <v>6041</v>
      </c>
      <c r="F11681" t="s">
        <v>36368</v>
      </c>
      <c r="G11681" s="2" t="str">
        <f>HYPERLINK("https://probpalata.gov.ru/files/ИП770101425100011.jpeg","Скачать индивидуальный QR-код магазина")</f>
        <v>Скачать индивидуальный QR-код магазина</v>
      </c>
    </row>
    <row r="11682" spans="1:7" x14ac:dyDescent="0.25">
      <c r="A11682" t="s">
        <v>35620</v>
      </c>
      <c r="B11682" t="s">
        <v>36369</v>
      </c>
      <c r="C11682" t="s">
        <v>6039</v>
      </c>
      <c r="D11682" t="s">
        <v>6040</v>
      </c>
      <c r="E11682" t="s">
        <v>6041</v>
      </c>
      <c r="F11682" t="s">
        <v>36370</v>
      </c>
      <c r="G11682" s="2" t="str">
        <f>HYPERLINK("https://probpalata.gov.ru/files/ИП770101425100012.jpeg","Скачать индивидуальный QR-код магазина")</f>
        <v>Скачать индивидуальный QR-код магазина</v>
      </c>
    </row>
    <row r="11683" spans="1:7" x14ac:dyDescent="0.25">
      <c r="A11683" t="s">
        <v>35620</v>
      </c>
      <c r="B11683" t="s">
        <v>36371</v>
      </c>
      <c r="C11683" t="s">
        <v>6039</v>
      </c>
      <c r="D11683" t="s">
        <v>6040</v>
      </c>
      <c r="E11683" t="s">
        <v>6041</v>
      </c>
      <c r="F11683" t="s">
        <v>36372</v>
      </c>
      <c r="G11683" s="2" t="str">
        <f>HYPERLINK("https://probpalata.gov.ru/files/ИП770101425100024.jpeg","Скачать индивидуальный QR-код магазина")</f>
        <v>Скачать индивидуальный QR-код магазина</v>
      </c>
    </row>
    <row r="11684" spans="1:7" x14ac:dyDescent="0.25">
      <c r="A11684" t="s">
        <v>35620</v>
      </c>
      <c r="B11684" t="s">
        <v>36373</v>
      </c>
      <c r="C11684" t="s">
        <v>6039</v>
      </c>
      <c r="D11684" t="s">
        <v>6040</v>
      </c>
      <c r="E11684" t="s">
        <v>6041</v>
      </c>
      <c r="F11684" t="s">
        <v>36374</v>
      </c>
      <c r="G11684" s="2" t="str">
        <f>HYPERLINK("https://probpalata.gov.ru/files/ИП770101425100028.jpeg","Скачать индивидуальный QR-код магазина")</f>
        <v>Скачать индивидуальный QR-код магазина</v>
      </c>
    </row>
    <row r="11685" spans="1:7" x14ac:dyDescent="0.25">
      <c r="A11685" t="s">
        <v>35620</v>
      </c>
      <c r="B11685" t="s">
        <v>36375</v>
      </c>
      <c r="C11685" t="s">
        <v>6039</v>
      </c>
      <c r="D11685" t="s">
        <v>6040</v>
      </c>
      <c r="E11685" t="s">
        <v>6041</v>
      </c>
      <c r="F11685" t="s">
        <v>36376</v>
      </c>
      <c r="G11685" s="2" t="str">
        <f>HYPERLINK("https://probpalata.gov.ru/files/ИП770101425100034.jpeg","Скачать индивидуальный QR-код магазина")</f>
        <v>Скачать индивидуальный QR-код магазина</v>
      </c>
    </row>
    <row r="11686" spans="1:7" x14ac:dyDescent="0.25">
      <c r="A11686" t="s">
        <v>35620</v>
      </c>
      <c r="B11686" t="s">
        <v>36377</v>
      </c>
      <c r="C11686" t="s">
        <v>6039</v>
      </c>
      <c r="D11686" t="s">
        <v>6040</v>
      </c>
      <c r="E11686" t="s">
        <v>6041</v>
      </c>
      <c r="F11686" t="s">
        <v>36378</v>
      </c>
      <c r="G11686" s="2" t="str">
        <f>HYPERLINK("https://probpalata.gov.ru/files/ИП770101425100035.jpeg","Скачать индивидуальный QR-код магазина")</f>
        <v>Скачать индивидуальный QR-код магазина</v>
      </c>
    </row>
    <row r="11687" spans="1:7" x14ac:dyDescent="0.25">
      <c r="A11687" t="s">
        <v>35620</v>
      </c>
      <c r="B11687" t="s">
        <v>36379</v>
      </c>
      <c r="C11687" t="s">
        <v>36380</v>
      </c>
      <c r="D11687" t="s">
        <v>36381</v>
      </c>
      <c r="E11687" t="s">
        <v>36382</v>
      </c>
      <c r="F11687" t="s">
        <v>36383</v>
      </c>
      <c r="G11687" s="2" t="str">
        <f>HYPERLINK("https://probpalata.gov.ru/files/ЮЛ660700077400002.jpeg","Скачать индивидуальный QR-код магазина")</f>
        <v>Скачать индивидуальный QR-код магазина</v>
      </c>
    </row>
    <row r="11688" spans="1:7" x14ac:dyDescent="0.25">
      <c r="A11688" t="s">
        <v>35620</v>
      </c>
      <c r="B11688" t="s">
        <v>36384</v>
      </c>
      <c r="C11688" t="s">
        <v>14967</v>
      </c>
      <c r="D11688" t="s">
        <v>14968</v>
      </c>
      <c r="E11688" t="s">
        <v>14969</v>
      </c>
      <c r="F11688" t="s">
        <v>36385</v>
      </c>
      <c r="G11688" s="2" t="str">
        <f>HYPERLINK("https://probpalata.gov.ru/files/ЮЛ660701304200014.jpeg","Скачать индивидуальный QR-код магазина")</f>
        <v>Скачать индивидуальный QR-код магазина</v>
      </c>
    </row>
    <row r="11689" spans="1:7" x14ac:dyDescent="0.25">
      <c r="A11689" t="s">
        <v>35620</v>
      </c>
      <c r="B11689" t="s">
        <v>36386</v>
      </c>
      <c r="C11689" t="s">
        <v>1416</v>
      </c>
      <c r="D11689" t="s">
        <v>1417</v>
      </c>
      <c r="E11689" t="s">
        <v>1418</v>
      </c>
      <c r="F11689" t="s">
        <v>36387</v>
      </c>
      <c r="G11689" s="2" t="str">
        <f>HYPERLINK("https://probpalata.gov.ru/files/ЮЛ770100419400208.jpeg","Скачать индивидуальный QR-код магазина")</f>
        <v>Скачать индивидуальный QR-код магазина</v>
      </c>
    </row>
    <row r="11690" spans="1:7" x14ac:dyDescent="0.25">
      <c r="A11690" t="s">
        <v>35620</v>
      </c>
      <c r="B11690" t="s">
        <v>36388</v>
      </c>
      <c r="C11690" t="s">
        <v>1416</v>
      </c>
      <c r="D11690" t="s">
        <v>1417</v>
      </c>
      <c r="E11690" t="s">
        <v>1418</v>
      </c>
      <c r="F11690" t="s">
        <v>36389</v>
      </c>
      <c r="G11690" s="2" t="str">
        <f>HYPERLINK("https://probpalata.gov.ru/files/ЮЛ770100419400227.jpeg","Скачать индивидуальный QR-код магазина")</f>
        <v>Скачать индивидуальный QR-код магазина</v>
      </c>
    </row>
    <row r="11691" spans="1:7" x14ac:dyDescent="0.25">
      <c r="A11691" t="s">
        <v>35620</v>
      </c>
      <c r="B11691" t="s">
        <v>36390</v>
      </c>
      <c r="C11691" t="s">
        <v>1416</v>
      </c>
      <c r="D11691" t="s">
        <v>1417</v>
      </c>
      <c r="E11691" t="s">
        <v>1418</v>
      </c>
      <c r="F11691" t="s">
        <v>36391</v>
      </c>
      <c r="G11691" s="2" t="str">
        <f>HYPERLINK("https://probpalata.gov.ru/files/ЮЛ770100419400246.jpeg","Скачать индивидуальный QR-код магазина")</f>
        <v>Скачать индивидуальный QR-код магазина</v>
      </c>
    </row>
    <row r="11692" spans="1:7" x14ac:dyDescent="0.25">
      <c r="A11692" t="s">
        <v>35620</v>
      </c>
      <c r="B11692" t="s">
        <v>36392</v>
      </c>
      <c r="C11692" t="s">
        <v>748</v>
      </c>
      <c r="D11692" t="s">
        <v>749</v>
      </c>
      <c r="E11692" t="s">
        <v>750</v>
      </c>
      <c r="F11692" t="s">
        <v>36393</v>
      </c>
      <c r="G11692" s="2" t="str">
        <f>HYPERLINK("https://probpalata.gov.ru/files/ЮЛ770100193500349.jpeg","Скачать индивидуальный QR-код магазина")</f>
        <v>Скачать индивидуальный QR-код магазина</v>
      </c>
    </row>
    <row r="11693" spans="1:7" x14ac:dyDescent="0.25">
      <c r="A11693" t="s">
        <v>35620</v>
      </c>
      <c r="B11693" t="s">
        <v>36394</v>
      </c>
      <c r="C11693" t="s">
        <v>748</v>
      </c>
      <c r="D11693" t="s">
        <v>749</v>
      </c>
      <c r="E11693" t="s">
        <v>750</v>
      </c>
      <c r="F11693" t="s">
        <v>36395</v>
      </c>
      <c r="G11693" s="2" t="str">
        <f>HYPERLINK("https://probpalata.gov.ru/files/ЮЛ770100193500352.jpeg","Скачать индивидуальный QR-код магазина")</f>
        <v>Скачать индивидуальный QR-код магазина</v>
      </c>
    </row>
    <row r="11694" spans="1:7" x14ac:dyDescent="0.25">
      <c r="A11694" t="s">
        <v>35620</v>
      </c>
      <c r="B11694" t="s">
        <v>36396</v>
      </c>
      <c r="C11694" t="s">
        <v>748</v>
      </c>
      <c r="D11694" t="s">
        <v>749</v>
      </c>
      <c r="E11694" t="s">
        <v>750</v>
      </c>
      <c r="F11694" t="s">
        <v>36397</v>
      </c>
      <c r="G11694" s="2" t="str">
        <f>HYPERLINK("https://probpalata.gov.ru/files/ЮЛ770100193500353.jpeg","Скачать индивидуальный QR-код магазина")</f>
        <v>Скачать индивидуальный QR-код магазина</v>
      </c>
    </row>
    <row r="11695" spans="1:7" x14ac:dyDescent="0.25">
      <c r="A11695" t="s">
        <v>35620</v>
      </c>
      <c r="B11695" t="s">
        <v>36398</v>
      </c>
      <c r="C11695" t="s">
        <v>748</v>
      </c>
      <c r="D11695" t="s">
        <v>749</v>
      </c>
      <c r="E11695" t="s">
        <v>750</v>
      </c>
      <c r="F11695" t="s">
        <v>36399</v>
      </c>
      <c r="G11695" s="2" t="str">
        <f>HYPERLINK("https://probpalata.gov.ru/files/ЮЛ770100193500354.jpeg","Скачать индивидуальный QR-код магазина")</f>
        <v>Скачать индивидуальный QR-код магазина</v>
      </c>
    </row>
    <row r="11696" spans="1:7" x14ac:dyDescent="0.25">
      <c r="A11696" t="s">
        <v>35620</v>
      </c>
      <c r="B11696" t="s">
        <v>36400</v>
      </c>
      <c r="C11696" t="s">
        <v>748</v>
      </c>
      <c r="D11696" t="s">
        <v>749</v>
      </c>
      <c r="E11696" t="s">
        <v>750</v>
      </c>
      <c r="F11696" t="s">
        <v>36401</v>
      </c>
      <c r="G11696" s="2" t="str">
        <f>HYPERLINK("https://probpalata.gov.ru/files/ЮЛ770100193500481.jpeg","Скачать индивидуальный QR-код магазина")</f>
        <v>Скачать индивидуальный QR-код магазина</v>
      </c>
    </row>
    <row r="11697" spans="1:7" x14ac:dyDescent="0.25">
      <c r="A11697" t="s">
        <v>35620</v>
      </c>
      <c r="B11697" t="s">
        <v>36402</v>
      </c>
      <c r="C11697" t="s">
        <v>748</v>
      </c>
      <c r="D11697" t="s">
        <v>749</v>
      </c>
      <c r="E11697" t="s">
        <v>750</v>
      </c>
      <c r="F11697" t="s">
        <v>36403</v>
      </c>
      <c r="G11697" s="2" t="str">
        <f>HYPERLINK("https://probpalata.gov.ru/files/ЮЛ770100193500556.jpeg","Скачать индивидуальный QR-код магазина")</f>
        <v>Скачать индивидуальный QR-код магазина</v>
      </c>
    </row>
    <row r="11698" spans="1:7" x14ac:dyDescent="0.25">
      <c r="A11698" t="s">
        <v>35620</v>
      </c>
      <c r="B11698" t="s">
        <v>36404</v>
      </c>
      <c r="C11698" t="s">
        <v>748</v>
      </c>
      <c r="D11698" t="s">
        <v>749</v>
      </c>
      <c r="E11698" t="s">
        <v>750</v>
      </c>
      <c r="F11698" t="s">
        <v>36405</v>
      </c>
      <c r="G11698" s="2" t="str">
        <f>HYPERLINK("https://probpalata.gov.ru/files/ЮЛ770100193500592.jpeg","Скачать индивидуальный QR-код магазина")</f>
        <v>Скачать индивидуальный QR-код магазина</v>
      </c>
    </row>
    <row r="11699" spans="1:7" x14ac:dyDescent="0.25">
      <c r="A11699" t="s">
        <v>35620</v>
      </c>
      <c r="B11699" t="s">
        <v>36406</v>
      </c>
      <c r="C11699" t="s">
        <v>748</v>
      </c>
      <c r="D11699" t="s">
        <v>749</v>
      </c>
      <c r="E11699" t="s">
        <v>750</v>
      </c>
      <c r="F11699" t="s">
        <v>36407</v>
      </c>
      <c r="G11699" s="2" t="str">
        <f>HYPERLINK("https://probpalata.gov.ru/files/ЮЛ770100193500650.jpeg","Скачать индивидуальный QR-код магазина")</f>
        <v>Скачать индивидуальный QR-код магазина</v>
      </c>
    </row>
    <row r="11700" spans="1:7" x14ac:dyDescent="0.25">
      <c r="A11700" t="s">
        <v>35620</v>
      </c>
      <c r="B11700" t="s">
        <v>36408</v>
      </c>
      <c r="C11700" t="s">
        <v>748</v>
      </c>
      <c r="D11700" t="s">
        <v>749</v>
      </c>
      <c r="E11700" t="s">
        <v>750</v>
      </c>
      <c r="F11700" t="s">
        <v>36409</v>
      </c>
      <c r="G11700" s="2" t="str">
        <f>HYPERLINK("https://probpalata.gov.ru/files/ЮЛ770100193500785.jpeg","Скачать индивидуальный QR-код магазина")</f>
        <v>Скачать индивидуальный QR-код магазина</v>
      </c>
    </row>
    <row r="11701" spans="1:7" x14ac:dyDescent="0.25">
      <c r="A11701" t="s">
        <v>35620</v>
      </c>
      <c r="B11701" t="s">
        <v>36410</v>
      </c>
      <c r="C11701" t="s">
        <v>748</v>
      </c>
      <c r="D11701" t="s">
        <v>749</v>
      </c>
      <c r="E11701" t="s">
        <v>750</v>
      </c>
      <c r="F11701" t="s">
        <v>36411</v>
      </c>
      <c r="G11701" s="2" t="str">
        <f>HYPERLINK("https://probpalata.gov.ru/files/ЮЛ770100193501006.jpeg","Скачать индивидуальный QR-код магазина")</f>
        <v>Скачать индивидуальный QR-код магазина</v>
      </c>
    </row>
    <row r="11702" spans="1:7" x14ac:dyDescent="0.25">
      <c r="A11702" t="s">
        <v>35620</v>
      </c>
      <c r="B11702" t="s">
        <v>36345</v>
      </c>
      <c r="C11702" t="s">
        <v>798</v>
      </c>
      <c r="D11702" t="s">
        <v>799</v>
      </c>
      <c r="E11702" t="s">
        <v>800</v>
      </c>
      <c r="F11702" t="s">
        <v>36412</v>
      </c>
      <c r="G11702" s="2" t="str">
        <f>HYPERLINK("https://probpalata.gov.ru/files/ЮЛ780300308200141.jpeg","Скачать индивидуальный QR-код магазина")</f>
        <v>Скачать индивидуальный QR-код магазина</v>
      </c>
    </row>
    <row r="11703" spans="1:7" x14ac:dyDescent="0.25">
      <c r="A11703" t="s">
        <v>35620</v>
      </c>
      <c r="B11703" t="s">
        <v>36413</v>
      </c>
      <c r="C11703" t="s">
        <v>798</v>
      </c>
      <c r="D11703" t="s">
        <v>799</v>
      </c>
      <c r="E11703" t="s">
        <v>800</v>
      </c>
      <c r="F11703" t="s">
        <v>36414</v>
      </c>
      <c r="G11703" s="2" t="str">
        <f>HYPERLINK("https://probpalata.gov.ru/files/ЮЛ780300308200255.jpeg","Скачать индивидуальный QR-код магазина")</f>
        <v>Скачать индивидуальный QR-код магазина</v>
      </c>
    </row>
    <row r="11704" spans="1:7" x14ac:dyDescent="0.25">
      <c r="A11704" t="s">
        <v>35620</v>
      </c>
      <c r="B11704" t="s">
        <v>36415</v>
      </c>
      <c r="C11704" t="s">
        <v>798</v>
      </c>
      <c r="D11704" t="s">
        <v>799</v>
      </c>
      <c r="E11704" t="s">
        <v>800</v>
      </c>
      <c r="F11704" t="s">
        <v>36416</v>
      </c>
      <c r="G11704" s="2" t="str">
        <f>HYPERLINK("https://probpalata.gov.ru/files/ЮЛ780300308200362.jpeg","Скачать индивидуальный QR-код магазина")</f>
        <v>Скачать индивидуальный QR-код магазина</v>
      </c>
    </row>
    <row r="11705" spans="1:7" x14ac:dyDescent="0.25">
      <c r="A11705" t="s">
        <v>35620</v>
      </c>
      <c r="B11705" t="s">
        <v>36417</v>
      </c>
      <c r="C11705" t="s">
        <v>798</v>
      </c>
      <c r="D11705" t="s">
        <v>799</v>
      </c>
      <c r="E11705" t="s">
        <v>800</v>
      </c>
      <c r="F11705" t="s">
        <v>36418</v>
      </c>
      <c r="G11705" s="2" t="str">
        <f>HYPERLINK("https://probpalata.gov.ru/files/ЮЛ780300308201201.jpeg","Скачать индивидуальный QR-код магазина")</f>
        <v>Скачать индивидуальный QR-код магазина</v>
      </c>
    </row>
    <row r="11706" spans="1:7" x14ac:dyDescent="0.25">
      <c r="A11706" t="s">
        <v>35620</v>
      </c>
      <c r="B11706" t="s">
        <v>36419</v>
      </c>
      <c r="C11706" t="s">
        <v>798</v>
      </c>
      <c r="D11706" t="s">
        <v>799</v>
      </c>
      <c r="E11706" t="s">
        <v>800</v>
      </c>
      <c r="F11706" t="s">
        <v>36420</v>
      </c>
      <c r="G11706" s="2" t="str">
        <f>HYPERLINK("https://probpalata.gov.ru/files/ЮЛ780300308201210.jpeg","Скачать индивидуальный QR-код магазина")</f>
        <v>Скачать индивидуальный QR-код магазина</v>
      </c>
    </row>
    <row r="11707" spans="1:7" x14ac:dyDescent="0.25">
      <c r="A11707" t="s">
        <v>35620</v>
      </c>
      <c r="B11707" t="s">
        <v>36421</v>
      </c>
      <c r="C11707" t="s">
        <v>798</v>
      </c>
      <c r="D11707" t="s">
        <v>799</v>
      </c>
      <c r="E11707" t="s">
        <v>800</v>
      </c>
      <c r="F11707" t="s">
        <v>36422</v>
      </c>
      <c r="G11707" s="2" t="str">
        <f>HYPERLINK("https://probpalata.gov.ru/files/ЮЛ780300308201220.jpeg","Скачать индивидуальный QR-код магазина")</f>
        <v>Скачать индивидуальный QR-код магазина</v>
      </c>
    </row>
    <row r="11708" spans="1:7" x14ac:dyDescent="0.25">
      <c r="A11708" t="s">
        <v>35620</v>
      </c>
      <c r="B11708" t="s">
        <v>36423</v>
      </c>
      <c r="C11708" t="s">
        <v>36424</v>
      </c>
      <c r="D11708" t="s">
        <v>36425</v>
      </c>
      <c r="E11708" t="s">
        <v>36426</v>
      </c>
      <c r="F11708" t="s">
        <v>36427</v>
      </c>
      <c r="G11708" s="2" t="str">
        <f>HYPERLINK("https://probpalata.gov.ru/files/ИП790901511100000.jpeg","Скачать индивидуальный QR-код магазина")</f>
        <v>Скачать индивидуальный QR-код магазина</v>
      </c>
    </row>
    <row r="11709" spans="1:7" x14ac:dyDescent="0.25">
      <c r="A11709" t="s">
        <v>35620</v>
      </c>
      <c r="B11709" t="s">
        <v>36428</v>
      </c>
      <c r="C11709" t="s">
        <v>7852</v>
      </c>
      <c r="D11709" t="s">
        <v>7853</v>
      </c>
      <c r="E11709" t="s">
        <v>7854</v>
      </c>
      <c r="F11709" t="s">
        <v>36429</v>
      </c>
      <c r="G11709" s="2" t="str">
        <f>HYPERLINK("https://probpalata.gov.ru/files/ЮЛ770100029500008.jpeg","Скачать индивидуальный QR-код магазина")</f>
        <v>Скачать индивидуальный QR-код магазина</v>
      </c>
    </row>
    <row r="11710" spans="1:7" x14ac:dyDescent="0.25">
      <c r="A11710" t="s">
        <v>36430</v>
      </c>
      <c r="B11710" t="s">
        <v>36431</v>
      </c>
      <c r="C11710" t="s">
        <v>1735</v>
      </c>
      <c r="D11710" t="s">
        <v>1736</v>
      </c>
      <c r="E11710" t="s">
        <v>1737</v>
      </c>
      <c r="F11710" t="s">
        <v>36432</v>
      </c>
      <c r="G11710" s="2" t="str">
        <f>HYPERLINK("https://probpalata.gov.ru/files/ЮЛ520603376600057.jpeg","Скачать индивидуальный QR-код магазина")</f>
        <v>Скачать индивидуальный QR-код магазина</v>
      </c>
    </row>
    <row r="11711" spans="1:7" x14ac:dyDescent="0.25">
      <c r="A11711" t="s">
        <v>36430</v>
      </c>
      <c r="B11711" t="s">
        <v>36433</v>
      </c>
      <c r="C11711" t="s">
        <v>1735</v>
      </c>
      <c r="D11711" t="s">
        <v>1736</v>
      </c>
      <c r="E11711" t="s">
        <v>1737</v>
      </c>
      <c r="F11711" t="s">
        <v>36434</v>
      </c>
      <c r="G11711" s="2" t="str">
        <f>HYPERLINK("https://probpalata.gov.ru/files/ЮЛ520603376600070.jpeg","Скачать индивидуальный QR-код магазина")</f>
        <v>Скачать индивидуальный QR-код магазина</v>
      </c>
    </row>
    <row r="11712" spans="1:7" x14ac:dyDescent="0.25">
      <c r="A11712" t="s">
        <v>36430</v>
      </c>
      <c r="B11712" t="s">
        <v>36435</v>
      </c>
      <c r="C11712" t="s">
        <v>36436</v>
      </c>
      <c r="D11712" t="s">
        <v>36437</v>
      </c>
      <c r="E11712" t="s">
        <v>36438</v>
      </c>
      <c r="F11712" t="s">
        <v>36439</v>
      </c>
      <c r="G11712" s="2" t="str">
        <f>HYPERLINK("https://probpalata.gov.ru/files/ЮЛ600301370200000.jpeg","Скачать индивидуальный QR-код магазина")</f>
        <v>Скачать индивидуальный QR-код магазина</v>
      </c>
    </row>
    <row r="11713" spans="1:7" x14ac:dyDescent="0.25">
      <c r="A11713" t="s">
        <v>36430</v>
      </c>
      <c r="B11713" t="s">
        <v>36440</v>
      </c>
      <c r="C11713" t="s">
        <v>36436</v>
      </c>
      <c r="D11713" t="s">
        <v>36437</v>
      </c>
      <c r="E11713" t="s">
        <v>36438</v>
      </c>
      <c r="F11713" t="s">
        <v>36441</v>
      </c>
      <c r="G11713" s="2" t="str">
        <f>HYPERLINK("https://probpalata.gov.ru/files/ЮЛ600301370200001.jpeg","Скачать индивидуальный QR-код магазина")</f>
        <v>Скачать индивидуальный QR-код магазина</v>
      </c>
    </row>
    <row r="11714" spans="1:7" x14ac:dyDescent="0.25">
      <c r="A11714" t="s">
        <v>36430</v>
      </c>
      <c r="B11714" t="s">
        <v>36442</v>
      </c>
      <c r="C11714" t="s">
        <v>36436</v>
      </c>
      <c r="D11714" t="s">
        <v>36437</v>
      </c>
      <c r="E11714" t="s">
        <v>36438</v>
      </c>
      <c r="F11714" t="s">
        <v>36443</v>
      </c>
      <c r="G11714" s="2" t="str">
        <f>HYPERLINK("https://probpalata.gov.ru/files/ЮЛ600301370200002.jpeg","Скачать индивидуальный QR-код магазина")</f>
        <v>Скачать индивидуальный QR-код магазина</v>
      </c>
    </row>
    <row r="11715" spans="1:7" x14ac:dyDescent="0.25">
      <c r="A11715" t="s">
        <v>36430</v>
      </c>
      <c r="B11715" t="s">
        <v>36444</v>
      </c>
      <c r="C11715" t="s">
        <v>36445</v>
      </c>
      <c r="D11715" t="s">
        <v>36446</v>
      </c>
      <c r="E11715" t="s">
        <v>36447</v>
      </c>
      <c r="F11715" t="s">
        <v>36448</v>
      </c>
      <c r="G11715" s="2" t="str">
        <f>HYPERLINK("https://probpalata.gov.ru/files/ИП600300228400000.jpeg","Скачать индивидуальный QR-код магазина")</f>
        <v>Скачать индивидуальный QR-код магазина</v>
      </c>
    </row>
    <row r="11716" spans="1:7" x14ac:dyDescent="0.25">
      <c r="A11716" t="s">
        <v>36430</v>
      </c>
      <c r="B11716" t="s">
        <v>36449</v>
      </c>
      <c r="C11716" t="s">
        <v>36445</v>
      </c>
      <c r="D11716" t="s">
        <v>36446</v>
      </c>
      <c r="E11716" t="s">
        <v>36447</v>
      </c>
      <c r="F11716" t="s">
        <v>36450</v>
      </c>
      <c r="G11716" s="2" t="str">
        <f>HYPERLINK("https://probpalata.gov.ru/files/ИП600300228400001.jpeg","Скачать индивидуальный QR-код магазина")</f>
        <v>Скачать индивидуальный QR-код магазина</v>
      </c>
    </row>
    <row r="11717" spans="1:7" x14ac:dyDescent="0.25">
      <c r="A11717" t="s">
        <v>36430</v>
      </c>
      <c r="B11717" t="s">
        <v>36451</v>
      </c>
      <c r="C11717" t="s">
        <v>36445</v>
      </c>
      <c r="D11717" t="s">
        <v>36446</v>
      </c>
      <c r="E11717" t="s">
        <v>36447</v>
      </c>
      <c r="F11717" t="s">
        <v>36452</v>
      </c>
      <c r="G11717" s="2" t="str">
        <f>HYPERLINK("https://probpalata.gov.ru/files/ИП600300228400003.jpeg","Скачать индивидуальный QR-код магазина")</f>
        <v>Скачать индивидуальный QR-код магазина</v>
      </c>
    </row>
    <row r="11718" spans="1:7" x14ac:dyDescent="0.25">
      <c r="A11718" t="s">
        <v>36430</v>
      </c>
      <c r="B11718" t="s">
        <v>36453</v>
      </c>
      <c r="C11718" t="s">
        <v>36445</v>
      </c>
      <c r="D11718" t="s">
        <v>36446</v>
      </c>
      <c r="E11718" t="s">
        <v>36447</v>
      </c>
      <c r="F11718" t="s">
        <v>36454</v>
      </c>
      <c r="G11718" s="2" t="str">
        <f>HYPERLINK("https://probpalata.gov.ru/files/ИП600300228400005.jpeg","Скачать индивидуальный QR-код магазина")</f>
        <v>Скачать индивидуальный QR-код магазина</v>
      </c>
    </row>
    <row r="11719" spans="1:7" x14ac:dyDescent="0.25">
      <c r="A11719" t="s">
        <v>36430</v>
      </c>
      <c r="B11719" t="s">
        <v>36455</v>
      </c>
      <c r="C11719" t="s">
        <v>36456</v>
      </c>
      <c r="D11719" t="s">
        <v>36457</v>
      </c>
      <c r="E11719" t="s">
        <v>36458</v>
      </c>
      <c r="F11719" t="s">
        <v>36459</v>
      </c>
      <c r="G11719" s="2" t="str">
        <f>HYPERLINK("https://probpalata.gov.ru/files/ИП600303604200000.jpeg","Скачать индивидуальный QR-код магазина")</f>
        <v>Скачать индивидуальный QR-код магазина</v>
      </c>
    </row>
    <row r="11720" spans="1:7" x14ac:dyDescent="0.25">
      <c r="A11720" t="s">
        <v>36430</v>
      </c>
      <c r="B11720" t="s">
        <v>36460</v>
      </c>
      <c r="C11720" t="s">
        <v>36461</v>
      </c>
      <c r="D11720" t="s">
        <v>36462</v>
      </c>
      <c r="E11720" t="s">
        <v>36463</v>
      </c>
      <c r="F11720" t="s">
        <v>36464</v>
      </c>
      <c r="G11720" s="2" t="str">
        <f>HYPERLINK("https://probpalata.gov.ru/files/ИП600300300800000.jpeg","Скачать индивидуальный QR-код магазина")</f>
        <v>Скачать индивидуальный QR-код магазина</v>
      </c>
    </row>
    <row r="11721" spans="1:7" x14ac:dyDescent="0.25">
      <c r="A11721" t="s">
        <v>36430</v>
      </c>
      <c r="B11721" t="s">
        <v>36465</v>
      </c>
      <c r="C11721" t="s">
        <v>36466</v>
      </c>
      <c r="D11721" t="s">
        <v>36467</v>
      </c>
      <c r="E11721" t="s">
        <v>36468</v>
      </c>
      <c r="F11721" t="s">
        <v>36469</v>
      </c>
      <c r="G11721" s="2" t="str">
        <f>HYPERLINK("https://probpalata.gov.ru/files/ИП600301677500000.jpeg","Скачать индивидуальный QR-код магазина")</f>
        <v>Скачать индивидуальный QR-код магазина</v>
      </c>
    </row>
    <row r="11722" spans="1:7" x14ac:dyDescent="0.25">
      <c r="A11722" t="s">
        <v>36430</v>
      </c>
      <c r="B11722" t="s">
        <v>36470</v>
      </c>
      <c r="C11722" t="s">
        <v>36471</v>
      </c>
      <c r="D11722" t="s">
        <v>36472</v>
      </c>
      <c r="E11722" t="s">
        <v>36473</v>
      </c>
      <c r="F11722" t="s">
        <v>36474</v>
      </c>
      <c r="G11722" s="2" t="str">
        <f>HYPERLINK("https://probpalata.gov.ru/files/ИП600301696400000.jpeg","Скачать индивидуальный QR-код магазина")</f>
        <v>Скачать индивидуальный QR-код магазина</v>
      </c>
    </row>
    <row r="11723" spans="1:7" x14ac:dyDescent="0.25">
      <c r="A11723" t="s">
        <v>36430</v>
      </c>
      <c r="B11723" t="s">
        <v>36475</v>
      </c>
      <c r="C11723" t="s">
        <v>36476</v>
      </c>
      <c r="D11723" t="s">
        <v>36477</v>
      </c>
      <c r="E11723" t="s">
        <v>36478</v>
      </c>
      <c r="F11723" t="s">
        <v>36479</v>
      </c>
      <c r="G11723" s="2" t="str">
        <f>HYPERLINK("https://probpalata.gov.ru/files/ИП600300804900000.jpeg","Скачать индивидуальный QR-код магазина")</f>
        <v>Скачать индивидуальный QR-код магазина</v>
      </c>
    </row>
    <row r="11724" spans="1:7" x14ac:dyDescent="0.25">
      <c r="A11724" t="s">
        <v>36430</v>
      </c>
      <c r="B11724" t="s">
        <v>36480</v>
      </c>
      <c r="C11724" t="s">
        <v>36481</v>
      </c>
      <c r="D11724" t="s">
        <v>36482</v>
      </c>
      <c r="E11724" t="s">
        <v>36483</v>
      </c>
      <c r="F11724" t="s">
        <v>36484</v>
      </c>
      <c r="G11724" s="2" t="str">
        <f>HYPERLINK("https://probpalata.gov.ru/files/ИП600301310100000.jpeg","Скачать индивидуальный QR-код магазина")</f>
        <v>Скачать индивидуальный QR-код магазина</v>
      </c>
    </row>
    <row r="11725" spans="1:7" x14ac:dyDescent="0.25">
      <c r="A11725" t="s">
        <v>36430</v>
      </c>
      <c r="B11725" t="s">
        <v>36485</v>
      </c>
      <c r="C11725" t="s">
        <v>36486</v>
      </c>
      <c r="D11725" t="s">
        <v>36487</v>
      </c>
      <c r="E11725" t="s">
        <v>36488</v>
      </c>
      <c r="F11725" t="s">
        <v>36489</v>
      </c>
      <c r="G11725" s="2" t="str">
        <f>HYPERLINK("https://probpalata.gov.ru/files/ИП600300055400000.jpeg","Скачать индивидуальный QR-код магазина")</f>
        <v>Скачать индивидуальный QR-код магазина</v>
      </c>
    </row>
    <row r="11726" spans="1:7" x14ac:dyDescent="0.25">
      <c r="A11726" t="s">
        <v>36430</v>
      </c>
      <c r="B11726" t="s">
        <v>36490</v>
      </c>
      <c r="C11726" t="s">
        <v>36491</v>
      </c>
      <c r="D11726" t="s">
        <v>36492</v>
      </c>
      <c r="E11726" t="s">
        <v>36493</v>
      </c>
      <c r="F11726" t="s">
        <v>36494</v>
      </c>
      <c r="G11726" s="2" t="str">
        <f>HYPERLINK("https://probpalata.gov.ru/files/ИП600303411200000.jpeg","Скачать индивидуальный QR-код магазина")</f>
        <v>Скачать индивидуальный QR-код магазина</v>
      </c>
    </row>
    <row r="11727" spans="1:7" x14ac:dyDescent="0.25">
      <c r="A11727" t="s">
        <v>36430</v>
      </c>
      <c r="B11727" t="s">
        <v>36495</v>
      </c>
      <c r="C11727" t="s">
        <v>36496</v>
      </c>
      <c r="D11727" t="s">
        <v>36497</v>
      </c>
      <c r="E11727" t="s">
        <v>36498</v>
      </c>
      <c r="F11727" t="s">
        <v>36499</v>
      </c>
      <c r="G11727" s="2" t="str">
        <f>HYPERLINK("https://probpalata.gov.ru/files/ИП600301317400000.jpeg","Скачать индивидуальный QR-код магазина")</f>
        <v>Скачать индивидуальный QR-код магазина</v>
      </c>
    </row>
    <row r="11728" spans="1:7" x14ac:dyDescent="0.25">
      <c r="A11728" t="s">
        <v>36430</v>
      </c>
      <c r="B11728" t="s">
        <v>36500</v>
      </c>
      <c r="C11728" t="s">
        <v>36501</v>
      </c>
      <c r="D11728" t="s">
        <v>36502</v>
      </c>
      <c r="E11728" t="s">
        <v>36503</v>
      </c>
      <c r="F11728" t="s">
        <v>36504</v>
      </c>
      <c r="G11728" s="2" t="str">
        <f>HYPERLINK("https://probpalata.gov.ru/files/ЮЛ600303154700000.jpeg","Скачать индивидуальный QR-код магазина")</f>
        <v>Скачать индивидуальный QR-код магазина</v>
      </c>
    </row>
    <row r="11729" spans="1:7" x14ac:dyDescent="0.25">
      <c r="A11729" t="s">
        <v>36430</v>
      </c>
      <c r="B11729" t="s">
        <v>36505</v>
      </c>
      <c r="C11729" t="s">
        <v>36506</v>
      </c>
      <c r="D11729" t="s">
        <v>36507</v>
      </c>
      <c r="E11729" t="s">
        <v>36508</v>
      </c>
      <c r="F11729" t="s">
        <v>36509</v>
      </c>
      <c r="G11729" s="2" t="str">
        <f>HYPERLINK("https://probpalata.gov.ru/files/ИП600300412000000.jpeg","Скачать индивидуальный QR-код магазина")</f>
        <v>Скачать индивидуальный QR-код магазина</v>
      </c>
    </row>
    <row r="11730" spans="1:7" x14ac:dyDescent="0.25">
      <c r="A11730" t="s">
        <v>36430</v>
      </c>
      <c r="B11730" t="s">
        <v>36510</v>
      </c>
      <c r="C11730" t="s">
        <v>36511</v>
      </c>
      <c r="D11730" t="s">
        <v>36512</v>
      </c>
      <c r="E11730" t="s">
        <v>36513</v>
      </c>
      <c r="F11730" t="s">
        <v>36514</v>
      </c>
      <c r="G11730" s="2" t="str">
        <f>HYPERLINK("https://probpalata.gov.ru/files/ИП600300421600000.jpeg","Скачать индивидуальный QR-код магазина")</f>
        <v>Скачать индивидуальный QR-код магазина</v>
      </c>
    </row>
    <row r="11731" spans="1:7" x14ac:dyDescent="0.25">
      <c r="A11731" t="s">
        <v>36430</v>
      </c>
      <c r="B11731" t="s">
        <v>36515</v>
      </c>
      <c r="C11731" t="s">
        <v>36516</v>
      </c>
      <c r="D11731" t="s">
        <v>36517</v>
      </c>
      <c r="E11731" t="s">
        <v>36518</v>
      </c>
      <c r="F11731" t="s">
        <v>36519</v>
      </c>
      <c r="G11731" s="2" t="str">
        <f>HYPERLINK("https://probpalata.gov.ru/files/ЮЛ600301567500002.jpeg","Скачать индивидуальный QR-код магазина")</f>
        <v>Скачать индивидуальный QR-код магазина</v>
      </c>
    </row>
    <row r="11732" spans="1:7" x14ac:dyDescent="0.25">
      <c r="A11732" t="s">
        <v>36430</v>
      </c>
      <c r="B11732" t="s">
        <v>36520</v>
      </c>
      <c r="C11732" t="s">
        <v>36521</v>
      </c>
      <c r="D11732" t="s">
        <v>36522</v>
      </c>
      <c r="E11732" t="s">
        <v>36523</v>
      </c>
      <c r="F11732" t="s">
        <v>36524</v>
      </c>
      <c r="G11732" s="2" t="str">
        <f>HYPERLINK("https://probpalata.gov.ru/files/ЮЛ600301481200000.jpeg","Скачать индивидуальный QR-код магазина")</f>
        <v>Скачать индивидуальный QR-код магазина</v>
      </c>
    </row>
    <row r="11733" spans="1:7" x14ac:dyDescent="0.25">
      <c r="A11733" t="s">
        <v>36430</v>
      </c>
      <c r="B11733" t="s">
        <v>36525</v>
      </c>
      <c r="C11733" t="s">
        <v>36521</v>
      </c>
      <c r="D11733" t="s">
        <v>36522</v>
      </c>
      <c r="E11733" t="s">
        <v>36523</v>
      </c>
      <c r="F11733" t="s">
        <v>36526</v>
      </c>
      <c r="G11733" s="2" t="str">
        <f>HYPERLINK("https://probpalata.gov.ru/files/ЮЛ600301481200004.jpeg","Скачать индивидуальный QR-код магазина")</f>
        <v>Скачать индивидуальный QR-код магазина</v>
      </c>
    </row>
    <row r="11734" spans="1:7" x14ac:dyDescent="0.25">
      <c r="A11734" t="s">
        <v>36430</v>
      </c>
      <c r="B11734" t="s">
        <v>36527</v>
      </c>
      <c r="C11734" t="s">
        <v>36528</v>
      </c>
      <c r="D11734" t="s">
        <v>36529</v>
      </c>
      <c r="E11734" t="s">
        <v>36530</v>
      </c>
      <c r="F11734" t="s">
        <v>36531</v>
      </c>
      <c r="G11734" s="2" t="str">
        <f>HYPERLINK("https://probpalata.gov.ru/files/ЮЛ600300377000000.jpeg","Скачать индивидуальный QR-код магазина")</f>
        <v>Скачать индивидуальный QR-код магазина</v>
      </c>
    </row>
    <row r="11735" spans="1:7" x14ac:dyDescent="0.25">
      <c r="A11735" t="s">
        <v>36430</v>
      </c>
      <c r="B11735" t="s">
        <v>36532</v>
      </c>
      <c r="C11735" t="s">
        <v>36533</v>
      </c>
      <c r="D11735" t="s">
        <v>36534</v>
      </c>
      <c r="E11735" t="s">
        <v>36535</v>
      </c>
      <c r="F11735" t="s">
        <v>36536</v>
      </c>
      <c r="G11735" s="2" t="str">
        <f>HYPERLINK("https://probpalata.gov.ru/files/ЮЛ600303564400000.jpeg","Скачать индивидуальный QR-код магазина")</f>
        <v>Скачать индивидуальный QR-код магазина</v>
      </c>
    </row>
    <row r="11736" spans="1:7" x14ac:dyDescent="0.25">
      <c r="A11736" t="s">
        <v>36430</v>
      </c>
      <c r="B11736" t="s">
        <v>36537</v>
      </c>
      <c r="C11736" t="s">
        <v>36538</v>
      </c>
      <c r="D11736" t="s">
        <v>36539</v>
      </c>
      <c r="E11736" t="s">
        <v>36540</v>
      </c>
      <c r="F11736" t="s">
        <v>36541</v>
      </c>
      <c r="G11736" s="2" t="str">
        <f>HYPERLINK("https://probpalata.gov.ru/files/ИП600301122500000.jpeg","Скачать индивидуальный QR-код магазина")</f>
        <v>Скачать индивидуальный QR-код магазина</v>
      </c>
    </row>
    <row r="11737" spans="1:7" x14ac:dyDescent="0.25">
      <c r="A11737" t="s">
        <v>36430</v>
      </c>
      <c r="B11737" t="s">
        <v>36542</v>
      </c>
      <c r="C11737" t="s">
        <v>36543</v>
      </c>
      <c r="D11737" t="s">
        <v>36544</v>
      </c>
      <c r="E11737" t="s">
        <v>36545</v>
      </c>
      <c r="F11737" t="s">
        <v>36546</v>
      </c>
      <c r="G11737" s="2" t="str">
        <f>HYPERLINK("https://probpalata.gov.ru/files/ИП600300200500000.jpeg","Скачать индивидуальный QR-код магазина")</f>
        <v>Скачать индивидуальный QR-код магазина</v>
      </c>
    </row>
    <row r="11738" spans="1:7" x14ac:dyDescent="0.25">
      <c r="A11738" t="s">
        <v>36430</v>
      </c>
      <c r="B11738" t="s">
        <v>36547</v>
      </c>
      <c r="C11738" t="s">
        <v>36548</v>
      </c>
      <c r="D11738" t="s">
        <v>36549</v>
      </c>
      <c r="E11738" t="s">
        <v>36550</v>
      </c>
      <c r="F11738" t="s">
        <v>36551</v>
      </c>
      <c r="G11738" s="2" t="str">
        <f>HYPERLINK("https://probpalata.gov.ru/files/ИП600303269000000.jpeg","Скачать индивидуальный QR-код магазина")</f>
        <v>Скачать индивидуальный QR-код магазина</v>
      </c>
    </row>
    <row r="11739" spans="1:7" x14ac:dyDescent="0.25">
      <c r="A11739" t="s">
        <v>36430</v>
      </c>
      <c r="B11739" t="s">
        <v>36552</v>
      </c>
      <c r="C11739" t="s">
        <v>36553</v>
      </c>
      <c r="D11739" t="s">
        <v>36554</v>
      </c>
      <c r="E11739" t="s">
        <v>36555</v>
      </c>
      <c r="F11739" t="s">
        <v>36556</v>
      </c>
      <c r="G11739" s="2" t="str">
        <f>HYPERLINK("https://probpalata.gov.ru/files/ИП600303200800000.jpeg","Скачать индивидуальный QR-код магазина")</f>
        <v>Скачать индивидуальный QR-код магазина</v>
      </c>
    </row>
    <row r="11740" spans="1:7" x14ac:dyDescent="0.25">
      <c r="A11740" t="s">
        <v>36430</v>
      </c>
      <c r="B11740" t="s">
        <v>36557</v>
      </c>
      <c r="C11740" t="s">
        <v>36558</v>
      </c>
      <c r="D11740" t="s">
        <v>36559</v>
      </c>
      <c r="E11740" t="s">
        <v>36560</v>
      </c>
      <c r="F11740" t="s">
        <v>36561</v>
      </c>
      <c r="G11740" s="2" t="str">
        <f>HYPERLINK("https://probpalata.gov.ru/files/ИП600300818800000.jpeg","Скачать индивидуальный QR-код магазина")</f>
        <v>Скачать индивидуальный QR-код магазина</v>
      </c>
    </row>
    <row r="11741" spans="1:7" x14ac:dyDescent="0.25">
      <c r="A11741" t="s">
        <v>36430</v>
      </c>
      <c r="B11741" t="s">
        <v>36562</v>
      </c>
      <c r="C11741" t="s">
        <v>36563</v>
      </c>
      <c r="D11741" t="s">
        <v>36564</v>
      </c>
      <c r="E11741" t="s">
        <v>36565</v>
      </c>
      <c r="F11741" t="s">
        <v>36566</v>
      </c>
      <c r="G11741" s="2" t="str">
        <f>HYPERLINK("https://probpalata.gov.ru/files/ИП600301179200000.jpeg","Скачать индивидуальный QR-код магазина")</f>
        <v>Скачать индивидуальный QR-код магазина</v>
      </c>
    </row>
    <row r="11742" spans="1:7" x14ac:dyDescent="0.25">
      <c r="A11742" t="s">
        <v>36430</v>
      </c>
      <c r="B11742" t="s">
        <v>36567</v>
      </c>
      <c r="C11742" t="s">
        <v>36568</v>
      </c>
      <c r="D11742" t="s">
        <v>36569</v>
      </c>
      <c r="E11742" t="s">
        <v>36570</v>
      </c>
      <c r="F11742" t="s">
        <v>36571</v>
      </c>
      <c r="G11742" s="2" t="str">
        <f>HYPERLINK("https://probpalata.gov.ru/files/ИП600301278400000.jpeg","Скачать индивидуальный QR-код магазина")</f>
        <v>Скачать индивидуальный QR-код магазина</v>
      </c>
    </row>
    <row r="11743" spans="1:7" x14ac:dyDescent="0.25">
      <c r="A11743" t="s">
        <v>36430</v>
      </c>
      <c r="B11743" t="s">
        <v>36572</v>
      </c>
      <c r="C11743" t="s">
        <v>36573</v>
      </c>
      <c r="D11743" t="s">
        <v>36574</v>
      </c>
      <c r="E11743" t="s">
        <v>36575</v>
      </c>
      <c r="F11743" t="s">
        <v>36576</v>
      </c>
      <c r="G11743" s="2" t="str">
        <f>HYPERLINK("https://probpalata.gov.ru/files/ЮЛ600300980700000.jpeg","Скачать индивидуальный QR-код магазина")</f>
        <v>Скачать индивидуальный QR-код магазина</v>
      </c>
    </row>
    <row r="11744" spans="1:7" x14ac:dyDescent="0.25">
      <c r="A11744" t="s">
        <v>36430</v>
      </c>
      <c r="B11744" t="s">
        <v>36577</v>
      </c>
      <c r="C11744" t="s">
        <v>36578</v>
      </c>
      <c r="D11744" t="s">
        <v>36579</v>
      </c>
      <c r="E11744" t="s">
        <v>36580</v>
      </c>
      <c r="F11744" t="s">
        <v>36581</v>
      </c>
      <c r="G11744" s="2" t="str">
        <f>HYPERLINK("https://probpalata.gov.ru/files/ИП600301601900000.jpeg","Скачать индивидуальный QR-код магазина")</f>
        <v>Скачать индивидуальный QR-код магазина</v>
      </c>
    </row>
    <row r="11745" spans="1:7" x14ac:dyDescent="0.25">
      <c r="A11745" t="s">
        <v>36430</v>
      </c>
      <c r="B11745" t="s">
        <v>36582</v>
      </c>
      <c r="C11745" t="s">
        <v>36583</v>
      </c>
      <c r="D11745" t="s">
        <v>36584</v>
      </c>
      <c r="E11745" t="s">
        <v>36585</v>
      </c>
      <c r="F11745" t="s">
        <v>36586</v>
      </c>
      <c r="G11745" s="2" t="str">
        <f>HYPERLINK("https://probpalata.gov.ru/files/ЮЛ600300221000000.jpeg","Скачать индивидуальный QR-код магазина")</f>
        <v>Скачать индивидуальный QR-код магазина</v>
      </c>
    </row>
    <row r="11746" spans="1:7" x14ac:dyDescent="0.25">
      <c r="A11746" t="s">
        <v>36430</v>
      </c>
      <c r="B11746" t="s">
        <v>36587</v>
      </c>
      <c r="C11746" t="s">
        <v>36588</v>
      </c>
      <c r="D11746" t="s">
        <v>36589</v>
      </c>
      <c r="E11746" t="s">
        <v>36590</v>
      </c>
      <c r="F11746" t="s">
        <v>36591</v>
      </c>
      <c r="G11746" s="2" t="str">
        <f>HYPERLINK("https://probpalata.gov.ru/files/ИП600301217400000.jpeg","Скачать индивидуальный QR-код магазина")</f>
        <v>Скачать индивидуальный QR-код магазина</v>
      </c>
    </row>
    <row r="11747" spans="1:7" x14ac:dyDescent="0.25">
      <c r="A11747" t="s">
        <v>36430</v>
      </c>
      <c r="B11747" t="s">
        <v>36592</v>
      </c>
      <c r="C11747" t="s">
        <v>36593</v>
      </c>
      <c r="D11747" t="s">
        <v>36594</v>
      </c>
      <c r="E11747" t="s">
        <v>36595</v>
      </c>
      <c r="F11747" t="s">
        <v>36596</v>
      </c>
      <c r="G11747" s="2" t="str">
        <f>HYPERLINK("https://probpalata.gov.ru/files/ИП670100518900000.jpeg","Скачать индивидуальный QR-код магазина")</f>
        <v>Скачать индивидуальный QR-код магазина</v>
      </c>
    </row>
    <row r="11748" spans="1:7" x14ac:dyDescent="0.25">
      <c r="A11748" t="s">
        <v>36430</v>
      </c>
      <c r="B11748" t="s">
        <v>36597</v>
      </c>
      <c r="C11748" t="s">
        <v>36593</v>
      </c>
      <c r="D11748" t="s">
        <v>36594</v>
      </c>
      <c r="E11748" t="s">
        <v>36595</v>
      </c>
      <c r="F11748" t="s">
        <v>36598</v>
      </c>
      <c r="G11748" s="2" t="str">
        <f>HYPERLINK("https://probpalata.gov.ru/files/ИП670100518900002.jpeg","Скачать индивидуальный QR-код магазина")</f>
        <v>Скачать индивидуальный QR-код магазина</v>
      </c>
    </row>
    <row r="11749" spans="1:7" x14ac:dyDescent="0.25">
      <c r="A11749" t="s">
        <v>36430</v>
      </c>
      <c r="B11749" t="s">
        <v>36599</v>
      </c>
      <c r="C11749" t="s">
        <v>36593</v>
      </c>
      <c r="D11749" t="s">
        <v>36594</v>
      </c>
      <c r="E11749" t="s">
        <v>36595</v>
      </c>
      <c r="F11749" t="s">
        <v>36600</v>
      </c>
      <c r="G11749" s="2" t="str">
        <f>HYPERLINK("https://probpalata.gov.ru/files/ИП670100518900003.jpeg","Скачать индивидуальный QR-код магазина")</f>
        <v>Скачать индивидуальный QR-код магазина</v>
      </c>
    </row>
    <row r="11750" spans="1:7" x14ac:dyDescent="0.25">
      <c r="A11750" t="s">
        <v>36430</v>
      </c>
      <c r="B11750" t="s">
        <v>36601</v>
      </c>
      <c r="C11750" t="s">
        <v>36593</v>
      </c>
      <c r="D11750" t="s">
        <v>36594</v>
      </c>
      <c r="E11750" t="s">
        <v>36595</v>
      </c>
      <c r="F11750" t="s">
        <v>36602</v>
      </c>
      <c r="G11750" s="2" t="str">
        <f>HYPERLINK("https://probpalata.gov.ru/files/ИП670100518900006.jpeg","Скачать индивидуальный QR-код магазина")</f>
        <v>Скачать индивидуальный QR-код магазина</v>
      </c>
    </row>
    <row r="11751" spans="1:7" x14ac:dyDescent="0.25">
      <c r="A11751" t="s">
        <v>36430</v>
      </c>
      <c r="B11751" t="s">
        <v>36603</v>
      </c>
      <c r="C11751" t="s">
        <v>1740</v>
      </c>
      <c r="D11751" t="s">
        <v>1741</v>
      </c>
      <c r="E11751" t="s">
        <v>1742</v>
      </c>
      <c r="F11751" t="s">
        <v>36604</v>
      </c>
      <c r="G11751" s="2" t="str">
        <f>HYPERLINK("https://probpalata.gov.ru/files/ЮЛ760201190700036.jpeg","Скачать индивидуальный QR-код магазина")</f>
        <v>Скачать индивидуальный QR-код магазина</v>
      </c>
    </row>
    <row r="11752" spans="1:7" x14ac:dyDescent="0.25">
      <c r="A11752" t="s">
        <v>36430</v>
      </c>
      <c r="B11752" t="s">
        <v>36605</v>
      </c>
      <c r="C11752" t="s">
        <v>713</v>
      </c>
      <c r="D11752" t="s">
        <v>714</v>
      </c>
      <c r="E11752" t="s">
        <v>715</v>
      </c>
      <c r="F11752" t="s">
        <v>36606</v>
      </c>
      <c r="G11752" s="2" t="str">
        <f>HYPERLINK("https://probpalata.gov.ru/files/ЮЛ770101216600251.jpeg","Скачать индивидуальный QR-код магазина")</f>
        <v>Скачать индивидуальный QR-код магазина</v>
      </c>
    </row>
    <row r="11753" spans="1:7" x14ac:dyDescent="0.25">
      <c r="A11753" t="s">
        <v>36430</v>
      </c>
      <c r="B11753" t="s">
        <v>36607</v>
      </c>
      <c r="C11753" t="s">
        <v>713</v>
      </c>
      <c r="D11753" t="s">
        <v>714</v>
      </c>
      <c r="E11753" t="s">
        <v>715</v>
      </c>
      <c r="F11753" t="s">
        <v>36608</v>
      </c>
      <c r="G11753" s="2" t="str">
        <f>HYPERLINK("https://probpalata.gov.ru/files/ЮЛ770101216600361.jpeg","Скачать индивидуальный QR-код магазина")</f>
        <v>Скачать индивидуальный QR-код магазина</v>
      </c>
    </row>
    <row r="11754" spans="1:7" x14ac:dyDescent="0.25">
      <c r="A11754" t="s">
        <v>36430</v>
      </c>
      <c r="B11754" t="s">
        <v>36609</v>
      </c>
      <c r="C11754" t="s">
        <v>713</v>
      </c>
      <c r="D11754" t="s">
        <v>714</v>
      </c>
      <c r="E11754" t="s">
        <v>715</v>
      </c>
      <c r="F11754" t="s">
        <v>36610</v>
      </c>
      <c r="G11754" s="2" t="str">
        <f>HYPERLINK("https://probpalata.gov.ru/files/ЮЛ770101216600823.jpeg","Скачать индивидуальный QR-код магазина")</f>
        <v>Скачать индивидуальный QR-код магазина</v>
      </c>
    </row>
    <row r="11755" spans="1:7" x14ac:dyDescent="0.25">
      <c r="A11755" t="s">
        <v>36430</v>
      </c>
      <c r="B11755" t="s">
        <v>36611</v>
      </c>
      <c r="C11755" t="s">
        <v>1416</v>
      </c>
      <c r="D11755" t="s">
        <v>1417</v>
      </c>
      <c r="E11755" t="s">
        <v>1418</v>
      </c>
      <c r="F11755" t="s">
        <v>36612</v>
      </c>
      <c r="G11755" s="2" t="str">
        <f>HYPERLINK("https://probpalata.gov.ru/files/ЮЛ770100419400114.jpeg","Скачать индивидуальный QR-код магазина")</f>
        <v>Скачать индивидуальный QR-код магазина</v>
      </c>
    </row>
    <row r="11756" spans="1:7" x14ac:dyDescent="0.25">
      <c r="A11756" t="s">
        <v>36430</v>
      </c>
      <c r="B11756" t="s">
        <v>36613</v>
      </c>
      <c r="C11756" t="s">
        <v>1416</v>
      </c>
      <c r="D11756" t="s">
        <v>1417</v>
      </c>
      <c r="E11756" t="s">
        <v>1418</v>
      </c>
      <c r="F11756" t="s">
        <v>36614</v>
      </c>
      <c r="G11756" s="2" t="str">
        <f>HYPERLINK("https://probpalata.gov.ru/files/ЮЛ770100419400121.jpeg","Скачать индивидуальный QR-код магазина")</f>
        <v>Скачать индивидуальный QR-код магазина</v>
      </c>
    </row>
    <row r="11757" spans="1:7" x14ac:dyDescent="0.25">
      <c r="A11757" t="s">
        <v>36430</v>
      </c>
      <c r="B11757" t="s">
        <v>36615</v>
      </c>
      <c r="C11757" t="s">
        <v>748</v>
      </c>
      <c r="D11757" t="s">
        <v>749</v>
      </c>
      <c r="E11757" t="s">
        <v>750</v>
      </c>
      <c r="F11757" t="s">
        <v>36616</v>
      </c>
      <c r="G11757" s="2" t="str">
        <f>HYPERLINK("https://probpalata.gov.ru/files/ЮЛ770100193500225.jpeg","Скачать индивидуальный QR-код магазина")</f>
        <v>Скачать индивидуальный QR-код магазина</v>
      </c>
    </row>
    <row r="11758" spans="1:7" x14ac:dyDescent="0.25">
      <c r="A11758" t="s">
        <v>36430</v>
      </c>
      <c r="B11758" t="s">
        <v>36617</v>
      </c>
      <c r="C11758" t="s">
        <v>748</v>
      </c>
      <c r="D11758" t="s">
        <v>749</v>
      </c>
      <c r="E11758" t="s">
        <v>750</v>
      </c>
      <c r="F11758" t="s">
        <v>36618</v>
      </c>
      <c r="G11758" s="2" t="str">
        <f>HYPERLINK("https://probpalata.gov.ru/files/ЮЛ770100193500226.jpeg","Скачать индивидуальный QR-код магазина")</f>
        <v>Скачать индивидуальный QR-код магазина</v>
      </c>
    </row>
    <row r="11759" spans="1:7" x14ac:dyDescent="0.25">
      <c r="A11759" t="s">
        <v>36430</v>
      </c>
      <c r="B11759" t="s">
        <v>36619</v>
      </c>
      <c r="C11759" t="s">
        <v>787</v>
      </c>
      <c r="D11759" t="s">
        <v>788</v>
      </c>
      <c r="E11759" t="s">
        <v>789</v>
      </c>
      <c r="F11759" t="s">
        <v>36620</v>
      </c>
      <c r="G11759" s="2" t="str">
        <f>HYPERLINK("https://probpalata.gov.ru/files/ЮЛ780300328000073.jpeg","Скачать индивидуальный QR-код магазина")</f>
        <v>Скачать индивидуальный QR-код магазина</v>
      </c>
    </row>
    <row r="11760" spans="1:7" x14ac:dyDescent="0.25">
      <c r="A11760" t="s">
        <v>36430</v>
      </c>
      <c r="B11760" t="s">
        <v>36621</v>
      </c>
      <c r="C11760" t="s">
        <v>1441</v>
      </c>
      <c r="D11760" t="s">
        <v>1442</v>
      </c>
      <c r="E11760" t="s">
        <v>1443</v>
      </c>
      <c r="F11760" t="s">
        <v>36622</v>
      </c>
      <c r="G11760" s="2" t="str">
        <f>HYPERLINK("https://probpalata.gov.ru/files/ЮЛ780300179700010.jpeg","Скачать индивидуальный QR-код магазина")</f>
        <v>Скачать индивидуальный QR-код магазина</v>
      </c>
    </row>
    <row r="11761" spans="1:7" x14ac:dyDescent="0.25">
      <c r="A11761" t="s">
        <v>36430</v>
      </c>
      <c r="B11761" t="s">
        <v>36623</v>
      </c>
      <c r="C11761" t="s">
        <v>791</v>
      </c>
      <c r="D11761" t="s">
        <v>792</v>
      </c>
      <c r="E11761" t="s">
        <v>793</v>
      </c>
      <c r="F11761" t="s">
        <v>36624</v>
      </c>
      <c r="G11761" s="2" t="str">
        <f>HYPERLINK("https://probpalata.gov.ru/files/ЮЛ780300323500014.jpeg","Скачать индивидуальный QR-код магазина")</f>
        <v>Скачать индивидуальный QR-код магазина</v>
      </c>
    </row>
    <row r="11762" spans="1:7" x14ac:dyDescent="0.25">
      <c r="A11762" t="s">
        <v>36430</v>
      </c>
      <c r="B11762" t="s">
        <v>36625</v>
      </c>
      <c r="C11762" t="s">
        <v>791</v>
      </c>
      <c r="D11762" t="s">
        <v>792</v>
      </c>
      <c r="E11762" t="s">
        <v>793</v>
      </c>
      <c r="F11762" t="s">
        <v>36626</v>
      </c>
      <c r="G11762" s="2" t="str">
        <f>HYPERLINK("https://probpalata.gov.ru/files/ЮЛ780300323500052.jpeg","Скачать индивидуальный QR-код магазина")</f>
        <v>Скачать индивидуальный QR-код магазина</v>
      </c>
    </row>
    <row r="11763" spans="1:7" x14ac:dyDescent="0.25">
      <c r="A11763" t="s">
        <v>36430</v>
      </c>
      <c r="B11763" t="s">
        <v>36627</v>
      </c>
      <c r="C11763" t="s">
        <v>791</v>
      </c>
      <c r="D11763" t="s">
        <v>792</v>
      </c>
      <c r="E11763" t="s">
        <v>793</v>
      </c>
      <c r="F11763" t="s">
        <v>36628</v>
      </c>
      <c r="G11763" s="2" t="str">
        <f>HYPERLINK("https://probpalata.gov.ru/files/ЮЛ780300323500121.jpeg","Скачать индивидуальный QR-код магазина")</f>
        <v>Скачать индивидуальный QR-код магазина</v>
      </c>
    </row>
    <row r="11764" spans="1:7" x14ac:dyDescent="0.25">
      <c r="A11764" t="s">
        <v>36430</v>
      </c>
      <c r="B11764" t="s">
        <v>36617</v>
      </c>
      <c r="C11764" t="s">
        <v>791</v>
      </c>
      <c r="D11764" t="s">
        <v>792</v>
      </c>
      <c r="E11764" t="s">
        <v>793</v>
      </c>
      <c r="F11764" t="s">
        <v>36629</v>
      </c>
      <c r="G11764" s="2" t="str">
        <f>HYPERLINK("https://probpalata.gov.ru/files/ЮЛ780300323500122.jpeg","Скачать индивидуальный QR-код магазина")</f>
        <v>Скачать индивидуальный QR-код магазина</v>
      </c>
    </row>
    <row r="11765" spans="1:7" x14ac:dyDescent="0.25">
      <c r="A11765" t="s">
        <v>36430</v>
      </c>
      <c r="B11765" t="s">
        <v>36630</v>
      </c>
      <c r="C11765" t="s">
        <v>798</v>
      </c>
      <c r="D11765" t="s">
        <v>799</v>
      </c>
      <c r="E11765" t="s">
        <v>800</v>
      </c>
      <c r="F11765" t="s">
        <v>36631</v>
      </c>
      <c r="G11765" s="2" t="str">
        <f>HYPERLINK("https://probpalata.gov.ru/files/ЮЛ780300308200043.jpeg","Скачать индивидуальный QR-код магазина")</f>
        <v>Скачать индивидуальный QR-код магазина</v>
      </c>
    </row>
    <row r="11766" spans="1:7" x14ac:dyDescent="0.25">
      <c r="A11766" t="s">
        <v>36430</v>
      </c>
      <c r="B11766" t="s">
        <v>36632</v>
      </c>
      <c r="C11766" t="s">
        <v>798</v>
      </c>
      <c r="D11766" t="s">
        <v>799</v>
      </c>
      <c r="E11766" t="s">
        <v>800</v>
      </c>
      <c r="F11766" t="s">
        <v>36633</v>
      </c>
      <c r="G11766" s="2" t="str">
        <f>HYPERLINK("https://probpalata.gov.ru/files/ЮЛ780300308200052.jpeg","Скачать индивидуальный QR-код магазина")</f>
        <v>Скачать индивидуальный QR-код магазина</v>
      </c>
    </row>
    <row r="11767" spans="1:7" x14ac:dyDescent="0.25">
      <c r="A11767" t="s">
        <v>36430</v>
      </c>
      <c r="B11767" t="s">
        <v>36634</v>
      </c>
      <c r="C11767" t="s">
        <v>798</v>
      </c>
      <c r="D11767" t="s">
        <v>799</v>
      </c>
      <c r="E11767" t="s">
        <v>800</v>
      </c>
      <c r="F11767" t="s">
        <v>36635</v>
      </c>
      <c r="G11767" s="2" t="str">
        <f>HYPERLINK("https://probpalata.gov.ru/files/ЮЛ780300308200192.jpeg","Скачать индивидуальный QR-код магазина")</f>
        <v>Скачать индивидуальный QR-код магазина</v>
      </c>
    </row>
    <row r="11768" spans="1:7" x14ac:dyDescent="0.25">
      <c r="A11768" t="s">
        <v>36430</v>
      </c>
      <c r="B11768" t="s">
        <v>36617</v>
      </c>
      <c r="C11768" t="s">
        <v>798</v>
      </c>
      <c r="D11768" t="s">
        <v>799</v>
      </c>
      <c r="E11768" t="s">
        <v>800</v>
      </c>
      <c r="F11768" t="s">
        <v>36636</v>
      </c>
      <c r="G11768" s="2" t="str">
        <f>HYPERLINK("https://probpalata.gov.ru/files/ЮЛ780300308200238.jpeg","Скачать индивидуальный QR-код магазина")</f>
        <v>Скачать индивидуальный QR-код магазина</v>
      </c>
    </row>
    <row r="11769" spans="1:7" x14ac:dyDescent="0.25">
      <c r="A11769" t="s">
        <v>36430</v>
      </c>
      <c r="B11769" t="s">
        <v>36637</v>
      </c>
      <c r="C11769" t="s">
        <v>798</v>
      </c>
      <c r="D11769" t="s">
        <v>799</v>
      </c>
      <c r="E11769" t="s">
        <v>800</v>
      </c>
      <c r="F11769" t="s">
        <v>36638</v>
      </c>
      <c r="G11769" s="2" t="str">
        <f>HYPERLINK("https://probpalata.gov.ru/files/ЮЛ780300308201067.jpeg","Скачать индивидуальный QR-код магазина")</f>
        <v>Скачать индивидуальный QR-код магазина</v>
      </c>
    </row>
    <row r="11770" spans="1:7" x14ac:dyDescent="0.25">
      <c r="A11770" t="s">
        <v>36430</v>
      </c>
      <c r="B11770" t="s">
        <v>36625</v>
      </c>
      <c r="C11770" t="s">
        <v>823</v>
      </c>
      <c r="D11770" t="s">
        <v>824</v>
      </c>
      <c r="E11770" t="s">
        <v>825</v>
      </c>
      <c r="F11770" t="s">
        <v>36639</v>
      </c>
      <c r="G11770" s="2" t="str">
        <f>HYPERLINK("https://probpalata.gov.ru/files/ЮЛ780300363500074.jpeg","Скачать индивидуальный QR-код магазина")</f>
        <v>Скачать индивидуальный QR-код магазина</v>
      </c>
    </row>
    <row r="11771" spans="1:7" x14ac:dyDescent="0.25">
      <c r="A11771" t="s">
        <v>36430</v>
      </c>
      <c r="B11771" t="s">
        <v>36623</v>
      </c>
      <c r="C11771" t="s">
        <v>823</v>
      </c>
      <c r="D11771" t="s">
        <v>824</v>
      </c>
      <c r="E11771" t="s">
        <v>825</v>
      </c>
      <c r="F11771" t="s">
        <v>36640</v>
      </c>
      <c r="G11771" s="2" t="str">
        <f>HYPERLINK("https://probpalata.gov.ru/files/ЮЛ780300363500189.jpeg","Скачать индивидуальный QR-код магазина")</f>
        <v>Скачать индивидуальный QR-код магазина</v>
      </c>
    </row>
    <row r="11772" spans="1:7" x14ac:dyDescent="0.25">
      <c r="A11772" t="s">
        <v>36430</v>
      </c>
      <c r="B11772" t="s">
        <v>36627</v>
      </c>
      <c r="C11772" t="s">
        <v>823</v>
      </c>
      <c r="D11772" t="s">
        <v>824</v>
      </c>
      <c r="E11772" t="s">
        <v>825</v>
      </c>
      <c r="F11772" t="s">
        <v>36641</v>
      </c>
      <c r="G11772" s="2" t="str">
        <f>HYPERLINK("https://probpalata.gov.ru/files/ЮЛ780300363500190.jpeg","Скачать индивидуальный QR-код магазина")</f>
        <v>Скачать индивидуальный QR-код магазина</v>
      </c>
    </row>
    <row r="11773" spans="1:7" x14ac:dyDescent="0.25">
      <c r="A11773" t="s">
        <v>36430</v>
      </c>
      <c r="B11773" t="s">
        <v>36617</v>
      </c>
      <c r="C11773" t="s">
        <v>823</v>
      </c>
      <c r="D11773" t="s">
        <v>824</v>
      </c>
      <c r="E11773" t="s">
        <v>825</v>
      </c>
      <c r="F11773" t="s">
        <v>36642</v>
      </c>
      <c r="G11773" s="2" t="str">
        <f>HYPERLINK("https://probpalata.gov.ru/files/ЮЛ780300363500191.jpeg","Скачать индивидуальный QR-код магазина")</f>
        <v>Скачать индивидуальный QR-код магазина</v>
      </c>
    </row>
    <row r="11774" spans="1:7" x14ac:dyDescent="0.25">
      <c r="A11774" t="s">
        <v>36643</v>
      </c>
      <c r="B11774" t="s">
        <v>36644</v>
      </c>
      <c r="C11774" t="s">
        <v>13089</v>
      </c>
      <c r="D11774" t="s">
        <v>13090</v>
      </c>
      <c r="E11774" t="s">
        <v>13091</v>
      </c>
      <c r="F11774" t="s">
        <v>36645</v>
      </c>
      <c r="G11774" s="2" t="str">
        <f>HYPERLINK("https://probpalata.gov.ru/files/ЮЛ010403538100000.jpeg","Скачать индивидуальный QR-код магазина")</f>
        <v>Скачать индивидуальный QR-код магазина</v>
      </c>
    </row>
    <row r="11775" spans="1:7" x14ac:dyDescent="0.25">
      <c r="A11775" t="s">
        <v>36643</v>
      </c>
      <c r="B11775" t="s">
        <v>36646</v>
      </c>
      <c r="C11775" t="s">
        <v>36647</v>
      </c>
      <c r="D11775" t="s">
        <v>36648</v>
      </c>
      <c r="E11775" t="s">
        <v>36649</v>
      </c>
      <c r="F11775" t="s">
        <v>36650</v>
      </c>
      <c r="G11775" s="2" t="str">
        <f>HYPERLINK("https://probpalata.gov.ru/files/ИП010403504400000.jpeg","Скачать индивидуальный QR-код магазина")</f>
        <v>Скачать индивидуальный QR-код магазина</v>
      </c>
    </row>
    <row r="11776" spans="1:7" x14ac:dyDescent="0.25">
      <c r="A11776" t="s">
        <v>36643</v>
      </c>
      <c r="B11776" t="s">
        <v>36651</v>
      </c>
      <c r="C11776" t="s">
        <v>2654</v>
      </c>
      <c r="D11776" t="s">
        <v>36652</v>
      </c>
      <c r="E11776" t="s">
        <v>36653</v>
      </c>
      <c r="F11776" t="s">
        <v>36654</v>
      </c>
      <c r="G11776" s="2" t="str">
        <f>HYPERLINK("https://probpalata.gov.ru/files/ЮЛ010400486400000.jpeg","Скачать индивидуальный QR-код магазина")</f>
        <v>Скачать индивидуальный QR-код магазина</v>
      </c>
    </row>
    <row r="11777" spans="1:7" x14ac:dyDescent="0.25">
      <c r="A11777" t="s">
        <v>36643</v>
      </c>
      <c r="B11777" t="s">
        <v>36655</v>
      </c>
      <c r="C11777" t="s">
        <v>2654</v>
      </c>
      <c r="D11777" t="s">
        <v>36652</v>
      </c>
      <c r="E11777" t="s">
        <v>36653</v>
      </c>
      <c r="F11777" t="s">
        <v>36656</v>
      </c>
      <c r="G11777" s="2" t="str">
        <f>HYPERLINK("https://probpalata.gov.ru/files/ЮЛ010400486400001.jpeg","Скачать индивидуальный QR-код магазина")</f>
        <v>Скачать индивидуальный QR-код магазина</v>
      </c>
    </row>
    <row r="11778" spans="1:7" x14ac:dyDescent="0.25">
      <c r="A11778" t="s">
        <v>36643</v>
      </c>
      <c r="B11778" t="s">
        <v>36657</v>
      </c>
      <c r="C11778" t="s">
        <v>2654</v>
      </c>
      <c r="D11778" t="s">
        <v>36652</v>
      </c>
      <c r="E11778" t="s">
        <v>36653</v>
      </c>
      <c r="F11778" t="s">
        <v>36658</v>
      </c>
      <c r="G11778" s="2" t="str">
        <f>HYPERLINK("https://probpalata.gov.ru/files/ЮЛ010400486400002.jpeg","Скачать индивидуальный QR-код магазина")</f>
        <v>Скачать индивидуальный QR-код магазина</v>
      </c>
    </row>
    <row r="11779" spans="1:7" x14ac:dyDescent="0.25">
      <c r="A11779" t="s">
        <v>36643</v>
      </c>
      <c r="B11779" t="s">
        <v>36659</v>
      </c>
      <c r="C11779" t="s">
        <v>36660</v>
      </c>
      <c r="D11779" t="s">
        <v>36661</v>
      </c>
      <c r="E11779" t="s">
        <v>36662</v>
      </c>
      <c r="F11779" t="s">
        <v>36663</v>
      </c>
      <c r="G11779" s="2" t="str">
        <f>HYPERLINK("https://probpalata.gov.ru/files/ИП010400095400000.jpeg","Скачать индивидуальный QR-код магазина")</f>
        <v>Скачать индивидуальный QR-код магазина</v>
      </c>
    </row>
    <row r="11780" spans="1:7" x14ac:dyDescent="0.25">
      <c r="A11780" t="s">
        <v>36643</v>
      </c>
      <c r="B11780" t="s">
        <v>36664</v>
      </c>
      <c r="C11780" t="s">
        <v>36660</v>
      </c>
      <c r="D11780" t="s">
        <v>36661</v>
      </c>
      <c r="E11780" t="s">
        <v>36662</v>
      </c>
      <c r="F11780" t="s">
        <v>36665</v>
      </c>
      <c r="G11780" s="2" t="str">
        <f>HYPERLINK("https://probpalata.gov.ru/files/ИП010400095400001.jpeg","Скачать индивидуальный QR-код магазина")</f>
        <v>Скачать индивидуальный QR-код магазина</v>
      </c>
    </row>
    <row r="11781" spans="1:7" x14ac:dyDescent="0.25">
      <c r="A11781" t="s">
        <v>36643</v>
      </c>
      <c r="B11781" t="s">
        <v>36666</v>
      </c>
      <c r="C11781" t="s">
        <v>36660</v>
      </c>
      <c r="D11781" t="s">
        <v>36661</v>
      </c>
      <c r="E11781" t="s">
        <v>36662</v>
      </c>
      <c r="F11781" t="s">
        <v>36667</v>
      </c>
      <c r="G11781" s="2" t="str">
        <f>HYPERLINK("https://probpalata.gov.ru/files/ИП010400095400003.jpeg","Скачать индивидуальный QR-код магазина")</f>
        <v>Скачать индивидуальный QR-код магазина</v>
      </c>
    </row>
    <row r="11782" spans="1:7" x14ac:dyDescent="0.25">
      <c r="A11782" t="s">
        <v>36643</v>
      </c>
      <c r="B11782" t="s">
        <v>36668</v>
      </c>
      <c r="C11782" t="s">
        <v>13142</v>
      </c>
      <c r="D11782" t="s">
        <v>13143</v>
      </c>
      <c r="E11782" t="s">
        <v>13144</v>
      </c>
      <c r="F11782" t="s">
        <v>36669</v>
      </c>
      <c r="G11782" s="2" t="str">
        <f>HYPERLINK("https://probpalata.gov.ru/files/ИП010400626100000.jpeg","Скачать индивидуальный QR-код магазина")</f>
        <v>Скачать индивидуальный QR-код магазина</v>
      </c>
    </row>
    <row r="11783" spans="1:7" x14ac:dyDescent="0.25">
      <c r="A11783" t="s">
        <v>36643</v>
      </c>
      <c r="B11783" t="s">
        <v>36670</v>
      </c>
      <c r="C11783" t="s">
        <v>13142</v>
      </c>
      <c r="D11783" t="s">
        <v>13143</v>
      </c>
      <c r="E11783" t="s">
        <v>13144</v>
      </c>
      <c r="F11783" t="s">
        <v>36671</v>
      </c>
      <c r="G11783" s="2" t="str">
        <f>HYPERLINK("https://probpalata.gov.ru/files/ИП010400626100007.jpeg","Скачать индивидуальный QR-код магазина")</f>
        <v>Скачать индивидуальный QR-код магазина</v>
      </c>
    </row>
    <row r="11784" spans="1:7" x14ac:dyDescent="0.25">
      <c r="A11784" t="s">
        <v>36643</v>
      </c>
      <c r="B11784" t="s">
        <v>36672</v>
      </c>
      <c r="C11784" t="s">
        <v>13142</v>
      </c>
      <c r="D11784" t="s">
        <v>13143</v>
      </c>
      <c r="E11784" t="s">
        <v>13144</v>
      </c>
      <c r="F11784" t="s">
        <v>36673</v>
      </c>
      <c r="G11784" s="2" t="str">
        <f>HYPERLINK("https://probpalata.gov.ru/files/ИП010400626100008.jpeg","Скачать индивидуальный QR-код магазина")</f>
        <v>Скачать индивидуальный QR-код магазина</v>
      </c>
    </row>
    <row r="11785" spans="1:7" x14ac:dyDescent="0.25">
      <c r="A11785" t="s">
        <v>36643</v>
      </c>
      <c r="B11785" t="s">
        <v>36674</v>
      </c>
      <c r="C11785" t="s">
        <v>36675</v>
      </c>
      <c r="D11785" t="s">
        <v>36676</v>
      </c>
      <c r="E11785" t="s">
        <v>36677</v>
      </c>
      <c r="F11785" t="s">
        <v>36678</v>
      </c>
      <c r="G11785" s="2" t="str">
        <f>HYPERLINK("https://probpalata.gov.ru/files/ИП010400283200000.jpeg","Скачать индивидуальный QR-код магазина")</f>
        <v>Скачать индивидуальный QR-код магазина</v>
      </c>
    </row>
    <row r="11786" spans="1:7" x14ac:dyDescent="0.25">
      <c r="A11786" t="s">
        <v>36643</v>
      </c>
      <c r="B11786" t="s">
        <v>36679</v>
      </c>
      <c r="C11786" t="s">
        <v>36675</v>
      </c>
      <c r="D11786" t="s">
        <v>36676</v>
      </c>
      <c r="E11786" t="s">
        <v>36677</v>
      </c>
      <c r="F11786" t="s">
        <v>36680</v>
      </c>
      <c r="G11786" s="2" t="str">
        <f>HYPERLINK("https://probpalata.gov.ru/files/ИП010400283200001.jpeg","Скачать индивидуальный QR-код магазина")</f>
        <v>Скачать индивидуальный QR-код магазина</v>
      </c>
    </row>
    <row r="11787" spans="1:7" x14ac:dyDescent="0.25">
      <c r="A11787" t="s">
        <v>36643</v>
      </c>
      <c r="B11787" t="s">
        <v>36681</v>
      </c>
      <c r="C11787" t="s">
        <v>36682</v>
      </c>
      <c r="D11787" t="s">
        <v>36683</v>
      </c>
      <c r="E11787" t="s">
        <v>36684</v>
      </c>
      <c r="F11787" t="s">
        <v>36685</v>
      </c>
      <c r="G11787" s="2" t="str">
        <f>HYPERLINK("https://probpalata.gov.ru/files/ИП010400371900001.jpeg","Скачать индивидуальный QR-код магазина")</f>
        <v>Скачать индивидуальный QR-код магазина</v>
      </c>
    </row>
    <row r="11788" spans="1:7" x14ac:dyDescent="0.25">
      <c r="A11788" t="s">
        <v>36643</v>
      </c>
      <c r="B11788" t="s">
        <v>36686</v>
      </c>
      <c r="C11788" t="s">
        <v>36682</v>
      </c>
      <c r="D11788" t="s">
        <v>36683</v>
      </c>
      <c r="E11788" t="s">
        <v>36684</v>
      </c>
      <c r="F11788" t="s">
        <v>36687</v>
      </c>
      <c r="G11788" s="2" t="str">
        <f>HYPERLINK("https://probpalata.gov.ru/files/ИП010400371900002.jpeg","Скачать индивидуальный QR-код магазина")</f>
        <v>Скачать индивидуальный QR-код магазина</v>
      </c>
    </row>
    <row r="11789" spans="1:7" x14ac:dyDescent="0.25">
      <c r="A11789" t="s">
        <v>36643</v>
      </c>
      <c r="B11789" t="s">
        <v>36659</v>
      </c>
      <c r="C11789" t="s">
        <v>20611</v>
      </c>
      <c r="D11789" t="s">
        <v>36688</v>
      </c>
      <c r="E11789" t="s">
        <v>36689</v>
      </c>
      <c r="F11789" t="s">
        <v>36690</v>
      </c>
      <c r="G11789" s="2" t="str">
        <f>HYPERLINK("https://probpalata.gov.ru/files/ЮЛ010400829100000.jpeg","Скачать индивидуальный QR-код магазина")</f>
        <v>Скачать индивидуальный QR-код магазина</v>
      </c>
    </row>
    <row r="11790" spans="1:7" x14ac:dyDescent="0.25">
      <c r="A11790" t="s">
        <v>36643</v>
      </c>
      <c r="B11790" t="s">
        <v>36691</v>
      </c>
      <c r="C11790" t="s">
        <v>20611</v>
      </c>
      <c r="D11790" t="s">
        <v>36688</v>
      </c>
      <c r="E11790" t="s">
        <v>36689</v>
      </c>
      <c r="F11790" t="s">
        <v>36692</v>
      </c>
      <c r="G11790" s="2" t="str">
        <f>HYPERLINK("https://probpalata.gov.ru/files/ЮЛ010400829100001.jpeg","Скачать индивидуальный QR-код магазина")</f>
        <v>Скачать индивидуальный QR-код магазина</v>
      </c>
    </row>
    <row r="11791" spans="1:7" x14ac:dyDescent="0.25">
      <c r="A11791" t="s">
        <v>36643</v>
      </c>
      <c r="B11791" t="s">
        <v>36693</v>
      </c>
      <c r="C11791" t="s">
        <v>36694</v>
      </c>
      <c r="D11791" t="s">
        <v>36695</v>
      </c>
      <c r="E11791" t="s">
        <v>36696</v>
      </c>
      <c r="F11791" t="s">
        <v>36697</v>
      </c>
      <c r="G11791" s="2" t="str">
        <f>HYPERLINK("https://probpalata.gov.ru/files/ЮЛ010400283900000.jpeg","Скачать индивидуальный QR-код магазина")</f>
        <v>Скачать индивидуальный QR-код магазина</v>
      </c>
    </row>
    <row r="11792" spans="1:7" x14ac:dyDescent="0.25">
      <c r="A11792" t="s">
        <v>36643</v>
      </c>
      <c r="B11792" t="s">
        <v>36698</v>
      </c>
      <c r="C11792" t="s">
        <v>36699</v>
      </c>
      <c r="D11792" t="s">
        <v>36700</v>
      </c>
      <c r="E11792" t="s">
        <v>36701</v>
      </c>
      <c r="F11792" t="s">
        <v>36702</v>
      </c>
      <c r="G11792" s="2" t="str">
        <f>HYPERLINK("https://probpalata.gov.ru/files/ЮЛ010400971300000.jpeg","Скачать индивидуальный QR-код магазина")</f>
        <v>Скачать индивидуальный QR-код магазина</v>
      </c>
    </row>
    <row r="11793" spans="1:7" x14ac:dyDescent="0.25">
      <c r="A11793" t="s">
        <v>36643</v>
      </c>
      <c r="B11793" t="s">
        <v>36703</v>
      </c>
      <c r="C11793" t="s">
        <v>36704</v>
      </c>
      <c r="D11793" t="s">
        <v>36705</v>
      </c>
      <c r="E11793" t="s">
        <v>36706</v>
      </c>
      <c r="F11793" t="s">
        <v>36707</v>
      </c>
      <c r="G11793" s="2" t="str">
        <f>HYPERLINK("https://probpalata.gov.ru/files/ЮЛ010400673700000.jpeg","Скачать индивидуальный QR-код магазина")</f>
        <v>Скачать индивидуальный QR-код магазина</v>
      </c>
    </row>
    <row r="11794" spans="1:7" x14ac:dyDescent="0.25">
      <c r="A11794" t="s">
        <v>36643</v>
      </c>
      <c r="B11794" t="s">
        <v>36708</v>
      </c>
      <c r="C11794" t="s">
        <v>36704</v>
      </c>
      <c r="D11794" t="s">
        <v>36705</v>
      </c>
      <c r="E11794" t="s">
        <v>36706</v>
      </c>
      <c r="F11794" t="s">
        <v>36709</v>
      </c>
      <c r="G11794" s="2" t="str">
        <f>HYPERLINK("https://probpalata.gov.ru/files/ЮЛ010400673700003.jpeg","Скачать индивидуальный QR-код магазина")</f>
        <v>Скачать индивидуальный QR-код магазина</v>
      </c>
    </row>
    <row r="11795" spans="1:7" x14ac:dyDescent="0.25">
      <c r="A11795" t="s">
        <v>36643</v>
      </c>
      <c r="B11795" t="s">
        <v>36710</v>
      </c>
      <c r="C11795" t="s">
        <v>36711</v>
      </c>
      <c r="D11795" t="s">
        <v>36712</v>
      </c>
      <c r="E11795" t="s">
        <v>36713</v>
      </c>
      <c r="F11795" t="s">
        <v>36714</v>
      </c>
      <c r="G11795" s="2" t="str">
        <f>HYPERLINK("https://probpalata.gov.ru/files/ИП010400956300000.jpeg","Скачать индивидуальный QR-код магазина")</f>
        <v>Скачать индивидуальный QR-код магазина</v>
      </c>
    </row>
    <row r="11796" spans="1:7" x14ac:dyDescent="0.25">
      <c r="A11796" t="s">
        <v>36643</v>
      </c>
      <c r="B11796" t="s">
        <v>36715</v>
      </c>
      <c r="C11796" t="s">
        <v>36716</v>
      </c>
      <c r="D11796" t="s">
        <v>36717</v>
      </c>
      <c r="E11796" t="s">
        <v>36718</v>
      </c>
      <c r="F11796" t="s">
        <v>36719</v>
      </c>
      <c r="G11796" s="2" t="str">
        <f>HYPERLINK("https://probpalata.gov.ru/files/ЮЛ010400668900000.jpeg","Скачать индивидуальный QR-код магазина")</f>
        <v>Скачать индивидуальный QR-код магазина</v>
      </c>
    </row>
    <row r="11797" spans="1:7" x14ac:dyDescent="0.25">
      <c r="A11797" t="s">
        <v>36643</v>
      </c>
      <c r="B11797" t="s">
        <v>36720</v>
      </c>
      <c r="C11797" t="s">
        <v>36721</v>
      </c>
      <c r="D11797" t="s">
        <v>36722</v>
      </c>
      <c r="E11797" t="s">
        <v>36723</v>
      </c>
      <c r="F11797" t="s">
        <v>36724</v>
      </c>
      <c r="G11797" s="2" t="str">
        <f>HYPERLINK("https://probpalata.gov.ru/files/ИП010400745300000.jpeg","Скачать индивидуальный QR-код магазина")</f>
        <v>Скачать индивидуальный QR-код магазина</v>
      </c>
    </row>
    <row r="11798" spans="1:7" x14ac:dyDescent="0.25">
      <c r="A11798" t="s">
        <v>36643</v>
      </c>
      <c r="B11798" t="s">
        <v>36651</v>
      </c>
      <c r="C11798" t="s">
        <v>36721</v>
      </c>
      <c r="D11798" t="s">
        <v>36722</v>
      </c>
      <c r="E11798" t="s">
        <v>36723</v>
      </c>
      <c r="F11798" t="s">
        <v>36725</v>
      </c>
      <c r="G11798" s="2" t="str">
        <f>HYPERLINK("https://probpalata.gov.ru/files/ИП010400745300001.jpeg","Скачать индивидуальный QR-код магазина")</f>
        <v>Скачать индивидуальный QR-код магазина</v>
      </c>
    </row>
    <row r="11799" spans="1:7" x14ac:dyDescent="0.25">
      <c r="A11799" t="s">
        <v>36643</v>
      </c>
      <c r="B11799" t="s">
        <v>36655</v>
      </c>
      <c r="C11799" t="s">
        <v>36721</v>
      </c>
      <c r="D11799" t="s">
        <v>36722</v>
      </c>
      <c r="E11799" t="s">
        <v>36723</v>
      </c>
      <c r="F11799" t="s">
        <v>36726</v>
      </c>
      <c r="G11799" s="2" t="str">
        <f>HYPERLINK("https://probpalata.gov.ru/files/ИП010400745300002.jpeg","Скачать индивидуальный QR-код магазина")</f>
        <v>Скачать индивидуальный QR-код магазина</v>
      </c>
    </row>
    <row r="11800" spans="1:7" x14ac:dyDescent="0.25">
      <c r="A11800" t="s">
        <v>36643</v>
      </c>
      <c r="B11800" t="s">
        <v>36727</v>
      </c>
      <c r="C11800" t="s">
        <v>36728</v>
      </c>
      <c r="D11800" t="s">
        <v>36729</v>
      </c>
      <c r="E11800" t="s">
        <v>36730</v>
      </c>
      <c r="F11800" t="s">
        <v>36731</v>
      </c>
      <c r="G11800" s="2" t="str">
        <f>HYPERLINK("https://probpalata.gov.ru/files/ЮЛ010400318500000.jpeg","Скачать индивидуальный QR-код магазина")</f>
        <v>Скачать индивидуальный QR-код магазина</v>
      </c>
    </row>
    <row r="11801" spans="1:7" x14ac:dyDescent="0.25">
      <c r="A11801" t="s">
        <v>36643</v>
      </c>
      <c r="B11801" t="s">
        <v>36727</v>
      </c>
      <c r="C11801" t="s">
        <v>13155</v>
      </c>
      <c r="D11801" t="s">
        <v>13156</v>
      </c>
      <c r="E11801" t="s">
        <v>13157</v>
      </c>
      <c r="F11801" t="s">
        <v>36732</v>
      </c>
      <c r="G11801" s="2" t="str">
        <f>HYPERLINK("https://probpalata.gov.ru/files/ИП010400003500000.jpeg","Скачать индивидуальный QR-код магазина")</f>
        <v>Скачать индивидуальный QR-код магазина</v>
      </c>
    </row>
    <row r="11802" spans="1:7" x14ac:dyDescent="0.25">
      <c r="A11802" t="s">
        <v>36643</v>
      </c>
      <c r="B11802" t="s">
        <v>36733</v>
      </c>
      <c r="C11802" t="s">
        <v>2647</v>
      </c>
      <c r="D11802" t="s">
        <v>2648</v>
      </c>
      <c r="E11802" t="s">
        <v>2649</v>
      </c>
      <c r="F11802" t="s">
        <v>36734</v>
      </c>
      <c r="G11802" s="2" t="str">
        <f>HYPERLINK("https://probpalata.gov.ru/files/ИП610400007100041.jpeg","Скачать индивидуальный QR-код магазина")</f>
        <v>Скачать индивидуальный QR-код магазина</v>
      </c>
    </row>
    <row r="11803" spans="1:7" x14ac:dyDescent="0.25">
      <c r="A11803" t="s">
        <v>36643</v>
      </c>
      <c r="B11803" t="s">
        <v>36735</v>
      </c>
      <c r="C11803" t="s">
        <v>36736</v>
      </c>
      <c r="D11803" t="s">
        <v>36737</v>
      </c>
      <c r="E11803" t="s">
        <v>36738</v>
      </c>
      <c r="F11803" t="s">
        <v>36739</v>
      </c>
      <c r="G11803" s="2" t="str">
        <f>HYPERLINK("https://probpalata.gov.ru/files/ИП230400280800000.jpeg","Скачать индивидуальный QR-код магазина")</f>
        <v>Скачать индивидуальный QR-код магазина</v>
      </c>
    </row>
    <row r="11804" spans="1:7" x14ac:dyDescent="0.25">
      <c r="A11804" t="s">
        <v>36643</v>
      </c>
      <c r="B11804" t="s">
        <v>36740</v>
      </c>
      <c r="C11804" t="s">
        <v>13716</v>
      </c>
      <c r="D11804" t="s">
        <v>13717</v>
      </c>
      <c r="E11804" t="s">
        <v>13718</v>
      </c>
      <c r="F11804" t="s">
        <v>36741</v>
      </c>
      <c r="G11804" s="2" t="str">
        <f>HYPERLINK("https://probpalata.gov.ru/files/ИП230400071300001.jpeg","Скачать индивидуальный QR-код магазина")</f>
        <v>Скачать индивидуальный QR-код магазина</v>
      </c>
    </row>
    <row r="11805" spans="1:7" x14ac:dyDescent="0.25">
      <c r="A11805" t="s">
        <v>36643</v>
      </c>
      <c r="B11805" t="s">
        <v>36742</v>
      </c>
      <c r="C11805" t="s">
        <v>13716</v>
      </c>
      <c r="D11805" t="s">
        <v>13717</v>
      </c>
      <c r="E11805" t="s">
        <v>13718</v>
      </c>
      <c r="F11805" t="s">
        <v>36743</v>
      </c>
      <c r="G11805" s="2" t="str">
        <f>HYPERLINK("https://probpalata.gov.ru/files/ИП230400071300002.jpeg","Скачать индивидуальный QR-код магазина")</f>
        <v>Скачать индивидуальный QR-код магазина</v>
      </c>
    </row>
    <row r="11806" spans="1:7" x14ac:dyDescent="0.25">
      <c r="A11806" t="s">
        <v>36643</v>
      </c>
      <c r="B11806" t="s">
        <v>36744</v>
      </c>
      <c r="C11806" t="s">
        <v>14558</v>
      </c>
      <c r="D11806" t="s">
        <v>14559</v>
      </c>
      <c r="E11806" t="s">
        <v>14560</v>
      </c>
      <c r="F11806" t="s">
        <v>36745</v>
      </c>
      <c r="G11806" s="2" t="str">
        <f>HYPERLINK("https://probpalata.gov.ru/files/ЮЛ240800183000022.jpeg","Скачать индивидуальный QR-код магазина")</f>
        <v>Скачать индивидуальный QR-код магазина</v>
      </c>
    </row>
    <row r="11807" spans="1:7" x14ac:dyDescent="0.25">
      <c r="A11807" t="s">
        <v>36643</v>
      </c>
      <c r="B11807" t="s">
        <v>36746</v>
      </c>
      <c r="C11807" t="s">
        <v>14558</v>
      </c>
      <c r="D11807" t="s">
        <v>14559</v>
      </c>
      <c r="E11807" t="s">
        <v>14560</v>
      </c>
      <c r="F11807" t="s">
        <v>36747</v>
      </c>
      <c r="G11807" s="2" t="str">
        <f>HYPERLINK("https://probpalata.gov.ru/files/ЮЛ240800183000023.jpeg","Скачать индивидуальный QR-код магазина")</f>
        <v>Скачать индивидуальный QR-код магазина</v>
      </c>
    </row>
    <row r="11808" spans="1:7" x14ac:dyDescent="0.25">
      <c r="A11808" t="s">
        <v>36643</v>
      </c>
      <c r="B11808" t="s">
        <v>36748</v>
      </c>
      <c r="C11808" t="s">
        <v>2185</v>
      </c>
      <c r="D11808" t="s">
        <v>2186</v>
      </c>
      <c r="E11808" t="s">
        <v>2187</v>
      </c>
      <c r="F11808" t="s">
        <v>36749</v>
      </c>
      <c r="G11808" s="2" t="str">
        <f>HYPERLINK("https://probpalata.gov.ru/files/ЮЛ480100215000014.jpeg","Скачать индивидуальный QR-код магазина")</f>
        <v>Скачать индивидуальный QR-код магазина</v>
      </c>
    </row>
    <row r="11809" spans="1:7" x14ac:dyDescent="0.25">
      <c r="A11809" t="s">
        <v>36643</v>
      </c>
      <c r="B11809" t="s">
        <v>36750</v>
      </c>
      <c r="C11809" t="s">
        <v>2197</v>
      </c>
      <c r="D11809" t="s">
        <v>2198</v>
      </c>
      <c r="E11809" t="s">
        <v>2199</v>
      </c>
      <c r="F11809" t="s">
        <v>36751</v>
      </c>
      <c r="G11809" s="2" t="str">
        <f>HYPERLINK("https://probpalata.gov.ru/files/ИП630601425400045.jpeg","Скачать индивидуальный QR-код магазина")</f>
        <v>Скачать индивидуальный QR-код магазина</v>
      </c>
    </row>
    <row r="11810" spans="1:7" x14ac:dyDescent="0.25">
      <c r="A11810" t="s">
        <v>36643</v>
      </c>
      <c r="B11810" t="s">
        <v>36752</v>
      </c>
      <c r="C11810" t="s">
        <v>7965</v>
      </c>
      <c r="D11810" t="s">
        <v>7966</v>
      </c>
      <c r="E11810" t="s">
        <v>7967</v>
      </c>
      <c r="F11810" t="s">
        <v>36753</v>
      </c>
      <c r="G11810" s="2" t="str">
        <f>HYPERLINK("https://probpalata.gov.ru/files/ЮЛ660700070800201.jpeg","Скачать индивидуальный QR-код магазина")</f>
        <v>Скачать индивидуальный QR-код магазина</v>
      </c>
    </row>
    <row r="11811" spans="1:7" x14ac:dyDescent="0.25">
      <c r="A11811" t="s">
        <v>36643</v>
      </c>
      <c r="B11811" t="s">
        <v>36754</v>
      </c>
      <c r="C11811" t="s">
        <v>713</v>
      </c>
      <c r="D11811" t="s">
        <v>714</v>
      </c>
      <c r="E11811" t="s">
        <v>715</v>
      </c>
      <c r="F11811" t="s">
        <v>36755</v>
      </c>
      <c r="G11811" s="2" t="str">
        <f>HYPERLINK("https://probpalata.gov.ru/files/ЮЛ770101216600538.jpeg","Скачать индивидуальный QR-код магазина")</f>
        <v>Скачать индивидуальный QR-код магазина</v>
      </c>
    </row>
    <row r="11812" spans="1:7" x14ac:dyDescent="0.25">
      <c r="A11812" t="s">
        <v>36643</v>
      </c>
      <c r="B11812" t="s">
        <v>36756</v>
      </c>
      <c r="C11812" t="s">
        <v>713</v>
      </c>
      <c r="D11812" t="s">
        <v>714</v>
      </c>
      <c r="E11812" t="s">
        <v>715</v>
      </c>
      <c r="F11812" t="s">
        <v>36757</v>
      </c>
      <c r="G11812" s="2" t="str">
        <f>HYPERLINK("https://probpalata.gov.ru/files/ЮЛ770101216600626.jpeg","Скачать индивидуальный QR-код магазина")</f>
        <v>Скачать индивидуальный QR-код магазина</v>
      </c>
    </row>
    <row r="11813" spans="1:7" x14ac:dyDescent="0.25">
      <c r="A11813" t="s">
        <v>36643</v>
      </c>
      <c r="B11813" t="s">
        <v>36758</v>
      </c>
      <c r="C11813" t="s">
        <v>713</v>
      </c>
      <c r="D11813" t="s">
        <v>714</v>
      </c>
      <c r="E11813" t="s">
        <v>715</v>
      </c>
      <c r="F11813" t="s">
        <v>36759</v>
      </c>
      <c r="G11813" s="2" t="str">
        <f>HYPERLINK("https://probpalata.gov.ru/files/ЮЛ770101216600666.jpeg","Скачать индивидуальный QR-код магазина")</f>
        <v>Скачать индивидуальный QR-код магазина</v>
      </c>
    </row>
    <row r="11814" spans="1:7" x14ac:dyDescent="0.25">
      <c r="A11814" t="s">
        <v>36643</v>
      </c>
      <c r="B11814" t="s">
        <v>36760</v>
      </c>
      <c r="C11814" t="s">
        <v>713</v>
      </c>
      <c r="D11814" t="s">
        <v>714</v>
      </c>
      <c r="E11814" t="s">
        <v>715</v>
      </c>
      <c r="F11814" t="s">
        <v>36761</v>
      </c>
      <c r="G11814" s="2" t="str">
        <f>HYPERLINK("https://probpalata.gov.ru/files/ЮЛ770101216600760.jpeg","Скачать индивидуальный QR-код магазина")</f>
        <v>Скачать индивидуальный QR-код магазина</v>
      </c>
    </row>
    <row r="11815" spans="1:7" x14ac:dyDescent="0.25">
      <c r="A11815" t="s">
        <v>36643</v>
      </c>
      <c r="B11815" t="s">
        <v>36762</v>
      </c>
      <c r="C11815" t="s">
        <v>1416</v>
      </c>
      <c r="D11815" t="s">
        <v>1417</v>
      </c>
      <c r="E11815" t="s">
        <v>1418</v>
      </c>
      <c r="F11815" t="s">
        <v>36763</v>
      </c>
      <c r="G11815" s="2" t="str">
        <f>HYPERLINK("https://probpalata.gov.ru/files/ЮЛ770100419400189.jpeg","Скачать индивидуальный QR-код магазина")</f>
        <v>Скачать индивидуальный QR-код магазина</v>
      </c>
    </row>
    <row r="11816" spans="1:7" x14ac:dyDescent="0.25">
      <c r="A11816" t="s">
        <v>36643</v>
      </c>
      <c r="B11816" t="s">
        <v>36764</v>
      </c>
      <c r="C11816" t="s">
        <v>748</v>
      </c>
      <c r="D11816" t="s">
        <v>749</v>
      </c>
      <c r="E11816" t="s">
        <v>750</v>
      </c>
      <c r="F11816" t="s">
        <v>36765</v>
      </c>
      <c r="G11816" s="2" t="str">
        <f>HYPERLINK("https://probpalata.gov.ru/files/ЮЛ770100193500038.jpeg","Скачать индивидуальный QR-код магазина")</f>
        <v>Скачать индивидуальный QR-код магазина</v>
      </c>
    </row>
    <row r="11817" spans="1:7" x14ac:dyDescent="0.25">
      <c r="A11817" t="s">
        <v>36643</v>
      </c>
      <c r="B11817" t="s">
        <v>36766</v>
      </c>
      <c r="C11817" t="s">
        <v>748</v>
      </c>
      <c r="D11817" t="s">
        <v>749</v>
      </c>
      <c r="E11817" t="s">
        <v>750</v>
      </c>
      <c r="F11817" t="s">
        <v>36767</v>
      </c>
      <c r="G11817" s="2" t="str">
        <f>HYPERLINK("https://probpalata.gov.ru/files/ЮЛ770100193500039.jpeg","Скачать индивидуальный QR-код магазина")</f>
        <v>Скачать индивидуальный QR-код магазина</v>
      </c>
    </row>
    <row r="11818" spans="1:7" x14ac:dyDescent="0.25">
      <c r="A11818" t="s">
        <v>36643</v>
      </c>
      <c r="B11818" t="s">
        <v>36768</v>
      </c>
      <c r="C11818" t="s">
        <v>748</v>
      </c>
      <c r="D11818" t="s">
        <v>749</v>
      </c>
      <c r="E11818" t="s">
        <v>750</v>
      </c>
      <c r="F11818" t="s">
        <v>36769</v>
      </c>
      <c r="G11818" s="2" t="str">
        <f>HYPERLINK("https://probpalata.gov.ru/files/ЮЛ770100193500665.jpeg","Скачать индивидуальный QR-код магазина")</f>
        <v>Скачать индивидуальный QR-код магазина</v>
      </c>
    </row>
    <row r="11819" spans="1:7" x14ac:dyDescent="0.25">
      <c r="A11819" t="s">
        <v>36643</v>
      </c>
      <c r="B11819" t="s">
        <v>36770</v>
      </c>
      <c r="C11819" t="s">
        <v>748</v>
      </c>
      <c r="D11819" t="s">
        <v>749</v>
      </c>
      <c r="E11819" t="s">
        <v>750</v>
      </c>
      <c r="F11819" t="s">
        <v>36771</v>
      </c>
      <c r="G11819" s="2" t="str">
        <f>HYPERLINK("https://probpalata.gov.ru/files/ЮЛ770100193500704.jpeg","Скачать индивидуальный QR-код магазина")</f>
        <v>Скачать индивидуальный QR-код магазина</v>
      </c>
    </row>
    <row r="11820" spans="1:7" x14ac:dyDescent="0.25">
      <c r="A11820" t="s">
        <v>36643</v>
      </c>
      <c r="B11820" t="s">
        <v>36772</v>
      </c>
      <c r="C11820" t="s">
        <v>773</v>
      </c>
      <c r="D11820" t="s">
        <v>774</v>
      </c>
      <c r="E11820" t="s">
        <v>775</v>
      </c>
      <c r="F11820" t="s">
        <v>36773</v>
      </c>
      <c r="G11820" s="2" t="str">
        <f>HYPERLINK("https://probpalata.gov.ru/files/ЮЛ780300131300178.jpeg","Скачать индивидуальный QR-код магазина")</f>
        <v>Скачать индивидуальный QR-код магазина</v>
      </c>
    </row>
    <row r="11821" spans="1:7" x14ac:dyDescent="0.25">
      <c r="A11821" t="s">
        <v>36643</v>
      </c>
      <c r="B11821" t="s">
        <v>36774</v>
      </c>
      <c r="C11821" t="s">
        <v>787</v>
      </c>
      <c r="D11821" t="s">
        <v>788</v>
      </c>
      <c r="E11821" t="s">
        <v>789</v>
      </c>
      <c r="F11821" t="s">
        <v>36775</v>
      </c>
      <c r="G11821" s="2" t="str">
        <f>HYPERLINK("https://probpalata.gov.ru/files/ЮЛ780300328000205.jpeg","Скачать индивидуальный QR-код магазина")</f>
        <v>Скачать индивидуальный QR-код магазина</v>
      </c>
    </row>
    <row r="11822" spans="1:7" x14ac:dyDescent="0.25">
      <c r="A11822" t="s">
        <v>36643</v>
      </c>
      <c r="B11822" t="s">
        <v>36776</v>
      </c>
      <c r="C11822" t="s">
        <v>787</v>
      </c>
      <c r="D11822" t="s">
        <v>788</v>
      </c>
      <c r="E11822" t="s">
        <v>789</v>
      </c>
      <c r="F11822" t="s">
        <v>36777</v>
      </c>
      <c r="G11822" s="2" t="str">
        <f>HYPERLINK("https://probpalata.gov.ru/files/ЮЛ780300328000210.jpeg","Скачать индивидуальный QR-код магазина")</f>
        <v>Скачать индивидуальный QR-код магазина</v>
      </c>
    </row>
    <row r="11823" spans="1:7" x14ac:dyDescent="0.25">
      <c r="A11823" t="s">
        <v>36643</v>
      </c>
      <c r="B11823" t="s">
        <v>36778</v>
      </c>
      <c r="C11823" t="s">
        <v>798</v>
      </c>
      <c r="D11823" t="s">
        <v>799</v>
      </c>
      <c r="E11823" t="s">
        <v>800</v>
      </c>
      <c r="F11823" t="s">
        <v>36779</v>
      </c>
      <c r="G11823" s="2" t="str">
        <f>HYPERLINK("https://probpalata.gov.ru/files/ЮЛ780300308200097.jpeg","Скачать индивидуальный QR-код магазина")</f>
        <v>Скачать индивидуальный QR-код магазина</v>
      </c>
    </row>
    <row r="11824" spans="1:7" x14ac:dyDescent="0.25">
      <c r="A11824" t="s">
        <v>36643</v>
      </c>
      <c r="B11824" t="s">
        <v>36780</v>
      </c>
      <c r="C11824" t="s">
        <v>798</v>
      </c>
      <c r="D11824" t="s">
        <v>799</v>
      </c>
      <c r="E11824" t="s">
        <v>800</v>
      </c>
      <c r="F11824" t="s">
        <v>36781</v>
      </c>
      <c r="G11824" s="2" t="str">
        <f>HYPERLINK("https://probpalata.gov.ru/files/ЮЛ780300308200395.jpeg","Скачать индивидуальный QR-код магазина")</f>
        <v>Скачать индивидуальный QR-код магазина</v>
      </c>
    </row>
    <row r="11825" spans="1:7" x14ac:dyDescent="0.25">
      <c r="A11825" t="s">
        <v>36643</v>
      </c>
      <c r="B11825" t="s">
        <v>36782</v>
      </c>
      <c r="C11825" t="s">
        <v>798</v>
      </c>
      <c r="D11825" t="s">
        <v>799</v>
      </c>
      <c r="E11825" t="s">
        <v>800</v>
      </c>
      <c r="F11825" t="s">
        <v>36783</v>
      </c>
      <c r="G11825" s="2" t="str">
        <f>HYPERLINK("https://probpalata.gov.ru/files/ЮЛ780300308200861.jpeg","Скачать индивидуальный QR-код магазина")</f>
        <v>Скачать индивидуальный QR-код магазина</v>
      </c>
    </row>
    <row r="11826" spans="1:7" x14ac:dyDescent="0.25">
      <c r="A11826" t="s">
        <v>36784</v>
      </c>
      <c r="B11826" t="s">
        <v>36785</v>
      </c>
      <c r="C11826" t="s">
        <v>36786</v>
      </c>
      <c r="D11826" t="s">
        <v>36787</v>
      </c>
      <c r="E11826" t="s">
        <v>36788</v>
      </c>
      <c r="F11826" t="s">
        <v>36789</v>
      </c>
      <c r="G11826" s="2" t="str">
        <f>HYPERLINK("https://probpalata.gov.ru/files/ИП040803387200000.jpeg","Скачать индивидуальный QR-код магазина")</f>
        <v>Скачать индивидуальный QR-код магазина</v>
      </c>
    </row>
    <row r="11827" spans="1:7" x14ac:dyDescent="0.25">
      <c r="A11827" t="s">
        <v>36784</v>
      </c>
      <c r="B11827" t="s">
        <v>36790</v>
      </c>
      <c r="C11827" t="s">
        <v>36791</v>
      </c>
      <c r="D11827" t="s">
        <v>36792</v>
      </c>
      <c r="E11827" t="s">
        <v>36793</v>
      </c>
      <c r="F11827" t="s">
        <v>36794</v>
      </c>
      <c r="G11827" s="2" t="str">
        <f>HYPERLINK("https://probpalata.gov.ru/files/ИП040800393900000.jpeg","Скачать индивидуальный QR-код магазина")</f>
        <v>Скачать индивидуальный QR-код магазина</v>
      </c>
    </row>
    <row r="11828" spans="1:7" x14ac:dyDescent="0.25">
      <c r="A11828" t="s">
        <v>36784</v>
      </c>
      <c r="B11828" t="s">
        <v>36795</v>
      </c>
      <c r="C11828" t="s">
        <v>36791</v>
      </c>
      <c r="D11828" t="s">
        <v>36792</v>
      </c>
      <c r="E11828" t="s">
        <v>36793</v>
      </c>
      <c r="F11828" t="s">
        <v>36796</v>
      </c>
      <c r="G11828" s="2" t="str">
        <f>HYPERLINK("https://probpalata.gov.ru/files/ИП040800393900001.jpeg","Скачать индивидуальный QR-код магазина")</f>
        <v>Скачать индивидуальный QR-код магазина</v>
      </c>
    </row>
    <row r="11829" spans="1:7" x14ac:dyDescent="0.25">
      <c r="A11829" t="s">
        <v>36784</v>
      </c>
      <c r="B11829" t="s">
        <v>36797</v>
      </c>
      <c r="C11829" t="s">
        <v>36791</v>
      </c>
      <c r="D11829" t="s">
        <v>36792</v>
      </c>
      <c r="E11829" t="s">
        <v>36793</v>
      </c>
      <c r="F11829" t="s">
        <v>36798</v>
      </c>
      <c r="G11829" s="2" t="str">
        <f>HYPERLINK("https://probpalata.gov.ru/files/ИП040800393900002.jpeg","Скачать индивидуальный QR-код магазина")</f>
        <v>Скачать индивидуальный QR-код магазина</v>
      </c>
    </row>
    <row r="11830" spans="1:7" x14ac:dyDescent="0.25">
      <c r="A11830" t="s">
        <v>36784</v>
      </c>
      <c r="B11830" t="s">
        <v>36799</v>
      </c>
      <c r="C11830" t="s">
        <v>36791</v>
      </c>
      <c r="D11830" t="s">
        <v>36792</v>
      </c>
      <c r="E11830" t="s">
        <v>36793</v>
      </c>
      <c r="F11830" t="s">
        <v>36800</v>
      </c>
      <c r="G11830" s="2" t="str">
        <f>HYPERLINK("https://probpalata.gov.ru/files/ИП040800393900003.jpeg","Скачать индивидуальный QR-код магазина")</f>
        <v>Скачать индивидуальный QR-код магазина</v>
      </c>
    </row>
    <row r="11831" spans="1:7" x14ac:dyDescent="0.25">
      <c r="A11831" t="s">
        <v>36784</v>
      </c>
      <c r="B11831" t="s">
        <v>36801</v>
      </c>
      <c r="C11831" t="s">
        <v>36802</v>
      </c>
      <c r="D11831" t="s">
        <v>36803</v>
      </c>
      <c r="E11831" t="s">
        <v>36804</v>
      </c>
      <c r="F11831" t="s">
        <v>36805</v>
      </c>
      <c r="G11831" s="2" t="str">
        <f>HYPERLINK("https://probpalata.gov.ru/files/ИП040801117600000.jpeg","Скачать индивидуальный QR-код магазина")</f>
        <v>Скачать индивидуальный QR-код магазина</v>
      </c>
    </row>
    <row r="11832" spans="1:7" x14ac:dyDescent="0.25">
      <c r="A11832" t="s">
        <v>36784</v>
      </c>
      <c r="B11832" t="s">
        <v>36806</v>
      </c>
      <c r="C11832" t="s">
        <v>36807</v>
      </c>
      <c r="D11832" t="s">
        <v>36808</v>
      </c>
      <c r="E11832" t="s">
        <v>36809</v>
      </c>
      <c r="F11832" t="s">
        <v>36810</v>
      </c>
      <c r="G11832" s="2" t="str">
        <f>HYPERLINK("https://probpalata.gov.ru/files/ИП040800783800000.jpeg","Скачать индивидуальный QR-код магазина")</f>
        <v>Скачать индивидуальный QR-код магазина</v>
      </c>
    </row>
    <row r="11833" spans="1:7" x14ac:dyDescent="0.25">
      <c r="A11833" t="s">
        <v>36784</v>
      </c>
      <c r="B11833" t="s">
        <v>36811</v>
      </c>
      <c r="C11833" t="s">
        <v>36812</v>
      </c>
      <c r="D11833" t="s">
        <v>36813</v>
      </c>
      <c r="E11833" t="s">
        <v>36814</v>
      </c>
      <c r="F11833" t="s">
        <v>36815</v>
      </c>
      <c r="G11833" s="2" t="str">
        <f>HYPERLINK("https://probpalata.gov.ru/files/ИП040801469200000.jpeg","Скачать индивидуальный QR-код магазина")</f>
        <v>Скачать индивидуальный QR-код магазина</v>
      </c>
    </row>
    <row r="11834" spans="1:7" x14ac:dyDescent="0.25">
      <c r="A11834" t="s">
        <v>36784</v>
      </c>
      <c r="B11834" t="s">
        <v>36816</v>
      </c>
      <c r="C11834" t="s">
        <v>36817</v>
      </c>
      <c r="D11834" t="s">
        <v>36818</v>
      </c>
      <c r="E11834" t="s">
        <v>36819</v>
      </c>
      <c r="F11834" t="s">
        <v>36820</v>
      </c>
      <c r="G11834" s="2" t="str">
        <f>HYPERLINK("https://probpalata.gov.ru/files/ИП040803267900000.jpeg","Скачать индивидуальный QR-код магазина")</f>
        <v>Скачать индивидуальный QR-код магазина</v>
      </c>
    </row>
    <row r="11835" spans="1:7" x14ac:dyDescent="0.25">
      <c r="A11835" t="s">
        <v>36784</v>
      </c>
      <c r="B11835" t="s">
        <v>36821</v>
      </c>
      <c r="C11835" t="s">
        <v>36822</v>
      </c>
      <c r="D11835" t="s">
        <v>36823</v>
      </c>
      <c r="E11835" t="s">
        <v>36824</v>
      </c>
      <c r="F11835" t="s">
        <v>36825</v>
      </c>
      <c r="G11835" s="2" t="str">
        <f>HYPERLINK("https://probpalata.gov.ru/files/ИП040803926300000.jpeg","Скачать индивидуальный QR-код магазина")</f>
        <v>Скачать индивидуальный QR-код магазина</v>
      </c>
    </row>
    <row r="11836" spans="1:7" x14ac:dyDescent="0.25">
      <c r="A11836" t="s">
        <v>36784</v>
      </c>
      <c r="B11836" t="s">
        <v>36826</v>
      </c>
      <c r="C11836" t="s">
        <v>36827</v>
      </c>
      <c r="D11836" t="s">
        <v>36828</v>
      </c>
      <c r="E11836" t="s">
        <v>36829</v>
      </c>
      <c r="F11836" t="s">
        <v>36830</v>
      </c>
      <c r="G11836" s="2" t="str">
        <f>HYPERLINK("https://probpalata.gov.ru/files/ИП040800782400000.jpeg","Скачать индивидуальный QR-код магазина")</f>
        <v>Скачать индивидуальный QR-код магазина</v>
      </c>
    </row>
    <row r="11837" spans="1:7" x14ac:dyDescent="0.25">
      <c r="A11837" t="s">
        <v>36784</v>
      </c>
      <c r="B11837" t="s">
        <v>36831</v>
      </c>
      <c r="C11837" t="s">
        <v>36827</v>
      </c>
      <c r="D11837" t="s">
        <v>36828</v>
      </c>
      <c r="E11837" t="s">
        <v>36829</v>
      </c>
      <c r="F11837" t="s">
        <v>36832</v>
      </c>
      <c r="G11837" s="2" t="str">
        <f>HYPERLINK("https://probpalata.gov.ru/files/ИП040800782400001.jpeg","Скачать индивидуальный QR-код магазина")</f>
        <v>Скачать индивидуальный QR-код магазина</v>
      </c>
    </row>
    <row r="11838" spans="1:7" x14ac:dyDescent="0.25">
      <c r="A11838" t="s">
        <v>36784</v>
      </c>
      <c r="B11838" t="s">
        <v>36833</v>
      </c>
      <c r="C11838" t="s">
        <v>36827</v>
      </c>
      <c r="D11838" t="s">
        <v>36828</v>
      </c>
      <c r="E11838" t="s">
        <v>36829</v>
      </c>
      <c r="F11838" t="s">
        <v>36834</v>
      </c>
      <c r="G11838" s="2" t="str">
        <f>HYPERLINK("https://probpalata.gov.ru/files/ИП040800782400002.jpeg","Скачать индивидуальный QR-код магазина")</f>
        <v>Скачать индивидуальный QR-код магазина</v>
      </c>
    </row>
    <row r="11839" spans="1:7" x14ac:dyDescent="0.25">
      <c r="A11839" t="s">
        <v>36784</v>
      </c>
      <c r="B11839" t="s">
        <v>36835</v>
      </c>
      <c r="C11839" t="s">
        <v>36836</v>
      </c>
      <c r="D11839" t="s">
        <v>36837</v>
      </c>
      <c r="E11839" t="s">
        <v>36838</v>
      </c>
      <c r="F11839" t="s">
        <v>36839</v>
      </c>
      <c r="G11839" s="2" t="str">
        <f>HYPERLINK("https://probpalata.gov.ru/files/ИП040801108700000.jpeg","Скачать индивидуальный QR-код магазина")</f>
        <v>Скачать индивидуальный QR-код магазина</v>
      </c>
    </row>
    <row r="11840" spans="1:7" x14ac:dyDescent="0.25">
      <c r="A11840" t="s">
        <v>36784</v>
      </c>
      <c r="B11840" t="s">
        <v>36840</v>
      </c>
      <c r="C11840" t="s">
        <v>36836</v>
      </c>
      <c r="D11840" t="s">
        <v>36837</v>
      </c>
      <c r="E11840" t="s">
        <v>36838</v>
      </c>
      <c r="F11840" t="s">
        <v>36841</v>
      </c>
      <c r="G11840" s="2" t="str">
        <f>HYPERLINK("https://probpalata.gov.ru/files/ИП040801108700001.jpeg","Скачать индивидуальный QR-код магазина")</f>
        <v>Скачать индивидуальный QR-код магазина</v>
      </c>
    </row>
    <row r="11841" spans="1:7" x14ac:dyDescent="0.25">
      <c r="A11841" t="s">
        <v>36784</v>
      </c>
      <c r="B11841" t="s">
        <v>36797</v>
      </c>
      <c r="C11841" t="s">
        <v>36842</v>
      </c>
      <c r="D11841" t="s">
        <v>36843</v>
      </c>
      <c r="E11841" t="s">
        <v>36844</v>
      </c>
      <c r="F11841" t="s">
        <v>36845</v>
      </c>
      <c r="G11841" s="2" t="str">
        <f>HYPERLINK("https://probpalata.gov.ru/files/ИП220800915000000.jpeg","Скачать индивидуальный QR-код магазина")</f>
        <v>Скачать индивидуальный QR-код магазина</v>
      </c>
    </row>
    <row r="11842" spans="1:7" x14ac:dyDescent="0.25">
      <c r="A11842" t="s">
        <v>36784</v>
      </c>
      <c r="B11842" t="s">
        <v>36846</v>
      </c>
      <c r="C11842" t="s">
        <v>36847</v>
      </c>
      <c r="D11842" t="s">
        <v>36848</v>
      </c>
      <c r="E11842" t="s">
        <v>36849</v>
      </c>
      <c r="F11842" t="s">
        <v>36850</v>
      </c>
      <c r="G11842" s="2" t="str">
        <f>HYPERLINK("https://probpalata.gov.ru/files/ИП040801859900000.jpeg","Скачать индивидуальный QR-код магазина")</f>
        <v>Скачать индивидуальный QR-код магазина</v>
      </c>
    </row>
    <row r="11843" spans="1:7" x14ac:dyDescent="0.25">
      <c r="A11843" t="s">
        <v>36784</v>
      </c>
      <c r="B11843" t="s">
        <v>36851</v>
      </c>
      <c r="C11843" t="s">
        <v>713</v>
      </c>
      <c r="D11843" t="s">
        <v>714</v>
      </c>
      <c r="E11843" t="s">
        <v>715</v>
      </c>
      <c r="F11843" t="s">
        <v>36852</v>
      </c>
      <c r="G11843" s="2" t="str">
        <f>HYPERLINK("https://probpalata.gov.ru/files/ЮЛ770101216600593.jpeg","Скачать индивидуальный QR-код магазина")</f>
        <v>Скачать индивидуальный QR-код магазина</v>
      </c>
    </row>
    <row r="11844" spans="1:7" x14ac:dyDescent="0.25">
      <c r="A11844" t="s">
        <v>36784</v>
      </c>
      <c r="B11844" t="s">
        <v>36853</v>
      </c>
      <c r="C11844" t="s">
        <v>713</v>
      </c>
      <c r="D11844" t="s">
        <v>714</v>
      </c>
      <c r="E11844" t="s">
        <v>715</v>
      </c>
      <c r="F11844" t="s">
        <v>36854</v>
      </c>
      <c r="G11844" s="2" t="str">
        <f>HYPERLINK("https://probpalata.gov.ru/files/ЮЛ770101216600847.jpeg","Скачать индивидуальный QR-код магазина")</f>
        <v>Скачать индивидуальный QR-код магазина</v>
      </c>
    </row>
    <row r="11845" spans="1:7" x14ac:dyDescent="0.25">
      <c r="A11845" t="s">
        <v>36784</v>
      </c>
      <c r="B11845" t="s">
        <v>36855</v>
      </c>
      <c r="C11845" t="s">
        <v>748</v>
      </c>
      <c r="D11845" t="s">
        <v>749</v>
      </c>
      <c r="E11845" t="s">
        <v>750</v>
      </c>
      <c r="F11845" t="s">
        <v>36856</v>
      </c>
      <c r="G11845" s="2" t="str">
        <f>HYPERLINK("https://probpalata.gov.ru/files/ЮЛ770100193500821.jpeg","Скачать индивидуальный QR-код магазина")</f>
        <v>Скачать индивидуальный QR-код магазина</v>
      </c>
    </row>
    <row r="11846" spans="1:7" x14ac:dyDescent="0.25">
      <c r="A11846" t="s">
        <v>36784</v>
      </c>
      <c r="B11846" t="s">
        <v>36857</v>
      </c>
      <c r="C11846" t="s">
        <v>798</v>
      </c>
      <c r="D11846" t="s">
        <v>799</v>
      </c>
      <c r="E11846" t="s">
        <v>800</v>
      </c>
      <c r="F11846" t="s">
        <v>36858</v>
      </c>
      <c r="G11846" s="2" t="str">
        <f>HYPERLINK("https://probpalata.gov.ru/files/ЮЛ780300308200338.jpeg","Скачать индивидуальный QR-код магазина")</f>
        <v>Скачать индивидуальный QR-код магазина</v>
      </c>
    </row>
    <row r="11847" spans="1:7" x14ac:dyDescent="0.25">
      <c r="A11847" t="s">
        <v>36784</v>
      </c>
      <c r="B11847" t="s">
        <v>36859</v>
      </c>
      <c r="C11847" t="s">
        <v>798</v>
      </c>
      <c r="D11847" t="s">
        <v>799</v>
      </c>
      <c r="E11847" t="s">
        <v>800</v>
      </c>
      <c r="F11847" t="s">
        <v>36860</v>
      </c>
      <c r="G11847" s="2" t="str">
        <f>HYPERLINK("https://probpalata.gov.ru/files/ЮЛ780300308200598.jpeg","Скачать индивидуальный QR-код магазина")</f>
        <v>Скачать индивидуальный QR-код магазина</v>
      </c>
    </row>
    <row r="11848" spans="1:7" x14ac:dyDescent="0.25">
      <c r="A11848" t="s">
        <v>36861</v>
      </c>
      <c r="B11848" t="s">
        <v>36862</v>
      </c>
      <c r="C11848" t="s">
        <v>36863</v>
      </c>
      <c r="D11848" t="s">
        <v>36864</v>
      </c>
      <c r="E11848" t="s">
        <v>36865</v>
      </c>
      <c r="F11848" t="s">
        <v>36866</v>
      </c>
      <c r="G11848" s="2" t="str">
        <f>HYPERLINK("https://probpalata.gov.ru/files/ИП020601701700000.jpeg","Скачать индивидуальный QR-код магазина")</f>
        <v>Скачать индивидуальный QR-код магазина</v>
      </c>
    </row>
    <row r="11849" spans="1:7" x14ac:dyDescent="0.25">
      <c r="A11849" t="s">
        <v>36861</v>
      </c>
      <c r="B11849" t="s">
        <v>36867</v>
      </c>
      <c r="C11849" t="s">
        <v>36868</v>
      </c>
      <c r="D11849" t="s">
        <v>36869</v>
      </c>
      <c r="E11849" t="s">
        <v>36870</v>
      </c>
      <c r="F11849" t="s">
        <v>36871</v>
      </c>
      <c r="G11849" s="2" t="str">
        <f>HYPERLINK("https://probpalata.gov.ru/files/ИП020601005900000.jpeg","Скачать индивидуальный QR-код магазина")</f>
        <v>Скачать индивидуальный QR-код магазина</v>
      </c>
    </row>
    <row r="11850" spans="1:7" x14ac:dyDescent="0.25">
      <c r="A11850" t="s">
        <v>36861</v>
      </c>
      <c r="B11850" t="s">
        <v>36872</v>
      </c>
      <c r="C11850" t="s">
        <v>36873</v>
      </c>
      <c r="D11850" t="s">
        <v>36874</v>
      </c>
      <c r="E11850" t="s">
        <v>36875</v>
      </c>
      <c r="F11850" t="s">
        <v>36876</v>
      </c>
      <c r="G11850" s="2" t="str">
        <f>HYPERLINK("https://probpalata.gov.ru/files/ИП020600932500000.jpeg","Скачать индивидуальный QR-код магазина")</f>
        <v>Скачать индивидуальный QR-код магазина</v>
      </c>
    </row>
    <row r="11851" spans="1:7" x14ac:dyDescent="0.25">
      <c r="A11851" t="s">
        <v>36861</v>
      </c>
      <c r="B11851" t="s">
        <v>36877</v>
      </c>
      <c r="C11851" t="s">
        <v>36878</v>
      </c>
      <c r="D11851" t="s">
        <v>36879</v>
      </c>
      <c r="E11851" t="s">
        <v>36880</v>
      </c>
      <c r="F11851" t="s">
        <v>36881</v>
      </c>
      <c r="G11851" s="2" t="str">
        <f>HYPERLINK("https://probpalata.gov.ru/files/ИП020600454700000.jpeg","Скачать индивидуальный QR-код магазина")</f>
        <v>Скачать индивидуальный QR-код магазина</v>
      </c>
    </row>
    <row r="11852" spans="1:7" x14ac:dyDescent="0.25">
      <c r="A11852" t="s">
        <v>36861</v>
      </c>
      <c r="B11852" t="s">
        <v>36882</v>
      </c>
      <c r="C11852" t="s">
        <v>36883</v>
      </c>
      <c r="D11852" t="s">
        <v>36884</v>
      </c>
      <c r="E11852" t="s">
        <v>36885</v>
      </c>
      <c r="F11852" t="s">
        <v>36886</v>
      </c>
      <c r="G11852" s="2" t="str">
        <f>HYPERLINK("https://probpalata.gov.ru/files/ИП020600844700000.jpeg","Скачать индивидуальный QR-код магазина")</f>
        <v>Скачать индивидуальный QR-код магазина</v>
      </c>
    </row>
    <row r="11853" spans="1:7" x14ac:dyDescent="0.25">
      <c r="A11853" t="s">
        <v>36861</v>
      </c>
      <c r="B11853" t="s">
        <v>36887</v>
      </c>
      <c r="C11853" t="s">
        <v>36888</v>
      </c>
      <c r="D11853" t="s">
        <v>36889</v>
      </c>
      <c r="E11853" t="s">
        <v>36890</v>
      </c>
      <c r="F11853" t="s">
        <v>36891</v>
      </c>
      <c r="G11853" s="2" t="str">
        <f>HYPERLINK("https://probpalata.gov.ru/files/ИП020601698200000.jpeg","Скачать индивидуальный QR-код магазина")</f>
        <v>Скачать индивидуальный QR-код магазина</v>
      </c>
    </row>
    <row r="11854" spans="1:7" x14ac:dyDescent="0.25">
      <c r="A11854" t="s">
        <v>36861</v>
      </c>
      <c r="B11854" t="s">
        <v>36892</v>
      </c>
      <c r="C11854" t="s">
        <v>36893</v>
      </c>
      <c r="D11854" t="s">
        <v>36894</v>
      </c>
      <c r="E11854" t="s">
        <v>36895</v>
      </c>
      <c r="F11854" t="s">
        <v>36896</v>
      </c>
      <c r="G11854" s="2" t="str">
        <f>HYPERLINK("https://probpalata.gov.ru/files/ИП080403769100000.jpeg","Скачать индивидуальный QR-код магазина")</f>
        <v>Скачать индивидуальный QR-код магазина</v>
      </c>
    </row>
    <row r="11855" spans="1:7" x14ac:dyDescent="0.25">
      <c r="A11855" t="s">
        <v>36861</v>
      </c>
      <c r="B11855" t="s">
        <v>36897</v>
      </c>
      <c r="C11855" t="s">
        <v>36898</v>
      </c>
      <c r="D11855" t="s">
        <v>36899</v>
      </c>
      <c r="E11855" t="s">
        <v>36900</v>
      </c>
      <c r="F11855" t="s">
        <v>36901</v>
      </c>
      <c r="G11855" s="2" t="str">
        <f>HYPERLINK("https://probpalata.gov.ru/files/ИП020603187700000.jpeg","Скачать индивидуальный QR-код магазина")</f>
        <v>Скачать индивидуальный QR-код магазина</v>
      </c>
    </row>
    <row r="11856" spans="1:7" x14ac:dyDescent="0.25">
      <c r="A11856" t="s">
        <v>36861</v>
      </c>
      <c r="B11856" t="s">
        <v>36902</v>
      </c>
      <c r="C11856" t="s">
        <v>36903</v>
      </c>
      <c r="D11856" t="s">
        <v>36904</v>
      </c>
      <c r="E11856" t="s">
        <v>36905</v>
      </c>
      <c r="F11856" t="s">
        <v>36906</v>
      </c>
      <c r="G11856" s="2" t="str">
        <f>HYPERLINK("https://probpalata.gov.ru/files/ИП020604067700000.jpeg","Скачать индивидуальный QR-код магазина")</f>
        <v>Скачать индивидуальный QR-код магазина</v>
      </c>
    </row>
    <row r="11857" spans="1:7" x14ac:dyDescent="0.25">
      <c r="A11857" t="s">
        <v>36861</v>
      </c>
      <c r="B11857" t="s">
        <v>36907</v>
      </c>
      <c r="C11857" t="s">
        <v>36908</v>
      </c>
      <c r="D11857" t="s">
        <v>36909</v>
      </c>
      <c r="E11857" t="s">
        <v>36910</v>
      </c>
      <c r="F11857" t="s">
        <v>36911</v>
      </c>
      <c r="G11857" s="2" t="str">
        <f>HYPERLINK("https://probpalata.gov.ru/files/ИП020600448300000.jpeg","Скачать индивидуальный QR-код магазина")</f>
        <v>Скачать индивидуальный QR-код магазина</v>
      </c>
    </row>
    <row r="11858" spans="1:7" x14ac:dyDescent="0.25">
      <c r="A11858" t="s">
        <v>36861</v>
      </c>
      <c r="B11858" t="s">
        <v>36912</v>
      </c>
      <c r="C11858" t="s">
        <v>36913</v>
      </c>
      <c r="D11858" t="s">
        <v>36914</v>
      </c>
      <c r="E11858" t="s">
        <v>36915</v>
      </c>
      <c r="F11858" t="s">
        <v>36916</v>
      </c>
      <c r="G11858" s="2" t="str">
        <f>HYPERLINK("https://probpalata.gov.ru/files/ИП020600403100000.jpeg","Скачать индивидуальный QR-код магазина")</f>
        <v>Скачать индивидуальный QR-код магазина</v>
      </c>
    </row>
    <row r="11859" spans="1:7" x14ac:dyDescent="0.25">
      <c r="A11859" t="s">
        <v>36861</v>
      </c>
      <c r="B11859" t="s">
        <v>36917</v>
      </c>
      <c r="C11859" t="s">
        <v>36913</v>
      </c>
      <c r="D11859" t="s">
        <v>36914</v>
      </c>
      <c r="E11859" t="s">
        <v>36915</v>
      </c>
      <c r="F11859" t="s">
        <v>36918</v>
      </c>
      <c r="G11859" s="2" t="str">
        <f>HYPERLINK("https://probpalata.gov.ru/files/ИП020600403100001.jpeg","Скачать индивидуальный QR-код магазина")</f>
        <v>Скачать индивидуальный QR-код магазина</v>
      </c>
    </row>
    <row r="11860" spans="1:7" x14ac:dyDescent="0.25">
      <c r="A11860" t="s">
        <v>36861</v>
      </c>
      <c r="B11860" t="s">
        <v>36919</v>
      </c>
      <c r="C11860" t="s">
        <v>36913</v>
      </c>
      <c r="D11860" t="s">
        <v>36914</v>
      </c>
      <c r="E11860" t="s">
        <v>36915</v>
      </c>
      <c r="F11860" t="s">
        <v>36920</v>
      </c>
      <c r="G11860" s="2" t="str">
        <f>HYPERLINK("https://probpalata.gov.ru/files/ИП020600403100002.jpeg","Скачать индивидуальный QR-код магазина")</f>
        <v>Скачать индивидуальный QR-код магазина</v>
      </c>
    </row>
    <row r="11861" spans="1:7" x14ac:dyDescent="0.25">
      <c r="A11861" t="s">
        <v>36861</v>
      </c>
      <c r="B11861" t="s">
        <v>36921</v>
      </c>
      <c r="C11861" t="s">
        <v>36913</v>
      </c>
      <c r="D11861" t="s">
        <v>36914</v>
      </c>
      <c r="E11861" t="s">
        <v>36915</v>
      </c>
      <c r="F11861" t="s">
        <v>36922</v>
      </c>
      <c r="G11861" s="2" t="str">
        <f>HYPERLINK("https://probpalata.gov.ru/files/ИП020600403100003.jpeg","Скачать индивидуальный QR-код магазина")</f>
        <v>Скачать индивидуальный QR-код магазина</v>
      </c>
    </row>
    <row r="11862" spans="1:7" x14ac:dyDescent="0.25">
      <c r="A11862" t="s">
        <v>36861</v>
      </c>
      <c r="B11862" t="s">
        <v>36923</v>
      </c>
      <c r="C11862" t="s">
        <v>36913</v>
      </c>
      <c r="D11862" t="s">
        <v>36914</v>
      </c>
      <c r="E11862" t="s">
        <v>36915</v>
      </c>
      <c r="F11862" t="s">
        <v>36924</v>
      </c>
      <c r="G11862" s="2" t="str">
        <f>HYPERLINK("https://probpalata.gov.ru/files/ИП020600403100004.jpeg","Скачать индивидуальный QR-код магазина")</f>
        <v>Скачать индивидуальный QR-код магазина</v>
      </c>
    </row>
    <row r="11863" spans="1:7" x14ac:dyDescent="0.25">
      <c r="A11863" t="s">
        <v>36861</v>
      </c>
      <c r="B11863" t="s">
        <v>36925</v>
      </c>
      <c r="C11863" t="s">
        <v>36913</v>
      </c>
      <c r="D11863" t="s">
        <v>36914</v>
      </c>
      <c r="E11863" t="s">
        <v>36915</v>
      </c>
      <c r="F11863" t="s">
        <v>36926</v>
      </c>
      <c r="G11863" s="2" t="str">
        <f>HYPERLINK("https://probpalata.gov.ru/files/ИП020600403100005.jpeg","Скачать индивидуальный QR-код магазина")</f>
        <v>Скачать индивидуальный QR-код магазина</v>
      </c>
    </row>
    <row r="11864" spans="1:7" x14ac:dyDescent="0.25">
      <c r="A11864" t="s">
        <v>36861</v>
      </c>
      <c r="B11864" t="s">
        <v>36927</v>
      </c>
      <c r="C11864" t="s">
        <v>36913</v>
      </c>
      <c r="D11864" t="s">
        <v>36914</v>
      </c>
      <c r="E11864" t="s">
        <v>36915</v>
      </c>
      <c r="F11864" t="s">
        <v>36928</v>
      </c>
      <c r="G11864" s="2" t="str">
        <f>HYPERLINK("https://probpalata.gov.ru/files/ИП020600403100006.jpeg","Скачать индивидуальный QR-код магазина")</f>
        <v>Скачать индивидуальный QR-код магазина</v>
      </c>
    </row>
    <row r="11865" spans="1:7" x14ac:dyDescent="0.25">
      <c r="A11865" t="s">
        <v>36861</v>
      </c>
      <c r="B11865" t="s">
        <v>36929</v>
      </c>
      <c r="C11865" t="s">
        <v>36913</v>
      </c>
      <c r="D11865" t="s">
        <v>36914</v>
      </c>
      <c r="E11865" t="s">
        <v>36915</v>
      </c>
      <c r="F11865" t="s">
        <v>36930</v>
      </c>
      <c r="G11865" s="2" t="str">
        <f>HYPERLINK("https://probpalata.gov.ru/files/ИП020600403100007.jpeg","Скачать индивидуальный QR-код магазина")</f>
        <v>Скачать индивидуальный QR-код магазина</v>
      </c>
    </row>
    <row r="11866" spans="1:7" x14ac:dyDescent="0.25">
      <c r="A11866" t="s">
        <v>36861</v>
      </c>
      <c r="B11866" t="s">
        <v>36931</v>
      </c>
      <c r="C11866" t="s">
        <v>36913</v>
      </c>
      <c r="D11866" t="s">
        <v>36914</v>
      </c>
      <c r="E11866" t="s">
        <v>36915</v>
      </c>
      <c r="F11866" t="s">
        <v>36932</v>
      </c>
      <c r="G11866" s="2" t="str">
        <f>HYPERLINK("https://probpalata.gov.ru/files/ИП020600403100008.jpeg","Скачать индивидуальный QR-код магазина")</f>
        <v>Скачать индивидуальный QR-код магазина</v>
      </c>
    </row>
    <row r="11867" spans="1:7" x14ac:dyDescent="0.25">
      <c r="A11867" t="s">
        <v>36861</v>
      </c>
      <c r="B11867" t="s">
        <v>36933</v>
      </c>
      <c r="C11867" t="s">
        <v>36913</v>
      </c>
      <c r="D11867" t="s">
        <v>36914</v>
      </c>
      <c r="E11867" t="s">
        <v>36915</v>
      </c>
      <c r="F11867" t="s">
        <v>36934</v>
      </c>
      <c r="G11867" s="2" t="str">
        <f>HYPERLINK("https://probpalata.gov.ru/files/ИП020600403100009.jpeg","Скачать индивидуальный QR-код магазина")</f>
        <v>Скачать индивидуальный QR-код магазина</v>
      </c>
    </row>
    <row r="11868" spans="1:7" x14ac:dyDescent="0.25">
      <c r="A11868" t="s">
        <v>36861</v>
      </c>
      <c r="B11868" t="s">
        <v>36935</v>
      </c>
      <c r="C11868" t="s">
        <v>36913</v>
      </c>
      <c r="D11868" t="s">
        <v>36914</v>
      </c>
      <c r="E11868" t="s">
        <v>36915</v>
      </c>
      <c r="F11868" t="s">
        <v>36936</v>
      </c>
      <c r="G11868" s="2" t="str">
        <f>HYPERLINK("https://probpalata.gov.ru/files/ИП020600403100011.jpeg","Скачать индивидуальный QR-код магазина")</f>
        <v>Скачать индивидуальный QR-код магазина</v>
      </c>
    </row>
    <row r="11869" spans="1:7" x14ac:dyDescent="0.25">
      <c r="A11869" t="s">
        <v>36861</v>
      </c>
      <c r="B11869" t="s">
        <v>36937</v>
      </c>
      <c r="C11869" t="s">
        <v>36913</v>
      </c>
      <c r="D11869" t="s">
        <v>36914</v>
      </c>
      <c r="E11869" t="s">
        <v>36915</v>
      </c>
      <c r="F11869" t="s">
        <v>36938</v>
      </c>
      <c r="G11869" s="2" t="str">
        <f>HYPERLINK("https://probpalata.gov.ru/files/ИП020600403100012.jpeg","Скачать индивидуальный QR-код магазина")</f>
        <v>Скачать индивидуальный QR-код магазина</v>
      </c>
    </row>
    <row r="11870" spans="1:7" x14ac:dyDescent="0.25">
      <c r="A11870" t="s">
        <v>36861</v>
      </c>
      <c r="B11870" t="s">
        <v>36939</v>
      </c>
      <c r="C11870" t="s">
        <v>36913</v>
      </c>
      <c r="D11870" t="s">
        <v>36914</v>
      </c>
      <c r="E11870" t="s">
        <v>36915</v>
      </c>
      <c r="F11870" t="s">
        <v>36940</v>
      </c>
      <c r="G11870" s="2" t="str">
        <f>HYPERLINK("https://probpalata.gov.ru/files/ИП020600403100013.jpeg","Скачать индивидуальный QR-код магазина")</f>
        <v>Скачать индивидуальный QR-код магазина</v>
      </c>
    </row>
    <row r="11871" spans="1:7" x14ac:dyDescent="0.25">
      <c r="A11871" t="s">
        <v>36861</v>
      </c>
      <c r="B11871" t="s">
        <v>36941</v>
      </c>
      <c r="C11871" t="s">
        <v>36913</v>
      </c>
      <c r="D11871" t="s">
        <v>36914</v>
      </c>
      <c r="E11871" t="s">
        <v>36915</v>
      </c>
      <c r="F11871" t="s">
        <v>36942</v>
      </c>
      <c r="G11871" s="2" t="str">
        <f>HYPERLINK("https://probpalata.gov.ru/files/ИП020600403100014.jpeg","Скачать индивидуальный QR-код магазина")</f>
        <v>Скачать индивидуальный QR-код магазина</v>
      </c>
    </row>
    <row r="11872" spans="1:7" x14ac:dyDescent="0.25">
      <c r="A11872" t="s">
        <v>36861</v>
      </c>
      <c r="B11872" t="s">
        <v>36943</v>
      </c>
      <c r="C11872" t="s">
        <v>36913</v>
      </c>
      <c r="D11872" t="s">
        <v>36914</v>
      </c>
      <c r="E11872" t="s">
        <v>36915</v>
      </c>
      <c r="F11872" t="s">
        <v>36944</v>
      </c>
      <c r="G11872" s="2" t="str">
        <f>HYPERLINK("https://probpalata.gov.ru/files/ИП020600403100015.jpeg","Скачать индивидуальный QR-код магазина")</f>
        <v>Скачать индивидуальный QR-код магазина</v>
      </c>
    </row>
    <row r="11873" spans="1:7" x14ac:dyDescent="0.25">
      <c r="A11873" t="s">
        <v>36861</v>
      </c>
      <c r="B11873" t="s">
        <v>36945</v>
      </c>
      <c r="C11873" t="s">
        <v>36913</v>
      </c>
      <c r="D11873" t="s">
        <v>36914</v>
      </c>
      <c r="E11873" t="s">
        <v>36915</v>
      </c>
      <c r="F11873" t="s">
        <v>36946</v>
      </c>
      <c r="G11873" s="2" t="str">
        <f>HYPERLINK("https://probpalata.gov.ru/files/ИП020600403100016.jpeg","Скачать индивидуальный QR-код магазина")</f>
        <v>Скачать индивидуальный QR-код магазина</v>
      </c>
    </row>
    <row r="11874" spans="1:7" x14ac:dyDescent="0.25">
      <c r="A11874" t="s">
        <v>36861</v>
      </c>
      <c r="B11874" t="s">
        <v>36947</v>
      </c>
      <c r="C11874" t="s">
        <v>36913</v>
      </c>
      <c r="D11874" t="s">
        <v>36914</v>
      </c>
      <c r="E11874" t="s">
        <v>36915</v>
      </c>
      <c r="F11874" t="s">
        <v>36948</v>
      </c>
      <c r="G11874" s="2" t="str">
        <f>HYPERLINK("https://probpalata.gov.ru/files/ИП020600403100017.jpeg","Скачать индивидуальный QR-код магазина")</f>
        <v>Скачать индивидуальный QR-код магазина</v>
      </c>
    </row>
    <row r="11875" spans="1:7" x14ac:dyDescent="0.25">
      <c r="A11875" t="s">
        <v>36861</v>
      </c>
      <c r="B11875" t="s">
        <v>36949</v>
      </c>
      <c r="C11875" t="s">
        <v>36913</v>
      </c>
      <c r="D11875" t="s">
        <v>36914</v>
      </c>
      <c r="E11875" t="s">
        <v>36915</v>
      </c>
      <c r="F11875" t="s">
        <v>36950</v>
      </c>
      <c r="G11875" s="2" t="str">
        <f>HYPERLINK("https://probpalata.gov.ru/files/ИП020600403100018.jpeg","Скачать индивидуальный QR-код магазина")</f>
        <v>Скачать индивидуальный QR-код магазина</v>
      </c>
    </row>
    <row r="11876" spans="1:7" x14ac:dyDescent="0.25">
      <c r="A11876" t="s">
        <v>36861</v>
      </c>
      <c r="B11876" t="s">
        <v>36951</v>
      </c>
      <c r="C11876" t="s">
        <v>36952</v>
      </c>
      <c r="D11876" t="s">
        <v>36953</v>
      </c>
      <c r="E11876" t="s">
        <v>36954</v>
      </c>
      <c r="F11876" t="s">
        <v>36955</v>
      </c>
      <c r="G11876" s="2" t="str">
        <f>HYPERLINK("https://probpalata.gov.ru/files/ИП020601774300000.jpeg","Скачать индивидуальный QR-код магазина")</f>
        <v>Скачать индивидуальный QR-код магазина</v>
      </c>
    </row>
    <row r="11877" spans="1:7" x14ac:dyDescent="0.25">
      <c r="A11877" t="s">
        <v>36861</v>
      </c>
      <c r="B11877" t="s">
        <v>36956</v>
      </c>
      <c r="C11877" t="s">
        <v>36957</v>
      </c>
      <c r="D11877" t="s">
        <v>36958</v>
      </c>
      <c r="E11877" t="s">
        <v>36959</v>
      </c>
      <c r="F11877" t="s">
        <v>36960</v>
      </c>
      <c r="G11877" s="2" t="str">
        <f>HYPERLINK("https://probpalata.gov.ru/files/ИП020603787400000.jpeg","Скачать индивидуальный QR-код магазина")</f>
        <v>Скачать индивидуальный QR-код магазина</v>
      </c>
    </row>
    <row r="11878" spans="1:7" x14ac:dyDescent="0.25">
      <c r="A11878" t="s">
        <v>36861</v>
      </c>
      <c r="B11878" t="s">
        <v>36961</v>
      </c>
      <c r="C11878" t="s">
        <v>36962</v>
      </c>
      <c r="D11878" t="s">
        <v>36963</v>
      </c>
      <c r="E11878" t="s">
        <v>36964</v>
      </c>
      <c r="F11878" t="s">
        <v>36965</v>
      </c>
      <c r="G11878" s="2" t="str">
        <f>HYPERLINK("https://probpalata.gov.ru/files/ИП020603165300000.jpeg","Скачать индивидуальный QR-код магазина")</f>
        <v>Скачать индивидуальный QR-код магазина</v>
      </c>
    </row>
    <row r="11879" spans="1:7" x14ac:dyDescent="0.25">
      <c r="A11879" t="s">
        <v>36861</v>
      </c>
      <c r="B11879" t="s">
        <v>36966</v>
      </c>
      <c r="C11879" t="s">
        <v>36967</v>
      </c>
      <c r="D11879" t="s">
        <v>36968</v>
      </c>
      <c r="E11879" t="s">
        <v>36969</v>
      </c>
      <c r="F11879" t="s">
        <v>36970</v>
      </c>
      <c r="G11879" s="2" t="str">
        <f>HYPERLINK("https://probpalata.gov.ru/files/ИП020600434600000.jpeg","Скачать индивидуальный QR-код магазина")</f>
        <v>Скачать индивидуальный QR-код магазина</v>
      </c>
    </row>
    <row r="11880" spans="1:7" x14ac:dyDescent="0.25">
      <c r="A11880" t="s">
        <v>36861</v>
      </c>
      <c r="B11880" t="s">
        <v>36971</v>
      </c>
      <c r="C11880" t="s">
        <v>36972</v>
      </c>
      <c r="D11880" t="s">
        <v>36973</v>
      </c>
      <c r="E11880" t="s">
        <v>36974</v>
      </c>
      <c r="F11880" t="s">
        <v>36975</v>
      </c>
      <c r="G11880" s="2" t="str">
        <f>HYPERLINK("https://probpalata.gov.ru/files/ИП020601014200000.jpeg","Скачать индивидуальный QR-код магазина")</f>
        <v>Скачать индивидуальный QR-код магазина</v>
      </c>
    </row>
    <row r="11881" spans="1:7" x14ac:dyDescent="0.25">
      <c r="A11881" t="s">
        <v>36861</v>
      </c>
      <c r="B11881" t="s">
        <v>36976</v>
      </c>
      <c r="C11881" t="s">
        <v>36977</v>
      </c>
      <c r="D11881" t="s">
        <v>36978</v>
      </c>
      <c r="E11881" t="s">
        <v>36979</v>
      </c>
      <c r="F11881" t="s">
        <v>36980</v>
      </c>
      <c r="G11881" s="2" t="str">
        <f>HYPERLINK("https://probpalata.gov.ru/files/ИП020603570000000.jpeg","Скачать индивидуальный QR-код магазина")</f>
        <v>Скачать индивидуальный QR-код магазина</v>
      </c>
    </row>
    <row r="11882" spans="1:7" x14ac:dyDescent="0.25">
      <c r="A11882" t="s">
        <v>36861</v>
      </c>
      <c r="B11882" t="s">
        <v>36981</v>
      </c>
      <c r="C11882" t="s">
        <v>36982</v>
      </c>
      <c r="D11882" t="s">
        <v>36983</v>
      </c>
      <c r="E11882" t="s">
        <v>36984</v>
      </c>
      <c r="F11882" t="s">
        <v>36985</v>
      </c>
      <c r="G11882" s="2" t="str">
        <f>HYPERLINK("https://probpalata.gov.ru/files/ИП020601439500000.jpeg","Скачать индивидуальный QR-код магазина")</f>
        <v>Скачать индивидуальный QR-код магазина</v>
      </c>
    </row>
    <row r="11883" spans="1:7" x14ac:dyDescent="0.25">
      <c r="A11883" t="s">
        <v>36861</v>
      </c>
      <c r="B11883" t="s">
        <v>36986</v>
      </c>
      <c r="C11883" t="s">
        <v>36987</v>
      </c>
      <c r="D11883" t="s">
        <v>36988</v>
      </c>
      <c r="E11883" t="s">
        <v>36989</v>
      </c>
      <c r="F11883" t="s">
        <v>36990</v>
      </c>
      <c r="G11883" s="2" t="str">
        <f>HYPERLINK("https://probpalata.gov.ru/files/ИП020601051500000.jpeg","Скачать индивидуальный QR-код магазина")</f>
        <v>Скачать индивидуальный QR-код магазина</v>
      </c>
    </row>
    <row r="11884" spans="1:7" x14ac:dyDescent="0.25">
      <c r="A11884" t="s">
        <v>36861</v>
      </c>
      <c r="B11884" t="s">
        <v>36991</v>
      </c>
      <c r="C11884" t="s">
        <v>36992</v>
      </c>
      <c r="D11884" t="s">
        <v>36993</v>
      </c>
      <c r="E11884" t="s">
        <v>36994</v>
      </c>
      <c r="F11884" t="s">
        <v>36995</v>
      </c>
      <c r="G11884" s="2" t="str">
        <f>HYPERLINK("https://probpalata.gov.ru/files/ИП020600576800000.jpeg","Скачать индивидуальный QR-код магазина")</f>
        <v>Скачать индивидуальный QR-код магазина</v>
      </c>
    </row>
    <row r="11885" spans="1:7" x14ac:dyDescent="0.25">
      <c r="A11885" t="s">
        <v>36861</v>
      </c>
      <c r="B11885" t="s">
        <v>36996</v>
      </c>
      <c r="C11885" t="s">
        <v>36997</v>
      </c>
      <c r="D11885" t="s">
        <v>36998</v>
      </c>
      <c r="E11885" t="s">
        <v>36999</v>
      </c>
      <c r="F11885" t="s">
        <v>37000</v>
      </c>
      <c r="G11885" s="2" t="str">
        <f>HYPERLINK("https://probpalata.gov.ru/files/ИП020601301400000.jpeg","Скачать индивидуальный QR-код магазина")</f>
        <v>Скачать индивидуальный QR-код магазина</v>
      </c>
    </row>
    <row r="11886" spans="1:7" x14ac:dyDescent="0.25">
      <c r="A11886" t="s">
        <v>36861</v>
      </c>
      <c r="B11886" t="s">
        <v>37001</v>
      </c>
      <c r="C11886" t="s">
        <v>36997</v>
      </c>
      <c r="D11886" t="s">
        <v>36998</v>
      </c>
      <c r="E11886" t="s">
        <v>36999</v>
      </c>
      <c r="F11886" t="s">
        <v>37002</v>
      </c>
      <c r="G11886" s="2" t="str">
        <f>HYPERLINK("https://probpalata.gov.ru/files/ИП020601301400001.jpeg","Скачать индивидуальный QR-код магазина")</f>
        <v>Скачать индивидуальный QR-код магазина</v>
      </c>
    </row>
    <row r="11887" spans="1:7" x14ac:dyDescent="0.25">
      <c r="A11887" t="s">
        <v>36861</v>
      </c>
      <c r="B11887" t="s">
        <v>37003</v>
      </c>
      <c r="C11887" t="s">
        <v>37004</v>
      </c>
      <c r="D11887" t="s">
        <v>37005</v>
      </c>
      <c r="E11887" t="s">
        <v>37006</v>
      </c>
      <c r="F11887" t="s">
        <v>37007</v>
      </c>
      <c r="G11887" s="2" t="str">
        <f>HYPERLINK("https://probpalata.gov.ru/files/ИП020601410900000.jpeg","Скачать индивидуальный QR-код магазина")</f>
        <v>Скачать индивидуальный QR-код магазина</v>
      </c>
    </row>
    <row r="11888" spans="1:7" x14ac:dyDescent="0.25">
      <c r="A11888" t="s">
        <v>36861</v>
      </c>
      <c r="B11888" t="s">
        <v>37008</v>
      </c>
      <c r="C11888" t="s">
        <v>37004</v>
      </c>
      <c r="D11888" t="s">
        <v>37005</v>
      </c>
      <c r="E11888" t="s">
        <v>37006</v>
      </c>
      <c r="F11888" t="s">
        <v>37009</v>
      </c>
      <c r="G11888" s="2" t="str">
        <f>HYPERLINK("https://probpalata.gov.ru/files/ИП020601410900001.jpeg","Скачать индивидуальный QR-код магазина")</f>
        <v>Скачать индивидуальный QR-код магазина</v>
      </c>
    </row>
    <row r="11889" spans="1:7" x14ac:dyDescent="0.25">
      <c r="A11889" t="s">
        <v>36861</v>
      </c>
      <c r="B11889" t="s">
        <v>37010</v>
      </c>
      <c r="C11889" t="s">
        <v>37004</v>
      </c>
      <c r="D11889" t="s">
        <v>37005</v>
      </c>
      <c r="E11889" t="s">
        <v>37006</v>
      </c>
      <c r="F11889" t="s">
        <v>37011</v>
      </c>
      <c r="G11889" s="2" t="str">
        <f>HYPERLINK("https://probpalata.gov.ru/files/ИП020601410900002.jpeg","Скачать индивидуальный QR-код магазина")</f>
        <v>Скачать индивидуальный QR-код магазина</v>
      </c>
    </row>
    <row r="11890" spans="1:7" x14ac:dyDescent="0.25">
      <c r="A11890" t="s">
        <v>36861</v>
      </c>
      <c r="B11890" t="s">
        <v>36991</v>
      </c>
      <c r="C11890" t="s">
        <v>37012</v>
      </c>
      <c r="D11890" t="s">
        <v>37013</v>
      </c>
      <c r="E11890" t="s">
        <v>37014</v>
      </c>
      <c r="F11890" t="s">
        <v>37015</v>
      </c>
      <c r="G11890" s="2" t="str">
        <f>HYPERLINK("https://probpalata.gov.ru/files/ИП020600433700000.jpeg","Скачать индивидуальный QR-код магазина")</f>
        <v>Скачать индивидуальный QR-код магазина</v>
      </c>
    </row>
    <row r="11891" spans="1:7" x14ac:dyDescent="0.25">
      <c r="A11891" t="s">
        <v>36861</v>
      </c>
      <c r="B11891" t="s">
        <v>37016</v>
      </c>
      <c r="C11891" t="s">
        <v>37017</v>
      </c>
      <c r="D11891" t="s">
        <v>37018</v>
      </c>
      <c r="E11891" t="s">
        <v>37019</v>
      </c>
      <c r="F11891" t="s">
        <v>37020</v>
      </c>
      <c r="G11891" s="2" t="str">
        <f>HYPERLINK("https://probpalata.gov.ru/files/ИП020601555700000.jpeg","Скачать индивидуальный QR-код магазина")</f>
        <v>Скачать индивидуальный QR-код магазина</v>
      </c>
    </row>
    <row r="11892" spans="1:7" x14ac:dyDescent="0.25">
      <c r="A11892" t="s">
        <v>36861</v>
      </c>
      <c r="B11892" t="s">
        <v>37021</v>
      </c>
      <c r="C11892" t="s">
        <v>37022</v>
      </c>
      <c r="D11892" t="s">
        <v>37023</v>
      </c>
      <c r="E11892" t="s">
        <v>37024</v>
      </c>
      <c r="F11892" t="s">
        <v>37025</v>
      </c>
      <c r="G11892" s="2" t="str">
        <f>HYPERLINK("https://probpalata.gov.ru/files/ЮЛ020600051500000.jpeg","Скачать индивидуальный QR-код магазина")</f>
        <v>Скачать индивидуальный QR-код магазина</v>
      </c>
    </row>
    <row r="11893" spans="1:7" x14ac:dyDescent="0.25">
      <c r="A11893" t="s">
        <v>36861</v>
      </c>
      <c r="B11893" t="s">
        <v>37026</v>
      </c>
      <c r="C11893" t="s">
        <v>37027</v>
      </c>
      <c r="D11893" t="s">
        <v>37028</v>
      </c>
      <c r="E11893" t="s">
        <v>37029</v>
      </c>
      <c r="F11893" t="s">
        <v>37030</v>
      </c>
      <c r="G11893" s="2" t="str">
        <f>HYPERLINK("https://probpalata.gov.ru/files/ЮЛ020601883200000.jpeg","Скачать индивидуальный QR-код магазина")</f>
        <v>Скачать индивидуальный QR-код магазина</v>
      </c>
    </row>
    <row r="11894" spans="1:7" x14ac:dyDescent="0.25">
      <c r="A11894" t="s">
        <v>36861</v>
      </c>
      <c r="B11894" t="s">
        <v>37031</v>
      </c>
      <c r="C11894" t="s">
        <v>37032</v>
      </c>
      <c r="D11894" t="s">
        <v>37033</v>
      </c>
      <c r="E11894" t="s">
        <v>37034</v>
      </c>
      <c r="F11894" t="s">
        <v>37035</v>
      </c>
      <c r="G11894" s="2" t="str">
        <f>HYPERLINK("https://probpalata.gov.ru/files/ИП020600098500000.jpeg","Скачать индивидуальный QR-код магазина")</f>
        <v>Скачать индивидуальный QR-код магазина</v>
      </c>
    </row>
    <row r="11895" spans="1:7" x14ac:dyDescent="0.25">
      <c r="A11895" t="s">
        <v>36861</v>
      </c>
      <c r="B11895" t="s">
        <v>37036</v>
      </c>
      <c r="C11895" t="s">
        <v>37032</v>
      </c>
      <c r="D11895" t="s">
        <v>37033</v>
      </c>
      <c r="E11895" t="s">
        <v>37034</v>
      </c>
      <c r="F11895" t="s">
        <v>37037</v>
      </c>
      <c r="G11895" s="2" t="str">
        <f>HYPERLINK("https://probpalata.gov.ru/files/ИП020600098500002.jpeg","Скачать индивидуальный QR-код магазина")</f>
        <v>Скачать индивидуальный QR-код магазина</v>
      </c>
    </row>
    <row r="11896" spans="1:7" x14ac:dyDescent="0.25">
      <c r="A11896" t="s">
        <v>36861</v>
      </c>
      <c r="B11896" t="s">
        <v>37038</v>
      </c>
      <c r="C11896" t="s">
        <v>37032</v>
      </c>
      <c r="D11896" t="s">
        <v>37033</v>
      </c>
      <c r="E11896" t="s">
        <v>37034</v>
      </c>
      <c r="F11896" t="s">
        <v>37039</v>
      </c>
      <c r="G11896" s="2" t="str">
        <f>HYPERLINK("https://probpalata.gov.ru/files/ИП020600098500004.jpeg","Скачать индивидуальный QR-код магазина")</f>
        <v>Скачать индивидуальный QR-код магазина</v>
      </c>
    </row>
    <row r="11897" spans="1:7" x14ac:dyDescent="0.25">
      <c r="A11897" t="s">
        <v>36861</v>
      </c>
      <c r="B11897" t="s">
        <v>37040</v>
      </c>
      <c r="C11897" t="s">
        <v>37032</v>
      </c>
      <c r="D11897" t="s">
        <v>37033</v>
      </c>
      <c r="E11897" t="s">
        <v>37034</v>
      </c>
      <c r="F11897" t="s">
        <v>37041</v>
      </c>
      <c r="G11897" s="2" t="str">
        <f>HYPERLINK("https://probpalata.gov.ru/files/ИП020600098500005.jpeg","Скачать индивидуальный QR-код магазина")</f>
        <v>Скачать индивидуальный QR-код магазина</v>
      </c>
    </row>
    <row r="11898" spans="1:7" x14ac:dyDescent="0.25">
      <c r="A11898" t="s">
        <v>36861</v>
      </c>
      <c r="B11898" t="s">
        <v>37042</v>
      </c>
      <c r="C11898" t="s">
        <v>37032</v>
      </c>
      <c r="D11898" t="s">
        <v>37033</v>
      </c>
      <c r="E11898" t="s">
        <v>37034</v>
      </c>
      <c r="F11898" t="s">
        <v>37043</v>
      </c>
      <c r="G11898" s="2" t="str">
        <f>HYPERLINK("https://probpalata.gov.ru/files/ИП020600098500006.jpeg","Скачать индивидуальный QR-код магазина")</f>
        <v>Скачать индивидуальный QR-код магазина</v>
      </c>
    </row>
    <row r="11899" spans="1:7" x14ac:dyDescent="0.25">
      <c r="A11899" t="s">
        <v>36861</v>
      </c>
      <c r="B11899" t="s">
        <v>37044</v>
      </c>
      <c r="C11899" t="s">
        <v>37032</v>
      </c>
      <c r="D11899" t="s">
        <v>37033</v>
      </c>
      <c r="E11899" t="s">
        <v>37034</v>
      </c>
      <c r="F11899" t="s">
        <v>37045</v>
      </c>
      <c r="G11899" s="2" t="str">
        <f>HYPERLINK("https://probpalata.gov.ru/files/ИП020600098500008.jpeg","Скачать индивидуальный QR-код магазина")</f>
        <v>Скачать индивидуальный QR-код магазина</v>
      </c>
    </row>
    <row r="11900" spans="1:7" x14ac:dyDescent="0.25">
      <c r="A11900" t="s">
        <v>36861</v>
      </c>
      <c r="B11900" t="s">
        <v>37046</v>
      </c>
      <c r="C11900" t="s">
        <v>37047</v>
      </c>
      <c r="D11900" t="s">
        <v>37048</v>
      </c>
      <c r="E11900" t="s">
        <v>37049</v>
      </c>
      <c r="F11900" t="s">
        <v>37050</v>
      </c>
      <c r="G11900" s="2" t="str">
        <f>HYPERLINK("https://probpalata.gov.ru/files/ИП020600375900001.jpeg","Скачать индивидуальный QR-код магазина")</f>
        <v>Скачать индивидуальный QR-код магазина</v>
      </c>
    </row>
    <row r="11901" spans="1:7" x14ac:dyDescent="0.25">
      <c r="A11901" t="s">
        <v>36861</v>
      </c>
      <c r="B11901" t="s">
        <v>37051</v>
      </c>
      <c r="C11901" t="s">
        <v>37052</v>
      </c>
      <c r="D11901" t="s">
        <v>37053</v>
      </c>
      <c r="E11901" t="s">
        <v>37054</v>
      </c>
      <c r="F11901" t="s">
        <v>37055</v>
      </c>
      <c r="G11901" s="2" t="str">
        <f>HYPERLINK("https://probpalata.gov.ru/files/ЮЛ020600687500000.jpeg","Скачать индивидуальный QR-код магазина")</f>
        <v>Скачать индивидуальный QR-код магазина</v>
      </c>
    </row>
    <row r="11902" spans="1:7" x14ac:dyDescent="0.25">
      <c r="A11902" t="s">
        <v>36861</v>
      </c>
      <c r="B11902" t="s">
        <v>37056</v>
      </c>
      <c r="C11902" t="s">
        <v>37057</v>
      </c>
      <c r="D11902" t="s">
        <v>37058</v>
      </c>
      <c r="E11902" t="s">
        <v>37059</v>
      </c>
      <c r="F11902" t="s">
        <v>37060</v>
      </c>
      <c r="G11902" s="2" t="str">
        <f>HYPERLINK("https://probpalata.gov.ru/files/ИП020603312900000.jpeg","Скачать индивидуальный QR-код магазина")</f>
        <v>Скачать индивидуальный QR-код магазина</v>
      </c>
    </row>
    <row r="11903" spans="1:7" x14ac:dyDescent="0.25">
      <c r="A11903" t="s">
        <v>36861</v>
      </c>
      <c r="B11903" t="s">
        <v>37061</v>
      </c>
      <c r="C11903" t="s">
        <v>37062</v>
      </c>
      <c r="D11903" t="s">
        <v>37063</v>
      </c>
      <c r="E11903" t="s">
        <v>37064</v>
      </c>
      <c r="F11903" t="s">
        <v>37065</v>
      </c>
      <c r="G11903" s="2" t="str">
        <f>HYPERLINK("https://probpalata.gov.ru/files/ИП020603180100000.jpeg","Скачать индивидуальный QR-код магазина")</f>
        <v>Скачать индивидуальный QR-код магазина</v>
      </c>
    </row>
    <row r="11904" spans="1:7" x14ac:dyDescent="0.25">
      <c r="A11904" t="s">
        <v>36861</v>
      </c>
      <c r="B11904" t="s">
        <v>37066</v>
      </c>
      <c r="C11904" t="s">
        <v>37067</v>
      </c>
      <c r="D11904" t="s">
        <v>37068</v>
      </c>
      <c r="E11904" t="s">
        <v>37069</v>
      </c>
      <c r="F11904" t="s">
        <v>37070</v>
      </c>
      <c r="G11904" s="2" t="str">
        <f>HYPERLINK("https://probpalata.gov.ru/files/ИП020603984300000.jpeg","Скачать индивидуальный QR-код магазина")</f>
        <v>Скачать индивидуальный QR-код магазина</v>
      </c>
    </row>
    <row r="11905" spans="1:7" x14ac:dyDescent="0.25">
      <c r="A11905" t="s">
        <v>36861</v>
      </c>
      <c r="B11905" t="s">
        <v>37071</v>
      </c>
      <c r="C11905" t="s">
        <v>37072</v>
      </c>
      <c r="D11905" t="s">
        <v>37073</v>
      </c>
      <c r="E11905" t="s">
        <v>37074</v>
      </c>
      <c r="F11905" t="s">
        <v>37075</v>
      </c>
      <c r="G11905" s="2" t="str">
        <f>HYPERLINK("https://probpalata.gov.ru/files/ИП020600396300000.jpeg","Скачать индивидуальный QR-код магазина")</f>
        <v>Скачать индивидуальный QR-код магазина</v>
      </c>
    </row>
    <row r="11906" spans="1:7" x14ac:dyDescent="0.25">
      <c r="A11906" t="s">
        <v>36861</v>
      </c>
      <c r="B11906" t="s">
        <v>37076</v>
      </c>
      <c r="C11906" t="s">
        <v>37077</v>
      </c>
      <c r="D11906" t="s">
        <v>37078</v>
      </c>
      <c r="E11906" t="s">
        <v>37079</v>
      </c>
      <c r="F11906" t="s">
        <v>37080</v>
      </c>
      <c r="G11906" s="2" t="str">
        <f>HYPERLINK("https://probpalata.gov.ru/files/ИП020600435500000.jpeg","Скачать индивидуальный QR-код магазина")</f>
        <v>Скачать индивидуальный QR-код магазина</v>
      </c>
    </row>
    <row r="11907" spans="1:7" x14ac:dyDescent="0.25">
      <c r="A11907" t="s">
        <v>36861</v>
      </c>
      <c r="B11907" t="s">
        <v>37081</v>
      </c>
      <c r="C11907" t="s">
        <v>37082</v>
      </c>
      <c r="D11907" t="s">
        <v>37083</v>
      </c>
      <c r="E11907" t="s">
        <v>37084</v>
      </c>
      <c r="F11907" t="s">
        <v>37085</v>
      </c>
      <c r="G11907" s="2" t="str">
        <f>HYPERLINK("https://probpalata.gov.ru/files/ЮЛ020600062400000.jpeg","Скачать индивидуальный QR-код магазина")</f>
        <v>Скачать индивидуальный QR-код магазина</v>
      </c>
    </row>
    <row r="11908" spans="1:7" x14ac:dyDescent="0.25">
      <c r="A11908" t="s">
        <v>36861</v>
      </c>
      <c r="B11908" t="s">
        <v>37086</v>
      </c>
      <c r="C11908" t="s">
        <v>37087</v>
      </c>
      <c r="D11908" t="s">
        <v>37088</v>
      </c>
      <c r="E11908" t="s">
        <v>37089</v>
      </c>
      <c r="F11908" t="s">
        <v>37090</v>
      </c>
      <c r="G11908" s="2" t="str">
        <f>HYPERLINK("https://probpalata.gov.ru/files/ИП020600273600000.jpeg","Скачать индивидуальный QR-код магазина")</f>
        <v>Скачать индивидуальный QR-код магазина</v>
      </c>
    </row>
    <row r="11909" spans="1:7" x14ac:dyDescent="0.25">
      <c r="A11909" t="s">
        <v>36861</v>
      </c>
      <c r="B11909" t="s">
        <v>37091</v>
      </c>
      <c r="C11909" t="s">
        <v>37087</v>
      </c>
      <c r="D11909" t="s">
        <v>37088</v>
      </c>
      <c r="E11909" t="s">
        <v>37089</v>
      </c>
      <c r="F11909" t="s">
        <v>37092</v>
      </c>
      <c r="G11909" s="2" t="str">
        <f>HYPERLINK("https://probpalata.gov.ru/files/ИП020600273600002.jpeg","Скачать индивидуальный QR-код магазина")</f>
        <v>Скачать индивидуальный QR-код магазина</v>
      </c>
    </row>
    <row r="11910" spans="1:7" x14ac:dyDescent="0.25">
      <c r="A11910" t="s">
        <v>36861</v>
      </c>
      <c r="B11910" t="s">
        <v>37093</v>
      </c>
      <c r="C11910" t="s">
        <v>37094</v>
      </c>
      <c r="D11910" t="s">
        <v>37095</v>
      </c>
      <c r="E11910" t="s">
        <v>37096</v>
      </c>
      <c r="F11910" t="s">
        <v>37097</v>
      </c>
      <c r="G11910" s="2" t="str">
        <f>HYPERLINK("https://probpalata.gov.ru/files/ИП020601175000000.jpeg","Скачать индивидуальный QR-код магазина")</f>
        <v>Скачать индивидуальный QR-код магазина</v>
      </c>
    </row>
    <row r="11911" spans="1:7" x14ac:dyDescent="0.25">
      <c r="A11911" t="s">
        <v>36861</v>
      </c>
      <c r="B11911" t="s">
        <v>37098</v>
      </c>
      <c r="C11911" t="s">
        <v>37099</v>
      </c>
      <c r="D11911" t="s">
        <v>37100</v>
      </c>
      <c r="E11911" t="s">
        <v>37101</v>
      </c>
      <c r="F11911" t="s">
        <v>37102</v>
      </c>
      <c r="G11911" s="2" t="str">
        <f>HYPERLINK("https://probpalata.gov.ru/files/ИП020600455600000.jpeg","Скачать индивидуальный QR-код магазина")</f>
        <v>Скачать индивидуальный QR-код магазина</v>
      </c>
    </row>
    <row r="11912" spans="1:7" x14ac:dyDescent="0.25">
      <c r="A11912" t="s">
        <v>36861</v>
      </c>
      <c r="B11912" t="s">
        <v>37103</v>
      </c>
      <c r="C11912" t="s">
        <v>37099</v>
      </c>
      <c r="D11912" t="s">
        <v>37100</v>
      </c>
      <c r="E11912" t="s">
        <v>37101</v>
      </c>
      <c r="F11912" t="s">
        <v>37104</v>
      </c>
      <c r="G11912" s="2" t="str">
        <f>HYPERLINK("https://probpalata.gov.ru/files/ИП020600455600001.jpeg","Скачать индивидуальный QR-код магазина")</f>
        <v>Скачать индивидуальный QR-код магазина</v>
      </c>
    </row>
    <row r="11913" spans="1:7" x14ac:dyDescent="0.25">
      <c r="A11913" t="s">
        <v>36861</v>
      </c>
      <c r="B11913" t="s">
        <v>37105</v>
      </c>
      <c r="C11913" t="s">
        <v>37106</v>
      </c>
      <c r="D11913" t="s">
        <v>37107</v>
      </c>
      <c r="E11913" t="s">
        <v>37108</v>
      </c>
      <c r="F11913" t="s">
        <v>37109</v>
      </c>
      <c r="G11913" s="2" t="str">
        <f>HYPERLINK("https://probpalata.gov.ru/files/ИП020601486300000.jpeg","Скачать индивидуальный QR-код магазина")</f>
        <v>Скачать индивидуальный QR-код магазина</v>
      </c>
    </row>
    <row r="11914" spans="1:7" x14ac:dyDescent="0.25">
      <c r="A11914" t="s">
        <v>36861</v>
      </c>
      <c r="B11914" t="s">
        <v>37110</v>
      </c>
      <c r="C11914" t="s">
        <v>37106</v>
      </c>
      <c r="D11914" t="s">
        <v>37107</v>
      </c>
      <c r="E11914" t="s">
        <v>37108</v>
      </c>
      <c r="F11914" t="s">
        <v>37111</v>
      </c>
      <c r="G11914" s="2" t="str">
        <f>HYPERLINK("https://probpalata.gov.ru/files/ИП020601486300002.jpeg","Скачать индивидуальный QR-код магазина")</f>
        <v>Скачать индивидуальный QR-код магазина</v>
      </c>
    </row>
    <row r="11915" spans="1:7" x14ac:dyDescent="0.25">
      <c r="A11915" t="s">
        <v>36861</v>
      </c>
      <c r="B11915" t="s">
        <v>37112</v>
      </c>
      <c r="C11915" t="s">
        <v>37113</v>
      </c>
      <c r="D11915" t="s">
        <v>37114</v>
      </c>
      <c r="E11915" t="s">
        <v>37115</v>
      </c>
      <c r="F11915" t="s">
        <v>37116</v>
      </c>
      <c r="G11915" s="2" t="str">
        <f>HYPERLINK("https://probpalata.gov.ru/files/ИП020600185500000.jpeg","Скачать индивидуальный QR-код магазина")</f>
        <v>Скачать индивидуальный QR-код магазина</v>
      </c>
    </row>
    <row r="11916" spans="1:7" x14ac:dyDescent="0.25">
      <c r="A11916" t="s">
        <v>36861</v>
      </c>
      <c r="B11916" t="s">
        <v>37117</v>
      </c>
      <c r="C11916" t="s">
        <v>37113</v>
      </c>
      <c r="D11916" t="s">
        <v>37114</v>
      </c>
      <c r="E11916" t="s">
        <v>37115</v>
      </c>
      <c r="F11916" t="s">
        <v>37118</v>
      </c>
      <c r="G11916" s="2" t="str">
        <f>HYPERLINK("https://probpalata.gov.ru/files/ИП020600185500001.jpeg","Скачать индивидуальный QR-код магазина")</f>
        <v>Скачать индивидуальный QR-код магазина</v>
      </c>
    </row>
    <row r="11917" spans="1:7" x14ac:dyDescent="0.25">
      <c r="A11917" t="s">
        <v>36861</v>
      </c>
      <c r="B11917" t="s">
        <v>37119</v>
      </c>
      <c r="C11917" t="s">
        <v>37120</v>
      </c>
      <c r="D11917" t="s">
        <v>37121</v>
      </c>
      <c r="E11917" t="s">
        <v>37122</v>
      </c>
      <c r="F11917" t="s">
        <v>37123</v>
      </c>
      <c r="G11917" s="2" t="str">
        <f>HYPERLINK("https://probpalata.gov.ru/files/ЮЛ020600073500003.jpeg","Скачать индивидуальный QR-код магазина")</f>
        <v>Скачать индивидуальный QR-код магазина</v>
      </c>
    </row>
    <row r="11918" spans="1:7" x14ac:dyDescent="0.25">
      <c r="A11918" t="s">
        <v>36861</v>
      </c>
      <c r="B11918" t="s">
        <v>37124</v>
      </c>
      <c r="C11918" t="s">
        <v>37125</v>
      </c>
      <c r="D11918" t="s">
        <v>37126</v>
      </c>
      <c r="E11918" t="s">
        <v>37127</v>
      </c>
      <c r="F11918" t="s">
        <v>37128</v>
      </c>
      <c r="G11918" s="2" t="str">
        <f>HYPERLINK("https://probpalata.gov.ru/files/ИП020600062200000.jpeg","Скачать индивидуальный QR-код магазина")</f>
        <v>Скачать индивидуальный QR-код магазина</v>
      </c>
    </row>
    <row r="11919" spans="1:7" x14ac:dyDescent="0.25">
      <c r="A11919" t="s">
        <v>36861</v>
      </c>
      <c r="B11919" t="s">
        <v>37129</v>
      </c>
      <c r="C11919" t="s">
        <v>37130</v>
      </c>
      <c r="D11919" t="s">
        <v>37131</v>
      </c>
      <c r="E11919" t="s">
        <v>37132</v>
      </c>
      <c r="F11919" t="s">
        <v>37133</v>
      </c>
      <c r="G11919" s="2" t="str">
        <f>HYPERLINK("https://probpalata.gov.ru/files/ИП020603110400000.jpeg","Скачать индивидуальный QR-код магазина")</f>
        <v>Скачать индивидуальный QR-код магазина</v>
      </c>
    </row>
    <row r="11920" spans="1:7" x14ac:dyDescent="0.25">
      <c r="A11920" t="s">
        <v>36861</v>
      </c>
      <c r="B11920" t="s">
        <v>37134</v>
      </c>
      <c r="C11920" t="s">
        <v>37135</v>
      </c>
      <c r="D11920" t="s">
        <v>37136</v>
      </c>
      <c r="E11920" t="s">
        <v>37137</v>
      </c>
      <c r="F11920" t="s">
        <v>37138</v>
      </c>
      <c r="G11920" s="2" t="str">
        <f>HYPERLINK("https://probpalata.gov.ru/files/ИП020600143000000.jpeg","Скачать индивидуальный QR-код магазина")</f>
        <v>Скачать индивидуальный QR-код магазина</v>
      </c>
    </row>
    <row r="11921" spans="1:7" x14ac:dyDescent="0.25">
      <c r="A11921" t="s">
        <v>36861</v>
      </c>
      <c r="B11921" t="s">
        <v>37139</v>
      </c>
      <c r="C11921" t="s">
        <v>37140</v>
      </c>
      <c r="D11921" t="s">
        <v>37141</v>
      </c>
      <c r="E11921" t="s">
        <v>37142</v>
      </c>
      <c r="F11921" t="s">
        <v>37143</v>
      </c>
      <c r="G11921" s="2" t="str">
        <f>HYPERLINK("https://probpalata.gov.ru/files/ИП020601177900000.jpeg","Скачать индивидуальный QR-код магазина")</f>
        <v>Скачать индивидуальный QR-код магазина</v>
      </c>
    </row>
    <row r="11922" spans="1:7" x14ac:dyDescent="0.25">
      <c r="A11922" t="s">
        <v>36861</v>
      </c>
      <c r="B11922" t="s">
        <v>37144</v>
      </c>
      <c r="C11922" t="s">
        <v>37145</v>
      </c>
      <c r="D11922" t="s">
        <v>37146</v>
      </c>
      <c r="E11922" t="s">
        <v>37147</v>
      </c>
      <c r="F11922" t="s">
        <v>37148</v>
      </c>
      <c r="G11922" s="2" t="str">
        <f>HYPERLINK("https://probpalata.gov.ru/files/ИП770100850400000.jpeg","Скачать индивидуальный QR-код магазина")</f>
        <v>Скачать индивидуальный QR-код магазина</v>
      </c>
    </row>
    <row r="11923" spans="1:7" x14ac:dyDescent="0.25">
      <c r="A11923" t="s">
        <v>36861</v>
      </c>
      <c r="B11923" t="s">
        <v>37149</v>
      </c>
      <c r="C11923" t="s">
        <v>37150</v>
      </c>
      <c r="D11923" t="s">
        <v>37151</v>
      </c>
      <c r="E11923" t="s">
        <v>37152</v>
      </c>
      <c r="F11923" t="s">
        <v>37153</v>
      </c>
      <c r="G11923" s="2" t="str">
        <f>HYPERLINK("https://probpalata.gov.ru/files/ИП020600032600000.jpeg","Скачать индивидуальный QR-код магазина")</f>
        <v>Скачать индивидуальный QR-код магазина</v>
      </c>
    </row>
    <row r="11924" spans="1:7" x14ac:dyDescent="0.25">
      <c r="A11924" t="s">
        <v>36861</v>
      </c>
      <c r="B11924" t="s">
        <v>37154</v>
      </c>
      <c r="C11924" t="s">
        <v>37155</v>
      </c>
      <c r="D11924" t="s">
        <v>37156</v>
      </c>
      <c r="E11924" t="s">
        <v>37157</v>
      </c>
      <c r="F11924" t="s">
        <v>37158</v>
      </c>
      <c r="G11924" s="2" t="str">
        <f>HYPERLINK("https://probpalata.gov.ru/files/ИП020601410800000.jpeg","Скачать индивидуальный QR-код магазина")</f>
        <v>Скачать индивидуальный QR-код магазина</v>
      </c>
    </row>
    <row r="11925" spans="1:7" x14ac:dyDescent="0.25">
      <c r="A11925" t="s">
        <v>36861</v>
      </c>
      <c r="B11925" t="s">
        <v>37159</v>
      </c>
      <c r="C11925" t="s">
        <v>37160</v>
      </c>
      <c r="D11925" t="s">
        <v>37161</v>
      </c>
      <c r="E11925" t="s">
        <v>37162</v>
      </c>
      <c r="F11925" t="s">
        <v>37163</v>
      </c>
      <c r="G11925" s="2" t="str">
        <f>HYPERLINK("https://probpalata.gov.ru/files/ИП020600438600000.jpeg","Скачать индивидуальный QR-код магазина")</f>
        <v>Скачать индивидуальный QR-код магазина</v>
      </c>
    </row>
    <row r="11926" spans="1:7" x14ac:dyDescent="0.25">
      <c r="A11926" t="s">
        <v>36861</v>
      </c>
      <c r="B11926" t="s">
        <v>37164</v>
      </c>
      <c r="C11926" t="s">
        <v>37160</v>
      </c>
      <c r="D11926" t="s">
        <v>37161</v>
      </c>
      <c r="E11926" t="s">
        <v>37162</v>
      </c>
      <c r="F11926" t="s">
        <v>37165</v>
      </c>
      <c r="G11926" s="2" t="str">
        <f>HYPERLINK("https://probpalata.gov.ru/files/ИП020600438600001.jpeg","Скачать индивидуальный QR-код магазина")</f>
        <v>Скачать индивидуальный QR-код магазина</v>
      </c>
    </row>
    <row r="11927" spans="1:7" x14ac:dyDescent="0.25">
      <c r="A11927" t="s">
        <v>36861</v>
      </c>
      <c r="B11927" t="s">
        <v>36991</v>
      </c>
      <c r="C11927" t="s">
        <v>37160</v>
      </c>
      <c r="D11927" t="s">
        <v>37161</v>
      </c>
      <c r="E11927" t="s">
        <v>37162</v>
      </c>
      <c r="F11927" t="s">
        <v>37166</v>
      </c>
      <c r="G11927" s="2" t="str">
        <f>HYPERLINK("https://probpalata.gov.ru/files/ИП020600438600002.jpeg","Скачать индивидуальный QR-код магазина")</f>
        <v>Скачать индивидуальный QR-код магазина</v>
      </c>
    </row>
    <row r="11928" spans="1:7" x14ac:dyDescent="0.25">
      <c r="A11928" t="s">
        <v>36861</v>
      </c>
      <c r="B11928" t="s">
        <v>37167</v>
      </c>
      <c r="C11928" t="s">
        <v>37160</v>
      </c>
      <c r="D11928" t="s">
        <v>37161</v>
      </c>
      <c r="E11928" t="s">
        <v>37162</v>
      </c>
      <c r="F11928" t="s">
        <v>37168</v>
      </c>
      <c r="G11928" s="2" t="str">
        <f>HYPERLINK("https://probpalata.gov.ru/files/ИП020600438600003.jpeg","Скачать индивидуальный QR-код магазина")</f>
        <v>Скачать индивидуальный QR-код магазина</v>
      </c>
    </row>
    <row r="11929" spans="1:7" x14ac:dyDescent="0.25">
      <c r="A11929" t="s">
        <v>36861</v>
      </c>
      <c r="B11929" t="s">
        <v>37169</v>
      </c>
      <c r="C11929" t="s">
        <v>37170</v>
      </c>
      <c r="D11929" t="s">
        <v>37171</v>
      </c>
      <c r="E11929" t="s">
        <v>37172</v>
      </c>
      <c r="F11929" t="s">
        <v>37173</v>
      </c>
      <c r="G11929" s="2" t="str">
        <f>HYPERLINK("https://probpalata.gov.ru/files/ИП770104031100000.jpeg","Скачать индивидуальный QR-код магазина")</f>
        <v>Скачать индивидуальный QR-код магазина</v>
      </c>
    </row>
    <row r="11930" spans="1:7" x14ac:dyDescent="0.25">
      <c r="A11930" t="s">
        <v>36861</v>
      </c>
      <c r="B11930" t="s">
        <v>37174</v>
      </c>
      <c r="C11930" t="s">
        <v>37175</v>
      </c>
      <c r="D11930" t="s">
        <v>37176</v>
      </c>
      <c r="E11930" t="s">
        <v>37177</v>
      </c>
      <c r="F11930" t="s">
        <v>37178</v>
      </c>
      <c r="G11930" s="2" t="str">
        <f>HYPERLINK("https://probpalata.gov.ru/files/ИП500100391400000.jpeg","Скачать индивидуальный QR-код магазина")</f>
        <v>Скачать индивидуальный QR-код магазина</v>
      </c>
    </row>
    <row r="11931" spans="1:7" x14ac:dyDescent="0.25">
      <c r="A11931" t="s">
        <v>36861</v>
      </c>
      <c r="B11931" t="s">
        <v>37179</v>
      </c>
      <c r="C11931" t="s">
        <v>37180</v>
      </c>
      <c r="D11931" t="s">
        <v>37181</v>
      </c>
      <c r="E11931" t="s">
        <v>37182</v>
      </c>
      <c r="F11931" t="s">
        <v>37183</v>
      </c>
      <c r="G11931" s="2" t="str">
        <f>HYPERLINK("https://probpalata.gov.ru/files/ИП020601561900000.jpeg","Скачать индивидуальный QR-код магазина")</f>
        <v>Скачать индивидуальный QR-код магазина</v>
      </c>
    </row>
    <row r="11932" spans="1:7" x14ac:dyDescent="0.25">
      <c r="A11932" t="s">
        <v>36861</v>
      </c>
      <c r="B11932" t="s">
        <v>37184</v>
      </c>
      <c r="C11932" t="s">
        <v>37180</v>
      </c>
      <c r="D11932" t="s">
        <v>37181</v>
      </c>
      <c r="E11932" t="s">
        <v>37182</v>
      </c>
      <c r="F11932" t="s">
        <v>37185</v>
      </c>
      <c r="G11932" s="2" t="str">
        <f>HYPERLINK("https://probpalata.gov.ru/files/ИП020601561900001.jpeg","Скачать индивидуальный QR-код магазина")</f>
        <v>Скачать индивидуальный QR-код магазина</v>
      </c>
    </row>
    <row r="11933" spans="1:7" x14ac:dyDescent="0.25">
      <c r="A11933" t="s">
        <v>36861</v>
      </c>
      <c r="B11933" t="s">
        <v>37186</v>
      </c>
      <c r="C11933" t="s">
        <v>37180</v>
      </c>
      <c r="D11933" t="s">
        <v>37181</v>
      </c>
      <c r="E11933" t="s">
        <v>37182</v>
      </c>
      <c r="F11933" t="s">
        <v>37187</v>
      </c>
      <c r="G11933" s="2" t="str">
        <f>HYPERLINK("https://probpalata.gov.ru/files/ИП020601561900002.jpeg","Скачать индивидуальный QR-код магазина")</f>
        <v>Скачать индивидуальный QR-код магазина</v>
      </c>
    </row>
    <row r="11934" spans="1:7" x14ac:dyDescent="0.25">
      <c r="A11934" t="s">
        <v>36861</v>
      </c>
      <c r="B11934" t="s">
        <v>37188</v>
      </c>
      <c r="C11934" t="s">
        <v>37180</v>
      </c>
      <c r="D11934" t="s">
        <v>37181</v>
      </c>
      <c r="E11934" t="s">
        <v>37182</v>
      </c>
      <c r="F11934" t="s">
        <v>37189</v>
      </c>
      <c r="G11934" s="2" t="str">
        <f>HYPERLINK("https://probpalata.gov.ru/files/ИП020601561900003.jpeg","Скачать индивидуальный QR-код магазина")</f>
        <v>Скачать индивидуальный QR-код магазина</v>
      </c>
    </row>
    <row r="11935" spans="1:7" x14ac:dyDescent="0.25">
      <c r="A11935" t="s">
        <v>36861</v>
      </c>
      <c r="B11935" t="s">
        <v>37190</v>
      </c>
      <c r="C11935" t="s">
        <v>33434</v>
      </c>
      <c r="D11935" t="s">
        <v>33435</v>
      </c>
      <c r="E11935" t="s">
        <v>33436</v>
      </c>
      <c r="F11935" t="s">
        <v>37191</v>
      </c>
      <c r="G11935" s="2" t="str">
        <f>HYPERLINK("https://probpalata.gov.ru/files/ЮЛ020600092500003.jpeg","Скачать индивидуальный QR-код магазина")</f>
        <v>Скачать индивидуальный QR-код магазина</v>
      </c>
    </row>
    <row r="11936" spans="1:7" x14ac:dyDescent="0.25">
      <c r="A11936" t="s">
        <v>36861</v>
      </c>
      <c r="B11936" t="s">
        <v>37192</v>
      </c>
      <c r="C11936" t="s">
        <v>33434</v>
      </c>
      <c r="D11936" t="s">
        <v>33435</v>
      </c>
      <c r="E11936" t="s">
        <v>33436</v>
      </c>
      <c r="F11936" t="s">
        <v>37193</v>
      </c>
      <c r="G11936" s="2" t="str">
        <f>HYPERLINK("https://probpalata.gov.ru/files/ЮЛ020600092500041.jpeg","Скачать индивидуальный QR-код магазина")</f>
        <v>Скачать индивидуальный QR-код магазина</v>
      </c>
    </row>
    <row r="11937" spans="1:7" x14ac:dyDescent="0.25">
      <c r="A11937" t="s">
        <v>36861</v>
      </c>
      <c r="B11937" t="s">
        <v>37194</v>
      </c>
      <c r="C11937" t="s">
        <v>33434</v>
      </c>
      <c r="D11937" t="s">
        <v>33435</v>
      </c>
      <c r="E11937" t="s">
        <v>33436</v>
      </c>
      <c r="F11937" t="s">
        <v>37195</v>
      </c>
      <c r="G11937" s="2" t="str">
        <f>HYPERLINK("https://probpalata.gov.ru/files/ЮЛ020600092500045.jpeg","Скачать индивидуальный QR-код магазина")</f>
        <v>Скачать индивидуальный QR-код магазина</v>
      </c>
    </row>
    <row r="11938" spans="1:7" x14ac:dyDescent="0.25">
      <c r="A11938" t="s">
        <v>36861</v>
      </c>
      <c r="B11938" t="s">
        <v>37196</v>
      </c>
      <c r="C11938" t="s">
        <v>18835</v>
      </c>
      <c r="D11938" t="s">
        <v>18836</v>
      </c>
      <c r="E11938" t="s">
        <v>18837</v>
      </c>
      <c r="F11938" t="s">
        <v>37197</v>
      </c>
      <c r="G11938" s="2" t="str">
        <f>HYPERLINK("https://probpalata.gov.ru/files/ИП770103639800001.jpeg","Скачать индивидуальный QR-код магазина")</f>
        <v>Скачать индивидуальный QR-код магазина</v>
      </c>
    </row>
    <row r="11939" spans="1:7" x14ac:dyDescent="0.25">
      <c r="A11939" t="s">
        <v>36861</v>
      </c>
      <c r="B11939" t="s">
        <v>37198</v>
      </c>
      <c r="C11939" t="s">
        <v>37199</v>
      </c>
      <c r="D11939" t="s">
        <v>37200</v>
      </c>
      <c r="E11939" t="s">
        <v>37201</v>
      </c>
      <c r="F11939" t="s">
        <v>37202</v>
      </c>
      <c r="G11939" s="2" t="str">
        <f>HYPERLINK("https://probpalata.gov.ru/files/ИП020600269200000.jpeg","Скачать индивидуальный QR-код магазина")</f>
        <v>Скачать индивидуальный QR-код магазина</v>
      </c>
    </row>
    <row r="11940" spans="1:7" x14ac:dyDescent="0.25">
      <c r="A11940" t="s">
        <v>36861</v>
      </c>
      <c r="B11940" t="s">
        <v>37203</v>
      </c>
      <c r="C11940" t="s">
        <v>37204</v>
      </c>
      <c r="D11940" t="s">
        <v>37205</v>
      </c>
      <c r="E11940" t="s">
        <v>37206</v>
      </c>
      <c r="F11940" t="s">
        <v>37207</v>
      </c>
      <c r="G11940" s="2" t="str">
        <f>HYPERLINK("https://probpalata.gov.ru/files/ИП020600128600000.jpeg","Скачать индивидуальный QR-код магазина")</f>
        <v>Скачать индивидуальный QR-код магазина</v>
      </c>
    </row>
    <row r="11941" spans="1:7" x14ac:dyDescent="0.25">
      <c r="A11941" t="s">
        <v>36861</v>
      </c>
      <c r="B11941" t="s">
        <v>37208</v>
      </c>
      <c r="C11941" t="s">
        <v>37204</v>
      </c>
      <c r="D11941" t="s">
        <v>37205</v>
      </c>
      <c r="E11941" t="s">
        <v>37206</v>
      </c>
      <c r="F11941" t="s">
        <v>37209</v>
      </c>
      <c r="G11941" s="2" t="str">
        <f>HYPERLINK("https://probpalata.gov.ru/files/ИП020600128600001.jpeg","Скачать индивидуальный QR-код магазина")</f>
        <v>Скачать индивидуальный QR-код магазина</v>
      </c>
    </row>
    <row r="11942" spans="1:7" x14ac:dyDescent="0.25">
      <c r="A11942" t="s">
        <v>36861</v>
      </c>
      <c r="B11942" t="s">
        <v>37210</v>
      </c>
      <c r="C11942" t="s">
        <v>37211</v>
      </c>
      <c r="D11942" t="s">
        <v>37212</v>
      </c>
      <c r="E11942" t="s">
        <v>37213</v>
      </c>
      <c r="F11942" t="s">
        <v>37214</v>
      </c>
      <c r="G11942" s="2" t="str">
        <f>HYPERLINK("https://probpalata.gov.ru/files/ИП020600516200000.jpeg","Скачать индивидуальный QR-код магазина")</f>
        <v>Скачать индивидуальный QR-код магазина</v>
      </c>
    </row>
    <row r="11943" spans="1:7" x14ac:dyDescent="0.25">
      <c r="A11943" t="s">
        <v>36861</v>
      </c>
      <c r="B11943" t="s">
        <v>37215</v>
      </c>
      <c r="C11943" t="s">
        <v>37211</v>
      </c>
      <c r="D11943" t="s">
        <v>37212</v>
      </c>
      <c r="E11943" t="s">
        <v>37213</v>
      </c>
      <c r="F11943" t="s">
        <v>37216</v>
      </c>
      <c r="G11943" s="2" t="str">
        <f>HYPERLINK("https://probpalata.gov.ru/files/ИП020600516200002.jpeg","Скачать индивидуальный QR-код магазина")</f>
        <v>Скачать индивидуальный QR-код магазина</v>
      </c>
    </row>
    <row r="11944" spans="1:7" x14ac:dyDescent="0.25">
      <c r="A11944" t="s">
        <v>36861</v>
      </c>
      <c r="B11944" t="s">
        <v>37217</v>
      </c>
      <c r="C11944" t="s">
        <v>37211</v>
      </c>
      <c r="D11944" t="s">
        <v>37212</v>
      </c>
      <c r="E11944" t="s">
        <v>37213</v>
      </c>
      <c r="F11944" t="s">
        <v>37218</v>
      </c>
      <c r="G11944" s="2" t="str">
        <f>HYPERLINK("https://probpalata.gov.ru/files/ИП020600516200003.jpeg","Скачать индивидуальный QR-код магазина")</f>
        <v>Скачать индивидуальный QR-код магазина</v>
      </c>
    </row>
    <row r="11945" spans="1:7" x14ac:dyDescent="0.25">
      <c r="A11945" t="s">
        <v>36861</v>
      </c>
      <c r="B11945" t="s">
        <v>37219</v>
      </c>
      <c r="C11945" t="s">
        <v>37211</v>
      </c>
      <c r="D11945" t="s">
        <v>37212</v>
      </c>
      <c r="E11945" t="s">
        <v>37213</v>
      </c>
      <c r="F11945" t="s">
        <v>37220</v>
      </c>
      <c r="G11945" s="2" t="str">
        <f>HYPERLINK("https://probpalata.gov.ru/files/ИП020600516200005.jpeg","Скачать индивидуальный QR-код магазина")</f>
        <v>Скачать индивидуальный QR-код магазина</v>
      </c>
    </row>
    <row r="11946" spans="1:7" x14ac:dyDescent="0.25">
      <c r="A11946" t="s">
        <v>36861</v>
      </c>
      <c r="B11946" t="s">
        <v>37221</v>
      </c>
      <c r="C11946" t="s">
        <v>13165</v>
      </c>
      <c r="D11946" t="s">
        <v>13166</v>
      </c>
      <c r="E11946" t="s">
        <v>13167</v>
      </c>
      <c r="F11946" t="s">
        <v>37222</v>
      </c>
      <c r="G11946" s="2" t="str">
        <f>HYPERLINK("https://probpalata.gov.ru/files/ИП020600906600000.jpeg","Скачать индивидуальный QR-код магазина")</f>
        <v>Скачать индивидуальный QR-код магазина</v>
      </c>
    </row>
    <row r="11947" spans="1:7" x14ac:dyDescent="0.25">
      <c r="A11947" t="s">
        <v>36861</v>
      </c>
      <c r="B11947" t="s">
        <v>37223</v>
      </c>
      <c r="C11947" t="s">
        <v>37224</v>
      </c>
      <c r="D11947" t="s">
        <v>37225</v>
      </c>
      <c r="E11947" t="s">
        <v>37226</v>
      </c>
      <c r="F11947" t="s">
        <v>37227</v>
      </c>
      <c r="G11947" s="2" t="str">
        <f>HYPERLINK("https://probpalata.gov.ru/files/ИП020600949600000.jpeg","Скачать индивидуальный QR-код магазина")</f>
        <v>Скачать индивидуальный QR-код магазина</v>
      </c>
    </row>
    <row r="11948" spans="1:7" x14ac:dyDescent="0.25">
      <c r="A11948" t="s">
        <v>36861</v>
      </c>
      <c r="B11948" t="s">
        <v>37228</v>
      </c>
      <c r="C11948" t="s">
        <v>37229</v>
      </c>
      <c r="D11948" t="s">
        <v>37230</v>
      </c>
      <c r="E11948" t="s">
        <v>37231</v>
      </c>
      <c r="F11948" t="s">
        <v>37232</v>
      </c>
      <c r="G11948" s="2" t="str">
        <f>HYPERLINK("https://probpalata.gov.ru/files/ИП020601100500000.jpeg","Скачать индивидуальный QR-код магазина")</f>
        <v>Скачать индивидуальный QR-код магазина</v>
      </c>
    </row>
    <row r="11949" spans="1:7" x14ac:dyDescent="0.25">
      <c r="A11949" t="s">
        <v>36861</v>
      </c>
      <c r="B11949" t="s">
        <v>37233</v>
      </c>
      <c r="C11949" t="s">
        <v>37234</v>
      </c>
      <c r="D11949" t="s">
        <v>37235</v>
      </c>
      <c r="E11949" t="s">
        <v>37236</v>
      </c>
      <c r="F11949" t="s">
        <v>37237</v>
      </c>
      <c r="G11949" s="2" t="str">
        <f>HYPERLINK("https://probpalata.gov.ru/files/ИП020600032700000.jpeg","Скачать индивидуальный QR-код магазина")</f>
        <v>Скачать индивидуальный QR-код магазина</v>
      </c>
    </row>
    <row r="11950" spans="1:7" x14ac:dyDescent="0.25">
      <c r="A11950" t="s">
        <v>36861</v>
      </c>
      <c r="B11950" t="s">
        <v>37238</v>
      </c>
      <c r="C11950" t="s">
        <v>37234</v>
      </c>
      <c r="D11950" t="s">
        <v>37235</v>
      </c>
      <c r="E11950" t="s">
        <v>37236</v>
      </c>
      <c r="F11950" t="s">
        <v>37239</v>
      </c>
      <c r="G11950" s="2" t="str">
        <f>HYPERLINK("https://probpalata.gov.ru/files/ИП020600032700001.jpeg","Скачать индивидуальный QR-код магазина")</f>
        <v>Скачать индивидуальный QR-код магазина</v>
      </c>
    </row>
    <row r="11951" spans="1:7" x14ac:dyDescent="0.25">
      <c r="A11951" t="s">
        <v>36861</v>
      </c>
      <c r="B11951" t="s">
        <v>37240</v>
      </c>
      <c r="C11951" t="s">
        <v>37234</v>
      </c>
      <c r="D11951" t="s">
        <v>37235</v>
      </c>
      <c r="E11951" t="s">
        <v>37236</v>
      </c>
      <c r="F11951" t="s">
        <v>37241</v>
      </c>
      <c r="G11951" s="2" t="str">
        <f>HYPERLINK("https://probpalata.gov.ru/files/ИП020600032700003.jpeg","Скачать индивидуальный QR-код магазина")</f>
        <v>Скачать индивидуальный QR-код магазина</v>
      </c>
    </row>
    <row r="11952" spans="1:7" x14ac:dyDescent="0.25">
      <c r="A11952" t="s">
        <v>36861</v>
      </c>
      <c r="B11952" t="s">
        <v>37242</v>
      </c>
      <c r="C11952" t="s">
        <v>37234</v>
      </c>
      <c r="D11952" t="s">
        <v>37235</v>
      </c>
      <c r="E11952" t="s">
        <v>37236</v>
      </c>
      <c r="F11952" t="s">
        <v>37243</v>
      </c>
      <c r="G11952" s="2" t="str">
        <f>HYPERLINK("https://probpalata.gov.ru/files/ИП020600032700004.jpeg","Скачать индивидуальный QR-код магазина")</f>
        <v>Скачать индивидуальный QR-код магазина</v>
      </c>
    </row>
    <row r="11953" spans="1:7" x14ac:dyDescent="0.25">
      <c r="A11953" t="s">
        <v>36861</v>
      </c>
      <c r="B11953" t="s">
        <v>37244</v>
      </c>
      <c r="C11953" t="s">
        <v>37234</v>
      </c>
      <c r="D11953" t="s">
        <v>37235</v>
      </c>
      <c r="E11953" t="s">
        <v>37236</v>
      </c>
      <c r="F11953" t="s">
        <v>37245</v>
      </c>
      <c r="G11953" s="2" t="str">
        <f>HYPERLINK("https://probpalata.gov.ru/files/ИП020600032700005.jpeg","Скачать индивидуальный QR-код магазина")</f>
        <v>Скачать индивидуальный QR-код магазина</v>
      </c>
    </row>
    <row r="11954" spans="1:7" x14ac:dyDescent="0.25">
      <c r="A11954" t="s">
        <v>36861</v>
      </c>
      <c r="B11954" t="s">
        <v>37246</v>
      </c>
      <c r="C11954" t="s">
        <v>37234</v>
      </c>
      <c r="D11954" t="s">
        <v>37235</v>
      </c>
      <c r="E11954" t="s">
        <v>37236</v>
      </c>
      <c r="F11954" t="s">
        <v>37247</v>
      </c>
      <c r="G11954" s="2" t="str">
        <f>HYPERLINK("https://probpalata.gov.ru/files/ИП020600032700006.jpeg","Скачать индивидуальный QR-код магазина")</f>
        <v>Скачать индивидуальный QR-код магазина</v>
      </c>
    </row>
    <row r="11955" spans="1:7" x14ac:dyDescent="0.25">
      <c r="A11955" t="s">
        <v>36861</v>
      </c>
      <c r="B11955" t="s">
        <v>37248</v>
      </c>
      <c r="C11955" t="s">
        <v>37234</v>
      </c>
      <c r="D11955" t="s">
        <v>37235</v>
      </c>
      <c r="E11955" t="s">
        <v>37236</v>
      </c>
      <c r="F11955" t="s">
        <v>37249</v>
      </c>
      <c r="G11955" s="2" t="str">
        <f>HYPERLINK("https://probpalata.gov.ru/files/ИП020600032700007.jpeg","Скачать индивидуальный QR-код магазина")</f>
        <v>Скачать индивидуальный QR-код магазина</v>
      </c>
    </row>
    <row r="11956" spans="1:7" x14ac:dyDescent="0.25">
      <c r="A11956" t="s">
        <v>36861</v>
      </c>
      <c r="B11956" t="s">
        <v>37250</v>
      </c>
      <c r="C11956" t="s">
        <v>37234</v>
      </c>
      <c r="D11956" t="s">
        <v>37235</v>
      </c>
      <c r="E11956" t="s">
        <v>37236</v>
      </c>
      <c r="F11956" t="s">
        <v>37251</v>
      </c>
      <c r="G11956" s="2" t="str">
        <f>HYPERLINK("https://probpalata.gov.ru/files/ИП020600032700008.jpeg","Скачать индивидуальный QR-код магазина")</f>
        <v>Скачать индивидуальный QR-код магазина</v>
      </c>
    </row>
    <row r="11957" spans="1:7" x14ac:dyDescent="0.25">
      <c r="A11957" t="s">
        <v>36861</v>
      </c>
      <c r="B11957" t="s">
        <v>37252</v>
      </c>
      <c r="C11957" t="s">
        <v>37234</v>
      </c>
      <c r="D11957" t="s">
        <v>37235</v>
      </c>
      <c r="E11957" t="s">
        <v>37236</v>
      </c>
      <c r="F11957" t="s">
        <v>37253</v>
      </c>
      <c r="G11957" s="2" t="str">
        <f>HYPERLINK("https://probpalata.gov.ru/files/ИП020600032700009.jpeg","Скачать индивидуальный QR-код магазина")</f>
        <v>Скачать индивидуальный QR-код магазина</v>
      </c>
    </row>
    <row r="11958" spans="1:7" x14ac:dyDescent="0.25">
      <c r="A11958" t="s">
        <v>36861</v>
      </c>
      <c r="B11958" t="s">
        <v>37254</v>
      </c>
      <c r="C11958" t="s">
        <v>37234</v>
      </c>
      <c r="D11958" t="s">
        <v>37235</v>
      </c>
      <c r="E11958" t="s">
        <v>37236</v>
      </c>
      <c r="F11958" t="s">
        <v>37255</v>
      </c>
      <c r="G11958" s="2" t="str">
        <f>HYPERLINK("https://probpalata.gov.ru/files/ИП020600032700010.jpeg","Скачать индивидуальный QR-код магазина")</f>
        <v>Скачать индивидуальный QR-код магазина</v>
      </c>
    </row>
    <row r="11959" spans="1:7" x14ac:dyDescent="0.25">
      <c r="A11959" t="s">
        <v>36861</v>
      </c>
      <c r="B11959" t="s">
        <v>37256</v>
      </c>
      <c r="C11959" t="s">
        <v>37234</v>
      </c>
      <c r="D11959" t="s">
        <v>37235</v>
      </c>
      <c r="E11959" t="s">
        <v>37236</v>
      </c>
      <c r="F11959" t="s">
        <v>37257</v>
      </c>
      <c r="G11959" s="2" t="str">
        <f>HYPERLINK("https://probpalata.gov.ru/files/ИП020600032700012.jpeg","Скачать индивидуальный QR-код магазина")</f>
        <v>Скачать индивидуальный QR-код магазина</v>
      </c>
    </row>
    <row r="11960" spans="1:7" x14ac:dyDescent="0.25">
      <c r="A11960" t="s">
        <v>36861</v>
      </c>
      <c r="B11960" t="s">
        <v>37258</v>
      </c>
      <c r="C11960" t="s">
        <v>37259</v>
      </c>
      <c r="D11960" t="s">
        <v>37260</v>
      </c>
      <c r="E11960" t="s">
        <v>37261</v>
      </c>
      <c r="F11960" t="s">
        <v>37262</v>
      </c>
      <c r="G11960" s="2" t="str">
        <f>HYPERLINK("https://probpalata.gov.ru/files/ИП020600437400000.jpeg","Скачать индивидуальный QR-код магазина")</f>
        <v>Скачать индивидуальный QR-код магазина</v>
      </c>
    </row>
    <row r="11961" spans="1:7" x14ac:dyDescent="0.25">
      <c r="A11961" t="s">
        <v>36861</v>
      </c>
      <c r="B11961" t="s">
        <v>37263</v>
      </c>
      <c r="C11961" t="s">
        <v>37264</v>
      </c>
      <c r="D11961" t="s">
        <v>37265</v>
      </c>
      <c r="E11961" t="s">
        <v>37266</v>
      </c>
      <c r="F11961" t="s">
        <v>37267</v>
      </c>
      <c r="G11961" s="2" t="str">
        <f>HYPERLINK("https://probpalata.gov.ru/files/ИП020603589600000.jpeg","Скачать индивидуальный QR-код магазина")</f>
        <v>Скачать индивидуальный QR-код магазина</v>
      </c>
    </row>
    <row r="11962" spans="1:7" x14ac:dyDescent="0.25">
      <c r="A11962" t="s">
        <v>36861</v>
      </c>
      <c r="B11962" t="s">
        <v>37268</v>
      </c>
      <c r="C11962" t="s">
        <v>37269</v>
      </c>
      <c r="D11962" t="s">
        <v>37270</v>
      </c>
      <c r="E11962" t="s">
        <v>37271</v>
      </c>
      <c r="F11962" t="s">
        <v>37272</v>
      </c>
      <c r="G11962" s="2" t="str">
        <f>HYPERLINK("https://probpalata.gov.ru/files/ИП020600845500000.jpeg","Скачать индивидуальный QR-код магазина")</f>
        <v>Скачать индивидуальный QR-код магазина</v>
      </c>
    </row>
    <row r="11963" spans="1:7" x14ac:dyDescent="0.25">
      <c r="A11963" t="s">
        <v>36861</v>
      </c>
      <c r="B11963" t="s">
        <v>37273</v>
      </c>
      <c r="C11963" t="s">
        <v>37274</v>
      </c>
      <c r="D11963" t="s">
        <v>37275</v>
      </c>
      <c r="E11963" t="s">
        <v>37276</v>
      </c>
      <c r="F11963" t="s">
        <v>37277</v>
      </c>
      <c r="G11963" s="2" t="str">
        <f>HYPERLINK("https://probpalata.gov.ru/files/ЮЛ020600870300000.jpeg","Скачать индивидуальный QR-код магазина")</f>
        <v>Скачать индивидуальный QR-код магазина</v>
      </c>
    </row>
    <row r="11964" spans="1:7" x14ac:dyDescent="0.25">
      <c r="A11964" t="s">
        <v>36861</v>
      </c>
      <c r="B11964" t="s">
        <v>37278</v>
      </c>
      <c r="C11964" t="s">
        <v>37279</v>
      </c>
      <c r="D11964" t="s">
        <v>37280</v>
      </c>
      <c r="E11964" t="s">
        <v>37281</v>
      </c>
      <c r="F11964" t="s">
        <v>37282</v>
      </c>
      <c r="G11964" s="2" t="str">
        <f>HYPERLINK("https://probpalata.gov.ru/files/ИП020600617500000.jpeg","Скачать индивидуальный QR-код магазина")</f>
        <v>Скачать индивидуальный QR-код магазина</v>
      </c>
    </row>
    <row r="11965" spans="1:7" x14ac:dyDescent="0.25">
      <c r="A11965" t="s">
        <v>36861</v>
      </c>
      <c r="B11965" t="s">
        <v>37283</v>
      </c>
      <c r="C11965" t="s">
        <v>37284</v>
      </c>
      <c r="D11965" t="s">
        <v>37285</v>
      </c>
      <c r="E11965" t="s">
        <v>37286</v>
      </c>
      <c r="F11965" t="s">
        <v>37287</v>
      </c>
      <c r="G11965" s="2" t="str">
        <f>HYPERLINK("https://probpalata.gov.ru/files/ИП020600376500000.jpeg","Скачать индивидуальный QR-код магазина")</f>
        <v>Скачать индивидуальный QR-код магазина</v>
      </c>
    </row>
    <row r="11966" spans="1:7" x14ac:dyDescent="0.25">
      <c r="A11966" t="s">
        <v>36861</v>
      </c>
      <c r="B11966" t="s">
        <v>37288</v>
      </c>
      <c r="C11966" t="s">
        <v>37289</v>
      </c>
      <c r="D11966" t="s">
        <v>37290</v>
      </c>
      <c r="E11966" t="s">
        <v>37291</v>
      </c>
      <c r="F11966" t="s">
        <v>37292</v>
      </c>
      <c r="G11966" s="2" t="str">
        <f>HYPERLINK("https://probpalata.gov.ru/files/ИП020603733400000.jpeg","Скачать индивидуальный QR-код магазина")</f>
        <v>Скачать индивидуальный QR-код магазина</v>
      </c>
    </row>
    <row r="11967" spans="1:7" x14ac:dyDescent="0.25">
      <c r="A11967" t="s">
        <v>36861</v>
      </c>
      <c r="B11967" t="s">
        <v>37293</v>
      </c>
      <c r="C11967" t="s">
        <v>37294</v>
      </c>
      <c r="D11967" t="s">
        <v>37295</v>
      </c>
      <c r="E11967" t="s">
        <v>37296</v>
      </c>
      <c r="F11967" t="s">
        <v>37297</v>
      </c>
      <c r="G11967" s="2" t="str">
        <f>HYPERLINK("https://probpalata.gov.ru/files/ИП020600196600000.jpeg","Скачать индивидуальный QR-код магазина")</f>
        <v>Скачать индивидуальный QR-код магазина</v>
      </c>
    </row>
    <row r="11968" spans="1:7" x14ac:dyDescent="0.25">
      <c r="A11968" t="s">
        <v>36861</v>
      </c>
      <c r="B11968" t="s">
        <v>37298</v>
      </c>
      <c r="C11968" t="s">
        <v>37299</v>
      </c>
      <c r="D11968" t="s">
        <v>37300</v>
      </c>
      <c r="E11968" t="s">
        <v>37301</v>
      </c>
      <c r="F11968" t="s">
        <v>37302</v>
      </c>
      <c r="G11968" s="2" t="str">
        <f>HYPERLINK("https://probpalata.gov.ru/files/ИП020603493600000.jpeg","Скачать индивидуальный QR-код магазина")</f>
        <v>Скачать индивидуальный QR-код магазина</v>
      </c>
    </row>
    <row r="11969" spans="1:7" x14ac:dyDescent="0.25">
      <c r="A11969" t="s">
        <v>36861</v>
      </c>
      <c r="B11969" t="s">
        <v>37303</v>
      </c>
      <c r="C11969" t="s">
        <v>37304</v>
      </c>
      <c r="D11969" t="s">
        <v>37305</v>
      </c>
      <c r="E11969" t="s">
        <v>37306</v>
      </c>
      <c r="F11969" t="s">
        <v>37307</v>
      </c>
      <c r="G11969" s="2" t="str">
        <f>HYPERLINK("https://probpalata.gov.ru/files/ИП020603220400000.jpeg","Скачать индивидуальный QR-код магазина")</f>
        <v>Скачать индивидуальный QR-код магазина</v>
      </c>
    </row>
    <row r="11970" spans="1:7" x14ac:dyDescent="0.25">
      <c r="A11970" t="s">
        <v>36861</v>
      </c>
      <c r="B11970" t="s">
        <v>37308</v>
      </c>
      <c r="C11970" t="s">
        <v>11731</v>
      </c>
      <c r="D11970" t="s">
        <v>37309</v>
      </c>
      <c r="E11970" t="s">
        <v>37310</v>
      </c>
      <c r="F11970" t="s">
        <v>37311</v>
      </c>
      <c r="G11970" s="2" t="str">
        <f>HYPERLINK("https://probpalata.gov.ru/files/ЮЛ020604125000000.jpeg","Скачать индивидуальный QR-код магазина")</f>
        <v>Скачать индивидуальный QR-код магазина</v>
      </c>
    </row>
    <row r="11971" spans="1:7" x14ac:dyDescent="0.25">
      <c r="A11971" t="s">
        <v>36861</v>
      </c>
      <c r="B11971" t="s">
        <v>37312</v>
      </c>
      <c r="C11971" t="s">
        <v>37313</v>
      </c>
      <c r="D11971" t="s">
        <v>37314</v>
      </c>
      <c r="E11971" t="s">
        <v>37315</v>
      </c>
      <c r="F11971" t="s">
        <v>37316</v>
      </c>
      <c r="G11971" s="2" t="str">
        <f>HYPERLINK("https://probpalata.gov.ru/files/ИП020600091800001.jpeg","Скачать индивидуальный QR-код магазина")</f>
        <v>Скачать индивидуальный QR-код магазина</v>
      </c>
    </row>
    <row r="11972" spans="1:7" x14ac:dyDescent="0.25">
      <c r="A11972" t="s">
        <v>36861</v>
      </c>
      <c r="B11972" t="s">
        <v>37317</v>
      </c>
      <c r="C11972" t="s">
        <v>37313</v>
      </c>
      <c r="D11972" t="s">
        <v>37314</v>
      </c>
      <c r="E11972" t="s">
        <v>37315</v>
      </c>
      <c r="F11972" t="s">
        <v>37318</v>
      </c>
      <c r="G11972" s="2" t="str">
        <f>HYPERLINK("https://probpalata.gov.ru/files/ИП020600091800002.jpeg","Скачать индивидуальный QR-код магазина")</f>
        <v>Скачать индивидуальный QR-код магазина</v>
      </c>
    </row>
    <row r="11973" spans="1:7" x14ac:dyDescent="0.25">
      <c r="A11973" t="s">
        <v>36861</v>
      </c>
      <c r="B11973" t="s">
        <v>37319</v>
      </c>
      <c r="C11973" t="s">
        <v>37313</v>
      </c>
      <c r="D11973" t="s">
        <v>37314</v>
      </c>
      <c r="E11973" t="s">
        <v>37315</v>
      </c>
      <c r="F11973" t="s">
        <v>37320</v>
      </c>
      <c r="G11973" s="2" t="str">
        <f>HYPERLINK("https://probpalata.gov.ru/files/ИП020600091800003.jpeg","Скачать индивидуальный QR-код магазина")</f>
        <v>Скачать индивидуальный QR-код магазина</v>
      </c>
    </row>
    <row r="11974" spans="1:7" x14ac:dyDescent="0.25">
      <c r="A11974" t="s">
        <v>36861</v>
      </c>
      <c r="B11974" t="s">
        <v>37321</v>
      </c>
      <c r="C11974" t="s">
        <v>37313</v>
      </c>
      <c r="D11974" t="s">
        <v>37314</v>
      </c>
      <c r="E11974" t="s">
        <v>37315</v>
      </c>
      <c r="F11974" t="s">
        <v>37322</v>
      </c>
      <c r="G11974" s="2" t="str">
        <f>HYPERLINK("https://probpalata.gov.ru/files/ИП020600091800004.jpeg","Скачать индивидуальный QR-код магазина")</f>
        <v>Скачать индивидуальный QR-код магазина</v>
      </c>
    </row>
    <row r="11975" spans="1:7" x14ac:dyDescent="0.25">
      <c r="A11975" t="s">
        <v>36861</v>
      </c>
      <c r="B11975" t="s">
        <v>37323</v>
      </c>
      <c r="C11975" t="s">
        <v>37313</v>
      </c>
      <c r="D11975" t="s">
        <v>37314</v>
      </c>
      <c r="E11975" t="s">
        <v>37315</v>
      </c>
      <c r="F11975" t="s">
        <v>37324</v>
      </c>
      <c r="G11975" s="2" t="str">
        <f>HYPERLINK("https://probpalata.gov.ru/files/ИП020600091800005.jpeg","Скачать индивидуальный QR-код магазина")</f>
        <v>Скачать индивидуальный QR-код магазина</v>
      </c>
    </row>
    <row r="11976" spans="1:7" x14ac:dyDescent="0.25">
      <c r="A11976" t="s">
        <v>36861</v>
      </c>
      <c r="B11976" t="s">
        <v>37325</v>
      </c>
      <c r="C11976" t="s">
        <v>37326</v>
      </c>
      <c r="D11976" t="s">
        <v>37327</v>
      </c>
      <c r="E11976" t="s">
        <v>37328</v>
      </c>
      <c r="F11976" t="s">
        <v>37329</v>
      </c>
      <c r="G11976" s="2" t="str">
        <f>HYPERLINK("https://probpalata.gov.ru/files/ИП020601856200000.jpeg","Скачать индивидуальный QR-код магазина")</f>
        <v>Скачать индивидуальный QR-код магазина</v>
      </c>
    </row>
    <row r="11977" spans="1:7" x14ac:dyDescent="0.25">
      <c r="A11977" t="s">
        <v>36861</v>
      </c>
      <c r="B11977" t="s">
        <v>37330</v>
      </c>
      <c r="C11977" t="s">
        <v>37331</v>
      </c>
      <c r="D11977" t="s">
        <v>37332</v>
      </c>
      <c r="E11977" t="s">
        <v>37333</v>
      </c>
      <c r="F11977" t="s">
        <v>37334</v>
      </c>
      <c r="G11977" s="2" t="str">
        <f>HYPERLINK("https://probpalata.gov.ru/files/ИП020600688900000.jpeg","Скачать индивидуальный QR-код магазина")</f>
        <v>Скачать индивидуальный QR-код магазина</v>
      </c>
    </row>
    <row r="11978" spans="1:7" x14ac:dyDescent="0.25">
      <c r="A11978" t="s">
        <v>36861</v>
      </c>
      <c r="B11978" t="s">
        <v>37335</v>
      </c>
      <c r="C11978" t="s">
        <v>37331</v>
      </c>
      <c r="D11978" t="s">
        <v>37332</v>
      </c>
      <c r="E11978" t="s">
        <v>37333</v>
      </c>
      <c r="F11978" t="s">
        <v>37336</v>
      </c>
      <c r="G11978" s="2" t="str">
        <f>HYPERLINK("https://probpalata.gov.ru/files/ИП020600688900001.jpeg","Скачать индивидуальный QR-код магазина")</f>
        <v>Скачать индивидуальный QR-код магазина</v>
      </c>
    </row>
    <row r="11979" spans="1:7" x14ac:dyDescent="0.25">
      <c r="A11979" t="s">
        <v>36861</v>
      </c>
      <c r="B11979" t="s">
        <v>37337</v>
      </c>
      <c r="C11979" t="s">
        <v>37331</v>
      </c>
      <c r="D11979" t="s">
        <v>37332</v>
      </c>
      <c r="E11979" t="s">
        <v>37333</v>
      </c>
      <c r="F11979" t="s">
        <v>37338</v>
      </c>
      <c r="G11979" s="2" t="str">
        <f>HYPERLINK("https://probpalata.gov.ru/files/ИП020600688900002.jpeg","Скачать индивидуальный QR-код магазина")</f>
        <v>Скачать индивидуальный QR-код магазина</v>
      </c>
    </row>
    <row r="11980" spans="1:7" x14ac:dyDescent="0.25">
      <c r="A11980" t="s">
        <v>36861</v>
      </c>
      <c r="B11980" t="s">
        <v>37339</v>
      </c>
      <c r="C11980" t="s">
        <v>37340</v>
      </c>
      <c r="D11980" t="s">
        <v>37341</v>
      </c>
      <c r="E11980" t="s">
        <v>37342</v>
      </c>
      <c r="F11980" t="s">
        <v>37343</v>
      </c>
      <c r="G11980" s="2" t="str">
        <f>HYPERLINK("https://probpalata.gov.ru/files/ИП020600112400000.jpeg","Скачать индивидуальный QR-код магазина")</f>
        <v>Скачать индивидуальный QR-код магазина</v>
      </c>
    </row>
    <row r="11981" spans="1:7" x14ac:dyDescent="0.25">
      <c r="A11981" t="s">
        <v>36861</v>
      </c>
      <c r="B11981" t="s">
        <v>37344</v>
      </c>
      <c r="C11981" t="s">
        <v>37345</v>
      </c>
      <c r="D11981" t="s">
        <v>37346</v>
      </c>
      <c r="E11981" t="s">
        <v>37347</v>
      </c>
      <c r="F11981" t="s">
        <v>37348</v>
      </c>
      <c r="G11981" s="2" t="str">
        <f>HYPERLINK("https://probpalata.gov.ru/files/ЮЛ020600251700000.jpeg","Скачать индивидуальный QR-код магазина")</f>
        <v>Скачать индивидуальный QR-код магазина</v>
      </c>
    </row>
    <row r="11982" spans="1:7" x14ac:dyDescent="0.25">
      <c r="A11982" t="s">
        <v>36861</v>
      </c>
      <c r="B11982" t="s">
        <v>37349</v>
      </c>
      <c r="C11982" t="s">
        <v>37350</v>
      </c>
      <c r="D11982" t="s">
        <v>37351</v>
      </c>
      <c r="E11982" t="s">
        <v>37352</v>
      </c>
      <c r="F11982" t="s">
        <v>37353</v>
      </c>
      <c r="G11982" s="2" t="str">
        <f>HYPERLINK("https://probpalata.gov.ru/files/ИП020600432300000.jpeg","Скачать индивидуальный QR-код магазина")</f>
        <v>Скачать индивидуальный QR-код магазина</v>
      </c>
    </row>
    <row r="11983" spans="1:7" x14ac:dyDescent="0.25">
      <c r="A11983" t="s">
        <v>36861</v>
      </c>
      <c r="B11983" t="s">
        <v>37354</v>
      </c>
      <c r="C11983" t="s">
        <v>37355</v>
      </c>
      <c r="D11983" t="s">
        <v>37356</v>
      </c>
      <c r="E11983" t="s">
        <v>37357</v>
      </c>
      <c r="F11983" t="s">
        <v>37358</v>
      </c>
      <c r="G11983" s="2" t="str">
        <f>HYPERLINK("https://probpalata.gov.ru/files/ИП020600141100000.jpeg","Скачать индивидуальный QR-код магазина")</f>
        <v>Скачать индивидуальный QR-код магазина</v>
      </c>
    </row>
    <row r="11984" spans="1:7" x14ac:dyDescent="0.25">
      <c r="A11984" t="s">
        <v>36861</v>
      </c>
      <c r="B11984" t="s">
        <v>37359</v>
      </c>
      <c r="C11984" t="s">
        <v>37355</v>
      </c>
      <c r="D11984" t="s">
        <v>37356</v>
      </c>
      <c r="E11984" t="s">
        <v>37357</v>
      </c>
      <c r="F11984" t="s">
        <v>37360</v>
      </c>
      <c r="G11984" s="2" t="str">
        <f>HYPERLINK("https://probpalata.gov.ru/files/ИП020600141100001.jpeg","Скачать индивидуальный QR-код магазина")</f>
        <v>Скачать индивидуальный QR-код магазина</v>
      </c>
    </row>
    <row r="11985" spans="1:7" x14ac:dyDescent="0.25">
      <c r="A11985" t="s">
        <v>36861</v>
      </c>
      <c r="B11985" t="s">
        <v>37361</v>
      </c>
      <c r="C11985" t="s">
        <v>37355</v>
      </c>
      <c r="D11985" t="s">
        <v>37356</v>
      </c>
      <c r="E11985" t="s">
        <v>37357</v>
      </c>
      <c r="F11985" t="s">
        <v>37362</v>
      </c>
      <c r="G11985" s="2" t="str">
        <f>HYPERLINK("https://probpalata.gov.ru/files/ИП020600141100003.jpeg","Скачать индивидуальный QR-код магазина")</f>
        <v>Скачать индивидуальный QR-код магазина</v>
      </c>
    </row>
    <row r="11986" spans="1:7" x14ac:dyDescent="0.25">
      <c r="A11986" t="s">
        <v>36861</v>
      </c>
      <c r="B11986" t="s">
        <v>37363</v>
      </c>
      <c r="C11986" t="s">
        <v>37355</v>
      </c>
      <c r="D11986" t="s">
        <v>37356</v>
      </c>
      <c r="E11986" t="s">
        <v>37357</v>
      </c>
      <c r="F11986" t="s">
        <v>37364</v>
      </c>
      <c r="G11986" s="2" t="str">
        <f>HYPERLINK("https://probpalata.gov.ru/files/ИП020600141100005.jpeg","Скачать индивидуальный QR-код магазина")</f>
        <v>Скачать индивидуальный QR-код магазина</v>
      </c>
    </row>
    <row r="11987" spans="1:7" x14ac:dyDescent="0.25">
      <c r="A11987" t="s">
        <v>36861</v>
      </c>
      <c r="B11987" t="s">
        <v>37365</v>
      </c>
      <c r="C11987" t="s">
        <v>37355</v>
      </c>
      <c r="D11987" t="s">
        <v>37356</v>
      </c>
      <c r="E11987" t="s">
        <v>37357</v>
      </c>
      <c r="F11987" t="s">
        <v>37366</v>
      </c>
      <c r="G11987" s="2" t="str">
        <f>HYPERLINK("https://probpalata.gov.ru/files/ИП020600141100006.jpeg","Скачать индивидуальный QR-код магазина")</f>
        <v>Скачать индивидуальный QR-код магазина</v>
      </c>
    </row>
    <row r="11988" spans="1:7" x14ac:dyDescent="0.25">
      <c r="A11988" t="s">
        <v>36861</v>
      </c>
      <c r="B11988" t="s">
        <v>37367</v>
      </c>
      <c r="C11988" t="s">
        <v>37355</v>
      </c>
      <c r="D11988" t="s">
        <v>37356</v>
      </c>
      <c r="E11988" t="s">
        <v>37357</v>
      </c>
      <c r="F11988" t="s">
        <v>37368</v>
      </c>
      <c r="G11988" s="2" t="str">
        <f>HYPERLINK("https://probpalata.gov.ru/files/ИП020600141100009.jpeg","Скачать индивидуальный QR-код магазина")</f>
        <v>Скачать индивидуальный QR-код магазина</v>
      </c>
    </row>
    <row r="11989" spans="1:7" x14ac:dyDescent="0.25">
      <c r="A11989" t="s">
        <v>36861</v>
      </c>
      <c r="B11989" t="s">
        <v>37369</v>
      </c>
      <c r="C11989" t="s">
        <v>37370</v>
      </c>
      <c r="D11989" t="s">
        <v>37371</v>
      </c>
      <c r="E11989" t="s">
        <v>37372</v>
      </c>
      <c r="F11989" t="s">
        <v>37373</v>
      </c>
      <c r="G11989" s="2" t="str">
        <f>HYPERLINK("https://probpalata.gov.ru/files/ИП020603837900000.jpeg","Скачать индивидуальный QR-код магазина")</f>
        <v>Скачать индивидуальный QR-код магазина</v>
      </c>
    </row>
    <row r="11990" spans="1:7" x14ac:dyDescent="0.25">
      <c r="A11990" t="s">
        <v>36861</v>
      </c>
      <c r="B11990" t="s">
        <v>37374</v>
      </c>
      <c r="C11990" t="s">
        <v>37375</v>
      </c>
      <c r="D11990" t="s">
        <v>37376</v>
      </c>
      <c r="E11990" t="s">
        <v>37377</v>
      </c>
      <c r="F11990" t="s">
        <v>37378</v>
      </c>
      <c r="G11990" s="2" t="str">
        <f>HYPERLINK("https://probpalata.gov.ru/files/ИП020600172700000.jpeg","Скачать индивидуальный QR-код магазина")</f>
        <v>Скачать индивидуальный QR-код магазина</v>
      </c>
    </row>
    <row r="11991" spans="1:7" x14ac:dyDescent="0.25">
      <c r="A11991" t="s">
        <v>36861</v>
      </c>
      <c r="B11991" t="s">
        <v>37379</v>
      </c>
      <c r="C11991" t="s">
        <v>37375</v>
      </c>
      <c r="D11991" t="s">
        <v>37376</v>
      </c>
      <c r="E11991" t="s">
        <v>37377</v>
      </c>
      <c r="F11991" t="s">
        <v>37380</v>
      </c>
      <c r="G11991" s="2" t="str">
        <f>HYPERLINK("https://probpalata.gov.ru/files/ИП020600172700001.jpeg","Скачать индивидуальный QR-код магазина")</f>
        <v>Скачать индивидуальный QR-код магазина</v>
      </c>
    </row>
    <row r="11992" spans="1:7" x14ac:dyDescent="0.25">
      <c r="A11992" t="s">
        <v>36861</v>
      </c>
      <c r="B11992" t="s">
        <v>37381</v>
      </c>
      <c r="C11992" t="s">
        <v>37375</v>
      </c>
      <c r="D11992" t="s">
        <v>37376</v>
      </c>
      <c r="E11992" t="s">
        <v>37377</v>
      </c>
      <c r="F11992" t="s">
        <v>37382</v>
      </c>
      <c r="G11992" s="2" t="str">
        <f>HYPERLINK("https://probpalata.gov.ru/files/ИП020600172700002.jpeg","Скачать индивидуальный QR-код магазина")</f>
        <v>Скачать индивидуальный QR-код магазина</v>
      </c>
    </row>
    <row r="11993" spans="1:7" x14ac:dyDescent="0.25">
      <c r="A11993" t="s">
        <v>36861</v>
      </c>
      <c r="B11993" t="s">
        <v>37383</v>
      </c>
      <c r="C11993" t="s">
        <v>37375</v>
      </c>
      <c r="D11993" t="s">
        <v>37376</v>
      </c>
      <c r="E11993" t="s">
        <v>37377</v>
      </c>
      <c r="F11993" t="s">
        <v>37384</v>
      </c>
      <c r="G11993" s="2" t="str">
        <f>HYPERLINK("https://probpalata.gov.ru/files/ИП020600172700003.jpeg","Скачать индивидуальный QR-код магазина")</f>
        <v>Скачать индивидуальный QR-код магазина</v>
      </c>
    </row>
    <row r="11994" spans="1:7" x14ac:dyDescent="0.25">
      <c r="A11994" t="s">
        <v>36861</v>
      </c>
      <c r="B11994" t="s">
        <v>37385</v>
      </c>
      <c r="C11994" t="s">
        <v>37375</v>
      </c>
      <c r="D11994" t="s">
        <v>37376</v>
      </c>
      <c r="E11994" t="s">
        <v>37377</v>
      </c>
      <c r="F11994" t="s">
        <v>37386</v>
      </c>
      <c r="G11994" s="2" t="str">
        <f>HYPERLINK("https://probpalata.gov.ru/files/ИП020600172700004.jpeg","Скачать индивидуальный QR-код магазина")</f>
        <v>Скачать индивидуальный QR-код магазина</v>
      </c>
    </row>
    <row r="11995" spans="1:7" x14ac:dyDescent="0.25">
      <c r="A11995" t="s">
        <v>36861</v>
      </c>
      <c r="B11995" t="s">
        <v>37387</v>
      </c>
      <c r="C11995" t="s">
        <v>37375</v>
      </c>
      <c r="D11995" t="s">
        <v>37376</v>
      </c>
      <c r="E11995" t="s">
        <v>37377</v>
      </c>
      <c r="F11995" t="s">
        <v>37388</v>
      </c>
      <c r="G11995" s="2" t="str">
        <f>HYPERLINK("https://probpalata.gov.ru/files/ИП020600172700007.jpeg","Скачать индивидуальный QR-код магазина")</f>
        <v>Скачать индивидуальный QR-код магазина</v>
      </c>
    </row>
    <row r="11996" spans="1:7" x14ac:dyDescent="0.25">
      <c r="A11996" t="s">
        <v>36861</v>
      </c>
      <c r="B11996" t="s">
        <v>37389</v>
      </c>
      <c r="C11996" t="s">
        <v>37390</v>
      </c>
      <c r="D11996" t="s">
        <v>37391</v>
      </c>
      <c r="E11996" t="s">
        <v>37392</v>
      </c>
      <c r="F11996" t="s">
        <v>37393</v>
      </c>
      <c r="G11996" s="2" t="str">
        <f>HYPERLINK("https://probpalata.gov.ru/files/ИП020600904900000.jpeg","Скачать индивидуальный QR-код магазина")</f>
        <v>Скачать индивидуальный QR-код магазина</v>
      </c>
    </row>
    <row r="11997" spans="1:7" x14ac:dyDescent="0.25">
      <c r="A11997" t="s">
        <v>36861</v>
      </c>
      <c r="B11997" t="s">
        <v>37394</v>
      </c>
      <c r="C11997" t="s">
        <v>37395</v>
      </c>
      <c r="D11997" t="s">
        <v>37396</v>
      </c>
      <c r="E11997" t="s">
        <v>37397</v>
      </c>
      <c r="F11997" t="s">
        <v>37398</v>
      </c>
      <c r="G11997" s="2" t="str">
        <f>HYPERLINK("https://probpalata.gov.ru/files/ИП020600186000000.jpeg","Скачать индивидуальный QR-код магазина")</f>
        <v>Скачать индивидуальный QR-код магазина</v>
      </c>
    </row>
    <row r="11998" spans="1:7" x14ac:dyDescent="0.25">
      <c r="A11998" t="s">
        <v>36861</v>
      </c>
      <c r="B11998" t="s">
        <v>37399</v>
      </c>
      <c r="C11998" t="s">
        <v>9495</v>
      </c>
      <c r="D11998" t="s">
        <v>9496</v>
      </c>
      <c r="E11998" t="s">
        <v>9497</v>
      </c>
      <c r="F11998" t="s">
        <v>37400</v>
      </c>
      <c r="G11998" s="2" t="str">
        <f>HYPERLINK("https://probpalata.gov.ru/files/ЮЛ020603117700000.jpeg","Скачать индивидуальный QR-код магазина")</f>
        <v>Скачать индивидуальный QR-код магазина</v>
      </c>
    </row>
    <row r="11999" spans="1:7" x14ac:dyDescent="0.25">
      <c r="A11999" t="s">
        <v>36861</v>
      </c>
      <c r="B11999" t="s">
        <v>37401</v>
      </c>
      <c r="C11999" t="s">
        <v>9495</v>
      </c>
      <c r="D11999" t="s">
        <v>9496</v>
      </c>
      <c r="E11999" t="s">
        <v>9497</v>
      </c>
      <c r="F11999" t="s">
        <v>37402</v>
      </c>
      <c r="G11999" s="2" t="str">
        <f>HYPERLINK("https://probpalata.gov.ru/files/ЮЛ020603117700002.jpeg","Скачать индивидуальный QR-код магазина")</f>
        <v>Скачать индивидуальный QR-код магазина</v>
      </c>
    </row>
    <row r="12000" spans="1:7" x14ac:dyDescent="0.25">
      <c r="A12000" t="s">
        <v>36861</v>
      </c>
      <c r="B12000" t="s">
        <v>37403</v>
      </c>
      <c r="C12000" t="s">
        <v>9495</v>
      </c>
      <c r="D12000" t="s">
        <v>9496</v>
      </c>
      <c r="E12000" t="s">
        <v>9497</v>
      </c>
      <c r="F12000" t="s">
        <v>37404</v>
      </c>
      <c r="G12000" s="2" t="str">
        <f>HYPERLINK("https://probpalata.gov.ru/files/ЮЛ020603117700004.jpeg","Скачать индивидуальный QR-код магазина")</f>
        <v>Скачать индивидуальный QR-код магазина</v>
      </c>
    </row>
    <row r="12001" spans="1:7" x14ac:dyDescent="0.25">
      <c r="A12001" t="s">
        <v>36861</v>
      </c>
      <c r="B12001" t="s">
        <v>37405</v>
      </c>
      <c r="C12001" t="s">
        <v>9495</v>
      </c>
      <c r="D12001" t="s">
        <v>9496</v>
      </c>
      <c r="E12001" t="s">
        <v>9497</v>
      </c>
      <c r="F12001" t="s">
        <v>37406</v>
      </c>
      <c r="G12001" s="2" t="str">
        <f>HYPERLINK("https://probpalata.gov.ru/files/ЮЛ020603117700005.jpeg","Скачать индивидуальный QR-код магазина")</f>
        <v>Скачать индивидуальный QR-код магазина</v>
      </c>
    </row>
    <row r="12002" spans="1:7" x14ac:dyDescent="0.25">
      <c r="A12002" t="s">
        <v>36861</v>
      </c>
      <c r="B12002" t="s">
        <v>37407</v>
      </c>
      <c r="C12002" t="s">
        <v>9495</v>
      </c>
      <c r="D12002" t="s">
        <v>9496</v>
      </c>
      <c r="E12002" t="s">
        <v>9497</v>
      </c>
      <c r="F12002" t="s">
        <v>37408</v>
      </c>
      <c r="G12002" s="2" t="str">
        <f>HYPERLINK("https://probpalata.gov.ru/files/ЮЛ020603117700006.jpeg","Скачать индивидуальный QR-код магазина")</f>
        <v>Скачать индивидуальный QR-код магазина</v>
      </c>
    </row>
    <row r="12003" spans="1:7" x14ac:dyDescent="0.25">
      <c r="A12003" t="s">
        <v>36861</v>
      </c>
      <c r="B12003" t="s">
        <v>37409</v>
      </c>
      <c r="C12003" t="s">
        <v>9495</v>
      </c>
      <c r="D12003" t="s">
        <v>9496</v>
      </c>
      <c r="E12003" t="s">
        <v>9497</v>
      </c>
      <c r="F12003" t="s">
        <v>37410</v>
      </c>
      <c r="G12003" s="2" t="str">
        <f>HYPERLINK("https://probpalata.gov.ru/files/ЮЛ020603117700007.jpeg","Скачать индивидуальный QR-код магазина")</f>
        <v>Скачать индивидуальный QR-код магазина</v>
      </c>
    </row>
    <row r="12004" spans="1:7" x14ac:dyDescent="0.25">
      <c r="A12004" t="s">
        <v>36861</v>
      </c>
      <c r="B12004" t="s">
        <v>37411</v>
      </c>
      <c r="C12004" t="s">
        <v>9495</v>
      </c>
      <c r="D12004" t="s">
        <v>9496</v>
      </c>
      <c r="E12004" t="s">
        <v>9497</v>
      </c>
      <c r="F12004" t="s">
        <v>37412</v>
      </c>
      <c r="G12004" s="2" t="str">
        <f>HYPERLINK("https://probpalata.gov.ru/files/ЮЛ020603117700008.jpeg","Скачать индивидуальный QR-код магазина")</f>
        <v>Скачать индивидуальный QR-код магазина</v>
      </c>
    </row>
    <row r="12005" spans="1:7" x14ac:dyDescent="0.25">
      <c r="A12005" t="s">
        <v>36861</v>
      </c>
      <c r="B12005" t="s">
        <v>37413</v>
      </c>
      <c r="C12005" t="s">
        <v>9495</v>
      </c>
      <c r="D12005" t="s">
        <v>9496</v>
      </c>
      <c r="E12005" t="s">
        <v>9497</v>
      </c>
      <c r="F12005" t="s">
        <v>37414</v>
      </c>
      <c r="G12005" s="2" t="str">
        <f>HYPERLINK("https://probpalata.gov.ru/files/ЮЛ020603117700009.jpeg","Скачать индивидуальный QR-код магазина")</f>
        <v>Скачать индивидуальный QR-код магазина</v>
      </c>
    </row>
    <row r="12006" spans="1:7" x14ac:dyDescent="0.25">
      <c r="A12006" t="s">
        <v>36861</v>
      </c>
      <c r="B12006" t="s">
        <v>37415</v>
      </c>
      <c r="C12006" t="s">
        <v>9495</v>
      </c>
      <c r="D12006" t="s">
        <v>9496</v>
      </c>
      <c r="E12006" t="s">
        <v>9497</v>
      </c>
      <c r="F12006" t="s">
        <v>37416</v>
      </c>
      <c r="G12006" s="2" t="str">
        <f>HYPERLINK("https://probpalata.gov.ru/files/ЮЛ020603117700010.jpeg","Скачать индивидуальный QR-код магазина")</f>
        <v>Скачать индивидуальный QR-код магазина</v>
      </c>
    </row>
    <row r="12007" spans="1:7" x14ac:dyDescent="0.25">
      <c r="A12007" t="s">
        <v>36861</v>
      </c>
      <c r="B12007" t="s">
        <v>37417</v>
      </c>
      <c r="C12007" t="s">
        <v>9495</v>
      </c>
      <c r="D12007" t="s">
        <v>9496</v>
      </c>
      <c r="E12007" t="s">
        <v>9497</v>
      </c>
      <c r="F12007" t="s">
        <v>37418</v>
      </c>
      <c r="G12007" s="2" t="str">
        <f>HYPERLINK("https://probpalata.gov.ru/files/ЮЛ020603117700012.jpeg","Скачать индивидуальный QR-код магазина")</f>
        <v>Скачать индивидуальный QR-код магазина</v>
      </c>
    </row>
    <row r="12008" spans="1:7" x14ac:dyDescent="0.25">
      <c r="A12008" t="s">
        <v>36861</v>
      </c>
      <c r="B12008" t="s">
        <v>37419</v>
      </c>
      <c r="C12008" t="s">
        <v>9495</v>
      </c>
      <c r="D12008" t="s">
        <v>9496</v>
      </c>
      <c r="E12008" t="s">
        <v>9497</v>
      </c>
      <c r="F12008" t="s">
        <v>37420</v>
      </c>
      <c r="G12008" s="2" t="str">
        <f>HYPERLINK("https://probpalata.gov.ru/files/ЮЛ020603117700013.jpeg","Скачать индивидуальный QR-код магазина")</f>
        <v>Скачать индивидуальный QR-код магазина</v>
      </c>
    </row>
    <row r="12009" spans="1:7" x14ac:dyDescent="0.25">
      <c r="A12009" t="s">
        <v>36861</v>
      </c>
      <c r="B12009" t="s">
        <v>37421</v>
      </c>
      <c r="C12009" t="s">
        <v>9495</v>
      </c>
      <c r="D12009" t="s">
        <v>9496</v>
      </c>
      <c r="E12009" t="s">
        <v>9497</v>
      </c>
      <c r="F12009" t="s">
        <v>37422</v>
      </c>
      <c r="G12009" s="2" t="str">
        <f>HYPERLINK("https://probpalata.gov.ru/files/ЮЛ020603117700014.jpeg","Скачать индивидуальный QR-код магазина")</f>
        <v>Скачать индивидуальный QR-код магазина</v>
      </c>
    </row>
    <row r="12010" spans="1:7" x14ac:dyDescent="0.25">
      <c r="A12010" t="s">
        <v>36861</v>
      </c>
      <c r="B12010" t="s">
        <v>37423</v>
      </c>
      <c r="C12010" t="s">
        <v>9495</v>
      </c>
      <c r="D12010" t="s">
        <v>9496</v>
      </c>
      <c r="E12010" t="s">
        <v>9497</v>
      </c>
      <c r="F12010" t="s">
        <v>37424</v>
      </c>
      <c r="G12010" s="2" t="str">
        <f>HYPERLINK("https://probpalata.gov.ru/files/ЮЛ020603117700017.jpeg","Скачать индивидуальный QR-код магазина")</f>
        <v>Скачать индивидуальный QR-код магазина</v>
      </c>
    </row>
    <row r="12011" spans="1:7" x14ac:dyDescent="0.25">
      <c r="A12011" t="s">
        <v>36861</v>
      </c>
      <c r="B12011" t="s">
        <v>37425</v>
      </c>
      <c r="C12011" t="s">
        <v>9495</v>
      </c>
      <c r="D12011" t="s">
        <v>9496</v>
      </c>
      <c r="E12011" t="s">
        <v>9497</v>
      </c>
      <c r="F12011" t="s">
        <v>37426</v>
      </c>
      <c r="G12011" s="2" t="str">
        <f>HYPERLINK("https://probpalata.gov.ru/files/ЮЛ020603117700019.jpeg","Скачать индивидуальный QR-код магазина")</f>
        <v>Скачать индивидуальный QR-код магазина</v>
      </c>
    </row>
    <row r="12012" spans="1:7" x14ac:dyDescent="0.25">
      <c r="A12012" t="s">
        <v>36861</v>
      </c>
      <c r="B12012" t="s">
        <v>37427</v>
      </c>
      <c r="C12012" t="s">
        <v>9495</v>
      </c>
      <c r="D12012" t="s">
        <v>9496</v>
      </c>
      <c r="E12012" t="s">
        <v>9497</v>
      </c>
      <c r="F12012" t="s">
        <v>37428</v>
      </c>
      <c r="G12012" s="2" t="str">
        <f>HYPERLINK("https://probpalata.gov.ru/files/ЮЛ020603117700020.jpeg","Скачать индивидуальный QR-код магазина")</f>
        <v>Скачать индивидуальный QR-код магазина</v>
      </c>
    </row>
    <row r="12013" spans="1:7" x14ac:dyDescent="0.25">
      <c r="A12013" t="s">
        <v>36861</v>
      </c>
      <c r="B12013" t="s">
        <v>37429</v>
      </c>
      <c r="C12013" t="s">
        <v>9495</v>
      </c>
      <c r="D12013" t="s">
        <v>9496</v>
      </c>
      <c r="E12013" t="s">
        <v>9497</v>
      </c>
      <c r="F12013" t="s">
        <v>37430</v>
      </c>
      <c r="G12013" s="2" t="str">
        <f>HYPERLINK("https://probpalata.gov.ru/files/ЮЛ020603117700021.jpeg","Скачать индивидуальный QR-код магазина")</f>
        <v>Скачать индивидуальный QR-код магазина</v>
      </c>
    </row>
    <row r="12014" spans="1:7" x14ac:dyDescent="0.25">
      <c r="A12014" t="s">
        <v>36861</v>
      </c>
      <c r="B12014" t="s">
        <v>37431</v>
      </c>
      <c r="C12014" t="s">
        <v>9495</v>
      </c>
      <c r="D12014" t="s">
        <v>9496</v>
      </c>
      <c r="E12014" t="s">
        <v>9497</v>
      </c>
      <c r="F12014" t="s">
        <v>37432</v>
      </c>
      <c r="G12014" s="2" t="str">
        <f>HYPERLINK("https://probpalata.gov.ru/files/ЮЛ020603117700022.jpeg","Скачать индивидуальный QR-код магазина")</f>
        <v>Скачать индивидуальный QR-код магазина</v>
      </c>
    </row>
    <row r="12015" spans="1:7" x14ac:dyDescent="0.25">
      <c r="A12015" t="s">
        <v>36861</v>
      </c>
      <c r="B12015" t="s">
        <v>37433</v>
      </c>
      <c r="C12015" t="s">
        <v>9495</v>
      </c>
      <c r="D12015" t="s">
        <v>9496</v>
      </c>
      <c r="E12015" t="s">
        <v>9497</v>
      </c>
      <c r="F12015" t="s">
        <v>37434</v>
      </c>
      <c r="G12015" s="2" t="str">
        <f>HYPERLINK("https://probpalata.gov.ru/files/ЮЛ020603117700023.jpeg","Скачать индивидуальный QR-код магазина")</f>
        <v>Скачать индивидуальный QR-код магазина</v>
      </c>
    </row>
    <row r="12016" spans="1:7" x14ac:dyDescent="0.25">
      <c r="A12016" t="s">
        <v>36861</v>
      </c>
      <c r="B12016" t="s">
        <v>37435</v>
      </c>
      <c r="C12016" t="s">
        <v>9495</v>
      </c>
      <c r="D12016" t="s">
        <v>9496</v>
      </c>
      <c r="E12016" t="s">
        <v>9497</v>
      </c>
      <c r="F12016" t="s">
        <v>37436</v>
      </c>
      <c r="G12016" s="2" t="str">
        <f>HYPERLINK("https://probpalata.gov.ru/files/ЮЛ020603117700024.jpeg","Скачать индивидуальный QR-код магазина")</f>
        <v>Скачать индивидуальный QR-код магазина</v>
      </c>
    </row>
    <row r="12017" spans="1:7" x14ac:dyDescent="0.25">
      <c r="A12017" t="s">
        <v>36861</v>
      </c>
      <c r="B12017" t="s">
        <v>37437</v>
      </c>
      <c r="C12017" t="s">
        <v>9495</v>
      </c>
      <c r="D12017" t="s">
        <v>9496</v>
      </c>
      <c r="E12017" t="s">
        <v>9497</v>
      </c>
      <c r="F12017" t="s">
        <v>37438</v>
      </c>
      <c r="G12017" s="2" t="str">
        <f>HYPERLINK("https://probpalata.gov.ru/files/ЮЛ020603117700025.jpeg","Скачать индивидуальный QR-код магазина")</f>
        <v>Скачать индивидуальный QR-код магазина</v>
      </c>
    </row>
    <row r="12018" spans="1:7" x14ac:dyDescent="0.25">
      <c r="A12018" t="s">
        <v>36861</v>
      </c>
      <c r="B12018" t="s">
        <v>37439</v>
      </c>
      <c r="C12018" t="s">
        <v>9495</v>
      </c>
      <c r="D12018" t="s">
        <v>9496</v>
      </c>
      <c r="E12018" t="s">
        <v>9497</v>
      </c>
      <c r="F12018" t="s">
        <v>37440</v>
      </c>
      <c r="G12018" s="2" t="str">
        <f>HYPERLINK("https://probpalata.gov.ru/files/ЮЛ020603117700027.jpeg","Скачать индивидуальный QR-код магазина")</f>
        <v>Скачать индивидуальный QR-код магазина</v>
      </c>
    </row>
    <row r="12019" spans="1:7" x14ac:dyDescent="0.25">
      <c r="A12019" t="s">
        <v>36861</v>
      </c>
      <c r="B12019" t="s">
        <v>37441</v>
      </c>
      <c r="C12019" t="s">
        <v>9495</v>
      </c>
      <c r="D12019" t="s">
        <v>9496</v>
      </c>
      <c r="E12019" t="s">
        <v>9497</v>
      </c>
      <c r="F12019" t="s">
        <v>37442</v>
      </c>
      <c r="G12019" s="2" t="str">
        <f>HYPERLINK("https://probpalata.gov.ru/files/ЮЛ020603117700028.jpeg","Скачать индивидуальный QR-код магазина")</f>
        <v>Скачать индивидуальный QR-код магазина</v>
      </c>
    </row>
    <row r="12020" spans="1:7" x14ac:dyDescent="0.25">
      <c r="A12020" t="s">
        <v>36861</v>
      </c>
      <c r="B12020" t="s">
        <v>37443</v>
      </c>
      <c r="C12020" t="s">
        <v>9495</v>
      </c>
      <c r="D12020" t="s">
        <v>9496</v>
      </c>
      <c r="E12020" t="s">
        <v>9497</v>
      </c>
      <c r="F12020" t="s">
        <v>37444</v>
      </c>
      <c r="G12020" s="2" t="str">
        <f>HYPERLINK("https://probpalata.gov.ru/files/ЮЛ020603117700031.jpeg","Скачать индивидуальный QR-код магазина")</f>
        <v>Скачать индивидуальный QR-код магазина</v>
      </c>
    </row>
    <row r="12021" spans="1:7" x14ac:dyDescent="0.25">
      <c r="A12021" t="s">
        <v>36861</v>
      </c>
      <c r="B12021" t="s">
        <v>37445</v>
      </c>
      <c r="C12021" t="s">
        <v>9495</v>
      </c>
      <c r="D12021" t="s">
        <v>9496</v>
      </c>
      <c r="E12021" t="s">
        <v>9497</v>
      </c>
      <c r="F12021" t="s">
        <v>37446</v>
      </c>
      <c r="G12021" s="2" t="str">
        <f>HYPERLINK("https://probpalata.gov.ru/files/ЮЛ020603117700032.jpeg","Скачать индивидуальный QR-код магазина")</f>
        <v>Скачать индивидуальный QR-код магазина</v>
      </c>
    </row>
    <row r="12022" spans="1:7" x14ac:dyDescent="0.25">
      <c r="A12022" t="s">
        <v>36861</v>
      </c>
      <c r="B12022" t="s">
        <v>37447</v>
      </c>
      <c r="C12022" t="s">
        <v>9495</v>
      </c>
      <c r="D12022" t="s">
        <v>9496</v>
      </c>
      <c r="E12022" t="s">
        <v>9497</v>
      </c>
      <c r="F12022" t="s">
        <v>37448</v>
      </c>
      <c r="G12022" s="2" t="str">
        <f>HYPERLINK("https://probpalata.gov.ru/files/ЮЛ020603117700033.jpeg","Скачать индивидуальный QR-код магазина")</f>
        <v>Скачать индивидуальный QR-код магазина</v>
      </c>
    </row>
    <row r="12023" spans="1:7" x14ac:dyDescent="0.25">
      <c r="A12023" t="s">
        <v>36861</v>
      </c>
      <c r="B12023" t="s">
        <v>37449</v>
      </c>
      <c r="C12023" t="s">
        <v>9495</v>
      </c>
      <c r="D12023" t="s">
        <v>9496</v>
      </c>
      <c r="E12023" t="s">
        <v>9497</v>
      </c>
      <c r="F12023" t="s">
        <v>37450</v>
      </c>
      <c r="G12023" s="2" t="str">
        <f>HYPERLINK("https://probpalata.gov.ru/files/ЮЛ020603117700035.jpeg","Скачать индивидуальный QR-код магазина")</f>
        <v>Скачать индивидуальный QR-код магазина</v>
      </c>
    </row>
    <row r="12024" spans="1:7" x14ac:dyDescent="0.25">
      <c r="A12024" t="s">
        <v>36861</v>
      </c>
      <c r="B12024" t="s">
        <v>37451</v>
      </c>
      <c r="C12024" t="s">
        <v>9495</v>
      </c>
      <c r="D12024" t="s">
        <v>9496</v>
      </c>
      <c r="E12024" t="s">
        <v>9497</v>
      </c>
      <c r="F12024" t="s">
        <v>37452</v>
      </c>
      <c r="G12024" s="2" t="str">
        <f>HYPERLINK("https://probpalata.gov.ru/files/ЮЛ020603117700036.jpeg","Скачать индивидуальный QR-код магазина")</f>
        <v>Скачать индивидуальный QR-код магазина</v>
      </c>
    </row>
    <row r="12025" spans="1:7" x14ac:dyDescent="0.25">
      <c r="A12025" t="s">
        <v>36861</v>
      </c>
      <c r="B12025" t="s">
        <v>37453</v>
      </c>
      <c r="C12025" t="s">
        <v>9495</v>
      </c>
      <c r="D12025" t="s">
        <v>9496</v>
      </c>
      <c r="E12025" t="s">
        <v>9497</v>
      </c>
      <c r="F12025" t="s">
        <v>37454</v>
      </c>
      <c r="G12025" s="2" t="str">
        <f>HYPERLINK("https://probpalata.gov.ru/files/ЮЛ020603117700037.jpeg","Скачать индивидуальный QR-код магазина")</f>
        <v>Скачать индивидуальный QR-код магазина</v>
      </c>
    </row>
    <row r="12026" spans="1:7" x14ac:dyDescent="0.25">
      <c r="A12026" t="s">
        <v>36861</v>
      </c>
      <c r="B12026" t="s">
        <v>37455</v>
      </c>
      <c r="C12026" t="s">
        <v>9495</v>
      </c>
      <c r="D12026" t="s">
        <v>9496</v>
      </c>
      <c r="E12026" t="s">
        <v>9497</v>
      </c>
      <c r="F12026" t="s">
        <v>37456</v>
      </c>
      <c r="G12026" s="2" t="str">
        <f>HYPERLINK("https://probpalata.gov.ru/files/ЮЛ020603117700038.jpeg","Скачать индивидуальный QR-код магазина")</f>
        <v>Скачать индивидуальный QR-код магазина</v>
      </c>
    </row>
    <row r="12027" spans="1:7" x14ac:dyDescent="0.25">
      <c r="A12027" t="s">
        <v>36861</v>
      </c>
      <c r="B12027" t="s">
        <v>37457</v>
      </c>
      <c r="C12027" t="s">
        <v>9495</v>
      </c>
      <c r="D12027" t="s">
        <v>9496</v>
      </c>
      <c r="E12027" t="s">
        <v>9497</v>
      </c>
      <c r="F12027" t="s">
        <v>37458</v>
      </c>
      <c r="G12027" s="2" t="str">
        <f>HYPERLINK("https://probpalata.gov.ru/files/ЮЛ020603117700039.jpeg","Скачать индивидуальный QR-код магазина")</f>
        <v>Скачать индивидуальный QR-код магазина</v>
      </c>
    </row>
    <row r="12028" spans="1:7" x14ac:dyDescent="0.25">
      <c r="A12028" t="s">
        <v>36861</v>
      </c>
      <c r="B12028" t="s">
        <v>37459</v>
      </c>
      <c r="C12028" t="s">
        <v>9495</v>
      </c>
      <c r="D12028" t="s">
        <v>9496</v>
      </c>
      <c r="E12028" t="s">
        <v>9497</v>
      </c>
      <c r="F12028" t="s">
        <v>37460</v>
      </c>
      <c r="G12028" s="2" t="str">
        <f>HYPERLINK("https://probpalata.gov.ru/files/ЮЛ020603117700041.jpeg","Скачать индивидуальный QR-код магазина")</f>
        <v>Скачать индивидуальный QR-код магазина</v>
      </c>
    </row>
    <row r="12029" spans="1:7" x14ac:dyDescent="0.25">
      <c r="A12029" t="s">
        <v>36861</v>
      </c>
      <c r="B12029" t="s">
        <v>37461</v>
      </c>
      <c r="C12029" t="s">
        <v>9495</v>
      </c>
      <c r="D12029" t="s">
        <v>9496</v>
      </c>
      <c r="E12029" t="s">
        <v>9497</v>
      </c>
      <c r="F12029" t="s">
        <v>37462</v>
      </c>
      <c r="G12029" s="2" t="str">
        <f>HYPERLINK("https://probpalata.gov.ru/files/ЮЛ020603117700042.jpeg","Скачать индивидуальный QR-код магазина")</f>
        <v>Скачать индивидуальный QR-код магазина</v>
      </c>
    </row>
    <row r="12030" spans="1:7" x14ac:dyDescent="0.25">
      <c r="A12030" t="s">
        <v>36861</v>
      </c>
      <c r="B12030" t="s">
        <v>37463</v>
      </c>
      <c r="C12030" t="s">
        <v>9495</v>
      </c>
      <c r="D12030" t="s">
        <v>9496</v>
      </c>
      <c r="E12030" t="s">
        <v>9497</v>
      </c>
      <c r="F12030" t="s">
        <v>37464</v>
      </c>
      <c r="G12030" s="2" t="str">
        <f>HYPERLINK("https://probpalata.gov.ru/files/ЮЛ020603117700045.jpeg","Скачать индивидуальный QR-код магазина")</f>
        <v>Скачать индивидуальный QR-код магазина</v>
      </c>
    </row>
    <row r="12031" spans="1:7" x14ac:dyDescent="0.25">
      <c r="A12031" t="s">
        <v>36861</v>
      </c>
      <c r="B12031" t="s">
        <v>37465</v>
      </c>
      <c r="C12031" t="s">
        <v>9495</v>
      </c>
      <c r="D12031" t="s">
        <v>9496</v>
      </c>
      <c r="E12031" t="s">
        <v>9497</v>
      </c>
      <c r="F12031" t="s">
        <v>37466</v>
      </c>
      <c r="G12031" s="2" t="str">
        <f>HYPERLINK("https://probpalata.gov.ru/files/ЮЛ020603117700046.jpeg","Скачать индивидуальный QR-код магазина")</f>
        <v>Скачать индивидуальный QR-код магазина</v>
      </c>
    </row>
    <row r="12032" spans="1:7" x14ac:dyDescent="0.25">
      <c r="A12032" t="s">
        <v>36861</v>
      </c>
      <c r="B12032" t="s">
        <v>37467</v>
      </c>
      <c r="C12032" t="s">
        <v>9495</v>
      </c>
      <c r="D12032" t="s">
        <v>9496</v>
      </c>
      <c r="E12032" t="s">
        <v>9497</v>
      </c>
      <c r="F12032" t="s">
        <v>37468</v>
      </c>
      <c r="G12032" s="2" t="str">
        <f>HYPERLINK("https://probpalata.gov.ru/files/ЮЛ020603117700048.jpeg","Скачать индивидуальный QR-код магазина")</f>
        <v>Скачать индивидуальный QR-код магазина</v>
      </c>
    </row>
    <row r="12033" spans="1:7" x14ac:dyDescent="0.25">
      <c r="A12033" t="s">
        <v>36861</v>
      </c>
      <c r="B12033" t="s">
        <v>37469</v>
      </c>
      <c r="C12033" t="s">
        <v>9495</v>
      </c>
      <c r="D12033" t="s">
        <v>9496</v>
      </c>
      <c r="E12033" t="s">
        <v>9497</v>
      </c>
      <c r="F12033" t="s">
        <v>37470</v>
      </c>
      <c r="G12033" s="2" t="str">
        <f>HYPERLINK("https://probpalata.gov.ru/files/ЮЛ020603117700049.jpeg","Скачать индивидуальный QR-код магазина")</f>
        <v>Скачать индивидуальный QR-код магазина</v>
      </c>
    </row>
    <row r="12034" spans="1:7" x14ac:dyDescent="0.25">
      <c r="A12034" t="s">
        <v>36861</v>
      </c>
      <c r="B12034" t="s">
        <v>37471</v>
      </c>
      <c r="C12034" t="s">
        <v>9495</v>
      </c>
      <c r="D12034" t="s">
        <v>9496</v>
      </c>
      <c r="E12034" t="s">
        <v>9497</v>
      </c>
      <c r="F12034" t="s">
        <v>37472</v>
      </c>
      <c r="G12034" s="2" t="str">
        <f>HYPERLINK("https://probpalata.gov.ru/files/ЮЛ020603117700050.jpeg","Скачать индивидуальный QR-код магазина")</f>
        <v>Скачать индивидуальный QR-код магазина</v>
      </c>
    </row>
    <row r="12035" spans="1:7" x14ac:dyDescent="0.25">
      <c r="A12035" t="s">
        <v>36861</v>
      </c>
      <c r="B12035" t="s">
        <v>37473</v>
      </c>
      <c r="C12035" t="s">
        <v>9495</v>
      </c>
      <c r="D12035" t="s">
        <v>9496</v>
      </c>
      <c r="E12035" t="s">
        <v>9497</v>
      </c>
      <c r="F12035" t="s">
        <v>37474</v>
      </c>
      <c r="G12035" s="2" t="str">
        <f>HYPERLINK("https://probpalata.gov.ru/files/ЮЛ020603117700054.jpeg","Скачать индивидуальный QR-код магазина")</f>
        <v>Скачать индивидуальный QR-код магазина</v>
      </c>
    </row>
    <row r="12036" spans="1:7" x14ac:dyDescent="0.25">
      <c r="A12036" t="s">
        <v>36861</v>
      </c>
      <c r="B12036" t="s">
        <v>37475</v>
      </c>
      <c r="C12036" t="s">
        <v>9495</v>
      </c>
      <c r="D12036" t="s">
        <v>9496</v>
      </c>
      <c r="E12036" t="s">
        <v>9497</v>
      </c>
      <c r="F12036" t="s">
        <v>37476</v>
      </c>
      <c r="G12036" s="2" t="str">
        <f>HYPERLINK("https://probpalata.gov.ru/files/ЮЛ020603117700055.jpeg","Скачать индивидуальный QR-код магазина")</f>
        <v>Скачать индивидуальный QR-код магазина</v>
      </c>
    </row>
    <row r="12037" spans="1:7" x14ac:dyDescent="0.25">
      <c r="A12037" t="s">
        <v>36861</v>
      </c>
      <c r="B12037" t="s">
        <v>37477</v>
      </c>
      <c r="C12037" t="s">
        <v>9495</v>
      </c>
      <c r="D12037" t="s">
        <v>9496</v>
      </c>
      <c r="E12037" t="s">
        <v>9497</v>
      </c>
      <c r="F12037" t="s">
        <v>37478</v>
      </c>
      <c r="G12037" s="2" t="str">
        <f>HYPERLINK("https://probpalata.gov.ru/files/ЮЛ020603117700059.jpeg","Скачать индивидуальный QR-код магазина")</f>
        <v>Скачать индивидуальный QR-код магазина</v>
      </c>
    </row>
    <row r="12038" spans="1:7" x14ac:dyDescent="0.25">
      <c r="A12038" t="s">
        <v>36861</v>
      </c>
      <c r="B12038" t="s">
        <v>37479</v>
      </c>
      <c r="C12038" t="s">
        <v>9495</v>
      </c>
      <c r="D12038" t="s">
        <v>9496</v>
      </c>
      <c r="E12038" t="s">
        <v>9497</v>
      </c>
      <c r="F12038" t="s">
        <v>37480</v>
      </c>
      <c r="G12038" s="2" t="str">
        <f>HYPERLINK("https://probpalata.gov.ru/files/ЮЛ020603117700061.jpeg","Скачать индивидуальный QR-код магазина")</f>
        <v>Скачать индивидуальный QR-код магазина</v>
      </c>
    </row>
    <row r="12039" spans="1:7" x14ac:dyDescent="0.25">
      <c r="A12039" t="s">
        <v>36861</v>
      </c>
      <c r="B12039" t="s">
        <v>37481</v>
      </c>
      <c r="C12039" t="s">
        <v>9495</v>
      </c>
      <c r="D12039" t="s">
        <v>9496</v>
      </c>
      <c r="E12039" t="s">
        <v>9497</v>
      </c>
      <c r="F12039" t="s">
        <v>37482</v>
      </c>
      <c r="G12039" s="2" t="str">
        <f>HYPERLINK("https://probpalata.gov.ru/files/ЮЛ020603117700062.jpeg","Скачать индивидуальный QR-код магазина")</f>
        <v>Скачать индивидуальный QR-код магазина</v>
      </c>
    </row>
    <row r="12040" spans="1:7" x14ac:dyDescent="0.25">
      <c r="A12040" t="s">
        <v>36861</v>
      </c>
      <c r="B12040" t="s">
        <v>37483</v>
      </c>
      <c r="C12040" t="s">
        <v>9495</v>
      </c>
      <c r="D12040" t="s">
        <v>9496</v>
      </c>
      <c r="E12040" t="s">
        <v>9497</v>
      </c>
      <c r="F12040" t="s">
        <v>37484</v>
      </c>
      <c r="G12040" s="2" t="str">
        <f>HYPERLINK("https://probpalata.gov.ru/files/ЮЛ020603117700064.jpeg","Скачать индивидуальный QR-код магазина")</f>
        <v>Скачать индивидуальный QR-код магазина</v>
      </c>
    </row>
    <row r="12041" spans="1:7" x14ac:dyDescent="0.25">
      <c r="A12041" t="s">
        <v>36861</v>
      </c>
      <c r="B12041" t="s">
        <v>37485</v>
      </c>
      <c r="C12041" t="s">
        <v>9495</v>
      </c>
      <c r="D12041" t="s">
        <v>9496</v>
      </c>
      <c r="E12041" t="s">
        <v>9497</v>
      </c>
      <c r="F12041" t="s">
        <v>37486</v>
      </c>
      <c r="G12041" s="2" t="str">
        <f>HYPERLINK("https://probpalata.gov.ru/files/ЮЛ020603117700065.jpeg","Скачать индивидуальный QR-код магазина")</f>
        <v>Скачать индивидуальный QR-код магазина</v>
      </c>
    </row>
    <row r="12042" spans="1:7" x14ac:dyDescent="0.25">
      <c r="A12042" t="s">
        <v>36861</v>
      </c>
      <c r="B12042" t="s">
        <v>37487</v>
      </c>
      <c r="C12042" t="s">
        <v>9495</v>
      </c>
      <c r="D12042" t="s">
        <v>9496</v>
      </c>
      <c r="E12042" t="s">
        <v>9497</v>
      </c>
      <c r="F12042" t="s">
        <v>37488</v>
      </c>
      <c r="G12042" s="2" t="str">
        <f>HYPERLINK("https://probpalata.gov.ru/files/ЮЛ020603117700068.jpeg","Скачать индивидуальный QR-код магазина")</f>
        <v>Скачать индивидуальный QR-код магазина</v>
      </c>
    </row>
    <row r="12043" spans="1:7" x14ac:dyDescent="0.25">
      <c r="A12043" t="s">
        <v>36861</v>
      </c>
      <c r="B12043" t="s">
        <v>37489</v>
      </c>
      <c r="C12043" t="s">
        <v>9495</v>
      </c>
      <c r="D12043" t="s">
        <v>9496</v>
      </c>
      <c r="E12043" t="s">
        <v>9497</v>
      </c>
      <c r="F12043" t="s">
        <v>37490</v>
      </c>
      <c r="G12043" s="2" t="str">
        <f>HYPERLINK("https://probpalata.gov.ru/files/ЮЛ020603117700069.jpeg","Скачать индивидуальный QR-код магазина")</f>
        <v>Скачать индивидуальный QR-код магазина</v>
      </c>
    </row>
    <row r="12044" spans="1:7" x14ac:dyDescent="0.25">
      <c r="A12044" t="s">
        <v>36861</v>
      </c>
      <c r="B12044" t="s">
        <v>37491</v>
      </c>
      <c r="C12044" t="s">
        <v>9495</v>
      </c>
      <c r="D12044" t="s">
        <v>9496</v>
      </c>
      <c r="E12044" t="s">
        <v>9497</v>
      </c>
      <c r="F12044" t="s">
        <v>37492</v>
      </c>
      <c r="G12044" s="2" t="str">
        <f>HYPERLINK("https://probpalata.gov.ru/files/ЮЛ020603117700071.jpeg","Скачать индивидуальный QR-код магазина")</f>
        <v>Скачать индивидуальный QR-код магазина</v>
      </c>
    </row>
    <row r="12045" spans="1:7" x14ac:dyDescent="0.25">
      <c r="A12045" t="s">
        <v>36861</v>
      </c>
      <c r="B12045" t="s">
        <v>37493</v>
      </c>
      <c r="C12045" t="s">
        <v>9495</v>
      </c>
      <c r="D12045" t="s">
        <v>9496</v>
      </c>
      <c r="E12045" t="s">
        <v>9497</v>
      </c>
      <c r="F12045" t="s">
        <v>37494</v>
      </c>
      <c r="G12045" s="2" t="str">
        <f>HYPERLINK("https://probpalata.gov.ru/files/ЮЛ020603117700072.jpeg","Скачать индивидуальный QR-код магазина")</f>
        <v>Скачать индивидуальный QR-код магазина</v>
      </c>
    </row>
    <row r="12046" spans="1:7" x14ac:dyDescent="0.25">
      <c r="A12046" t="s">
        <v>36861</v>
      </c>
      <c r="B12046" t="s">
        <v>37495</v>
      </c>
      <c r="C12046" t="s">
        <v>9495</v>
      </c>
      <c r="D12046" t="s">
        <v>9496</v>
      </c>
      <c r="E12046" t="s">
        <v>9497</v>
      </c>
      <c r="F12046" t="s">
        <v>37496</v>
      </c>
      <c r="G12046" s="2" t="str">
        <f>HYPERLINK("https://probpalata.gov.ru/files/ЮЛ020603117700075.jpeg","Скачать индивидуальный QR-код магазина")</f>
        <v>Скачать индивидуальный QR-код магазина</v>
      </c>
    </row>
    <row r="12047" spans="1:7" x14ac:dyDescent="0.25">
      <c r="A12047" t="s">
        <v>36861</v>
      </c>
      <c r="B12047" t="s">
        <v>37497</v>
      </c>
      <c r="C12047" t="s">
        <v>9495</v>
      </c>
      <c r="D12047" t="s">
        <v>9496</v>
      </c>
      <c r="E12047" t="s">
        <v>9497</v>
      </c>
      <c r="F12047" t="s">
        <v>37498</v>
      </c>
      <c r="G12047" s="2" t="str">
        <f>HYPERLINK("https://probpalata.gov.ru/files/ЮЛ020603117700076.jpeg","Скачать индивидуальный QR-код магазина")</f>
        <v>Скачать индивидуальный QR-код магазина</v>
      </c>
    </row>
    <row r="12048" spans="1:7" x14ac:dyDescent="0.25">
      <c r="A12048" t="s">
        <v>36861</v>
      </c>
      <c r="B12048" t="s">
        <v>37330</v>
      </c>
      <c r="C12048" t="s">
        <v>9495</v>
      </c>
      <c r="D12048" t="s">
        <v>9496</v>
      </c>
      <c r="E12048" t="s">
        <v>9497</v>
      </c>
      <c r="F12048" t="s">
        <v>37499</v>
      </c>
      <c r="G12048" s="2" t="str">
        <f>HYPERLINK("https://probpalata.gov.ru/files/ЮЛ020603117700082.jpeg","Скачать индивидуальный QR-код магазина")</f>
        <v>Скачать индивидуальный QR-код магазина</v>
      </c>
    </row>
    <row r="12049" spans="1:7" x14ac:dyDescent="0.25">
      <c r="A12049" t="s">
        <v>36861</v>
      </c>
      <c r="B12049" t="s">
        <v>37312</v>
      </c>
      <c r="C12049" t="s">
        <v>9495</v>
      </c>
      <c r="D12049" t="s">
        <v>9496</v>
      </c>
      <c r="E12049" t="s">
        <v>9497</v>
      </c>
      <c r="F12049" t="s">
        <v>37500</v>
      </c>
      <c r="G12049" s="2" t="str">
        <f>HYPERLINK("https://probpalata.gov.ru/files/ЮЛ020603117700083.jpeg","Скачать индивидуальный QR-код магазина")</f>
        <v>Скачать индивидуальный QR-код магазина</v>
      </c>
    </row>
    <row r="12050" spans="1:7" x14ac:dyDescent="0.25">
      <c r="A12050" t="s">
        <v>36861</v>
      </c>
      <c r="B12050" t="s">
        <v>37501</v>
      </c>
      <c r="C12050" t="s">
        <v>9495</v>
      </c>
      <c r="D12050" t="s">
        <v>9496</v>
      </c>
      <c r="E12050" t="s">
        <v>9497</v>
      </c>
      <c r="F12050" t="s">
        <v>37502</v>
      </c>
      <c r="G12050" s="2" t="str">
        <f>HYPERLINK("https://probpalata.gov.ru/files/ЮЛ020603117700084.jpeg","Скачать индивидуальный QR-код магазина")</f>
        <v>Скачать индивидуальный QR-код магазина</v>
      </c>
    </row>
    <row r="12051" spans="1:7" x14ac:dyDescent="0.25">
      <c r="A12051" t="s">
        <v>36861</v>
      </c>
      <c r="B12051" t="s">
        <v>37503</v>
      </c>
      <c r="C12051" t="s">
        <v>9495</v>
      </c>
      <c r="D12051" t="s">
        <v>9496</v>
      </c>
      <c r="E12051" t="s">
        <v>9497</v>
      </c>
      <c r="F12051" t="s">
        <v>37504</v>
      </c>
      <c r="G12051" s="2" t="str">
        <f>HYPERLINK("https://probpalata.gov.ru/files/ЮЛ020603117700085.jpeg","Скачать индивидуальный QR-код магазина")</f>
        <v>Скачать индивидуальный QR-код магазина</v>
      </c>
    </row>
    <row r="12052" spans="1:7" x14ac:dyDescent="0.25">
      <c r="A12052" t="s">
        <v>36861</v>
      </c>
      <c r="B12052" t="s">
        <v>37505</v>
      </c>
      <c r="C12052" t="s">
        <v>9495</v>
      </c>
      <c r="D12052" t="s">
        <v>9496</v>
      </c>
      <c r="E12052" t="s">
        <v>9497</v>
      </c>
      <c r="F12052" t="s">
        <v>37506</v>
      </c>
      <c r="G12052" s="2" t="str">
        <f>HYPERLINK("https://probpalata.gov.ru/files/ЮЛ020603117700087.jpeg","Скачать индивидуальный QR-код магазина")</f>
        <v>Скачать индивидуальный QR-код магазина</v>
      </c>
    </row>
    <row r="12053" spans="1:7" x14ac:dyDescent="0.25">
      <c r="A12053" t="s">
        <v>36861</v>
      </c>
      <c r="B12053" t="s">
        <v>37507</v>
      </c>
      <c r="C12053" t="s">
        <v>9495</v>
      </c>
      <c r="D12053" t="s">
        <v>9496</v>
      </c>
      <c r="E12053" t="s">
        <v>9497</v>
      </c>
      <c r="F12053" t="s">
        <v>37508</v>
      </c>
      <c r="G12053" s="2" t="str">
        <f>HYPERLINK("https://probpalata.gov.ru/files/ЮЛ020603117700088.jpeg","Скачать индивидуальный QR-код магазина")</f>
        <v>Скачать индивидуальный QR-код магазина</v>
      </c>
    </row>
    <row r="12054" spans="1:7" x14ac:dyDescent="0.25">
      <c r="A12054" t="s">
        <v>36861</v>
      </c>
      <c r="B12054" t="s">
        <v>36877</v>
      </c>
      <c r="C12054" t="s">
        <v>9495</v>
      </c>
      <c r="D12054" t="s">
        <v>9496</v>
      </c>
      <c r="E12054" t="s">
        <v>9497</v>
      </c>
      <c r="F12054" t="s">
        <v>37509</v>
      </c>
      <c r="G12054" s="2" t="str">
        <f>HYPERLINK("https://probpalata.gov.ru/files/ЮЛ020603117700089.jpeg","Скачать индивидуальный QR-код магазина")</f>
        <v>Скачать индивидуальный QR-код магазина</v>
      </c>
    </row>
    <row r="12055" spans="1:7" x14ac:dyDescent="0.25">
      <c r="A12055" t="s">
        <v>36861</v>
      </c>
      <c r="B12055" t="s">
        <v>37510</v>
      </c>
      <c r="C12055" t="s">
        <v>9495</v>
      </c>
      <c r="D12055" t="s">
        <v>9496</v>
      </c>
      <c r="E12055" t="s">
        <v>9497</v>
      </c>
      <c r="F12055" t="s">
        <v>37511</v>
      </c>
      <c r="G12055" s="2" t="str">
        <f>HYPERLINK("https://probpalata.gov.ru/files/ЮЛ020603117700101.jpeg","Скачать индивидуальный QR-код магазина")</f>
        <v>Скачать индивидуальный QR-код магазина</v>
      </c>
    </row>
    <row r="12056" spans="1:7" x14ac:dyDescent="0.25">
      <c r="A12056" t="s">
        <v>36861</v>
      </c>
      <c r="B12056" t="s">
        <v>37512</v>
      </c>
      <c r="C12056" t="s">
        <v>9495</v>
      </c>
      <c r="D12056" t="s">
        <v>9496</v>
      </c>
      <c r="E12056" t="s">
        <v>9497</v>
      </c>
      <c r="F12056" t="s">
        <v>37513</v>
      </c>
      <c r="G12056" s="2" t="str">
        <f>HYPERLINK("https://probpalata.gov.ru/files/ЮЛ020603117700105.jpeg","Скачать индивидуальный QR-код магазина")</f>
        <v>Скачать индивидуальный QR-код магазина</v>
      </c>
    </row>
    <row r="12057" spans="1:7" x14ac:dyDescent="0.25">
      <c r="A12057" t="s">
        <v>36861</v>
      </c>
      <c r="B12057" t="s">
        <v>37514</v>
      </c>
      <c r="C12057" t="s">
        <v>9495</v>
      </c>
      <c r="D12057" t="s">
        <v>9496</v>
      </c>
      <c r="E12057" t="s">
        <v>9497</v>
      </c>
      <c r="F12057" t="s">
        <v>37515</v>
      </c>
      <c r="G12057" s="2" t="str">
        <f>HYPERLINK("https://probpalata.gov.ru/files/ЮЛ020603117700106.jpeg","Скачать индивидуальный QR-код магазина")</f>
        <v>Скачать индивидуальный QR-код магазина</v>
      </c>
    </row>
    <row r="12058" spans="1:7" x14ac:dyDescent="0.25">
      <c r="A12058" t="s">
        <v>36861</v>
      </c>
      <c r="B12058" t="s">
        <v>37516</v>
      </c>
      <c r="C12058" t="s">
        <v>2481</v>
      </c>
      <c r="D12058" t="s">
        <v>37517</v>
      </c>
      <c r="E12058" t="s">
        <v>37518</v>
      </c>
      <c r="F12058" t="s">
        <v>37519</v>
      </c>
      <c r="G12058" s="2" t="str">
        <f>HYPERLINK("https://probpalata.gov.ru/files/ЮЛ020603238500001.jpeg","Скачать индивидуальный QR-код магазина")</f>
        <v>Скачать индивидуальный QR-код магазина</v>
      </c>
    </row>
    <row r="12059" spans="1:7" x14ac:dyDescent="0.25">
      <c r="A12059" t="s">
        <v>36861</v>
      </c>
      <c r="B12059" t="s">
        <v>37520</v>
      </c>
      <c r="C12059" t="s">
        <v>2481</v>
      </c>
      <c r="D12059" t="s">
        <v>37517</v>
      </c>
      <c r="E12059" t="s">
        <v>37518</v>
      </c>
      <c r="F12059" t="s">
        <v>37521</v>
      </c>
      <c r="G12059" s="2" t="str">
        <f>HYPERLINK("https://probpalata.gov.ru/files/ЮЛ020603238500003.jpeg","Скачать индивидуальный QR-код магазина")</f>
        <v>Скачать индивидуальный QR-код магазина</v>
      </c>
    </row>
    <row r="12060" spans="1:7" x14ac:dyDescent="0.25">
      <c r="A12060" t="s">
        <v>36861</v>
      </c>
      <c r="B12060" t="s">
        <v>37522</v>
      </c>
      <c r="C12060" t="s">
        <v>2481</v>
      </c>
      <c r="D12060" t="s">
        <v>37517</v>
      </c>
      <c r="E12060" t="s">
        <v>37518</v>
      </c>
      <c r="F12060" t="s">
        <v>37523</v>
      </c>
      <c r="G12060" s="2" t="str">
        <f>HYPERLINK("https://probpalata.gov.ru/files/ЮЛ020603238500007.jpeg","Скачать индивидуальный QR-код магазина")</f>
        <v>Скачать индивидуальный QR-код магазина</v>
      </c>
    </row>
    <row r="12061" spans="1:7" x14ac:dyDescent="0.25">
      <c r="A12061" t="s">
        <v>36861</v>
      </c>
      <c r="B12061" t="s">
        <v>37524</v>
      </c>
      <c r="C12061" t="s">
        <v>2481</v>
      </c>
      <c r="D12061" t="s">
        <v>37517</v>
      </c>
      <c r="E12061" t="s">
        <v>37518</v>
      </c>
      <c r="F12061" t="s">
        <v>37525</v>
      </c>
      <c r="G12061" s="2" t="str">
        <f>HYPERLINK("https://probpalata.gov.ru/files/ЮЛ020603238500010.jpeg","Скачать индивидуальный QR-код магазина")</f>
        <v>Скачать индивидуальный QR-код магазина</v>
      </c>
    </row>
    <row r="12062" spans="1:7" x14ac:dyDescent="0.25">
      <c r="A12062" t="s">
        <v>36861</v>
      </c>
      <c r="B12062" t="s">
        <v>37526</v>
      </c>
      <c r="C12062" t="s">
        <v>2481</v>
      </c>
      <c r="D12062" t="s">
        <v>37517</v>
      </c>
      <c r="E12062" t="s">
        <v>37518</v>
      </c>
      <c r="F12062" t="s">
        <v>37527</v>
      </c>
      <c r="G12062" s="2" t="str">
        <f>HYPERLINK("https://probpalata.gov.ru/files/ЮЛ020603238500013.jpeg","Скачать индивидуальный QR-код магазина")</f>
        <v>Скачать индивидуальный QR-код магазина</v>
      </c>
    </row>
    <row r="12063" spans="1:7" x14ac:dyDescent="0.25">
      <c r="A12063" t="s">
        <v>36861</v>
      </c>
      <c r="B12063" t="s">
        <v>37528</v>
      </c>
      <c r="C12063" t="s">
        <v>2481</v>
      </c>
      <c r="D12063" t="s">
        <v>37517</v>
      </c>
      <c r="E12063" t="s">
        <v>37518</v>
      </c>
      <c r="F12063" t="s">
        <v>37529</v>
      </c>
      <c r="G12063" s="2" t="str">
        <f>HYPERLINK("https://probpalata.gov.ru/files/ЮЛ020603238500014.jpeg","Скачать индивидуальный QR-код магазина")</f>
        <v>Скачать индивидуальный QR-код магазина</v>
      </c>
    </row>
    <row r="12064" spans="1:7" x14ac:dyDescent="0.25">
      <c r="A12064" t="s">
        <v>36861</v>
      </c>
      <c r="B12064" t="s">
        <v>37530</v>
      </c>
      <c r="C12064" t="s">
        <v>2481</v>
      </c>
      <c r="D12064" t="s">
        <v>37517</v>
      </c>
      <c r="E12064" t="s">
        <v>37518</v>
      </c>
      <c r="F12064" t="s">
        <v>37531</v>
      </c>
      <c r="G12064" s="2" t="str">
        <f>HYPERLINK("https://probpalata.gov.ru/files/ЮЛ020603238500021.jpeg","Скачать индивидуальный QR-код магазина")</f>
        <v>Скачать индивидуальный QR-код магазина</v>
      </c>
    </row>
    <row r="12065" spans="1:7" x14ac:dyDescent="0.25">
      <c r="A12065" t="s">
        <v>36861</v>
      </c>
      <c r="B12065" t="s">
        <v>37532</v>
      </c>
      <c r="C12065" t="s">
        <v>2481</v>
      </c>
      <c r="D12065" t="s">
        <v>37517</v>
      </c>
      <c r="E12065" t="s">
        <v>37518</v>
      </c>
      <c r="F12065" t="s">
        <v>37533</v>
      </c>
      <c r="G12065" s="2" t="str">
        <f>HYPERLINK("https://probpalata.gov.ru/files/ЮЛ020603238500022.jpeg","Скачать индивидуальный QR-код магазина")</f>
        <v>Скачать индивидуальный QR-код магазина</v>
      </c>
    </row>
    <row r="12066" spans="1:7" x14ac:dyDescent="0.25">
      <c r="A12066" t="s">
        <v>36861</v>
      </c>
      <c r="B12066" t="s">
        <v>37534</v>
      </c>
      <c r="C12066" t="s">
        <v>2481</v>
      </c>
      <c r="D12066" t="s">
        <v>37517</v>
      </c>
      <c r="E12066" t="s">
        <v>37518</v>
      </c>
      <c r="F12066" t="s">
        <v>37535</v>
      </c>
      <c r="G12066" s="2" t="str">
        <f>HYPERLINK("https://probpalata.gov.ru/files/ЮЛ020603238500025.jpeg","Скачать индивидуальный QR-код магазина")</f>
        <v>Скачать индивидуальный QR-код магазина</v>
      </c>
    </row>
    <row r="12067" spans="1:7" x14ac:dyDescent="0.25">
      <c r="A12067" t="s">
        <v>36861</v>
      </c>
      <c r="B12067" t="s">
        <v>37536</v>
      </c>
      <c r="C12067" t="s">
        <v>2481</v>
      </c>
      <c r="D12067" t="s">
        <v>37517</v>
      </c>
      <c r="E12067" t="s">
        <v>37518</v>
      </c>
      <c r="F12067" t="s">
        <v>37537</v>
      </c>
      <c r="G12067" s="2" t="str">
        <f>HYPERLINK("https://probpalata.gov.ru/files/ЮЛ020603238500027.jpeg","Скачать индивидуальный QR-код магазина")</f>
        <v>Скачать индивидуальный QR-код магазина</v>
      </c>
    </row>
    <row r="12068" spans="1:7" x14ac:dyDescent="0.25">
      <c r="A12068" t="s">
        <v>36861</v>
      </c>
      <c r="B12068" t="s">
        <v>37538</v>
      </c>
      <c r="C12068" t="s">
        <v>2481</v>
      </c>
      <c r="D12068" t="s">
        <v>37517</v>
      </c>
      <c r="E12068" t="s">
        <v>37518</v>
      </c>
      <c r="F12068" t="s">
        <v>37539</v>
      </c>
      <c r="G12068" s="2" t="str">
        <f>HYPERLINK("https://probpalata.gov.ru/files/ЮЛ020603238500044.jpeg","Скачать индивидуальный QR-код магазина")</f>
        <v>Скачать индивидуальный QR-код магазина</v>
      </c>
    </row>
    <row r="12069" spans="1:7" x14ac:dyDescent="0.25">
      <c r="A12069" t="s">
        <v>36861</v>
      </c>
      <c r="B12069" t="s">
        <v>37540</v>
      </c>
      <c r="C12069" t="s">
        <v>37541</v>
      </c>
      <c r="D12069" t="s">
        <v>37542</v>
      </c>
      <c r="E12069" t="s">
        <v>37543</v>
      </c>
      <c r="F12069" t="s">
        <v>37544</v>
      </c>
      <c r="G12069" s="2" t="str">
        <f>HYPERLINK("https://probpalata.gov.ru/files/ИП020600818100000.jpeg","Скачать индивидуальный QR-код магазина")</f>
        <v>Скачать индивидуальный QR-код магазина</v>
      </c>
    </row>
    <row r="12070" spans="1:7" x14ac:dyDescent="0.25">
      <c r="A12070" t="s">
        <v>36861</v>
      </c>
      <c r="B12070" t="s">
        <v>37545</v>
      </c>
      <c r="C12070" t="s">
        <v>37546</v>
      </c>
      <c r="D12070" t="s">
        <v>37547</v>
      </c>
      <c r="E12070" t="s">
        <v>37548</v>
      </c>
      <c r="F12070" t="s">
        <v>37549</v>
      </c>
      <c r="G12070" s="2" t="str">
        <f>HYPERLINK("https://probpalata.gov.ru/files/ИП020600450800001.jpeg","Скачать индивидуальный QR-код магазина")</f>
        <v>Скачать индивидуальный QR-код магазина</v>
      </c>
    </row>
    <row r="12071" spans="1:7" x14ac:dyDescent="0.25">
      <c r="A12071" t="s">
        <v>36861</v>
      </c>
      <c r="B12071" t="s">
        <v>37550</v>
      </c>
      <c r="C12071" t="s">
        <v>37551</v>
      </c>
      <c r="D12071" t="s">
        <v>37552</v>
      </c>
      <c r="E12071" t="s">
        <v>37553</v>
      </c>
      <c r="F12071" t="s">
        <v>37554</v>
      </c>
      <c r="G12071" s="2" t="str">
        <f>HYPERLINK("https://probpalata.gov.ru/files/ИП020600269500000.jpeg","Скачать индивидуальный QR-код магазина")</f>
        <v>Скачать индивидуальный QR-код магазина</v>
      </c>
    </row>
    <row r="12072" spans="1:7" x14ac:dyDescent="0.25">
      <c r="A12072" t="s">
        <v>36861</v>
      </c>
      <c r="B12072" t="s">
        <v>37555</v>
      </c>
      <c r="C12072" t="s">
        <v>37556</v>
      </c>
      <c r="D12072" t="s">
        <v>37557</v>
      </c>
      <c r="E12072" t="s">
        <v>37558</v>
      </c>
      <c r="F12072" t="s">
        <v>37559</v>
      </c>
      <c r="G12072" s="2" t="str">
        <f>HYPERLINK("https://probpalata.gov.ru/files/ИП020600176900000.jpeg","Скачать индивидуальный QR-код магазина")</f>
        <v>Скачать индивидуальный QR-код магазина</v>
      </c>
    </row>
    <row r="12073" spans="1:7" x14ac:dyDescent="0.25">
      <c r="A12073" t="s">
        <v>36861</v>
      </c>
      <c r="B12073" t="s">
        <v>37560</v>
      </c>
      <c r="C12073" t="s">
        <v>37561</v>
      </c>
      <c r="D12073" t="s">
        <v>37562</v>
      </c>
      <c r="E12073" t="s">
        <v>37563</v>
      </c>
      <c r="F12073" t="s">
        <v>37564</v>
      </c>
      <c r="G12073" s="2" t="str">
        <f>HYPERLINK("https://probpalata.gov.ru/files/ИП020603949100000.jpeg","Скачать индивидуальный QR-код магазина")</f>
        <v>Скачать индивидуальный QR-код магазина</v>
      </c>
    </row>
    <row r="12074" spans="1:7" x14ac:dyDescent="0.25">
      <c r="A12074" t="s">
        <v>36861</v>
      </c>
      <c r="B12074" t="s">
        <v>37565</v>
      </c>
      <c r="C12074" t="s">
        <v>37566</v>
      </c>
      <c r="D12074" t="s">
        <v>37567</v>
      </c>
      <c r="E12074" t="s">
        <v>37568</v>
      </c>
      <c r="F12074" t="s">
        <v>37569</v>
      </c>
      <c r="G12074" s="2" t="str">
        <f>HYPERLINK("https://probpalata.gov.ru/files/ИП020600432500000.jpeg","Скачать индивидуальный QR-код магазина")</f>
        <v>Скачать индивидуальный QR-код магазина</v>
      </c>
    </row>
    <row r="12075" spans="1:7" x14ac:dyDescent="0.25">
      <c r="A12075" t="s">
        <v>36861</v>
      </c>
      <c r="B12075" t="s">
        <v>37570</v>
      </c>
      <c r="C12075" t="s">
        <v>37571</v>
      </c>
      <c r="D12075" t="s">
        <v>37572</v>
      </c>
      <c r="E12075" t="s">
        <v>37573</v>
      </c>
      <c r="F12075" t="s">
        <v>37574</v>
      </c>
      <c r="G12075" s="2" t="str">
        <f>HYPERLINK("https://probpalata.gov.ru/files/ИП020600877700000.jpeg","Скачать индивидуальный QR-код магазина")</f>
        <v>Скачать индивидуальный QR-код магазина</v>
      </c>
    </row>
    <row r="12076" spans="1:7" x14ac:dyDescent="0.25">
      <c r="A12076" t="s">
        <v>36861</v>
      </c>
      <c r="B12076" t="s">
        <v>37575</v>
      </c>
      <c r="C12076" t="s">
        <v>37576</v>
      </c>
      <c r="D12076" t="s">
        <v>37577</v>
      </c>
      <c r="E12076" t="s">
        <v>37578</v>
      </c>
      <c r="F12076" t="s">
        <v>37579</v>
      </c>
      <c r="G12076" s="2" t="str">
        <f>HYPERLINK("https://probpalata.gov.ru/files/ИП020600447300001.jpeg","Скачать индивидуальный QR-код магазина")</f>
        <v>Скачать индивидуальный QR-код магазина</v>
      </c>
    </row>
    <row r="12077" spans="1:7" x14ac:dyDescent="0.25">
      <c r="A12077" t="s">
        <v>36861</v>
      </c>
      <c r="B12077" t="s">
        <v>37580</v>
      </c>
      <c r="C12077" t="s">
        <v>37576</v>
      </c>
      <c r="D12077" t="s">
        <v>37577</v>
      </c>
      <c r="E12077" t="s">
        <v>37578</v>
      </c>
      <c r="F12077" t="s">
        <v>37581</v>
      </c>
      <c r="G12077" s="2" t="str">
        <f>HYPERLINK("https://probpalata.gov.ru/files/ИП020600447300002.jpeg","Скачать индивидуальный QR-код магазина")</f>
        <v>Скачать индивидуальный QR-код магазина</v>
      </c>
    </row>
    <row r="12078" spans="1:7" x14ac:dyDescent="0.25">
      <c r="A12078" t="s">
        <v>36861</v>
      </c>
      <c r="B12078" t="s">
        <v>37582</v>
      </c>
      <c r="C12078" t="s">
        <v>37576</v>
      </c>
      <c r="D12078" t="s">
        <v>37577</v>
      </c>
      <c r="E12078" t="s">
        <v>37578</v>
      </c>
      <c r="F12078" t="s">
        <v>37583</v>
      </c>
      <c r="G12078" s="2" t="str">
        <f>HYPERLINK("https://probpalata.gov.ru/files/ИП020600447300003.jpeg","Скачать индивидуальный QR-код магазина")</f>
        <v>Скачать индивидуальный QR-код магазина</v>
      </c>
    </row>
    <row r="12079" spans="1:7" x14ac:dyDescent="0.25">
      <c r="A12079" t="s">
        <v>36861</v>
      </c>
      <c r="B12079" t="s">
        <v>37584</v>
      </c>
      <c r="C12079" t="s">
        <v>37585</v>
      </c>
      <c r="D12079" t="s">
        <v>37586</v>
      </c>
      <c r="E12079" t="s">
        <v>37587</v>
      </c>
      <c r="F12079" t="s">
        <v>37588</v>
      </c>
      <c r="G12079" s="2" t="str">
        <f>HYPERLINK("https://probpalata.gov.ru/files/ИП020600502300000.jpeg","Скачать индивидуальный QR-код магазина")</f>
        <v>Скачать индивидуальный QR-код магазина</v>
      </c>
    </row>
    <row r="12080" spans="1:7" x14ac:dyDescent="0.25">
      <c r="A12080" t="s">
        <v>36861</v>
      </c>
      <c r="B12080" t="s">
        <v>37589</v>
      </c>
      <c r="C12080" t="s">
        <v>37590</v>
      </c>
      <c r="D12080" t="s">
        <v>37591</v>
      </c>
      <c r="E12080" t="s">
        <v>37592</v>
      </c>
      <c r="F12080" t="s">
        <v>37593</v>
      </c>
      <c r="G12080" s="2" t="str">
        <f>HYPERLINK("https://probpalata.gov.ru/files/ИП020601196200000.jpeg","Скачать индивидуальный QR-код магазина")</f>
        <v>Скачать индивидуальный QR-код магазина</v>
      </c>
    </row>
    <row r="12081" spans="1:7" x14ac:dyDescent="0.25">
      <c r="A12081" t="s">
        <v>36861</v>
      </c>
      <c r="B12081" t="s">
        <v>37594</v>
      </c>
      <c r="C12081" t="s">
        <v>13177</v>
      </c>
      <c r="D12081" t="s">
        <v>13178</v>
      </c>
      <c r="E12081" t="s">
        <v>13179</v>
      </c>
      <c r="F12081" t="s">
        <v>37595</v>
      </c>
      <c r="G12081" s="2" t="str">
        <f>HYPERLINK("https://probpalata.gov.ru/files/ЮЛ020600027100000.jpeg","Скачать индивидуальный QR-код магазина")</f>
        <v>Скачать индивидуальный QR-код магазина</v>
      </c>
    </row>
    <row r="12082" spans="1:7" x14ac:dyDescent="0.25">
      <c r="A12082" t="s">
        <v>36861</v>
      </c>
      <c r="B12082" t="s">
        <v>37596</v>
      </c>
      <c r="C12082" t="s">
        <v>13177</v>
      </c>
      <c r="D12082" t="s">
        <v>13178</v>
      </c>
      <c r="E12082" t="s">
        <v>13179</v>
      </c>
      <c r="F12082" t="s">
        <v>37597</v>
      </c>
      <c r="G12082" s="2" t="str">
        <f>HYPERLINK("https://probpalata.gov.ru/files/ЮЛ020600027100008.jpeg","Скачать индивидуальный QR-код магазина")</f>
        <v>Скачать индивидуальный QR-код магазина</v>
      </c>
    </row>
    <row r="12083" spans="1:7" x14ac:dyDescent="0.25">
      <c r="A12083" t="s">
        <v>36861</v>
      </c>
      <c r="B12083" t="s">
        <v>37598</v>
      </c>
      <c r="C12083" t="s">
        <v>37599</v>
      </c>
      <c r="D12083" t="s">
        <v>37600</v>
      </c>
      <c r="E12083" t="s">
        <v>37601</v>
      </c>
      <c r="F12083" t="s">
        <v>37602</v>
      </c>
      <c r="G12083" s="2" t="str">
        <f>HYPERLINK("https://probpalata.gov.ru/files/ЮЛ160603245400001.jpeg","Скачать индивидуальный QR-код магазина")</f>
        <v>Скачать индивидуальный QR-код магазина</v>
      </c>
    </row>
    <row r="12084" spans="1:7" x14ac:dyDescent="0.25">
      <c r="A12084" t="s">
        <v>36861</v>
      </c>
      <c r="B12084" t="s">
        <v>37603</v>
      </c>
      <c r="C12084" t="s">
        <v>37604</v>
      </c>
      <c r="D12084" t="s">
        <v>37605</v>
      </c>
      <c r="E12084" t="s">
        <v>37606</v>
      </c>
      <c r="F12084" t="s">
        <v>37607</v>
      </c>
      <c r="G12084" s="2" t="str">
        <f>HYPERLINK("https://probpalata.gov.ru/files/ЮЛ160600086600002.jpeg","Скачать индивидуальный QR-код магазина")</f>
        <v>Скачать индивидуальный QR-код магазина</v>
      </c>
    </row>
    <row r="12085" spans="1:7" x14ac:dyDescent="0.25">
      <c r="A12085" t="s">
        <v>36861</v>
      </c>
      <c r="B12085" t="s">
        <v>37608</v>
      </c>
      <c r="C12085" t="s">
        <v>37604</v>
      </c>
      <c r="D12085" t="s">
        <v>37605</v>
      </c>
      <c r="E12085" t="s">
        <v>37606</v>
      </c>
      <c r="F12085" t="s">
        <v>37609</v>
      </c>
      <c r="G12085" s="2" t="str">
        <f>HYPERLINK("https://probpalata.gov.ru/files/ЮЛ160600086600003.jpeg","Скачать индивидуальный QR-код магазина")</f>
        <v>Скачать индивидуальный QR-код магазина</v>
      </c>
    </row>
    <row r="12086" spans="1:7" x14ac:dyDescent="0.25">
      <c r="A12086" t="s">
        <v>36861</v>
      </c>
      <c r="B12086" t="s">
        <v>37610</v>
      </c>
      <c r="C12086" t="s">
        <v>37604</v>
      </c>
      <c r="D12086" t="s">
        <v>37605</v>
      </c>
      <c r="E12086" t="s">
        <v>37606</v>
      </c>
      <c r="F12086" t="s">
        <v>37611</v>
      </c>
      <c r="G12086" s="2" t="str">
        <f>HYPERLINK("https://probpalata.gov.ru/files/ЮЛ160600086600004.jpeg","Скачать индивидуальный QR-код магазина")</f>
        <v>Скачать индивидуальный QR-код магазина</v>
      </c>
    </row>
    <row r="12087" spans="1:7" x14ac:dyDescent="0.25">
      <c r="A12087" t="s">
        <v>36861</v>
      </c>
      <c r="B12087" t="s">
        <v>37612</v>
      </c>
      <c r="C12087" t="s">
        <v>37604</v>
      </c>
      <c r="D12087" t="s">
        <v>37605</v>
      </c>
      <c r="E12087" t="s">
        <v>37606</v>
      </c>
      <c r="F12087" t="s">
        <v>37613</v>
      </c>
      <c r="G12087" s="2" t="str">
        <f>HYPERLINK("https://probpalata.gov.ru/files/ЮЛ160600086600005.jpeg","Скачать индивидуальный QR-код магазина")</f>
        <v>Скачать индивидуальный QR-код магазина</v>
      </c>
    </row>
    <row r="12088" spans="1:7" x14ac:dyDescent="0.25">
      <c r="A12088" t="s">
        <v>36861</v>
      </c>
      <c r="B12088" t="s">
        <v>37614</v>
      </c>
      <c r="C12088" t="s">
        <v>37604</v>
      </c>
      <c r="D12088" t="s">
        <v>37605</v>
      </c>
      <c r="E12088" t="s">
        <v>37606</v>
      </c>
      <c r="F12088" t="s">
        <v>37615</v>
      </c>
      <c r="G12088" s="2" t="str">
        <f>HYPERLINK("https://probpalata.gov.ru/files/ЮЛ160600086600006.jpeg","Скачать индивидуальный QR-код магазина")</f>
        <v>Скачать индивидуальный QR-код магазина</v>
      </c>
    </row>
    <row r="12089" spans="1:7" x14ac:dyDescent="0.25">
      <c r="A12089" t="s">
        <v>36861</v>
      </c>
      <c r="B12089" t="s">
        <v>37330</v>
      </c>
      <c r="C12089" t="s">
        <v>37604</v>
      </c>
      <c r="D12089" t="s">
        <v>37605</v>
      </c>
      <c r="E12089" t="s">
        <v>37606</v>
      </c>
      <c r="F12089" t="s">
        <v>37616</v>
      </c>
      <c r="G12089" s="2" t="str">
        <f>HYPERLINK("https://probpalata.gov.ru/files/ЮЛ160600086600007.jpeg","Скачать индивидуальный QR-код магазина")</f>
        <v>Скачать индивидуальный QR-код магазина</v>
      </c>
    </row>
    <row r="12090" spans="1:7" x14ac:dyDescent="0.25">
      <c r="A12090" t="s">
        <v>36861</v>
      </c>
      <c r="B12090" t="s">
        <v>37617</v>
      </c>
      <c r="C12090" t="s">
        <v>37604</v>
      </c>
      <c r="D12090" t="s">
        <v>37605</v>
      </c>
      <c r="E12090" t="s">
        <v>37606</v>
      </c>
      <c r="F12090" t="s">
        <v>37618</v>
      </c>
      <c r="G12090" s="2" t="str">
        <f>HYPERLINK("https://probpalata.gov.ru/files/ЮЛ160600086600008.jpeg","Скачать индивидуальный QR-код магазина")</f>
        <v>Скачать индивидуальный QR-код магазина</v>
      </c>
    </row>
    <row r="12091" spans="1:7" x14ac:dyDescent="0.25">
      <c r="A12091" t="s">
        <v>36861</v>
      </c>
      <c r="B12091" t="s">
        <v>37619</v>
      </c>
      <c r="C12091" t="s">
        <v>37604</v>
      </c>
      <c r="D12091" t="s">
        <v>37605</v>
      </c>
      <c r="E12091" t="s">
        <v>37606</v>
      </c>
      <c r="F12091" t="s">
        <v>37620</v>
      </c>
      <c r="G12091" s="2" t="str">
        <f>HYPERLINK("https://probpalata.gov.ru/files/ЮЛ160600086600009.jpeg","Скачать индивидуальный QR-код магазина")</f>
        <v>Скачать индивидуальный QR-код магазина</v>
      </c>
    </row>
    <row r="12092" spans="1:7" x14ac:dyDescent="0.25">
      <c r="A12092" t="s">
        <v>36861</v>
      </c>
      <c r="B12092" t="s">
        <v>37621</v>
      </c>
      <c r="C12092" t="s">
        <v>37604</v>
      </c>
      <c r="D12092" t="s">
        <v>37605</v>
      </c>
      <c r="E12092" t="s">
        <v>37606</v>
      </c>
      <c r="F12092" t="s">
        <v>37622</v>
      </c>
      <c r="G12092" s="2" t="str">
        <f>HYPERLINK("https://probpalata.gov.ru/files/ЮЛ160600086600010.jpeg","Скачать индивидуальный QR-код магазина")</f>
        <v>Скачать индивидуальный QR-код магазина</v>
      </c>
    </row>
    <row r="12093" spans="1:7" x14ac:dyDescent="0.25">
      <c r="A12093" t="s">
        <v>36861</v>
      </c>
      <c r="B12093" t="s">
        <v>37582</v>
      </c>
      <c r="C12093" t="s">
        <v>37604</v>
      </c>
      <c r="D12093" t="s">
        <v>37605</v>
      </c>
      <c r="E12093" t="s">
        <v>37606</v>
      </c>
      <c r="F12093" t="s">
        <v>37623</v>
      </c>
      <c r="G12093" s="2" t="str">
        <f>HYPERLINK("https://probpalata.gov.ru/files/ЮЛ160600086600011.jpeg","Скачать индивидуальный QR-код магазина")</f>
        <v>Скачать индивидуальный QR-код магазина</v>
      </c>
    </row>
    <row r="12094" spans="1:7" x14ac:dyDescent="0.25">
      <c r="A12094" t="s">
        <v>36861</v>
      </c>
      <c r="B12094" t="s">
        <v>37624</v>
      </c>
      <c r="C12094" t="s">
        <v>37604</v>
      </c>
      <c r="D12094" t="s">
        <v>37605</v>
      </c>
      <c r="E12094" t="s">
        <v>37606</v>
      </c>
      <c r="F12094" t="s">
        <v>37625</v>
      </c>
      <c r="G12094" s="2" t="str">
        <f>HYPERLINK("https://probpalata.gov.ru/files/ЮЛ160600086600012.jpeg","Скачать индивидуальный QR-код магазина")</f>
        <v>Скачать индивидуальный QR-код магазина</v>
      </c>
    </row>
    <row r="12095" spans="1:7" x14ac:dyDescent="0.25">
      <c r="A12095" t="s">
        <v>36861</v>
      </c>
      <c r="B12095" t="s">
        <v>37626</v>
      </c>
      <c r="C12095" t="s">
        <v>37604</v>
      </c>
      <c r="D12095" t="s">
        <v>37605</v>
      </c>
      <c r="E12095" t="s">
        <v>37606</v>
      </c>
      <c r="F12095" t="s">
        <v>37627</v>
      </c>
      <c r="G12095" s="2" t="str">
        <f>HYPERLINK("https://probpalata.gov.ru/files/ЮЛ160600086600013.jpeg","Скачать индивидуальный QR-код магазина")</f>
        <v>Скачать индивидуальный QR-код магазина</v>
      </c>
    </row>
    <row r="12096" spans="1:7" x14ac:dyDescent="0.25">
      <c r="A12096" t="s">
        <v>36861</v>
      </c>
      <c r="B12096" t="s">
        <v>37628</v>
      </c>
      <c r="C12096" t="s">
        <v>37604</v>
      </c>
      <c r="D12096" t="s">
        <v>37605</v>
      </c>
      <c r="E12096" t="s">
        <v>37606</v>
      </c>
      <c r="F12096" t="s">
        <v>37629</v>
      </c>
      <c r="G12096" s="2" t="str">
        <f>HYPERLINK("https://probpalata.gov.ru/files/ЮЛ160600086600014.jpeg","Скачать индивидуальный QR-код магазина")</f>
        <v>Скачать индивидуальный QR-код магазина</v>
      </c>
    </row>
    <row r="12097" spans="1:7" x14ac:dyDescent="0.25">
      <c r="A12097" t="s">
        <v>36861</v>
      </c>
      <c r="B12097" t="s">
        <v>37630</v>
      </c>
      <c r="C12097" t="s">
        <v>37604</v>
      </c>
      <c r="D12097" t="s">
        <v>37605</v>
      </c>
      <c r="E12097" t="s">
        <v>37606</v>
      </c>
      <c r="F12097" t="s">
        <v>37631</v>
      </c>
      <c r="G12097" s="2" t="str">
        <f>HYPERLINK("https://probpalata.gov.ru/files/ЮЛ160600086600015.jpeg","Скачать индивидуальный QR-код магазина")</f>
        <v>Скачать индивидуальный QR-код магазина</v>
      </c>
    </row>
    <row r="12098" spans="1:7" x14ac:dyDescent="0.25">
      <c r="A12098" t="s">
        <v>36861</v>
      </c>
      <c r="B12098" t="s">
        <v>37632</v>
      </c>
      <c r="C12098" t="s">
        <v>37604</v>
      </c>
      <c r="D12098" t="s">
        <v>37605</v>
      </c>
      <c r="E12098" t="s">
        <v>37606</v>
      </c>
      <c r="F12098" t="s">
        <v>37633</v>
      </c>
      <c r="G12098" s="2" t="str">
        <f>HYPERLINK("https://probpalata.gov.ru/files/ЮЛ160600086600016.jpeg","Скачать индивидуальный QR-код магазина")</f>
        <v>Скачать индивидуальный QR-код магазина</v>
      </c>
    </row>
    <row r="12099" spans="1:7" x14ac:dyDescent="0.25">
      <c r="A12099" t="s">
        <v>36861</v>
      </c>
      <c r="B12099" t="s">
        <v>37634</v>
      </c>
      <c r="C12099" t="s">
        <v>30207</v>
      </c>
      <c r="D12099" t="s">
        <v>30208</v>
      </c>
      <c r="E12099" t="s">
        <v>30209</v>
      </c>
      <c r="F12099" t="s">
        <v>37635</v>
      </c>
      <c r="G12099" s="2" t="str">
        <f>HYPERLINK("https://probpalata.gov.ru/files/ИП370200423500007.jpeg","Скачать индивидуальный QR-код магазина")</f>
        <v>Скачать индивидуальный QR-код магазина</v>
      </c>
    </row>
    <row r="12100" spans="1:7" x14ac:dyDescent="0.25">
      <c r="A12100" t="s">
        <v>36861</v>
      </c>
      <c r="B12100" t="s">
        <v>37636</v>
      </c>
      <c r="C12100" t="s">
        <v>30207</v>
      </c>
      <c r="D12100" t="s">
        <v>30208</v>
      </c>
      <c r="E12100" t="s">
        <v>30209</v>
      </c>
      <c r="F12100" t="s">
        <v>37637</v>
      </c>
      <c r="G12100" s="2" t="str">
        <f>HYPERLINK("https://probpalata.gov.ru/files/ИП370200423500008.jpeg","Скачать индивидуальный QR-код магазина")</f>
        <v>Скачать индивидуальный QR-код магазина</v>
      </c>
    </row>
    <row r="12101" spans="1:7" x14ac:dyDescent="0.25">
      <c r="A12101" t="s">
        <v>36861</v>
      </c>
      <c r="B12101" t="s">
        <v>37638</v>
      </c>
      <c r="C12101" t="s">
        <v>2171</v>
      </c>
      <c r="D12101" t="s">
        <v>2172</v>
      </c>
      <c r="E12101" t="s">
        <v>2173</v>
      </c>
      <c r="F12101" t="s">
        <v>37639</v>
      </c>
      <c r="G12101" s="2" t="str">
        <f>HYPERLINK("https://probpalata.gov.ru/files/ЮЛ500100602500051.jpeg","Скачать индивидуальный QR-код магазина")</f>
        <v>Скачать индивидуальный QR-код магазина</v>
      </c>
    </row>
    <row r="12102" spans="1:7" x14ac:dyDescent="0.25">
      <c r="A12102" t="s">
        <v>36861</v>
      </c>
      <c r="B12102" t="s">
        <v>37640</v>
      </c>
      <c r="C12102" t="s">
        <v>2171</v>
      </c>
      <c r="D12102" t="s">
        <v>2172</v>
      </c>
      <c r="E12102" t="s">
        <v>2173</v>
      </c>
      <c r="F12102" t="s">
        <v>37641</v>
      </c>
      <c r="G12102" s="2" t="str">
        <f>HYPERLINK("https://probpalata.gov.ru/files/ЮЛ500100602500054.jpeg","Скачать индивидуальный QR-код магазина")</f>
        <v>Скачать индивидуальный QR-код магазина</v>
      </c>
    </row>
    <row r="12103" spans="1:7" x14ac:dyDescent="0.25">
      <c r="A12103" t="s">
        <v>36861</v>
      </c>
      <c r="B12103" t="s">
        <v>37642</v>
      </c>
      <c r="C12103" t="s">
        <v>2171</v>
      </c>
      <c r="D12103" t="s">
        <v>2172</v>
      </c>
      <c r="E12103" t="s">
        <v>2173</v>
      </c>
      <c r="F12103" t="s">
        <v>37643</v>
      </c>
      <c r="G12103" s="2" t="str">
        <f>HYPERLINK("https://probpalata.gov.ru/files/ЮЛ500100602500057.jpeg","Скачать индивидуальный QR-код магазина")</f>
        <v>Скачать индивидуальный QR-код магазина</v>
      </c>
    </row>
    <row r="12104" spans="1:7" x14ac:dyDescent="0.25">
      <c r="A12104" t="s">
        <v>36861</v>
      </c>
      <c r="B12104" t="s">
        <v>37644</v>
      </c>
      <c r="C12104" t="s">
        <v>2171</v>
      </c>
      <c r="D12104" t="s">
        <v>2172</v>
      </c>
      <c r="E12104" t="s">
        <v>2173</v>
      </c>
      <c r="F12104" t="s">
        <v>37645</v>
      </c>
      <c r="G12104" s="2" t="str">
        <f>HYPERLINK("https://probpalata.gov.ru/files/ЮЛ500100602500058.jpeg","Скачать индивидуальный QR-код магазина")</f>
        <v>Скачать индивидуальный QR-код магазина</v>
      </c>
    </row>
    <row r="12105" spans="1:7" x14ac:dyDescent="0.25">
      <c r="A12105" t="s">
        <v>36861</v>
      </c>
      <c r="B12105" t="s">
        <v>37646</v>
      </c>
      <c r="C12105" t="s">
        <v>3761</v>
      </c>
      <c r="D12105" t="s">
        <v>3762</v>
      </c>
      <c r="E12105" t="s">
        <v>3763</v>
      </c>
      <c r="F12105" t="s">
        <v>37647</v>
      </c>
      <c r="G12105" s="2" t="str">
        <f>HYPERLINK("https://probpalata.gov.ru/files/ЮЛ470300219500005.jpeg","Скачать индивидуальный QR-код магазина")</f>
        <v>Скачать индивидуальный QR-код магазина</v>
      </c>
    </row>
    <row r="12106" spans="1:7" x14ac:dyDescent="0.25">
      <c r="A12106" t="s">
        <v>36861</v>
      </c>
      <c r="B12106" t="s">
        <v>37648</v>
      </c>
      <c r="C12106" t="s">
        <v>671</v>
      </c>
      <c r="D12106" t="s">
        <v>672</v>
      </c>
      <c r="E12106" t="s">
        <v>673</v>
      </c>
      <c r="F12106" t="s">
        <v>37649</v>
      </c>
      <c r="G12106" s="2" t="str">
        <f>HYPERLINK("https://probpalata.gov.ru/files/ИП500100445500012.jpeg","Скачать индивидуальный QR-код магазина")</f>
        <v>Скачать индивидуальный QR-код магазина</v>
      </c>
    </row>
    <row r="12107" spans="1:7" x14ac:dyDescent="0.25">
      <c r="A12107" t="s">
        <v>36861</v>
      </c>
      <c r="B12107" t="s">
        <v>37417</v>
      </c>
      <c r="C12107" t="s">
        <v>671</v>
      </c>
      <c r="D12107" t="s">
        <v>672</v>
      </c>
      <c r="E12107" t="s">
        <v>673</v>
      </c>
      <c r="F12107" t="s">
        <v>37650</v>
      </c>
      <c r="G12107" s="2" t="str">
        <f>HYPERLINK("https://probpalata.gov.ru/files/ИП500100445500075.jpeg","Скачать индивидуальный QR-код магазина")</f>
        <v>Скачать индивидуальный QR-код магазина</v>
      </c>
    </row>
    <row r="12108" spans="1:7" x14ac:dyDescent="0.25">
      <c r="A12108" t="s">
        <v>36861</v>
      </c>
      <c r="B12108" t="s">
        <v>37651</v>
      </c>
      <c r="C12108" t="s">
        <v>10732</v>
      </c>
      <c r="D12108" t="s">
        <v>10733</v>
      </c>
      <c r="E12108" t="s">
        <v>10734</v>
      </c>
      <c r="F12108" t="s">
        <v>37652</v>
      </c>
      <c r="G12108" s="2" t="str">
        <f>HYPERLINK("https://probpalata.gov.ru/files/ИП440200426400005.jpeg","Скачать индивидуальный QR-код магазина")</f>
        <v>Скачать индивидуальный QR-код магазина</v>
      </c>
    </row>
    <row r="12109" spans="1:7" x14ac:dyDescent="0.25">
      <c r="A12109" t="s">
        <v>36861</v>
      </c>
      <c r="B12109" t="s">
        <v>37653</v>
      </c>
      <c r="C12109" t="s">
        <v>10732</v>
      </c>
      <c r="D12109" t="s">
        <v>10733</v>
      </c>
      <c r="E12109" t="s">
        <v>10734</v>
      </c>
      <c r="F12109" t="s">
        <v>37654</v>
      </c>
      <c r="G12109" s="2" t="str">
        <f>HYPERLINK("https://probpalata.gov.ru/files/ИП440200426400013.jpeg","Скачать индивидуальный QR-код магазина")</f>
        <v>Скачать индивидуальный QR-код магазина</v>
      </c>
    </row>
    <row r="12110" spans="1:7" x14ac:dyDescent="0.25">
      <c r="A12110" t="s">
        <v>36861</v>
      </c>
      <c r="B12110" t="s">
        <v>37655</v>
      </c>
      <c r="C12110" t="s">
        <v>10732</v>
      </c>
      <c r="D12110" t="s">
        <v>10733</v>
      </c>
      <c r="E12110" t="s">
        <v>10734</v>
      </c>
      <c r="F12110" t="s">
        <v>37656</v>
      </c>
      <c r="G12110" s="2" t="str">
        <f>HYPERLINK("https://probpalata.gov.ru/files/ИП440200426400037.jpeg","Скачать индивидуальный QR-код магазина")</f>
        <v>Скачать индивидуальный QR-код магазина</v>
      </c>
    </row>
    <row r="12111" spans="1:7" x14ac:dyDescent="0.25">
      <c r="A12111" t="s">
        <v>36861</v>
      </c>
      <c r="B12111" t="s">
        <v>37657</v>
      </c>
      <c r="C12111" t="s">
        <v>37658</v>
      </c>
      <c r="D12111" t="s">
        <v>37659</v>
      </c>
      <c r="E12111" t="s">
        <v>37660</v>
      </c>
      <c r="F12111" t="s">
        <v>37661</v>
      </c>
      <c r="G12111" s="2" t="str">
        <f>HYPERLINK("https://probpalata.gov.ru/files/ИП770100525000000.jpeg","Скачать индивидуальный QR-код магазина")</f>
        <v>Скачать индивидуальный QR-код магазина</v>
      </c>
    </row>
    <row r="12112" spans="1:7" x14ac:dyDescent="0.25">
      <c r="A12112" t="s">
        <v>36861</v>
      </c>
      <c r="B12112" t="s">
        <v>37662</v>
      </c>
      <c r="C12112" t="s">
        <v>1735</v>
      </c>
      <c r="D12112" t="s">
        <v>1736</v>
      </c>
      <c r="E12112" t="s">
        <v>1737</v>
      </c>
      <c r="F12112" t="s">
        <v>37663</v>
      </c>
      <c r="G12112" s="2" t="str">
        <f>HYPERLINK("https://probpalata.gov.ru/files/ЮЛ520603376600150.jpeg","Скачать индивидуальный QR-код магазина")</f>
        <v>Скачать индивидуальный QR-код магазина</v>
      </c>
    </row>
    <row r="12113" spans="1:7" x14ac:dyDescent="0.25">
      <c r="A12113" t="s">
        <v>36861</v>
      </c>
      <c r="B12113" t="s">
        <v>37664</v>
      </c>
      <c r="C12113" t="s">
        <v>16736</v>
      </c>
      <c r="D12113" t="s">
        <v>16737</v>
      </c>
      <c r="E12113" t="s">
        <v>16738</v>
      </c>
      <c r="F12113" t="s">
        <v>37665</v>
      </c>
      <c r="G12113" s="2" t="str">
        <f>HYPERLINK("https://probpalata.gov.ru/files/ЮЛ630600259300004.jpeg","Скачать индивидуальный QR-код магазина")</f>
        <v>Скачать индивидуальный QR-код магазина</v>
      </c>
    </row>
    <row r="12114" spans="1:7" x14ac:dyDescent="0.25">
      <c r="A12114" t="s">
        <v>36861</v>
      </c>
      <c r="B12114" t="s">
        <v>37666</v>
      </c>
      <c r="C12114" t="s">
        <v>33949</v>
      </c>
      <c r="D12114" t="s">
        <v>33950</v>
      </c>
      <c r="E12114" t="s">
        <v>33951</v>
      </c>
      <c r="F12114" t="s">
        <v>37667</v>
      </c>
      <c r="G12114" s="2" t="str">
        <f>HYPERLINK("https://probpalata.gov.ru/files/ИП630603381400001.jpeg","Скачать индивидуальный QR-код магазина")</f>
        <v>Скачать индивидуальный QR-код магазина</v>
      </c>
    </row>
    <row r="12115" spans="1:7" x14ac:dyDescent="0.25">
      <c r="A12115" t="s">
        <v>36861</v>
      </c>
      <c r="B12115" t="s">
        <v>37668</v>
      </c>
      <c r="C12115" t="s">
        <v>33949</v>
      </c>
      <c r="D12115" t="s">
        <v>33950</v>
      </c>
      <c r="E12115" t="s">
        <v>33951</v>
      </c>
      <c r="F12115" t="s">
        <v>37669</v>
      </c>
      <c r="G12115" s="2" t="str">
        <f>HYPERLINK("https://probpalata.gov.ru/files/ИП630603381400004.jpeg","Скачать индивидуальный QR-код магазина")</f>
        <v>Скачать индивидуальный QR-код магазина</v>
      </c>
    </row>
    <row r="12116" spans="1:7" x14ac:dyDescent="0.25">
      <c r="A12116" t="s">
        <v>36861</v>
      </c>
      <c r="B12116" t="s">
        <v>37443</v>
      </c>
      <c r="C12116" t="s">
        <v>33949</v>
      </c>
      <c r="D12116" t="s">
        <v>33950</v>
      </c>
      <c r="E12116" t="s">
        <v>33951</v>
      </c>
      <c r="F12116" t="s">
        <v>37670</v>
      </c>
      <c r="G12116" s="2" t="str">
        <f>HYPERLINK("https://probpalata.gov.ru/files/ИП630603381400005.jpeg","Скачать индивидуальный QR-код магазина")</f>
        <v>Скачать индивидуальный QR-код магазина</v>
      </c>
    </row>
    <row r="12117" spans="1:7" x14ac:dyDescent="0.25">
      <c r="A12117" t="s">
        <v>36861</v>
      </c>
      <c r="B12117" t="s">
        <v>36943</v>
      </c>
      <c r="C12117" t="s">
        <v>33949</v>
      </c>
      <c r="D12117" t="s">
        <v>33950</v>
      </c>
      <c r="E12117" t="s">
        <v>33951</v>
      </c>
      <c r="F12117" t="s">
        <v>37671</v>
      </c>
      <c r="G12117" s="2" t="str">
        <f>HYPERLINK("https://probpalata.gov.ru/files/ИП630603381400007.jpeg","Скачать индивидуальный QR-код магазина")</f>
        <v>Скачать индивидуальный QR-код магазина</v>
      </c>
    </row>
    <row r="12118" spans="1:7" x14ac:dyDescent="0.25">
      <c r="A12118" t="s">
        <v>36861</v>
      </c>
      <c r="B12118" t="s">
        <v>37672</v>
      </c>
      <c r="C12118" t="s">
        <v>33949</v>
      </c>
      <c r="D12118" t="s">
        <v>33950</v>
      </c>
      <c r="E12118" t="s">
        <v>33951</v>
      </c>
      <c r="F12118" t="s">
        <v>37673</v>
      </c>
      <c r="G12118" s="2" t="str">
        <f>HYPERLINK("https://probpalata.gov.ru/files/ИП630603381400009.jpeg","Скачать индивидуальный QR-код магазина")</f>
        <v>Скачать индивидуальный QR-код магазина</v>
      </c>
    </row>
    <row r="12119" spans="1:7" x14ac:dyDescent="0.25">
      <c r="A12119" t="s">
        <v>36861</v>
      </c>
      <c r="B12119" t="s">
        <v>37672</v>
      </c>
      <c r="C12119" t="s">
        <v>33949</v>
      </c>
      <c r="D12119" t="s">
        <v>33950</v>
      </c>
      <c r="E12119" t="s">
        <v>33951</v>
      </c>
      <c r="F12119" t="s">
        <v>37674</v>
      </c>
      <c r="G12119" s="2" t="str">
        <f>HYPERLINK("https://probpalata.gov.ru/files/ИП630603381400011.jpeg","Скачать индивидуальный QR-код магазина")</f>
        <v>Скачать индивидуальный QR-код магазина</v>
      </c>
    </row>
    <row r="12120" spans="1:7" x14ac:dyDescent="0.25">
      <c r="A12120" t="s">
        <v>36861</v>
      </c>
      <c r="B12120" t="s">
        <v>37417</v>
      </c>
      <c r="C12120" t="s">
        <v>33949</v>
      </c>
      <c r="D12120" t="s">
        <v>33950</v>
      </c>
      <c r="E12120" t="s">
        <v>33951</v>
      </c>
      <c r="F12120" t="s">
        <v>37675</v>
      </c>
      <c r="G12120" s="2" t="str">
        <f>HYPERLINK("https://probpalata.gov.ru/files/ИП630603381400013.jpeg","Скачать индивидуальный QR-код магазина")</f>
        <v>Скачать индивидуальный QR-код магазина</v>
      </c>
    </row>
    <row r="12121" spans="1:7" x14ac:dyDescent="0.25">
      <c r="A12121" t="s">
        <v>36861</v>
      </c>
      <c r="B12121" t="s">
        <v>37676</v>
      </c>
      <c r="C12121" t="s">
        <v>33949</v>
      </c>
      <c r="D12121" t="s">
        <v>33950</v>
      </c>
      <c r="E12121" t="s">
        <v>33951</v>
      </c>
      <c r="F12121" t="s">
        <v>37677</v>
      </c>
      <c r="G12121" s="2" t="str">
        <f>HYPERLINK("https://probpalata.gov.ru/files/ИП630603381400014.jpeg","Скачать индивидуальный QR-код магазина")</f>
        <v>Скачать индивидуальный QR-код магазина</v>
      </c>
    </row>
    <row r="12122" spans="1:7" x14ac:dyDescent="0.25">
      <c r="A12122" t="s">
        <v>36861</v>
      </c>
      <c r="B12122" t="s">
        <v>36939</v>
      </c>
      <c r="C12122" t="s">
        <v>33949</v>
      </c>
      <c r="D12122" t="s">
        <v>33950</v>
      </c>
      <c r="E12122" t="s">
        <v>33951</v>
      </c>
      <c r="F12122" t="s">
        <v>37678</v>
      </c>
      <c r="G12122" s="2" t="str">
        <f>HYPERLINK("https://probpalata.gov.ru/files/ИП630603381400018.jpeg","Скачать индивидуальный QR-код магазина")</f>
        <v>Скачать индивидуальный QR-код магазина</v>
      </c>
    </row>
    <row r="12123" spans="1:7" x14ac:dyDescent="0.25">
      <c r="A12123" t="s">
        <v>36861</v>
      </c>
      <c r="B12123" t="s">
        <v>37679</v>
      </c>
      <c r="C12123" t="s">
        <v>33949</v>
      </c>
      <c r="D12123" t="s">
        <v>33950</v>
      </c>
      <c r="E12123" t="s">
        <v>33951</v>
      </c>
      <c r="F12123" t="s">
        <v>37680</v>
      </c>
      <c r="G12123" s="2" t="str">
        <f>HYPERLINK("https://probpalata.gov.ru/files/ИП630603381400021.jpeg","Скачать индивидуальный QR-код магазина")</f>
        <v>Скачать индивидуальный QR-код магазина</v>
      </c>
    </row>
    <row r="12124" spans="1:7" x14ac:dyDescent="0.25">
      <c r="A12124" t="s">
        <v>36861</v>
      </c>
      <c r="B12124" t="s">
        <v>37681</v>
      </c>
      <c r="C12124" t="s">
        <v>2197</v>
      </c>
      <c r="D12124" t="s">
        <v>2198</v>
      </c>
      <c r="E12124" t="s">
        <v>2199</v>
      </c>
      <c r="F12124" t="s">
        <v>37682</v>
      </c>
      <c r="G12124" s="2" t="str">
        <f>HYPERLINK("https://probpalata.gov.ru/files/ИП630601425400021.jpeg","Скачать индивидуальный QR-код магазина")</f>
        <v>Скачать индивидуальный QR-код магазина</v>
      </c>
    </row>
    <row r="12125" spans="1:7" x14ac:dyDescent="0.25">
      <c r="A12125" t="s">
        <v>36861</v>
      </c>
      <c r="B12125" t="s">
        <v>37683</v>
      </c>
      <c r="C12125" t="s">
        <v>2197</v>
      </c>
      <c r="D12125" t="s">
        <v>2198</v>
      </c>
      <c r="E12125" t="s">
        <v>2199</v>
      </c>
      <c r="F12125" t="s">
        <v>37684</v>
      </c>
      <c r="G12125" s="2" t="str">
        <f>HYPERLINK("https://probpalata.gov.ru/files/ИП630601425400050.jpeg","Скачать индивидуальный QR-код магазина")</f>
        <v>Скачать индивидуальный QR-код магазина</v>
      </c>
    </row>
    <row r="12126" spans="1:7" x14ac:dyDescent="0.25">
      <c r="A12126" t="s">
        <v>36861</v>
      </c>
      <c r="B12126" t="s">
        <v>37685</v>
      </c>
      <c r="C12126" t="s">
        <v>2197</v>
      </c>
      <c r="D12126" t="s">
        <v>2198</v>
      </c>
      <c r="E12126" t="s">
        <v>2199</v>
      </c>
      <c r="F12126" t="s">
        <v>37686</v>
      </c>
      <c r="G12126" s="2" t="str">
        <f>HYPERLINK("https://probpalata.gov.ru/files/ИП630601425400064.jpeg","Скачать индивидуальный QR-код магазина")</f>
        <v>Скачать индивидуальный QR-код магазина</v>
      </c>
    </row>
    <row r="12127" spans="1:7" x14ac:dyDescent="0.25">
      <c r="A12127" t="s">
        <v>36861</v>
      </c>
      <c r="B12127" t="s">
        <v>37687</v>
      </c>
      <c r="C12127" t="s">
        <v>2197</v>
      </c>
      <c r="D12127" t="s">
        <v>2198</v>
      </c>
      <c r="E12127" t="s">
        <v>2199</v>
      </c>
      <c r="F12127" t="s">
        <v>37688</v>
      </c>
      <c r="G12127" s="2" t="str">
        <f>HYPERLINK("https://probpalata.gov.ru/files/ИП630601425400072.jpeg","Скачать индивидуальный QR-код магазина")</f>
        <v>Скачать индивидуальный QR-код магазина</v>
      </c>
    </row>
    <row r="12128" spans="1:7" x14ac:dyDescent="0.25">
      <c r="A12128" t="s">
        <v>36861</v>
      </c>
      <c r="B12128" t="s">
        <v>37445</v>
      </c>
      <c r="C12128" t="s">
        <v>2197</v>
      </c>
      <c r="D12128" t="s">
        <v>2198</v>
      </c>
      <c r="E12128" t="s">
        <v>2199</v>
      </c>
      <c r="F12128" t="s">
        <v>37689</v>
      </c>
      <c r="G12128" s="2" t="str">
        <f>HYPERLINK("https://probpalata.gov.ru/files/ИП630601425400076.jpeg","Скачать индивидуальный QR-код магазина")</f>
        <v>Скачать индивидуальный QR-код магазина</v>
      </c>
    </row>
    <row r="12129" spans="1:7" x14ac:dyDescent="0.25">
      <c r="A12129" t="s">
        <v>36861</v>
      </c>
      <c r="B12129" t="s">
        <v>37690</v>
      </c>
      <c r="C12129" t="s">
        <v>2197</v>
      </c>
      <c r="D12129" t="s">
        <v>2198</v>
      </c>
      <c r="E12129" t="s">
        <v>2199</v>
      </c>
      <c r="F12129" t="s">
        <v>37691</v>
      </c>
      <c r="G12129" s="2" t="str">
        <f>HYPERLINK("https://probpalata.gov.ru/files/ИП630601425400100.jpeg","Скачать индивидуальный QR-код магазина")</f>
        <v>Скачать индивидуальный QR-код магазина</v>
      </c>
    </row>
    <row r="12130" spans="1:7" x14ac:dyDescent="0.25">
      <c r="A12130" t="s">
        <v>36861</v>
      </c>
      <c r="B12130" t="s">
        <v>37692</v>
      </c>
      <c r="C12130" t="s">
        <v>37693</v>
      </c>
      <c r="D12130" t="s">
        <v>37694</v>
      </c>
      <c r="E12130" t="s">
        <v>37695</v>
      </c>
      <c r="F12130" t="s">
        <v>37696</v>
      </c>
      <c r="G12130" s="2" t="str">
        <f>HYPERLINK("https://probpalata.gov.ru/files/ИП630600717400005.jpeg","Скачать индивидуальный QR-код магазина")</f>
        <v>Скачать индивидуальный QR-код магазина</v>
      </c>
    </row>
    <row r="12131" spans="1:7" x14ac:dyDescent="0.25">
      <c r="A12131" t="s">
        <v>36861</v>
      </c>
      <c r="B12131" t="s">
        <v>37687</v>
      </c>
      <c r="C12131" t="s">
        <v>37693</v>
      </c>
      <c r="D12131" t="s">
        <v>37694</v>
      </c>
      <c r="E12131" t="s">
        <v>37695</v>
      </c>
      <c r="F12131" t="s">
        <v>37697</v>
      </c>
      <c r="G12131" s="2" t="str">
        <f>HYPERLINK("https://probpalata.gov.ru/files/ИП630600717400006.jpeg","Скачать индивидуальный QR-код магазина")</f>
        <v>Скачать индивидуальный QR-код магазина</v>
      </c>
    </row>
    <row r="12132" spans="1:7" x14ac:dyDescent="0.25">
      <c r="A12132" t="s">
        <v>36861</v>
      </c>
      <c r="B12132" t="s">
        <v>37687</v>
      </c>
      <c r="C12132" t="s">
        <v>37693</v>
      </c>
      <c r="D12132" t="s">
        <v>37694</v>
      </c>
      <c r="E12132" t="s">
        <v>37695</v>
      </c>
      <c r="F12132" t="s">
        <v>37698</v>
      </c>
      <c r="G12132" s="2" t="str">
        <f>HYPERLINK("https://probpalata.gov.ru/files/ИП630600717400007.jpeg","Скачать индивидуальный QR-код магазина")</f>
        <v>Скачать индивидуальный QR-код магазина</v>
      </c>
    </row>
    <row r="12133" spans="1:7" x14ac:dyDescent="0.25">
      <c r="A12133" t="s">
        <v>36861</v>
      </c>
      <c r="B12133" t="s">
        <v>37699</v>
      </c>
      <c r="C12133" t="s">
        <v>37700</v>
      </c>
      <c r="D12133" t="s">
        <v>37701</v>
      </c>
      <c r="E12133" t="s">
        <v>37702</v>
      </c>
      <c r="F12133" t="s">
        <v>37703</v>
      </c>
      <c r="G12133" s="2" t="str">
        <f>HYPERLINK("https://probpalata.gov.ru/files/ИП630600633500000.jpeg","Скачать индивидуальный QR-код магазина")</f>
        <v>Скачать индивидуальный QR-код магазина</v>
      </c>
    </row>
    <row r="12134" spans="1:7" x14ac:dyDescent="0.25">
      <c r="A12134" t="s">
        <v>36861</v>
      </c>
      <c r="B12134" t="s">
        <v>37704</v>
      </c>
      <c r="C12134" t="s">
        <v>33965</v>
      </c>
      <c r="D12134" t="s">
        <v>33966</v>
      </c>
      <c r="E12134" t="s">
        <v>33967</v>
      </c>
      <c r="F12134" t="s">
        <v>37705</v>
      </c>
      <c r="G12134" s="2" t="str">
        <f>HYPERLINK("https://probpalata.gov.ru/files/ИП630600550300000.jpeg","Скачать индивидуальный QR-код магазина")</f>
        <v>Скачать индивидуальный QR-код магазина</v>
      </c>
    </row>
    <row r="12135" spans="1:7" x14ac:dyDescent="0.25">
      <c r="A12135" t="s">
        <v>36861</v>
      </c>
      <c r="B12135" t="s">
        <v>37706</v>
      </c>
      <c r="C12135" t="s">
        <v>33965</v>
      </c>
      <c r="D12135" t="s">
        <v>33966</v>
      </c>
      <c r="E12135" t="s">
        <v>33967</v>
      </c>
      <c r="F12135" t="s">
        <v>37707</v>
      </c>
      <c r="G12135" s="2" t="str">
        <f>HYPERLINK("https://probpalata.gov.ru/files/ИП630600550300002.jpeg","Скачать индивидуальный QR-код магазина")</f>
        <v>Скачать индивидуальный QR-код магазина</v>
      </c>
    </row>
    <row r="12136" spans="1:7" x14ac:dyDescent="0.25">
      <c r="A12136" t="s">
        <v>36861</v>
      </c>
      <c r="B12136" t="s">
        <v>37708</v>
      </c>
      <c r="C12136" t="s">
        <v>33965</v>
      </c>
      <c r="D12136" t="s">
        <v>33966</v>
      </c>
      <c r="E12136" t="s">
        <v>33967</v>
      </c>
      <c r="F12136" t="s">
        <v>37709</v>
      </c>
      <c r="G12136" s="2" t="str">
        <f>HYPERLINK("https://probpalata.gov.ru/files/ИП630600550300003.jpeg","Скачать индивидуальный QR-код магазина")</f>
        <v>Скачать индивидуальный QR-код магазина</v>
      </c>
    </row>
    <row r="12137" spans="1:7" x14ac:dyDescent="0.25">
      <c r="A12137" t="s">
        <v>36861</v>
      </c>
      <c r="B12137" t="s">
        <v>37710</v>
      </c>
      <c r="C12137" t="s">
        <v>33965</v>
      </c>
      <c r="D12137" t="s">
        <v>33966</v>
      </c>
      <c r="E12137" t="s">
        <v>33967</v>
      </c>
      <c r="F12137" t="s">
        <v>37711</v>
      </c>
      <c r="G12137" s="2" t="str">
        <f>HYPERLINK("https://probpalata.gov.ru/files/ИП630600550300009.jpeg","Скачать индивидуальный QR-код магазина")</f>
        <v>Скачать индивидуальный QR-код магазина</v>
      </c>
    </row>
    <row r="12138" spans="1:7" x14ac:dyDescent="0.25">
      <c r="A12138" t="s">
        <v>36861</v>
      </c>
      <c r="B12138" t="s">
        <v>37712</v>
      </c>
      <c r="C12138" t="s">
        <v>33965</v>
      </c>
      <c r="D12138" t="s">
        <v>33966</v>
      </c>
      <c r="E12138" t="s">
        <v>33967</v>
      </c>
      <c r="F12138" t="s">
        <v>37713</v>
      </c>
      <c r="G12138" s="2" t="str">
        <f>HYPERLINK("https://probpalata.gov.ru/files/ИП630600550300011.jpeg","Скачать индивидуальный QR-код магазина")</f>
        <v>Скачать индивидуальный QR-код магазина</v>
      </c>
    </row>
    <row r="12139" spans="1:7" x14ac:dyDescent="0.25">
      <c r="A12139" t="s">
        <v>36861</v>
      </c>
      <c r="B12139" t="s">
        <v>36941</v>
      </c>
      <c r="C12139" t="s">
        <v>33965</v>
      </c>
      <c r="D12139" t="s">
        <v>33966</v>
      </c>
      <c r="E12139" t="s">
        <v>33967</v>
      </c>
      <c r="F12139" t="s">
        <v>37714</v>
      </c>
      <c r="G12139" s="2" t="str">
        <f>HYPERLINK("https://probpalata.gov.ru/files/ИП630600550300013.jpeg","Скачать индивидуальный QR-код магазина")</f>
        <v>Скачать индивидуальный QR-код магазина</v>
      </c>
    </row>
    <row r="12140" spans="1:7" x14ac:dyDescent="0.25">
      <c r="A12140" t="s">
        <v>36861</v>
      </c>
      <c r="B12140" t="s">
        <v>37715</v>
      </c>
      <c r="C12140" t="s">
        <v>37716</v>
      </c>
      <c r="D12140" t="s">
        <v>37717</v>
      </c>
      <c r="E12140" t="s">
        <v>37718</v>
      </c>
      <c r="F12140" t="s">
        <v>37719</v>
      </c>
      <c r="G12140" s="2" t="str">
        <f>HYPERLINK("https://probpalata.gov.ru/files/ИП630600729900001.jpeg","Скачать индивидуальный QR-код магазина")</f>
        <v>Скачать индивидуальный QR-код магазина</v>
      </c>
    </row>
    <row r="12141" spans="1:7" x14ac:dyDescent="0.25">
      <c r="A12141" t="s">
        <v>36861</v>
      </c>
      <c r="B12141" t="s">
        <v>37720</v>
      </c>
      <c r="C12141" t="s">
        <v>37716</v>
      </c>
      <c r="D12141" t="s">
        <v>37717</v>
      </c>
      <c r="E12141" t="s">
        <v>37718</v>
      </c>
      <c r="F12141" t="s">
        <v>37721</v>
      </c>
      <c r="G12141" s="2" t="str">
        <f>HYPERLINK("https://probpalata.gov.ru/files/ИП630600729900002.jpeg","Скачать индивидуальный QR-код магазина")</f>
        <v>Скачать индивидуальный QR-код магазина</v>
      </c>
    </row>
    <row r="12142" spans="1:7" x14ac:dyDescent="0.25">
      <c r="A12142" t="s">
        <v>36861</v>
      </c>
      <c r="B12142" t="s">
        <v>37715</v>
      </c>
      <c r="C12142" t="s">
        <v>37716</v>
      </c>
      <c r="D12142" t="s">
        <v>37717</v>
      </c>
      <c r="E12142" t="s">
        <v>37718</v>
      </c>
      <c r="F12142" t="s">
        <v>37722</v>
      </c>
      <c r="G12142" s="2" t="str">
        <f>HYPERLINK("https://probpalata.gov.ru/files/ИП630600729900003.jpeg","Скачать индивидуальный QR-код магазина")</f>
        <v>Скачать индивидуальный QR-код магазина</v>
      </c>
    </row>
    <row r="12143" spans="1:7" x14ac:dyDescent="0.25">
      <c r="A12143" t="s">
        <v>36861</v>
      </c>
      <c r="B12143" t="s">
        <v>37723</v>
      </c>
      <c r="C12143" t="s">
        <v>37724</v>
      </c>
      <c r="D12143" t="s">
        <v>37725</v>
      </c>
      <c r="E12143" t="s">
        <v>37726</v>
      </c>
      <c r="F12143" t="s">
        <v>37727</v>
      </c>
      <c r="G12143" s="2" t="str">
        <f>HYPERLINK("https://probpalata.gov.ru/files/ИП020601841200001.jpeg","Скачать индивидуальный QR-код магазина")</f>
        <v>Скачать индивидуальный QR-код магазина</v>
      </c>
    </row>
    <row r="12144" spans="1:7" x14ac:dyDescent="0.25">
      <c r="A12144" t="s">
        <v>36861</v>
      </c>
      <c r="B12144" t="s">
        <v>37728</v>
      </c>
      <c r="C12144" t="s">
        <v>37729</v>
      </c>
      <c r="D12144" t="s">
        <v>37730</v>
      </c>
      <c r="E12144" t="s">
        <v>37731</v>
      </c>
      <c r="F12144" t="s">
        <v>37732</v>
      </c>
      <c r="G12144" s="2" t="str">
        <f>HYPERLINK("https://probpalata.gov.ru/files/ЮЛ660703833300007.jpeg","Скачать индивидуальный QR-код магазина")</f>
        <v>Скачать индивидуальный QR-код магазина</v>
      </c>
    </row>
    <row r="12145" spans="1:7" x14ac:dyDescent="0.25">
      <c r="A12145" t="s">
        <v>36861</v>
      </c>
      <c r="B12145" t="s">
        <v>37733</v>
      </c>
      <c r="C12145" t="s">
        <v>37729</v>
      </c>
      <c r="D12145" t="s">
        <v>37730</v>
      </c>
      <c r="E12145" t="s">
        <v>37731</v>
      </c>
      <c r="F12145" t="s">
        <v>37734</v>
      </c>
      <c r="G12145" s="2" t="str">
        <f>HYPERLINK("https://probpalata.gov.ru/files/ЮЛ660703833300009.jpeg","Скачать индивидуальный QR-код магазина")</f>
        <v>Скачать индивидуальный QR-код магазина</v>
      </c>
    </row>
    <row r="12146" spans="1:7" x14ac:dyDescent="0.25">
      <c r="A12146" t="s">
        <v>36861</v>
      </c>
      <c r="B12146" t="s">
        <v>37735</v>
      </c>
      <c r="C12146" t="s">
        <v>37736</v>
      </c>
      <c r="D12146" t="s">
        <v>37737</v>
      </c>
      <c r="E12146" t="s">
        <v>37738</v>
      </c>
      <c r="F12146" t="s">
        <v>37739</v>
      </c>
      <c r="G12146" s="2" t="str">
        <f>HYPERLINK("https://probpalata.gov.ru/files/ЮЛ660700087900001.jpeg","Скачать индивидуальный QR-код магазина")</f>
        <v>Скачать индивидуальный QR-код магазина</v>
      </c>
    </row>
    <row r="12147" spans="1:7" x14ac:dyDescent="0.25">
      <c r="A12147" t="s">
        <v>36861</v>
      </c>
      <c r="B12147" t="s">
        <v>37740</v>
      </c>
      <c r="C12147" t="s">
        <v>37736</v>
      </c>
      <c r="D12147" t="s">
        <v>37737</v>
      </c>
      <c r="E12147" t="s">
        <v>37738</v>
      </c>
      <c r="F12147" t="s">
        <v>37741</v>
      </c>
      <c r="G12147" s="2" t="str">
        <f>HYPERLINK("https://probpalata.gov.ru/files/ЮЛ660700087900002.jpeg","Скачать индивидуальный QR-код магазина")</f>
        <v>Скачать индивидуальный QR-код магазина</v>
      </c>
    </row>
    <row r="12148" spans="1:7" x14ac:dyDescent="0.25">
      <c r="A12148" t="s">
        <v>36861</v>
      </c>
      <c r="B12148" t="s">
        <v>37742</v>
      </c>
      <c r="C12148" t="s">
        <v>14967</v>
      </c>
      <c r="D12148" t="s">
        <v>14968</v>
      </c>
      <c r="E12148" t="s">
        <v>14969</v>
      </c>
      <c r="F12148" t="s">
        <v>37743</v>
      </c>
      <c r="G12148" s="2" t="str">
        <f>HYPERLINK("https://probpalata.gov.ru/files/ЮЛ660701304200003.jpeg","Скачать индивидуальный QR-код магазина")</f>
        <v>Скачать индивидуальный QR-код магазина</v>
      </c>
    </row>
    <row r="12149" spans="1:7" x14ac:dyDescent="0.25">
      <c r="A12149" t="s">
        <v>36861</v>
      </c>
      <c r="B12149" t="s">
        <v>37744</v>
      </c>
      <c r="C12149" t="s">
        <v>37745</v>
      </c>
      <c r="D12149" t="s">
        <v>37746</v>
      </c>
      <c r="E12149" t="s">
        <v>37747</v>
      </c>
      <c r="F12149" t="s">
        <v>37748</v>
      </c>
      <c r="G12149" s="2" t="str">
        <f>HYPERLINK("https://probpalata.gov.ru/files/ИП740700505000004.jpeg","Скачать индивидуальный QR-код магазина")</f>
        <v>Скачать индивидуальный QR-код магазина</v>
      </c>
    </row>
    <row r="12150" spans="1:7" x14ac:dyDescent="0.25">
      <c r="A12150" t="s">
        <v>36861</v>
      </c>
      <c r="B12150" t="s">
        <v>37749</v>
      </c>
      <c r="C12150" t="s">
        <v>37745</v>
      </c>
      <c r="D12150" t="s">
        <v>37746</v>
      </c>
      <c r="E12150" t="s">
        <v>37747</v>
      </c>
      <c r="F12150" t="s">
        <v>37750</v>
      </c>
      <c r="G12150" s="2" t="str">
        <f>HYPERLINK("https://probpalata.gov.ru/files/ИП740700505000007.jpeg","Скачать индивидуальный QR-код магазина")</f>
        <v>Скачать индивидуальный QR-код магазина</v>
      </c>
    </row>
    <row r="12151" spans="1:7" x14ac:dyDescent="0.25">
      <c r="A12151" t="s">
        <v>36861</v>
      </c>
      <c r="B12151" t="s">
        <v>37751</v>
      </c>
      <c r="C12151" t="s">
        <v>37752</v>
      </c>
      <c r="D12151" t="s">
        <v>37753</v>
      </c>
      <c r="E12151" t="s">
        <v>37754</v>
      </c>
      <c r="F12151" t="s">
        <v>37755</v>
      </c>
      <c r="G12151" s="2" t="str">
        <f>HYPERLINK("https://probpalata.gov.ru/files/ЮЛ740700065400001.jpeg","Скачать индивидуальный QR-код магазина")</f>
        <v>Скачать индивидуальный QR-код магазина</v>
      </c>
    </row>
    <row r="12152" spans="1:7" x14ac:dyDescent="0.25">
      <c r="A12152" t="s">
        <v>36861</v>
      </c>
      <c r="B12152" t="s">
        <v>37756</v>
      </c>
      <c r="C12152" t="s">
        <v>37752</v>
      </c>
      <c r="D12152" t="s">
        <v>37753</v>
      </c>
      <c r="E12152" t="s">
        <v>37754</v>
      </c>
      <c r="F12152" t="s">
        <v>37757</v>
      </c>
      <c r="G12152" s="2" t="str">
        <f>HYPERLINK("https://probpalata.gov.ru/files/ЮЛ740700065400004.jpeg","Скачать индивидуальный QR-код магазина")</f>
        <v>Скачать индивидуальный QR-код магазина</v>
      </c>
    </row>
    <row r="12153" spans="1:7" x14ac:dyDescent="0.25">
      <c r="A12153" t="s">
        <v>36861</v>
      </c>
      <c r="B12153" t="s">
        <v>37758</v>
      </c>
      <c r="C12153" t="s">
        <v>713</v>
      </c>
      <c r="D12153" t="s">
        <v>714</v>
      </c>
      <c r="E12153" t="s">
        <v>715</v>
      </c>
      <c r="F12153" t="s">
        <v>37759</v>
      </c>
      <c r="G12153" s="2" t="str">
        <f>HYPERLINK("https://probpalata.gov.ru/files/ЮЛ770101216600168.jpeg","Скачать индивидуальный QR-код магазина")</f>
        <v>Скачать индивидуальный QR-код магазина</v>
      </c>
    </row>
    <row r="12154" spans="1:7" x14ac:dyDescent="0.25">
      <c r="A12154" t="s">
        <v>36861</v>
      </c>
      <c r="B12154" t="s">
        <v>37760</v>
      </c>
      <c r="C12154" t="s">
        <v>713</v>
      </c>
      <c r="D12154" t="s">
        <v>714</v>
      </c>
      <c r="E12154" t="s">
        <v>715</v>
      </c>
      <c r="F12154" t="s">
        <v>37761</v>
      </c>
      <c r="G12154" s="2" t="str">
        <f>HYPERLINK("https://probpalata.gov.ru/files/ЮЛ770101216600176.jpeg","Скачать индивидуальный QR-код магазина")</f>
        <v>Скачать индивидуальный QR-код магазина</v>
      </c>
    </row>
    <row r="12155" spans="1:7" x14ac:dyDescent="0.25">
      <c r="A12155" t="s">
        <v>36861</v>
      </c>
      <c r="B12155" t="s">
        <v>37762</v>
      </c>
      <c r="C12155" t="s">
        <v>713</v>
      </c>
      <c r="D12155" t="s">
        <v>714</v>
      </c>
      <c r="E12155" t="s">
        <v>715</v>
      </c>
      <c r="F12155" t="s">
        <v>37763</v>
      </c>
      <c r="G12155" s="2" t="str">
        <f>HYPERLINK("https://probpalata.gov.ru/files/ЮЛ770101216600224.jpeg","Скачать индивидуальный QR-код магазина")</f>
        <v>Скачать индивидуальный QR-код магазина</v>
      </c>
    </row>
    <row r="12156" spans="1:7" x14ac:dyDescent="0.25">
      <c r="A12156" t="s">
        <v>36861</v>
      </c>
      <c r="B12156" t="s">
        <v>37764</v>
      </c>
      <c r="C12156" t="s">
        <v>713</v>
      </c>
      <c r="D12156" t="s">
        <v>714</v>
      </c>
      <c r="E12156" t="s">
        <v>715</v>
      </c>
      <c r="F12156" t="s">
        <v>37765</v>
      </c>
      <c r="G12156" s="2" t="str">
        <f>HYPERLINK("https://probpalata.gov.ru/files/ЮЛ770101216600378.jpeg","Скачать индивидуальный QR-код магазина")</f>
        <v>Скачать индивидуальный QR-код магазина</v>
      </c>
    </row>
    <row r="12157" spans="1:7" x14ac:dyDescent="0.25">
      <c r="A12157" t="s">
        <v>36861</v>
      </c>
      <c r="B12157" t="s">
        <v>37766</v>
      </c>
      <c r="C12157" t="s">
        <v>713</v>
      </c>
      <c r="D12157" t="s">
        <v>714</v>
      </c>
      <c r="E12157" t="s">
        <v>715</v>
      </c>
      <c r="F12157" t="s">
        <v>37767</v>
      </c>
      <c r="G12157" s="2" t="str">
        <f>HYPERLINK("https://probpalata.gov.ru/files/ЮЛ770101216600406.jpeg","Скачать индивидуальный QR-код магазина")</f>
        <v>Скачать индивидуальный QR-код магазина</v>
      </c>
    </row>
    <row r="12158" spans="1:7" x14ac:dyDescent="0.25">
      <c r="A12158" t="s">
        <v>36861</v>
      </c>
      <c r="B12158" t="s">
        <v>37768</v>
      </c>
      <c r="C12158" t="s">
        <v>713</v>
      </c>
      <c r="D12158" t="s">
        <v>714</v>
      </c>
      <c r="E12158" t="s">
        <v>715</v>
      </c>
      <c r="F12158" t="s">
        <v>37769</v>
      </c>
      <c r="G12158" s="2" t="str">
        <f>HYPERLINK("https://probpalata.gov.ru/files/ЮЛ770101216600419.jpeg","Скачать индивидуальный QR-код магазина")</f>
        <v>Скачать индивидуальный QR-код магазина</v>
      </c>
    </row>
    <row r="12159" spans="1:7" x14ac:dyDescent="0.25">
      <c r="A12159" t="s">
        <v>36861</v>
      </c>
      <c r="B12159" t="s">
        <v>37770</v>
      </c>
      <c r="C12159" t="s">
        <v>713</v>
      </c>
      <c r="D12159" t="s">
        <v>714</v>
      </c>
      <c r="E12159" t="s">
        <v>715</v>
      </c>
      <c r="F12159" t="s">
        <v>37771</v>
      </c>
      <c r="G12159" s="2" t="str">
        <f>HYPERLINK("https://probpalata.gov.ru/files/ЮЛ770101216600466.jpeg","Скачать индивидуальный QR-код магазина")</f>
        <v>Скачать индивидуальный QR-код магазина</v>
      </c>
    </row>
    <row r="12160" spans="1:7" x14ac:dyDescent="0.25">
      <c r="A12160" t="s">
        <v>36861</v>
      </c>
      <c r="B12160" t="s">
        <v>37772</v>
      </c>
      <c r="C12160" t="s">
        <v>713</v>
      </c>
      <c r="D12160" t="s">
        <v>714</v>
      </c>
      <c r="E12160" t="s">
        <v>715</v>
      </c>
      <c r="F12160" t="s">
        <v>37773</v>
      </c>
      <c r="G12160" s="2" t="str">
        <f>HYPERLINK("https://probpalata.gov.ru/files/ЮЛ770101216600511.jpeg","Скачать индивидуальный QR-код магазина")</f>
        <v>Скачать индивидуальный QR-код магазина</v>
      </c>
    </row>
    <row r="12161" spans="1:7" x14ac:dyDescent="0.25">
      <c r="A12161" t="s">
        <v>36861</v>
      </c>
      <c r="B12161" t="s">
        <v>37774</v>
      </c>
      <c r="C12161" t="s">
        <v>713</v>
      </c>
      <c r="D12161" t="s">
        <v>714</v>
      </c>
      <c r="E12161" t="s">
        <v>715</v>
      </c>
      <c r="F12161" t="s">
        <v>37775</v>
      </c>
      <c r="G12161" s="2" t="str">
        <f>HYPERLINK("https://probpalata.gov.ru/files/ЮЛ770101216600518.jpeg","Скачать индивидуальный QR-код магазина")</f>
        <v>Скачать индивидуальный QR-код магазина</v>
      </c>
    </row>
    <row r="12162" spans="1:7" x14ac:dyDescent="0.25">
      <c r="A12162" t="s">
        <v>36861</v>
      </c>
      <c r="B12162" t="s">
        <v>37776</v>
      </c>
      <c r="C12162" t="s">
        <v>713</v>
      </c>
      <c r="D12162" t="s">
        <v>714</v>
      </c>
      <c r="E12162" t="s">
        <v>715</v>
      </c>
      <c r="F12162" t="s">
        <v>37777</v>
      </c>
      <c r="G12162" s="2" t="str">
        <f>HYPERLINK("https://probpalata.gov.ru/files/ЮЛ770101216600520.jpeg","Скачать индивидуальный QR-код магазина")</f>
        <v>Скачать индивидуальный QR-код магазина</v>
      </c>
    </row>
    <row r="12163" spans="1:7" x14ac:dyDescent="0.25">
      <c r="A12163" t="s">
        <v>36861</v>
      </c>
      <c r="B12163" t="s">
        <v>37778</v>
      </c>
      <c r="C12163" t="s">
        <v>713</v>
      </c>
      <c r="D12163" t="s">
        <v>714</v>
      </c>
      <c r="E12163" t="s">
        <v>715</v>
      </c>
      <c r="F12163" t="s">
        <v>37779</v>
      </c>
      <c r="G12163" s="2" t="str">
        <f>HYPERLINK("https://probpalata.gov.ru/files/ЮЛ770101216600521.jpeg","Скачать индивидуальный QR-код магазина")</f>
        <v>Скачать индивидуальный QR-код магазина</v>
      </c>
    </row>
    <row r="12164" spans="1:7" x14ac:dyDescent="0.25">
      <c r="A12164" t="s">
        <v>36861</v>
      </c>
      <c r="B12164" t="s">
        <v>37780</v>
      </c>
      <c r="C12164" t="s">
        <v>713</v>
      </c>
      <c r="D12164" t="s">
        <v>714</v>
      </c>
      <c r="E12164" t="s">
        <v>715</v>
      </c>
      <c r="F12164" t="s">
        <v>37781</v>
      </c>
      <c r="G12164" s="2" t="str">
        <f>HYPERLINK("https://probpalata.gov.ru/files/ЮЛ770101216600556.jpeg","Скачать индивидуальный QR-код магазина")</f>
        <v>Скачать индивидуальный QR-код магазина</v>
      </c>
    </row>
    <row r="12165" spans="1:7" x14ac:dyDescent="0.25">
      <c r="A12165" t="s">
        <v>36861</v>
      </c>
      <c r="B12165" t="s">
        <v>37782</v>
      </c>
      <c r="C12165" t="s">
        <v>713</v>
      </c>
      <c r="D12165" t="s">
        <v>714</v>
      </c>
      <c r="E12165" t="s">
        <v>715</v>
      </c>
      <c r="F12165" t="s">
        <v>37783</v>
      </c>
      <c r="G12165" s="2" t="str">
        <f>HYPERLINK("https://probpalata.gov.ru/files/ЮЛ770101216600568.jpeg","Скачать индивидуальный QR-код магазина")</f>
        <v>Скачать индивидуальный QR-код магазина</v>
      </c>
    </row>
    <row r="12166" spans="1:7" x14ac:dyDescent="0.25">
      <c r="A12166" t="s">
        <v>36861</v>
      </c>
      <c r="B12166" t="s">
        <v>37784</v>
      </c>
      <c r="C12166" t="s">
        <v>713</v>
      </c>
      <c r="D12166" t="s">
        <v>714</v>
      </c>
      <c r="E12166" t="s">
        <v>715</v>
      </c>
      <c r="F12166" t="s">
        <v>37785</v>
      </c>
      <c r="G12166" s="2" t="str">
        <f>HYPERLINK("https://probpalata.gov.ru/files/ЮЛ770101216600611.jpeg","Скачать индивидуальный QR-код магазина")</f>
        <v>Скачать индивидуальный QR-код магазина</v>
      </c>
    </row>
    <row r="12167" spans="1:7" x14ac:dyDescent="0.25">
      <c r="A12167" t="s">
        <v>36861</v>
      </c>
      <c r="B12167" t="s">
        <v>37786</v>
      </c>
      <c r="C12167" t="s">
        <v>713</v>
      </c>
      <c r="D12167" t="s">
        <v>714</v>
      </c>
      <c r="E12167" t="s">
        <v>715</v>
      </c>
      <c r="F12167" t="s">
        <v>37787</v>
      </c>
      <c r="G12167" s="2" t="str">
        <f>HYPERLINK("https://probpalata.gov.ru/files/ЮЛ770101216600638.jpeg","Скачать индивидуальный QR-код магазина")</f>
        <v>Скачать индивидуальный QR-код магазина</v>
      </c>
    </row>
    <row r="12168" spans="1:7" x14ac:dyDescent="0.25">
      <c r="A12168" t="s">
        <v>36861</v>
      </c>
      <c r="B12168" t="s">
        <v>37788</v>
      </c>
      <c r="C12168" t="s">
        <v>713</v>
      </c>
      <c r="D12168" t="s">
        <v>714</v>
      </c>
      <c r="E12168" t="s">
        <v>715</v>
      </c>
      <c r="F12168" t="s">
        <v>37789</v>
      </c>
      <c r="G12168" s="2" t="str">
        <f>HYPERLINK("https://probpalata.gov.ru/files/ЮЛ770101216600650.jpeg","Скачать индивидуальный QR-код магазина")</f>
        <v>Скачать индивидуальный QR-код магазина</v>
      </c>
    </row>
    <row r="12169" spans="1:7" x14ac:dyDescent="0.25">
      <c r="A12169" t="s">
        <v>36861</v>
      </c>
      <c r="B12169" t="s">
        <v>37790</v>
      </c>
      <c r="C12169" t="s">
        <v>713</v>
      </c>
      <c r="D12169" t="s">
        <v>714</v>
      </c>
      <c r="E12169" t="s">
        <v>715</v>
      </c>
      <c r="F12169" t="s">
        <v>37791</v>
      </c>
      <c r="G12169" s="2" t="str">
        <f>HYPERLINK("https://probpalata.gov.ru/files/ЮЛ770101216600806.jpeg","Скачать индивидуальный QR-код магазина")</f>
        <v>Скачать индивидуальный QR-код магазина</v>
      </c>
    </row>
    <row r="12170" spans="1:7" x14ac:dyDescent="0.25">
      <c r="A12170" t="s">
        <v>36861</v>
      </c>
      <c r="B12170" t="s">
        <v>37792</v>
      </c>
      <c r="C12170" t="s">
        <v>713</v>
      </c>
      <c r="D12170" t="s">
        <v>714</v>
      </c>
      <c r="E12170" t="s">
        <v>715</v>
      </c>
      <c r="F12170" t="s">
        <v>37793</v>
      </c>
      <c r="G12170" s="2" t="str">
        <f>HYPERLINK("https://probpalata.gov.ru/files/ЮЛ770101216600861.jpeg","Скачать индивидуальный QR-код магазина")</f>
        <v>Скачать индивидуальный QR-код магазина</v>
      </c>
    </row>
    <row r="12171" spans="1:7" x14ac:dyDescent="0.25">
      <c r="A12171" t="s">
        <v>36861</v>
      </c>
      <c r="B12171" t="s">
        <v>37794</v>
      </c>
      <c r="C12171" t="s">
        <v>713</v>
      </c>
      <c r="D12171" t="s">
        <v>714</v>
      </c>
      <c r="E12171" t="s">
        <v>715</v>
      </c>
      <c r="F12171" t="s">
        <v>37795</v>
      </c>
      <c r="G12171" s="2" t="str">
        <f>HYPERLINK("https://probpalata.gov.ru/files/ЮЛ770101216600869.jpeg","Скачать индивидуальный QR-код магазина")</f>
        <v>Скачать индивидуальный QR-код магазина</v>
      </c>
    </row>
    <row r="12172" spans="1:7" x14ac:dyDescent="0.25">
      <c r="A12172" t="s">
        <v>36861</v>
      </c>
      <c r="B12172" t="s">
        <v>37796</v>
      </c>
      <c r="C12172" t="s">
        <v>713</v>
      </c>
      <c r="D12172" t="s">
        <v>714</v>
      </c>
      <c r="E12172" t="s">
        <v>715</v>
      </c>
      <c r="F12172" t="s">
        <v>37797</v>
      </c>
      <c r="G12172" s="2" t="str">
        <f>HYPERLINK("https://probpalata.gov.ru/files/ЮЛ770101216600944.jpeg","Скачать индивидуальный QR-код магазина")</f>
        <v>Скачать индивидуальный QR-код магазина</v>
      </c>
    </row>
    <row r="12173" spans="1:7" x14ac:dyDescent="0.25">
      <c r="A12173" t="s">
        <v>36861</v>
      </c>
      <c r="B12173" t="s">
        <v>37798</v>
      </c>
      <c r="C12173" t="s">
        <v>713</v>
      </c>
      <c r="D12173" t="s">
        <v>714</v>
      </c>
      <c r="E12173" t="s">
        <v>715</v>
      </c>
      <c r="F12173" t="s">
        <v>37799</v>
      </c>
      <c r="G12173" s="2" t="str">
        <f>HYPERLINK("https://probpalata.gov.ru/files/ЮЛ770101216600968.jpeg","Скачать индивидуальный QR-код магазина")</f>
        <v>Скачать индивидуальный QR-код магазина</v>
      </c>
    </row>
    <row r="12174" spans="1:7" x14ac:dyDescent="0.25">
      <c r="A12174" t="s">
        <v>36861</v>
      </c>
      <c r="B12174" t="s">
        <v>37800</v>
      </c>
      <c r="C12174" t="s">
        <v>713</v>
      </c>
      <c r="D12174" t="s">
        <v>714</v>
      </c>
      <c r="E12174" t="s">
        <v>715</v>
      </c>
      <c r="F12174" t="s">
        <v>37801</v>
      </c>
      <c r="G12174" s="2" t="str">
        <f>HYPERLINK("https://probpalata.gov.ru/files/ЮЛ770101216601000.jpeg","Скачать индивидуальный QR-код магазина")</f>
        <v>Скачать индивидуальный QR-код магазина</v>
      </c>
    </row>
    <row r="12175" spans="1:7" x14ac:dyDescent="0.25">
      <c r="A12175" t="s">
        <v>36861</v>
      </c>
      <c r="B12175" t="s">
        <v>37802</v>
      </c>
      <c r="C12175" t="s">
        <v>713</v>
      </c>
      <c r="D12175" t="s">
        <v>714</v>
      </c>
      <c r="E12175" t="s">
        <v>715</v>
      </c>
      <c r="F12175" t="s">
        <v>37803</v>
      </c>
      <c r="G12175" s="2" t="str">
        <f>HYPERLINK("https://probpalata.gov.ru/files/ЮЛ770101216601005.jpeg","Скачать индивидуальный QR-код магазина")</f>
        <v>Скачать индивидуальный QR-код магазина</v>
      </c>
    </row>
    <row r="12176" spans="1:7" x14ac:dyDescent="0.25">
      <c r="A12176" t="s">
        <v>36861</v>
      </c>
      <c r="B12176" t="s">
        <v>37804</v>
      </c>
      <c r="C12176" t="s">
        <v>1416</v>
      </c>
      <c r="D12176" t="s">
        <v>1417</v>
      </c>
      <c r="E12176" t="s">
        <v>1418</v>
      </c>
      <c r="F12176" t="s">
        <v>37805</v>
      </c>
      <c r="G12176" s="2" t="str">
        <f>HYPERLINK("https://probpalata.gov.ru/files/ЮЛ770100419400088.jpeg","Скачать индивидуальный QR-код магазина")</f>
        <v>Скачать индивидуальный QR-код магазина</v>
      </c>
    </row>
    <row r="12177" spans="1:7" x14ac:dyDescent="0.25">
      <c r="A12177" t="s">
        <v>36861</v>
      </c>
      <c r="B12177" t="s">
        <v>37806</v>
      </c>
      <c r="C12177" t="s">
        <v>1416</v>
      </c>
      <c r="D12177" t="s">
        <v>1417</v>
      </c>
      <c r="E12177" t="s">
        <v>1418</v>
      </c>
      <c r="F12177" t="s">
        <v>37807</v>
      </c>
      <c r="G12177" s="2" t="str">
        <f>HYPERLINK("https://probpalata.gov.ru/files/ЮЛ770100419400090.jpeg","Скачать индивидуальный QR-код магазина")</f>
        <v>Скачать индивидуальный QR-код магазина</v>
      </c>
    </row>
    <row r="12178" spans="1:7" x14ac:dyDescent="0.25">
      <c r="A12178" t="s">
        <v>36861</v>
      </c>
      <c r="B12178" t="s">
        <v>37808</v>
      </c>
      <c r="C12178" t="s">
        <v>1416</v>
      </c>
      <c r="D12178" t="s">
        <v>1417</v>
      </c>
      <c r="E12178" t="s">
        <v>1418</v>
      </c>
      <c r="F12178" t="s">
        <v>37809</v>
      </c>
      <c r="G12178" s="2" t="str">
        <f>HYPERLINK("https://probpalata.gov.ru/files/ЮЛ770100419400232.jpeg","Скачать индивидуальный QR-код магазина")</f>
        <v>Скачать индивидуальный QR-код магазина</v>
      </c>
    </row>
    <row r="12179" spans="1:7" x14ac:dyDescent="0.25">
      <c r="A12179" t="s">
        <v>36861</v>
      </c>
      <c r="B12179" t="s">
        <v>37810</v>
      </c>
      <c r="C12179" t="s">
        <v>748</v>
      </c>
      <c r="D12179" t="s">
        <v>749</v>
      </c>
      <c r="E12179" t="s">
        <v>750</v>
      </c>
      <c r="F12179" t="s">
        <v>37811</v>
      </c>
      <c r="G12179" s="2" t="str">
        <f>HYPERLINK("https://probpalata.gov.ru/files/ЮЛ770100193500040.jpeg","Скачать индивидуальный QR-код магазина")</f>
        <v>Скачать индивидуальный QR-код магазина</v>
      </c>
    </row>
    <row r="12180" spans="1:7" x14ac:dyDescent="0.25">
      <c r="A12180" t="s">
        <v>36861</v>
      </c>
      <c r="B12180" t="s">
        <v>37812</v>
      </c>
      <c r="C12180" t="s">
        <v>748</v>
      </c>
      <c r="D12180" t="s">
        <v>749</v>
      </c>
      <c r="E12180" t="s">
        <v>750</v>
      </c>
      <c r="F12180" t="s">
        <v>37813</v>
      </c>
      <c r="G12180" s="2" t="str">
        <f>HYPERLINK("https://probpalata.gov.ru/files/ЮЛ770100193500042.jpeg","Скачать индивидуальный QR-код магазина")</f>
        <v>Скачать индивидуальный QR-код магазина</v>
      </c>
    </row>
    <row r="12181" spans="1:7" x14ac:dyDescent="0.25">
      <c r="A12181" t="s">
        <v>36861</v>
      </c>
      <c r="B12181" t="s">
        <v>37814</v>
      </c>
      <c r="C12181" t="s">
        <v>748</v>
      </c>
      <c r="D12181" t="s">
        <v>749</v>
      </c>
      <c r="E12181" t="s">
        <v>750</v>
      </c>
      <c r="F12181" t="s">
        <v>37815</v>
      </c>
      <c r="G12181" s="2" t="str">
        <f>HYPERLINK("https://probpalata.gov.ru/files/ЮЛ770100193500044.jpeg","Скачать индивидуальный QR-код магазина")</f>
        <v>Скачать индивидуальный QR-код магазина</v>
      </c>
    </row>
    <row r="12182" spans="1:7" x14ac:dyDescent="0.25">
      <c r="A12182" t="s">
        <v>36861</v>
      </c>
      <c r="B12182" t="s">
        <v>37816</v>
      </c>
      <c r="C12182" t="s">
        <v>748</v>
      </c>
      <c r="D12182" t="s">
        <v>749</v>
      </c>
      <c r="E12182" t="s">
        <v>750</v>
      </c>
      <c r="F12182" t="s">
        <v>37817</v>
      </c>
      <c r="G12182" s="2" t="str">
        <f>HYPERLINK("https://probpalata.gov.ru/files/ЮЛ770100193500045.jpeg","Скачать индивидуальный QR-код магазина")</f>
        <v>Скачать индивидуальный QR-код магазина</v>
      </c>
    </row>
    <row r="12183" spans="1:7" x14ac:dyDescent="0.25">
      <c r="A12183" t="s">
        <v>36861</v>
      </c>
      <c r="B12183" t="s">
        <v>37818</v>
      </c>
      <c r="C12183" t="s">
        <v>748</v>
      </c>
      <c r="D12183" t="s">
        <v>749</v>
      </c>
      <c r="E12183" t="s">
        <v>750</v>
      </c>
      <c r="F12183" t="s">
        <v>37819</v>
      </c>
      <c r="G12183" s="2" t="str">
        <f>HYPERLINK("https://probpalata.gov.ru/files/ЮЛ770100193500484.jpeg","Скачать индивидуальный QR-код магазина")</f>
        <v>Скачать индивидуальный QR-код магазина</v>
      </c>
    </row>
    <row r="12184" spans="1:7" x14ac:dyDescent="0.25">
      <c r="A12184" t="s">
        <v>36861</v>
      </c>
      <c r="B12184" t="s">
        <v>37820</v>
      </c>
      <c r="C12184" t="s">
        <v>748</v>
      </c>
      <c r="D12184" t="s">
        <v>749</v>
      </c>
      <c r="E12184" t="s">
        <v>750</v>
      </c>
      <c r="F12184" t="s">
        <v>37821</v>
      </c>
      <c r="G12184" s="2" t="str">
        <f>HYPERLINK("https://probpalata.gov.ru/files/ЮЛ770100193500583.jpeg","Скачать индивидуальный QR-код магазина")</f>
        <v>Скачать индивидуальный QR-код магазина</v>
      </c>
    </row>
    <row r="12185" spans="1:7" x14ac:dyDescent="0.25">
      <c r="A12185" t="s">
        <v>36861</v>
      </c>
      <c r="B12185" t="s">
        <v>37822</v>
      </c>
      <c r="C12185" t="s">
        <v>748</v>
      </c>
      <c r="D12185" t="s">
        <v>749</v>
      </c>
      <c r="E12185" t="s">
        <v>750</v>
      </c>
      <c r="F12185" t="s">
        <v>37823</v>
      </c>
      <c r="G12185" s="2" t="str">
        <f>HYPERLINK("https://probpalata.gov.ru/files/ЮЛ770100193500626.jpeg","Скачать индивидуальный QR-код магазина")</f>
        <v>Скачать индивидуальный QR-код магазина</v>
      </c>
    </row>
    <row r="12186" spans="1:7" x14ac:dyDescent="0.25">
      <c r="A12186" t="s">
        <v>36861</v>
      </c>
      <c r="B12186" t="s">
        <v>37824</v>
      </c>
      <c r="C12186" t="s">
        <v>748</v>
      </c>
      <c r="D12186" t="s">
        <v>749</v>
      </c>
      <c r="E12186" t="s">
        <v>750</v>
      </c>
      <c r="F12186" t="s">
        <v>37825</v>
      </c>
      <c r="G12186" s="2" t="str">
        <f>HYPERLINK("https://probpalata.gov.ru/files/ЮЛ770100193500685.jpeg","Скачать индивидуальный QR-код магазина")</f>
        <v>Скачать индивидуальный QR-код магазина</v>
      </c>
    </row>
    <row r="12187" spans="1:7" x14ac:dyDescent="0.25">
      <c r="A12187" t="s">
        <v>36861</v>
      </c>
      <c r="B12187" t="s">
        <v>37826</v>
      </c>
      <c r="C12187" t="s">
        <v>748</v>
      </c>
      <c r="D12187" t="s">
        <v>749</v>
      </c>
      <c r="E12187" t="s">
        <v>750</v>
      </c>
      <c r="F12187" t="s">
        <v>37827</v>
      </c>
      <c r="G12187" s="2" t="str">
        <f>HYPERLINK("https://probpalata.gov.ru/files/ЮЛ770100193500687.jpeg","Скачать индивидуальный QR-код магазина")</f>
        <v>Скачать индивидуальный QR-код магазина</v>
      </c>
    </row>
    <row r="12188" spans="1:7" x14ac:dyDescent="0.25">
      <c r="A12188" t="s">
        <v>36861</v>
      </c>
      <c r="B12188" t="s">
        <v>37828</v>
      </c>
      <c r="C12188" t="s">
        <v>748</v>
      </c>
      <c r="D12188" t="s">
        <v>749</v>
      </c>
      <c r="E12188" t="s">
        <v>750</v>
      </c>
      <c r="F12188" t="s">
        <v>37829</v>
      </c>
      <c r="G12188" s="2" t="str">
        <f>HYPERLINK("https://probpalata.gov.ru/files/ЮЛ770100193500707.jpeg","Скачать индивидуальный QR-код магазина")</f>
        <v>Скачать индивидуальный QR-код магазина</v>
      </c>
    </row>
    <row r="12189" spans="1:7" x14ac:dyDescent="0.25">
      <c r="A12189" t="s">
        <v>36861</v>
      </c>
      <c r="B12189" t="s">
        <v>37830</v>
      </c>
      <c r="C12189" t="s">
        <v>748</v>
      </c>
      <c r="D12189" t="s">
        <v>749</v>
      </c>
      <c r="E12189" t="s">
        <v>750</v>
      </c>
      <c r="F12189" t="s">
        <v>37831</v>
      </c>
      <c r="G12189" s="2" t="str">
        <f>HYPERLINK("https://probpalata.gov.ru/files/ЮЛ770100193500736.jpeg","Скачать индивидуальный QR-код магазина")</f>
        <v>Скачать индивидуальный QR-код магазина</v>
      </c>
    </row>
    <row r="12190" spans="1:7" x14ac:dyDescent="0.25">
      <c r="A12190" t="s">
        <v>36861</v>
      </c>
      <c r="B12190" t="s">
        <v>37832</v>
      </c>
      <c r="C12190" t="s">
        <v>748</v>
      </c>
      <c r="D12190" t="s">
        <v>749</v>
      </c>
      <c r="E12190" t="s">
        <v>750</v>
      </c>
      <c r="F12190" t="s">
        <v>37833</v>
      </c>
      <c r="G12190" s="2" t="str">
        <f>HYPERLINK("https://probpalata.gov.ru/files/ЮЛ770100193500744.jpeg","Скачать индивидуальный QR-код магазина")</f>
        <v>Скачать индивидуальный QR-код магазина</v>
      </c>
    </row>
    <row r="12191" spans="1:7" x14ac:dyDescent="0.25">
      <c r="A12191" t="s">
        <v>36861</v>
      </c>
      <c r="B12191" t="s">
        <v>37834</v>
      </c>
      <c r="C12191" t="s">
        <v>748</v>
      </c>
      <c r="D12191" t="s">
        <v>749</v>
      </c>
      <c r="E12191" t="s">
        <v>750</v>
      </c>
      <c r="F12191" t="s">
        <v>37835</v>
      </c>
      <c r="G12191" s="2" t="str">
        <f>HYPERLINK("https://probpalata.gov.ru/files/ЮЛ770100193500759.jpeg","Скачать индивидуальный QR-код магазина")</f>
        <v>Скачать индивидуальный QR-код магазина</v>
      </c>
    </row>
    <row r="12192" spans="1:7" x14ac:dyDescent="0.25">
      <c r="A12192" t="s">
        <v>36861</v>
      </c>
      <c r="B12192" t="s">
        <v>37836</v>
      </c>
      <c r="C12192" t="s">
        <v>748</v>
      </c>
      <c r="D12192" t="s">
        <v>749</v>
      </c>
      <c r="E12192" t="s">
        <v>750</v>
      </c>
      <c r="F12192" t="s">
        <v>37837</v>
      </c>
      <c r="G12192" s="2" t="str">
        <f>HYPERLINK("https://probpalata.gov.ru/files/ЮЛ770100193500835.jpeg","Скачать индивидуальный QR-код магазина")</f>
        <v>Скачать индивидуальный QR-код магазина</v>
      </c>
    </row>
    <row r="12193" spans="1:7" x14ac:dyDescent="0.25">
      <c r="A12193" t="s">
        <v>36861</v>
      </c>
      <c r="B12193" t="s">
        <v>37838</v>
      </c>
      <c r="C12193" t="s">
        <v>748</v>
      </c>
      <c r="D12193" t="s">
        <v>749</v>
      </c>
      <c r="E12193" t="s">
        <v>750</v>
      </c>
      <c r="F12193" t="s">
        <v>37839</v>
      </c>
      <c r="G12193" s="2" t="str">
        <f>HYPERLINK("https://probpalata.gov.ru/files/ЮЛ770100193501088.jpeg","Скачать индивидуальный QR-код магазина")</f>
        <v>Скачать индивидуальный QR-код магазина</v>
      </c>
    </row>
    <row r="12194" spans="1:7" x14ac:dyDescent="0.25">
      <c r="A12194" t="s">
        <v>36861</v>
      </c>
      <c r="B12194" t="s">
        <v>37840</v>
      </c>
      <c r="C12194" t="s">
        <v>748</v>
      </c>
      <c r="D12194" t="s">
        <v>749</v>
      </c>
      <c r="E12194" t="s">
        <v>750</v>
      </c>
      <c r="F12194" t="s">
        <v>37841</v>
      </c>
      <c r="G12194" s="2" t="str">
        <f>HYPERLINK("https://probpalata.gov.ru/files/ЮЛ770100193501102.jpeg","Скачать индивидуальный QR-код магазина")</f>
        <v>Скачать индивидуальный QR-код магазина</v>
      </c>
    </row>
    <row r="12195" spans="1:7" x14ac:dyDescent="0.25">
      <c r="A12195" t="s">
        <v>36861</v>
      </c>
      <c r="B12195" t="s">
        <v>37842</v>
      </c>
      <c r="C12195" t="s">
        <v>748</v>
      </c>
      <c r="D12195" t="s">
        <v>749</v>
      </c>
      <c r="E12195" t="s">
        <v>750</v>
      </c>
      <c r="F12195" t="s">
        <v>37843</v>
      </c>
      <c r="G12195" s="2" t="str">
        <f>HYPERLINK("https://probpalata.gov.ru/files/ЮЛ770100193501120.jpeg","Скачать индивидуальный QR-код магазина")</f>
        <v>Скачать индивидуальный QR-код магазина</v>
      </c>
    </row>
    <row r="12196" spans="1:7" x14ac:dyDescent="0.25">
      <c r="A12196" t="s">
        <v>36861</v>
      </c>
      <c r="B12196" t="s">
        <v>37844</v>
      </c>
      <c r="C12196" t="s">
        <v>748</v>
      </c>
      <c r="D12196" t="s">
        <v>749</v>
      </c>
      <c r="E12196" t="s">
        <v>750</v>
      </c>
      <c r="F12196" t="s">
        <v>37845</v>
      </c>
      <c r="G12196" s="2" t="str">
        <f>HYPERLINK("https://probpalata.gov.ru/files/ЮЛ770100193501138.jpeg","Скачать индивидуальный QR-код магазина")</f>
        <v>Скачать индивидуальный QR-код магазина</v>
      </c>
    </row>
    <row r="12197" spans="1:7" x14ac:dyDescent="0.25">
      <c r="A12197" t="s">
        <v>36861</v>
      </c>
      <c r="B12197" t="s">
        <v>37846</v>
      </c>
      <c r="C12197" t="s">
        <v>15265</v>
      </c>
      <c r="D12197" t="s">
        <v>15266</v>
      </c>
      <c r="E12197" t="s">
        <v>15267</v>
      </c>
      <c r="F12197" t="s">
        <v>37847</v>
      </c>
      <c r="G12197" s="2" t="str">
        <f>HYPERLINK("https://probpalata.gov.ru/files/ЮЛ160600373100017.jpeg","Скачать индивидуальный QR-код магазина")</f>
        <v>Скачать индивидуальный QR-код магазина</v>
      </c>
    </row>
    <row r="12198" spans="1:7" x14ac:dyDescent="0.25">
      <c r="A12198" t="s">
        <v>36861</v>
      </c>
      <c r="B12198" t="s">
        <v>37664</v>
      </c>
      <c r="C12198" t="s">
        <v>6290</v>
      </c>
      <c r="D12198" t="s">
        <v>16830</v>
      </c>
      <c r="E12198" t="s">
        <v>16831</v>
      </c>
      <c r="F12198" t="s">
        <v>37848</v>
      </c>
      <c r="G12198" s="2" t="str">
        <f>HYPERLINK("https://probpalata.gov.ru/files/ЮЛ770103181900009.jpeg","Скачать индивидуальный QR-код магазина")</f>
        <v>Скачать индивидуальный QR-код магазина</v>
      </c>
    </row>
    <row r="12199" spans="1:7" x14ac:dyDescent="0.25">
      <c r="A12199" t="s">
        <v>36861</v>
      </c>
      <c r="B12199" t="s">
        <v>37849</v>
      </c>
      <c r="C12199" t="s">
        <v>34068</v>
      </c>
      <c r="D12199" t="s">
        <v>34069</v>
      </c>
      <c r="E12199" t="s">
        <v>34070</v>
      </c>
      <c r="F12199" t="s">
        <v>37850</v>
      </c>
      <c r="G12199" s="2" t="str">
        <f>HYPERLINK("https://probpalata.gov.ru/files/ИП780300226000003.jpeg","Скачать индивидуальный QR-код магазина")</f>
        <v>Скачать индивидуальный QR-код магазина</v>
      </c>
    </row>
    <row r="12200" spans="1:7" x14ac:dyDescent="0.25">
      <c r="A12200" t="s">
        <v>36861</v>
      </c>
      <c r="B12200" t="s">
        <v>37403</v>
      </c>
      <c r="C12200" t="s">
        <v>34068</v>
      </c>
      <c r="D12200" t="s">
        <v>34069</v>
      </c>
      <c r="E12200" t="s">
        <v>34070</v>
      </c>
      <c r="F12200" t="s">
        <v>37851</v>
      </c>
      <c r="G12200" s="2" t="str">
        <f>HYPERLINK("https://probpalata.gov.ru/files/ИП780300226000008.jpeg","Скачать индивидуальный QR-код магазина")</f>
        <v>Скачать индивидуальный QR-код магазина</v>
      </c>
    </row>
    <row r="12201" spans="1:7" x14ac:dyDescent="0.25">
      <c r="A12201" t="s">
        <v>36861</v>
      </c>
      <c r="B12201" t="s">
        <v>37852</v>
      </c>
      <c r="C12201" t="s">
        <v>34068</v>
      </c>
      <c r="D12201" t="s">
        <v>34069</v>
      </c>
      <c r="E12201" t="s">
        <v>34070</v>
      </c>
      <c r="F12201" t="s">
        <v>37853</v>
      </c>
      <c r="G12201" s="2" t="str">
        <f>HYPERLINK("https://probpalata.gov.ru/files/ИП780300226000009.jpeg","Скачать индивидуальный QR-код магазина")</f>
        <v>Скачать индивидуальный QR-код магазина</v>
      </c>
    </row>
    <row r="12202" spans="1:7" x14ac:dyDescent="0.25">
      <c r="A12202" t="s">
        <v>36861</v>
      </c>
      <c r="B12202" t="s">
        <v>37854</v>
      </c>
      <c r="C12202" t="s">
        <v>791</v>
      </c>
      <c r="D12202" t="s">
        <v>792</v>
      </c>
      <c r="E12202" t="s">
        <v>793</v>
      </c>
      <c r="F12202" t="s">
        <v>37855</v>
      </c>
      <c r="G12202" s="2" t="str">
        <f>HYPERLINK("https://probpalata.gov.ru/files/ЮЛ780300323500015.jpeg","Скачать индивидуальный QR-код магазина")</f>
        <v>Скачать индивидуальный QR-код магазина</v>
      </c>
    </row>
    <row r="12203" spans="1:7" x14ac:dyDescent="0.25">
      <c r="A12203" t="s">
        <v>36861</v>
      </c>
      <c r="B12203" t="s">
        <v>37582</v>
      </c>
      <c r="C12203" t="s">
        <v>791</v>
      </c>
      <c r="D12203" t="s">
        <v>792</v>
      </c>
      <c r="E12203" t="s">
        <v>793</v>
      </c>
      <c r="F12203" t="s">
        <v>37856</v>
      </c>
      <c r="G12203" s="2" t="str">
        <f>HYPERLINK("https://probpalata.gov.ru/files/ЮЛ780300323500198.jpeg","Скачать индивидуальный QR-код магазина")</f>
        <v>Скачать индивидуальный QR-код магазина</v>
      </c>
    </row>
    <row r="12204" spans="1:7" x14ac:dyDescent="0.25">
      <c r="A12204" t="s">
        <v>36861</v>
      </c>
      <c r="B12204" t="s">
        <v>37857</v>
      </c>
      <c r="C12204" t="s">
        <v>791</v>
      </c>
      <c r="D12204" t="s">
        <v>792</v>
      </c>
      <c r="E12204" t="s">
        <v>793</v>
      </c>
      <c r="F12204" t="s">
        <v>37858</v>
      </c>
      <c r="G12204" s="2" t="str">
        <f>HYPERLINK("https://probpalata.gov.ru/files/ЮЛ780300323500199.jpeg","Скачать индивидуальный QR-код магазина")</f>
        <v>Скачать индивидуальный QR-код магазина</v>
      </c>
    </row>
    <row r="12205" spans="1:7" x14ac:dyDescent="0.25">
      <c r="A12205" t="s">
        <v>36861</v>
      </c>
      <c r="B12205" t="s">
        <v>37859</v>
      </c>
      <c r="C12205" t="s">
        <v>791</v>
      </c>
      <c r="D12205" t="s">
        <v>792</v>
      </c>
      <c r="E12205" t="s">
        <v>793</v>
      </c>
      <c r="F12205" t="s">
        <v>37860</v>
      </c>
      <c r="G12205" s="2" t="str">
        <f>HYPERLINK("https://probpalata.gov.ru/files/ЮЛ780300323500200.jpeg","Скачать индивидуальный QR-код магазина")</f>
        <v>Скачать индивидуальный QR-код магазина</v>
      </c>
    </row>
    <row r="12206" spans="1:7" x14ac:dyDescent="0.25">
      <c r="A12206" t="s">
        <v>36861</v>
      </c>
      <c r="B12206" t="s">
        <v>36939</v>
      </c>
      <c r="C12206" t="s">
        <v>798</v>
      </c>
      <c r="D12206" t="s">
        <v>799</v>
      </c>
      <c r="E12206" t="s">
        <v>800</v>
      </c>
      <c r="F12206" t="s">
        <v>37861</v>
      </c>
      <c r="G12206" s="2" t="str">
        <f>HYPERLINK("https://probpalata.gov.ru/files/ЮЛ780300308200098.jpeg","Скачать индивидуальный QR-код магазина")</f>
        <v>Скачать индивидуальный QR-код магазина</v>
      </c>
    </row>
    <row r="12207" spans="1:7" x14ac:dyDescent="0.25">
      <c r="A12207" t="s">
        <v>36861</v>
      </c>
      <c r="B12207" t="s">
        <v>37862</v>
      </c>
      <c r="C12207" t="s">
        <v>798</v>
      </c>
      <c r="D12207" t="s">
        <v>799</v>
      </c>
      <c r="E12207" t="s">
        <v>800</v>
      </c>
      <c r="F12207" t="s">
        <v>37863</v>
      </c>
      <c r="G12207" s="2" t="str">
        <f>HYPERLINK("https://probpalata.gov.ru/files/ЮЛ780300308200099.jpeg","Скачать индивидуальный QR-код магазина")</f>
        <v>Скачать индивидуальный QR-код магазина</v>
      </c>
    </row>
    <row r="12208" spans="1:7" x14ac:dyDescent="0.25">
      <c r="A12208" t="s">
        <v>36861</v>
      </c>
      <c r="B12208" t="s">
        <v>37864</v>
      </c>
      <c r="C12208" t="s">
        <v>798</v>
      </c>
      <c r="D12208" t="s">
        <v>799</v>
      </c>
      <c r="E12208" t="s">
        <v>800</v>
      </c>
      <c r="F12208" t="s">
        <v>37865</v>
      </c>
      <c r="G12208" s="2" t="str">
        <f>HYPERLINK("https://probpalata.gov.ru/files/ЮЛ780300308200166.jpeg","Скачать индивидуальный QR-код магазина")</f>
        <v>Скачать индивидуальный QR-код магазина</v>
      </c>
    </row>
    <row r="12209" spans="1:7" x14ac:dyDescent="0.25">
      <c r="A12209" t="s">
        <v>36861</v>
      </c>
      <c r="B12209" t="s">
        <v>37866</v>
      </c>
      <c r="C12209" t="s">
        <v>798</v>
      </c>
      <c r="D12209" t="s">
        <v>799</v>
      </c>
      <c r="E12209" t="s">
        <v>800</v>
      </c>
      <c r="F12209" t="s">
        <v>37867</v>
      </c>
      <c r="G12209" s="2" t="str">
        <f>HYPERLINK("https://probpalata.gov.ru/files/ЮЛ780300308200181.jpeg","Скачать индивидуальный QR-код магазина")</f>
        <v>Скачать индивидуальный QR-код магазина</v>
      </c>
    </row>
    <row r="12210" spans="1:7" x14ac:dyDescent="0.25">
      <c r="A12210" t="s">
        <v>36861</v>
      </c>
      <c r="B12210" t="s">
        <v>37868</v>
      </c>
      <c r="C12210" t="s">
        <v>798</v>
      </c>
      <c r="D12210" t="s">
        <v>799</v>
      </c>
      <c r="E12210" t="s">
        <v>800</v>
      </c>
      <c r="F12210" t="s">
        <v>37869</v>
      </c>
      <c r="G12210" s="2" t="str">
        <f>HYPERLINK("https://probpalata.gov.ru/files/ЮЛ780300308200220.jpeg","Скачать индивидуальный QR-код магазина")</f>
        <v>Скачать индивидуальный QR-код магазина</v>
      </c>
    </row>
    <row r="12211" spans="1:7" x14ac:dyDescent="0.25">
      <c r="A12211" t="s">
        <v>36861</v>
      </c>
      <c r="B12211" t="s">
        <v>37330</v>
      </c>
      <c r="C12211" t="s">
        <v>798</v>
      </c>
      <c r="D12211" t="s">
        <v>799</v>
      </c>
      <c r="E12211" t="s">
        <v>800</v>
      </c>
      <c r="F12211" t="s">
        <v>37870</v>
      </c>
      <c r="G12211" s="2" t="str">
        <f>HYPERLINK("https://probpalata.gov.ru/files/ЮЛ780300308200221.jpeg","Скачать индивидуальный QR-код магазина")</f>
        <v>Скачать индивидуальный QR-код магазина</v>
      </c>
    </row>
    <row r="12212" spans="1:7" x14ac:dyDescent="0.25">
      <c r="A12212" t="s">
        <v>36861</v>
      </c>
      <c r="B12212" t="s">
        <v>37871</v>
      </c>
      <c r="C12212" t="s">
        <v>798</v>
      </c>
      <c r="D12212" t="s">
        <v>799</v>
      </c>
      <c r="E12212" t="s">
        <v>800</v>
      </c>
      <c r="F12212" t="s">
        <v>37872</v>
      </c>
      <c r="G12212" s="2" t="str">
        <f>HYPERLINK("https://probpalata.gov.ru/files/ЮЛ780300308200244.jpeg","Скачать индивидуальный QR-код магазина")</f>
        <v>Скачать индивидуальный QR-код магазина</v>
      </c>
    </row>
    <row r="12213" spans="1:7" x14ac:dyDescent="0.25">
      <c r="A12213" t="s">
        <v>36861</v>
      </c>
      <c r="B12213" t="s">
        <v>37873</v>
      </c>
      <c r="C12213" t="s">
        <v>798</v>
      </c>
      <c r="D12213" t="s">
        <v>799</v>
      </c>
      <c r="E12213" t="s">
        <v>800</v>
      </c>
      <c r="F12213" t="s">
        <v>37874</v>
      </c>
      <c r="G12213" s="2" t="str">
        <f>HYPERLINK("https://probpalata.gov.ru/files/ЮЛ780300308200261.jpeg","Скачать индивидуальный QR-код магазина")</f>
        <v>Скачать индивидуальный QR-код магазина</v>
      </c>
    </row>
    <row r="12214" spans="1:7" x14ac:dyDescent="0.25">
      <c r="A12214" t="s">
        <v>36861</v>
      </c>
      <c r="B12214" t="s">
        <v>37875</v>
      </c>
      <c r="C12214" t="s">
        <v>798</v>
      </c>
      <c r="D12214" t="s">
        <v>799</v>
      </c>
      <c r="E12214" t="s">
        <v>800</v>
      </c>
      <c r="F12214" t="s">
        <v>37876</v>
      </c>
      <c r="G12214" s="2" t="str">
        <f>HYPERLINK("https://probpalata.gov.ru/files/ЮЛ780300308200308.jpeg","Скачать индивидуальный QR-код магазина")</f>
        <v>Скачать индивидуальный QR-код магазина</v>
      </c>
    </row>
    <row r="12215" spans="1:7" x14ac:dyDescent="0.25">
      <c r="A12215" t="s">
        <v>36861</v>
      </c>
      <c r="B12215" t="s">
        <v>37806</v>
      </c>
      <c r="C12215" t="s">
        <v>798</v>
      </c>
      <c r="D12215" t="s">
        <v>799</v>
      </c>
      <c r="E12215" t="s">
        <v>800</v>
      </c>
      <c r="F12215" t="s">
        <v>37877</v>
      </c>
      <c r="G12215" s="2" t="str">
        <f>HYPERLINK("https://probpalata.gov.ru/files/ЮЛ780300308200314.jpeg","Скачать индивидуальный QR-код магазина")</f>
        <v>Скачать индивидуальный QR-код магазина</v>
      </c>
    </row>
    <row r="12216" spans="1:7" x14ac:dyDescent="0.25">
      <c r="A12216" t="s">
        <v>36861</v>
      </c>
      <c r="B12216" t="s">
        <v>37878</v>
      </c>
      <c r="C12216" t="s">
        <v>798</v>
      </c>
      <c r="D12216" t="s">
        <v>799</v>
      </c>
      <c r="E12216" t="s">
        <v>800</v>
      </c>
      <c r="F12216" t="s">
        <v>37879</v>
      </c>
      <c r="G12216" s="2" t="str">
        <f>HYPERLINK("https://probpalata.gov.ru/files/ЮЛ780300308200496.jpeg","Скачать индивидуальный QR-код магазина")</f>
        <v>Скачать индивидуальный QR-код магазина</v>
      </c>
    </row>
    <row r="12217" spans="1:7" x14ac:dyDescent="0.25">
      <c r="A12217" t="s">
        <v>36861</v>
      </c>
      <c r="B12217" t="s">
        <v>37859</v>
      </c>
      <c r="C12217" t="s">
        <v>798</v>
      </c>
      <c r="D12217" t="s">
        <v>799</v>
      </c>
      <c r="E12217" t="s">
        <v>800</v>
      </c>
      <c r="F12217" t="s">
        <v>37880</v>
      </c>
      <c r="G12217" s="2" t="str">
        <f>HYPERLINK("https://probpalata.gov.ru/files/ЮЛ780300308200499.jpeg","Скачать индивидуальный QR-код магазина")</f>
        <v>Скачать индивидуальный QR-код магазина</v>
      </c>
    </row>
    <row r="12218" spans="1:7" x14ac:dyDescent="0.25">
      <c r="A12218" t="s">
        <v>36861</v>
      </c>
      <c r="B12218" t="s">
        <v>37881</v>
      </c>
      <c r="C12218" t="s">
        <v>798</v>
      </c>
      <c r="D12218" t="s">
        <v>799</v>
      </c>
      <c r="E12218" t="s">
        <v>800</v>
      </c>
      <c r="F12218" t="s">
        <v>37882</v>
      </c>
      <c r="G12218" s="2" t="str">
        <f>HYPERLINK("https://probpalata.gov.ru/files/ЮЛ780300308200623.jpeg","Скачать индивидуальный QR-код магазина")</f>
        <v>Скачать индивидуальный QR-код магазина</v>
      </c>
    </row>
    <row r="12219" spans="1:7" x14ac:dyDescent="0.25">
      <c r="A12219" t="s">
        <v>36861</v>
      </c>
      <c r="B12219" t="s">
        <v>37883</v>
      </c>
      <c r="C12219" t="s">
        <v>798</v>
      </c>
      <c r="D12219" t="s">
        <v>799</v>
      </c>
      <c r="E12219" t="s">
        <v>800</v>
      </c>
      <c r="F12219" t="s">
        <v>37884</v>
      </c>
      <c r="G12219" s="2" t="str">
        <f>HYPERLINK("https://probpalata.gov.ru/files/ЮЛ780300308200763.jpeg","Скачать индивидуальный QR-код магазина")</f>
        <v>Скачать индивидуальный QR-код магазина</v>
      </c>
    </row>
    <row r="12220" spans="1:7" x14ac:dyDescent="0.25">
      <c r="A12220" t="s">
        <v>36861</v>
      </c>
      <c r="B12220" t="s">
        <v>37885</v>
      </c>
      <c r="C12220" t="s">
        <v>798</v>
      </c>
      <c r="D12220" t="s">
        <v>799</v>
      </c>
      <c r="E12220" t="s">
        <v>800</v>
      </c>
      <c r="F12220" t="s">
        <v>37886</v>
      </c>
      <c r="G12220" s="2" t="str">
        <f>HYPERLINK("https://probpalata.gov.ru/files/ЮЛ780300308200766.jpeg","Скачать индивидуальный QR-код магазина")</f>
        <v>Скачать индивидуальный QR-код магазина</v>
      </c>
    </row>
    <row r="12221" spans="1:7" x14ac:dyDescent="0.25">
      <c r="A12221" t="s">
        <v>36861</v>
      </c>
      <c r="B12221" t="s">
        <v>37403</v>
      </c>
      <c r="C12221" t="s">
        <v>798</v>
      </c>
      <c r="D12221" t="s">
        <v>799</v>
      </c>
      <c r="E12221" t="s">
        <v>800</v>
      </c>
      <c r="F12221" t="s">
        <v>37887</v>
      </c>
      <c r="G12221" s="2" t="str">
        <f>HYPERLINK("https://probpalata.gov.ru/files/ЮЛ780300308200881.jpeg","Скачать индивидуальный QR-код магазина")</f>
        <v>Скачать индивидуальный QR-код магазина</v>
      </c>
    </row>
    <row r="12222" spans="1:7" x14ac:dyDescent="0.25">
      <c r="A12222" t="s">
        <v>36861</v>
      </c>
      <c r="B12222" t="s">
        <v>37888</v>
      </c>
      <c r="C12222" t="s">
        <v>798</v>
      </c>
      <c r="D12222" t="s">
        <v>799</v>
      </c>
      <c r="E12222" t="s">
        <v>800</v>
      </c>
      <c r="F12222" t="s">
        <v>37889</v>
      </c>
      <c r="G12222" s="2" t="str">
        <f>HYPERLINK("https://probpalata.gov.ru/files/ЮЛ780300308201093.jpeg","Скачать индивидуальный QR-код магазина")</f>
        <v>Скачать индивидуальный QR-код магазина</v>
      </c>
    </row>
    <row r="12223" spans="1:7" x14ac:dyDescent="0.25">
      <c r="A12223" t="s">
        <v>36861</v>
      </c>
      <c r="B12223" t="s">
        <v>37890</v>
      </c>
      <c r="C12223" t="s">
        <v>798</v>
      </c>
      <c r="D12223" t="s">
        <v>799</v>
      </c>
      <c r="E12223" t="s">
        <v>800</v>
      </c>
      <c r="F12223" t="s">
        <v>37891</v>
      </c>
      <c r="G12223" s="2" t="str">
        <f>HYPERLINK("https://probpalata.gov.ru/files/ЮЛ780300308201142.jpeg","Скачать индивидуальный QR-код магазина")</f>
        <v>Скачать индивидуальный QR-код магазина</v>
      </c>
    </row>
    <row r="12224" spans="1:7" x14ac:dyDescent="0.25">
      <c r="A12224" t="s">
        <v>36861</v>
      </c>
      <c r="B12224" t="s">
        <v>37892</v>
      </c>
      <c r="C12224" t="s">
        <v>798</v>
      </c>
      <c r="D12224" t="s">
        <v>799</v>
      </c>
      <c r="E12224" t="s">
        <v>800</v>
      </c>
      <c r="F12224" t="s">
        <v>37893</v>
      </c>
      <c r="G12224" s="2" t="str">
        <f>HYPERLINK("https://probpalata.gov.ru/files/ЮЛ780300308201187.jpeg","Скачать индивидуальный QR-код магазина")</f>
        <v>Скачать индивидуальный QR-код магазина</v>
      </c>
    </row>
    <row r="12225" spans="1:7" x14ac:dyDescent="0.25">
      <c r="A12225" t="s">
        <v>36861</v>
      </c>
      <c r="B12225" t="s">
        <v>37854</v>
      </c>
      <c r="C12225" t="s">
        <v>823</v>
      </c>
      <c r="D12225" t="s">
        <v>824</v>
      </c>
      <c r="E12225" t="s">
        <v>825</v>
      </c>
      <c r="F12225" t="s">
        <v>37894</v>
      </c>
      <c r="G12225" s="2" t="str">
        <f>HYPERLINK("https://probpalata.gov.ru/files/ЮЛ780300363500026.jpeg","Скачать индивидуальный QR-код магазина")</f>
        <v>Скачать индивидуальный QR-код магазина</v>
      </c>
    </row>
    <row r="12226" spans="1:7" x14ac:dyDescent="0.25">
      <c r="A12226" t="s">
        <v>36861</v>
      </c>
      <c r="B12226" t="s">
        <v>37582</v>
      </c>
      <c r="C12226" t="s">
        <v>823</v>
      </c>
      <c r="D12226" t="s">
        <v>824</v>
      </c>
      <c r="E12226" t="s">
        <v>825</v>
      </c>
      <c r="F12226" t="s">
        <v>37895</v>
      </c>
      <c r="G12226" s="2" t="str">
        <f>HYPERLINK("https://probpalata.gov.ru/files/ЮЛ780300363500245.jpeg","Скачать индивидуальный QR-код магазина")</f>
        <v>Скачать индивидуальный QR-код магазина</v>
      </c>
    </row>
    <row r="12227" spans="1:7" x14ac:dyDescent="0.25">
      <c r="A12227" t="s">
        <v>36861</v>
      </c>
      <c r="B12227" t="s">
        <v>37857</v>
      </c>
      <c r="C12227" t="s">
        <v>823</v>
      </c>
      <c r="D12227" t="s">
        <v>824</v>
      </c>
      <c r="E12227" t="s">
        <v>825</v>
      </c>
      <c r="F12227" t="s">
        <v>37896</v>
      </c>
      <c r="G12227" s="2" t="str">
        <f>HYPERLINK("https://probpalata.gov.ru/files/ЮЛ780300363500246.jpeg","Скачать индивидуальный QR-код магазина")</f>
        <v>Скачать индивидуальный QR-код магазина</v>
      </c>
    </row>
    <row r="12228" spans="1:7" x14ac:dyDescent="0.25">
      <c r="A12228" t="s">
        <v>36861</v>
      </c>
      <c r="B12228" t="s">
        <v>37859</v>
      </c>
      <c r="C12228" t="s">
        <v>823</v>
      </c>
      <c r="D12228" t="s">
        <v>824</v>
      </c>
      <c r="E12228" t="s">
        <v>825</v>
      </c>
      <c r="F12228" t="s">
        <v>37897</v>
      </c>
      <c r="G12228" s="2" t="str">
        <f>HYPERLINK("https://probpalata.gov.ru/files/ЮЛ780300363500247.jpeg","Скачать индивидуальный QR-код магазина")</f>
        <v>Скачать индивидуальный QR-код магазина</v>
      </c>
    </row>
    <row r="12229" spans="1:7" x14ac:dyDescent="0.25">
      <c r="A12229" t="s">
        <v>36861</v>
      </c>
      <c r="B12229" t="s">
        <v>37898</v>
      </c>
      <c r="C12229" t="s">
        <v>1490</v>
      </c>
      <c r="D12229" t="s">
        <v>1491</v>
      </c>
      <c r="E12229" t="s">
        <v>1492</v>
      </c>
      <c r="F12229" t="s">
        <v>37899</v>
      </c>
      <c r="G12229" s="2" t="str">
        <f>HYPERLINK("https://probpalata.gov.ru/files/ЮЛ780301261200045.jpeg","Скачать индивидуальный QR-код магазина")</f>
        <v>Скачать индивидуальный QR-код магазина</v>
      </c>
    </row>
    <row r="12230" spans="1:7" x14ac:dyDescent="0.25">
      <c r="A12230" t="s">
        <v>36861</v>
      </c>
      <c r="B12230" t="s">
        <v>37900</v>
      </c>
      <c r="C12230" t="s">
        <v>1501</v>
      </c>
      <c r="D12230" t="s">
        <v>1502</v>
      </c>
      <c r="E12230" t="s">
        <v>1503</v>
      </c>
      <c r="F12230" t="s">
        <v>37901</v>
      </c>
      <c r="G12230" s="2" t="str">
        <f>HYPERLINK("https://probpalata.gov.ru/files/ЮЛ770100439200004.jpeg","Скачать индивидуальный QR-код магазина")</f>
        <v>Скачать индивидуальный QR-код магазина</v>
      </c>
    </row>
    <row r="12231" spans="1:7" x14ac:dyDescent="0.25">
      <c r="A12231" t="s">
        <v>36861</v>
      </c>
      <c r="B12231" t="s">
        <v>37902</v>
      </c>
      <c r="C12231" t="s">
        <v>1501</v>
      </c>
      <c r="D12231" t="s">
        <v>1502</v>
      </c>
      <c r="E12231" t="s">
        <v>1503</v>
      </c>
      <c r="F12231" t="s">
        <v>37903</v>
      </c>
      <c r="G12231" s="2" t="str">
        <f>HYPERLINK("https://probpalata.gov.ru/files/ЮЛ770100439200005.jpeg","Скачать индивидуальный QR-код магазина")</f>
        <v>Скачать индивидуальный QR-код магазина</v>
      </c>
    </row>
    <row r="12232" spans="1:7" x14ac:dyDescent="0.25">
      <c r="A12232" t="s">
        <v>36861</v>
      </c>
      <c r="B12232" t="s">
        <v>37904</v>
      </c>
      <c r="C12232" t="s">
        <v>1501</v>
      </c>
      <c r="D12232" t="s">
        <v>1502</v>
      </c>
      <c r="E12232" t="s">
        <v>1503</v>
      </c>
      <c r="F12232" t="s">
        <v>37905</v>
      </c>
      <c r="G12232" s="2" t="str">
        <f>HYPERLINK("https://probpalata.gov.ru/files/ЮЛ770100439200218.jpeg","Скачать индивидуальный QR-код магазина")</f>
        <v>Скачать индивидуальный QR-код магазина</v>
      </c>
    </row>
    <row r="12233" spans="1:7" x14ac:dyDescent="0.25">
      <c r="A12233" t="s">
        <v>36861</v>
      </c>
      <c r="B12233" t="s">
        <v>37906</v>
      </c>
      <c r="C12233" t="s">
        <v>1501</v>
      </c>
      <c r="D12233" t="s">
        <v>1502</v>
      </c>
      <c r="E12233" t="s">
        <v>1503</v>
      </c>
      <c r="F12233" t="s">
        <v>37907</v>
      </c>
      <c r="G12233" s="2" t="str">
        <f>HYPERLINK("https://probpalata.gov.ru/files/ЮЛ770100439200229.jpeg","Скачать индивидуальный QR-код магазина")</f>
        <v>Скачать индивидуальный QR-код магазина</v>
      </c>
    </row>
    <row r="12234" spans="1:7" x14ac:dyDescent="0.25">
      <c r="A12234" t="s">
        <v>36861</v>
      </c>
      <c r="B12234" t="s">
        <v>37908</v>
      </c>
      <c r="C12234" t="s">
        <v>7852</v>
      </c>
      <c r="D12234" t="s">
        <v>7853</v>
      </c>
      <c r="E12234" t="s">
        <v>7854</v>
      </c>
      <c r="F12234" t="s">
        <v>37909</v>
      </c>
      <c r="G12234" s="2" t="str">
        <f>HYPERLINK("https://probpalata.gov.ru/files/ЮЛ770100029500002.jpeg","Скачать индивидуальный QR-код магазина")</f>
        <v>Скачать индивидуальный QR-код магазина</v>
      </c>
    </row>
    <row r="12235" spans="1:7" x14ac:dyDescent="0.25">
      <c r="A12235" t="s">
        <v>36861</v>
      </c>
      <c r="B12235" t="s">
        <v>37910</v>
      </c>
      <c r="C12235" t="s">
        <v>26401</v>
      </c>
      <c r="D12235" t="s">
        <v>26402</v>
      </c>
      <c r="E12235" t="s">
        <v>26403</v>
      </c>
      <c r="F12235" t="s">
        <v>37911</v>
      </c>
      <c r="G12235" s="2" t="str">
        <f>HYPERLINK("https://probpalata.gov.ru/files/ЮЛ770100938700040.jpeg","Скачать индивидуальный QR-код магазина")</f>
        <v>Скачать индивидуальный QR-код магазина</v>
      </c>
    </row>
    <row r="12236" spans="1:7" x14ac:dyDescent="0.25">
      <c r="A12236" t="s">
        <v>36861</v>
      </c>
      <c r="B12236" t="s">
        <v>37190</v>
      </c>
      <c r="C12236" t="s">
        <v>26401</v>
      </c>
      <c r="D12236" t="s">
        <v>26402</v>
      </c>
      <c r="E12236" t="s">
        <v>26403</v>
      </c>
      <c r="F12236" t="s">
        <v>37912</v>
      </c>
      <c r="G12236" s="2" t="str">
        <f>HYPERLINK("https://probpalata.gov.ru/files/ЮЛ770100938700063.jpeg","Скачать индивидуальный QR-код магазина")</f>
        <v>Скачать индивидуальный QR-код магазина</v>
      </c>
    </row>
    <row r="12237" spans="1:7" x14ac:dyDescent="0.25">
      <c r="A12237" t="s">
        <v>36861</v>
      </c>
      <c r="B12237" t="s">
        <v>37913</v>
      </c>
      <c r="C12237" t="s">
        <v>26401</v>
      </c>
      <c r="D12237" t="s">
        <v>26402</v>
      </c>
      <c r="E12237" t="s">
        <v>26403</v>
      </c>
      <c r="F12237" t="s">
        <v>37914</v>
      </c>
      <c r="G12237" s="2" t="str">
        <f>HYPERLINK("https://probpalata.gov.ru/files/ЮЛ770100938700072.jpeg","Скачать индивидуальный QR-код магазина")</f>
        <v>Скачать индивидуальный QR-код магазина</v>
      </c>
    </row>
    <row r="12238" spans="1:7" x14ac:dyDescent="0.25">
      <c r="A12238" t="s">
        <v>36861</v>
      </c>
      <c r="B12238" t="s">
        <v>37915</v>
      </c>
      <c r="C12238" t="s">
        <v>26601</v>
      </c>
      <c r="D12238" t="s">
        <v>26602</v>
      </c>
      <c r="E12238" t="s">
        <v>26603</v>
      </c>
      <c r="F12238" t="s">
        <v>37916</v>
      </c>
      <c r="G12238" s="2" t="str">
        <f>HYPERLINK("https://probpalata.gov.ru/files/ЮЛ770101932900012.jpeg","Скачать индивидуальный QR-код магазина")</f>
        <v>Скачать индивидуальный QR-код магазина</v>
      </c>
    </row>
    <row r="12239" spans="1:7" x14ac:dyDescent="0.25">
      <c r="A12239" t="s">
        <v>36861</v>
      </c>
      <c r="B12239" t="s">
        <v>37917</v>
      </c>
      <c r="C12239" t="s">
        <v>1853</v>
      </c>
      <c r="D12239" t="s">
        <v>1854</v>
      </c>
      <c r="E12239" t="s">
        <v>1855</v>
      </c>
      <c r="F12239" t="s">
        <v>37918</v>
      </c>
      <c r="G12239" s="2" t="str">
        <f>HYPERLINK("https://probpalata.gov.ru/files/ЮЛ770104000500009.jpeg","Скачать индивидуальный QR-код магазина")</f>
        <v>Скачать индивидуальный QR-код магазина</v>
      </c>
    </row>
    <row r="12240" spans="1:7" x14ac:dyDescent="0.25">
      <c r="A12240" t="s">
        <v>37919</v>
      </c>
      <c r="B12240" t="s">
        <v>37920</v>
      </c>
      <c r="C12240" t="s">
        <v>37921</v>
      </c>
      <c r="D12240" t="s">
        <v>37922</v>
      </c>
      <c r="E12240" t="s">
        <v>37923</v>
      </c>
      <c r="F12240" t="s">
        <v>37924</v>
      </c>
      <c r="G12240" s="2" t="str">
        <f>HYPERLINK("https://probpalata.gov.ru/files/ИП030900916700000.jpeg","Скачать индивидуальный QR-код магазина")</f>
        <v>Скачать индивидуальный QR-код магазина</v>
      </c>
    </row>
    <row r="12241" spans="1:7" x14ac:dyDescent="0.25">
      <c r="A12241" t="s">
        <v>37919</v>
      </c>
      <c r="B12241" t="s">
        <v>37925</v>
      </c>
      <c r="C12241" t="s">
        <v>37926</v>
      </c>
      <c r="D12241" t="s">
        <v>37927</v>
      </c>
      <c r="E12241" t="s">
        <v>37928</v>
      </c>
      <c r="F12241" t="s">
        <v>37929</v>
      </c>
      <c r="G12241" s="2" t="str">
        <f>HYPERLINK("https://probpalata.gov.ru/files/ЮЛ030901999900000.jpeg","Скачать индивидуальный QR-код магазина")</f>
        <v>Скачать индивидуальный QR-код магазина</v>
      </c>
    </row>
    <row r="12242" spans="1:7" x14ac:dyDescent="0.25">
      <c r="A12242" t="s">
        <v>37919</v>
      </c>
      <c r="B12242" t="s">
        <v>37930</v>
      </c>
      <c r="C12242" t="s">
        <v>37931</v>
      </c>
      <c r="D12242" t="s">
        <v>37932</v>
      </c>
      <c r="E12242" t="s">
        <v>37933</v>
      </c>
      <c r="F12242" t="s">
        <v>37934</v>
      </c>
      <c r="G12242" s="2" t="str">
        <f>HYPERLINK("https://probpalata.gov.ru/files/ИП030900393600000.jpeg","Скачать индивидуальный QR-код магазина")</f>
        <v>Скачать индивидуальный QR-код магазина</v>
      </c>
    </row>
    <row r="12243" spans="1:7" x14ac:dyDescent="0.25">
      <c r="A12243" t="s">
        <v>37919</v>
      </c>
      <c r="B12243" t="s">
        <v>37935</v>
      </c>
      <c r="C12243" t="s">
        <v>37936</v>
      </c>
      <c r="D12243" t="s">
        <v>37937</v>
      </c>
      <c r="E12243" t="s">
        <v>37938</v>
      </c>
      <c r="F12243" t="s">
        <v>37939</v>
      </c>
      <c r="G12243" s="2" t="str">
        <f>HYPERLINK("https://probpalata.gov.ru/files/ИП030900211700000.jpeg","Скачать индивидуальный QR-код магазина")</f>
        <v>Скачать индивидуальный QR-код магазина</v>
      </c>
    </row>
    <row r="12244" spans="1:7" x14ac:dyDescent="0.25">
      <c r="A12244" t="s">
        <v>37919</v>
      </c>
      <c r="B12244" t="s">
        <v>37940</v>
      </c>
      <c r="C12244" t="s">
        <v>37941</v>
      </c>
      <c r="D12244" t="s">
        <v>37942</v>
      </c>
      <c r="E12244" t="s">
        <v>37943</v>
      </c>
      <c r="F12244" t="s">
        <v>37944</v>
      </c>
      <c r="G12244" s="2" t="str">
        <f>HYPERLINK("https://probpalata.gov.ru/files/ИП030900290800000.jpeg","Скачать индивидуальный QR-код магазина")</f>
        <v>Скачать индивидуальный QR-код магазина</v>
      </c>
    </row>
    <row r="12245" spans="1:7" x14ac:dyDescent="0.25">
      <c r="A12245" t="s">
        <v>37919</v>
      </c>
      <c r="B12245" t="s">
        <v>37945</v>
      </c>
      <c r="C12245" t="s">
        <v>37946</v>
      </c>
      <c r="D12245" t="s">
        <v>37947</v>
      </c>
      <c r="E12245" t="s">
        <v>37948</v>
      </c>
      <c r="F12245" t="s">
        <v>37949</v>
      </c>
      <c r="G12245" s="2" t="str">
        <f>HYPERLINK("https://probpalata.gov.ru/files/ИП030900248600000.jpeg","Скачать индивидуальный QR-код магазина")</f>
        <v>Скачать индивидуальный QR-код магазина</v>
      </c>
    </row>
    <row r="12246" spans="1:7" x14ac:dyDescent="0.25">
      <c r="A12246" t="s">
        <v>37919</v>
      </c>
      <c r="B12246" t="s">
        <v>37950</v>
      </c>
      <c r="C12246" t="s">
        <v>37946</v>
      </c>
      <c r="D12246" t="s">
        <v>37947</v>
      </c>
      <c r="E12246" t="s">
        <v>37948</v>
      </c>
      <c r="F12246" t="s">
        <v>37951</v>
      </c>
      <c r="G12246" s="2" t="str">
        <f>HYPERLINK("https://probpalata.gov.ru/files/ИП030900248600001.jpeg","Скачать индивидуальный QR-код магазина")</f>
        <v>Скачать индивидуальный QR-код магазина</v>
      </c>
    </row>
    <row r="12247" spans="1:7" x14ac:dyDescent="0.25">
      <c r="A12247" t="s">
        <v>37919</v>
      </c>
      <c r="B12247" t="s">
        <v>37952</v>
      </c>
      <c r="C12247" t="s">
        <v>37946</v>
      </c>
      <c r="D12247" t="s">
        <v>37947</v>
      </c>
      <c r="E12247" t="s">
        <v>37948</v>
      </c>
      <c r="F12247" t="s">
        <v>37953</v>
      </c>
      <c r="G12247" s="2" t="str">
        <f>HYPERLINK("https://probpalata.gov.ru/files/ИП030900248600002.jpeg","Скачать индивидуальный QR-код магазина")</f>
        <v>Скачать индивидуальный QR-код магазина</v>
      </c>
    </row>
    <row r="12248" spans="1:7" x14ac:dyDescent="0.25">
      <c r="A12248" t="s">
        <v>37919</v>
      </c>
      <c r="B12248" t="s">
        <v>37954</v>
      </c>
      <c r="C12248" t="s">
        <v>37946</v>
      </c>
      <c r="D12248" t="s">
        <v>37947</v>
      </c>
      <c r="E12248" t="s">
        <v>37948</v>
      </c>
      <c r="F12248" t="s">
        <v>37955</v>
      </c>
      <c r="G12248" s="2" t="str">
        <f>HYPERLINK("https://probpalata.gov.ru/files/ИП030900248600003.jpeg","Скачать индивидуальный QR-код магазина")</f>
        <v>Скачать индивидуальный QR-код магазина</v>
      </c>
    </row>
    <row r="12249" spans="1:7" x14ac:dyDescent="0.25">
      <c r="A12249" t="s">
        <v>37919</v>
      </c>
      <c r="B12249" t="s">
        <v>37956</v>
      </c>
      <c r="C12249" t="s">
        <v>37957</v>
      </c>
      <c r="D12249" t="s">
        <v>37958</v>
      </c>
      <c r="E12249" t="s">
        <v>37959</v>
      </c>
      <c r="F12249" t="s">
        <v>37960</v>
      </c>
      <c r="G12249" s="2" t="str">
        <f>HYPERLINK("https://probpalata.gov.ru/files/ИП030903284500000.jpeg","Скачать индивидуальный QR-код магазина")</f>
        <v>Скачать индивидуальный QR-код магазина</v>
      </c>
    </row>
    <row r="12250" spans="1:7" x14ac:dyDescent="0.25">
      <c r="A12250" t="s">
        <v>37919</v>
      </c>
      <c r="B12250" t="s">
        <v>37961</v>
      </c>
      <c r="C12250" t="s">
        <v>37962</v>
      </c>
      <c r="D12250" t="s">
        <v>37963</v>
      </c>
      <c r="E12250" t="s">
        <v>37964</v>
      </c>
      <c r="F12250" t="s">
        <v>37965</v>
      </c>
      <c r="G12250" s="2" t="str">
        <f>HYPERLINK("https://probpalata.gov.ru/files/ИП030901088800001.jpeg","Скачать индивидуальный QR-код магазина")</f>
        <v>Скачать индивидуальный QR-код магазина</v>
      </c>
    </row>
    <row r="12251" spans="1:7" x14ac:dyDescent="0.25">
      <c r="A12251" t="s">
        <v>37919</v>
      </c>
      <c r="B12251" t="s">
        <v>37966</v>
      </c>
      <c r="C12251" t="s">
        <v>37967</v>
      </c>
      <c r="D12251" t="s">
        <v>37968</v>
      </c>
      <c r="E12251" t="s">
        <v>37969</v>
      </c>
      <c r="F12251" t="s">
        <v>37970</v>
      </c>
      <c r="G12251" s="2" t="str">
        <f>HYPERLINK("https://probpalata.gov.ru/files/ИП030900568300000.jpeg","Скачать индивидуальный QR-код магазина")</f>
        <v>Скачать индивидуальный QR-код магазина</v>
      </c>
    </row>
    <row r="12252" spans="1:7" x14ac:dyDescent="0.25">
      <c r="A12252" t="s">
        <v>37919</v>
      </c>
      <c r="B12252" t="s">
        <v>37971</v>
      </c>
      <c r="C12252" t="s">
        <v>37972</v>
      </c>
      <c r="D12252" t="s">
        <v>37973</v>
      </c>
      <c r="E12252" t="s">
        <v>37974</v>
      </c>
      <c r="F12252" t="s">
        <v>37975</v>
      </c>
      <c r="G12252" s="2" t="str">
        <f>HYPERLINK("https://probpalata.gov.ru/files/ИП030900996800000.jpeg","Скачать индивидуальный QR-код магазина")</f>
        <v>Скачать индивидуальный QR-код магазина</v>
      </c>
    </row>
    <row r="12253" spans="1:7" x14ac:dyDescent="0.25">
      <c r="A12253" t="s">
        <v>37919</v>
      </c>
      <c r="B12253" t="s">
        <v>37976</v>
      </c>
      <c r="C12253" t="s">
        <v>37977</v>
      </c>
      <c r="D12253" t="s">
        <v>37978</v>
      </c>
      <c r="E12253" t="s">
        <v>37979</v>
      </c>
      <c r="F12253" t="s">
        <v>37980</v>
      </c>
      <c r="G12253" s="2" t="str">
        <f>HYPERLINK("https://probpalata.gov.ru/files/ИП030901005300000.jpeg","Скачать индивидуальный QR-код магазина")</f>
        <v>Скачать индивидуальный QR-код магазина</v>
      </c>
    </row>
    <row r="12254" spans="1:7" x14ac:dyDescent="0.25">
      <c r="A12254" t="s">
        <v>37919</v>
      </c>
      <c r="B12254" t="s">
        <v>37981</v>
      </c>
      <c r="C12254" t="s">
        <v>37982</v>
      </c>
      <c r="D12254" t="s">
        <v>37983</v>
      </c>
      <c r="E12254" t="s">
        <v>37984</v>
      </c>
      <c r="F12254" t="s">
        <v>37985</v>
      </c>
      <c r="G12254" s="2" t="str">
        <f>HYPERLINK("https://probpalata.gov.ru/files/ИП030901097100000.jpeg","Скачать индивидуальный QR-код магазина")</f>
        <v>Скачать индивидуальный QR-код магазина</v>
      </c>
    </row>
    <row r="12255" spans="1:7" x14ac:dyDescent="0.25">
      <c r="A12255" t="s">
        <v>37919</v>
      </c>
      <c r="B12255" t="s">
        <v>37986</v>
      </c>
      <c r="C12255" t="s">
        <v>37987</v>
      </c>
      <c r="D12255" t="s">
        <v>37988</v>
      </c>
      <c r="E12255" t="s">
        <v>37989</v>
      </c>
      <c r="F12255" t="s">
        <v>37990</v>
      </c>
      <c r="G12255" s="2" t="str">
        <f>HYPERLINK("https://probpalata.gov.ru/files/ИП030901098600000.jpeg","Скачать индивидуальный QR-код магазина")</f>
        <v>Скачать индивидуальный QR-код магазина</v>
      </c>
    </row>
    <row r="12256" spans="1:7" x14ac:dyDescent="0.25">
      <c r="A12256" t="s">
        <v>37919</v>
      </c>
      <c r="B12256" t="s">
        <v>37991</v>
      </c>
      <c r="C12256" t="s">
        <v>37992</v>
      </c>
      <c r="D12256" t="s">
        <v>37993</v>
      </c>
      <c r="E12256" t="s">
        <v>37994</v>
      </c>
      <c r="F12256" t="s">
        <v>37995</v>
      </c>
      <c r="G12256" s="2" t="str">
        <f>HYPERLINK("https://probpalata.gov.ru/files/ИП030904036700000.jpeg","Скачать индивидуальный QR-код магазина")</f>
        <v>Скачать индивидуальный QR-код магазина</v>
      </c>
    </row>
    <row r="12257" spans="1:7" x14ac:dyDescent="0.25">
      <c r="A12257" t="s">
        <v>37919</v>
      </c>
      <c r="B12257" t="s">
        <v>37996</v>
      </c>
      <c r="C12257" t="s">
        <v>37997</v>
      </c>
      <c r="D12257" t="s">
        <v>37998</v>
      </c>
      <c r="E12257" t="s">
        <v>37999</v>
      </c>
      <c r="F12257" t="s">
        <v>38000</v>
      </c>
      <c r="G12257" s="2" t="str">
        <f>HYPERLINK("https://probpalata.gov.ru/files/ИП030904014500000.jpeg","Скачать индивидуальный QR-код магазина")</f>
        <v>Скачать индивидуальный QR-код магазина</v>
      </c>
    </row>
    <row r="12258" spans="1:7" x14ac:dyDescent="0.25">
      <c r="A12258" t="s">
        <v>37919</v>
      </c>
      <c r="B12258" t="s">
        <v>38001</v>
      </c>
      <c r="C12258" t="s">
        <v>38002</v>
      </c>
      <c r="D12258" t="s">
        <v>38003</v>
      </c>
      <c r="E12258" t="s">
        <v>38004</v>
      </c>
      <c r="F12258" t="s">
        <v>38005</v>
      </c>
      <c r="G12258" s="2" t="str">
        <f>HYPERLINK("https://probpalata.gov.ru/files/ИП030901468600000.jpeg","Скачать индивидуальный QR-код магазина")</f>
        <v>Скачать индивидуальный QR-код магазина</v>
      </c>
    </row>
    <row r="12259" spans="1:7" x14ac:dyDescent="0.25">
      <c r="A12259" t="s">
        <v>37919</v>
      </c>
      <c r="B12259" t="s">
        <v>38006</v>
      </c>
      <c r="C12259" t="s">
        <v>38007</v>
      </c>
      <c r="D12259" t="s">
        <v>38008</v>
      </c>
      <c r="E12259" t="s">
        <v>38009</v>
      </c>
      <c r="F12259" t="s">
        <v>38010</v>
      </c>
      <c r="G12259" s="2" t="str">
        <f>HYPERLINK("https://probpalata.gov.ru/files/ИП030900837600000.jpeg","Скачать индивидуальный QR-код магазина")</f>
        <v>Скачать индивидуальный QR-код магазина</v>
      </c>
    </row>
    <row r="12260" spans="1:7" x14ac:dyDescent="0.25">
      <c r="A12260" t="s">
        <v>37919</v>
      </c>
      <c r="B12260" t="s">
        <v>38011</v>
      </c>
      <c r="C12260" t="s">
        <v>38012</v>
      </c>
      <c r="D12260" t="s">
        <v>38013</v>
      </c>
      <c r="E12260" t="s">
        <v>38014</v>
      </c>
      <c r="F12260" t="s">
        <v>38015</v>
      </c>
      <c r="G12260" s="2" t="str">
        <f>HYPERLINK("https://probpalata.gov.ru/files/ИП030900905200000.jpeg","Скачать индивидуальный QR-код магазина")</f>
        <v>Скачать индивидуальный QR-код магазина</v>
      </c>
    </row>
    <row r="12261" spans="1:7" x14ac:dyDescent="0.25">
      <c r="A12261" t="s">
        <v>37919</v>
      </c>
      <c r="B12261" t="s">
        <v>38016</v>
      </c>
      <c r="C12261" t="s">
        <v>38017</v>
      </c>
      <c r="D12261" t="s">
        <v>38018</v>
      </c>
      <c r="E12261" t="s">
        <v>38019</v>
      </c>
      <c r="F12261" t="s">
        <v>38020</v>
      </c>
      <c r="G12261" s="2" t="str">
        <f>HYPERLINK("https://probpalata.gov.ru/files/ИП030903038500000.jpeg","Скачать индивидуальный QR-код магазина")</f>
        <v>Скачать индивидуальный QR-код магазина</v>
      </c>
    </row>
    <row r="12262" spans="1:7" x14ac:dyDescent="0.25">
      <c r="A12262" t="s">
        <v>37919</v>
      </c>
      <c r="B12262" t="s">
        <v>38021</v>
      </c>
      <c r="C12262" t="s">
        <v>38022</v>
      </c>
      <c r="D12262" t="s">
        <v>38023</v>
      </c>
      <c r="E12262" t="s">
        <v>38024</v>
      </c>
      <c r="F12262" t="s">
        <v>38025</v>
      </c>
      <c r="G12262" s="2" t="str">
        <f>HYPERLINK("https://probpalata.gov.ru/files/ИП030903068100000.jpeg","Скачать индивидуальный QR-код магазина")</f>
        <v>Скачать индивидуальный QR-код магазина</v>
      </c>
    </row>
    <row r="12263" spans="1:7" x14ac:dyDescent="0.25">
      <c r="A12263" t="s">
        <v>37919</v>
      </c>
      <c r="B12263" t="s">
        <v>38026</v>
      </c>
      <c r="C12263" t="s">
        <v>38022</v>
      </c>
      <c r="D12263" t="s">
        <v>38023</v>
      </c>
      <c r="E12263" t="s">
        <v>38024</v>
      </c>
      <c r="F12263" t="s">
        <v>38027</v>
      </c>
      <c r="G12263" s="2" t="str">
        <f>HYPERLINK("https://probpalata.gov.ru/files/ИП030903068100001.jpeg","Скачать индивидуальный QR-код магазина")</f>
        <v>Скачать индивидуальный QR-код магазина</v>
      </c>
    </row>
    <row r="12264" spans="1:7" x14ac:dyDescent="0.25">
      <c r="A12264" t="s">
        <v>37919</v>
      </c>
      <c r="B12264" t="s">
        <v>38028</v>
      </c>
      <c r="C12264" t="s">
        <v>38029</v>
      </c>
      <c r="D12264" t="s">
        <v>38030</v>
      </c>
      <c r="E12264" t="s">
        <v>38031</v>
      </c>
      <c r="F12264" t="s">
        <v>38032</v>
      </c>
      <c r="G12264" s="2" t="str">
        <f>HYPERLINK("https://probpalata.gov.ru/files/ИП030901407200000.jpeg","Скачать индивидуальный QR-код магазина")</f>
        <v>Скачать индивидуальный QR-код магазина</v>
      </c>
    </row>
    <row r="12265" spans="1:7" x14ac:dyDescent="0.25">
      <c r="A12265" t="s">
        <v>37919</v>
      </c>
      <c r="B12265" t="s">
        <v>38033</v>
      </c>
      <c r="C12265" t="s">
        <v>38034</v>
      </c>
      <c r="D12265" t="s">
        <v>38035</v>
      </c>
      <c r="E12265" t="s">
        <v>38036</v>
      </c>
      <c r="F12265" t="s">
        <v>38037</v>
      </c>
      <c r="G12265" s="2" t="str">
        <f>HYPERLINK("https://probpalata.gov.ru/files/ЮЛ030900679000000.jpeg","Скачать индивидуальный QR-код магазина")</f>
        <v>Скачать индивидуальный QR-код магазина</v>
      </c>
    </row>
    <row r="12266" spans="1:7" x14ac:dyDescent="0.25">
      <c r="A12266" t="s">
        <v>37919</v>
      </c>
      <c r="B12266" t="s">
        <v>38038</v>
      </c>
      <c r="C12266" t="s">
        <v>38039</v>
      </c>
      <c r="D12266" t="s">
        <v>38040</v>
      </c>
      <c r="E12266" t="s">
        <v>38041</v>
      </c>
      <c r="F12266" t="s">
        <v>38042</v>
      </c>
      <c r="G12266" s="2" t="str">
        <f>HYPERLINK("https://probpalata.gov.ru/files/ИП030900097100000.jpeg","Скачать индивидуальный QR-код магазина")</f>
        <v>Скачать индивидуальный QR-код магазина</v>
      </c>
    </row>
    <row r="12267" spans="1:7" x14ac:dyDescent="0.25">
      <c r="A12267" t="s">
        <v>37919</v>
      </c>
      <c r="B12267" t="s">
        <v>38043</v>
      </c>
      <c r="C12267" t="s">
        <v>38044</v>
      </c>
      <c r="D12267" t="s">
        <v>38045</v>
      </c>
      <c r="E12267" t="s">
        <v>38046</v>
      </c>
      <c r="F12267" t="s">
        <v>38047</v>
      </c>
      <c r="G12267" s="2" t="str">
        <f>HYPERLINK("https://probpalata.gov.ru/files/ИП030900286100000.jpeg","Скачать индивидуальный QR-код магазина")</f>
        <v>Скачать индивидуальный QR-код магазина</v>
      </c>
    </row>
    <row r="12268" spans="1:7" x14ac:dyDescent="0.25">
      <c r="A12268" t="s">
        <v>37919</v>
      </c>
      <c r="B12268" t="s">
        <v>38048</v>
      </c>
      <c r="C12268" t="s">
        <v>38049</v>
      </c>
      <c r="D12268" t="s">
        <v>38050</v>
      </c>
      <c r="E12268" t="s">
        <v>38051</v>
      </c>
      <c r="F12268" t="s">
        <v>38052</v>
      </c>
      <c r="G12268" s="2" t="str">
        <f>HYPERLINK("https://probpalata.gov.ru/files/ИП030900345900000.jpeg","Скачать индивидуальный QR-код магазина")</f>
        <v>Скачать индивидуальный QR-код магазина</v>
      </c>
    </row>
    <row r="12269" spans="1:7" x14ac:dyDescent="0.25">
      <c r="A12269" t="s">
        <v>37919</v>
      </c>
      <c r="B12269" t="s">
        <v>38053</v>
      </c>
      <c r="C12269" t="s">
        <v>38049</v>
      </c>
      <c r="D12269" t="s">
        <v>38050</v>
      </c>
      <c r="E12269" t="s">
        <v>38051</v>
      </c>
      <c r="F12269" t="s">
        <v>38054</v>
      </c>
      <c r="G12269" s="2" t="str">
        <f>HYPERLINK("https://probpalata.gov.ru/files/ИП030900345900007.jpeg","Скачать индивидуальный QR-код магазина")</f>
        <v>Скачать индивидуальный QR-код магазина</v>
      </c>
    </row>
    <row r="12270" spans="1:7" x14ac:dyDescent="0.25">
      <c r="A12270" t="s">
        <v>37919</v>
      </c>
      <c r="B12270" t="s">
        <v>38055</v>
      </c>
      <c r="C12270" t="s">
        <v>38049</v>
      </c>
      <c r="D12270" t="s">
        <v>38050</v>
      </c>
      <c r="E12270" t="s">
        <v>38051</v>
      </c>
      <c r="F12270" t="s">
        <v>38056</v>
      </c>
      <c r="G12270" s="2" t="str">
        <f>HYPERLINK("https://probpalata.gov.ru/files/ИП030900345900008.jpeg","Скачать индивидуальный QR-код магазина")</f>
        <v>Скачать индивидуальный QR-код магазина</v>
      </c>
    </row>
    <row r="12271" spans="1:7" x14ac:dyDescent="0.25">
      <c r="A12271" t="s">
        <v>37919</v>
      </c>
      <c r="B12271" t="s">
        <v>38057</v>
      </c>
      <c r="C12271" t="s">
        <v>38058</v>
      </c>
      <c r="D12271" t="s">
        <v>38059</v>
      </c>
      <c r="E12271" t="s">
        <v>38060</v>
      </c>
      <c r="F12271" t="s">
        <v>38061</v>
      </c>
      <c r="G12271" s="2" t="str">
        <f>HYPERLINK("https://probpalata.gov.ru/files/ИП030901518100001.jpeg","Скачать индивидуальный QR-код магазина")</f>
        <v>Скачать индивидуальный QR-код магазина</v>
      </c>
    </row>
    <row r="12272" spans="1:7" x14ac:dyDescent="0.25">
      <c r="A12272" t="s">
        <v>37919</v>
      </c>
      <c r="B12272" t="s">
        <v>38062</v>
      </c>
      <c r="C12272" t="s">
        <v>38063</v>
      </c>
      <c r="D12272" t="s">
        <v>38064</v>
      </c>
      <c r="E12272" t="s">
        <v>38065</v>
      </c>
      <c r="F12272" t="s">
        <v>38066</v>
      </c>
      <c r="G12272" s="2" t="str">
        <f>HYPERLINK("https://probpalata.gov.ru/files/ЮЛ030901389400000.jpeg","Скачать индивидуальный QR-код магазина")</f>
        <v>Скачать индивидуальный QR-код магазина</v>
      </c>
    </row>
    <row r="12273" spans="1:7" x14ac:dyDescent="0.25">
      <c r="A12273" t="s">
        <v>37919</v>
      </c>
      <c r="B12273" t="s">
        <v>38067</v>
      </c>
      <c r="C12273" t="s">
        <v>38063</v>
      </c>
      <c r="D12273" t="s">
        <v>38064</v>
      </c>
      <c r="E12273" t="s">
        <v>38065</v>
      </c>
      <c r="F12273" t="s">
        <v>38068</v>
      </c>
      <c r="G12273" s="2" t="str">
        <f>HYPERLINK("https://probpalata.gov.ru/files/ЮЛ030901389400001.jpeg","Скачать индивидуальный QR-код магазина")</f>
        <v>Скачать индивидуальный QR-код магазина</v>
      </c>
    </row>
    <row r="12274" spans="1:7" x14ac:dyDescent="0.25">
      <c r="A12274" t="s">
        <v>37919</v>
      </c>
      <c r="B12274" t="s">
        <v>38069</v>
      </c>
      <c r="C12274" t="s">
        <v>38063</v>
      </c>
      <c r="D12274" t="s">
        <v>38064</v>
      </c>
      <c r="E12274" t="s">
        <v>38065</v>
      </c>
      <c r="F12274" t="s">
        <v>38070</v>
      </c>
      <c r="G12274" s="2" t="str">
        <f>HYPERLINK("https://probpalata.gov.ru/files/ЮЛ030901389400002.jpeg","Скачать индивидуальный QR-код магазина")</f>
        <v>Скачать индивидуальный QR-код магазина</v>
      </c>
    </row>
    <row r="12275" spans="1:7" x14ac:dyDescent="0.25">
      <c r="A12275" t="s">
        <v>37919</v>
      </c>
      <c r="B12275" t="s">
        <v>38071</v>
      </c>
      <c r="C12275" t="s">
        <v>38063</v>
      </c>
      <c r="D12275" t="s">
        <v>38064</v>
      </c>
      <c r="E12275" t="s">
        <v>38065</v>
      </c>
      <c r="F12275" t="s">
        <v>38072</v>
      </c>
      <c r="G12275" s="2" t="str">
        <f>HYPERLINK("https://probpalata.gov.ru/files/ЮЛ030901389400003.jpeg","Скачать индивидуальный QR-код магазина")</f>
        <v>Скачать индивидуальный QR-код магазина</v>
      </c>
    </row>
    <row r="12276" spans="1:7" x14ac:dyDescent="0.25">
      <c r="A12276" t="s">
        <v>37919</v>
      </c>
      <c r="B12276" t="s">
        <v>38073</v>
      </c>
      <c r="C12276" t="s">
        <v>38063</v>
      </c>
      <c r="D12276" t="s">
        <v>38064</v>
      </c>
      <c r="E12276" t="s">
        <v>38065</v>
      </c>
      <c r="F12276" t="s">
        <v>38074</v>
      </c>
      <c r="G12276" s="2" t="str">
        <f>HYPERLINK("https://probpalata.gov.ru/files/ЮЛ030901389400004.jpeg","Скачать индивидуальный QR-код магазина")</f>
        <v>Скачать индивидуальный QR-код магазина</v>
      </c>
    </row>
    <row r="12277" spans="1:7" x14ac:dyDescent="0.25">
      <c r="A12277" t="s">
        <v>37919</v>
      </c>
      <c r="B12277" t="s">
        <v>38075</v>
      </c>
      <c r="C12277" t="s">
        <v>38063</v>
      </c>
      <c r="D12277" t="s">
        <v>38064</v>
      </c>
      <c r="E12277" t="s">
        <v>38065</v>
      </c>
      <c r="F12277" t="s">
        <v>38076</v>
      </c>
      <c r="G12277" s="2" t="str">
        <f>HYPERLINK("https://probpalata.gov.ru/files/ЮЛ030901389400005.jpeg","Скачать индивидуальный QR-код магазина")</f>
        <v>Скачать индивидуальный QR-код магазина</v>
      </c>
    </row>
    <row r="12278" spans="1:7" x14ac:dyDescent="0.25">
      <c r="A12278" t="s">
        <v>37919</v>
      </c>
      <c r="B12278" t="s">
        <v>38077</v>
      </c>
      <c r="C12278" t="s">
        <v>38063</v>
      </c>
      <c r="D12278" t="s">
        <v>38064</v>
      </c>
      <c r="E12278" t="s">
        <v>38065</v>
      </c>
      <c r="F12278" t="s">
        <v>38078</v>
      </c>
      <c r="G12278" s="2" t="str">
        <f>HYPERLINK("https://probpalata.gov.ru/files/ЮЛ030901389400006.jpeg","Скачать индивидуальный QR-код магазина")</f>
        <v>Скачать индивидуальный QR-код магазина</v>
      </c>
    </row>
    <row r="12279" spans="1:7" x14ac:dyDescent="0.25">
      <c r="A12279" t="s">
        <v>37919</v>
      </c>
      <c r="B12279" t="s">
        <v>38079</v>
      </c>
      <c r="C12279" t="s">
        <v>38063</v>
      </c>
      <c r="D12279" t="s">
        <v>38064</v>
      </c>
      <c r="E12279" t="s">
        <v>38065</v>
      </c>
      <c r="F12279" t="s">
        <v>38080</v>
      </c>
      <c r="G12279" s="2" t="str">
        <f>HYPERLINK("https://probpalata.gov.ru/files/ЮЛ030901389400007.jpeg","Скачать индивидуальный QR-код магазина")</f>
        <v>Скачать индивидуальный QR-код магазина</v>
      </c>
    </row>
    <row r="12280" spans="1:7" x14ac:dyDescent="0.25">
      <c r="A12280" t="s">
        <v>37919</v>
      </c>
      <c r="B12280" t="s">
        <v>38081</v>
      </c>
      <c r="C12280" t="s">
        <v>38063</v>
      </c>
      <c r="D12280" t="s">
        <v>38064</v>
      </c>
      <c r="E12280" t="s">
        <v>38065</v>
      </c>
      <c r="F12280" t="s">
        <v>38082</v>
      </c>
      <c r="G12280" s="2" t="str">
        <f>HYPERLINK("https://probpalata.gov.ru/files/ЮЛ030901389400008.jpeg","Скачать индивидуальный QR-код магазина")</f>
        <v>Скачать индивидуальный QR-код магазина</v>
      </c>
    </row>
    <row r="12281" spans="1:7" x14ac:dyDescent="0.25">
      <c r="A12281" t="s">
        <v>37919</v>
      </c>
      <c r="B12281" t="s">
        <v>38083</v>
      </c>
      <c r="C12281" t="s">
        <v>38063</v>
      </c>
      <c r="D12281" t="s">
        <v>38064</v>
      </c>
      <c r="E12281" t="s">
        <v>38065</v>
      </c>
      <c r="F12281" t="s">
        <v>38084</v>
      </c>
      <c r="G12281" s="2" t="str">
        <f>HYPERLINK("https://probpalata.gov.ru/files/ЮЛ030901389400009.jpeg","Скачать индивидуальный QR-код магазина")</f>
        <v>Скачать индивидуальный QR-код магазина</v>
      </c>
    </row>
    <row r="12282" spans="1:7" x14ac:dyDescent="0.25">
      <c r="A12282" t="s">
        <v>37919</v>
      </c>
      <c r="B12282" t="s">
        <v>38085</v>
      </c>
      <c r="C12282" t="s">
        <v>38086</v>
      </c>
      <c r="D12282" t="s">
        <v>38087</v>
      </c>
      <c r="E12282" t="s">
        <v>38088</v>
      </c>
      <c r="F12282" t="s">
        <v>38089</v>
      </c>
      <c r="G12282" s="2" t="str">
        <f>HYPERLINK("https://probpalata.gov.ru/files/ЮЛ030901764500000.jpeg","Скачать индивидуальный QR-код магазина")</f>
        <v>Скачать индивидуальный QR-код магазина</v>
      </c>
    </row>
    <row r="12283" spans="1:7" x14ac:dyDescent="0.25">
      <c r="A12283" t="s">
        <v>37919</v>
      </c>
      <c r="B12283" t="s">
        <v>38090</v>
      </c>
      <c r="C12283" t="s">
        <v>38086</v>
      </c>
      <c r="D12283" t="s">
        <v>38087</v>
      </c>
      <c r="E12283" t="s">
        <v>38088</v>
      </c>
      <c r="F12283" t="s">
        <v>38091</v>
      </c>
      <c r="G12283" s="2" t="str">
        <f>HYPERLINK("https://probpalata.gov.ru/files/ЮЛ030901764500002.jpeg","Скачать индивидуальный QR-код магазина")</f>
        <v>Скачать индивидуальный QR-код магазина</v>
      </c>
    </row>
    <row r="12284" spans="1:7" x14ac:dyDescent="0.25">
      <c r="A12284" t="s">
        <v>37919</v>
      </c>
      <c r="B12284" t="s">
        <v>38092</v>
      </c>
      <c r="C12284" t="s">
        <v>38086</v>
      </c>
      <c r="D12284" t="s">
        <v>38087</v>
      </c>
      <c r="E12284" t="s">
        <v>38088</v>
      </c>
      <c r="F12284" t="s">
        <v>38093</v>
      </c>
      <c r="G12284" s="2" t="str">
        <f>HYPERLINK("https://probpalata.gov.ru/files/ЮЛ030901764500003.jpeg","Скачать индивидуальный QR-код магазина")</f>
        <v>Скачать индивидуальный QR-код магазина</v>
      </c>
    </row>
    <row r="12285" spans="1:7" x14ac:dyDescent="0.25">
      <c r="A12285" t="s">
        <v>37919</v>
      </c>
      <c r="B12285" t="s">
        <v>38077</v>
      </c>
      <c r="C12285" t="s">
        <v>38086</v>
      </c>
      <c r="D12285" t="s">
        <v>38087</v>
      </c>
      <c r="E12285" t="s">
        <v>38088</v>
      </c>
      <c r="F12285" t="s">
        <v>38094</v>
      </c>
      <c r="G12285" s="2" t="str">
        <f>HYPERLINK("https://probpalata.gov.ru/files/ЮЛ030901764500004.jpeg","Скачать индивидуальный QR-код магазина")</f>
        <v>Скачать индивидуальный QR-код магазина</v>
      </c>
    </row>
    <row r="12286" spans="1:7" x14ac:dyDescent="0.25">
      <c r="A12286" t="s">
        <v>37919</v>
      </c>
      <c r="B12286" t="s">
        <v>38081</v>
      </c>
      <c r="C12286" t="s">
        <v>38086</v>
      </c>
      <c r="D12286" t="s">
        <v>38087</v>
      </c>
      <c r="E12286" t="s">
        <v>38088</v>
      </c>
      <c r="F12286" t="s">
        <v>38095</v>
      </c>
      <c r="G12286" s="2" t="str">
        <f>HYPERLINK("https://probpalata.gov.ru/files/ЮЛ030901764500006.jpeg","Скачать индивидуальный QR-код магазина")</f>
        <v>Скачать индивидуальный QR-код магазина</v>
      </c>
    </row>
    <row r="12287" spans="1:7" x14ac:dyDescent="0.25">
      <c r="A12287" t="s">
        <v>37919</v>
      </c>
      <c r="B12287" t="s">
        <v>38096</v>
      </c>
      <c r="C12287" t="s">
        <v>6894</v>
      </c>
      <c r="D12287" t="s">
        <v>6895</v>
      </c>
      <c r="E12287" t="s">
        <v>6896</v>
      </c>
      <c r="F12287" t="s">
        <v>38097</v>
      </c>
      <c r="G12287" s="2" t="str">
        <f>HYPERLINK("https://probpalata.gov.ru/files/ИП030900572300000.jpeg","Скачать индивидуальный QR-код магазина")</f>
        <v>Скачать индивидуальный QR-код магазина</v>
      </c>
    </row>
    <row r="12288" spans="1:7" x14ac:dyDescent="0.25">
      <c r="A12288" t="s">
        <v>37919</v>
      </c>
      <c r="B12288" t="s">
        <v>38098</v>
      </c>
      <c r="C12288" t="s">
        <v>6894</v>
      </c>
      <c r="D12288" t="s">
        <v>6895</v>
      </c>
      <c r="E12288" t="s">
        <v>6896</v>
      </c>
      <c r="F12288" t="s">
        <v>38099</v>
      </c>
      <c r="G12288" s="2" t="str">
        <f>HYPERLINK("https://probpalata.gov.ru/files/ИП030900572300003.jpeg","Скачать индивидуальный QR-код магазина")</f>
        <v>Скачать индивидуальный QR-код магазина</v>
      </c>
    </row>
    <row r="12289" spans="1:7" x14ac:dyDescent="0.25">
      <c r="A12289" t="s">
        <v>37919</v>
      </c>
      <c r="B12289" t="s">
        <v>38100</v>
      </c>
      <c r="C12289" t="s">
        <v>6894</v>
      </c>
      <c r="D12289" t="s">
        <v>6895</v>
      </c>
      <c r="E12289" t="s">
        <v>6896</v>
      </c>
      <c r="F12289" t="s">
        <v>38101</v>
      </c>
      <c r="G12289" s="2" t="str">
        <f>HYPERLINK("https://probpalata.gov.ru/files/ИП030900572300006.jpeg","Скачать индивидуальный QR-код магазина")</f>
        <v>Скачать индивидуальный QR-код магазина</v>
      </c>
    </row>
    <row r="12290" spans="1:7" x14ac:dyDescent="0.25">
      <c r="A12290" t="s">
        <v>37919</v>
      </c>
      <c r="B12290" t="s">
        <v>38102</v>
      </c>
      <c r="C12290" t="s">
        <v>6894</v>
      </c>
      <c r="D12290" t="s">
        <v>6895</v>
      </c>
      <c r="E12290" t="s">
        <v>6896</v>
      </c>
      <c r="F12290" t="s">
        <v>38103</v>
      </c>
      <c r="G12290" s="2" t="str">
        <f>HYPERLINK("https://probpalata.gov.ru/files/ИП030900572300014.jpeg","Скачать индивидуальный QR-код магазина")</f>
        <v>Скачать индивидуальный QR-код магазина</v>
      </c>
    </row>
    <row r="12291" spans="1:7" x14ac:dyDescent="0.25">
      <c r="A12291" t="s">
        <v>37919</v>
      </c>
      <c r="B12291" t="s">
        <v>38104</v>
      </c>
      <c r="C12291" t="s">
        <v>38105</v>
      </c>
      <c r="D12291" t="s">
        <v>38106</v>
      </c>
      <c r="E12291" t="s">
        <v>38107</v>
      </c>
      <c r="F12291" t="s">
        <v>38108</v>
      </c>
      <c r="G12291" s="2" t="str">
        <f>HYPERLINK("https://probpalata.gov.ru/files/ИП030900998100000.jpeg","Скачать индивидуальный QR-код магазина")</f>
        <v>Скачать индивидуальный QR-код магазина</v>
      </c>
    </row>
    <row r="12292" spans="1:7" x14ac:dyDescent="0.25">
      <c r="A12292" t="s">
        <v>37919</v>
      </c>
      <c r="B12292" t="s">
        <v>38109</v>
      </c>
      <c r="C12292" t="s">
        <v>38110</v>
      </c>
      <c r="D12292" t="s">
        <v>38111</v>
      </c>
      <c r="E12292" t="s">
        <v>38112</v>
      </c>
      <c r="F12292" t="s">
        <v>38113</v>
      </c>
      <c r="G12292" s="2" t="str">
        <f>HYPERLINK("https://probpalata.gov.ru/files/ИП030900679700000.jpeg","Скачать индивидуальный QR-код магазина")</f>
        <v>Скачать индивидуальный QR-код магазина</v>
      </c>
    </row>
    <row r="12293" spans="1:7" x14ac:dyDescent="0.25">
      <c r="A12293" t="s">
        <v>37919</v>
      </c>
      <c r="B12293" t="s">
        <v>38114</v>
      </c>
      <c r="C12293" t="s">
        <v>38115</v>
      </c>
      <c r="D12293" t="s">
        <v>38116</v>
      </c>
      <c r="E12293" t="s">
        <v>38117</v>
      </c>
      <c r="F12293" t="s">
        <v>38118</v>
      </c>
      <c r="G12293" s="2" t="str">
        <f>HYPERLINK("https://probpalata.gov.ru/files/ИП030901914700000.jpeg","Скачать индивидуальный QR-код магазина")</f>
        <v>Скачать индивидуальный QR-код магазина</v>
      </c>
    </row>
    <row r="12294" spans="1:7" x14ac:dyDescent="0.25">
      <c r="A12294" t="s">
        <v>37919</v>
      </c>
      <c r="B12294" t="s">
        <v>38119</v>
      </c>
      <c r="C12294" t="s">
        <v>38120</v>
      </c>
      <c r="D12294" t="s">
        <v>38121</v>
      </c>
      <c r="E12294" t="s">
        <v>38122</v>
      </c>
      <c r="F12294" t="s">
        <v>38123</v>
      </c>
      <c r="G12294" s="2" t="str">
        <f>HYPERLINK("https://probpalata.gov.ru/files/ИП030901024200000.jpeg","Скачать индивидуальный QR-код магазина")</f>
        <v>Скачать индивидуальный QR-код магазина</v>
      </c>
    </row>
    <row r="12295" spans="1:7" x14ac:dyDescent="0.25">
      <c r="A12295" t="s">
        <v>37919</v>
      </c>
      <c r="B12295" t="s">
        <v>38124</v>
      </c>
      <c r="C12295" t="s">
        <v>38125</v>
      </c>
      <c r="D12295" t="s">
        <v>38126</v>
      </c>
      <c r="E12295" t="s">
        <v>38127</v>
      </c>
      <c r="F12295" t="s">
        <v>38128</v>
      </c>
      <c r="G12295" s="2" t="str">
        <f>HYPERLINK("https://probpalata.gov.ru/files/ИП030900011200000.jpeg","Скачать индивидуальный QR-код магазина")</f>
        <v>Скачать индивидуальный QR-код магазина</v>
      </c>
    </row>
    <row r="12296" spans="1:7" x14ac:dyDescent="0.25">
      <c r="A12296" t="s">
        <v>37919</v>
      </c>
      <c r="B12296" t="s">
        <v>38129</v>
      </c>
      <c r="C12296" t="s">
        <v>38130</v>
      </c>
      <c r="D12296" t="s">
        <v>38131</v>
      </c>
      <c r="E12296" t="s">
        <v>38132</v>
      </c>
      <c r="F12296" t="s">
        <v>38133</v>
      </c>
      <c r="G12296" s="2" t="str">
        <f>HYPERLINK("https://probpalata.gov.ru/files/ИП030900145900000.jpeg","Скачать индивидуальный QR-код магазина")</f>
        <v>Скачать индивидуальный QR-код магазина</v>
      </c>
    </row>
    <row r="12297" spans="1:7" x14ac:dyDescent="0.25">
      <c r="A12297" t="s">
        <v>37919</v>
      </c>
      <c r="B12297" t="s">
        <v>38134</v>
      </c>
      <c r="C12297" t="s">
        <v>38130</v>
      </c>
      <c r="D12297" t="s">
        <v>38131</v>
      </c>
      <c r="E12297" t="s">
        <v>38132</v>
      </c>
      <c r="F12297" t="s">
        <v>38135</v>
      </c>
      <c r="G12297" s="2" t="str">
        <f>HYPERLINK("https://probpalata.gov.ru/files/ИП030900145900001.jpeg","Скачать индивидуальный QR-код магазина")</f>
        <v>Скачать индивидуальный QR-код магазина</v>
      </c>
    </row>
    <row r="12298" spans="1:7" x14ac:dyDescent="0.25">
      <c r="A12298" t="s">
        <v>37919</v>
      </c>
      <c r="B12298" t="s">
        <v>38136</v>
      </c>
      <c r="C12298" t="s">
        <v>38130</v>
      </c>
      <c r="D12298" t="s">
        <v>38131</v>
      </c>
      <c r="E12298" t="s">
        <v>38132</v>
      </c>
      <c r="F12298" t="s">
        <v>38137</v>
      </c>
      <c r="G12298" s="2" t="str">
        <f>HYPERLINK("https://probpalata.gov.ru/files/ИП030900145900002.jpeg","Скачать индивидуальный QR-код магазина")</f>
        <v>Скачать индивидуальный QR-код магазина</v>
      </c>
    </row>
    <row r="12299" spans="1:7" x14ac:dyDescent="0.25">
      <c r="A12299" t="s">
        <v>37919</v>
      </c>
      <c r="B12299" t="s">
        <v>38138</v>
      </c>
      <c r="C12299" t="s">
        <v>38130</v>
      </c>
      <c r="D12299" t="s">
        <v>38131</v>
      </c>
      <c r="E12299" t="s">
        <v>38132</v>
      </c>
      <c r="F12299" t="s">
        <v>38139</v>
      </c>
      <c r="G12299" s="2" t="str">
        <f>HYPERLINK("https://probpalata.gov.ru/files/ИП030900145900004.jpeg","Скачать индивидуальный QR-код магазина")</f>
        <v>Скачать индивидуальный QR-код магазина</v>
      </c>
    </row>
    <row r="12300" spans="1:7" x14ac:dyDescent="0.25">
      <c r="A12300" t="s">
        <v>37919</v>
      </c>
      <c r="B12300" t="s">
        <v>38119</v>
      </c>
      <c r="C12300" t="s">
        <v>38140</v>
      </c>
      <c r="D12300" t="s">
        <v>38141</v>
      </c>
      <c r="E12300" t="s">
        <v>38142</v>
      </c>
      <c r="F12300" t="s">
        <v>38143</v>
      </c>
      <c r="G12300" s="2" t="str">
        <f>HYPERLINK("https://probpalata.gov.ru/files/ИП030901024500000.jpeg","Скачать индивидуальный QR-код магазина")</f>
        <v>Скачать индивидуальный QR-код магазина</v>
      </c>
    </row>
    <row r="12301" spans="1:7" x14ac:dyDescent="0.25">
      <c r="A12301" t="s">
        <v>37919</v>
      </c>
      <c r="B12301" t="s">
        <v>38144</v>
      </c>
      <c r="C12301" t="s">
        <v>38140</v>
      </c>
      <c r="D12301" t="s">
        <v>38141</v>
      </c>
      <c r="E12301" t="s">
        <v>38142</v>
      </c>
      <c r="F12301" t="s">
        <v>38145</v>
      </c>
      <c r="G12301" s="2" t="str">
        <f>HYPERLINK("https://probpalata.gov.ru/files/ИП030901024500001.jpeg","Скачать индивидуальный QR-код магазина")</f>
        <v>Скачать индивидуальный QR-код магазина</v>
      </c>
    </row>
    <row r="12302" spans="1:7" x14ac:dyDescent="0.25">
      <c r="A12302" t="s">
        <v>37919</v>
      </c>
      <c r="B12302" t="s">
        <v>38146</v>
      </c>
      <c r="C12302" t="s">
        <v>38140</v>
      </c>
      <c r="D12302" t="s">
        <v>38141</v>
      </c>
      <c r="E12302" t="s">
        <v>38142</v>
      </c>
      <c r="F12302" t="s">
        <v>38147</v>
      </c>
      <c r="G12302" s="2" t="str">
        <f>HYPERLINK("https://probpalata.gov.ru/files/ИП030901024500004.jpeg","Скачать индивидуальный QR-код магазина")</f>
        <v>Скачать индивидуальный QR-код магазина</v>
      </c>
    </row>
    <row r="12303" spans="1:7" x14ac:dyDescent="0.25">
      <c r="A12303" t="s">
        <v>37919</v>
      </c>
      <c r="B12303" t="s">
        <v>38148</v>
      </c>
      <c r="C12303" t="s">
        <v>38140</v>
      </c>
      <c r="D12303" t="s">
        <v>38141</v>
      </c>
      <c r="E12303" t="s">
        <v>38142</v>
      </c>
      <c r="F12303" t="s">
        <v>38149</v>
      </c>
      <c r="G12303" s="2" t="str">
        <f>HYPERLINK("https://probpalata.gov.ru/files/ИП030901024500005.jpeg","Скачать индивидуальный QR-код магазина")</f>
        <v>Скачать индивидуальный QR-код магазина</v>
      </c>
    </row>
    <row r="12304" spans="1:7" x14ac:dyDescent="0.25">
      <c r="A12304" t="s">
        <v>37919</v>
      </c>
      <c r="B12304" t="s">
        <v>38150</v>
      </c>
      <c r="C12304" t="s">
        <v>38151</v>
      </c>
      <c r="D12304" t="s">
        <v>38152</v>
      </c>
      <c r="E12304" t="s">
        <v>38153</v>
      </c>
      <c r="F12304" t="s">
        <v>38154</v>
      </c>
      <c r="G12304" s="2" t="str">
        <f>HYPERLINK("https://probpalata.gov.ru/files/ИП030900680300000.jpeg","Скачать индивидуальный QR-код магазина")</f>
        <v>Скачать индивидуальный QR-код магазина</v>
      </c>
    </row>
    <row r="12305" spans="1:7" x14ac:dyDescent="0.25">
      <c r="A12305" t="s">
        <v>37919</v>
      </c>
      <c r="B12305" t="s">
        <v>38155</v>
      </c>
      <c r="C12305" t="s">
        <v>38156</v>
      </c>
      <c r="D12305" t="s">
        <v>38157</v>
      </c>
      <c r="E12305" t="s">
        <v>38158</v>
      </c>
      <c r="F12305" t="s">
        <v>38159</v>
      </c>
      <c r="G12305" s="2" t="str">
        <f>HYPERLINK("https://probpalata.gov.ru/files/ИП030900572400003.jpeg","Скачать индивидуальный QR-код магазина")</f>
        <v>Скачать индивидуальный QR-код магазина</v>
      </c>
    </row>
    <row r="12306" spans="1:7" x14ac:dyDescent="0.25">
      <c r="A12306" t="s">
        <v>37919</v>
      </c>
      <c r="B12306" t="s">
        <v>38160</v>
      </c>
      <c r="C12306" t="s">
        <v>38156</v>
      </c>
      <c r="D12306" t="s">
        <v>38157</v>
      </c>
      <c r="E12306" t="s">
        <v>38158</v>
      </c>
      <c r="F12306" t="s">
        <v>38161</v>
      </c>
      <c r="G12306" s="2" t="str">
        <f>HYPERLINK("https://probpalata.gov.ru/files/ИП030900572400005.jpeg","Скачать индивидуальный QR-код магазина")</f>
        <v>Скачать индивидуальный QR-код магазина</v>
      </c>
    </row>
    <row r="12307" spans="1:7" x14ac:dyDescent="0.25">
      <c r="A12307" t="s">
        <v>37919</v>
      </c>
      <c r="B12307" t="s">
        <v>38162</v>
      </c>
      <c r="C12307" t="s">
        <v>38163</v>
      </c>
      <c r="D12307" t="s">
        <v>38164</v>
      </c>
      <c r="E12307" t="s">
        <v>38165</v>
      </c>
      <c r="F12307" t="s">
        <v>38166</v>
      </c>
      <c r="G12307" s="2" t="str">
        <f>HYPERLINK("https://probpalata.gov.ru/files/ИП230400875100000.jpeg","Скачать индивидуальный QR-код магазина")</f>
        <v>Скачать индивидуальный QR-код магазина</v>
      </c>
    </row>
    <row r="12308" spans="1:7" x14ac:dyDescent="0.25">
      <c r="A12308" t="s">
        <v>37919</v>
      </c>
      <c r="B12308" t="s">
        <v>38167</v>
      </c>
      <c r="C12308" t="s">
        <v>38163</v>
      </c>
      <c r="D12308" t="s">
        <v>38164</v>
      </c>
      <c r="E12308" t="s">
        <v>38165</v>
      </c>
      <c r="F12308" t="s">
        <v>38168</v>
      </c>
      <c r="G12308" s="2" t="str">
        <f>HYPERLINK("https://probpalata.gov.ru/files/ИП230400875100001.jpeg","Скачать индивидуальный QR-код магазина")</f>
        <v>Скачать индивидуальный QR-код магазина</v>
      </c>
    </row>
    <row r="12309" spans="1:7" x14ac:dyDescent="0.25">
      <c r="A12309" t="s">
        <v>37919</v>
      </c>
      <c r="B12309" t="s">
        <v>38169</v>
      </c>
      <c r="C12309" t="s">
        <v>38163</v>
      </c>
      <c r="D12309" t="s">
        <v>38164</v>
      </c>
      <c r="E12309" t="s">
        <v>38165</v>
      </c>
      <c r="F12309" t="s">
        <v>38170</v>
      </c>
      <c r="G12309" s="2" t="str">
        <f>HYPERLINK("https://probpalata.gov.ru/files/ИП230400875100002.jpeg","Скачать индивидуальный QR-код магазина")</f>
        <v>Скачать индивидуальный QR-код магазина</v>
      </c>
    </row>
    <row r="12310" spans="1:7" x14ac:dyDescent="0.25">
      <c r="A12310" t="s">
        <v>37919</v>
      </c>
      <c r="B12310" t="s">
        <v>38171</v>
      </c>
      <c r="C12310" t="s">
        <v>38172</v>
      </c>
      <c r="D12310" t="s">
        <v>38173</v>
      </c>
      <c r="E12310" t="s">
        <v>38174</v>
      </c>
      <c r="F12310" t="s">
        <v>38175</v>
      </c>
      <c r="G12310" s="2" t="str">
        <f>HYPERLINK("https://probpalata.gov.ru/files/ИП030900249500000.jpeg","Скачать индивидуальный QR-код магазина")</f>
        <v>Скачать индивидуальный QR-код магазина</v>
      </c>
    </row>
    <row r="12311" spans="1:7" x14ac:dyDescent="0.25">
      <c r="A12311" t="s">
        <v>37919</v>
      </c>
      <c r="B12311" t="s">
        <v>38176</v>
      </c>
      <c r="C12311" t="s">
        <v>38172</v>
      </c>
      <c r="D12311" t="s">
        <v>38173</v>
      </c>
      <c r="E12311" t="s">
        <v>38174</v>
      </c>
      <c r="F12311" t="s">
        <v>38177</v>
      </c>
      <c r="G12311" s="2" t="str">
        <f>HYPERLINK("https://probpalata.gov.ru/files/ИП030900249500001.jpeg","Скачать индивидуальный QR-код магазина")</f>
        <v>Скачать индивидуальный QR-код магазина</v>
      </c>
    </row>
    <row r="12312" spans="1:7" x14ac:dyDescent="0.25">
      <c r="A12312" t="s">
        <v>37919</v>
      </c>
      <c r="B12312" t="s">
        <v>38178</v>
      </c>
      <c r="C12312" t="s">
        <v>38179</v>
      </c>
      <c r="D12312" t="s">
        <v>38180</v>
      </c>
      <c r="E12312" t="s">
        <v>38181</v>
      </c>
      <c r="F12312" t="s">
        <v>38182</v>
      </c>
      <c r="G12312" s="2" t="str">
        <f>HYPERLINK("https://probpalata.gov.ru/files/ИП030901025100000.jpeg","Скачать индивидуальный QR-код магазина")</f>
        <v>Скачать индивидуальный QR-код магазина</v>
      </c>
    </row>
    <row r="12313" spans="1:7" x14ac:dyDescent="0.25">
      <c r="A12313" t="s">
        <v>37919</v>
      </c>
      <c r="B12313" t="s">
        <v>38183</v>
      </c>
      <c r="C12313" t="s">
        <v>18859</v>
      </c>
      <c r="D12313" t="s">
        <v>18860</v>
      </c>
      <c r="E12313" t="s">
        <v>18861</v>
      </c>
      <c r="F12313" t="s">
        <v>38184</v>
      </c>
      <c r="G12313" s="2" t="str">
        <f>HYPERLINK("https://probpalata.gov.ru/files/ИП030903932900000.jpeg","Скачать индивидуальный QR-код магазина")</f>
        <v>Скачать индивидуальный QR-код магазина</v>
      </c>
    </row>
    <row r="12314" spans="1:7" x14ac:dyDescent="0.25">
      <c r="A12314" t="s">
        <v>37919</v>
      </c>
      <c r="B12314" t="s">
        <v>38185</v>
      </c>
      <c r="C12314" t="s">
        <v>38186</v>
      </c>
      <c r="D12314" t="s">
        <v>38187</v>
      </c>
      <c r="E12314" t="s">
        <v>38188</v>
      </c>
      <c r="F12314" t="s">
        <v>38189</v>
      </c>
      <c r="G12314" s="2" t="str">
        <f>HYPERLINK("https://probpalata.gov.ru/files/ИП030900580700000.jpeg","Скачать индивидуальный QR-код магазина")</f>
        <v>Скачать индивидуальный QR-код магазина</v>
      </c>
    </row>
    <row r="12315" spans="1:7" x14ac:dyDescent="0.25">
      <c r="A12315" t="s">
        <v>37919</v>
      </c>
      <c r="B12315" t="s">
        <v>38190</v>
      </c>
      <c r="C12315" t="s">
        <v>38191</v>
      </c>
      <c r="D12315" t="s">
        <v>38192</v>
      </c>
      <c r="E12315" t="s">
        <v>38193</v>
      </c>
      <c r="F12315" t="s">
        <v>38194</v>
      </c>
      <c r="G12315" s="2" t="str">
        <f>HYPERLINK("https://probpalata.gov.ru/files/ИП770101641600000.jpeg","Скачать индивидуальный QR-код магазина")</f>
        <v>Скачать индивидуальный QR-код магазина</v>
      </c>
    </row>
    <row r="12316" spans="1:7" x14ac:dyDescent="0.25">
      <c r="A12316" t="s">
        <v>37919</v>
      </c>
      <c r="B12316" t="s">
        <v>38119</v>
      </c>
      <c r="C12316" t="s">
        <v>38191</v>
      </c>
      <c r="D12316" t="s">
        <v>38192</v>
      </c>
      <c r="E12316" t="s">
        <v>38193</v>
      </c>
      <c r="F12316" t="s">
        <v>38195</v>
      </c>
      <c r="G12316" s="2" t="str">
        <f>HYPERLINK("https://probpalata.gov.ru/files/ИП770101641600002.jpeg","Скачать индивидуальный QR-код магазина")</f>
        <v>Скачать индивидуальный QR-код магазина</v>
      </c>
    </row>
    <row r="12317" spans="1:7" x14ac:dyDescent="0.25">
      <c r="A12317" t="s">
        <v>37919</v>
      </c>
      <c r="B12317" t="s">
        <v>38196</v>
      </c>
      <c r="C12317" t="s">
        <v>38197</v>
      </c>
      <c r="D12317" t="s">
        <v>38198</v>
      </c>
      <c r="E12317" t="s">
        <v>38199</v>
      </c>
      <c r="F12317" t="s">
        <v>38200</v>
      </c>
      <c r="G12317" s="2" t="str">
        <f>HYPERLINK("https://probpalata.gov.ru/files/ИП030903209100000.jpeg","Скачать индивидуальный QR-код магазина")</f>
        <v>Скачать индивидуальный QR-код магазина</v>
      </c>
    </row>
    <row r="12318" spans="1:7" x14ac:dyDescent="0.25">
      <c r="A12318" t="s">
        <v>37919</v>
      </c>
      <c r="B12318" t="s">
        <v>38201</v>
      </c>
      <c r="C12318" t="s">
        <v>38202</v>
      </c>
      <c r="D12318" t="s">
        <v>38203</v>
      </c>
      <c r="E12318" t="s">
        <v>38204</v>
      </c>
      <c r="F12318" t="s">
        <v>38205</v>
      </c>
      <c r="G12318" s="2" t="str">
        <f>HYPERLINK("https://probpalata.gov.ru/files/ИП030903817600000.jpeg","Скачать индивидуальный QR-код магазина")</f>
        <v>Скачать индивидуальный QR-код магазина</v>
      </c>
    </row>
    <row r="12319" spans="1:7" x14ac:dyDescent="0.25">
      <c r="A12319" t="s">
        <v>37919</v>
      </c>
      <c r="B12319" t="s">
        <v>38206</v>
      </c>
      <c r="C12319" t="s">
        <v>38207</v>
      </c>
      <c r="D12319" t="s">
        <v>38208</v>
      </c>
      <c r="E12319" t="s">
        <v>38209</v>
      </c>
      <c r="F12319" t="s">
        <v>38210</v>
      </c>
      <c r="G12319" s="2" t="str">
        <f>HYPERLINK("https://probpalata.gov.ru/files/ЮЛ030900434500000.jpeg","Скачать индивидуальный QR-код магазина")</f>
        <v>Скачать индивидуальный QR-код магазина</v>
      </c>
    </row>
    <row r="12320" spans="1:7" x14ac:dyDescent="0.25">
      <c r="A12320" t="s">
        <v>37919</v>
      </c>
      <c r="B12320" t="s">
        <v>38211</v>
      </c>
      <c r="C12320" t="s">
        <v>38212</v>
      </c>
      <c r="D12320" t="s">
        <v>38213</v>
      </c>
      <c r="E12320" t="s">
        <v>38214</v>
      </c>
      <c r="F12320" t="s">
        <v>38215</v>
      </c>
      <c r="G12320" s="2" t="str">
        <f>HYPERLINK("https://probpalata.gov.ru/files/ЮЛ030900037300000.jpeg","Скачать индивидуальный QR-код магазина")</f>
        <v>Скачать индивидуальный QR-код магазина</v>
      </c>
    </row>
    <row r="12321" spans="1:7" x14ac:dyDescent="0.25">
      <c r="A12321" t="s">
        <v>37919</v>
      </c>
      <c r="B12321" t="s">
        <v>38216</v>
      </c>
      <c r="C12321" t="s">
        <v>18864</v>
      </c>
      <c r="D12321" t="s">
        <v>18865</v>
      </c>
      <c r="E12321" t="s">
        <v>18866</v>
      </c>
      <c r="F12321" t="s">
        <v>38217</v>
      </c>
      <c r="G12321" s="2" t="str">
        <f>HYPERLINK("https://probpalata.gov.ru/files/ЮЛ030900839800001.jpeg","Скачать индивидуальный QR-код магазина")</f>
        <v>Скачать индивидуальный QR-код магазина</v>
      </c>
    </row>
    <row r="12322" spans="1:7" x14ac:dyDescent="0.25">
      <c r="A12322" t="s">
        <v>37919</v>
      </c>
      <c r="B12322" t="s">
        <v>38218</v>
      </c>
      <c r="C12322" t="s">
        <v>18864</v>
      </c>
      <c r="D12322" t="s">
        <v>18865</v>
      </c>
      <c r="E12322" t="s">
        <v>18866</v>
      </c>
      <c r="F12322" t="s">
        <v>38219</v>
      </c>
      <c r="G12322" s="2" t="str">
        <f>HYPERLINK("https://probpalata.gov.ru/files/ЮЛ030900839800002.jpeg","Скачать индивидуальный QR-код магазина")</f>
        <v>Скачать индивидуальный QR-код магазина</v>
      </c>
    </row>
    <row r="12323" spans="1:7" x14ac:dyDescent="0.25">
      <c r="A12323" t="s">
        <v>37919</v>
      </c>
      <c r="B12323" t="s">
        <v>38220</v>
      </c>
      <c r="C12323" t="s">
        <v>38221</v>
      </c>
      <c r="D12323" t="s">
        <v>38222</v>
      </c>
      <c r="E12323" t="s">
        <v>38223</v>
      </c>
      <c r="F12323" t="s">
        <v>38224</v>
      </c>
      <c r="G12323" s="2" t="str">
        <f>HYPERLINK("https://probpalata.gov.ru/files/ИП030903619600000.jpeg","Скачать индивидуальный QR-код магазина")</f>
        <v>Скачать индивидуальный QR-код магазина</v>
      </c>
    </row>
    <row r="12324" spans="1:7" x14ac:dyDescent="0.25">
      <c r="A12324" t="s">
        <v>37919</v>
      </c>
      <c r="B12324" t="s">
        <v>38225</v>
      </c>
      <c r="C12324" t="s">
        <v>38226</v>
      </c>
      <c r="D12324" t="s">
        <v>38227</v>
      </c>
      <c r="E12324" t="s">
        <v>38228</v>
      </c>
      <c r="F12324" t="s">
        <v>38229</v>
      </c>
      <c r="G12324" s="2" t="str">
        <f>HYPERLINK("https://probpalata.gov.ru/files/ИП030901780300000.jpeg","Скачать индивидуальный QR-код магазина")</f>
        <v>Скачать индивидуальный QR-код магазина</v>
      </c>
    </row>
    <row r="12325" spans="1:7" x14ac:dyDescent="0.25">
      <c r="A12325" t="s">
        <v>37919</v>
      </c>
      <c r="B12325" t="s">
        <v>38230</v>
      </c>
      <c r="C12325" t="s">
        <v>38231</v>
      </c>
      <c r="D12325" t="s">
        <v>38232</v>
      </c>
      <c r="E12325" t="s">
        <v>38233</v>
      </c>
      <c r="F12325" t="s">
        <v>38234</v>
      </c>
      <c r="G12325" s="2" t="str">
        <f>HYPERLINK("https://probpalata.gov.ru/files/ИП380803543300000.jpeg","Скачать индивидуальный QR-код магазина")</f>
        <v>Скачать индивидуальный QR-код магазина</v>
      </c>
    </row>
    <row r="12326" spans="1:7" x14ac:dyDescent="0.25">
      <c r="A12326" t="s">
        <v>37919</v>
      </c>
      <c r="B12326" t="s">
        <v>38235</v>
      </c>
      <c r="C12326" t="s">
        <v>38231</v>
      </c>
      <c r="D12326" t="s">
        <v>38232</v>
      </c>
      <c r="E12326" t="s">
        <v>38233</v>
      </c>
      <c r="F12326" t="s">
        <v>38236</v>
      </c>
      <c r="G12326" s="2" t="str">
        <f>HYPERLINK("https://probpalata.gov.ru/files/ИП380803543300001.jpeg","Скачать индивидуальный QR-код магазина")</f>
        <v>Скачать индивидуальный QR-код магазина</v>
      </c>
    </row>
    <row r="12327" spans="1:7" x14ac:dyDescent="0.25">
      <c r="A12327" t="s">
        <v>37919</v>
      </c>
      <c r="B12327" t="s">
        <v>38237</v>
      </c>
      <c r="C12327" t="s">
        <v>38231</v>
      </c>
      <c r="D12327" t="s">
        <v>38232</v>
      </c>
      <c r="E12327" t="s">
        <v>38233</v>
      </c>
      <c r="F12327" t="s">
        <v>38238</v>
      </c>
      <c r="G12327" s="2" t="str">
        <f>HYPERLINK("https://probpalata.gov.ru/files/ИП380803543300002.jpeg","Скачать индивидуальный QR-код магазина")</f>
        <v>Скачать индивидуальный QR-код магазина</v>
      </c>
    </row>
    <row r="12328" spans="1:7" x14ac:dyDescent="0.25">
      <c r="A12328" t="s">
        <v>37919</v>
      </c>
      <c r="B12328" t="s">
        <v>38239</v>
      </c>
      <c r="C12328" t="s">
        <v>7138</v>
      </c>
      <c r="D12328" t="s">
        <v>7139</v>
      </c>
      <c r="E12328" t="s">
        <v>7140</v>
      </c>
      <c r="F12328" t="s">
        <v>38240</v>
      </c>
      <c r="G12328" s="2" t="str">
        <f>HYPERLINK("https://probpalata.gov.ru/files/ЮЛ030900299700000.jpeg","Скачать индивидуальный QR-код магазина")</f>
        <v>Скачать индивидуальный QR-код магазина</v>
      </c>
    </row>
    <row r="12329" spans="1:7" x14ac:dyDescent="0.25">
      <c r="A12329" t="s">
        <v>37919</v>
      </c>
      <c r="B12329" t="s">
        <v>38038</v>
      </c>
      <c r="C12329" t="s">
        <v>7138</v>
      </c>
      <c r="D12329" t="s">
        <v>7139</v>
      </c>
      <c r="E12329" t="s">
        <v>7140</v>
      </c>
      <c r="F12329" t="s">
        <v>38241</v>
      </c>
      <c r="G12329" s="2" t="str">
        <f>HYPERLINK("https://probpalata.gov.ru/files/ЮЛ030900299700006.jpeg","Скачать индивидуальный QR-код магазина")</f>
        <v>Скачать индивидуальный QR-код магазина</v>
      </c>
    </row>
    <row r="12330" spans="1:7" x14ac:dyDescent="0.25">
      <c r="A12330" t="s">
        <v>37919</v>
      </c>
      <c r="B12330" t="s">
        <v>38242</v>
      </c>
      <c r="C12330" t="s">
        <v>7138</v>
      </c>
      <c r="D12330" t="s">
        <v>7139</v>
      </c>
      <c r="E12330" t="s">
        <v>7140</v>
      </c>
      <c r="F12330" t="s">
        <v>38243</v>
      </c>
      <c r="G12330" s="2" t="str">
        <f>HYPERLINK("https://probpalata.gov.ru/files/ЮЛ030900299700007.jpeg","Скачать индивидуальный QR-код магазина")</f>
        <v>Скачать индивидуальный QR-код магазина</v>
      </c>
    </row>
    <row r="12331" spans="1:7" x14ac:dyDescent="0.25">
      <c r="A12331" t="s">
        <v>37919</v>
      </c>
      <c r="B12331" t="s">
        <v>38244</v>
      </c>
      <c r="C12331" t="s">
        <v>7138</v>
      </c>
      <c r="D12331" t="s">
        <v>7139</v>
      </c>
      <c r="E12331" t="s">
        <v>7140</v>
      </c>
      <c r="F12331" t="s">
        <v>38245</v>
      </c>
      <c r="G12331" s="2" t="str">
        <f>HYPERLINK("https://probpalata.gov.ru/files/ЮЛ030900299700012.jpeg","Скачать индивидуальный QR-код магазина")</f>
        <v>Скачать индивидуальный QR-код магазина</v>
      </c>
    </row>
    <row r="12332" spans="1:7" x14ac:dyDescent="0.25">
      <c r="A12332" t="s">
        <v>37919</v>
      </c>
      <c r="B12332" t="s">
        <v>38246</v>
      </c>
      <c r="C12332" t="s">
        <v>7138</v>
      </c>
      <c r="D12332" t="s">
        <v>7139</v>
      </c>
      <c r="E12332" t="s">
        <v>7140</v>
      </c>
      <c r="F12332" t="s">
        <v>38247</v>
      </c>
      <c r="G12332" s="2" t="str">
        <f>HYPERLINK("https://probpalata.gov.ru/files/ЮЛ030900299700013.jpeg","Скачать индивидуальный QR-код магазина")</f>
        <v>Скачать индивидуальный QR-код магазина</v>
      </c>
    </row>
    <row r="12333" spans="1:7" x14ac:dyDescent="0.25">
      <c r="A12333" t="s">
        <v>37919</v>
      </c>
      <c r="B12333" t="s">
        <v>38248</v>
      </c>
      <c r="C12333" t="s">
        <v>7223</v>
      </c>
      <c r="D12333" t="s">
        <v>7224</v>
      </c>
      <c r="E12333" t="s">
        <v>7225</v>
      </c>
      <c r="F12333" t="s">
        <v>38249</v>
      </c>
      <c r="G12333" s="2" t="str">
        <f>HYPERLINK("https://probpalata.gov.ru/files/ИП380800056300003.jpeg","Скачать индивидуальный QR-код магазина")</f>
        <v>Скачать индивидуальный QR-код магазина</v>
      </c>
    </row>
    <row r="12334" spans="1:7" x14ac:dyDescent="0.25">
      <c r="A12334" t="s">
        <v>37919</v>
      </c>
      <c r="B12334" t="s">
        <v>38250</v>
      </c>
      <c r="C12334" t="s">
        <v>38251</v>
      </c>
      <c r="D12334" t="s">
        <v>38252</v>
      </c>
      <c r="E12334" t="s">
        <v>38253</v>
      </c>
      <c r="F12334" t="s">
        <v>38254</v>
      </c>
      <c r="G12334" s="2" t="str">
        <f>HYPERLINK("https://probpalata.gov.ru/files/ИП030900290100000.jpeg","Скачать индивидуальный QR-код магазина")</f>
        <v>Скачать индивидуальный QR-код магазина</v>
      </c>
    </row>
    <row r="12335" spans="1:7" x14ac:dyDescent="0.25">
      <c r="A12335" t="s">
        <v>37919</v>
      </c>
      <c r="B12335" t="s">
        <v>38255</v>
      </c>
      <c r="C12335" t="s">
        <v>6019</v>
      </c>
      <c r="D12335" t="s">
        <v>6020</v>
      </c>
      <c r="E12335" t="s">
        <v>6021</v>
      </c>
      <c r="F12335" t="s">
        <v>38256</v>
      </c>
      <c r="G12335" s="2" t="str">
        <f>HYPERLINK("https://probpalata.gov.ru/files/ЮЛ380803559400014.jpeg","Скачать индивидуальный QR-код магазина")</f>
        <v>Скачать индивидуальный QR-код магазина</v>
      </c>
    </row>
    <row r="12336" spans="1:7" x14ac:dyDescent="0.25">
      <c r="A12336" t="s">
        <v>37919</v>
      </c>
      <c r="B12336" t="s">
        <v>38257</v>
      </c>
      <c r="C12336" t="s">
        <v>7581</v>
      </c>
      <c r="D12336" t="s">
        <v>7582</v>
      </c>
      <c r="E12336" t="s">
        <v>7583</v>
      </c>
      <c r="F12336" t="s">
        <v>38258</v>
      </c>
      <c r="G12336" s="2" t="str">
        <f>HYPERLINK("https://probpalata.gov.ru/files/ИП380800056200001.jpeg","Скачать индивидуальный QR-код магазина")</f>
        <v>Скачать индивидуальный QR-код магазина</v>
      </c>
    </row>
    <row r="12337" spans="1:7" x14ac:dyDescent="0.25">
      <c r="A12337" t="s">
        <v>37919</v>
      </c>
      <c r="B12337" t="s">
        <v>38038</v>
      </c>
      <c r="C12337" t="s">
        <v>6039</v>
      </c>
      <c r="D12337" t="s">
        <v>6040</v>
      </c>
      <c r="E12337" t="s">
        <v>6041</v>
      </c>
      <c r="F12337" t="s">
        <v>38259</v>
      </c>
      <c r="G12337" s="2" t="str">
        <f>HYPERLINK("https://probpalata.gov.ru/files/ИП770101425100021.jpeg","Скачать индивидуальный QR-код магазина")</f>
        <v>Скачать индивидуальный QR-код магазина</v>
      </c>
    </row>
    <row r="12338" spans="1:7" x14ac:dyDescent="0.25">
      <c r="A12338" t="s">
        <v>37919</v>
      </c>
      <c r="B12338" t="s">
        <v>38260</v>
      </c>
      <c r="C12338" t="s">
        <v>713</v>
      </c>
      <c r="D12338" t="s">
        <v>714</v>
      </c>
      <c r="E12338" t="s">
        <v>715</v>
      </c>
      <c r="F12338" t="s">
        <v>38261</v>
      </c>
      <c r="G12338" s="2" t="str">
        <f>HYPERLINK("https://probpalata.gov.ru/files/ЮЛ770101216600268.jpeg","Скачать индивидуальный QR-код магазина")</f>
        <v>Скачать индивидуальный QR-код магазина</v>
      </c>
    </row>
    <row r="12339" spans="1:7" x14ac:dyDescent="0.25">
      <c r="A12339" t="s">
        <v>37919</v>
      </c>
      <c r="B12339" t="s">
        <v>38262</v>
      </c>
      <c r="C12339" t="s">
        <v>713</v>
      </c>
      <c r="D12339" t="s">
        <v>714</v>
      </c>
      <c r="E12339" t="s">
        <v>715</v>
      </c>
      <c r="F12339" t="s">
        <v>38263</v>
      </c>
      <c r="G12339" s="2" t="str">
        <f>HYPERLINK("https://probpalata.gov.ru/files/ЮЛ770101216600315.jpeg","Скачать индивидуальный QR-код магазина")</f>
        <v>Скачать индивидуальный QR-код магазина</v>
      </c>
    </row>
    <row r="12340" spans="1:7" x14ac:dyDescent="0.25">
      <c r="A12340" t="s">
        <v>37919</v>
      </c>
      <c r="B12340" t="s">
        <v>38264</v>
      </c>
      <c r="C12340" t="s">
        <v>713</v>
      </c>
      <c r="D12340" t="s">
        <v>714</v>
      </c>
      <c r="E12340" t="s">
        <v>715</v>
      </c>
      <c r="F12340" t="s">
        <v>38265</v>
      </c>
      <c r="G12340" s="2" t="str">
        <f>HYPERLINK("https://probpalata.gov.ru/files/ЮЛ770101216600659.jpeg","Скачать индивидуальный QR-код магазина")</f>
        <v>Скачать индивидуальный QR-код магазина</v>
      </c>
    </row>
    <row r="12341" spans="1:7" x14ac:dyDescent="0.25">
      <c r="A12341" t="s">
        <v>37919</v>
      </c>
      <c r="B12341" t="s">
        <v>38266</v>
      </c>
      <c r="C12341" t="s">
        <v>713</v>
      </c>
      <c r="D12341" t="s">
        <v>714</v>
      </c>
      <c r="E12341" t="s">
        <v>715</v>
      </c>
      <c r="F12341" t="s">
        <v>38267</v>
      </c>
      <c r="G12341" s="2" t="str">
        <f>HYPERLINK("https://probpalata.gov.ru/files/ЮЛ770101216600997.jpeg","Скачать индивидуальный QR-код магазина")</f>
        <v>Скачать индивидуальный QR-код магазина</v>
      </c>
    </row>
    <row r="12342" spans="1:7" x14ac:dyDescent="0.25">
      <c r="A12342" t="s">
        <v>37919</v>
      </c>
      <c r="B12342" t="s">
        <v>38268</v>
      </c>
      <c r="C12342" t="s">
        <v>1416</v>
      </c>
      <c r="D12342" t="s">
        <v>1417</v>
      </c>
      <c r="E12342" t="s">
        <v>1418</v>
      </c>
      <c r="F12342" t="s">
        <v>38269</v>
      </c>
      <c r="G12342" s="2" t="str">
        <f>HYPERLINK("https://probpalata.gov.ru/files/ЮЛ770100419400132.jpeg","Скачать индивидуальный QR-код магазина")</f>
        <v>Скачать индивидуальный QR-код магазина</v>
      </c>
    </row>
    <row r="12343" spans="1:7" x14ac:dyDescent="0.25">
      <c r="A12343" t="s">
        <v>37919</v>
      </c>
      <c r="B12343" t="s">
        <v>38270</v>
      </c>
      <c r="C12343" t="s">
        <v>748</v>
      </c>
      <c r="D12343" t="s">
        <v>749</v>
      </c>
      <c r="E12343" t="s">
        <v>750</v>
      </c>
      <c r="F12343" t="s">
        <v>38271</v>
      </c>
      <c r="G12343" s="2" t="str">
        <f>HYPERLINK("https://probpalata.gov.ru/files/ЮЛ770100193500046.jpeg","Скачать индивидуальный QR-код магазина")</f>
        <v>Скачать индивидуальный QR-код магазина</v>
      </c>
    </row>
    <row r="12344" spans="1:7" x14ac:dyDescent="0.25">
      <c r="A12344" t="s">
        <v>37919</v>
      </c>
      <c r="B12344" t="s">
        <v>38272</v>
      </c>
      <c r="C12344" t="s">
        <v>748</v>
      </c>
      <c r="D12344" t="s">
        <v>749</v>
      </c>
      <c r="E12344" t="s">
        <v>750</v>
      </c>
      <c r="F12344" t="s">
        <v>38273</v>
      </c>
      <c r="G12344" s="2" t="str">
        <f>HYPERLINK("https://probpalata.gov.ru/files/ЮЛ770100193500047.jpeg","Скачать индивидуальный QR-код магазина")</f>
        <v>Скачать индивидуальный QR-код магазина</v>
      </c>
    </row>
    <row r="12345" spans="1:7" x14ac:dyDescent="0.25">
      <c r="A12345" t="s">
        <v>37919</v>
      </c>
      <c r="B12345" t="s">
        <v>38274</v>
      </c>
      <c r="C12345" t="s">
        <v>748</v>
      </c>
      <c r="D12345" t="s">
        <v>749</v>
      </c>
      <c r="E12345" t="s">
        <v>750</v>
      </c>
      <c r="F12345" t="s">
        <v>38275</v>
      </c>
      <c r="G12345" s="2" t="str">
        <f>HYPERLINK("https://probpalata.gov.ru/files/ЮЛ770100193500754.jpeg","Скачать индивидуальный QR-код магазина")</f>
        <v>Скачать индивидуальный QR-код магазина</v>
      </c>
    </row>
    <row r="12346" spans="1:7" x14ac:dyDescent="0.25">
      <c r="A12346" t="s">
        <v>37919</v>
      </c>
      <c r="B12346" t="s">
        <v>38276</v>
      </c>
      <c r="C12346" t="s">
        <v>773</v>
      </c>
      <c r="D12346" t="s">
        <v>774</v>
      </c>
      <c r="E12346" t="s">
        <v>775</v>
      </c>
      <c r="F12346" t="s">
        <v>38277</v>
      </c>
      <c r="G12346" s="2" t="str">
        <f>HYPERLINK("https://probpalata.gov.ru/files/ЮЛ780300131300186.jpeg","Скачать индивидуальный QR-код магазина")</f>
        <v>Скачать индивидуальный QR-код магазина</v>
      </c>
    </row>
    <row r="12347" spans="1:7" x14ac:dyDescent="0.25">
      <c r="A12347" t="s">
        <v>37919</v>
      </c>
      <c r="B12347" t="s">
        <v>38278</v>
      </c>
      <c r="C12347" t="s">
        <v>773</v>
      </c>
      <c r="D12347" t="s">
        <v>774</v>
      </c>
      <c r="E12347" t="s">
        <v>775</v>
      </c>
      <c r="F12347" t="s">
        <v>38279</v>
      </c>
      <c r="G12347" s="2" t="str">
        <f>HYPERLINK("https://probpalata.gov.ru/files/ЮЛ780300131300187.jpeg","Скачать индивидуальный QR-код магазина")</f>
        <v>Скачать индивидуальный QR-код магазина</v>
      </c>
    </row>
    <row r="12348" spans="1:7" x14ac:dyDescent="0.25">
      <c r="A12348" t="s">
        <v>37919</v>
      </c>
      <c r="B12348" t="s">
        <v>38280</v>
      </c>
      <c r="C12348" t="s">
        <v>773</v>
      </c>
      <c r="D12348" t="s">
        <v>774</v>
      </c>
      <c r="E12348" t="s">
        <v>775</v>
      </c>
      <c r="F12348" t="s">
        <v>38281</v>
      </c>
      <c r="G12348" s="2" t="str">
        <f>HYPERLINK("https://probpalata.gov.ru/files/ЮЛ780300131300188.jpeg","Скачать индивидуальный QR-код магазина")</f>
        <v>Скачать индивидуальный QR-код магазина</v>
      </c>
    </row>
    <row r="12349" spans="1:7" x14ac:dyDescent="0.25">
      <c r="A12349" t="s">
        <v>37919</v>
      </c>
      <c r="B12349" t="s">
        <v>38282</v>
      </c>
      <c r="C12349" t="s">
        <v>773</v>
      </c>
      <c r="D12349" t="s">
        <v>774</v>
      </c>
      <c r="E12349" t="s">
        <v>775</v>
      </c>
      <c r="F12349" t="s">
        <v>38283</v>
      </c>
      <c r="G12349" s="2" t="str">
        <f>HYPERLINK("https://probpalata.gov.ru/files/ЮЛ780300131300189.jpeg","Скачать индивидуальный QR-код магазина")</f>
        <v>Скачать индивидуальный QR-код магазина</v>
      </c>
    </row>
    <row r="12350" spans="1:7" x14ac:dyDescent="0.25">
      <c r="A12350" t="s">
        <v>37919</v>
      </c>
      <c r="B12350" t="s">
        <v>38284</v>
      </c>
      <c r="C12350" t="s">
        <v>773</v>
      </c>
      <c r="D12350" t="s">
        <v>774</v>
      </c>
      <c r="E12350" t="s">
        <v>775</v>
      </c>
      <c r="F12350" t="s">
        <v>38285</v>
      </c>
      <c r="G12350" s="2" t="str">
        <f>HYPERLINK("https://probpalata.gov.ru/files/ЮЛ780300131300190.jpeg","Скачать индивидуальный QR-код магазина")</f>
        <v>Скачать индивидуальный QR-код магазина</v>
      </c>
    </row>
    <row r="12351" spans="1:7" x14ac:dyDescent="0.25">
      <c r="A12351" t="s">
        <v>37919</v>
      </c>
      <c r="B12351" t="s">
        <v>38286</v>
      </c>
      <c r="C12351" t="s">
        <v>773</v>
      </c>
      <c r="D12351" t="s">
        <v>774</v>
      </c>
      <c r="E12351" t="s">
        <v>775</v>
      </c>
      <c r="F12351" t="s">
        <v>38287</v>
      </c>
      <c r="G12351" s="2" t="str">
        <f>HYPERLINK("https://probpalata.gov.ru/files/ЮЛ780300131300191.jpeg","Скачать индивидуальный QR-код магазина")</f>
        <v>Скачать индивидуальный QR-код магазина</v>
      </c>
    </row>
    <row r="12352" spans="1:7" x14ac:dyDescent="0.25">
      <c r="A12352" t="s">
        <v>37919</v>
      </c>
      <c r="B12352" t="s">
        <v>38038</v>
      </c>
      <c r="C12352" t="s">
        <v>798</v>
      </c>
      <c r="D12352" t="s">
        <v>799</v>
      </c>
      <c r="E12352" t="s">
        <v>800</v>
      </c>
      <c r="F12352" t="s">
        <v>38288</v>
      </c>
      <c r="G12352" s="2" t="str">
        <f>HYPERLINK("https://probpalata.gov.ru/files/ЮЛ780300308200360.jpeg","Скачать индивидуальный QR-код магазина")</f>
        <v>Скачать индивидуальный QR-код магазина</v>
      </c>
    </row>
    <row r="12353" spans="1:7" x14ac:dyDescent="0.25">
      <c r="A12353" t="s">
        <v>37919</v>
      </c>
      <c r="B12353" t="s">
        <v>38289</v>
      </c>
      <c r="C12353" t="s">
        <v>798</v>
      </c>
      <c r="D12353" t="s">
        <v>799</v>
      </c>
      <c r="E12353" t="s">
        <v>800</v>
      </c>
      <c r="F12353" t="s">
        <v>38290</v>
      </c>
      <c r="G12353" s="2" t="str">
        <f>HYPERLINK("https://probpalata.gov.ru/files/ЮЛ780300308200932.jpeg","Скачать индивидуальный QR-код магазина")</f>
        <v>Скачать индивидуальный QR-код магазина</v>
      </c>
    </row>
    <row r="12354" spans="1:7" x14ac:dyDescent="0.25">
      <c r="A12354" t="s">
        <v>37919</v>
      </c>
      <c r="B12354" t="s">
        <v>38291</v>
      </c>
      <c r="C12354" t="s">
        <v>798</v>
      </c>
      <c r="D12354" t="s">
        <v>799</v>
      </c>
      <c r="E12354" t="s">
        <v>800</v>
      </c>
      <c r="F12354" t="s">
        <v>38292</v>
      </c>
      <c r="G12354" s="2" t="str">
        <f>HYPERLINK("https://probpalata.gov.ru/files/ЮЛ780300308200934.jpeg","Скачать индивидуальный QR-код магазина")</f>
        <v>Скачать индивидуальный QR-код магазина</v>
      </c>
    </row>
    <row r="12355" spans="1:7" x14ac:dyDescent="0.25">
      <c r="A12355" t="s">
        <v>37919</v>
      </c>
      <c r="B12355" t="s">
        <v>38293</v>
      </c>
      <c r="C12355" t="s">
        <v>798</v>
      </c>
      <c r="D12355" t="s">
        <v>799</v>
      </c>
      <c r="E12355" t="s">
        <v>800</v>
      </c>
      <c r="F12355" t="s">
        <v>38294</v>
      </c>
      <c r="G12355" s="2" t="str">
        <f>HYPERLINK("https://probpalata.gov.ru/files/ЮЛ780300308200935.jpeg","Скачать индивидуальный QR-код магазина")</f>
        <v>Скачать индивидуальный QR-код магазина</v>
      </c>
    </row>
    <row r="12356" spans="1:7" x14ac:dyDescent="0.25">
      <c r="A12356" t="s">
        <v>37919</v>
      </c>
      <c r="B12356" t="s">
        <v>38295</v>
      </c>
      <c r="C12356" t="s">
        <v>798</v>
      </c>
      <c r="D12356" t="s">
        <v>799</v>
      </c>
      <c r="E12356" t="s">
        <v>800</v>
      </c>
      <c r="F12356" t="s">
        <v>38296</v>
      </c>
      <c r="G12356" s="2" t="str">
        <f>HYPERLINK("https://probpalata.gov.ru/files/ЮЛ780300308200971.jpeg","Скачать индивидуальный QR-код магазина")</f>
        <v>Скачать индивидуальный QR-код магазина</v>
      </c>
    </row>
    <row r="12357" spans="1:7" x14ac:dyDescent="0.25">
      <c r="A12357" t="s">
        <v>37919</v>
      </c>
      <c r="B12357" t="s">
        <v>38297</v>
      </c>
      <c r="C12357" t="s">
        <v>798</v>
      </c>
      <c r="D12357" t="s">
        <v>799</v>
      </c>
      <c r="E12357" t="s">
        <v>800</v>
      </c>
      <c r="F12357" t="s">
        <v>38298</v>
      </c>
      <c r="G12357" s="2" t="str">
        <f>HYPERLINK("https://probpalata.gov.ru/files/ЮЛ780300308200982.jpeg","Скачать индивидуальный QR-код магазина")</f>
        <v>Скачать индивидуальный QR-код магазина</v>
      </c>
    </row>
    <row r="12358" spans="1:7" x14ac:dyDescent="0.25">
      <c r="A12358" t="s">
        <v>37919</v>
      </c>
      <c r="B12358" t="s">
        <v>38278</v>
      </c>
      <c r="C12358" t="s">
        <v>798</v>
      </c>
      <c r="D12358" t="s">
        <v>799</v>
      </c>
      <c r="E12358" t="s">
        <v>800</v>
      </c>
      <c r="F12358" t="s">
        <v>38299</v>
      </c>
      <c r="G12358" s="2" t="str">
        <f>HYPERLINK("https://probpalata.gov.ru/files/ЮЛ780300308201035.jpeg","Скачать индивидуальный QR-код магазина")</f>
        <v>Скачать индивидуальный QR-код магазина</v>
      </c>
    </row>
    <row r="12359" spans="1:7" x14ac:dyDescent="0.25">
      <c r="A12359" t="s">
        <v>38300</v>
      </c>
      <c r="B12359" t="s">
        <v>38301</v>
      </c>
      <c r="C12359" t="s">
        <v>38302</v>
      </c>
      <c r="D12359" t="s">
        <v>38303</v>
      </c>
      <c r="E12359" t="s">
        <v>38304</v>
      </c>
      <c r="F12359" t="s">
        <v>38305</v>
      </c>
      <c r="G12359" s="2" t="str">
        <f>HYPERLINK("https://probpalata.gov.ru/files/ЮЛ050503868900000.jpeg","Скачать индивидуальный QR-код магазина")</f>
        <v>Скачать индивидуальный QR-код магазина</v>
      </c>
    </row>
    <row r="12360" spans="1:7" x14ac:dyDescent="0.25">
      <c r="A12360" t="s">
        <v>38300</v>
      </c>
      <c r="B12360" t="s">
        <v>38306</v>
      </c>
      <c r="C12360" t="s">
        <v>38307</v>
      </c>
      <c r="D12360" t="s">
        <v>38308</v>
      </c>
      <c r="E12360" t="s">
        <v>38309</v>
      </c>
      <c r="F12360" t="s">
        <v>38310</v>
      </c>
      <c r="G12360" s="2" t="str">
        <f>HYPERLINK("https://probpalata.gov.ru/files/ИП050500402000001.jpeg","Скачать индивидуальный QR-код магазина")</f>
        <v>Скачать индивидуальный QR-код магазина</v>
      </c>
    </row>
    <row r="12361" spans="1:7" x14ac:dyDescent="0.25">
      <c r="A12361" t="s">
        <v>38300</v>
      </c>
      <c r="B12361" t="s">
        <v>38311</v>
      </c>
      <c r="C12361" t="s">
        <v>38312</v>
      </c>
      <c r="D12361" t="s">
        <v>38313</v>
      </c>
      <c r="E12361" t="s">
        <v>38314</v>
      </c>
      <c r="F12361" t="s">
        <v>38315</v>
      </c>
      <c r="G12361" s="2" t="str">
        <f>HYPERLINK("https://probpalata.gov.ru/files/ИП050500537100000.jpeg","Скачать индивидуальный QR-код магазина")</f>
        <v>Скачать индивидуальный QR-код магазина</v>
      </c>
    </row>
    <row r="12362" spans="1:7" x14ac:dyDescent="0.25">
      <c r="A12362" t="s">
        <v>38300</v>
      </c>
      <c r="B12362" t="s">
        <v>38316</v>
      </c>
      <c r="C12362" t="s">
        <v>38317</v>
      </c>
      <c r="D12362" t="s">
        <v>38318</v>
      </c>
      <c r="E12362" t="s">
        <v>38319</v>
      </c>
      <c r="F12362" t="s">
        <v>38320</v>
      </c>
      <c r="G12362" s="2" t="str">
        <f>HYPERLINK("https://probpalata.gov.ru/files/ИП050500272400000.jpeg","Скачать индивидуальный QR-код магазина")</f>
        <v>Скачать индивидуальный QR-код магазина</v>
      </c>
    </row>
    <row r="12363" spans="1:7" x14ac:dyDescent="0.25">
      <c r="A12363" t="s">
        <v>38300</v>
      </c>
      <c r="B12363" t="s">
        <v>38321</v>
      </c>
      <c r="C12363" t="s">
        <v>38322</v>
      </c>
      <c r="D12363" t="s">
        <v>38323</v>
      </c>
      <c r="E12363" t="s">
        <v>38324</v>
      </c>
      <c r="F12363" t="s">
        <v>38325</v>
      </c>
      <c r="G12363" s="2" t="str">
        <f>HYPERLINK("https://probpalata.gov.ru/files/ИП050503698100000.jpeg","Скачать индивидуальный QR-код магазина")</f>
        <v>Скачать индивидуальный QR-код магазина</v>
      </c>
    </row>
    <row r="12364" spans="1:7" x14ac:dyDescent="0.25">
      <c r="A12364" t="s">
        <v>38300</v>
      </c>
      <c r="B12364" t="s">
        <v>38326</v>
      </c>
      <c r="C12364" t="s">
        <v>38327</v>
      </c>
      <c r="D12364" t="s">
        <v>38328</v>
      </c>
      <c r="E12364" t="s">
        <v>38329</v>
      </c>
      <c r="F12364" t="s">
        <v>38330</v>
      </c>
      <c r="G12364" s="2" t="str">
        <f>HYPERLINK("https://probpalata.gov.ru/files/ИП050503712000000.jpeg","Скачать индивидуальный QR-код магазина")</f>
        <v>Скачать индивидуальный QR-код магазина</v>
      </c>
    </row>
    <row r="12365" spans="1:7" x14ac:dyDescent="0.25">
      <c r="A12365" t="s">
        <v>38300</v>
      </c>
      <c r="B12365" t="s">
        <v>38331</v>
      </c>
      <c r="C12365" t="s">
        <v>38332</v>
      </c>
      <c r="D12365" t="s">
        <v>38333</v>
      </c>
      <c r="E12365" t="s">
        <v>38334</v>
      </c>
      <c r="F12365" t="s">
        <v>38335</v>
      </c>
      <c r="G12365" s="2" t="str">
        <f>HYPERLINK("https://probpalata.gov.ru/files/ИП500103676700000.jpeg","Скачать индивидуальный QR-код магазина")</f>
        <v>Скачать индивидуальный QR-код магазина</v>
      </c>
    </row>
    <row r="12366" spans="1:7" x14ac:dyDescent="0.25">
      <c r="A12366" t="s">
        <v>38300</v>
      </c>
      <c r="B12366" t="s">
        <v>38336</v>
      </c>
      <c r="C12366" t="s">
        <v>38337</v>
      </c>
      <c r="D12366" t="s">
        <v>38338</v>
      </c>
      <c r="E12366" t="s">
        <v>38339</v>
      </c>
      <c r="F12366" t="s">
        <v>38340</v>
      </c>
      <c r="G12366" s="2" t="str">
        <f>HYPERLINK("https://probpalata.gov.ru/files/ИП050503751700000.jpeg","Скачать индивидуальный QR-код магазина")</f>
        <v>Скачать индивидуальный QR-код магазина</v>
      </c>
    </row>
    <row r="12367" spans="1:7" x14ac:dyDescent="0.25">
      <c r="A12367" t="s">
        <v>38300</v>
      </c>
      <c r="B12367" t="s">
        <v>38306</v>
      </c>
      <c r="C12367" t="s">
        <v>38341</v>
      </c>
      <c r="D12367" t="s">
        <v>38342</v>
      </c>
      <c r="E12367" t="s">
        <v>38343</v>
      </c>
      <c r="F12367" t="s">
        <v>38344</v>
      </c>
      <c r="G12367" s="2" t="str">
        <f>HYPERLINK("https://probpalata.gov.ru/files/ИП050500272200000.jpeg","Скачать индивидуальный QR-код магазина")</f>
        <v>Скачать индивидуальный QR-код магазина</v>
      </c>
    </row>
    <row r="12368" spans="1:7" x14ac:dyDescent="0.25">
      <c r="A12368" t="s">
        <v>38300</v>
      </c>
      <c r="B12368" t="s">
        <v>38345</v>
      </c>
      <c r="C12368" t="s">
        <v>38346</v>
      </c>
      <c r="D12368" t="s">
        <v>38347</v>
      </c>
      <c r="E12368" t="s">
        <v>38348</v>
      </c>
      <c r="F12368" t="s">
        <v>38349</v>
      </c>
      <c r="G12368" s="2" t="str">
        <f>HYPERLINK("https://probpalata.gov.ru/files/ИП050501317700000.jpeg","Скачать индивидуальный QR-код магазина")</f>
        <v>Скачать индивидуальный QR-код магазина</v>
      </c>
    </row>
    <row r="12369" spans="1:7" x14ac:dyDescent="0.25">
      <c r="A12369" t="s">
        <v>38300</v>
      </c>
      <c r="B12369" t="s">
        <v>38350</v>
      </c>
      <c r="C12369" t="s">
        <v>38351</v>
      </c>
      <c r="D12369" t="s">
        <v>38352</v>
      </c>
      <c r="E12369" t="s">
        <v>38353</v>
      </c>
      <c r="F12369" t="s">
        <v>38354</v>
      </c>
      <c r="G12369" s="2" t="str">
        <f>HYPERLINK("https://probpalata.gov.ru/files/ИП050500356100000.jpeg","Скачать индивидуальный QR-код магазина")</f>
        <v>Скачать индивидуальный QR-код магазина</v>
      </c>
    </row>
    <row r="12370" spans="1:7" x14ac:dyDescent="0.25">
      <c r="A12370" t="s">
        <v>38300</v>
      </c>
      <c r="B12370" t="s">
        <v>38355</v>
      </c>
      <c r="C12370" t="s">
        <v>38356</v>
      </c>
      <c r="D12370" t="s">
        <v>38357</v>
      </c>
      <c r="E12370" t="s">
        <v>38358</v>
      </c>
      <c r="F12370" t="s">
        <v>38359</v>
      </c>
      <c r="G12370" s="2" t="str">
        <f>HYPERLINK("https://probpalata.gov.ru/files/ИП050500094900000.jpeg","Скачать индивидуальный QR-код магазина")</f>
        <v>Скачать индивидуальный QR-код магазина</v>
      </c>
    </row>
    <row r="12371" spans="1:7" x14ac:dyDescent="0.25">
      <c r="A12371" t="s">
        <v>38300</v>
      </c>
      <c r="B12371" t="s">
        <v>38306</v>
      </c>
      <c r="C12371" t="s">
        <v>38360</v>
      </c>
      <c r="D12371" t="s">
        <v>38361</v>
      </c>
      <c r="E12371" t="s">
        <v>38362</v>
      </c>
      <c r="F12371" t="s">
        <v>38363</v>
      </c>
      <c r="G12371" s="2" t="str">
        <f>HYPERLINK("https://probpalata.gov.ru/files/ИП050501794800000.jpeg","Скачать индивидуальный QR-код магазина")</f>
        <v>Скачать индивидуальный QR-код магазина</v>
      </c>
    </row>
    <row r="12372" spans="1:7" x14ac:dyDescent="0.25">
      <c r="A12372" t="s">
        <v>38300</v>
      </c>
      <c r="B12372" t="s">
        <v>38364</v>
      </c>
      <c r="C12372" t="s">
        <v>38365</v>
      </c>
      <c r="D12372" t="s">
        <v>38366</v>
      </c>
      <c r="E12372" t="s">
        <v>38367</v>
      </c>
      <c r="F12372" t="s">
        <v>38368</v>
      </c>
      <c r="G12372" s="2" t="str">
        <f>HYPERLINK("https://probpalata.gov.ru/files/ИП050503731500000.jpeg","Скачать индивидуальный QR-код магазина")</f>
        <v>Скачать индивидуальный QR-код магазина</v>
      </c>
    </row>
    <row r="12373" spans="1:7" x14ac:dyDescent="0.25">
      <c r="A12373" t="s">
        <v>38300</v>
      </c>
      <c r="B12373" t="s">
        <v>38369</v>
      </c>
      <c r="C12373" t="s">
        <v>18874</v>
      </c>
      <c r="D12373" t="s">
        <v>18875</v>
      </c>
      <c r="E12373" t="s">
        <v>18876</v>
      </c>
      <c r="F12373" t="s">
        <v>38370</v>
      </c>
      <c r="G12373" s="2" t="str">
        <f>HYPERLINK("https://probpalata.gov.ru/files/ЮЛ050500827400000.jpeg","Скачать индивидуальный QR-код магазина")</f>
        <v>Скачать индивидуальный QR-код магазина</v>
      </c>
    </row>
    <row r="12374" spans="1:7" x14ac:dyDescent="0.25">
      <c r="A12374" t="s">
        <v>38300</v>
      </c>
      <c r="B12374" t="s">
        <v>38371</v>
      </c>
      <c r="C12374" t="s">
        <v>38372</v>
      </c>
      <c r="D12374" t="s">
        <v>38373</v>
      </c>
      <c r="E12374" t="s">
        <v>38374</v>
      </c>
      <c r="F12374" t="s">
        <v>38375</v>
      </c>
      <c r="G12374" s="2" t="str">
        <f>HYPERLINK("https://probpalata.gov.ru/files/ИП050501386600000.jpeg","Скачать индивидуальный QR-код магазина")</f>
        <v>Скачать индивидуальный QR-код магазина</v>
      </c>
    </row>
    <row r="12375" spans="1:7" x14ac:dyDescent="0.25">
      <c r="A12375" t="s">
        <v>38300</v>
      </c>
      <c r="B12375" t="s">
        <v>38376</v>
      </c>
      <c r="C12375" t="s">
        <v>38377</v>
      </c>
      <c r="D12375" t="s">
        <v>38378</v>
      </c>
      <c r="E12375" t="s">
        <v>38379</v>
      </c>
      <c r="F12375" t="s">
        <v>38380</v>
      </c>
      <c r="G12375" s="2" t="str">
        <f>HYPERLINK("https://probpalata.gov.ru/files/ИП230403407200000.jpeg","Скачать индивидуальный QR-код магазина")</f>
        <v>Скачать индивидуальный QR-код магазина</v>
      </c>
    </row>
    <row r="12376" spans="1:7" x14ac:dyDescent="0.25">
      <c r="A12376" t="s">
        <v>38300</v>
      </c>
      <c r="B12376" t="s">
        <v>38371</v>
      </c>
      <c r="C12376" t="s">
        <v>38381</v>
      </c>
      <c r="D12376" t="s">
        <v>38382</v>
      </c>
      <c r="E12376" t="s">
        <v>38383</v>
      </c>
      <c r="F12376" t="s">
        <v>38384</v>
      </c>
      <c r="G12376" s="2" t="str">
        <f>HYPERLINK("https://probpalata.gov.ru/files/ИП050503702900000.jpeg","Скачать индивидуальный QR-код магазина")</f>
        <v>Скачать индивидуальный QR-код магазина</v>
      </c>
    </row>
    <row r="12377" spans="1:7" x14ac:dyDescent="0.25">
      <c r="A12377" t="s">
        <v>38300</v>
      </c>
      <c r="B12377" t="s">
        <v>38385</v>
      </c>
      <c r="C12377" t="s">
        <v>38386</v>
      </c>
      <c r="D12377" t="s">
        <v>38387</v>
      </c>
      <c r="E12377" t="s">
        <v>38388</v>
      </c>
      <c r="F12377" t="s">
        <v>38389</v>
      </c>
      <c r="G12377" s="2" t="str">
        <f>HYPERLINK("https://probpalata.gov.ru/files/ИП050503177400000.jpeg","Скачать индивидуальный QR-код магазина")</f>
        <v>Скачать индивидуальный QR-код магазина</v>
      </c>
    </row>
    <row r="12378" spans="1:7" x14ac:dyDescent="0.25">
      <c r="A12378" t="s">
        <v>38300</v>
      </c>
      <c r="B12378" t="s">
        <v>38390</v>
      </c>
      <c r="C12378" t="s">
        <v>38391</v>
      </c>
      <c r="D12378" t="s">
        <v>38392</v>
      </c>
      <c r="E12378" t="s">
        <v>38393</v>
      </c>
      <c r="F12378" t="s">
        <v>38394</v>
      </c>
      <c r="G12378" s="2" t="str">
        <f>HYPERLINK("https://probpalata.gov.ru/files/ИП050501309200000.jpeg","Скачать индивидуальный QR-код магазина")</f>
        <v>Скачать индивидуальный QR-код магазина</v>
      </c>
    </row>
    <row r="12379" spans="1:7" x14ac:dyDescent="0.25">
      <c r="A12379" t="s">
        <v>38300</v>
      </c>
      <c r="B12379" t="s">
        <v>38395</v>
      </c>
      <c r="C12379" t="s">
        <v>38396</v>
      </c>
      <c r="D12379" t="s">
        <v>38397</v>
      </c>
      <c r="E12379" t="s">
        <v>38398</v>
      </c>
      <c r="F12379" t="s">
        <v>38399</v>
      </c>
      <c r="G12379" s="2" t="str">
        <f>HYPERLINK("https://probpalata.gov.ru/files/ИП050501144500000.jpeg","Скачать индивидуальный QR-код магазина")</f>
        <v>Скачать индивидуальный QR-код магазина</v>
      </c>
    </row>
    <row r="12380" spans="1:7" x14ac:dyDescent="0.25">
      <c r="A12380" t="s">
        <v>38300</v>
      </c>
      <c r="B12380" t="s">
        <v>38306</v>
      </c>
      <c r="C12380" t="s">
        <v>38400</v>
      </c>
      <c r="D12380" t="s">
        <v>38401</v>
      </c>
      <c r="E12380" t="s">
        <v>38402</v>
      </c>
      <c r="F12380" t="s">
        <v>38403</v>
      </c>
      <c r="G12380" s="2" t="str">
        <f>HYPERLINK("https://probpalata.gov.ru/files/ИП050503887300000.jpeg","Скачать индивидуальный QR-код магазина")</f>
        <v>Скачать индивидуальный QR-код магазина</v>
      </c>
    </row>
    <row r="12381" spans="1:7" x14ac:dyDescent="0.25">
      <c r="A12381" t="s">
        <v>38300</v>
      </c>
      <c r="B12381" t="s">
        <v>38404</v>
      </c>
      <c r="C12381" t="s">
        <v>38405</v>
      </c>
      <c r="D12381" t="s">
        <v>38406</v>
      </c>
      <c r="E12381" t="s">
        <v>38407</v>
      </c>
      <c r="F12381" t="s">
        <v>38408</v>
      </c>
      <c r="G12381" s="2" t="str">
        <f>HYPERLINK("https://probpalata.gov.ru/files/ИП050501785100000.jpeg","Скачать индивидуальный QR-код магазина")</f>
        <v>Скачать индивидуальный QR-код магазина</v>
      </c>
    </row>
    <row r="12382" spans="1:7" x14ac:dyDescent="0.25">
      <c r="A12382" t="s">
        <v>38300</v>
      </c>
      <c r="B12382" t="s">
        <v>38409</v>
      </c>
      <c r="C12382" t="s">
        <v>38410</v>
      </c>
      <c r="D12382" t="s">
        <v>38411</v>
      </c>
      <c r="E12382" t="s">
        <v>38412</v>
      </c>
      <c r="F12382" t="s">
        <v>38413</v>
      </c>
      <c r="G12382" s="2" t="str">
        <f>HYPERLINK("https://probpalata.gov.ru/files/ИП050500122700000.jpeg","Скачать индивидуальный QR-код магазина")</f>
        <v>Скачать индивидуальный QR-код магазина</v>
      </c>
    </row>
    <row r="12383" spans="1:7" x14ac:dyDescent="0.25">
      <c r="A12383" t="s">
        <v>38300</v>
      </c>
      <c r="B12383" t="s">
        <v>38306</v>
      </c>
      <c r="C12383" t="s">
        <v>38414</v>
      </c>
      <c r="D12383" t="s">
        <v>38415</v>
      </c>
      <c r="E12383" t="s">
        <v>38416</v>
      </c>
      <c r="F12383" t="s">
        <v>38417</v>
      </c>
      <c r="G12383" s="2" t="str">
        <f>HYPERLINK("https://probpalata.gov.ru/files/ИП050500800600000.jpeg","Скачать индивидуальный QR-код магазина")</f>
        <v>Скачать индивидуальный QR-код магазина</v>
      </c>
    </row>
    <row r="12384" spans="1:7" x14ac:dyDescent="0.25">
      <c r="A12384" t="s">
        <v>38300</v>
      </c>
      <c r="B12384" t="s">
        <v>38418</v>
      </c>
      <c r="C12384" t="s">
        <v>38419</v>
      </c>
      <c r="D12384" t="s">
        <v>38420</v>
      </c>
      <c r="E12384" t="s">
        <v>38421</v>
      </c>
      <c r="F12384" t="s">
        <v>38422</v>
      </c>
      <c r="G12384" s="2" t="str">
        <f>HYPERLINK("https://probpalata.gov.ru/files/ИП050501998000000.jpeg","Скачать индивидуальный QR-код магазина")</f>
        <v>Скачать индивидуальный QR-код магазина</v>
      </c>
    </row>
    <row r="12385" spans="1:7" x14ac:dyDescent="0.25">
      <c r="A12385" t="s">
        <v>38300</v>
      </c>
      <c r="B12385" t="s">
        <v>38423</v>
      </c>
      <c r="C12385" t="s">
        <v>38424</v>
      </c>
      <c r="D12385" t="s">
        <v>38425</v>
      </c>
      <c r="E12385" t="s">
        <v>38426</v>
      </c>
      <c r="F12385" t="s">
        <v>38427</v>
      </c>
      <c r="G12385" s="2" t="str">
        <f>HYPERLINK("https://probpalata.gov.ru/files/ИП050504051900000.jpeg","Скачать индивидуальный QR-код магазина")</f>
        <v>Скачать индивидуальный QR-код магазина</v>
      </c>
    </row>
    <row r="12386" spans="1:7" x14ac:dyDescent="0.25">
      <c r="A12386" t="s">
        <v>38300</v>
      </c>
      <c r="B12386" t="s">
        <v>38350</v>
      </c>
      <c r="C12386" t="s">
        <v>38428</v>
      </c>
      <c r="D12386" t="s">
        <v>38429</v>
      </c>
      <c r="E12386" t="s">
        <v>38430</v>
      </c>
      <c r="F12386" t="s">
        <v>38431</v>
      </c>
      <c r="G12386" s="2" t="str">
        <f>HYPERLINK("https://probpalata.gov.ru/files/ИП050500536700000.jpeg","Скачать индивидуальный QR-код магазина")</f>
        <v>Скачать индивидуальный QR-код магазина</v>
      </c>
    </row>
    <row r="12387" spans="1:7" x14ac:dyDescent="0.25">
      <c r="A12387" t="s">
        <v>38300</v>
      </c>
      <c r="B12387" t="s">
        <v>38432</v>
      </c>
      <c r="C12387" t="s">
        <v>38433</v>
      </c>
      <c r="D12387" t="s">
        <v>38434</v>
      </c>
      <c r="E12387" t="s">
        <v>38435</v>
      </c>
      <c r="F12387" t="s">
        <v>38436</v>
      </c>
      <c r="G12387" s="2" t="str">
        <f>HYPERLINK("https://probpalata.gov.ru/files/ИП050501717600000.jpeg","Скачать индивидуальный QR-код магазина")</f>
        <v>Скачать индивидуальный QR-код магазина</v>
      </c>
    </row>
    <row r="12388" spans="1:7" x14ac:dyDescent="0.25">
      <c r="A12388" t="s">
        <v>38300</v>
      </c>
      <c r="B12388" t="s">
        <v>38437</v>
      </c>
      <c r="C12388" t="s">
        <v>38438</v>
      </c>
      <c r="D12388" t="s">
        <v>38439</v>
      </c>
      <c r="E12388" t="s">
        <v>38440</v>
      </c>
      <c r="F12388" t="s">
        <v>38441</v>
      </c>
      <c r="G12388" s="2" t="str">
        <f>HYPERLINK("https://probpalata.gov.ru/files/ИП050503625600000.jpeg","Скачать индивидуальный QR-код магазина")</f>
        <v>Скачать индивидуальный QR-код магазина</v>
      </c>
    </row>
    <row r="12389" spans="1:7" x14ac:dyDescent="0.25">
      <c r="A12389" t="s">
        <v>38300</v>
      </c>
      <c r="B12389" t="s">
        <v>38442</v>
      </c>
      <c r="C12389" t="s">
        <v>38443</v>
      </c>
      <c r="D12389" t="s">
        <v>38444</v>
      </c>
      <c r="E12389" t="s">
        <v>38445</v>
      </c>
      <c r="F12389" t="s">
        <v>38446</v>
      </c>
      <c r="G12389" s="2" t="str">
        <f>HYPERLINK("https://probpalata.gov.ru/files/ИП050501663700000.jpeg","Скачать индивидуальный QR-код магазина")</f>
        <v>Скачать индивидуальный QR-код магазина</v>
      </c>
    </row>
    <row r="12390" spans="1:7" x14ac:dyDescent="0.25">
      <c r="A12390" t="s">
        <v>38300</v>
      </c>
      <c r="B12390" t="s">
        <v>38447</v>
      </c>
      <c r="C12390" t="s">
        <v>38448</v>
      </c>
      <c r="D12390" t="s">
        <v>38449</v>
      </c>
      <c r="E12390" t="s">
        <v>38450</v>
      </c>
      <c r="F12390" t="s">
        <v>38451</v>
      </c>
      <c r="G12390" s="2" t="str">
        <f>HYPERLINK("https://probpalata.gov.ru/files/ИП050500595000000.jpeg","Скачать индивидуальный QR-код магазина")</f>
        <v>Скачать индивидуальный QR-код магазина</v>
      </c>
    </row>
    <row r="12391" spans="1:7" x14ac:dyDescent="0.25">
      <c r="A12391" t="s">
        <v>38300</v>
      </c>
      <c r="B12391" t="s">
        <v>38452</v>
      </c>
      <c r="C12391" t="s">
        <v>38453</v>
      </c>
      <c r="D12391" t="s">
        <v>38454</v>
      </c>
      <c r="E12391" t="s">
        <v>38455</v>
      </c>
      <c r="F12391" t="s">
        <v>38456</v>
      </c>
      <c r="G12391" s="2" t="str">
        <f>HYPERLINK("https://probpalata.gov.ru/files/ИП050500008800000.jpeg","Скачать индивидуальный QR-код магазина")</f>
        <v>Скачать индивидуальный QR-код магазина</v>
      </c>
    </row>
    <row r="12392" spans="1:7" x14ac:dyDescent="0.25">
      <c r="A12392" t="s">
        <v>38300</v>
      </c>
      <c r="B12392" t="s">
        <v>38457</v>
      </c>
      <c r="C12392" t="s">
        <v>38458</v>
      </c>
      <c r="D12392" t="s">
        <v>38459</v>
      </c>
      <c r="E12392" t="s">
        <v>38460</v>
      </c>
      <c r="F12392" t="s">
        <v>38461</v>
      </c>
      <c r="G12392" s="2" t="str">
        <f>HYPERLINK("https://probpalata.gov.ru/files/ИП050503580300000.jpeg","Скачать индивидуальный QR-код магазина")</f>
        <v>Скачать индивидуальный QR-код магазина</v>
      </c>
    </row>
    <row r="12393" spans="1:7" x14ac:dyDescent="0.25">
      <c r="A12393" t="s">
        <v>38300</v>
      </c>
      <c r="B12393" t="s">
        <v>38371</v>
      </c>
      <c r="C12393" t="s">
        <v>38462</v>
      </c>
      <c r="D12393" t="s">
        <v>38463</v>
      </c>
      <c r="E12393" t="s">
        <v>38464</v>
      </c>
      <c r="F12393" t="s">
        <v>38465</v>
      </c>
      <c r="G12393" s="2" t="str">
        <f>HYPERLINK("https://probpalata.gov.ru/files/ИП050503987400000.jpeg","Скачать индивидуальный QR-код магазина")</f>
        <v>Скачать индивидуальный QR-код магазина</v>
      </c>
    </row>
    <row r="12394" spans="1:7" x14ac:dyDescent="0.25">
      <c r="A12394" t="s">
        <v>38300</v>
      </c>
      <c r="B12394" t="s">
        <v>38466</v>
      </c>
      <c r="C12394" t="s">
        <v>38467</v>
      </c>
      <c r="D12394" t="s">
        <v>38468</v>
      </c>
      <c r="E12394" t="s">
        <v>38469</v>
      </c>
      <c r="F12394" t="s">
        <v>38470</v>
      </c>
      <c r="G12394" s="2" t="str">
        <f>HYPERLINK("https://probpalata.gov.ru/files/ИП050503983300000.jpeg","Скачать индивидуальный QR-код магазина")</f>
        <v>Скачать индивидуальный QR-код магазина</v>
      </c>
    </row>
    <row r="12395" spans="1:7" x14ac:dyDescent="0.25">
      <c r="A12395" t="s">
        <v>38300</v>
      </c>
      <c r="B12395" t="s">
        <v>38306</v>
      </c>
      <c r="C12395" t="s">
        <v>38471</v>
      </c>
      <c r="D12395" t="s">
        <v>38472</v>
      </c>
      <c r="E12395" t="s">
        <v>38473</v>
      </c>
      <c r="F12395" t="s">
        <v>38474</v>
      </c>
      <c r="G12395" s="2" t="str">
        <f>HYPERLINK("https://probpalata.gov.ru/files/ИП050500112000001.jpeg","Скачать индивидуальный QR-код магазина")</f>
        <v>Скачать индивидуальный QR-код магазина</v>
      </c>
    </row>
    <row r="12396" spans="1:7" x14ac:dyDescent="0.25">
      <c r="A12396" t="s">
        <v>38300</v>
      </c>
      <c r="B12396" t="s">
        <v>38306</v>
      </c>
      <c r="C12396" t="s">
        <v>38475</v>
      </c>
      <c r="D12396" t="s">
        <v>38476</v>
      </c>
      <c r="E12396" t="s">
        <v>38477</v>
      </c>
      <c r="F12396" t="s">
        <v>38478</v>
      </c>
      <c r="G12396" s="2" t="str">
        <f>HYPERLINK("https://probpalata.gov.ru/files/ИП050500439700000.jpeg","Скачать индивидуальный QR-код магазина")</f>
        <v>Скачать индивидуальный QR-код магазина</v>
      </c>
    </row>
    <row r="12397" spans="1:7" x14ac:dyDescent="0.25">
      <c r="A12397" t="s">
        <v>38300</v>
      </c>
      <c r="B12397" t="s">
        <v>38404</v>
      </c>
      <c r="C12397" t="s">
        <v>38479</v>
      </c>
      <c r="D12397" t="s">
        <v>38480</v>
      </c>
      <c r="E12397" t="s">
        <v>38481</v>
      </c>
      <c r="F12397" t="s">
        <v>38482</v>
      </c>
      <c r="G12397" s="2" t="str">
        <f>HYPERLINK("https://probpalata.gov.ru/files/ИП050503242600000.jpeg","Скачать индивидуальный QR-код магазина")</f>
        <v>Скачать индивидуальный QR-код магазина</v>
      </c>
    </row>
    <row r="12398" spans="1:7" x14ac:dyDescent="0.25">
      <c r="A12398" t="s">
        <v>38300</v>
      </c>
      <c r="B12398" t="s">
        <v>38306</v>
      </c>
      <c r="C12398" t="s">
        <v>38483</v>
      </c>
      <c r="D12398" t="s">
        <v>38484</v>
      </c>
      <c r="E12398" t="s">
        <v>38485</v>
      </c>
      <c r="F12398" t="s">
        <v>38486</v>
      </c>
      <c r="G12398" s="2" t="str">
        <f>HYPERLINK("https://probpalata.gov.ru/files/ИП050500272000000.jpeg","Скачать индивидуальный QR-код магазина")</f>
        <v>Скачать индивидуальный QR-код магазина</v>
      </c>
    </row>
    <row r="12399" spans="1:7" x14ac:dyDescent="0.25">
      <c r="A12399" t="s">
        <v>38300</v>
      </c>
      <c r="B12399" t="s">
        <v>38487</v>
      </c>
      <c r="C12399" t="s">
        <v>38488</v>
      </c>
      <c r="D12399" t="s">
        <v>38489</v>
      </c>
      <c r="E12399" t="s">
        <v>38490</v>
      </c>
      <c r="F12399" t="s">
        <v>38491</v>
      </c>
      <c r="G12399" s="2" t="str">
        <f>HYPERLINK("https://probpalata.gov.ru/files/ИП050500854600000.jpeg","Скачать индивидуальный QR-код магазина")</f>
        <v>Скачать индивидуальный QR-код магазина</v>
      </c>
    </row>
    <row r="12400" spans="1:7" x14ac:dyDescent="0.25">
      <c r="A12400" t="s">
        <v>38300</v>
      </c>
      <c r="B12400" t="s">
        <v>38492</v>
      </c>
      <c r="C12400" t="s">
        <v>38493</v>
      </c>
      <c r="D12400" t="s">
        <v>38494</v>
      </c>
      <c r="E12400" t="s">
        <v>38495</v>
      </c>
      <c r="F12400" t="s">
        <v>38496</v>
      </c>
      <c r="G12400" s="2" t="str">
        <f>HYPERLINK("https://probpalata.gov.ru/files/ИП050500056900000.jpeg","Скачать индивидуальный QR-код магазина")</f>
        <v>Скачать индивидуальный QR-код магазина</v>
      </c>
    </row>
    <row r="12401" spans="1:7" x14ac:dyDescent="0.25">
      <c r="A12401" t="s">
        <v>38300</v>
      </c>
      <c r="B12401" t="s">
        <v>38497</v>
      </c>
      <c r="C12401" t="s">
        <v>38498</v>
      </c>
      <c r="D12401" t="s">
        <v>38499</v>
      </c>
      <c r="E12401" t="s">
        <v>38500</v>
      </c>
      <c r="F12401" t="s">
        <v>38501</v>
      </c>
      <c r="G12401" s="2" t="str">
        <f>HYPERLINK("https://probpalata.gov.ru/files/ИП050500010100000.jpeg","Скачать индивидуальный QR-код магазина")</f>
        <v>Скачать индивидуальный QR-код магазина</v>
      </c>
    </row>
    <row r="12402" spans="1:7" x14ac:dyDescent="0.25">
      <c r="A12402" t="s">
        <v>38300</v>
      </c>
      <c r="B12402" t="s">
        <v>38502</v>
      </c>
      <c r="C12402" t="s">
        <v>38498</v>
      </c>
      <c r="D12402" t="s">
        <v>38499</v>
      </c>
      <c r="E12402" t="s">
        <v>38500</v>
      </c>
      <c r="F12402" t="s">
        <v>38503</v>
      </c>
      <c r="G12402" s="2" t="str">
        <f>HYPERLINK("https://probpalata.gov.ru/files/ИП050500010100005.jpeg","Скачать индивидуальный QR-код магазина")</f>
        <v>Скачать индивидуальный QR-код магазина</v>
      </c>
    </row>
    <row r="12403" spans="1:7" x14ac:dyDescent="0.25">
      <c r="A12403" t="s">
        <v>38300</v>
      </c>
      <c r="B12403" t="s">
        <v>38504</v>
      </c>
      <c r="C12403" t="s">
        <v>38505</v>
      </c>
      <c r="D12403" t="s">
        <v>38506</v>
      </c>
      <c r="E12403" t="s">
        <v>38507</v>
      </c>
      <c r="F12403" t="s">
        <v>38508</v>
      </c>
      <c r="G12403" s="2" t="str">
        <f>HYPERLINK("https://probpalata.gov.ru/files/ИП050501418700000.jpeg","Скачать индивидуальный QR-код магазина")</f>
        <v>Скачать индивидуальный QR-код магазина</v>
      </c>
    </row>
    <row r="12404" spans="1:7" x14ac:dyDescent="0.25">
      <c r="A12404" t="s">
        <v>38300</v>
      </c>
      <c r="B12404" t="s">
        <v>38306</v>
      </c>
      <c r="C12404" t="s">
        <v>38509</v>
      </c>
      <c r="D12404" t="s">
        <v>38510</v>
      </c>
      <c r="E12404" t="s">
        <v>38511</v>
      </c>
      <c r="F12404" t="s">
        <v>38512</v>
      </c>
      <c r="G12404" s="2" t="str">
        <f>HYPERLINK("https://probpalata.gov.ru/files/ИП050500315300000.jpeg","Скачать индивидуальный QR-код магазина")</f>
        <v>Скачать индивидуальный QR-код магазина</v>
      </c>
    </row>
    <row r="12405" spans="1:7" x14ac:dyDescent="0.25">
      <c r="A12405" t="s">
        <v>38300</v>
      </c>
      <c r="B12405" t="s">
        <v>38513</v>
      </c>
      <c r="C12405" t="s">
        <v>38514</v>
      </c>
      <c r="D12405" t="s">
        <v>38515</v>
      </c>
      <c r="E12405" t="s">
        <v>38516</v>
      </c>
      <c r="F12405" t="s">
        <v>38517</v>
      </c>
      <c r="G12405" s="2" t="str">
        <f>HYPERLINK("https://probpalata.gov.ru/files/ИП050501258800001.jpeg","Скачать индивидуальный QR-код магазина")</f>
        <v>Скачать индивидуальный QR-код магазина</v>
      </c>
    </row>
    <row r="12406" spans="1:7" x14ac:dyDescent="0.25">
      <c r="A12406" t="s">
        <v>38300</v>
      </c>
      <c r="B12406" t="s">
        <v>38518</v>
      </c>
      <c r="C12406" t="s">
        <v>38519</v>
      </c>
      <c r="D12406" t="s">
        <v>38520</v>
      </c>
      <c r="E12406" t="s">
        <v>38521</v>
      </c>
      <c r="F12406" t="s">
        <v>38522</v>
      </c>
      <c r="G12406" s="2" t="str">
        <f>HYPERLINK("https://probpalata.gov.ru/files/ИП050503971400000.jpeg","Скачать индивидуальный QR-код магазина")</f>
        <v>Скачать индивидуальный QR-код магазина</v>
      </c>
    </row>
    <row r="12407" spans="1:7" x14ac:dyDescent="0.25">
      <c r="A12407" t="s">
        <v>38300</v>
      </c>
      <c r="B12407" t="s">
        <v>38523</v>
      </c>
      <c r="C12407" t="s">
        <v>38524</v>
      </c>
      <c r="D12407" t="s">
        <v>38525</v>
      </c>
      <c r="E12407" t="s">
        <v>38526</v>
      </c>
      <c r="F12407" t="s">
        <v>38527</v>
      </c>
      <c r="G12407" s="2" t="str">
        <f>HYPERLINK("https://probpalata.gov.ru/files/ИП050503317600000.jpeg","Скачать индивидуальный QR-код магазина")</f>
        <v>Скачать индивидуальный QR-код магазина</v>
      </c>
    </row>
    <row r="12408" spans="1:7" x14ac:dyDescent="0.25">
      <c r="A12408" t="s">
        <v>38300</v>
      </c>
      <c r="B12408" t="s">
        <v>38528</v>
      </c>
      <c r="C12408" t="s">
        <v>38529</v>
      </c>
      <c r="D12408" t="s">
        <v>38530</v>
      </c>
      <c r="E12408" t="s">
        <v>38531</v>
      </c>
      <c r="F12408" t="s">
        <v>38532</v>
      </c>
      <c r="G12408" s="2" t="str">
        <f>HYPERLINK("https://probpalata.gov.ru/files/ИП050501318000000.jpeg","Скачать индивидуальный QR-код магазина")</f>
        <v>Скачать индивидуальный QR-код магазина</v>
      </c>
    </row>
    <row r="12409" spans="1:7" x14ac:dyDescent="0.25">
      <c r="A12409" t="s">
        <v>38300</v>
      </c>
      <c r="B12409" t="s">
        <v>38533</v>
      </c>
      <c r="C12409" t="s">
        <v>38529</v>
      </c>
      <c r="D12409" t="s">
        <v>38530</v>
      </c>
      <c r="E12409" t="s">
        <v>38531</v>
      </c>
      <c r="F12409" t="s">
        <v>38534</v>
      </c>
      <c r="G12409" s="2" t="str">
        <f>HYPERLINK("https://probpalata.gov.ru/files/ИП050501318000003.jpeg","Скачать индивидуальный QR-код магазина")</f>
        <v>Скачать индивидуальный QR-код магазина</v>
      </c>
    </row>
    <row r="12410" spans="1:7" x14ac:dyDescent="0.25">
      <c r="A12410" t="s">
        <v>38300</v>
      </c>
      <c r="B12410" t="s">
        <v>38535</v>
      </c>
      <c r="C12410" t="s">
        <v>38536</v>
      </c>
      <c r="D12410" t="s">
        <v>38537</v>
      </c>
      <c r="E12410" t="s">
        <v>38538</v>
      </c>
      <c r="F12410" t="s">
        <v>38539</v>
      </c>
      <c r="G12410" s="2" t="str">
        <f>HYPERLINK("https://probpalata.gov.ru/files/ИП050504014300000.jpeg","Скачать индивидуальный QR-код магазина")</f>
        <v>Скачать индивидуальный QR-код магазина</v>
      </c>
    </row>
    <row r="12411" spans="1:7" x14ac:dyDescent="0.25">
      <c r="A12411" t="s">
        <v>38300</v>
      </c>
      <c r="B12411" t="s">
        <v>38540</v>
      </c>
      <c r="C12411" t="s">
        <v>38541</v>
      </c>
      <c r="D12411" t="s">
        <v>38542</v>
      </c>
      <c r="E12411" t="s">
        <v>38543</v>
      </c>
      <c r="F12411" t="s">
        <v>38544</v>
      </c>
      <c r="G12411" s="2" t="str">
        <f>HYPERLINK("https://probpalata.gov.ru/files/ИП050500853400000.jpeg","Скачать индивидуальный QR-код магазина")</f>
        <v>Скачать индивидуальный QR-код магазина</v>
      </c>
    </row>
    <row r="12412" spans="1:7" x14ac:dyDescent="0.25">
      <c r="A12412" t="s">
        <v>38300</v>
      </c>
      <c r="B12412" t="s">
        <v>38545</v>
      </c>
      <c r="C12412" t="s">
        <v>38546</v>
      </c>
      <c r="D12412" t="s">
        <v>38547</v>
      </c>
      <c r="E12412" t="s">
        <v>38548</v>
      </c>
      <c r="F12412" t="s">
        <v>38549</v>
      </c>
      <c r="G12412" s="2" t="str">
        <f>HYPERLINK("https://probpalata.gov.ru/files/ИП050501980400000.jpeg","Скачать индивидуальный QR-код магазина")</f>
        <v>Скачать индивидуальный QR-код магазина</v>
      </c>
    </row>
    <row r="12413" spans="1:7" x14ac:dyDescent="0.25">
      <c r="A12413" t="s">
        <v>38300</v>
      </c>
      <c r="B12413" t="s">
        <v>38550</v>
      </c>
      <c r="C12413" t="s">
        <v>38551</v>
      </c>
      <c r="D12413" t="s">
        <v>38552</v>
      </c>
      <c r="E12413" t="s">
        <v>38553</v>
      </c>
      <c r="F12413" t="s">
        <v>38554</v>
      </c>
      <c r="G12413" s="2" t="str">
        <f>HYPERLINK("https://probpalata.gov.ru/files/ИП050500641700000.jpeg","Скачать индивидуальный QR-код магазина")</f>
        <v>Скачать индивидуальный QR-код магазина</v>
      </c>
    </row>
    <row r="12414" spans="1:7" x14ac:dyDescent="0.25">
      <c r="A12414" t="s">
        <v>38300</v>
      </c>
      <c r="B12414" t="s">
        <v>38535</v>
      </c>
      <c r="C12414" t="s">
        <v>38555</v>
      </c>
      <c r="D12414" t="s">
        <v>38556</v>
      </c>
      <c r="E12414" t="s">
        <v>38557</v>
      </c>
      <c r="F12414" t="s">
        <v>38558</v>
      </c>
      <c r="G12414" s="2" t="str">
        <f>HYPERLINK("https://probpalata.gov.ru/files/ИП050500312000000.jpeg","Скачать индивидуальный QR-код магазина")</f>
        <v>Скачать индивидуальный QR-код магазина</v>
      </c>
    </row>
    <row r="12415" spans="1:7" x14ac:dyDescent="0.25">
      <c r="A12415" t="s">
        <v>38300</v>
      </c>
      <c r="B12415" t="s">
        <v>38559</v>
      </c>
      <c r="C12415" t="s">
        <v>38560</v>
      </c>
      <c r="D12415" t="s">
        <v>38561</v>
      </c>
      <c r="E12415" t="s">
        <v>38562</v>
      </c>
      <c r="F12415" t="s">
        <v>38563</v>
      </c>
      <c r="G12415" s="2" t="str">
        <f>HYPERLINK("https://probpalata.gov.ru/files/ИП050504077400000.jpeg","Скачать индивидуальный QR-код магазина")</f>
        <v>Скачать индивидуальный QR-код магазина</v>
      </c>
    </row>
    <row r="12416" spans="1:7" x14ac:dyDescent="0.25">
      <c r="A12416" t="s">
        <v>38300</v>
      </c>
      <c r="B12416" t="s">
        <v>38564</v>
      </c>
      <c r="C12416" t="s">
        <v>38565</v>
      </c>
      <c r="D12416" t="s">
        <v>38566</v>
      </c>
      <c r="E12416" t="s">
        <v>38567</v>
      </c>
      <c r="F12416" t="s">
        <v>38568</v>
      </c>
      <c r="G12416" s="2" t="str">
        <f>HYPERLINK("https://probpalata.gov.ru/files/ИП050503374100000.jpeg","Скачать индивидуальный QR-код магазина")</f>
        <v>Скачать индивидуальный QR-код магазина</v>
      </c>
    </row>
    <row r="12417" spans="1:7" x14ac:dyDescent="0.25">
      <c r="A12417" t="s">
        <v>38300</v>
      </c>
      <c r="B12417" t="s">
        <v>38569</v>
      </c>
      <c r="C12417" t="s">
        <v>38570</v>
      </c>
      <c r="D12417" t="s">
        <v>38571</v>
      </c>
      <c r="E12417" t="s">
        <v>38572</v>
      </c>
      <c r="F12417" t="s">
        <v>38573</v>
      </c>
      <c r="G12417" s="2" t="str">
        <f>HYPERLINK("https://probpalata.gov.ru/files/ИП050501960000000.jpeg","Скачать индивидуальный QR-код магазина")</f>
        <v>Скачать индивидуальный QR-код магазина</v>
      </c>
    </row>
    <row r="12418" spans="1:7" x14ac:dyDescent="0.25">
      <c r="A12418" t="s">
        <v>38300</v>
      </c>
      <c r="B12418" t="s">
        <v>38306</v>
      </c>
      <c r="C12418" t="s">
        <v>38574</v>
      </c>
      <c r="D12418" t="s">
        <v>38575</v>
      </c>
      <c r="E12418" t="s">
        <v>38576</v>
      </c>
      <c r="F12418" t="s">
        <v>38577</v>
      </c>
      <c r="G12418" s="2" t="str">
        <f>HYPERLINK("https://probpalata.gov.ru/files/ИП050503885900000.jpeg","Скачать индивидуальный QR-код магазина")</f>
        <v>Скачать индивидуальный QR-код магазина</v>
      </c>
    </row>
    <row r="12419" spans="1:7" x14ac:dyDescent="0.25">
      <c r="A12419" t="s">
        <v>38300</v>
      </c>
      <c r="B12419" t="s">
        <v>38578</v>
      </c>
      <c r="C12419" t="s">
        <v>38579</v>
      </c>
      <c r="D12419" t="s">
        <v>38580</v>
      </c>
      <c r="E12419" t="s">
        <v>38581</v>
      </c>
      <c r="F12419" t="s">
        <v>38582</v>
      </c>
      <c r="G12419" s="2" t="str">
        <f>HYPERLINK("https://probpalata.gov.ru/files/ИП050503122700000.jpeg","Скачать индивидуальный QR-код магазина")</f>
        <v>Скачать индивидуальный QR-код магазина</v>
      </c>
    </row>
    <row r="12420" spans="1:7" x14ac:dyDescent="0.25">
      <c r="A12420" t="s">
        <v>38300</v>
      </c>
      <c r="B12420" t="s">
        <v>38583</v>
      </c>
      <c r="C12420" t="s">
        <v>38584</v>
      </c>
      <c r="D12420" t="s">
        <v>38585</v>
      </c>
      <c r="E12420" t="s">
        <v>38586</v>
      </c>
      <c r="F12420" t="s">
        <v>38587</v>
      </c>
      <c r="G12420" s="2" t="str">
        <f>HYPERLINK("https://probpalata.gov.ru/files/ИП050503189900000.jpeg","Скачать индивидуальный QR-код магазина")</f>
        <v>Скачать индивидуальный QR-код магазина</v>
      </c>
    </row>
    <row r="12421" spans="1:7" x14ac:dyDescent="0.25">
      <c r="A12421" t="s">
        <v>38300</v>
      </c>
      <c r="B12421" t="s">
        <v>38306</v>
      </c>
      <c r="C12421" t="s">
        <v>38588</v>
      </c>
      <c r="D12421" t="s">
        <v>38589</v>
      </c>
      <c r="E12421" t="s">
        <v>38590</v>
      </c>
      <c r="F12421" t="s">
        <v>38591</v>
      </c>
      <c r="G12421" s="2" t="str">
        <f>HYPERLINK("https://probpalata.gov.ru/files/ИП050503665900000.jpeg","Скачать индивидуальный QR-код магазина")</f>
        <v>Скачать индивидуальный QR-код магазина</v>
      </c>
    </row>
    <row r="12422" spans="1:7" x14ac:dyDescent="0.25">
      <c r="A12422" t="s">
        <v>38300</v>
      </c>
      <c r="B12422" t="s">
        <v>38592</v>
      </c>
      <c r="C12422" t="s">
        <v>38593</v>
      </c>
      <c r="D12422" t="s">
        <v>38594</v>
      </c>
      <c r="E12422" t="s">
        <v>38595</v>
      </c>
      <c r="F12422" t="s">
        <v>38596</v>
      </c>
      <c r="G12422" s="2" t="str">
        <f>HYPERLINK("https://probpalata.gov.ru/files/ИП050500508900000.jpeg","Скачать индивидуальный QR-код магазина")</f>
        <v>Скачать индивидуальный QR-код магазина</v>
      </c>
    </row>
    <row r="12423" spans="1:7" x14ac:dyDescent="0.25">
      <c r="A12423" t="s">
        <v>38300</v>
      </c>
      <c r="B12423" t="s">
        <v>38316</v>
      </c>
      <c r="C12423" t="s">
        <v>38593</v>
      </c>
      <c r="D12423" t="s">
        <v>38594</v>
      </c>
      <c r="E12423" t="s">
        <v>38595</v>
      </c>
      <c r="F12423" t="s">
        <v>38597</v>
      </c>
      <c r="G12423" s="2" t="str">
        <f>HYPERLINK("https://probpalata.gov.ru/files/ИП050500508900001.jpeg","Скачать индивидуальный QR-код магазина")</f>
        <v>Скачать индивидуальный QR-код магазина</v>
      </c>
    </row>
    <row r="12424" spans="1:7" x14ac:dyDescent="0.25">
      <c r="A12424" t="s">
        <v>38300</v>
      </c>
      <c r="B12424" t="s">
        <v>38598</v>
      </c>
      <c r="C12424" t="s">
        <v>38599</v>
      </c>
      <c r="D12424" t="s">
        <v>38600</v>
      </c>
      <c r="E12424" t="s">
        <v>38601</v>
      </c>
      <c r="F12424" t="s">
        <v>38602</v>
      </c>
      <c r="G12424" s="2" t="str">
        <f>HYPERLINK("https://probpalata.gov.ru/files/ИП770103809900000.jpeg","Скачать индивидуальный QR-код магазина")</f>
        <v>Скачать индивидуальный QR-код магазина</v>
      </c>
    </row>
    <row r="12425" spans="1:7" x14ac:dyDescent="0.25">
      <c r="A12425" t="s">
        <v>38300</v>
      </c>
      <c r="B12425" t="s">
        <v>38603</v>
      </c>
      <c r="C12425" t="s">
        <v>38604</v>
      </c>
      <c r="D12425" t="s">
        <v>38605</v>
      </c>
      <c r="E12425" t="s">
        <v>38606</v>
      </c>
      <c r="F12425" t="s">
        <v>38607</v>
      </c>
      <c r="G12425" s="2" t="str">
        <f>HYPERLINK("https://probpalata.gov.ru/files/ИП050501482900000.jpeg","Скачать индивидуальный QR-код магазина")</f>
        <v>Скачать индивидуальный QR-код магазина</v>
      </c>
    </row>
    <row r="12426" spans="1:7" x14ac:dyDescent="0.25">
      <c r="A12426" t="s">
        <v>38300</v>
      </c>
      <c r="B12426" t="s">
        <v>38608</v>
      </c>
      <c r="C12426" t="s">
        <v>38609</v>
      </c>
      <c r="D12426" t="s">
        <v>38610</v>
      </c>
      <c r="E12426" t="s">
        <v>38611</v>
      </c>
      <c r="F12426" t="s">
        <v>38612</v>
      </c>
      <c r="G12426" s="2" t="str">
        <f>HYPERLINK("https://probpalata.gov.ru/files/ИП050503987500000.jpeg","Скачать индивидуальный QR-код магазина")</f>
        <v>Скачать индивидуальный QR-код магазина</v>
      </c>
    </row>
    <row r="12427" spans="1:7" x14ac:dyDescent="0.25">
      <c r="A12427" t="s">
        <v>38300</v>
      </c>
      <c r="B12427" t="s">
        <v>38613</v>
      </c>
      <c r="C12427" t="s">
        <v>38614</v>
      </c>
      <c r="D12427" t="s">
        <v>38615</v>
      </c>
      <c r="E12427" t="s">
        <v>38616</v>
      </c>
      <c r="F12427" t="s">
        <v>38617</v>
      </c>
      <c r="G12427" s="2" t="str">
        <f>HYPERLINK("https://probpalata.gov.ru/files/ЮЛ050500548500000.jpeg","Скачать индивидуальный QR-код магазина")</f>
        <v>Скачать индивидуальный QR-код магазина</v>
      </c>
    </row>
    <row r="12428" spans="1:7" x14ac:dyDescent="0.25">
      <c r="A12428" t="s">
        <v>38300</v>
      </c>
      <c r="B12428" t="s">
        <v>38618</v>
      </c>
      <c r="C12428" t="s">
        <v>38619</v>
      </c>
      <c r="D12428" t="s">
        <v>38620</v>
      </c>
      <c r="E12428" t="s">
        <v>38621</v>
      </c>
      <c r="F12428" t="s">
        <v>38622</v>
      </c>
      <c r="G12428" s="2" t="str">
        <f>HYPERLINK("https://probpalata.gov.ru/files/ИП050500795300000.jpeg","Скачать индивидуальный QR-код магазина")</f>
        <v>Скачать индивидуальный QR-код магазина</v>
      </c>
    </row>
    <row r="12429" spans="1:7" x14ac:dyDescent="0.25">
      <c r="A12429" t="s">
        <v>38300</v>
      </c>
      <c r="B12429" t="s">
        <v>38306</v>
      </c>
      <c r="C12429" t="s">
        <v>38623</v>
      </c>
      <c r="D12429" t="s">
        <v>38624</v>
      </c>
      <c r="E12429" t="s">
        <v>38625</v>
      </c>
      <c r="F12429" t="s">
        <v>38626</v>
      </c>
      <c r="G12429" s="2" t="str">
        <f>HYPERLINK("https://probpalata.gov.ru/files/ИП050500082800000.jpeg","Скачать индивидуальный QR-код магазина")</f>
        <v>Скачать индивидуальный QR-код магазина</v>
      </c>
    </row>
    <row r="12430" spans="1:7" x14ac:dyDescent="0.25">
      <c r="A12430" t="s">
        <v>38300</v>
      </c>
      <c r="B12430" t="s">
        <v>38306</v>
      </c>
      <c r="C12430" t="s">
        <v>38627</v>
      </c>
      <c r="D12430" t="s">
        <v>38628</v>
      </c>
      <c r="E12430" t="s">
        <v>38629</v>
      </c>
      <c r="F12430" t="s">
        <v>38630</v>
      </c>
      <c r="G12430" s="2" t="str">
        <f>HYPERLINK("https://probpalata.gov.ru/files/ИП050503936800000.jpeg","Скачать индивидуальный QR-код магазина")</f>
        <v>Скачать индивидуальный QR-код магазина</v>
      </c>
    </row>
    <row r="12431" spans="1:7" x14ac:dyDescent="0.25">
      <c r="A12431" t="s">
        <v>38300</v>
      </c>
      <c r="B12431" t="s">
        <v>38631</v>
      </c>
      <c r="C12431" t="s">
        <v>38632</v>
      </c>
      <c r="D12431" t="s">
        <v>38633</v>
      </c>
      <c r="E12431" t="s">
        <v>38634</v>
      </c>
      <c r="F12431" t="s">
        <v>38635</v>
      </c>
      <c r="G12431" s="2" t="str">
        <f>HYPERLINK("https://probpalata.gov.ru/files/ИП050503918200000.jpeg","Скачать индивидуальный QR-код магазина")</f>
        <v>Скачать индивидуальный QR-код магазина</v>
      </c>
    </row>
    <row r="12432" spans="1:7" x14ac:dyDescent="0.25">
      <c r="A12432" t="s">
        <v>38300</v>
      </c>
      <c r="B12432" t="s">
        <v>38306</v>
      </c>
      <c r="C12432" t="s">
        <v>38636</v>
      </c>
      <c r="D12432" t="s">
        <v>38637</v>
      </c>
      <c r="E12432" t="s">
        <v>38638</v>
      </c>
      <c r="F12432" t="s">
        <v>38639</v>
      </c>
      <c r="G12432" s="2" t="str">
        <f>HYPERLINK("https://probpalata.gov.ru/files/ИП050503084000000.jpeg","Скачать индивидуальный QR-код магазина")</f>
        <v>Скачать индивидуальный QR-код магазина</v>
      </c>
    </row>
    <row r="12433" spans="1:7" x14ac:dyDescent="0.25">
      <c r="A12433" t="s">
        <v>38300</v>
      </c>
      <c r="B12433" t="s">
        <v>38640</v>
      </c>
      <c r="C12433" t="s">
        <v>38641</v>
      </c>
      <c r="D12433" t="s">
        <v>38642</v>
      </c>
      <c r="E12433" t="s">
        <v>38643</v>
      </c>
      <c r="F12433" t="s">
        <v>38644</v>
      </c>
      <c r="G12433" s="2" t="str">
        <f>HYPERLINK("https://probpalata.gov.ru/files/ИП050501498300000.jpeg","Скачать индивидуальный QR-код магазина")</f>
        <v>Скачать индивидуальный QR-код магазина</v>
      </c>
    </row>
    <row r="12434" spans="1:7" x14ac:dyDescent="0.25">
      <c r="A12434" t="s">
        <v>38300</v>
      </c>
      <c r="B12434" t="s">
        <v>38645</v>
      </c>
      <c r="C12434" t="s">
        <v>38646</v>
      </c>
      <c r="D12434" t="s">
        <v>38647</v>
      </c>
      <c r="E12434" t="s">
        <v>38648</v>
      </c>
      <c r="F12434" t="s">
        <v>38649</v>
      </c>
      <c r="G12434" s="2" t="str">
        <f>HYPERLINK("https://probpalata.gov.ru/files/ИП050503471100000.jpeg","Скачать индивидуальный QR-код магазина")</f>
        <v>Скачать индивидуальный QR-код магазина</v>
      </c>
    </row>
    <row r="12435" spans="1:7" x14ac:dyDescent="0.25">
      <c r="A12435" t="s">
        <v>38300</v>
      </c>
      <c r="B12435" t="s">
        <v>38650</v>
      </c>
      <c r="C12435" t="s">
        <v>38651</v>
      </c>
      <c r="D12435" t="s">
        <v>38652</v>
      </c>
      <c r="E12435" t="s">
        <v>38653</v>
      </c>
      <c r="F12435" t="s">
        <v>38654</v>
      </c>
      <c r="G12435" s="2" t="str">
        <f>HYPERLINK("https://probpalata.gov.ru/files/ИП050503641600000.jpeg","Скачать индивидуальный QR-код магазина")</f>
        <v>Скачать индивидуальный QR-код магазина</v>
      </c>
    </row>
    <row r="12436" spans="1:7" x14ac:dyDescent="0.25">
      <c r="A12436" t="s">
        <v>38300</v>
      </c>
      <c r="B12436" t="s">
        <v>38655</v>
      </c>
      <c r="C12436" t="s">
        <v>38656</v>
      </c>
      <c r="D12436" t="s">
        <v>38657</v>
      </c>
      <c r="E12436" t="s">
        <v>38658</v>
      </c>
      <c r="F12436" t="s">
        <v>38659</v>
      </c>
      <c r="G12436" s="2" t="str">
        <f>HYPERLINK("https://probpalata.gov.ru/files/ИП050501598600000.jpeg","Скачать индивидуальный QR-код магазина")</f>
        <v>Скачать индивидуальный QR-код магазина</v>
      </c>
    </row>
    <row r="12437" spans="1:7" x14ac:dyDescent="0.25">
      <c r="A12437" t="s">
        <v>38300</v>
      </c>
      <c r="B12437" t="s">
        <v>38306</v>
      </c>
      <c r="C12437" t="s">
        <v>38660</v>
      </c>
      <c r="D12437" t="s">
        <v>38661</v>
      </c>
      <c r="E12437" t="s">
        <v>38662</v>
      </c>
      <c r="F12437" t="s">
        <v>38663</v>
      </c>
      <c r="G12437" s="2" t="str">
        <f>HYPERLINK("https://probpalata.gov.ru/files/ИП050501258900000.jpeg","Скачать индивидуальный QR-код магазина")</f>
        <v>Скачать индивидуальный QR-код магазина</v>
      </c>
    </row>
    <row r="12438" spans="1:7" x14ac:dyDescent="0.25">
      <c r="A12438" t="s">
        <v>38300</v>
      </c>
      <c r="B12438" t="s">
        <v>38664</v>
      </c>
      <c r="C12438" t="s">
        <v>38665</v>
      </c>
      <c r="D12438" t="s">
        <v>38666</v>
      </c>
      <c r="E12438" t="s">
        <v>38667</v>
      </c>
      <c r="F12438" t="s">
        <v>38668</v>
      </c>
      <c r="G12438" s="2" t="str">
        <f>HYPERLINK("https://probpalata.gov.ru/files/ИП050503651900000.jpeg","Скачать индивидуальный QR-код магазина")</f>
        <v>Скачать индивидуальный QR-код магазина</v>
      </c>
    </row>
    <row r="12439" spans="1:7" x14ac:dyDescent="0.25">
      <c r="A12439" t="s">
        <v>38300</v>
      </c>
      <c r="B12439" t="s">
        <v>38306</v>
      </c>
      <c r="C12439" t="s">
        <v>38669</v>
      </c>
      <c r="D12439" t="s">
        <v>38670</v>
      </c>
      <c r="E12439" t="s">
        <v>38671</v>
      </c>
      <c r="F12439" t="s">
        <v>38672</v>
      </c>
      <c r="G12439" s="2" t="str">
        <f>HYPERLINK("https://probpalata.gov.ru/files/ИП050503470900000.jpeg","Скачать индивидуальный QR-код магазина")</f>
        <v>Скачать индивидуальный QR-код магазина</v>
      </c>
    </row>
    <row r="12440" spans="1:7" x14ac:dyDescent="0.25">
      <c r="A12440" t="s">
        <v>38300</v>
      </c>
      <c r="B12440" t="s">
        <v>38664</v>
      </c>
      <c r="C12440" t="s">
        <v>38673</v>
      </c>
      <c r="D12440" t="s">
        <v>38674</v>
      </c>
      <c r="E12440" t="s">
        <v>38675</v>
      </c>
      <c r="F12440" t="s">
        <v>38676</v>
      </c>
      <c r="G12440" s="2" t="str">
        <f>HYPERLINK("https://probpalata.gov.ru/files/ИП050503651800000.jpeg","Скачать индивидуальный QR-код магазина")</f>
        <v>Скачать индивидуальный QR-код магазина</v>
      </c>
    </row>
    <row r="12441" spans="1:7" x14ac:dyDescent="0.25">
      <c r="A12441" t="s">
        <v>38300</v>
      </c>
      <c r="B12441" t="s">
        <v>38306</v>
      </c>
      <c r="C12441" t="s">
        <v>38677</v>
      </c>
      <c r="D12441" t="s">
        <v>38678</v>
      </c>
      <c r="E12441" t="s">
        <v>38679</v>
      </c>
      <c r="F12441" t="s">
        <v>38680</v>
      </c>
      <c r="G12441" s="2" t="str">
        <f>HYPERLINK("https://probpalata.gov.ru/files/ИП050501745200000.jpeg","Скачать индивидуальный QR-код магазина")</f>
        <v>Скачать индивидуальный QR-код магазина</v>
      </c>
    </row>
    <row r="12442" spans="1:7" x14ac:dyDescent="0.25">
      <c r="A12442" t="s">
        <v>38300</v>
      </c>
      <c r="B12442" t="s">
        <v>38681</v>
      </c>
      <c r="C12442" t="s">
        <v>38682</v>
      </c>
      <c r="D12442" t="s">
        <v>38683</v>
      </c>
      <c r="E12442" t="s">
        <v>38684</v>
      </c>
      <c r="F12442" t="s">
        <v>38685</v>
      </c>
      <c r="G12442" s="2" t="str">
        <f>HYPERLINK("https://probpalata.gov.ru/files/ЮЛ050500531600000.jpeg","Скачать индивидуальный QR-код магазина")</f>
        <v>Скачать индивидуальный QR-код магазина</v>
      </c>
    </row>
    <row r="12443" spans="1:7" x14ac:dyDescent="0.25">
      <c r="A12443" t="s">
        <v>38300</v>
      </c>
      <c r="B12443" t="s">
        <v>38686</v>
      </c>
      <c r="C12443" t="s">
        <v>38687</v>
      </c>
      <c r="D12443" t="s">
        <v>38688</v>
      </c>
      <c r="E12443" t="s">
        <v>38689</v>
      </c>
      <c r="F12443" t="s">
        <v>38690</v>
      </c>
      <c r="G12443" s="2" t="str">
        <f>HYPERLINK("https://probpalata.gov.ru/files/ЮЛ050503329400000.jpeg","Скачать индивидуальный QR-код магазина")</f>
        <v>Скачать индивидуальный QR-код магазина</v>
      </c>
    </row>
    <row r="12444" spans="1:7" x14ac:dyDescent="0.25">
      <c r="A12444" t="s">
        <v>38300</v>
      </c>
      <c r="B12444" t="s">
        <v>38691</v>
      </c>
      <c r="C12444" t="s">
        <v>38687</v>
      </c>
      <c r="D12444" t="s">
        <v>38688</v>
      </c>
      <c r="E12444" t="s">
        <v>38689</v>
      </c>
      <c r="F12444" t="s">
        <v>38692</v>
      </c>
      <c r="G12444" s="2" t="str">
        <f>HYPERLINK("https://probpalata.gov.ru/files/ЮЛ050503329400002.jpeg","Скачать индивидуальный QR-код магазина")</f>
        <v>Скачать индивидуальный QR-код магазина</v>
      </c>
    </row>
    <row r="12445" spans="1:7" x14ac:dyDescent="0.25">
      <c r="A12445" t="s">
        <v>38300</v>
      </c>
      <c r="B12445" t="s">
        <v>38306</v>
      </c>
      <c r="C12445" t="s">
        <v>38693</v>
      </c>
      <c r="D12445" t="s">
        <v>38694</v>
      </c>
      <c r="E12445" t="s">
        <v>38695</v>
      </c>
      <c r="F12445" t="s">
        <v>38696</v>
      </c>
      <c r="G12445" s="2" t="str">
        <f>HYPERLINK("https://probpalata.gov.ru/files/ИП050503699600000.jpeg","Скачать индивидуальный QR-код магазина")</f>
        <v>Скачать индивидуальный QR-код магазина</v>
      </c>
    </row>
    <row r="12446" spans="1:7" x14ac:dyDescent="0.25">
      <c r="A12446" t="s">
        <v>38300</v>
      </c>
      <c r="B12446" t="s">
        <v>38404</v>
      </c>
      <c r="C12446" t="s">
        <v>38697</v>
      </c>
      <c r="D12446" t="s">
        <v>38698</v>
      </c>
      <c r="E12446" t="s">
        <v>38699</v>
      </c>
      <c r="F12446" t="s">
        <v>38700</v>
      </c>
      <c r="G12446" s="2" t="str">
        <f>HYPERLINK("https://probpalata.gov.ru/files/ИП050503219700000.jpeg","Скачать индивидуальный QR-код магазина")</f>
        <v>Скачать индивидуальный QR-код магазина</v>
      </c>
    </row>
    <row r="12447" spans="1:7" x14ac:dyDescent="0.25">
      <c r="A12447" t="s">
        <v>38300</v>
      </c>
      <c r="B12447" t="s">
        <v>38316</v>
      </c>
      <c r="C12447" t="s">
        <v>38701</v>
      </c>
      <c r="D12447" t="s">
        <v>38702</v>
      </c>
      <c r="E12447" t="s">
        <v>38703</v>
      </c>
      <c r="F12447" t="s">
        <v>38704</v>
      </c>
      <c r="G12447" s="2" t="str">
        <f>HYPERLINK("https://probpalata.gov.ru/files/ИП050503790000000.jpeg","Скачать индивидуальный QR-код магазина")</f>
        <v>Скачать индивидуальный QR-код магазина</v>
      </c>
    </row>
    <row r="12448" spans="1:7" x14ac:dyDescent="0.25">
      <c r="A12448" t="s">
        <v>38300</v>
      </c>
      <c r="B12448" t="s">
        <v>38306</v>
      </c>
      <c r="C12448" t="s">
        <v>38705</v>
      </c>
      <c r="D12448" t="s">
        <v>38706</v>
      </c>
      <c r="E12448" t="s">
        <v>38707</v>
      </c>
      <c r="F12448" t="s">
        <v>38708</v>
      </c>
      <c r="G12448" s="2" t="str">
        <f>HYPERLINK("https://probpalata.gov.ru/files/ИП050500407800001.jpeg","Скачать индивидуальный QR-код магазина")</f>
        <v>Скачать индивидуальный QR-код магазина</v>
      </c>
    </row>
    <row r="12449" spans="1:7" x14ac:dyDescent="0.25">
      <c r="A12449" t="s">
        <v>38300</v>
      </c>
      <c r="B12449" t="s">
        <v>38306</v>
      </c>
      <c r="C12449" t="s">
        <v>38709</v>
      </c>
      <c r="D12449" t="s">
        <v>38710</v>
      </c>
      <c r="E12449" t="s">
        <v>38711</v>
      </c>
      <c r="F12449" t="s">
        <v>38712</v>
      </c>
      <c r="G12449" s="2" t="str">
        <f>HYPERLINK("https://probpalata.gov.ru/files/ИП050500303400000.jpeg","Скачать индивидуальный QR-код магазина")</f>
        <v>Скачать индивидуальный QR-код магазина</v>
      </c>
    </row>
    <row r="12450" spans="1:7" x14ac:dyDescent="0.25">
      <c r="A12450" t="s">
        <v>38300</v>
      </c>
      <c r="B12450" t="s">
        <v>38713</v>
      </c>
      <c r="C12450" t="s">
        <v>38714</v>
      </c>
      <c r="D12450" t="s">
        <v>38715</v>
      </c>
      <c r="E12450" t="s">
        <v>38716</v>
      </c>
      <c r="F12450" t="s">
        <v>38717</v>
      </c>
      <c r="G12450" s="2" t="str">
        <f>HYPERLINK("https://probpalata.gov.ru/files/ИП050501664000000.jpeg","Скачать индивидуальный QR-код магазина")</f>
        <v>Скачать индивидуальный QR-код магазина</v>
      </c>
    </row>
    <row r="12451" spans="1:7" x14ac:dyDescent="0.25">
      <c r="A12451" t="s">
        <v>38300</v>
      </c>
      <c r="B12451" t="s">
        <v>38718</v>
      </c>
      <c r="C12451" t="s">
        <v>38719</v>
      </c>
      <c r="D12451" t="s">
        <v>38720</v>
      </c>
      <c r="E12451" t="s">
        <v>38721</v>
      </c>
      <c r="F12451" t="s">
        <v>38722</v>
      </c>
      <c r="G12451" s="2" t="str">
        <f>HYPERLINK("https://probpalata.gov.ru/files/ИП050500614300000.jpeg","Скачать индивидуальный QR-код магазина")</f>
        <v>Скачать индивидуальный QR-код магазина</v>
      </c>
    </row>
    <row r="12452" spans="1:7" x14ac:dyDescent="0.25">
      <c r="A12452" t="s">
        <v>38300</v>
      </c>
      <c r="B12452" t="s">
        <v>38723</v>
      </c>
      <c r="C12452" t="s">
        <v>38724</v>
      </c>
      <c r="D12452" t="s">
        <v>38725</v>
      </c>
      <c r="E12452" t="s">
        <v>38726</v>
      </c>
      <c r="F12452" t="s">
        <v>38727</v>
      </c>
      <c r="G12452" s="2" t="str">
        <f>HYPERLINK("https://probpalata.gov.ru/files/ИП050500559700000.jpeg","Скачать индивидуальный QR-код магазина")</f>
        <v>Скачать индивидуальный QR-код магазина</v>
      </c>
    </row>
    <row r="12453" spans="1:7" x14ac:dyDescent="0.25">
      <c r="A12453" t="s">
        <v>38300</v>
      </c>
      <c r="B12453" t="s">
        <v>38306</v>
      </c>
      <c r="C12453" t="s">
        <v>38728</v>
      </c>
      <c r="D12453" t="s">
        <v>38729</v>
      </c>
      <c r="E12453" t="s">
        <v>38730</v>
      </c>
      <c r="F12453" t="s">
        <v>38731</v>
      </c>
      <c r="G12453" s="2" t="str">
        <f>HYPERLINK("https://probpalata.gov.ru/files/ИП050500353900000.jpeg","Скачать индивидуальный QR-код магазина")</f>
        <v>Скачать индивидуальный QR-код магазина</v>
      </c>
    </row>
    <row r="12454" spans="1:7" x14ac:dyDescent="0.25">
      <c r="A12454" t="s">
        <v>38300</v>
      </c>
      <c r="B12454" t="s">
        <v>38306</v>
      </c>
      <c r="C12454" t="s">
        <v>38732</v>
      </c>
      <c r="D12454" t="s">
        <v>38733</v>
      </c>
      <c r="E12454" t="s">
        <v>38734</v>
      </c>
      <c r="F12454" t="s">
        <v>38735</v>
      </c>
      <c r="G12454" s="2" t="str">
        <f>HYPERLINK("https://probpalata.gov.ru/files/ИП050501169400000.jpeg","Скачать индивидуальный QR-код магазина")</f>
        <v>Скачать индивидуальный QR-код магазина</v>
      </c>
    </row>
    <row r="12455" spans="1:7" x14ac:dyDescent="0.25">
      <c r="A12455" t="s">
        <v>38300</v>
      </c>
      <c r="B12455" t="s">
        <v>38736</v>
      </c>
      <c r="C12455" t="s">
        <v>38737</v>
      </c>
      <c r="D12455" t="s">
        <v>38738</v>
      </c>
      <c r="E12455" t="s">
        <v>38739</v>
      </c>
      <c r="F12455" t="s">
        <v>38740</v>
      </c>
      <c r="G12455" s="2" t="str">
        <f>HYPERLINK("https://probpalata.gov.ru/files/ИП050501023500000.jpeg","Скачать индивидуальный QR-код магазина")</f>
        <v>Скачать индивидуальный QR-код магазина</v>
      </c>
    </row>
    <row r="12456" spans="1:7" x14ac:dyDescent="0.25">
      <c r="A12456" t="s">
        <v>38300</v>
      </c>
      <c r="B12456" t="s">
        <v>38306</v>
      </c>
      <c r="C12456" t="s">
        <v>38741</v>
      </c>
      <c r="D12456" t="s">
        <v>38742</v>
      </c>
      <c r="E12456" t="s">
        <v>38743</v>
      </c>
      <c r="F12456" t="s">
        <v>38744</v>
      </c>
      <c r="G12456" s="2" t="str">
        <f>HYPERLINK("https://probpalata.gov.ru/files/ИП050503324400000.jpeg","Скачать индивидуальный QR-код магазина")</f>
        <v>Скачать индивидуальный QR-код магазина</v>
      </c>
    </row>
    <row r="12457" spans="1:7" x14ac:dyDescent="0.25">
      <c r="A12457" t="s">
        <v>38300</v>
      </c>
      <c r="B12457" t="s">
        <v>38321</v>
      </c>
      <c r="C12457" t="s">
        <v>38745</v>
      </c>
      <c r="D12457" t="s">
        <v>38746</v>
      </c>
      <c r="E12457" t="s">
        <v>38747</v>
      </c>
      <c r="F12457" t="s">
        <v>38748</v>
      </c>
      <c r="G12457" s="2" t="str">
        <f>HYPERLINK("https://probpalata.gov.ru/files/ИП050503795200000.jpeg","Скачать индивидуальный QR-код магазина")</f>
        <v>Скачать индивидуальный QR-код магазина</v>
      </c>
    </row>
    <row r="12458" spans="1:7" x14ac:dyDescent="0.25">
      <c r="A12458" t="s">
        <v>38300</v>
      </c>
      <c r="B12458" t="s">
        <v>38404</v>
      </c>
      <c r="C12458" t="s">
        <v>38749</v>
      </c>
      <c r="D12458" t="s">
        <v>38750</v>
      </c>
      <c r="E12458" t="s">
        <v>38751</v>
      </c>
      <c r="F12458" t="s">
        <v>38752</v>
      </c>
      <c r="G12458" s="2" t="str">
        <f>HYPERLINK("https://probpalata.gov.ru/files/ИП050503625700000.jpeg","Скачать индивидуальный QR-код магазина")</f>
        <v>Скачать индивидуальный QR-код магазина</v>
      </c>
    </row>
    <row r="12459" spans="1:7" x14ac:dyDescent="0.25">
      <c r="A12459" t="s">
        <v>38300</v>
      </c>
      <c r="B12459" t="s">
        <v>38753</v>
      </c>
      <c r="C12459" t="s">
        <v>38754</v>
      </c>
      <c r="D12459" t="s">
        <v>38755</v>
      </c>
      <c r="E12459" t="s">
        <v>38756</v>
      </c>
      <c r="F12459" t="s">
        <v>38757</v>
      </c>
      <c r="G12459" s="2" t="str">
        <f>HYPERLINK("https://probpalata.gov.ru/files/ИП050500162500000.jpeg","Скачать индивидуальный QR-код магазина")</f>
        <v>Скачать индивидуальный QR-код магазина</v>
      </c>
    </row>
    <row r="12460" spans="1:7" x14ac:dyDescent="0.25">
      <c r="A12460" t="s">
        <v>38300</v>
      </c>
      <c r="B12460" t="s">
        <v>38316</v>
      </c>
      <c r="C12460" t="s">
        <v>38758</v>
      </c>
      <c r="D12460" t="s">
        <v>38759</v>
      </c>
      <c r="E12460" t="s">
        <v>38760</v>
      </c>
      <c r="F12460" t="s">
        <v>38761</v>
      </c>
      <c r="G12460" s="2" t="str">
        <f>HYPERLINK("https://probpalata.gov.ru/files/ИП050503614200000.jpeg","Скачать индивидуальный QR-код магазина")</f>
        <v>Скачать индивидуальный QR-код магазина</v>
      </c>
    </row>
    <row r="12461" spans="1:7" x14ac:dyDescent="0.25">
      <c r="A12461" t="s">
        <v>38300</v>
      </c>
      <c r="B12461" t="s">
        <v>38306</v>
      </c>
      <c r="C12461" t="s">
        <v>38762</v>
      </c>
      <c r="D12461" t="s">
        <v>38763</v>
      </c>
      <c r="E12461" t="s">
        <v>38764</v>
      </c>
      <c r="F12461" t="s">
        <v>38765</v>
      </c>
      <c r="G12461" s="2" t="str">
        <f>HYPERLINK("https://probpalata.gov.ru/files/ИП050503662600000.jpeg","Скачать индивидуальный QR-код магазина")</f>
        <v>Скачать индивидуальный QR-код магазина</v>
      </c>
    </row>
    <row r="12462" spans="1:7" x14ac:dyDescent="0.25">
      <c r="A12462" t="s">
        <v>38300</v>
      </c>
      <c r="B12462" t="s">
        <v>38766</v>
      </c>
      <c r="C12462" t="s">
        <v>38767</v>
      </c>
      <c r="D12462" t="s">
        <v>38768</v>
      </c>
      <c r="E12462" t="s">
        <v>38769</v>
      </c>
      <c r="F12462" t="s">
        <v>38770</v>
      </c>
      <c r="G12462" s="2" t="str">
        <f>HYPERLINK("https://probpalata.gov.ru/files/ИП050503886700000.jpeg","Скачать индивидуальный QR-код магазина")</f>
        <v>Скачать индивидуальный QR-код магазина</v>
      </c>
    </row>
    <row r="12463" spans="1:7" x14ac:dyDescent="0.25">
      <c r="A12463" t="s">
        <v>38300</v>
      </c>
      <c r="B12463" t="s">
        <v>38306</v>
      </c>
      <c r="C12463" t="s">
        <v>38771</v>
      </c>
      <c r="D12463" t="s">
        <v>38772</v>
      </c>
      <c r="E12463" t="s">
        <v>38773</v>
      </c>
      <c r="F12463" t="s">
        <v>38774</v>
      </c>
      <c r="G12463" s="2" t="str">
        <f>HYPERLINK("https://probpalata.gov.ru/files/ИП050501396900000.jpeg","Скачать индивидуальный QR-код магазина")</f>
        <v>Скачать индивидуальный QR-код магазина</v>
      </c>
    </row>
    <row r="12464" spans="1:7" x14ac:dyDescent="0.25">
      <c r="A12464" t="s">
        <v>38300</v>
      </c>
      <c r="B12464" t="s">
        <v>38775</v>
      </c>
      <c r="C12464" t="s">
        <v>38776</v>
      </c>
      <c r="D12464" t="s">
        <v>38777</v>
      </c>
      <c r="E12464" t="s">
        <v>38778</v>
      </c>
      <c r="F12464" t="s">
        <v>38779</v>
      </c>
      <c r="G12464" s="2" t="str">
        <f>HYPERLINK("https://probpalata.gov.ru/files/ИП050503104600000.jpeg","Скачать индивидуальный QR-код магазина")</f>
        <v>Скачать индивидуальный QR-код магазина</v>
      </c>
    </row>
    <row r="12465" spans="1:7" x14ac:dyDescent="0.25">
      <c r="A12465" t="s">
        <v>38300</v>
      </c>
      <c r="B12465" t="s">
        <v>38316</v>
      </c>
      <c r="C12465" t="s">
        <v>38780</v>
      </c>
      <c r="D12465" t="s">
        <v>38781</v>
      </c>
      <c r="E12465" t="s">
        <v>38782</v>
      </c>
      <c r="F12465" t="s">
        <v>38783</v>
      </c>
      <c r="G12465" s="2" t="str">
        <f>HYPERLINK("https://probpalata.gov.ru/files/ИП050501999600000.jpeg","Скачать индивидуальный QR-код магазина")</f>
        <v>Скачать индивидуальный QR-код магазина</v>
      </c>
    </row>
    <row r="12466" spans="1:7" x14ac:dyDescent="0.25">
      <c r="A12466" t="s">
        <v>38300</v>
      </c>
      <c r="B12466" t="s">
        <v>38306</v>
      </c>
      <c r="C12466" t="s">
        <v>38784</v>
      </c>
      <c r="D12466" t="s">
        <v>38785</v>
      </c>
      <c r="E12466" t="s">
        <v>38786</v>
      </c>
      <c r="F12466" t="s">
        <v>38787</v>
      </c>
      <c r="G12466" s="2" t="str">
        <f>HYPERLINK("https://probpalata.gov.ru/files/ИП050503899600000.jpeg","Скачать индивидуальный QR-код магазина")</f>
        <v>Скачать индивидуальный QR-код магазина</v>
      </c>
    </row>
    <row r="12467" spans="1:7" x14ac:dyDescent="0.25">
      <c r="A12467" t="s">
        <v>38300</v>
      </c>
      <c r="B12467" t="s">
        <v>38306</v>
      </c>
      <c r="C12467" t="s">
        <v>38788</v>
      </c>
      <c r="D12467" t="s">
        <v>38789</v>
      </c>
      <c r="E12467" t="s">
        <v>38790</v>
      </c>
      <c r="F12467" t="s">
        <v>38791</v>
      </c>
      <c r="G12467" s="2" t="str">
        <f>HYPERLINK("https://probpalata.gov.ru/files/ИП050500271800000.jpeg","Скачать индивидуальный QR-код магазина")</f>
        <v>Скачать индивидуальный QR-код магазина</v>
      </c>
    </row>
    <row r="12468" spans="1:7" x14ac:dyDescent="0.25">
      <c r="A12468" t="s">
        <v>38300</v>
      </c>
      <c r="B12468" t="s">
        <v>38306</v>
      </c>
      <c r="C12468" t="s">
        <v>38792</v>
      </c>
      <c r="D12468" t="s">
        <v>38793</v>
      </c>
      <c r="E12468" t="s">
        <v>38794</v>
      </c>
      <c r="F12468" t="s">
        <v>38795</v>
      </c>
      <c r="G12468" s="2" t="str">
        <f>HYPERLINK("https://probpalata.gov.ru/files/ИП050500143800000.jpeg","Скачать индивидуальный QR-код магазина")</f>
        <v>Скачать индивидуальный QR-код магазина</v>
      </c>
    </row>
    <row r="12469" spans="1:7" x14ac:dyDescent="0.25">
      <c r="A12469" t="s">
        <v>38300</v>
      </c>
      <c r="B12469" t="s">
        <v>38306</v>
      </c>
      <c r="C12469" t="s">
        <v>38796</v>
      </c>
      <c r="D12469" t="s">
        <v>38797</v>
      </c>
      <c r="E12469" t="s">
        <v>38798</v>
      </c>
      <c r="F12469" t="s">
        <v>38799</v>
      </c>
      <c r="G12469" s="2" t="str">
        <f>HYPERLINK("https://probpalata.gov.ru/files/ИП050500165600000.jpeg","Скачать индивидуальный QR-код магазина")</f>
        <v>Скачать индивидуальный QR-код магазина</v>
      </c>
    </row>
    <row r="12470" spans="1:7" x14ac:dyDescent="0.25">
      <c r="A12470" t="s">
        <v>38300</v>
      </c>
      <c r="B12470" t="s">
        <v>38316</v>
      </c>
      <c r="C12470" t="s">
        <v>38800</v>
      </c>
      <c r="D12470" t="s">
        <v>38801</v>
      </c>
      <c r="E12470" t="s">
        <v>38802</v>
      </c>
      <c r="F12470" t="s">
        <v>38803</v>
      </c>
      <c r="G12470" s="2" t="str">
        <f>HYPERLINK("https://probpalata.gov.ru/files/ИП050501999700000.jpeg","Скачать индивидуальный QR-код магазина")</f>
        <v>Скачать индивидуальный QR-код магазина</v>
      </c>
    </row>
    <row r="12471" spans="1:7" x14ac:dyDescent="0.25">
      <c r="A12471" t="s">
        <v>38300</v>
      </c>
      <c r="B12471" t="s">
        <v>38316</v>
      </c>
      <c r="C12471" t="s">
        <v>38804</v>
      </c>
      <c r="D12471" t="s">
        <v>38805</v>
      </c>
      <c r="E12471" t="s">
        <v>38806</v>
      </c>
      <c r="F12471" t="s">
        <v>38807</v>
      </c>
      <c r="G12471" s="2" t="str">
        <f>HYPERLINK("https://probpalata.gov.ru/files/ИП050501767200000.jpeg","Скачать индивидуальный QR-код магазина")</f>
        <v>Скачать индивидуальный QR-код магазина</v>
      </c>
    </row>
    <row r="12472" spans="1:7" x14ac:dyDescent="0.25">
      <c r="A12472" t="s">
        <v>38300</v>
      </c>
      <c r="B12472" t="s">
        <v>38808</v>
      </c>
      <c r="C12472" t="s">
        <v>38809</v>
      </c>
      <c r="D12472" t="s">
        <v>38810</v>
      </c>
      <c r="E12472" t="s">
        <v>38811</v>
      </c>
      <c r="F12472" t="s">
        <v>38812</v>
      </c>
      <c r="G12472" s="2" t="str">
        <f>HYPERLINK("https://probpalata.gov.ru/files/ИП050500938100000.jpeg","Скачать индивидуальный QR-код магазина")</f>
        <v>Скачать индивидуальный QR-код магазина</v>
      </c>
    </row>
    <row r="12473" spans="1:7" x14ac:dyDescent="0.25">
      <c r="A12473" t="s">
        <v>38300</v>
      </c>
      <c r="B12473" t="s">
        <v>38813</v>
      </c>
      <c r="C12473" t="s">
        <v>38814</v>
      </c>
      <c r="D12473" t="s">
        <v>38815</v>
      </c>
      <c r="E12473" t="s">
        <v>38816</v>
      </c>
      <c r="F12473" t="s">
        <v>38817</v>
      </c>
      <c r="G12473" s="2" t="str">
        <f>HYPERLINK("https://probpalata.gov.ru/files/ИП050500164400000.jpeg","Скачать индивидуальный QR-код магазина")</f>
        <v>Скачать индивидуальный QR-код магазина</v>
      </c>
    </row>
    <row r="12474" spans="1:7" x14ac:dyDescent="0.25">
      <c r="A12474" t="s">
        <v>38300</v>
      </c>
      <c r="B12474" t="s">
        <v>38818</v>
      </c>
      <c r="C12474" t="s">
        <v>38819</v>
      </c>
      <c r="D12474" t="s">
        <v>38820</v>
      </c>
      <c r="E12474" t="s">
        <v>38821</v>
      </c>
      <c r="F12474" t="s">
        <v>38822</v>
      </c>
      <c r="G12474" s="2" t="str">
        <f>HYPERLINK("https://probpalata.gov.ru/files/ИП050500855400000.jpeg","Скачать индивидуальный QR-код магазина")</f>
        <v>Скачать индивидуальный QR-код магазина</v>
      </c>
    </row>
    <row r="12475" spans="1:7" x14ac:dyDescent="0.25">
      <c r="A12475" t="s">
        <v>38300</v>
      </c>
      <c r="B12475" t="s">
        <v>38823</v>
      </c>
      <c r="C12475" t="s">
        <v>38824</v>
      </c>
      <c r="D12475" t="s">
        <v>38825</v>
      </c>
      <c r="E12475" t="s">
        <v>38826</v>
      </c>
      <c r="F12475" t="s">
        <v>38827</v>
      </c>
      <c r="G12475" s="2" t="str">
        <f>HYPERLINK("https://probpalata.gov.ru/files/ИП050501243700000.jpeg","Скачать индивидуальный QR-код магазина")</f>
        <v>Скачать индивидуальный QR-код магазина</v>
      </c>
    </row>
    <row r="12476" spans="1:7" x14ac:dyDescent="0.25">
      <c r="A12476" t="s">
        <v>38300</v>
      </c>
      <c r="B12476" t="s">
        <v>38828</v>
      </c>
      <c r="C12476" t="s">
        <v>38829</v>
      </c>
      <c r="D12476" t="s">
        <v>38830</v>
      </c>
      <c r="E12476" t="s">
        <v>38831</v>
      </c>
      <c r="F12476" t="s">
        <v>38832</v>
      </c>
      <c r="G12476" s="2" t="str">
        <f>HYPERLINK("https://probpalata.gov.ru/files/ИП050500019800000.jpeg","Скачать индивидуальный QR-код магазина")</f>
        <v>Скачать индивидуальный QR-код магазина</v>
      </c>
    </row>
    <row r="12477" spans="1:7" x14ac:dyDescent="0.25">
      <c r="A12477" t="s">
        <v>38300</v>
      </c>
      <c r="B12477" t="s">
        <v>38306</v>
      </c>
      <c r="C12477" t="s">
        <v>38833</v>
      </c>
      <c r="D12477" t="s">
        <v>38834</v>
      </c>
      <c r="E12477" t="s">
        <v>38835</v>
      </c>
      <c r="F12477" t="s">
        <v>38836</v>
      </c>
      <c r="G12477" s="2" t="str">
        <f>HYPERLINK("https://probpalata.gov.ru/files/ИП050503731700000.jpeg","Скачать индивидуальный QR-код магазина")</f>
        <v>Скачать индивидуальный QR-код магазина</v>
      </c>
    </row>
    <row r="12478" spans="1:7" x14ac:dyDescent="0.25">
      <c r="A12478" t="s">
        <v>38300</v>
      </c>
      <c r="B12478" t="s">
        <v>38837</v>
      </c>
      <c r="C12478" t="s">
        <v>38838</v>
      </c>
      <c r="D12478" t="s">
        <v>38839</v>
      </c>
      <c r="E12478" t="s">
        <v>38840</v>
      </c>
      <c r="F12478" t="s">
        <v>38841</v>
      </c>
      <c r="G12478" s="2" t="str">
        <f>HYPERLINK("https://probpalata.gov.ru/files/ИП050500468200000.jpeg","Скачать индивидуальный QR-код магазина")</f>
        <v>Скачать индивидуальный QR-код магазина</v>
      </c>
    </row>
    <row r="12479" spans="1:7" x14ac:dyDescent="0.25">
      <c r="A12479" t="s">
        <v>38300</v>
      </c>
      <c r="B12479" t="s">
        <v>38842</v>
      </c>
      <c r="C12479" t="s">
        <v>38843</v>
      </c>
      <c r="D12479" t="s">
        <v>38844</v>
      </c>
      <c r="E12479" t="s">
        <v>38845</v>
      </c>
      <c r="F12479" t="s">
        <v>38846</v>
      </c>
      <c r="G12479" s="2" t="str">
        <f>HYPERLINK("https://probpalata.gov.ru/files/ИП050500142900000.jpeg","Скачать индивидуальный QR-код магазина")</f>
        <v>Скачать индивидуальный QR-код магазина</v>
      </c>
    </row>
    <row r="12480" spans="1:7" x14ac:dyDescent="0.25">
      <c r="A12480" t="s">
        <v>38300</v>
      </c>
      <c r="B12480" t="s">
        <v>38618</v>
      </c>
      <c r="C12480" t="s">
        <v>38847</v>
      </c>
      <c r="D12480" t="s">
        <v>38848</v>
      </c>
      <c r="E12480" t="s">
        <v>38849</v>
      </c>
      <c r="F12480" t="s">
        <v>38850</v>
      </c>
      <c r="G12480" s="2" t="str">
        <f>HYPERLINK("https://probpalata.gov.ru/files/ИП050500553400000.jpeg","Скачать индивидуальный QR-код магазина")</f>
        <v>Скачать индивидуальный QR-код магазина</v>
      </c>
    </row>
    <row r="12481" spans="1:7" x14ac:dyDescent="0.25">
      <c r="A12481" t="s">
        <v>38300</v>
      </c>
      <c r="B12481" t="s">
        <v>38851</v>
      </c>
      <c r="C12481" t="s">
        <v>38852</v>
      </c>
      <c r="D12481" t="s">
        <v>38853</v>
      </c>
      <c r="E12481" t="s">
        <v>38854</v>
      </c>
      <c r="F12481" t="s">
        <v>38855</v>
      </c>
      <c r="G12481" s="2" t="str">
        <f>HYPERLINK("https://probpalata.gov.ru/files/ИП050501339100000.jpeg","Скачать индивидуальный QR-код магазина")</f>
        <v>Скачать индивидуальный QR-код магазина</v>
      </c>
    </row>
    <row r="12482" spans="1:7" x14ac:dyDescent="0.25">
      <c r="A12482" t="s">
        <v>38300</v>
      </c>
      <c r="B12482" t="s">
        <v>38856</v>
      </c>
      <c r="C12482" t="s">
        <v>38857</v>
      </c>
      <c r="D12482" t="s">
        <v>38858</v>
      </c>
      <c r="E12482" t="s">
        <v>38859</v>
      </c>
      <c r="F12482" t="s">
        <v>38860</v>
      </c>
      <c r="G12482" s="2" t="str">
        <f>HYPERLINK("https://probpalata.gov.ru/files/ЮЛ050500615700000.jpeg","Скачать индивидуальный QR-код магазина")</f>
        <v>Скачать индивидуальный QR-код магазина</v>
      </c>
    </row>
    <row r="12483" spans="1:7" x14ac:dyDescent="0.25">
      <c r="A12483" t="s">
        <v>38300</v>
      </c>
      <c r="B12483" t="s">
        <v>38861</v>
      </c>
      <c r="C12483" t="s">
        <v>38862</v>
      </c>
      <c r="D12483" t="s">
        <v>38863</v>
      </c>
      <c r="E12483" t="s">
        <v>38864</v>
      </c>
      <c r="F12483" t="s">
        <v>38865</v>
      </c>
      <c r="G12483" s="2" t="str">
        <f>HYPERLINK("https://probpalata.gov.ru/files/ЮЛ050501764800000.jpeg","Скачать индивидуальный QR-код магазина")</f>
        <v>Скачать индивидуальный QR-код магазина</v>
      </c>
    </row>
    <row r="12484" spans="1:7" x14ac:dyDescent="0.25">
      <c r="A12484" t="s">
        <v>38300</v>
      </c>
      <c r="B12484" t="s">
        <v>38306</v>
      </c>
      <c r="C12484" t="s">
        <v>38866</v>
      </c>
      <c r="D12484" t="s">
        <v>38867</v>
      </c>
      <c r="E12484" t="s">
        <v>38868</v>
      </c>
      <c r="F12484" t="s">
        <v>38869</v>
      </c>
      <c r="G12484" s="2" t="str">
        <f>HYPERLINK("https://probpalata.gov.ru/files/ИП050500144600000.jpeg","Скачать индивидуальный QR-код магазина")</f>
        <v>Скачать индивидуальный QR-код магазина</v>
      </c>
    </row>
    <row r="12485" spans="1:7" x14ac:dyDescent="0.25">
      <c r="A12485" t="s">
        <v>38300</v>
      </c>
      <c r="B12485" t="s">
        <v>38870</v>
      </c>
      <c r="C12485" t="s">
        <v>38871</v>
      </c>
      <c r="D12485" t="s">
        <v>38872</v>
      </c>
      <c r="E12485" t="s">
        <v>38873</v>
      </c>
      <c r="F12485" t="s">
        <v>38874</v>
      </c>
      <c r="G12485" s="2" t="str">
        <f>HYPERLINK("https://probpalata.gov.ru/files/ИП050500170800000.jpeg","Скачать индивидуальный QR-код магазина")</f>
        <v>Скачать индивидуальный QR-код магазина</v>
      </c>
    </row>
    <row r="12486" spans="1:7" x14ac:dyDescent="0.25">
      <c r="A12486" t="s">
        <v>38300</v>
      </c>
      <c r="B12486" t="s">
        <v>38875</v>
      </c>
      <c r="C12486" t="s">
        <v>38876</v>
      </c>
      <c r="D12486" t="s">
        <v>38877</v>
      </c>
      <c r="E12486" t="s">
        <v>38878</v>
      </c>
      <c r="F12486" t="s">
        <v>38879</v>
      </c>
      <c r="G12486" s="2" t="str">
        <f>HYPERLINK("https://probpalata.gov.ru/files/ИП050500322700000.jpeg","Скачать индивидуальный QR-код магазина")</f>
        <v>Скачать индивидуальный QR-код магазина</v>
      </c>
    </row>
    <row r="12487" spans="1:7" x14ac:dyDescent="0.25">
      <c r="A12487" t="s">
        <v>38300</v>
      </c>
      <c r="B12487" t="s">
        <v>38880</v>
      </c>
      <c r="C12487" t="s">
        <v>38881</v>
      </c>
      <c r="D12487" t="s">
        <v>38882</v>
      </c>
      <c r="E12487" t="s">
        <v>38883</v>
      </c>
      <c r="F12487" t="s">
        <v>38884</v>
      </c>
      <c r="G12487" s="2" t="str">
        <f>HYPERLINK("https://probpalata.gov.ru/files/ИП050501414800000.jpeg","Скачать индивидуальный QR-код магазина")</f>
        <v>Скачать индивидуальный QR-код магазина</v>
      </c>
    </row>
    <row r="12488" spans="1:7" x14ac:dyDescent="0.25">
      <c r="A12488" t="s">
        <v>38300</v>
      </c>
      <c r="B12488" t="s">
        <v>38885</v>
      </c>
      <c r="C12488" t="s">
        <v>38886</v>
      </c>
      <c r="D12488" t="s">
        <v>38887</v>
      </c>
      <c r="E12488" t="s">
        <v>38888</v>
      </c>
      <c r="F12488" t="s">
        <v>38889</v>
      </c>
      <c r="G12488" s="2" t="str">
        <f>HYPERLINK("https://probpalata.gov.ru/files/ИП050500179800000.jpeg","Скачать индивидуальный QR-код магазина")</f>
        <v>Скачать индивидуальный QR-код магазина</v>
      </c>
    </row>
    <row r="12489" spans="1:7" x14ac:dyDescent="0.25">
      <c r="A12489" t="s">
        <v>38300</v>
      </c>
      <c r="B12489" t="s">
        <v>38890</v>
      </c>
      <c r="C12489" t="s">
        <v>38891</v>
      </c>
      <c r="D12489" t="s">
        <v>38892</v>
      </c>
      <c r="E12489" t="s">
        <v>38893</v>
      </c>
      <c r="F12489" t="s">
        <v>38894</v>
      </c>
      <c r="G12489" s="2" t="str">
        <f>HYPERLINK("https://probpalata.gov.ru/files/ИП050501146000000.jpeg","Скачать индивидуальный QR-код магазина")</f>
        <v>Скачать индивидуальный QR-код магазина</v>
      </c>
    </row>
    <row r="12490" spans="1:7" x14ac:dyDescent="0.25">
      <c r="A12490" t="s">
        <v>38300</v>
      </c>
      <c r="B12490" t="s">
        <v>38306</v>
      </c>
      <c r="C12490" t="s">
        <v>38895</v>
      </c>
      <c r="D12490" t="s">
        <v>38896</v>
      </c>
      <c r="E12490" t="s">
        <v>38897</v>
      </c>
      <c r="F12490" t="s">
        <v>38898</v>
      </c>
      <c r="G12490" s="2" t="str">
        <f>HYPERLINK("https://probpalata.gov.ru/files/ИП050500147200000.jpeg","Скачать индивидуальный QR-код магазина")</f>
        <v>Скачать индивидуальный QR-код магазина</v>
      </c>
    </row>
    <row r="12491" spans="1:7" x14ac:dyDescent="0.25">
      <c r="A12491" t="s">
        <v>38300</v>
      </c>
      <c r="B12491" t="s">
        <v>38316</v>
      </c>
      <c r="C12491" t="s">
        <v>38899</v>
      </c>
      <c r="D12491" t="s">
        <v>38900</v>
      </c>
      <c r="E12491" t="s">
        <v>38901</v>
      </c>
      <c r="F12491" t="s">
        <v>38902</v>
      </c>
      <c r="G12491" s="2" t="str">
        <f>HYPERLINK("https://probpalata.gov.ru/files/ИП050501660800000.jpeg","Скачать индивидуальный QR-код магазина")</f>
        <v>Скачать индивидуальный QR-код магазина</v>
      </c>
    </row>
    <row r="12492" spans="1:7" x14ac:dyDescent="0.25">
      <c r="A12492" t="s">
        <v>38300</v>
      </c>
      <c r="B12492" t="s">
        <v>38306</v>
      </c>
      <c r="C12492" t="s">
        <v>38903</v>
      </c>
      <c r="D12492" t="s">
        <v>38904</v>
      </c>
      <c r="E12492" t="s">
        <v>38905</v>
      </c>
      <c r="F12492" t="s">
        <v>38906</v>
      </c>
      <c r="G12492" s="2" t="str">
        <f>HYPERLINK("https://probpalata.gov.ru/files/ИП050501168700000.jpeg","Скачать индивидуальный QR-код магазина")</f>
        <v>Скачать индивидуальный QR-код магазина</v>
      </c>
    </row>
    <row r="12493" spans="1:7" x14ac:dyDescent="0.25">
      <c r="A12493" t="s">
        <v>38300</v>
      </c>
      <c r="B12493" t="s">
        <v>38907</v>
      </c>
      <c r="C12493" t="s">
        <v>38908</v>
      </c>
      <c r="D12493" t="s">
        <v>38909</v>
      </c>
      <c r="E12493" t="s">
        <v>38910</v>
      </c>
      <c r="F12493" t="s">
        <v>38911</v>
      </c>
      <c r="G12493" s="2" t="str">
        <f>HYPERLINK("https://probpalata.gov.ru/files/ИП050500984700000.jpeg","Скачать индивидуальный QR-код магазина")</f>
        <v>Скачать индивидуальный QR-код магазина</v>
      </c>
    </row>
    <row r="12494" spans="1:7" x14ac:dyDescent="0.25">
      <c r="A12494" t="s">
        <v>38300</v>
      </c>
      <c r="B12494" t="s">
        <v>38912</v>
      </c>
      <c r="C12494" t="s">
        <v>38913</v>
      </c>
      <c r="D12494" t="s">
        <v>38914</v>
      </c>
      <c r="E12494" t="s">
        <v>38915</v>
      </c>
      <c r="F12494" t="s">
        <v>38916</v>
      </c>
      <c r="G12494" s="2" t="str">
        <f>HYPERLINK("https://probpalata.gov.ru/files/ИП050503787600000.jpeg","Скачать индивидуальный QR-код магазина")</f>
        <v>Скачать индивидуальный QR-код магазина</v>
      </c>
    </row>
    <row r="12495" spans="1:7" x14ac:dyDescent="0.25">
      <c r="A12495" t="s">
        <v>38300</v>
      </c>
      <c r="B12495" t="s">
        <v>38306</v>
      </c>
      <c r="C12495" t="s">
        <v>38917</v>
      </c>
      <c r="D12495" t="s">
        <v>38918</v>
      </c>
      <c r="E12495" t="s">
        <v>38919</v>
      </c>
      <c r="F12495" t="s">
        <v>38920</v>
      </c>
      <c r="G12495" s="2" t="str">
        <f>HYPERLINK("https://probpalata.gov.ru/files/ИП050503792500000.jpeg","Скачать индивидуальный QR-код магазина")</f>
        <v>Скачать индивидуальный QR-код магазина</v>
      </c>
    </row>
    <row r="12496" spans="1:7" x14ac:dyDescent="0.25">
      <c r="A12496" t="s">
        <v>38300</v>
      </c>
      <c r="B12496" t="s">
        <v>38921</v>
      </c>
      <c r="C12496" t="s">
        <v>38922</v>
      </c>
      <c r="D12496" t="s">
        <v>38923</v>
      </c>
      <c r="E12496" t="s">
        <v>38924</v>
      </c>
      <c r="F12496" t="s">
        <v>38925</v>
      </c>
      <c r="G12496" s="2" t="str">
        <f>HYPERLINK("https://probpalata.gov.ru/files/ИП050501477500000.jpeg","Скачать индивидуальный QR-код магазина")</f>
        <v>Скачать индивидуальный QR-код магазина</v>
      </c>
    </row>
    <row r="12497" spans="1:7" x14ac:dyDescent="0.25">
      <c r="A12497" t="s">
        <v>38300</v>
      </c>
      <c r="B12497" t="s">
        <v>38926</v>
      </c>
      <c r="C12497" t="s">
        <v>38927</v>
      </c>
      <c r="D12497" t="s">
        <v>38928</v>
      </c>
      <c r="E12497" t="s">
        <v>38929</v>
      </c>
      <c r="F12497" t="s">
        <v>38930</v>
      </c>
      <c r="G12497" s="2" t="str">
        <f>HYPERLINK("https://probpalata.gov.ru/files/ИП050500855900000.jpeg","Скачать индивидуальный QR-код магазина")</f>
        <v>Скачать индивидуальный QR-код магазина</v>
      </c>
    </row>
    <row r="12498" spans="1:7" x14ac:dyDescent="0.25">
      <c r="A12498" t="s">
        <v>38300</v>
      </c>
      <c r="B12498" t="s">
        <v>38931</v>
      </c>
      <c r="C12498" t="s">
        <v>38927</v>
      </c>
      <c r="D12498" t="s">
        <v>38928</v>
      </c>
      <c r="E12498" t="s">
        <v>38929</v>
      </c>
      <c r="F12498" t="s">
        <v>38932</v>
      </c>
      <c r="G12498" s="2" t="str">
        <f>HYPERLINK("https://probpalata.gov.ru/files/ИП050500855900002.jpeg","Скачать индивидуальный QR-код магазина")</f>
        <v>Скачать индивидуальный QR-код магазина</v>
      </c>
    </row>
    <row r="12499" spans="1:7" x14ac:dyDescent="0.25">
      <c r="A12499" t="s">
        <v>38300</v>
      </c>
      <c r="B12499" t="s">
        <v>38306</v>
      </c>
      <c r="C12499" t="s">
        <v>38933</v>
      </c>
      <c r="D12499" t="s">
        <v>38934</v>
      </c>
      <c r="E12499" t="s">
        <v>38935</v>
      </c>
      <c r="F12499" t="s">
        <v>38936</v>
      </c>
      <c r="G12499" s="2" t="str">
        <f>HYPERLINK("https://probpalata.gov.ru/files/ИП050501573800000.jpeg","Скачать индивидуальный QR-код магазина")</f>
        <v>Скачать индивидуальный QR-код магазина</v>
      </c>
    </row>
    <row r="12500" spans="1:7" x14ac:dyDescent="0.25">
      <c r="A12500" t="s">
        <v>38300</v>
      </c>
      <c r="B12500" t="s">
        <v>38306</v>
      </c>
      <c r="C12500" t="s">
        <v>38937</v>
      </c>
      <c r="D12500" t="s">
        <v>38938</v>
      </c>
      <c r="E12500" t="s">
        <v>38939</v>
      </c>
      <c r="F12500" t="s">
        <v>38940</v>
      </c>
      <c r="G12500" s="2" t="str">
        <f>HYPERLINK("https://probpalata.gov.ru/files/ИП050503358200000.jpeg","Скачать индивидуальный QR-код магазина")</f>
        <v>Скачать индивидуальный QR-код магазина</v>
      </c>
    </row>
    <row r="12501" spans="1:7" x14ac:dyDescent="0.25">
      <c r="A12501" t="s">
        <v>38300</v>
      </c>
      <c r="B12501" t="s">
        <v>38941</v>
      </c>
      <c r="C12501" t="s">
        <v>38942</v>
      </c>
      <c r="D12501" t="s">
        <v>38943</v>
      </c>
      <c r="E12501" t="s">
        <v>38944</v>
      </c>
      <c r="F12501" t="s">
        <v>38945</v>
      </c>
      <c r="G12501" s="2" t="str">
        <f>HYPERLINK("https://probpalata.gov.ru/files/ИП050503731400000.jpeg","Скачать индивидуальный QR-код магазина")</f>
        <v>Скачать индивидуальный QR-код магазина</v>
      </c>
    </row>
    <row r="12502" spans="1:7" x14ac:dyDescent="0.25">
      <c r="A12502" t="s">
        <v>38300</v>
      </c>
      <c r="B12502" t="s">
        <v>38306</v>
      </c>
      <c r="C12502" t="s">
        <v>38946</v>
      </c>
      <c r="D12502" t="s">
        <v>38947</v>
      </c>
      <c r="E12502" t="s">
        <v>38948</v>
      </c>
      <c r="F12502" t="s">
        <v>38949</v>
      </c>
      <c r="G12502" s="2" t="str">
        <f>HYPERLINK("https://probpalata.gov.ru/files/ИП050503834500000.jpeg","Скачать индивидуальный QR-код магазина")</f>
        <v>Скачать индивидуальный QR-код магазина</v>
      </c>
    </row>
    <row r="12503" spans="1:7" x14ac:dyDescent="0.25">
      <c r="A12503" t="s">
        <v>38300</v>
      </c>
      <c r="B12503" t="s">
        <v>38306</v>
      </c>
      <c r="C12503" t="s">
        <v>38950</v>
      </c>
      <c r="D12503" t="s">
        <v>38951</v>
      </c>
      <c r="E12503" t="s">
        <v>38952</v>
      </c>
      <c r="F12503" t="s">
        <v>38953</v>
      </c>
      <c r="G12503" s="2" t="str">
        <f>HYPERLINK("https://probpalata.gov.ru/files/ИП050503076600000.jpeg","Скачать индивидуальный QR-код магазина")</f>
        <v>Скачать индивидуальный QR-код магазина</v>
      </c>
    </row>
    <row r="12504" spans="1:7" x14ac:dyDescent="0.25">
      <c r="A12504" t="s">
        <v>38300</v>
      </c>
      <c r="B12504" t="s">
        <v>38954</v>
      </c>
      <c r="C12504" t="s">
        <v>38955</v>
      </c>
      <c r="D12504" t="s">
        <v>38956</v>
      </c>
      <c r="E12504" t="s">
        <v>38957</v>
      </c>
      <c r="F12504" t="s">
        <v>38958</v>
      </c>
      <c r="G12504" s="2" t="str">
        <f>HYPERLINK("https://probpalata.gov.ru/files/ИП050503969200000.jpeg","Скачать индивидуальный QR-код магазина")</f>
        <v>Скачать индивидуальный QR-код магазина</v>
      </c>
    </row>
    <row r="12505" spans="1:7" x14ac:dyDescent="0.25">
      <c r="A12505" t="s">
        <v>38300</v>
      </c>
      <c r="B12505" t="s">
        <v>38959</v>
      </c>
      <c r="C12505" t="s">
        <v>38960</v>
      </c>
      <c r="D12505" t="s">
        <v>38961</v>
      </c>
      <c r="E12505" t="s">
        <v>38962</v>
      </c>
      <c r="F12505" t="s">
        <v>38963</v>
      </c>
      <c r="G12505" s="2" t="str">
        <f>HYPERLINK("https://probpalata.gov.ru/files/ИП050503739800000.jpeg","Скачать индивидуальный QR-код магазина")</f>
        <v>Скачать индивидуальный QR-код магазина</v>
      </c>
    </row>
    <row r="12506" spans="1:7" x14ac:dyDescent="0.25">
      <c r="A12506" t="s">
        <v>38300</v>
      </c>
      <c r="B12506" t="s">
        <v>38964</v>
      </c>
      <c r="C12506" t="s">
        <v>38965</v>
      </c>
      <c r="D12506" t="s">
        <v>38966</v>
      </c>
      <c r="E12506" t="s">
        <v>38967</v>
      </c>
      <c r="F12506" t="s">
        <v>38968</v>
      </c>
      <c r="G12506" s="2" t="str">
        <f>HYPERLINK("https://probpalata.gov.ru/files/ИП050503543500000.jpeg","Скачать индивидуальный QR-код магазина")</f>
        <v>Скачать индивидуальный QR-код магазина</v>
      </c>
    </row>
    <row r="12507" spans="1:7" x14ac:dyDescent="0.25">
      <c r="A12507" t="s">
        <v>38300</v>
      </c>
      <c r="B12507" t="s">
        <v>38969</v>
      </c>
      <c r="C12507" t="s">
        <v>38965</v>
      </c>
      <c r="D12507" t="s">
        <v>38966</v>
      </c>
      <c r="E12507" t="s">
        <v>38967</v>
      </c>
      <c r="F12507" t="s">
        <v>38970</v>
      </c>
      <c r="G12507" s="2" t="str">
        <f>HYPERLINK("https://probpalata.gov.ru/files/ИП050503543500002.jpeg","Скачать индивидуальный QR-код магазина")</f>
        <v>Скачать индивидуальный QR-код магазина</v>
      </c>
    </row>
    <row r="12508" spans="1:7" x14ac:dyDescent="0.25">
      <c r="A12508" t="s">
        <v>38300</v>
      </c>
      <c r="B12508" t="s">
        <v>38971</v>
      </c>
      <c r="C12508" t="s">
        <v>38972</v>
      </c>
      <c r="D12508" t="s">
        <v>38973</v>
      </c>
      <c r="E12508" t="s">
        <v>38974</v>
      </c>
      <c r="F12508" t="s">
        <v>38975</v>
      </c>
      <c r="G12508" s="2" t="str">
        <f>HYPERLINK("https://probpalata.gov.ru/files/ИП050500317400000.jpeg","Скачать индивидуальный QR-код магазина")</f>
        <v>Скачать индивидуальный QR-код магазина</v>
      </c>
    </row>
    <row r="12509" spans="1:7" x14ac:dyDescent="0.25">
      <c r="A12509" t="s">
        <v>38300</v>
      </c>
      <c r="B12509" t="s">
        <v>38306</v>
      </c>
      <c r="C12509" t="s">
        <v>38976</v>
      </c>
      <c r="D12509" t="s">
        <v>38977</v>
      </c>
      <c r="E12509" t="s">
        <v>38978</v>
      </c>
      <c r="F12509" t="s">
        <v>38979</v>
      </c>
      <c r="G12509" s="2" t="str">
        <f>HYPERLINK("https://probpalata.gov.ru/files/ЮЛ050503358100001.jpeg","Скачать индивидуальный QR-код магазина")</f>
        <v>Скачать индивидуальный QR-код магазина</v>
      </c>
    </row>
    <row r="12510" spans="1:7" x14ac:dyDescent="0.25">
      <c r="A12510" t="s">
        <v>38300</v>
      </c>
      <c r="B12510" t="s">
        <v>38306</v>
      </c>
      <c r="C12510" t="s">
        <v>38980</v>
      </c>
      <c r="D12510" t="s">
        <v>38981</v>
      </c>
      <c r="E12510" t="s">
        <v>38982</v>
      </c>
      <c r="F12510" t="s">
        <v>38983</v>
      </c>
      <c r="G12510" s="2" t="str">
        <f>HYPERLINK("https://probpalata.gov.ru/files/ИП050503698000000.jpeg","Скачать индивидуальный QR-код магазина")</f>
        <v>Скачать индивидуальный QR-код магазина</v>
      </c>
    </row>
    <row r="12511" spans="1:7" x14ac:dyDescent="0.25">
      <c r="A12511" t="s">
        <v>38300</v>
      </c>
      <c r="B12511" t="s">
        <v>38306</v>
      </c>
      <c r="C12511" t="s">
        <v>38984</v>
      </c>
      <c r="D12511" t="s">
        <v>38985</v>
      </c>
      <c r="E12511" t="s">
        <v>38986</v>
      </c>
      <c r="F12511" t="s">
        <v>38987</v>
      </c>
      <c r="G12511" s="2" t="str">
        <f>HYPERLINK("https://probpalata.gov.ru/files/ИП050503465100000.jpeg","Скачать индивидуальный QR-код магазина")</f>
        <v>Скачать индивидуальный QR-код магазина</v>
      </c>
    </row>
    <row r="12512" spans="1:7" x14ac:dyDescent="0.25">
      <c r="A12512" t="s">
        <v>38300</v>
      </c>
      <c r="B12512" t="s">
        <v>38988</v>
      </c>
      <c r="C12512" t="s">
        <v>38989</v>
      </c>
      <c r="D12512" t="s">
        <v>38990</v>
      </c>
      <c r="E12512" t="s">
        <v>38991</v>
      </c>
      <c r="F12512" t="s">
        <v>38992</v>
      </c>
      <c r="G12512" s="2" t="str">
        <f>HYPERLINK("https://probpalata.gov.ru/files/ИП050503940500000.jpeg","Скачать индивидуальный QR-код магазина")</f>
        <v>Скачать индивидуальный QR-код магазина</v>
      </c>
    </row>
    <row r="12513" spans="1:7" x14ac:dyDescent="0.25">
      <c r="A12513" t="s">
        <v>38300</v>
      </c>
      <c r="B12513" t="s">
        <v>38993</v>
      </c>
      <c r="C12513" t="s">
        <v>38994</v>
      </c>
      <c r="D12513" t="s">
        <v>38995</v>
      </c>
      <c r="E12513" t="s">
        <v>38996</v>
      </c>
      <c r="F12513" t="s">
        <v>38997</v>
      </c>
      <c r="G12513" s="2" t="str">
        <f>HYPERLINK("https://probpalata.gov.ru/files/ИП050503674800000.jpeg","Скачать индивидуальный QR-код магазина")</f>
        <v>Скачать индивидуальный QR-код магазина</v>
      </c>
    </row>
    <row r="12514" spans="1:7" x14ac:dyDescent="0.25">
      <c r="A12514" t="s">
        <v>38300</v>
      </c>
      <c r="B12514" t="s">
        <v>38998</v>
      </c>
      <c r="C12514" t="s">
        <v>38999</v>
      </c>
      <c r="D12514" t="s">
        <v>39000</v>
      </c>
      <c r="E12514" t="s">
        <v>39001</v>
      </c>
      <c r="F12514" t="s">
        <v>39002</v>
      </c>
      <c r="G12514" s="2" t="str">
        <f>HYPERLINK("https://probpalata.gov.ru/files/ИП050500125800000.jpeg","Скачать индивидуальный QR-код магазина")</f>
        <v>Скачать индивидуальный QR-код магазина</v>
      </c>
    </row>
    <row r="12515" spans="1:7" x14ac:dyDescent="0.25">
      <c r="A12515" t="s">
        <v>38300</v>
      </c>
      <c r="B12515" t="s">
        <v>38316</v>
      </c>
      <c r="C12515" t="s">
        <v>39003</v>
      </c>
      <c r="D12515" t="s">
        <v>39004</v>
      </c>
      <c r="E12515" t="s">
        <v>39005</v>
      </c>
      <c r="F12515" t="s">
        <v>39006</v>
      </c>
      <c r="G12515" s="2" t="str">
        <f>HYPERLINK("https://probpalata.gov.ru/files/ИП050503534100000.jpeg","Скачать индивидуальный QR-код магазина")</f>
        <v>Скачать индивидуальный QR-код магазина</v>
      </c>
    </row>
    <row r="12516" spans="1:7" x14ac:dyDescent="0.25">
      <c r="A12516" t="s">
        <v>38300</v>
      </c>
      <c r="B12516" t="s">
        <v>39007</v>
      </c>
      <c r="C12516" t="s">
        <v>39008</v>
      </c>
      <c r="D12516" t="s">
        <v>39009</v>
      </c>
      <c r="E12516" t="s">
        <v>39010</v>
      </c>
      <c r="F12516" t="s">
        <v>39011</v>
      </c>
      <c r="G12516" s="2" t="str">
        <f>HYPERLINK("https://probpalata.gov.ru/files/ИП050500077400000.jpeg","Скачать индивидуальный QR-код магазина")</f>
        <v>Скачать индивидуальный QR-код магазина</v>
      </c>
    </row>
    <row r="12517" spans="1:7" x14ac:dyDescent="0.25">
      <c r="A12517" t="s">
        <v>38300</v>
      </c>
      <c r="B12517" t="s">
        <v>39012</v>
      </c>
      <c r="C12517" t="s">
        <v>39013</v>
      </c>
      <c r="D12517" t="s">
        <v>39014</v>
      </c>
      <c r="E12517" t="s">
        <v>39015</v>
      </c>
      <c r="F12517" t="s">
        <v>39016</v>
      </c>
      <c r="G12517" s="2" t="str">
        <f>HYPERLINK("https://probpalata.gov.ru/files/ИП050500636600000.jpeg","Скачать индивидуальный QR-код магазина")</f>
        <v>Скачать индивидуальный QR-код магазина</v>
      </c>
    </row>
    <row r="12518" spans="1:7" x14ac:dyDescent="0.25">
      <c r="A12518" t="s">
        <v>38300</v>
      </c>
      <c r="B12518" t="s">
        <v>38306</v>
      </c>
      <c r="C12518" t="s">
        <v>39017</v>
      </c>
      <c r="D12518" t="s">
        <v>39018</v>
      </c>
      <c r="E12518" t="s">
        <v>39019</v>
      </c>
      <c r="F12518" t="s">
        <v>39020</v>
      </c>
      <c r="G12518" s="2" t="str">
        <f>HYPERLINK("https://probpalata.gov.ru/files/ИП050500309700000.jpeg","Скачать индивидуальный QR-код магазина")</f>
        <v>Скачать индивидуальный QR-код магазина</v>
      </c>
    </row>
    <row r="12519" spans="1:7" x14ac:dyDescent="0.25">
      <c r="A12519" t="s">
        <v>38300</v>
      </c>
      <c r="B12519" t="s">
        <v>39021</v>
      </c>
      <c r="C12519" t="s">
        <v>39022</v>
      </c>
      <c r="D12519" t="s">
        <v>39023</v>
      </c>
      <c r="E12519" t="s">
        <v>39024</v>
      </c>
      <c r="F12519" t="s">
        <v>39025</v>
      </c>
      <c r="G12519" s="2" t="str">
        <f>HYPERLINK("https://probpalata.gov.ru/files/ИП200503621500000.jpeg","Скачать индивидуальный QR-код магазина")</f>
        <v>Скачать индивидуальный QR-код магазина</v>
      </c>
    </row>
    <row r="12520" spans="1:7" x14ac:dyDescent="0.25">
      <c r="A12520" t="s">
        <v>38300</v>
      </c>
      <c r="B12520" t="s">
        <v>39026</v>
      </c>
      <c r="C12520" t="s">
        <v>39027</v>
      </c>
      <c r="D12520" t="s">
        <v>39028</v>
      </c>
      <c r="E12520" t="s">
        <v>39029</v>
      </c>
      <c r="F12520" t="s">
        <v>39030</v>
      </c>
      <c r="G12520" s="2" t="str">
        <f>HYPERLINK("https://probpalata.gov.ru/files/ЮЛ230403420000000.jpeg","Скачать индивидуальный QR-код магазина")</f>
        <v>Скачать индивидуальный QR-код магазина</v>
      </c>
    </row>
    <row r="12521" spans="1:7" x14ac:dyDescent="0.25">
      <c r="A12521" t="s">
        <v>38300</v>
      </c>
      <c r="B12521" t="s">
        <v>39031</v>
      </c>
      <c r="C12521" t="s">
        <v>39032</v>
      </c>
      <c r="D12521" t="s">
        <v>39033</v>
      </c>
      <c r="E12521" t="s">
        <v>39034</v>
      </c>
      <c r="F12521" t="s">
        <v>39035</v>
      </c>
      <c r="G12521" s="2" t="str">
        <f>HYPERLINK("https://probpalata.gov.ru/files/ИП500103294700001.jpeg","Скачать индивидуальный QR-код магазина")</f>
        <v>Скачать индивидуальный QR-код магазина</v>
      </c>
    </row>
    <row r="12522" spans="1:7" x14ac:dyDescent="0.25">
      <c r="A12522" t="s">
        <v>38300</v>
      </c>
      <c r="B12522" t="s">
        <v>39036</v>
      </c>
      <c r="C12522" t="s">
        <v>39032</v>
      </c>
      <c r="D12522" t="s">
        <v>39033</v>
      </c>
      <c r="E12522" t="s">
        <v>39034</v>
      </c>
      <c r="F12522" t="s">
        <v>39037</v>
      </c>
      <c r="G12522" s="2" t="str">
        <f>HYPERLINK("https://probpalata.gov.ru/files/ИП500103294700002.jpeg","Скачать индивидуальный QR-код магазина")</f>
        <v>Скачать индивидуальный QR-код магазина</v>
      </c>
    </row>
    <row r="12523" spans="1:7" x14ac:dyDescent="0.25">
      <c r="A12523" t="s">
        <v>38300</v>
      </c>
      <c r="B12523" t="s">
        <v>39038</v>
      </c>
      <c r="C12523" t="s">
        <v>39039</v>
      </c>
      <c r="D12523" t="s">
        <v>39040</v>
      </c>
      <c r="E12523" t="s">
        <v>39041</v>
      </c>
      <c r="F12523" t="s">
        <v>39042</v>
      </c>
      <c r="G12523" s="2" t="str">
        <f>HYPERLINK("https://probpalata.gov.ru/files/ИП050500769600000.jpeg","Скачать индивидуальный QR-код магазина")</f>
        <v>Скачать индивидуальный QR-код магазина</v>
      </c>
    </row>
    <row r="12524" spans="1:7" x14ac:dyDescent="0.25">
      <c r="A12524" t="s">
        <v>38300</v>
      </c>
      <c r="B12524" t="s">
        <v>39043</v>
      </c>
      <c r="C12524" t="s">
        <v>31171</v>
      </c>
      <c r="D12524" t="s">
        <v>31172</v>
      </c>
      <c r="E12524" t="s">
        <v>31173</v>
      </c>
      <c r="F12524" t="s">
        <v>39044</v>
      </c>
      <c r="G12524" s="2" t="str">
        <f>HYPERLINK("https://probpalata.gov.ru/files/ИП520601627100003.jpeg","Скачать индивидуальный QR-код магазина")</f>
        <v>Скачать индивидуальный QR-код магазина</v>
      </c>
    </row>
    <row r="12525" spans="1:7" x14ac:dyDescent="0.25">
      <c r="A12525" t="s">
        <v>38300</v>
      </c>
      <c r="B12525" t="s">
        <v>38306</v>
      </c>
      <c r="C12525" t="s">
        <v>39045</v>
      </c>
      <c r="D12525" t="s">
        <v>39046</v>
      </c>
      <c r="E12525" t="s">
        <v>39047</v>
      </c>
      <c r="F12525" t="s">
        <v>39048</v>
      </c>
      <c r="G12525" s="2" t="str">
        <f>HYPERLINK("https://probpalata.gov.ru/files/ИП050503715400000.jpeg","Скачать индивидуальный QR-код магазина")</f>
        <v>Скачать индивидуальный QR-код магазина</v>
      </c>
    </row>
    <row r="12526" spans="1:7" x14ac:dyDescent="0.25">
      <c r="A12526" t="s">
        <v>38300</v>
      </c>
      <c r="B12526" t="s">
        <v>39049</v>
      </c>
      <c r="C12526" t="s">
        <v>713</v>
      </c>
      <c r="D12526" t="s">
        <v>714</v>
      </c>
      <c r="E12526" t="s">
        <v>715</v>
      </c>
      <c r="F12526" t="s">
        <v>39050</v>
      </c>
      <c r="G12526" s="2" t="str">
        <f>HYPERLINK("https://probpalata.gov.ru/files/ЮЛ770101216600748.jpeg","Скачать индивидуальный QR-код магазина")</f>
        <v>Скачать индивидуальный QR-код магазина</v>
      </c>
    </row>
    <row r="12527" spans="1:7" x14ac:dyDescent="0.25">
      <c r="A12527" t="s">
        <v>38300</v>
      </c>
      <c r="B12527" t="s">
        <v>39051</v>
      </c>
      <c r="C12527" t="s">
        <v>713</v>
      </c>
      <c r="D12527" t="s">
        <v>714</v>
      </c>
      <c r="E12527" t="s">
        <v>715</v>
      </c>
      <c r="F12527" t="s">
        <v>39052</v>
      </c>
      <c r="G12527" s="2" t="str">
        <f>HYPERLINK("https://probpalata.gov.ru/files/ЮЛ770101216600841.jpeg","Скачать индивидуальный QR-код магазина")</f>
        <v>Скачать индивидуальный QR-код магазина</v>
      </c>
    </row>
    <row r="12528" spans="1:7" x14ac:dyDescent="0.25">
      <c r="A12528" t="s">
        <v>38300</v>
      </c>
      <c r="B12528" t="s">
        <v>39053</v>
      </c>
      <c r="C12528" t="s">
        <v>713</v>
      </c>
      <c r="D12528" t="s">
        <v>714</v>
      </c>
      <c r="E12528" t="s">
        <v>715</v>
      </c>
      <c r="F12528" t="s">
        <v>39054</v>
      </c>
      <c r="G12528" s="2" t="str">
        <f>HYPERLINK("https://probpalata.gov.ru/files/ЮЛ770101216600867.jpeg","Скачать индивидуальный QR-код магазина")</f>
        <v>Скачать индивидуальный QR-код магазина</v>
      </c>
    </row>
    <row r="12529" spans="1:7" x14ac:dyDescent="0.25">
      <c r="A12529" t="s">
        <v>38300</v>
      </c>
      <c r="B12529" t="s">
        <v>39055</v>
      </c>
      <c r="C12529" t="s">
        <v>748</v>
      </c>
      <c r="D12529" t="s">
        <v>749</v>
      </c>
      <c r="E12529" t="s">
        <v>750</v>
      </c>
      <c r="F12529" t="s">
        <v>39056</v>
      </c>
      <c r="G12529" s="2" t="str">
        <f>HYPERLINK("https://probpalata.gov.ru/files/ЮЛ770100193500048.jpeg","Скачать индивидуальный QR-код магазина")</f>
        <v>Скачать индивидуальный QR-код магазина</v>
      </c>
    </row>
    <row r="12530" spans="1:7" x14ac:dyDescent="0.25">
      <c r="A12530" t="s">
        <v>38300</v>
      </c>
      <c r="B12530" t="s">
        <v>39057</v>
      </c>
      <c r="C12530" t="s">
        <v>748</v>
      </c>
      <c r="D12530" t="s">
        <v>749</v>
      </c>
      <c r="E12530" t="s">
        <v>750</v>
      </c>
      <c r="F12530" t="s">
        <v>39058</v>
      </c>
      <c r="G12530" s="2" t="str">
        <f>HYPERLINK("https://probpalata.gov.ru/files/ЮЛ770100193500602.jpeg","Скачать индивидуальный QR-код магазина")</f>
        <v>Скачать индивидуальный QR-код магазина</v>
      </c>
    </row>
    <row r="12531" spans="1:7" x14ac:dyDescent="0.25">
      <c r="A12531" t="s">
        <v>38300</v>
      </c>
      <c r="B12531" t="s">
        <v>39059</v>
      </c>
      <c r="C12531" t="s">
        <v>748</v>
      </c>
      <c r="D12531" t="s">
        <v>749</v>
      </c>
      <c r="E12531" t="s">
        <v>750</v>
      </c>
      <c r="F12531" t="s">
        <v>39060</v>
      </c>
      <c r="G12531" s="2" t="str">
        <f>HYPERLINK("https://probpalata.gov.ru/files/ЮЛ770100193500673.jpeg","Скачать индивидуальный QR-код магазина")</f>
        <v>Скачать индивидуальный QR-код магазина</v>
      </c>
    </row>
    <row r="12532" spans="1:7" x14ac:dyDescent="0.25">
      <c r="A12532" t="s">
        <v>38300</v>
      </c>
      <c r="B12532" t="s">
        <v>39061</v>
      </c>
      <c r="C12532" t="s">
        <v>773</v>
      </c>
      <c r="D12532" t="s">
        <v>774</v>
      </c>
      <c r="E12532" t="s">
        <v>775</v>
      </c>
      <c r="F12532" t="s">
        <v>39062</v>
      </c>
      <c r="G12532" s="2" t="str">
        <f>HYPERLINK("https://probpalata.gov.ru/files/ЮЛ780300131300192.jpeg","Скачать индивидуальный QR-код магазина")</f>
        <v>Скачать индивидуальный QR-код магазина</v>
      </c>
    </row>
    <row r="12533" spans="1:7" x14ac:dyDescent="0.25">
      <c r="A12533" t="s">
        <v>38300</v>
      </c>
      <c r="B12533" t="s">
        <v>39063</v>
      </c>
      <c r="C12533" t="s">
        <v>773</v>
      </c>
      <c r="D12533" t="s">
        <v>774</v>
      </c>
      <c r="E12533" t="s">
        <v>775</v>
      </c>
      <c r="F12533" t="s">
        <v>39064</v>
      </c>
      <c r="G12533" s="2" t="str">
        <f>HYPERLINK("https://probpalata.gov.ru/files/ЮЛ780300131300193.jpeg","Скачать индивидуальный QR-код магазина")</f>
        <v>Скачать индивидуальный QR-код магазина</v>
      </c>
    </row>
    <row r="12534" spans="1:7" x14ac:dyDescent="0.25">
      <c r="A12534" t="s">
        <v>38300</v>
      </c>
      <c r="B12534" t="s">
        <v>39065</v>
      </c>
      <c r="C12534" t="s">
        <v>773</v>
      </c>
      <c r="D12534" t="s">
        <v>774</v>
      </c>
      <c r="E12534" t="s">
        <v>775</v>
      </c>
      <c r="F12534" t="s">
        <v>39066</v>
      </c>
      <c r="G12534" s="2" t="str">
        <f>HYPERLINK("https://probpalata.gov.ru/files/ЮЛ780300131300555.jpeg","Скачать индивидуальный QR-код магазина")</f>
        <v>Скачать индивидуальный QR-код магазина</v>
      </c>
    </row>
    <row r="12535" spans="1:7" x14ac:dyDescent="0.25">
      <c r="A12535" t="s">
        <v>38300</v>
      </c>
      <c r="B12535" t="s">
        <v>39067</v>
      </c>
      <c r="C12535" t="s">
        <v>773</v>
      </c>
      <c r="D12535" t="s">
        <v>774</v>
      </c>
      <c r="E12535" t="s">
        <v>775</v>
      </c>
      <c r="F12535" t="s">
        <v>39068</v>
      </c>
      <c r="G12535" s="2" t="str">
        <f>HYPERLINK("https://probpalata.gov.ru/files/ЮЛ780300131300556.jpeg","Скачать индивидуальный QR-код магазина")</f>
        <v>Скачать индивидуальный QR-код магазина</v>
      </c>
    </row>
    <row r="12536" spans="1:7" x14ac:dyDescent="0.25">
      <c r="A12536" t="s">
        <v>38300</v>
      </c>
      <c r="B12536" t="s">
        <v>39069</v>
      </c>
      <c r="C12536" t="s">
        <v>773</v>
      </c>
      <c r="D12536" t="s">
        <v>774</v>
      </c>
      <c r="E12536" t="s">
        <v>775</v>
      </c>
      <c r="F12536" t="s">
        <v>39070</v>
      </c>
      <c r="G12536" s="2" t="str">
        <f>HYPERLINK("https://probpalata.gov.ru/files/ЮЛ780300131300595.jpeg","Скачать индивидуальный QR-код магазина")</f>
        <v>Скачать индивидуальный QR-код магазина</v>
      </c>
    </row>
    <row r="12537" spans="1:7" x14ac:dyDescent="0.25">
      <c r="A12537" t="s">
        <v>38300</v>
      </c>
      <c r="B12537" t="s">
        <v>39071</v>
      </c>
      <c r="C12537" t="s">
        <v>787</v>
      </c>
      <c r="D12537" t="s">
        <v>788</v>
      </c>
      <c r="E12537" t="s">
        <v>789</v>
      </c>
      <c r="F12537" t="s">
        <v>39072</v>
      </c>
      <c r="G12537" s="2" t="str">
        <f>HYPERLINK("https://probpalata.gov.ru/files/ЮЛ780300328000207.jpeg","Скачать индивидуальный QR-код магазина")</f>
        <v>Скачать индивидуальный QR-код магазина</v>
      </c>
    </row>
    <row r="12538" spans="1:7" x14ac:dyDescent="0.25">
      <c r="A12538" t="s">
        <v>38300</v>
      </c>
      <c r="B12538" t="s">
        <v>39073</v>
      </c>
      <c r="C12538" t="s">
        <v>787</v>
      </c>
      <c r="D12538" t="s">
        <v>788</v>
      </c>
      <c r="E12538" t="s">
        <v>789</v>
      </c>
      <c r="F12538" t="s">
        <v>39074</v>
      </c>
      <c r="G12538" s="2" t="str">
        <f>HYPERLINK("https://probpalata.gov.ru/files/ЮЛ780300328000216.jpeg","Скачать индивидуальный QR-код магазина")</f>
        <v>Скачать индивидуальный QR-код магазина</v>
      </c>
    </row>
    <row r="12539" spans="1:7" x14ac:dyDescent="0.25">
      <c r="A12539" t="s">
        <v>38300</v>
      </c>
      <c r="B12539" t="s">
        <v>39067</v>
      </c>
      <c r="C12539" t="s">
        <v>4077</v>
      </c>
      <c r="D12539" t="s">
        <v>4078</v>
      </c>
      <c r="E12539" t="s">
        <v>4079</v>
      </c>
      <c r="F12539" t="s">
        <v>39075</v>
      </c>
      <c r="G12539" s="2" t="str">
        <f>HYPERLINK("https://probpalata.gov.ru/files/ЮЛ780300331800016.jpeg","Скачать индивидуальный QR-код магазина")</f>
        <v>Скачать индивидуальный QR-код магазина</v>
      </c>
    </row>
    <row r="12540" spans="1:7" x14ac:dyDescent="0.25">
      <c r="A12540" t="s">
        <v>38300</v>
      </c>
      <c r="B12540" t="s">
        <v>39065</v>
      </c>
      <c r="C12540" t="s">
        <v>4077</v>
      </c>
      <c r="D12540" t="s">
        <v>4078</v>
      </c>
      <c r="E12540" t="s">
        <v>4079</v>
      </c>
      <c r="F12540" t="s">
        <v>39076</v>
      </c>
      <c r="G12540" s="2" t="str">
        <f>HYPERLINK("https://probpalata.gov.ru/files/ЮЛ780300331800025.jpeg","Скачать индивидуальный QR-код магазина")</f>
        <v>Скачать индивидуальный QR-код магазина</v>
      </c>
    </row>
    <row r="12541" spans="1:7" x14ac:dyDescent="0.25">
      <c r="A12541" t="s">
        <v>38300</v>
      </c>
      <c r="B12541" t="s">
        <v>39077</v>
      </c>
      <c r="C12541" t="s">
        <v>4077</v>
      </c>
      <c r="D12541" t="s">
        <v>4078</v>
      </c>
      <c r="E12541" t="s">
        <v>4079</v>
      </c>
      <c r="F12541" t="s">
        <v>39078</v>
      </c>
      <c r="G12541" s="2" t="str">
        <f>HYPERLINK("https://probpalata.gov.ru/files/ЮЛ780300331800124.jpeg","Скачать индивидуальный QR-код магазина")</f>
        <v>Скачать индивидуальный QR-код магазина</v>
      </c>
    </row>
    <row r="12542" spans="1:7" x14ac:dyDescent="0.25">
      <c r="A12542" t="s">
        <v>38300</v>
      </c>
      <c r="B12542" t="s">
        <v>39079</v>
      </c>
      <c r="C12542" t="s">
        <v>798</v>
      </c>
      <c r="D12542" t="s">
        <v>799</v>
      </c>
      <c r="E12542" t="s">
        <v>800</v>
      </c>
      <c r="F12542" t="s">
        <v>39080</v>
      </c>
      <c r="G12542" s="2" t="str">
        <f>HYPERLINK("https://probpalata.gov.ru/files/ЮЛ780300308200101.jpeg","Скачать индивидуальный QR-код магазина")</f>
        <v>Скачать индивидуальный QR-код магазина</v>
      </c>
    </row>
    <row r="12543" spans="1:7" x14ac:dyDescent="0.25">
      <c r="A12543" t="s">
        <v>38300</v>
      </c>
      <c r="B12543" t="s">
        <v>39081</v>
      </c>
      <c r="C12543" t="s">
        <v>798</v>
      </c>
      <c r="D12543" t="s">
        <v>799</v>
      </c>
      <c r="E12543" t="s">
        <v>800</v>
      </c>
      <c r="F12543" t="s">
        <v>39082</v>
      </c>
      <c r="G12543" s="2" t="str">
        <f>HYPERLINK("https://probpalata.gov.ru/files/ЮЛ780300308200123.jpeg","Скачать индивидуальный QR-код магазина")</f>
        <v>Скачать индивидуальный QR-код магазина</v>
      </c>
    </row>
    <row r="12544" spans="1:7" x14ac:dyDescent="0.25">
      <c r="A12544" t="s">
        <v>38300</v>
      </c>
      <c r="B12544" t="s">
        <v>39083</v>
      </c>
      <c r="C12544" t="s">
        <v>798</v>
      </c>
      <c r="D12544" t="s">
        <v>799</v>
      </c>
      <c r="E12544" t="s">
        <v>800</v>
      </c>
      <c r="F12544" t="s">
        <v>39084</v>
      </c>
      <c r="G12544" s="2" t="str">
        <f>HYPERLINK("https://probpalata.gov.ru/files/ЮЛ780300308200440.jpeg","Скачать индивидуальный QR-код магазина")</f>
        <v>Скачать индивидуальный QR-код магазина</v>
      </c>
    </row>
    <row r="12545" spans="1:7" x14ac:dyDescent="0.25">
      <c r="A12545" t="s">
        <v>38300</v>
      </c>
      <c r="B12545" t="s">
        <v>39085</v>
      </c>
      <c r="C12545" t="s">
        <v>798</v>
      </c>
      <c r="D12545" t="s">
        <v>799</v>
      </c>
      <c r="E12545" t="s">
        <v>800</v>
      </c>
      <c r="F12545" t="s">
        <v>39086</v>
      </c>
      <c r="G12545" s="2" t="str">
        <f>HYPERLINK("https://probpalata.gov.ru/files/ЮЛ780300308200443.jpeg","Скачать индивидуальный QR-код магазина")</f>
        <v>Скачать индивидуальный QR-код магазина</v>
      </c>
    </row>
    <row r="12546" spans="1:7" x14ac:dyDescent="0.25">
      <c r="A12546" t="s">
        <v>38300</v>
      </c>
      <c r="B12546" t="s">
        <v>39087</v>
      </c>
      <c r="C12546" t="s">
        <v>798</v>
      </c>
      <c r="D12546" t="s">
        <v>799</v>
      </c>
      <c r="E12546" t="s">
        <v>800</v>
      </c>
      <c r="F12546" t="s">
        <v>39088</v>
      </c>
      <c r="G12546" s="2" t="str">
        <f>HYPERLINK("https://probpalata.gov.ru/files/ЮЛ780300308200634.jpeg","Скачать индивидуальный QR-код магазина")</f>
        <v>Скачать индивидуальный QR-код магазина</v>
      </c>
    </row>
    <row r="12547" spans="1:7" x14ac:dyDescent="0.25">
      <c r="A12547" t="s">
        <v>38300</v>
      </c>
      <c r="B12547" t="s">
        <v>39089</v>
      </c>
      <c r="C12547" t="s">
        <v>798</v>
      </c>
      <c r="D12547" t="s">
        <v>799</v>
      </c>
      <c r="E12547" t="s">
        <v>800</v>
      </c>
      <c r="F12547" t="s">
        <v>39090</v>
      </c>
      <c r="G12547" s="2" t="str">
        <f>HYPERLINK("https://probpalata.gov.ru/files/ЮЛ780300308200842.jpeg","Скачать индивидуальный QR-код магазина")</f>
        <v>Скачать индивидуальный QR-код магазина</v>
      </c>
    </row>
    <row r="12548" spans="1:7" x14ac:dyDescent="0.25">
      <c r="A12548" t="s">
        <v>38300</v>
      </c>
      <c r="B12548" t="s">
        <v>39091</v>
      </c>
      <c r="C12548" t="s">
        <v>798</v>
      </c>
      <c r="D12548" t="s">
        <v>799</v>
      </c>
      <c r="E12548" t="s">
        <v>800</v>
      </c>
      <c r="F12548" t="s">
        <v>39092</v>
      </c>
      <c r="G12548" s="2" t="str">
        <f>HYPERLINK("https://probpalata.gov.ru/files/ЮЛ780300308200862.jpeg","Скачать индивидуальный QR-код магазина")</f>
        <v>Скачать индивидуальный QR-код магазина</v>
      </c>
    </row>
    <row r="12549" spans="1:7" x14ac:dyDescent="0.25">
      <c r="A12549" t="s">
        <v>39093</v>
      </c>
      <c r="B12549" t="s">
        <v>39094</v>
      </c>
      <c r="C12549" t="s">
        <v>39095</v>
      </c>
      <c r="D12549" t="s">
        <v>39096</v>
      </c>
      <c r="E12549" t="s">
        <v>39097</v>
      </c>
      <c r="F12549" t="s">
        <v>39098</v>
      </c>
      <c r="G12549" s="2" t="str">
        <f>HYPERLINK("https://probpalata.gov.ru/files/ИП060503345500000.jpeg","Скачать индивидуальный QR-код магазина")</f>
        <v>Скачать индивидуальный QR-код магазина</v>
      </c>
    </row>
    <row r="12550" spans="1:7" x14ac:dyDescent="0.25">
      <c r="A12550" t="s">
        <v>39093</v>
      </c>
      <c r="B12550" t="s">
        <v>39099</v>
      </c>
      <c r="C12550" t="s">
        <v>773</v>
      </c>
      <c r="D12550" t="s">
        <v>774</v>
      </c>
      <c r="E12550" t="s">
        <v>775</v>
      </c>
      <c r="F12550" t="s">
        <v>39100</v>
      </c>
      <c r="G12550" s="2" t="str">
        <f>HYPERLINK("https://probpalata.gov.ru/files/ЮЛ780300131300592.jpeg","Скачать индивидуальный QR-код магазина")</f>
        <v>Скачать индивидуальный QR-код магазина</v>
      </c>
    </row>
    <row r="12551" spans="1:7" x14ac:dyDescent="0.25">
      <c r="A12551" t="s">
        <v>39093</v>
      </c>
      <c r="B12551" t="s">
        <v>39101</v>
      </c>
      <c r="C12551" t="s">
        <v>4077</v>
      </c>
      <c r="D12551" t="s">
        <v>4078</v>
      </c>
      <c r="E12551" t="s">
        <v>4079</v>
      </c>
      <c r="F12551" t="s">
        <v>39102</v>
      </c>
      <c r="G12551" s="2" t="str">
        <f>HYPERLINK("https://probpalata.gov.ru/files/ЮЛ780300331800044.jpeg","Скачать индивидуальный QR-код магазина")</f>
        <v>Скачать индивидуальный QR-код магазина</v>
      </c>
    </row>
    <row r="12552" spans="1:7" x14ac:dyDescent="0.25">
      <c r="A12552" t="s">
        <v>39093</v>
      </c>
      <c r="B12552" t="s">
        <v>39103</v>
      </c>
      <c r="C12552" t="s">
        <v>798</v>
      </c>
      <c r="D12552" t="s">
        <v>799</v>
      </c>
      <c r="E12552" t="s">
        <v>800</v>
      </c>
      <c r="F12552" t="s">
        <v>39104</v>
      </c>
      <c r="G12552" s="2" t="str">
        <f>HYPERLINK("https://probpalata.gov.ru/files/ЮЛ780300308200444.jpeg","Скачать индивидуальный QR-код магазина")</f>
        <v>Скачать индивидуальный QR-код магазина</v>
      </c>
    </row>
    <row r="12553" spans="1:7" x14ac:dyDescent="0.25">
      <c r="A12553" t="s">
        <v>39093</v>
      </c>
      <c r="B12553" t="s">
        <v>39105</v>
      </c>
      <c r="C12553" t="s">
        <v>798</v>
      </c>
      <c r="D12553" t="s">
        <v>799</v>
      </c>
      <c r="E12553" t="s">
        <v>800</v>
      </c>
      <c r="F12553" t="s">
        <v>39106</v>
      </c>
      <c r="G12553" s="2" t="str">
        <f>HYPERLINK("https://probpalata.gov.ru/files/ЮЛ780300308200445.jpeg","Скачать индивидуальный QR-код магазина")</f>
        <v>Скачать индивидуальный QR-код магазина</v>
      </c>
    </row>
    <row r="12554" spans="1:7" x14ac:dyDescent="0.25">
      <c r="A12554" t="s">
        <v>39107</v>
      </c>
      <c r="B12554" t="s">
        <v>39108</v>
      </c>
      <c r="C12554" t="s">
        <v>39109</v>
      </c>
      <c r="D12554" t="s">
        <v>39110</v>
      </c>
      <c r="E12554" t="s">
        <v>39111</v>
      </c>
      <c r="F12554" t="s">
        <v>39112</v>
      </c>
      <c r="G12554" s="2" t="str">
        <f>HYPERLINK("https://probpalata.gov.ru/files/ЮЛ080404058300000.jpeg","Скачать индивидуальный QR-код магазина")</f>
        <v>Скачать индивидуальный QR-код магазина</v>
      </c>
    </row>
    <row r="12555" spans="1:7" x14ac:dyDescent="0.25">
      <c r="A12555" t="s">
        <v>39107</v>
      </c>
      <c r="B12555" t="s">
        <v>39113</v>
      </c>
      <c r="C12555" t="s">
        <v>39114</v>
      </c>
      <c r="D12555" t="s">
        <v>39115</v>
      </c>
      <c r="E12555" t="s">
        <v>39116</v>
      </c>
      <c r="F12555" t="s">
        <v>39117</v>
      </c>
      <c r="G12555" s="2" t="str">
        <f>HYPERLINK("https://probpalata.gov.ru/files/ЮЛ080403656600000.jpeg","Скачать индивидуальный QR-код магазина")</f>
        <v>Скачать индивидуальный QR-код магазина</v>
      </c>
    </row>
    <row r="12556" spans="1:7" x14ac:dyDescent="0.25">
      <c r="A12556" t="s">
        <v>39107</v>
      </c>
      <c r="B12556" t="s">
        <v>39118</v>
      </c>
      <c r="C12556" t="s">
        <v>39119</v>
      </c>
      <c r="D12556" t="s">
        <v>39120</v>
      </c>
      <c r="E12556" t="s">
        <v>39121</v>
      </c>
      <c r="F12556" t="s">
        <v>39122</v>
      </c>
      <c r="G12556" s="2" t="str">
        <f>HYPERLINK("https://probpalata.gov.ru/files/ИП080401052200000.jpeg","Скачать индивидуальный QR-код магазина")</f>
        <v>Скачать индивидуальный QR-код магазина</v>
      </c>
    </row>
    <row r="12557" spans="1:7" x14ac:dyDescent="0.25">
      <c r="A12557" t="s">
        <v>39107</v>
      </c>
      <c r="B12557" t="s">
        <v>39123</v>
      </c>
      <c r="C12557" t="s">
        <v>39124</v>
      </c>
      <c r="D12557" t="s">
        <v>39125</v>
      </c>
      <c r="E12557" t="s">
        <v>39126</v>
      </c>
      <c r="F12557" t="s">
        <v>39127</v>
      </c>
      <c r="G12557" s="2" t="str">
        <f>HYPERLINK("https://probpalata.gov.ru/files/ИП080401029900000.jpeg","Скачать индивидуальный QR-код магазина")</f>
        <v>Скачать индивидуальный QR-код магазина</v>
      </c>
    </row>
    <row r="12558" spans="1:7" x14ac:dyDescent="0.25">
      <c r="A12558" t="s">
        <v>39107</v>
      </c>
      <c r="B12558" t="s">
        <v>39128</v>
      </c>
      <c r="C12558" t="s">
        <v>39129</v>
      </c>
      <c r="D12558" t="s">
        <v>39130</v>
      </c>
      <c r="E12558" t="s">
        <v>39131</v>
      </c>
      <c r="F12558" t="s">
        <v>39132</v>
      </c>
      <c r="G12558" s="2" t="str">
        <f>HYPERLINK("https://probpalata.gov.ru/files/ИП080404080700000.jpeg","Скачать индивидуальный QR-код магазина")</f>
        <v>Скачать индивидуальный QR-код магазина</v>
      </c>
    </row>
    <row r="12559" spans="1:7" x14ac:dyDescent="0.25">
      <c r="A12559" t="s">
        <v>39107</v>
      </c>
      <c r="B12559" t="s">
        <v>39133</v>
      </c>
      <c r="C12559" t="s">
        <v>39134</v>
      </c>
      <c r="D12559" t="s">
        <v>39135</v>
      </c>
      <c r="E12559" t="s">
        <v>39136</v>
      </c>
      <c r="F12559" t="s">
        <v>39137</v>
      </c>
      <c r="G12559" s="2" t="str">
        <f>HYPERLINK("https://probpalata.gov.ru/files/ИП780300179300000.jpeg","Скачать индивидуальный QR-код магазина")</f>
        <v>Скачать индивидуальный QR-код магазина</v>
      </c>
    </row>
    <row r="12560" spans="1:7" x14ac:dyDescent="0.25">
      <c r="A12560" t="s">
        <v>39107</v>
      </c>
      <c r="B12560" t="s">
        <v>39138</v>
      </c>
      <c r="C12560" t="s">
        <v>39139</v>
      </c>
      <c r="D12560" t="s">
        <v>39140</v>
      </c>
      <c r="E12560" t="s">
        <v>39141</v>
      </c>
      <c r="F12560" t="s">
        <v>39142</v>
      </c>
      <c r="G12560" s="2" t="str">
        <f>HYPERLINK("https://probpalata.gov.ru/files/ИП080400948700000.jpeg","Скачать индивидуальный QR-код магазина")</f>
        <v>Скачать индивидуальный QR-код магазина</v>
      </c>
    </row>
    <row r="12561" spans="1:7" x14ac:dyDescent="0.25">
      <c r="A12561" t="s">
        <v>39107</v>
      </c>
      <c r="B12561" t="s">
        <v>39143</v>
      </c>
      <c r="C12561" t="s">
        <v>39144</v>
      </c>
      <c r="D12561" t="s">
        <v>39145</v>
      </c>
      <c r="E12561" t="s">
        <v>39146</v>
      </c>
      <c r="F12561" t="s">
        <v>39147</v>
      </c>
      <c r="G12561" s="2" t="str">
        <f>HYPERLINK("https://probpalata.gov.ru/files/ИП080401430000000.jpeg","Скачать индивидуальный QR-код магазина")</f>
        <v>Скачать индивидуальный QR-код магазина</v>
      </c>
    </row>
    <row r="12562" spans="1:7" x14ac:dyDescent="0.25">
      <c r="A12562" t="s">
        <v>39107</v>
      </c>
      <c r="B12562" t="s">
        <v>39148</v>
      </c>
      <c r="C12562" t="s">
        <v>39144</v>
      </c>
      <c r="D12562" t="s">
        <v>39145</v>
      </c>
      <c r="E12562" t="s">
        <v>39146</v>
      </c>
      <c r="F12562" t="s">
        <v>39149</v>
      </c>
      <c r="G12562" s="2" t="str">
        <f>HYPERLINK("https://probpalata.gov.ru/files/ИП080401430000001.jpeg","Скачать индивидуальный QR-код магазина")</f>
        <v>Скачать индивидуальный QR-код магазина</v>
      </c>
    </row>
    <row r="12563" spans="1:7" x14ac:dyDescent="0.25">
      <c r="A12563" t="s">
        <v>39107</v>
      </c>
      <c r="B12563" t="s">
        <v>39150</v>
      </c>
      <c r="C12563" t="s">
        <v>39144</v>
      </c>
      <c r="D12563" t="s">
        <v>39145</v>
      </c>
      <c r="E12563" t="s">
        <v>39146</v>
      </c>
      <c r="F12563" t="s">
        <v>39151</v>
      </c>
      <c r="G12563" s="2" t="str">
        <f>HYPERLINK("https://probpalata.gov.ru/files/ИП080401430000002.jpeg","Скачать индивидуальный QR-код магазина")</f>
        <v>Скачать индивидуальный QR-код магазина</v>
      </c>
    </row>
    <row r="12564" spans="1:7" x14ac:dyDescent="0.25">
      <c r="A12564" t="s">
        <v>39107</v>
      </c>
      <c r="B12564" t="s">
        <v>39152</v>
      </c>
      <c r="C12564" t="s">
        <v>39153</v>
      </c>
      <c r="D12564" t="s">
        <v>39154</v>
      </c>
      <c r="E12564" t="s">
        <v>39155</v>
      </c>
      <c r="F12564" t="s">
        <v>39156</v>
      </c>
      <c r="G12564" s="2" t="str">
        <f>HYPERLINK("https://probpalata.gov.ru/files/ИП080400073100000.jpeg","Скачать индивидуальный QR-код магазина")</f>
        <v>Скачать индивидуальный QR-код магазина</v>
      </c>
    </row>
    <row r="12565" spans="1:7" x14ac:dyDescent="0.25">
      <c r="A12565" t="s">
        <v>39107</v>
      </c>
      <c r="B12565" t="s">
        <v>39157</v>
      </c>
      <c r="C12565" t="s">
        <v>39158</v>
      </c>
      <c r="D12565" t="s">
        <v>39159</v>
      </c>
      <c r="E12565" t="s">
        <v>39160</v>
      </c>
      <c r="F12565" t="s">
        <v>39161</v>
      </c>
      <c r="G12565" s="2" t="str">
        <f>HYPERLINK("https://probpalata.gov.ru/files/ИП080403678400000.jpeg","Скачать индивидуальный QR-код магазина")</f>
        <v>Скачать индивидуальный QR-код магазина</v>
      </c>
    </row>
    <row r="12566" spans="1:7" x14ac:dyDescent="0.25">
      <c r="A12566" t="s">
        <v>39107</v>
      </c>
      <c r="B12566" t="s">
        <v>39162</v>
      </c>
      <c r="C12566" t="s">
        <v>39163</v>
      </c>
      <c r="D12566" t="s">
        <v>39164</v>
      </c>
      <c r="E12566" t="s">
        <v>39165</v>
      </c>
      <c r="F12566" t="s">
        <v>39166</v>
      </c>
      <c r="G12566" s="2" t="str">
        <f>HYPERLINK("https://probpalata.gov.ru/files/ИП080400012100000.jpeg","Скачать индивидуальный QR-код магазина")</f>
        <v>Скачать индивидуальный QR-код магазина</v>
      </c>
    </row>
    <row r="12567" spans="1:7" x14ac:dyDescent="0.25">
      <c r="A12567" t="s">
        <v>39107</v>
      </c>
      <c r="B12567" t="s">
        <v>39167</v>
      </c>
      <c r="C12567" t="s">
        <v>39168</v>
      </c>
      <c r="D12567" t="s">
        <v>39169</v>
      </c>
      <c r="E12567" t="s">
        <v>39170</v>
      </c>
      <c r="F12567" t="s">
        <v>39171</v>
      </c>
      <c r="G12567" s="2" t="str">
        <f>HYPERLINK("https://probpalata.gov.ru/files/ЮЛ080400018700000.jpeg","Скачать индивидуальный QR-код магазина")</f>
        <v>Скачать индивидуальный QR-код магазина</v>
      </c>
    </row>
    <row r="12568" spans="1:7" x14ac:dyDescent="0.25">
      <c r="A12568" t="s">
        <v>39107</v>
      </c>
      <c r="B12568" t="s">
        <v>39172</v>
      </c>
      <c r="C12568" t="s">
        <v>39173</v>
      </c>
      <c r="D12568" t="s">
        <v>39174</v>
      </c>
      <c r="E12568" t="s">
        <v>39175</v>
      </c>
      <c r="F12568" t="s">
        <v>39176</v>
      </c>
      <c r="G12568" s="2" t="str">
        <f>HYPERLINK("https://probpalata.gov.ru/files/ИП080403592300000.jpeg","Скачать индивидуальный QR-код магазина")</f>
        <v>Скачать индивидуальный QR-код магазина</v>
      </c>
    </row>
    <row r="12569" spans="1:7" x14ac:dyDescent="0.25">
      <c r="A12569" t="s">
        <v>39107</v>
      </c>
      <c r="B12569" t="s">
        <v>39177</v>
      </c>
      <c r="C12569" t="s">
        <v>39178</v>
      </c>
      <c r="D12569" t="s">
        <v>39179</v>
      </c>
      <c r="E12569" t="s">
        <v>39180</v>
      </c>
      <c r="F12569" t="s">
        <v>39181</v>
      </c>
      <c r="G12569" s="2" t="str">
        <f>HYPERLINK("https://probpalata.gov.ru/files/ИП080401956700000.jpeg","Скачать индивидуальный QR-код магазина")</f>
        <v>Скачать индивидуальный QR-код магазина</v>
      </c>
    </row>
    <row r="12570" spans="1:7" x14ac:dyDescent="0.25">
      <c r="A12570" t="s">
        <v>39107</v>
      </c>
      <c r="B12570" t="s">
        <v>39182</v>
      </c>
      <c r="C12570" t="s">
        <v>39178</v>
      </c>
      <c r="D12570" t="s">
        <v>39179</v>
      </c>
      <c r="E12570" t="s">
        <v>39180</v>
      </c>
      <c r="F12570" t="s">
        <v>39183</v>
      </c>
      <c r="G12570" s="2" t="str">
        <f>HYPERLINK("https://probpalata.gov.ru/files/ИП080401956700001.jpeg","Скачать индивидуальный QR-код магазина")</f>
        <v>Скачать индивидуальный QR-код магазина</v>
      </c>
    </row>
    <row r="12571" spans="1:7" x14ac:dyDescent="0.25">
      <c r="A12571" t="s">
        <v>39107</v>
      </c>
      <c r="B12571" t="s">
        <v>39184</v>
      </c>
      <c r="C12571" t="s">
        <v>39185</v>
      </c>
      <c r="D12571" t="s">
        <v>39186</v>
      </c>
      <c r="E12571" t="s">
        <v>39187</v>
      </c>
      <c r="F12571" t="s">
        <v>39188</v>
      </c>
      <c r="G12571" s="2" t="str">
        <f>HYPERLINK("https://probpalata.gov.ru/files/ИП080400955800000.jpeg","Скачать индивидуальный QR-код магазина")</f>
        <v>Скачать индивидуальный QR-код магазина</v>
      </c>
    </row>
    <row r="12572" spans="1:7" x14ac:dyDescent="0.25">
      <c r="A12572" t="s">
        <v>39107</v>
      </c>
      <c r="B12572" t="s">
        <v>39189</v>
      </c>
      <c r="C12572" t="s">
        <v>39190</v>
      </c>
      <c r="D12572" t="s">
        <v>39191</v>
      </c>
      <c r="E12572" t="s">
        <v>39192</v>
      </c>
      <c r="F12572" t="s">
        <v>39193</v>
      </c>
      <c r="G12572" s="2" t="str">
        <f>HYPERLINK("https://probpalata.gov.ru/files/ИП610400021700001.jpeg","Скачать индивидуальный QR-код магазина")</f>
        <v>Скачать индивидуальный QR-код магазина</v>
      </c>
    </row>
    <row r="12573" spans="1:7" x14ac:dyDescent="0.25">
      <c r="A12573" t="s">
        <v>39107</v>
      </c>
      <c r="B12573" t="s">
        <v>39194</v>
      </c>
      <c r="C12573" t="s">
        <v>20829</v>
      </c>
      <c r="D12573" t="s">
        <v>20830</v>
      </c>
      <c r="E12573" t="s">
        <v>20831</v>
      </c>
      <c r="F12573" t="s">
        <v>39195</v>
      </c>
      <c r="G12573" s="2" t="str">
        <f>HYPERLINK("https://probpalata.gov.ru/files/ИП080403797600000.jpeg","Скачать индивидуальный QR-код магазина")</f>
        <v>Скачать индивидуальный QR-код магазина</v>
      </c>
    </row>
    <row r="12574" spans="1:7" x14ac:dyDescent="0.25">
      <c r="A12574" t="s">
        <v>39107</v>
      </c>
      <c r="B12574" t="s">
        <v>39196</v>
      </c>
      <c r="C12574" t="s">
        <v>20829</v>
      </c>
      <c r="D12574" t="s">
        <v>20830</v>
      </c>
      <c r="E12574" t="s">
        <v>20831</v>
      </c>
      <c r="F12574" t="s">
        <v>39197</v>
      </c>
      <c r="G12574" s="2" t="str">
        <f>HYPERLINK("https://probpalata.gov.ru/files/ИП080403797600002.jpeg","Скачать индивидуальный QR-код магазина")</f>
        <v>Скачать индивидуальный QR-код магазина</v>
      </c>
    </row>
    <row r="12575" spans="1:7" x14ac:dyDescent="0.25">
      <c r="A12575" t="s">
        <v>39107</v>
      </c>
      <c r="B12575" t="s">
        <v>39198</v>
      </c>
      <c r="C12575" t="s">
        <v>713</v>
      </c>
      <c r="D12575" t="s">
        <v>714</v>
      </c>
      <c r="E12575" t="s">
        <v>715</v>
      </c>
      <c r="F12575" t="s">
        <v>39199</v>
      </c>
      <c r="G12575" s="2" t="str">
        <f>HYPERLINK("https://probpalata.gov.ru/files/ЮЛ770101216600745.jpeg","Скачать индивидуальный QR-код магазина")</f>
        <v>Скачать индивидуальный QR-код магазина</v>
      </c>
    </row>
    <row r="12576" spans="1:7" x14ac:dyDescent="0.25">
      <c r="A12576" t="s">
        <v>39107</v>
      </c>
      <c r="B12576" t="s">
        <v>39200</v>
      </c>
      <c r="C12576" t="s">
        <v>1416</v>
      </c>
      <c r="D12576" t="s">
        <v>1417</v>
      </c>
      <c r="E12576" t="s">
        <v>1418</v>
      </c>
      <c r="F12576" t="s">
        <v>39201</v>
      </c>
      <c r="G12576" s="2" t="str">
        <f>HYPERLINK("https://probpalata.gov.ru/files/ЮЛ770100419400130.jpeg","Скачать индивидуальный QR-код магазина")</f>
        <v>Скачать индивидуальный QR-код магазина</v>
      </c>
    </row>
    <row r="12577" spans="1:7" x14ac:dyDescent="0.25">
      <c r="A12577" t="s">
        <v>39107</v>
      </c>
      <c r="B12577" t="s">
        <v>39202</v>
      </c>
      <c r="C12577" t="s">
        <v>748</v>
      </c>
      <c r="D12577" t="s">
        <v>749</v>
      </c>
      <c r="E12577" t="s">
        <v>750</v>
      </c>
      <c r="F12577" t="s">
        <v>39203</v>
      </c>
      <c r="G12577" s="2" t="str">
        <f>HYPERLINK("https://probpalata.gov.ru/files/ЮЛ770100193500513.jpeg","Скачать индивидуальный QR-код магазина")</f>
        <v>Скачать индивидуальный QR-код магазина</v>
      </c>
    </row>
    <row r="12578" spans="1:7" x14ac:dyDescent="0.25">
      <c r="A12578" t="s">
        <v>39107</v>
      </c>
      <c r="B12578" t="s">
        <v>39204</v>
      </c>
      <c r="C12578" t="s">
        <v>773</v>
      </c>
      <c r="D12578" t="s">
        <v>774</v>
      </c>
      <c r="E12578" t="s">
        <v>775</v>
      </c>
      <c r="F12578" t="s">
        <v>39205</v>
      </c>
      <c r="G12578" s="2" t="str">
        <f>HYPERLINK("https://probpalata.gov.ru/files/ЮЛ780300131300215.jpeg","Скачать индивидуальный QR-код магазина")</f>
        <v>Скачать индивидуальный QR-код магазина</v>
      </c>
    </row>
    <row r="12579" spans="1:7" x14ac:dyDescent="0.25">
      <c r="A12579" t="s">
        <v>39107</v>
      </c>
      <c r="B12579" t="s">
        <v>39206</v>
      </c>
      <c r="C12579" t="s">
        <v>773</v>
      </c>
      <c r="D12579" t="s">
        <v>774</v>
      </c>
      <c r="E12579" t="s">
        <v>775</v>
      </c>
      <c r="F12579" t="s">
        <v>39207</v>
      </c>
      <c r="G12579" s="2" t="str">
        <f>HYPERLINK("https://probpalata.gov.ru/files/ЮЛ780300131300219.jpeg","Скачать индивидуальный QR-код магазина")</f>
        <v>Скачать индивидуальный QR-код магазина</v>
      </c>
    </row>
    <row r="12580" spans="1:7" x14ac:dyDescent="0.25">
      <c r="A12580" t="s">
        <v>39107</v>
      </c>
      <c r="B12580" t="s">
        <v>39208</v>
      </c>
      <c r="C12580" t="s">
        <v>773</v>
      </c>
      <c r="D12580" t="s">
        <v>774</v>
      </c>
      <c r="E12580" t="s">
        <v>775</v>
      </c>
      <c r="F12580" t="s">
        <v>39209</v>
      </c>
      <c r="G12580" s="2" t="str">
        <f>HYPERLINK("https://probpalata.gov.ru/files/ЮЛ780300131300455.jpeg","Скачать индивидуальный QR-код магазина")</f>
        <v>Скачать индивидуальный QR-код магазина</v>
      </c>
    </row>
    <row r="12581" spans="1:7" x14ac:dyDescent="0.25">
      <c r="A12581" t="s">
        <v>39107</v>
      </c>
      <c r="B12581" t="s">
        <v>39210</v>
      </c>
      <c r="C12581" t="s">
        <v>787</v>
      </c>
      <c r="D12581" t="s">
        <v>788</v>
      </c>
      <c r="E12581" t="s">
        <v>789</v>
      </c>
      <c r="F12581" t="s">
        <v>39211</v>
      </c>
      <c r="G12581" s="2" t="str">
        <f>HYPERLINK("https://probpalata.gov.ru/files/ЮЛ780300328000092.jpeg","Скачать индивидуальный QR-код магазина")</f>
        <v>Скачать индивидуальный QR-код магазина</v>
      </c>
    </row>
    <row r="12582" spans="1:7" x14ac:dyDescent="0.25">
      <c r="A12582" t="s">
        <v>39107</v>
      </c>
      <c r="B12582" t="s">
        <v>39212</v>
      </c>
      <c r="C12582" t="s">
        <v>787</v>
      </c>
      <c r="D12582" t="s">
        <v>788</v>
      </c>
      <c r="E12582" t="s">
        <v>789</v>
      </c>
      <c r="F12582" t="s">
        <v>39213</v>
      </c>
      <c r="G12582" s="2" t="str">
        <f>HYPERLINK("https://probpalata.gov.ru/files/ЮЛ780300328000093.jpeg","Скачать индивидуальный QR-код магазина")</f>
        <v>Скачать индивидуальный QR-код магазина</v>
      </c>
    </row>
    <row r="12583" spans="1:7" x14ac:dyDescent="0.25">
      <c r="A12583" t="s">
        <v>39107</v>
      </c>
      <c r="B12583" t="s">
        <v>39214</v>
      </c>
      <c r="C12583" t="s">
        <v>787</v>
      </c>
      <c r="D12583" t="s">
        <v>788</v>
      </c>
      <c r="E12583" t="s">
        <v>789</v>
      </c>
      <c r="F12583" t="s">
        <v>39215</v>
      </c>
      <c r="G12583" s="2" t="str">
        <f>HYPERLINK("https://probpalata.gov.ru/files/ЮЛ780300328000094.jpeg","Скачать индивидуальный QR-код магазина")</f>
        <v>Скачать индивидуальный QR-код магазина</v>
      </c>
    </row>
    <row r="12584" spans="1:7" x14ac:dyDescent="0.25">
      <c r="A12584" t="s">
        <v>39107</v>
      </c>
      <c r="B12584" t="s">
        <v>39216</v>
      </c>
      <c r="C12584" t="s">
        <v>798</v>
      </c>
      <c r="D12584" t="s">
        <v>799</v>
      </c>
      <c r="E12584" t="s">
        <v>800</v>
      </c>
      <c r="F12584" t="s">
        <v>39217</v>
      </c>
      <c r="G12584" s="2" t="str">
        <f>HYPERLINK("https://probpalata.gov.ru/files/ЮЛ780300308200547.jpeg","Скачать индивидуальный QR-код магазина")</f>
        <v>Скачать индивидуальный QR-код магазина</v>
      </c>
    </row>
    <row r="12585" spans="1:7" x14ac:dyDescent="0.25">
      <c r="A12585" t="s">
        <v>39107</v>
      </c>
      <c r="B12585" t="s">
        <v>39218</v>
      </c>
      <c r="C12585" t="s">
        <v>798</v>
      </c>
      <c r="D12585" t="s">
        <v>799</v>
      </c>
      <c r="E12585" t="s">
        <v>800</v>
      </c>
      <c r="F12585" t="s">
        <v>39219</v>
      </c>
      <c r="G12585" s="2" t="str">
        <f>HYPERLINK("https://probpalata.gov.ru/files/ЮЛ780300308200849.jpeg","Скачать индивидуальный QR-код магазина")</f>
        <v>Скачать индивидуальный QR-код магазина</v>
      </c>
    </row>
    <row r="12586" spans="1:7" x14ac:dyDescent="0.25">
      <c r="A12586" t="s">
        <v>39107</v>
      </c>
      <c r="B12586" t="s">
        <v>39220</v>
      </c>
      <c r="C12586" t="s">
        <v>798</v>
      </c>
      <c r="D12586" t="s">
        <v>799</v>
      </c>
      <c r="E12586" t="s">
        <v>800</v>
      </c>
      <c r="F12586" t="s">
        <v>39221</v>
      </c>
      <c r="G12586" s="2" t="str">
        <f>HYPERLINK("https://probpalata.gov.ru/files/ЮЛ780300308200850.jpeg","Скачать индивидуальный QR-код магазина")</f>
        <v>Скачать индивидуальный QR-код магазина</v>
      </c>
    </row>
    <row r="12587" spans="1:7" x14ac:dyDescent="0.25">
      <c r="A12587" t="s">
        <v>39107</v>
      </c>
      <c r="B12587" t="s">
        <v>39222</v>
      </c>
      <c r="C12587" t="s">
        <v>798</v>
      </c>
      <c r="D12587" t="s">
        <v>799</v>
      </c>
      <c r="E12587" t="s">
        <v>800</v>
      </c>
      <c r="F12587" t="s">
        <v>39223</v>
      </c>
      <c r="G12587" s="2" t="str">
        <f>HYPERLINK("https://probpalata.gov.ru/files/ЮЛ780300308200894.jpeg","Скачать индивидуальный QR-код магазина")</f>
        <v>Скачать индивидуальный QR-код магазина</v>
      </c>
    </row>
    <row r="12588" spans="1:7" x14ac:dyDescent="0.25">
      <c r="A12588" t="s">
        <v>39107</v>
      </c>
      <c r="B12588" t="s">
        <v>39224</v>
      </c>
      <c r="C12588" t="s">
        <v>823</v>
      </c>
      <c r="D12588" t="s">
        <v>824</v>
      </c>
      <c r="E12588" t="s">
        <v>825</v>
      </c>
      <c r="F12588" t="s">
        <v>39225</v>
      </c>
      <c r="G12588" s="2" t="str">
        <f>HYPERLINK("https://probpalata.gov.ru/files/ЮЛ780300363500266.jpeg","Скачать индивидуальный QR-код магазина")</f>
        <v>Скачать индивидуальный QR-код магазина</v>
      </c>
    </row>
    <row r="12589" spans="1:7" x14ac:dyDescent="0.25">
      <c r="A12589" t="s">
        <v>39226</v>
      </c>
      <c r="B12589" t="s">
        <v>39227</v>
      </c>
      <c r="C12589" t="s">
        <v>39228</v>
      </c>
      <c r="D12589" t="s">
        <v>39229</v>
      </c>
      <c r="E12589" t="s">
        <v>39230</v>
      </c>
      <c r="F12589" t="s">
        <v>39231</v>
      </c>
      <c r="G12589" s="2" t="str">
        <f>HYPERLINK("https://probpalata.gov.ru/files/ИП100300235600000.jpeg","Скачать индивидуальный QR-код магазина")</f>
        <v>Скачать индивидуальный QR-код магазина</v>
      </c>
    </row>
    <row r="12590" spans="1:7" x14ac:dyDescent="0.25">
      <c r="A12590" t="s">
        <v>39226</v>
      </c>
      <c r="B12590" t="s">
        <v>39232</v>
      </c>
      <c r="C12590" t="s">
        <v>39233</v>
      </c>
      <c r="D12590" t="s">
        <v>39234</v>
      </c>
      <c r="E12590" t="s">
        <v>39235</v>
      </c>
      <c r="F12590" t="s">
        <v>39236</v>
      </c>
      <c r="G12590" s="2" t="str">
        <f>HYPERLINK("https://probpalata.gov.ru/files/ИП100303569700000.jpeg","Скачать индивидуальный QR-код магазина")</f>
        <v>Скачать индивидуальный QR-код магазина</v>
      </c>
    </row>
    <row r="12591" spans="1:7" x14ac:dyDescent="0.25">
      <c r="A12591" t="s">
        <v>39226</v>
      </c>
      <c r="B12591" t="s">
        <v>39237</v>
      </c>
      <c r="C12591" t="s">
        <v>39238</v>
      </c>
      <c r="D12591" t="s">
        <v>39239</v>
      </c>
      <c r="E12591" t="s">
        <v>39240</v>
      </c>
      <c r="F12591" t="s">
        <v>39241</v>
      </c>
      <c r="G12591" s="2" t="str">
        <f>HYPERLINK("https://probpalata.gov.ru/files/ЮЛ100300552100000.jpeg","Скачать индивидуальный QR-код магазина")</f>
        <v>Скачать индивидуальный QR-код магазина</v>
      </c>
    </row>
    <row r="12592" spans="1:7" x14ac:dyDescent="0.25">
      <c r="A12592" t="s">
        <v>39226</v>
      </c>
      <c r="B12592" t="s">
        <v>39242</v>
      </c>
      <c r="C12592" t="s">
        <v>12626</v>
      </c>
      <c r="D12592" t="s">
        <v>39243</v>
      </c>
      <c r="E12592" t="s">
        <v>39244</v>
      </c>
      <c r="F12592" t="s">
        <v>39245</v>
      </c>
      <c r="G12592" s="2" t="str">
        <f>HYPERLINK("https://probpalata.gov.ru/files/ИП100301603700000.jpeg","Скачать индивидуальный QR-код магазина")</f>
        <v>Скачать индивидуальный QR-код магазина</v>
      </c>
    </row>
    <row r="12593" spans="1:7" x14ac:dyDescent="0.25">
      <c r="A12593" t="s">
        <v>39226</v>
      </c>
      <c r="B12593" t="s">
        <v>39246</v>
      </c>
      <c r="C12593" t="s">
        <v>39247</v>
      </c>
      <c r="D12593" t="s">
        <v>39248</v>
      </c>
      <c r="E12593" t="s">
        <v>39249</v>
      </c>
      <c r="F12593" t="s">
        <v>39250</v>
      </c>
      <c r="G12593" s="2" t="str">
        <f>HYPERLINK("https://probpalata.gov.ru/files/ИП100301489100002.jpeg","Скачать индивидуальный QR-код магазина")</f>
        <v>Скачать индивидуальный QR-код магазина</v>
      </c>
    </row>
    <row r="12594" spans="1:7" x14ac:dyDescent="0.25">
      <c r="A12594" t="s">
        <v>39226</v>
      </c>
      <c r="B12594" t="s">
        <v>39251</v>
      </c>
      <c r="C12594" t="s">
        <v>39252</v>
      </c>
      <c r="D12594" t="s">
        <v>39253</v>
      </c>
      <c r="E12594" t="s">
        <v>39254</v>
      </c>
      <c r="F12594" t="s">
        <v>39255</v>
      </c>
      <c r="G12594" s="2" t="str">
        <f>HYPERLINK("https://probpalata.gov.ru/files/ИП780301348400000.jpeg","Скачать индивидуальный QR-код магазина")</f>
        <v>Скачать индивидуальный QR-код магазина</v>
      </c>
    </row>
    <row r="12595" spans="1:7" x14ac:dyDescent="0.25">
      <c r="A12595" t="s">
        <v>39226</v>
      </c>
      <c r="B12595" t="s">
        <v>39256</v>
      </c>
      <c r="C12595" t="s">
        <v>39257</v>
      </c>
      <c r="D12595" t="s">
        <v>39258</v>
      </c>
      <c r="E12595" t="s">
        <v>39259</v>
      </c>
      <c r="F12595" t="s">
        <v>39260</v>
      </c>
      <c r="G12595" s="2" t="str">
        <f>HYPERLINK("https://probpalata.gov.ru/files/ИП160600640400009.jpeg","Скачать индивидуальный QR-код магазина")</f>
        <v>Скачать индивидуальный QR-код магазина</v>
      </c>
    </row>
    <row r="12596" spans="1:7" x14ac:dyDescent="0.25">
      <c r="A12596" t="s">
        <v>39226</v>
      </c>
      <c r="B12596" t="s">
        <v>39261</v>
      </c>
      <c r="C12596" t="s">
        <v>39257</v>
      </c>
      <c r="D12596" t="s">
        <v>39258</v>
      </c>
      <c r="E12596" t="s">
        <v>39259</v>
      </c>
      <c r="F12596" t="s">
        <v>39262</v>
      </c>
      <c r="G12596" s="2" t="str">
        <f>HYPERLINK("https://probpalata.gov.ru/files/ИП160600640400010.jpeg","Скачать индивидуальный QR-код магазина")</f>
        <v>Скачать индивидуальный QR-код магазина</v>
      </c>
    </row>
    <row r="12597" spans="1:7" x14ac:dyDescent="0.25">
      <c r="A12597" t="s">
        <v>39226</v>
      </c>
      <c r="B12597" t="s">
        <v>39263</v>
      </c>
      <c r="C12597" t="s">
        <v>671</v>
      </c>
      <c r="D12597" t="s">
        <v>672</v>
      </c>
      <c r="E12597" t="s">
        <v>673</v>
      </c>
      <c r="F12597" t="s">
        <v>39264</v>
      </c>
      <c r="G12597" s="2" t="str">
        <f>HYPERLINK("https://probpalata.gov.ru/files/ИП500100445500054.jpeg","Скачать индивидуальный QR-код магазина")</f>
        <v>Скачать индивидуальный QR-код магазина</v>
      </c>
    </row>
    <row r="12598" spans="1:7" x14ac:dyDescent="0.25">
      <c r="A12598" t="s">
        <v>39226</v>
      </c>
      <c r="B12598" t="s">
        <v>39265</v>
      </c>
      <c r="C12598" t="s">
        <v>1735</v>
      </c>
      <c r="D12598" t="s">
        <v>1736</v>
      </c>
      <c r="E12598" t="s">
        <v>1737</v>
      </c>
      <c r="F12598" t="s">
        <v>39266</v>
      </c>
      <c r="G12598" s="2" t="str">
        <f>HYPERLINK("https://probpalata.gov.ru/files/ЮЛ520603376600139.jpeg","Скачать индивидуальный QR-код магазина")</f>
        <v>Скачать индивидуальный QR-код магазина</v>
      </c>
    </row>
    <row r="12599" spans="1:7" x14ac:dyDescent="0.25">
      <c r="A12599" t="s">
        <v>39226</v>
      </c>
      <c r="B12599" t="s">
        <v>39267</v>
      </c>
      <c r="C12599" t="s">
        <v>1740</v>
      </c>
      <c r="D12599" t="s">
        <v>1741</v>
      </c>
      <c r="E12599" t="s">
        <v>1742</v>
      </c>
      <c r="F12599" t="s">
        <v>39268</v>
      </c>
      <c r="G12599" s="2" t="str">
        <f>HYPERLINK("https://probpalata.gov.ru/files/ЮЛ760201190700028.jpeg","Скачать индивидуальный QR-код магазина")</f>
        <v>Скачать индивидуальный QR-код магазина</v>
      </c>
    </row>
    <row r="12600" spans="1:7" x14ac:dyDescent="0.25">
      <c r="A12600" t="s">
        <v>39226</v>
      </c>
      <c r="B12600" t="s">
        <v>39269</v>
      </c>
      <c r="C12600" t="s">
        <v>1740</v>
      </c>
      <c r="D12600" t="s">
        <v>1741</v>
      </c>
      <c r="E12600" t="s">
        <v>1742</v>
      </c>
      <c r="F12600" t="s">
        <v>39270</v>
      </c>
      <c r="G12600" s="2" t="str">
        <f>HYPERLINK("https://probpalata.gov.ru/files/ЮЛ760201190700044.jpeg","Скачать индивидуальный QR-код магазина")</f>
        <v>Скачать индивидуальный QR-код магазина</v>
      </c>
    </row>
    <row r="12601" spans="1:7" x14ac:dyDescent="0.25">
      <c r="A12601" t="s">
        <v>39226</v>
      </c>
      <c r="B12601" t="s">
        <v>39271</v>
      </c>
      <c r="C12601" t="s">
        <v>3157</v>
      </c>
      <c r="D12601" t="s">
        <v>3158</v>
      </c>
      <c r="E12601" t="s">
        <v>3159</v>
      </c>
      <c r="F12601" t="s">
        <v>39272</v>
      </c>
      <c r="G12601" s="2" t="str">
        <f>HYPERLINK("https://probpalata.gov.ru/files/ИП770100417900027.jpeg","Скачать индивидуальный QR-код магазина")</f>
        <v>Скачать индивидуальный QR-код магазина</v>
      </c>
    </row>
    <row r="12602" spans="1:7" x14ac:dyDescent="0.25">
      <c r="A12602" t="s">
        <v>39226</v>
      </c>
      <c r="B12602" t="s">
        <v>39273</v>
      </c>
      <c r="C12602" t="s">
        <v>3157</v>
      </c>
      <c r="D12602" t="s">
        <v>3158</v>
      </c>
      <c r="E12602" t="s">
        <v>3159</v>
      </c>
      <c r="F12602" t="s">
        <v>39274</v>
      </c>
      <c r="G12602" s="2" t="str">
        <f>HYPERLINK("https://probpalata.gov.ru/files/ИП770100417900037.jpeg","Скачать индивидуальный QR-код магазина")</f>
        <v>Скачать индивидуальный QR-код магазина</v>
      </c>
    </row>
    <row r="12603" spans="1:7" x14ac:dyDescent="0.25">
      <c r="A12603" t="s">
        <v>39226</v>
      </c>
      <c r="B12603" t="s">
        <v>39275</v>
      </c>
      <c r="C12603" t="s">
        <v>3157</v>
      </c>
      <c r="D12603" t="s">
        <v>3158</v>
      </c>
      <c r="E12603" t="s">
        <v>3159</v>
      </c>
      <c r="F12603" t="s">
        <v>39276</v>
      </c>
      <c r="G12603" s="2" t="str">
        <f>HYPERLINK("https://probpalata.gov.ru/files/ИП770100417900056.jpeg","Скачать индивидуальный QR-код магазина")</f>
        <v>Скачать индивидуальный QR-код магазина</v>
      </c>
    </row>
    <row r="12604" spans="1:7" x14ac:dyDescent="0.25">
      <c r="A12604" t="s">
        <v>39226</v>
      </c>
      <c r="B12604" t="s">
        <v>39277</v>
      </c>
      <c r="C12604" t="s">
        <v>713</v>
      </c>
      <c r="D12604" t="s">
        <v>714</v>
      </c>
      <c r="E12604" t="s">
        <v>715</v>
      </c>
      <c r="F12604" t="s">
        <v>39278</v>
      </c>
      <c r="G12604" s="2" t="str">
        <f>HYPERLINK("https://probpalata.gov.ru/files/ЮЛ770101216600152.jpeg","Скачать индивидуальный QR-код магазина")</f>
        <v>Скачать индивидуальный QR-код магазина</v>
      </c>
    </row>
    <row r="12605" spans="1:7" x14ac:dyDescent="0.25">
      <c r="A12605" t="s">
        <v>39226</v>
      </c>
      <c r="B12605" t="s">
        <v>39269</v>
      </c>
      <c r="C12605" t="s">
        <v>713</v>
      </c>
      <c r="D12605" t="s">
        <v>714</v>
      </c>
      <c r="E12605" t="s">
        <v>715</v>
      </c>
      <c r="F12605" t="s">
        <v>39279</v>
      </c>
      <c r="G12605" s="2" t="str">
        <f>HYPERLINK("https://probpalata.gov.ru/files/ЮЛ770101216600335.jpeg","Скачать индивидуальный QR-код магазина")</f>
        <v>Скачать индивидуальный QR-код магазина</v>
      </c>
    </row>
    <row r="12606" spans="1:7" x14ac:dyDescent="0.25">
      <c r="A12606" t="s">
        <v>39226</v>
      </c>
      <c r="B12606" t="s">
        <v>39280</v>
      </c>
      <c r="C12606" t="s">
        <v>713</v>
      </c>
      <c r="D12606" t="s">
        <v>714</v>
      </c>
      <c r="E12606" t="s">
        <v>715</v>
      </c>
      <c r="F12606" t="s">
        <v>39281</v>
      </c>
      <c r="G12606" s="2" t="str">
        <f>HYPERLINK("https://probpalata.gov.ru/files/ЮЛ770101216600818.jpeg","Скачать индивидуальный QR-код магазина")</f>
        <v>Скачать индивидуальный QR-код магазина</v>
      </c>
    </row>
    <row r="12607" spans="1:7" x14ac:dyDescent="0.25">
      <c r="A12607" t="s">
        <v>39226</v>
      </c>
      <c r="B12607" t="s">
        <v>39282</v>
      </c>
      <c r="C12607" t="s">
        <v>713</v>
      </c>
      <c r="D12607" t="s">
        <v>714</v>
      </c>
      <c r="E12607" t="s">
        <v>715</v>
      </c>
      <c r="F12607" t="s">
        <v>39283</v>
      </c>
      <c r="G12607" s="2" t="str">
        <f>HYPERLINK("https://probpalata.gov.ru/files/ЮЛ770101216600859.jpeg","Скачать индивидуальный QR-код магазина")</f>
        <v>Скачать индивидуальный QR-код магазина</v>
      </c>
    </row>
    <row r="12608" spans="1:7" x14ac:dyDescent="0.25">
      <c r="A12608" t="s">
        <v>39226</v>
      </c>
      <c r="B12608" t="s">
        <v>39267</v>
      </c>
      <c r="C12608" t="s">
        <v>1416</v>
      </c>
      <c r="D12608" t="s">
        <v>1417</v>
      </c>
      <c r="E12608" t="s">
        <v>1418</v>
      </c>
      <c r="F12608" t="s">
        <v>39284</v>
      </c>
      <c r="G12608" s="2" t="str">
        <f>HYPERLINK("https://probpalata.gov.ru/files/ЮЛ770100419400244.jpeg","Скачать индивидуальный QR-код магазина")</f>
        <v>Скачать индивидуальный QR-код магазина</v>
      </c>
    </row>
    <row r="12609" spans="1:7" x14ac:dyDescent="0.25">
      <c r="A12609" t="s">
        <v>39226</v>
      </c>
      <c r="B12609" t="s">
        <v>39285</v>
      </c>
      <c r="C12609" t="s">
        <v>748</v>
      </c>
      <c r="D12609" t="s">
        <v>749</v>
      </c>
      <c r="E12609" t="s">
        <v>750</v>
      </c>
      <c r="F12609" t="s">
        <v>39286</v>
      </c>
      <c r="G12609" s="2" t="str">
        <f>HYPERLINK("https://probpalata.gov.ru/files/ЮЛ770100193500263.jpeg","Скачать индивидуальный QR-код магазина")</f>
        <v>Скачать индивидуальный QR-код магазина</v>
      </c>
    </row>
    <row r="12610" spans="1:7" x14ac:dyDescent="0.25">
      <c r="A12610" t="s">
        <v>39226</v>
      </c>
      <c r="B12610" t="s">
        <v>39287</v>
      </c>
      <c r="C12610" t="s">
        <v>748</v>
      </c>
      <c r="D12610" t="s">
        <v>749</v>
      </c>
      <c r="E12610" t="s">
        <v>750</v>
      </c>
      <c r="F12610" t="s">
        <v>39288</v>
      </c>
      <c r="G12610" s="2" t="str">
        <f>HYPERLINK("https://probpalata.gov.ru/files/ЮЛ770100193500264.jpeg","Скачать индивидуальный QR-код магазина")</f>
        <v>Скачать индивидуальный QR-код магазина</v>
      </c>
    </row>
    <row r="12611" spans="1:7" x14ac:dyDescent="0.25">
      <c r="A12611" t="s">
        <v>39226</v>
      </c>
      <c r="B12611" t="s">
        <v>39289</v>
      </c>
      <c r="C12611" t="s">
        <v>748</v>
      </c>
      <c r="D12611" t="s">
        <v>749</v>
      </c>
      <c r="E12611" t="s">
        <v>750</v>
      </c>
      <c r="F12611" t="s">
        <v>39290</v>
      </c>
      <c r="G12611" s="2" t="str">
        <f>HYPERLINK("https://probpalata.gov.ru/files/ЮЛ770100193501062.jpeg","Скачать индивидуальный QR-код магазина")</f>
        <v>Скачать индивидуальный QR-код магазина</v>
      </c>
    </row>
    <row r="12612" spans="1:7" x14ac:dyDescent="0.25">
      <c r="A12612" t="s">
        <v>39226</v>
      </c>
      <c r="B12612" t="s">
        <v>39291</v>
      </c>
      <c r="C12612" t="s">
        <v>773</v>
      </c>
      <c r="D12612" t="s">
        <v>774</v>
      </c>
      <c r="E12612" t="s">
        <v>775</v>
      </c>
      <c r="F12612" t="s">
        <v>39292</v>
      </c>
      <c r="G12612" s="2" t="str">
        <f>HYPERLINK("https://probpalata.gov.ru/files/ЮЛ780300131300223.jpeg","Скачать индивидуальный QR-код магазина")</f>
        <v>Скачать индивидуальный QR-код магазина</v>
      </c>
    </row>
    <row r="12613" spans="1:7" x14ac:dyDescent="0.25">
      <c r="A12613" t="s">
        <v>39226</v>
      </c>
      <c r="B12613" t="s">
        <v>39293</v>
      </c>
      <c r="C12613" t="s">
        <v>1441</v>
      </c>
      <c r="D12613" t="s">
        <v>1442</v>
      </c>
      <c r="E12613" t="s">
        <v>1443</v>
      </c>
      <c r="F12613" t="s">
        <v>39294</v>
      </c>
      <c r="G12613" s="2" t="str">
        <f>HYPERLINK("https://probpalata.gov.ru/files/ЮЛ780300179700009.jpeg","Скачать индивидуальный QR-код магазина")</f>
        <v>Скачать индивидуальный QR-код магазина</v>
      </c>
    </row>
    <row r="12614" spans="1:7" x14ac:dyDescent="0.25">
      <c r="A12614" t="s">
        <v>39226</v>
      </c>
      <c r="B12614" t="s">
        <v>39295</v>
      </c>
      <c r="C12614" t="s">
        <v>791</v>
      </c>
      <c r="D12614" t="s">
        <v>792</v>
      </c>
      <c r="E12614" t="s">
        <v>793</v>
      </c>
      <c r="F12614" t="s">
        <v>39296</v>
      </c>
      <c r="G12614" s="2" t="str">
        <f>HYPERLINK("https://probpalata.gov.ru/files/ЮЛ780300323500117.jpeg","Скачать индивидуальный QR-код магазина")</f>
        <v>Скачать индивидуальный QR-код магазина</v>
      </c>
    </row>
    <row r="12615" spans="1:7" x14ac:dyDescent="0.25">
      <c r="A12615" t="s">
        <v>39226</v>
      </c>
      <c r="B12615" t="s">
        <v>39297</v>
      </c>
      <c r="C12615" t="s">
        <v>791</v>
      </c>
      <c r="D12615" t="s">
        <v>792</v>
      </c>
      <c r="E12615" t="s">
        <v>793</v>
      </c>
      <c r="F12615" t="s">
        <v>39298</v>
      </c>
      <c r="G12615" s="2" t="str">
        <f>HYPERLINK("https://probpalata.gov.ru/files/ЮЛ780300323500118.jpeg","Скачать индивидуальный QR-код магазина")</f>
        <v>Скачать индивидуальный QR-код магазина</v>
      </c>
    </row>
    <row r="12616" spans="1:7" x14ac:dyDescent="0.25">
      <c r="A12616" t="s">
        <v>39226</v>
      </c>
      <c r="B12616" t="s">
        <v>39299</v>
      </c>
      <c r="C12616" t="s">
        <v>791</v>
      </c>
      <c r="D12616" t="s">
        <v>792</v>
      </c>
      <c r="E12616" t="s">
        <v>793</v>
      </c>
      <c r="F12616" t="s">
        <v>39300</v>
      </c>
      <c r="G12616" s="2" t="str">
        <f>HYPERLINK("https://probpalata.gov.ru/files/ЮЛ780300323500119.jpeg","Скачать индивидуальный QR-код магазина")</f>
        <v>Скачать индивидуальный QR-код магазина</v>
      </c>
    </row>
    <row r="12617" spans="1:7" x14ac:dyDescent="0.25">
      <c r="A12617" t="s">
        <v>39226</v>
      </c>
      <c r="B12617" t="s">
        <v>39301</v>
      </c>
      <c r="C12617" t="s">
        <v>798</v>
      </c>
      <c r="D12617" t="s">
        <v>799</v>
      </c>
      <c r="E12617" t="s">
        <v>800</v>
      </c>
      <c r="F12617" t="s">
        <v>39302</v>
      </c>
      <c r="G12617" s="2" t="str">
        <f>HYPERLINK("https://probpalata.gov.ru/files/ЮЛ780300308200022.jpeg","Скачать индивидуальный QR-код магазина")</f>
        <v>Скачать индивидуальный QR-код магазина</v>
      </c>
    </row>
    <row r="12618" spans="1:7" x14ac:dyDescent="0.25">
      <c r="A12618" t="s">
        <v>39226</v>
      </c>
      <c r="B12618" t="s">
        <v>39303</v>
      </c>
      <c r="C12618" t="s">
        <v>798</v>
      </c>
      <c r="D12618" t="s">
        <v>799</v>
      </c>
      <c r="E12618" t="s">
        <v>800</v>
      </c>
      <c r="F12618" t="s">
        <v>39304</v>
      </c>
      <c r="G12618" s="2" t="str">
        <f>HYPERLINK("https://probpalata.gov.ru/files/ЮЛ780300308200616.jpeg","Скачать индивидуальный QR-код магазина")</f>
        <v>Скачать индивидуальный QR-код магазина</v>
      </c>
    </row>
    <row r="12619" spans="1:7" x14ac:dyDescent="0.25">
      <c r="A12619" t="s">
        <v>39226</v>
      </c>
      <c r="B12619" t="s">
        <v>39305</v>
      </c>
      <c r="C12619" t="s">
        <v>798</v>
      </c>
      <c r="D12619" t="s">
        <v>799</v>
      </c>
      <c r="E12619" t="s">
        <v>800</v>
      </c>
      <c r="F12619" t="s">
        <v>39306</v>
      </c>
      <c r="G12619" s="2" t="str">
        <f>HYPERLINK("https://probpalata.gov.ru/files/ЮЛ780300308200639.jpeg","Скачать индивидуальный QR-код магазина")</f>
        <v>Скачать индивидуальный QR-код магазина</v>
      </c>
    </row>
    <row r="12620" spans="1:7" x14ac:dyDescent="0.25">
      <c r="A12620" t="s">
        <v>39226</v>
      </c>
      <c r="B12620" t="s">
        <v>39307</v>
      </c>
      <c r="C12620" t="s">
        <v>823</v>
      </c>
      <c r="D12620" t="s">
        <v>824</v>
      </c>
      <c r="E12620" t="s">
        <v>825</v>
      </c>
      <c r="F12620" t="s">
        <v>39308</v>
      </c>
      <c r="G12620" s="2" t="str">
        <f>HYPERLINK("https://probpalata.gov.ru/files/ЮЛ780300363500184.jpeg","Скачать индивидуальный QR-код магазина")</f>
        <v>Скачать индивидуальный QR-код магазина</v>
      </c>
    </row>
    <row r="12621" spans="1:7" x14ac:dyDescent="0.25">
      <c r="A12621" t="s">
        <v>39226</v>
      </c>
      <c r="B12621" t="s">
        <v>39269</v>
      </c>
      <c r="C12621" t="s">
        <v>823</v>
      </c>
      <c r="D12621" t="s">
        <v>824</v>
      </c>
      <c r="E12621" t="s">
        <v>825</v>
      </c>
      <c r="F12621" t="s">
        <v>39309</v>
      </c>
      <c r="G12621" s="2" t="str">
        <f>HYPERLINK("https://probpalata.gov.ru/files/ЮЛ780300363500185.jpeg","Скачать индивидуальный QR-код магазина")</f>
        <v>Скачать индивидуальный QR-код магазина</v>
      </c>
    </row>
    <row r="12622" spans="1:7" x14ac:dyDescent="0.25">
      <c r="A12622" t="s">
        <v>39226</v>
      </c>
      <c r="B12622" t="s">
        <v>39310</v>
      </c>
      <c r="C12622" t="s">
        <v>823</v>
      </c>
      <c r="D12622" t="s">
        <v>824</v>
      </c>
      <c r="E12622" t="s">
        <v>825</v>
      </c>
      <c r="F12622" t="s">
        <v>39311</v>
      </c>
      <c r="G12622" s="2" t="str">
        <f>HYPERLINK("https://probpalata.gov.ru/files/ЮЛ780300363500186.jpeg","Скачать индивидуальный QR-код магазина")</f>
        <v>Скачать индивидуальный QR-код магазина</v>
      </c>
    </row>
    <row r="12623" spans="1:7" x14ac:dyDescent="0.25">
      <c r="A12623" t="s">
        <v>39226</v>
      </c>
      <c r="B12623" t="s">
        <v>39312</v>
      </c>
      <c r="C12623" t="s">
        <v>823</v>
      </c>
      <c r="D12623" t="s">
        <v>824</v>
      </c>
      <c r="E12623" t="s">
        <v>825</v>
      </c>
      <c r="F12623" t="s">
        <v>39313</v>
      </c>
      <c r="G12623" s="2" t="str">
        <f>HYPERLINK("https://probpalata.gov.ru/files/ЮЛ780300363500187.jpeg","Скачать индивидуальный QR-код магазина")</f>
        <v>Скачать индивидуальный QR-код магазина</v>
      </c>
    </row>
    <row r="12624" spans="1:7" x14ac:dyDescent="0.25">
      <c r="A12624" t="s">
        <v>39226</v>
      </c>
      <c r="B12624" t="s">
        <v>39314</v>
      </c>
      <c r="C12624" t="s">
        <v>1501</v>
      </c>
      <c r="D12624" t="s">
        <v>1502</v>
      </c>
      <c r="E12624" t="s">
        <v>1503</v>
      </c>
      <c r="F12624" t="s">
        <v>39315</v>
      </c>
      <c r="G12624" s="2" t="str">
        <f>HYPERLINK("https://probpalata.gov.ru/files/ЮЛ770100439200007.jpeg","Скачать индивидуальный QR-код магазина")</f>
        <v>Скачать индивидуальный QR-код магазина</v>
      </c>
    </row>
    <row r="12625" spans="1:7" x14ac:dyDescent="0.25">
      <c r="A12625" t="s">
        <v>39226</v>
      </c>
      <c r="B12625" t="s">
        <v>39316</v>
      </c>
      <c r="C12625" t="s">
        <v>1501</v>
      </c>
      <c r="D12625" t="s">
        <v>1502</v>
      </c>
      <c r="E12625" t="s">
        <v>1503</v>
      </c>
      <c r="F12625" t="s">
        <v>39317</v>
      </c>
      <c r="G12625" s="2" t="str">
        <f>HYPERLINK("https://probpalata.gov.ru/files/ЮЛ770100439200008.jpeg","Скачать индивидуальный QR-код магазина")</f>
        <v>Скачать индивидуальный QR-код магазина</v>
      </c>
    </row>
    <row r="12626" spans="1:7" x14ac:dyDescent="0.25">
      <c r="A12626" t="s">
        <v>39318</v>
      </c>
      <c r="B12626" t="s">
        <v>39319</v>
      </c>
      <c r="C12626" t="s">
        <v>39320</v>
      </c>
      <c r="D12626" t="s">
        <v>39321</v>
      </c>
      <c r="E12626" t="s">
        <v>39322</v>
      </c>
      <c r="F12626" t="s">
        <v>39323</v>
      </c>
      <c r="G12626" s="2" t="str">
        <f>HYPERLINK("https://probpalata.gov.ru/files/ЮЛ110300376000000.jpeg","Скачать индивидуальный QR-код магазина")</f>
        <v>Скачать индивидуальный QR-код магазина</v>
      </c>
    </row>
    <row r="12627" spans="1:7" x14ac:dyDescent="0.25">
      <c r="A12627" t="s">
        <v>39318</v>
      </c>
      <c r="B12627" t="s">
        <v>39324</v>
      </c>
      <c r="C12627" t="s">
        <v>10981</v>
      </c>
      <c r="D12627" t="s">
        <v>10982</v>
      </c>
      <c r="E12627" t="s">
        <v>10983</v>
      </c>
      <c r="F12627" t="s">
        <v>39325</v>
      </c>
      <c r="G12627" s="2" t="str">
        <f>HYPERLINK("https://probpalata.gov.ru/files/ИП110300790100001.jpeg","Скачать индивидуальный QR-код магазина")</f>
        <v>Скачать индивидуальный QR-код магазина</v>
      </c>
    </row>
    <row r="12628" spans="1:7" x14ac:dyDescent="0.25">
      <c r="A12628" t="s">
        <v>39318</v>
      </c>
      <c r="B12628" t="s">
        <v>39326</v>
      </c>
      <c r="C12628" t="s">
        <v>10981</v>
      </c>
      <c r="D12628" t="s">
        <v>10982</v>
      </c>
      <c r="E12628" t="s">
        <v>10983</v>
      </c>
      <c r="F12628" t="s">
        <v>39327</v>
      </c>
      <c r="G12628" s="2" t="str">
        <f>HYPERLINK("https://probpalata.gov.ru/files/ИП110300790100002.jpeg","Скачать индивидуальный QR-код магазина")</f>
        <v>Скачать индивидуальный QR-код магазина</v>
      </c>
    </row>
    <row r="12629" spans="1:7" x14ac:dyDescent="0.25">
      <c r="A12629" t="s">
        <v>39318</v>
      </c>
      <c r="B12629" t="s">
        <v>39328</v>
      </c>
      <c r="C12629" t="s">
        <v>10981</v>
      </c>
      <c r="D12629" t="s">
        <v>10982</v>
      </c>
      <c r="E12629" t="s">
        <v>10983</v>
      </c>
      <c r="F12629" t="s">
        <v>39329</v>
      </c>
      <c r="G12629" s="2" t="str">
        <f>HYPERLINK("https://probpalata.gov.ru/files/ИП110300790100004.jpeg","Скачать индивидуальный QR-код магазина")</f>
        <v>Скачать индивидуальный QR-код магазина</v>
      </c>
    </row>
    <row r="12630" spans="1:7" x14ac:dyDescent="0.25">
      <c r="A12630" t="s">
        <v>39318</v>
      </c>
      <c r="B12630" t="s">
        <v>39330</v>
      </c>
      <c r="C12630" t="s">
        <v>10981</v>
      </c>
      <c r="D12630" t="s">
        <v>10982</v>
      </c>
      <c r="E12630" t="s">
        <v>10983</v>
      </c>
      <c r="F12630" t="s">
        <v>39331</v>
      </c>
      <c r="G12630" s="2" t="str">
        <f>HYPERLINK("https://probpalata.gov.ru/files/ИП110300790100005.jpeg","Скачать индивидуальный QR-код магазина")</f>
        <v>Скачать индивидуальный QR-код магазина</v>
      </c>
    </row>
    <row r="12631" spans="1:7" x14ac:dyDescent="0.25">
      <c r="A12631" t="s">
        <v>39318</v>
      </c>
      <c r="B12631" t="s">
        <v>39332</v>
      </c>
      <c r="C12631" t="s">
        <v>10981</v>
      </c>
      <c r="D12631" t="s">
        <v>10982</v>
      </c>
      <c r="E12631" t="s">
        <v>10983</v>
      </c>
      <c r="F12631" t="s">
        <v>39333</v>
      </c>
      <c r="G12631" s="2" t="str">
        <f>HYPERLINK("https://probpalata.gov.ru/files/ИП110300790100006.jpeg","Скачать индивидуальный QR-код магазина")</f>
        <v>Скачать индивидуальный QR-код магазина</v>
      </c>
    </row>
    <row r="12632" spans="1:7" x14ac:dyDescent="0.25">
      <c r="A12632" t="s">
        <v>39318</v>
      </c>
      <c r="B12632" t="s">
        <v>39334</v>
      </c>
      <c r="C12632" t="s">
        <v>10981</v>
      </c>
      <c r="D12632" t="s">
        <v>10982</v>
      </c>
      <c r="E12632" t="s">
        <v>10983</v>
      </c>
      <c r="F12632" t="s">
        <v>39335</v>
      </c>
      <c r="G12632" s="2" t="str">
        <f>HYPERLINK("https://probpalata.gov.ru/files/ИП110300790100007.jpeg","Скачать индивидуальный QR-код магазина")</f>
        <v>Скачать индивидуальный QR-код магазина</v>
      </c>
    </row>
    <row r="12633" spans="1:7" x14ac:dyDescent="0.25">
      <c r="A12633" t="s">
        <v>39318</v>
      </c>
      <c r="B12633" t="s">
        <v>39336</v>
      </c>
      <c r="C12633" t="s">
        <v>10981</v>
      </c>
      <c r="D12633" t="s">
        <v>10982</v>
      </c>
      <c r="E12633" t="s">
        <v>10983</v>
      </c>
      <c r="F12633" t="s">
        <v>39337</v>
      </c>
      <c r="G12633" s="2" t="str">
        <f>HYPERLINK("https://probpalata.gov.ru/files/ИП110300790100008.jpeg","Скачать индивидуальный QR-код магазина")</f>
        <v>Скачать индивидуальный QR-код магазина</v>
      </c>
    </row>
    <row r="12634" spans="1:7" x14ac:dyDescent="0.25">
      <c r="A12634" t="s">
        <v>39318</v>
      </c>
      <c r="B12634" t="s">
        <v>39338</v>
      </c>
      <c r="C12634" t="s">
        <v>10981</v>
      </c>
      <c r="D12634" t="s">
        <v>10982</v>
      </c>
      <c r="E12634" t="s">
        <v>10983</v>
      </c>
      <c r="F12634" t="s">
        <v>39339</v>
      </c>
      <c r="G12634" s="2" t="str">
        <f>HYPERLINK("https://probpalata.gov.ru/files/ИП110300790100011.jpeg","Скачать индивидуальный QR-код магазина")</f>
        <v>Скачать индивидуальный QR-код магазина</v>
      </c>
    </row>
    <row r="12635" spans="1:7" x14ac:dyDescent="0.25">
      <c r="A12635" t="s">
        <v>39318</v>
      </c>
      <c r="B12635" t="s">
        <v>39340</v>
      </c>
      <c r="C12635" t="s">
        <v>10981</v>
      </c>
      <c r="D12635" t="s">
        <v>10982</v>
      </c>
      <c r="E12635" t="s">
        <v>10983</v>
      </c>
      <c r="F12635" t="s">
        <v>39341</v>
      </c>
      <c r="G12635" s="2" t="str">
        <f>HYPERLINK("https://probpalata.gov.ru/files/ИП110300790100012.jpeg","Скачать индивидуальный QR-код магазина")</f>
        <v>Скачать индивидуальный QR-код магазина</v>
      </c>
    </row>
    <row r="12636" spans="1:7" x14ac:dyDescent="0.25">
      <c r="A12636" t="s">
        <v>39318</v>
      </c>
      <c r="B12636" t="s">
        <v>39342</v>
      </c>
      <c r="C12636" t="s">
        <v>10981</v>
      </c>
      <c r="D12636" t="s">
        <v>10982</v>
      </c>
      <c r="E12636" t="s">
        <v>10983</v>
      </c>
      <c r="F12636" t="s">
        <v>39343</v>
      </c>
      <c r="G12636" s="2" t="str">
        <f>HYPERLINK("https://probpalata.gov.ru/files/ИП110300790100013.jpeg","Скачать индивидуальный QR-код магазина")</f>
        <v>Скачать индивидуальный QR-код магазина</v>
      </c>
    </row>
    <row r="12637" spans="1:7" x14ac:dyDescent="0.25">
      <c r="A12637" t="s">
        <v>39318</v>
      </c>
      <c r="B12637" t="s">
        <v>39344</v>
      </c>
      <c r="C12637" t="s">
        <v>39345</v>
      </c>
      <c r="D12637" t="s">
        <v>39346</v>
      </c>
      <c r="E12637" t="s">
        <v>39347</v>
      </c>
      <c r="F12637" t="s">
        <v>39348</v>
      </c>
      <c r="G12637" s="2" t="str">
        <f>HYPERLINK("https://probpalata.gov.ru/files/ЮЛ110300306300000.jpeg","Скачать индивидуальный QR-код магазина")</f>
        <v>Скачать индивидуальный QR-код магазина</v>
      </c>
    </row>
    <row r="12638" spans="1:7" x14ac:dyDescent="0.25">
      <c r="A12638" t="s">
        <v>39318</v>
      </c>
      <c r="B12638" t="s">
        <v>39349</v>
      </c>
      <c r="C12638" t="s">
        <v>39350</v>
      </c>
      <c r="D12638" t="s">
        <v>39351</v>
      </c>
      <c r="E12638" t="s">
        <v>39352</v>
      </c>
      <c r="F12638" t="s">
        <v>39353</v>
      </c>
      <c r="G12638" s="2" t="str">
        <f>HYPERLINK("https://probpalata.gov.ru/files/ЮЛ110300551700000.jpeg","Скачать индивидуальный QR-код магазина")</f>
        <v>Скачать индивидуальный QR-код магазина</v>
      </c>
    </row>
    <row r="12639" spans="1:7" x14ac:dyDescent="0.25">
      <c r="A12639" t="s">
        <v>39318</v>
      </c>
      <c r="B12639" t="s">
        <v>39354</v>
      </c>
      <c r="C12639" t="s">
        <v>39350</v>
      </c>
      <c r="D12639" t="s">
        <v>39351</v>
      </c>
      <c r="E12639" t="s">
        <v>39352</v>
      </c>
      <c r="F12639" t="s">
        <v>39355</v>
      </c>
      <c r="G12639" s="2" t="str">
        <f>HYPERLINK("https://probpalata.gov.ru/files/ЮЛ110300551700001.jpeg","Скачать индивидуальный QR-код магазина")</f>
        <v>Скачать индивидуальный QR-код магазина</v>
      </c>
    </row>
    <row r="12640" spans="1:7" x14ac:dyDescent="0.25">
      <c r="A12640" t="s">
        <v>39318</v>
      </c>
      <c r="B12640" t="s">
        <v>39356</v>
      </c>
      <c r="C12640" t="s">
        <v>39350</v>
      </c>
      <c r="D12640" t="s">
        <v>39351</v>
      </c>
      <c r="E12640" t="s">
        <v>39352</v>
      </c>
      <c r="F12640" t="s">
        <v>39357</v>
      </c>
      <c r="G12640" s="2" t="str">
        <f>HYPERLINK("https://probpalata.gov.ru/files/ЮЛ110300551700003.jpeg","Скачать индивидуальный QR-код магазина")</f>
        <v>Скачать индивидуальный QR-код магазина</v>
      </c>
    </row>
    <row r="12641" spans="1:7" x14ac:dyDescent="0.25">
      <c r="A12641" t="s">
        <v>39318</v>
      </c>
      <c r="B12641" t="s">
        <v>39358</v>
      </c>
      <c r="C12641" t="s">
        <v>39350</v>
      </c>
      <c r="D12641" t="s">
        <v>39351</v>
      </c>
      <c r="E12641" t="s">
        <v>39352</v>
      </c>
      <c r="F12641" t="s">
        <v>39359</v>
      </c>
      <c r="G12641" s="2" t="str">
        <f>HYPERLINK("https://probpalata.gov.ru/files/ЮЛ110300551700004.jpeg","Скачать индивидуальный QR-код магазина")</f>
        <v>Скачать индивидуальный QR-код магазина</v>
      </c>
    </row>
    <row r="12642" spans="1:7" x14ac:dyDescent="0.25">
      <c r="A12642" t="s">
        <v>39318</v>
      </c>
      <c r="B12642" t="s">
        <v>39360</v>
      </c>
      <c r="C12642" t="s">
        <v>39350</v>
      </c>
      <c r="D12642" t="s">
        <v>39351</v>
      </c>
      <c r="E12642" t="s">
        <v>39352</v>
      </c>
      <c r="F12642" t="s">
        <v>39361</v>
      </c>
      <c r="G12642" s="2" t="str">
        <f>HYPERLINK("https://probpalata.gov.ru/files/ЮЛ110300551700005.jpeg","Скачать индивидуальный QR-код магазина")</f>
        <v>Скачать индивидуальный QR-код магазина</v>
      </c>
    </row>
    <row r="12643" spans="1:7" x14ac:dyDescent="0.25">
      <c r="A12643" t="s">
        <v>39318</v>
      </c>
      <c r="B12643" t="s">
        <v>39362</v>
      </c>
      <c r="C12643" t="s">
        <v>39350</v>
      </c>
      <c r="D12643" t="s">
        <v>39351</v>
      </c>
      <c r="E12643" t="s">
        <v>39352</v>
      </c>
      <c r="F12643" t="s">
        <v>39363</v>
      </c>
      <c r="G12643" s="2" t="str">
        <f>HYPERLINK("https://probpalata.gov.ru/files/ЮЛ110300551700006.jpeg","Скачать индивидуальный QR-код магазина")</f>
        <v>Скачать индивидуальный QR-код магазина</v>
      </c>
    </row>
    <row r="12644" spans="1:7" x14ac:dyDescent="0.25">
      <c r="A12644" t="s">
        <v>39318</v>
      </c>
      <c r="B12644" t="s">
        <v>39364</v>
      </c>
      <c r="C12644" t="s">
        <v>39350</v>
      </c>
      <c r="D12644" t="s">
        <v>39351</v>
      </c>
      <c r="E12644" t="s">
        <v>39352</v>
      </c>
      <c r="F12644" t="s">
        <v>39365</v>
      </c>
      <c r="G12644" s="2" t="str">
        <f>HYPERLINK("https://probpalata.gov.ru/files/ЮЛ110300551700007.jpeg","Скачать индивидуальный QR-код магазина")</f>
        <v>Скачать индивидуальный QR-код магазина</v>
      </c>
    </row>
    <row r="12645" spans="1:7" x14ac:dyDescent="0.25">
      <c r="A12645" t="s">
        <v>39318</v>
      </c>
      <c r="B12645" t="s">
        <v>39366</v>
      </c>
      <c r="C12645" t="s">
        <v>39350</v>
      </c>
      <c r="D12645" t="s">
        <v>39351</v>
      </c>
      <c r="E12645" t="s">
        <v>39352</v>
      </c>
      <c r="F12645" t="s">
        <v>39367</v>
      </c>
      <c r="G12645" s="2" t="str">
        <f>HYPERLINK("https://probpalata.gov.ru/files/ЮЛ110300551700008.jpeg","Скачать индивидуальный QR-код магазина")</f>
        <v>Скачать индивидуальный QR-код магазина</v>
      </c>
    </row>
    <row r="12646" spans="1:7" x14ac:dyDescent="0.25">
      <c r="A12646" t="s">
        <v>39318</v>
      </c>
      <c r="B12646" t="s">
        <v>39368</v>
      </c>
      <c r="C12646" t="s">
        <v>39350</v>
      </c>
      <c r="D12646" t="s">
        <v>39351</v>
      </c>
      <c r="E12646" t="s">
        <v>39352</v>
      </c>
      <c r="F12646" t="s">
        <v>39369</v>
      </c>
      <c r="G12646" s="2" t="str">
        <f>HYPERLINK("https://probpalata.gov.ru/files/ЮЛ110300551700009.jpeg","Скачать индивидуальный QR-код магазина")</f>
        <v>Скачать индивидуальный QR-код магазина</v>
      </c>
    </row>
    <row r="12647" spans="1:7" x14ac:dyDescent="0.25">
      <c r="A12647" t="s">
        <v>39318</v>
      </c>
      <c r="B12647" t="s">
        <v>39370</v>
      </c>
      <c r="C12647" t="s">
        <v>39350</v>
      </c>
      <c r="D12647" t="s">
        <v>39351</v>
      </c>
      <c r="E12647" t="s">
        <v>39352</v>
      </c>
      <c r="F12647" t="s">
        <v>39371</v>
      </c>
      <c r="G12647" s="2" t="str">
        <f>HYPERLINK("https://probpalata.gov.ru/files/ЮЛ110300551700011.jpeg","Скачать индивидуальный QR-код магазина")</f>
        <v>Скачать индивидуальный QR-код магазина</v>
      </c>
    </row>
    <row r="12648" spans="1:7" x14ac:dyDescent="0.25">
      <c r="A12648" t="s">
        <v>39318</v>
      </c>
      <c r="B12648" t="s">
        <v>39372</v>
      </c>
      <c r="C12648" t="s">
        <v>39350</v>
      </c>
      <c r="D12648" t="s">
        <v>39351</v>
      </c>
      <c r="E12648" t="s">
        <v>39352</v>
      </c>
      <c r="F12648" t="s">
        <v>39373</v>
      </c>
      <c r="G12648" s="2" t="str">
        <f>HYPERLINK("https://probpalata.gov.ru/files/ЮЛ110300551700014.jpeg","Скачать индивидуальный QR-код магазина")</f>
        <v>Скачать индивидуальный QR-код магазина</v>
      </c>
    </row>
    <row r="12649" spans="1:7" x14ac:dyDescent="0.25">
      <c r="A12649" t="s">
        <v>39318</v>
      </c>
      <c r="B12649" t="s">
        <v>39374</v>
      </c>
      <c r="C12649" t="s">
        <v>39350</v>
      </c>
      <c r="D12649" t="s">
        <v>39351</v>
      </c>
      <c r="E12649" t="s">
        <v>39352</v>
      </c>
      <c r="F12649" t="s">
        <v>39375</v>
      </c>
      <c r="G12649" s="2" t="str">
        <f>HYPERLINK("https://probpalata.gov.ru/files/ЮЛ110300551700015.jpeg","Скачать индивидуальный QR-код магазина")</f>
        <v>Скачать индивидуальный QR-код магазина</v>
      </c>
    </row>
    <row r="12650" spans="1:7" x14ac:dyDescent="0.25">
      <c r="A12650" t="s">
        <v>39318</v>
      </c>
      <c r="B12650" t="s">
        <v>39376</v>
      </c>
      <c r="C12650" t="s">
        <v>39350</v>
      </c>
      <c r="D12650" t="s">
        <v>39351</v>
      </c>
      <c r="E12650" t="s">
        <v>39352</v>
      </c>
      <c r="F12650" t="s">
        <v>39377</v>
      </c>
      <c r="G12650" s="2" t="str">
        <f>HYPERLINK("https://probpalata.gov.ru/files/ЮЛ110300551700016.jpeg","Скачать индивидуальный QR-код магазина")</f>
        <v>Скачать индивидуальный QR-код магазина</v>
      </c>
    </row>
    <row r="12651" spans="1:7" x14ac:dyDescent="0.25">
      <c r="A12651" t="s">
        <v>39318</v>
      </c>
      <c r="B12651" t="s">
        <v>39378</v>
      </c>
      <c r="C12651" t="s">
        <v>39350</v>
      </c>
      <c r="D12651" t="s">
        <v>39351</v>
      </c>
      <c r="E12651" t="s">
        <v>39352</v>
      </c>
      <c r="F12651" t="s">
        <v>39379</v>
      </c>
      <c r="G12651" s="2" t="str">
        <f>HYPERLINK("https://probpalata.gov.ru/files/ЮЛ110300551700017.jpeg","Скачать индивидуальный QR-код магазина")</f>
        <v>Скачать индивидуальный QR-код магазина</v>
      </c>
    </row>
    <row r="12652" spans="1:7" x14ac:dyDescent="0.25">
      <c r="A12652" t="s">
        <v>39318</v>
      </c>
      <c r="B12652" t="s">
        <v>39380</v>
      </c>
      <c r="C12652" t="s">
        <v>39350</v>
      </c>
      <c r="D12652" t="s">
        <v>39351</v>
      </c>
      <c r="E12652" t="s">
        <v>39352</v>
      </c>
      <c r="F12652" t="s">
        <v>39381</v>
      </c>
      <c r="G12652" s="2" t="str">
        <f>HYPERLINK("https://probpalata.gov.ru/files/ЮЛ110300551700018.jpeg","Скачать индивидуальный QR-код магазина")</f>
        <v>Скачать индивидуальный QR-код магазина</v>
      </c>
    </row>
    <row r="12653" spans="1:7" x14ac:dyDescent="0.25">
      <c r="A12653" t="s">
        <v>39318</v>
      </c>
      <c r="B12653" t="s">
        <v>39382</v>
      </c>
      <c r="C12653" t="s">
        <v>39350</v>
      </c>
      <c r="D12653" t="s">
        <v>39351</v>
      </c>
      <c r="E12653" t="s">
        <v>39352</v>
      </c>
      <c r="F12653" t="s">
        <v>39383</v>
      </c>
      <c r="G12653" s="2" t="str">
        <f>HYPERLINK("https://probpalata.gov.ru/files/ЮЛ110300551700019.jpeg","Скачать индивидуальный QR-код магазина")</f>
        <v>Скачать индивидуальный QR-код магазина</v>
      </c>
    </row>
    <row r="12654" spans="1:7" x14ac:dyDescent="0.25">
      <c r="A12654" t="s">
        <v>39318</v>
      </c>
      <c r="B12654" t="s">
        <v>39384</v>
      </c>
      <c r="C12654" t="s">
        <v>39385</v>
      </c>
      <c r="D12654" t="s">
        <v>39386</v>
      </c>
      <c r="E12654" t="s">
        <v>39387</v>
      </c>
      <c r="F12654" t="s">
        <v>39388</v>
      </c>
      <c r="G12654" s="2" t="str">
        <f>HYPERLINK("https://probpalata.gov.ru/files/ИП110300578700001.jpeg","Скачать индивидуальный QR-код магазина")</f>
        <v>Скачать индивидуальный QR-код магазина</v>
      </c>
    </row>
    <row r="12655" spans="1:7" x14ac:dyDescent="0.25">
      <c r="A12655" t="s">
        <v>39318</v>
      </c>
      <c r="B12655" t="s">
        <v>39389</v>
      </c>
      <c r="C12655" t="s">
        <v>39385</v>
      </c>
      <c r="D12655" t="s">
        <v>39386</v>
      </c>
      <c r="E12655" t="s">
        <v>39387</v>
      </c>
      <c r="F12655" t="s">
        <v>39390</v>
      </c>
      <c r="G12655" s="2" t="str">
        <f>HYPERLINK("https://probpalata.gov.ru/files/ИП110300578700002.jpeg","Скачать индивидуальный QR-код магазина")</f>
        <v>Скачать индивидуальный QR-код магазина</v>
      </c>
    </row>
    <row r="12656" spans="1:7" x14ac:dyDescent="0.25">
      <c r="A12656" t="s">
        <v>39318</v>
      </c>
      <c r="B12656" t="s">
        <v>39391</v>
      </c>
      <c r="C12656" t="s">
        <v>39385</v>
      </c>
      <c r="D12656" t="s">
        <v>39386</v>
      </c>
      <c r="E12656" t="s">
        <v>39387</v>
      </c>
      <c r="F12656" t="s">
        <v>39392</v>
      </c>
      <c r="G12656" s="2" t="str">
        <f>HYPERLINK("https://probpalata.gov.ru/files/ИП110300578700006.jpeg","Скачать индивидуальный QR-код магазина")</f>
        <v>Скачать индивидуальный QR-код магазина</v>
      </c>
    </row>
    <row r="12657" spans="1:7" x14ac:dyDescent="0.25">
      <c r="A12657" t="s">
        <v>39318</v>
      </c>
      <c r="B12657" t="s">
        <v>39393</v>
      </c>
      <c r="C12657" t="s">
        <v>39394</v>
      </c>
      <c r="D12657" t="s">
        <v>39395</v>
      </c>
      <c r="E12657" t="s">
        <v>39396</v>
      </c>
      <c r="F12657" t="s">
        <v>39397</v>
      </c>
      <c r="G12657" s="2" t="str">
        <f>HYPERLINK("https://probpalata.gov.ru/files/ИП110301857900000.jpeg","Скачать индивидуальный QR-код магазина")</f>
        <v>Скачать индивидуальный QR-код магазина</v>
      </c>
    </row>
    <row r="12658" spans="1:7" x14ac:dyDescent="0.25">
      <c r="A12658" t="s">
        <v>39318</v>
      </c>
      <c r="B12658" t="s">
        <v>39398</v>
      </c>
      <c r="C12658" t="s">
        <v>39394</v>
      </c>
      <c r="D12658" t="s">
        <v>39395</v>
      </c>
      <c r="E12658" t="s">
        <v>39396</v>
      </c>
      <c r="F12658" t="s">
        <v>39399</v>
      </c>
      <c r="G12658" s="2" t="str">
        <f>HYPERLINK("https://probpalata.gov.ru/files/ИП110301857900001.jpeg","Скачать индивидуальный QR-код магазина")</f>
        <v>Скачать индивидуальный QR-код магазина</v>
      </c>
    </row>
    <row r="12659" spans="1:7" x14ac:dyDescent="0.25">
      <c r="A12659" t="s">
        <v>39318</v>
      </c>
      <c r="B12659" t="s">
        <v>39400</v>
      </c>
      <c r="C12659" t="s">
        <v>39401</v>
      </c>
      <c r="D12659" t="s">
        <v>39402</v>
      </c>
      <c r="E12659" t="s">
        <v>39403</v>
      </c>
      <c r="F12659" t="s">
        <v>39404</v>
      </c>
      <c r="G12659" s="2" t="str">
        <f>HYPERLINK("https://probpalata.gov.ru/files/ИП110300448600000.jpeg","Скачать индивидуальный QR-код магазина")</f>
        <v>Скачать индивидуальный QR-код магазина</v>
      </c>
    </row>
    <row r="12660" spans="1:7" x14ac:dyDescent="0.25">
      <c r="A12660" t="s">
        <v>39318</v>
      </c>
      <c r="B12660" t="s">
        <v>39405</v>
      </c>
      <c r="C12660" t="s">
        <v>39406</v>
      </c>
      <c r="D12660" t="s">
        <v>39407</v>
      </c>
      <c r="E12660" t="s">
        <v>39408</v>
      </c>
      <c r="F12660" t="s">
        <v>39409</v>
      </c>
      <c r="G12660" s="2" t="str">
        <f>HYPERLINK("https://probpalata.gov.ru/files/ИП110300169400000.jpeg","Скачать индивидуальный QR-код магазина")</f>
        <v>Скачать индивидуальный QR-код магазина</v>
      </c>
    </row>
    <row r="12661" spans="1:7" x14ac:dyDescent="0.25">
      <c r="A12661" t="s">
        <v>39318</v>
      </c>
      <c r="B12661" t="s">
        <v>39410</v>
      </c>
      <c r="C12661" t="s">
        <v>39406</v>
      </c>
      <c r="D12661" t="s">
        <v>39407</v>
      </c>
      <c r="E12661" t="s">
        <v>39408</v>
      </c>
      <c r="F12661" t="s">
        <v>39411</v>
      </c>
      <c r="G12661" s="2" t="str">
        <f>HYPERLINK("https://probpalata.gov.ru/files/ИП110300169400004.jpeg","Скачать индивидуальный QR-код магазина")</f>
        <v>Скачать индивидуальный QR-код магазина</v>
      </c>
    </row>
    <row r="12662" spans="1:7" x14ac:dyDescent="0.25">
      <c r="A12662" t="s">
        <v>39318</v>
      </c>
      <c r="B12662" t="s">
        <v>39412</v>
      </c>
      <c r="C12662" t="s">
        <v>39406</v>
      </c>
      <c r="D12662" t="s">
        <v>39407</v>
      </c>
      <c r="E12662" t="s">
        <v>39408</v>
      </c>
      <c r="F12662" t="s">
        <v>39413</v>
      </c>
      <c r="G12662" s="2" t="str">
        <f>HYPERLINK("https://probpalata.gov.ru/files/ИП110300169400006.jpeg","Скачать индивидуальный QR-код магазина")</f>
        <v>Скачать индивидуальный QR-код магазина</v>
      </c>
    </row>
    <row r="12663" spans="1:7" x14ac:dyDescent="0.25">
      <c r="A12663" t="s">
        <v>39318</v>
      </c>
      <c r="B12663" t="s">
        <v>39414</v>
      </c>
      <c r="C12663" t="s">
        <v>39406</v>
      </c>
      <c r="D12663" t="s">
        <v>39407</v>
      </c>
      <c r="E12663" t="s">
        <v>39408</v>
      </c>
      <c r="F12663" t="s">
        <v>39415</v>
      </c>
      <c r="G12663" s="2" t="str">
        <f>HYPERLINK("https://probpalata.gov.ru/files/ИП110300169400007.jpeg","Скачать индивидуальный QR-код магазина")</f>
        <v>Скачать индивидуальный QR-код магазина</v>
      </c>
    </row>
    <row r="12664" spans="1:7" x14ac:dyDescent="0.25">
      <c r="A12664" t="s">
        <v>39318</v>
      </c>
      <c r="B12664" t="s">
        <v>39416</v>
      </c>
      <c r="C12664" t="s">
        <v>39417</v>
      </c>
      <c r="D12664" t="s">
        <v>39418</v>
      </c>
      <c r="E12664" t="s">
        <v>39419</v>
      </c>
      <c r="F12664" t="s">
        <v>39420</v>
      </c>
      <c r="G12664" s="2" t="str">
        <f>HYPERLINK("https://probpalata.gov.ru/files/ИП110300636700000.jpeg","Скачать индивидуальный QR-код магазина")</f>
        <v>Скачать индивидуальный QR-код магазина</v>
      </c>
    </row>
    <row r="12665" spans="1:7" x14ac:dyDescent="0.25">
      <c r="A12665" t="s">
        <v>39318</v>
      </c>
      <c r="B12665" t="s">
        <v>39421</v>
      </c>
      <c r="C12665" t="s">
        <v>39422</v>
      </c>
      <c r="D12665" t="s">
        <v>39423</v>
      </c>
      <c r="E12665" t="s">
        <v>39424</v>
      </c>
      <c r="F12665" t="s">
        <v>39425</v>
      </c>
      <c r="G12665" s="2" t="str">
        <f>HYPERLINK("https://probpalata.gov.ru/files/ЮЛ110300983000000.jpeg","Скачать индивидуальный QR-код магазина")</f>
        <v>Скачать индивидуальный QR-код магазина</v>
      </c>
    </row>
    <row r="12666" spans="1:7" x14ac:dyDescent="0.25">
      <c r="A12666" t="s">
        <v>39318</v>
      </c>
      <c r="B12666" t="s">
        <v>39426</v>
      </c>
      <c r="C12666" t="s">
        <v>39427</v>
      </c>
      <c r="D12666" t="s">
        <v>39428</v>
      </c>
      <c r="E12666" t="s">
        <v>39429</v>
      </c>
      <c r="F12666" t="s">
        <v>39430</v>
      </c>
      <c r="G12666" s="2" t="str">
        <f>HYPERLINK("https://probpalata.gov.ru/files/ЮЛ110301340300000.jpeg","Скачать индивидуальный QR-код магазина")</f>
        <v>Скачать индивидуальный QR-код магазина</v>
      </c>
    </row>
    <row r="12667" spans="1:7" x14ac:dyDescent="0.25">
      <c r="A12667" t="s">
        <v>39318</v>
      </c>
      <c r="B12667" t="s">
        <v>39431</v>
      </c>
      <c r="C12667" t="s">
        <v>39432</v>
      </c>
      <c r="D12667" t="s">
        <v>39433</v>
      </c>
      <c r="E12667" t="s">
        <v>39434</v>
      </c>
      <c r="F12667" t="s">
        <v>39435</v>
      </c>
      <c r="G12667" s="2" t="str">
        <f>HYPERLINK("https://probpalata.gov.ru/files/ИП110303653300000.jpeg","Скачать индивидуальный QR-код магазина")</f>
        <v>Скачать индивидуальный QR-код магазина</v>
      </c>
    </row>
    <row r="12668" spans="1:7" x14ac:dyDescent="0.25">
      <c r="A12668" t="s">
        <v>39318</v>
      </c>
      <c r="B12668" t="s">
        <v>39436</v>
      </c>
      <c r="C12668" t="s">
        <v>39437</v>
      </c>
      <c r="D12668" t="s">
        <v>39438</v>
      </c>
      <c r="E12668" t="s">
        <v>39439</v>
      </c>
      <c r="F12668" t="s">
        <v>39440</v>
      </c>
      <c r="G12668" s="2" t="str">
        <f>HYPERLINK("https://probpalata.gov.ru/files/ИП110301114100000.jpeg","Скачать индивидуальный QR-код магазина")</f>
        <v>Скачать индивидуальный QR-код магазина</v>
      </c>
    </row>
    <row r="12669" spans="1:7" x14ac:dyDescent="0.25">
      <c r="A12669" t="s">
        <v>39318</v>
      </c>
      <c r="B12669" t="s">
        <v>39441</v>
      </c>
      <c r="C12669" t="s">
        <v>39442</v>
      </c>
      <c r="D12669" t="s">
        <v>39443</v>
      </c>
      <c r="E12669" t="s">
        <v>39444</v>
      </c>
      <c r="F12669" t="s">
        <v>39445</v>
      </c>
      <c r="G12669" s="2" t="str">
        <f>HYPERLINK("https://probpalata.gov.ru/files/ИП110300373700000.jpeg","Скачать индивидуальный QR-код магазина")</f>
        <v>Скачать индивидуальный QR-код магазина</v>
      </c>
    </row>
    <row r="12670" spans="1:7" x14ac:dyDescent="0.25">
      <c r="A12670" t="s">
        <v>39318</v>
      </c>
      <c r="B12670" t="s">
        <v>39446</v>
      </c>
      <c r="C12670" t="s">
        <v>39447</v>
      </c>
      <c r="D12670" t="s">
        <v>39448</v>
      </c>
      <c r="E12670" t="s">
        <v>39449</v>
      </c>
      <c r="F12670" t="s">
        <v>39450</v>
      </c>
      <c r="G12670" s="2" t="str">
        <f>HYPERLINK("https://probpalata.gov.ru/files/ИП110301984600000.jpeg","Скачать индивидуальный QR-код магазина")</f>
        <v>Скачать индивидуальный QR-код магазина</v>
      </c>
    </row>
    <row r="12671" spans="1:7" x14ac:dyDescent="0.25">
      <c r="A12671" t="s">
        <v>39318</v>
      </c>
      <c r="B12671" t="s">
        <v>39451</v>
      </c>
      <c r="C12671" t="s">
        <v>39452</v>
      </c>
      <c r="D12671" t="s">
        <v>39453</v>
      </c>
      <c r="E12671" t="s">
        <v>39454</v>
      </c>
      <c r="F12671" t="s">
        <v>39455</v>
      </c>
      <c r="G12671" s="2" t="str">
        <f>HYPERLINK("https://probpalata.gov.ru/files/ИП110300483100000.jpeg","Скачать индивидуальный QR-код магазина")</f>
        <v>Скачать индивидуальный QR-код магазина</v>
      </c>
    </row>
    <row r="12672" spans="1:7" x14ac:dyDescent="0.25">
      <c r="A12672" t="s">
        <v>39318</v>
      </c>
      <c r="B12672" t="s">
        <v>39456</v>
      </c>
      <c r="C12672" t="s">
        <v>39457</v>
      </c>
      <c r="D12672" t="s">
        <v>39458</v>
      </c>
      <c r="E12672" t="s">
        <v>39459</v>
      </c>
      <c r="F12672" t="s">
        <v>39460</v>
      </c>
      <c r="G12672" s="2" t="str">
        <f>HYPERLINK("https://probpalata.gov.ru/files/ИП110300520600000.jpeg","Скачать индивидуальный QR-код магазина")</f>
        <v>Скачать индивидуальный QR-код магазина</v>
      </c>
    </row>
    <row r="12673" spans="1:7" x14ac:dyDescent="0.25">
      <c r="A12673" t="s">
        <v>39318</v>
      </c>
      <c r="B12673" t="s">
        <v>39461</v>
      </c>
      <c r="C12673" t="s">
        <v>39457</v>
      </c>
      <c r="D12673" t="s">
        <v>39458</v>
      </c>
      <c r="E12673" t="s">
        <v>39459</v>
      </c>
      <c r="F12673" t="s">
        <v>39462</v>
      </c>
      <c r="G12673" s="2" t="str">
        <f>HYPERLINK("https://probpalata.gov.ru/files/ИП110300520600002.jpeg","Скачать индивидуальный QR-код магазина")</f>
        <v>Скачать индивидуальный QR-код магазина</v>
      </c>
    </row>
    <row r="12674" spans="1:7" x14ac:dyDescent="0.25">
      <c r="A12674" t="s">
        <v>39318</v>
      </c>
      <c r="B12674" t="s">
        <v>39463</v>
      </c>
      <c r="C12674" t="s">
        <v>39457</v>
      </c>
      <c r="D12674" t="s">
        <v>39458</v>
      </c>
      <c r="E12674" t="s">
        <v>39459</v>
      </c>
      <c r="F12674" t="s">
        <v>39464</v>
      </c>
      <c r="G12674" s="2" t="str">
        <f>HYPERLINK("https://probpalata.gov.ru/files/ИП110300520600003.jpeg","Скачать индивидуальный QR-код магазина")</f>
        <v>Скачать индивидуальный QR-код магазина</v>
      </c>
    </row>
    <row r="12675" spans="1:7" x14ac:dyDescent="0.25">
      <c r="A12675" t="s">
        <v>39318</v>
      </c>
      <c r="B12675" t="s">
        <v>39465</v>
      </c>
      <c r="C12675" t="s">
        <v>39457</v>
      </c>
      <c r="D12675" t="s">
        <v>39458</v>
      </c>
      <c r="E12675" t="s">
        <v>39459</v>
      </c>
      <c r="F12675" t="s">
        <v>39466</v>
      </c>
      <c r="G12675" s="2" t="str">
        <f>HYPERLINK("https://probpalata.gov.ru/files/ИП110300520600004.jpeg","Скачать индивидуальный QR-код магазина")</f>
        <v>Скачать индивидуальный QR-код магазина</v>
      </c>
    </row>
    <row r="12676" spans="1:7" x14ac:dyDescent="0.25">
      <c r="A12676" t="s">
        <v>39318</v>
      </c>
      <c r="B12676" t="s">
        <v>39467</v>
      </c>
      <c r="C12676" t="s">
        <v>39457</v>
      </c>
      <c r="D12676" t="s">
        <v>39458</v>
      </c>
      <c r="E12676" t="s">
        <v>39459</v>
      </c>
      <c r="F12676" t="s">
        <v>39468</v>
      </c>
      <c r="G12676" s="2" t="str">
        <f>HYPERLINK("https://probpalata.gov.ru/files/ИП110300520600006.jpeg","Скачать индивидуальный QR-код магазина")</f>
        <v>Скачать индивидуальный QR-код магазина</v>
      </c>
    </row>
    <row r="12677" spans="1:7" x14ac:dyDescent="0.25">
      <c r="A12677" t="s">
        <v>39318</v>
      </c>
      <c r="B12677" t="s">
        <v>39469</v>
      </c>
      <c r="C12677" t="s">
        <v>39457</v>
      </c>
      <c r="D12677" t="s">
        <v>39458</v>
      </c>
      <c r="E12677" t="s">
        <v>39459</v>
      </c>
      <c r="F12677" t="s">
        <v>39470</v>
      </c>
      <c r="G12677" s="2" t="str">
        <f>HYPERLINK("https://probpalata.gov.ru/files/ИП110300520600007.jpeg","Скачать индивидуальный QR-код магазина")</f>
        <v>Скачать индивидуальный QR-код магазина</v>
      </c>
    </row>
    <row r="12678" spans="1:7" x14ac:dyDescent="0.25">
      <c r="A12678" t="s">
        <v>39318</v>
      </c>
      <c r="B12678" t="s">
        <v>39471</v>
      </c>
      <c r="C12678" t="s">
        <v>39457</v>
      </c>
      <c r="D12678" t="s">
        <v>39458</v>
      </c>
      <c r="E12678" t="s">
        <v>39459</v>
      </c>
      <c r="F12678" t="s">
        <v>39472</v>
      </c>
      <c r="G12678" s="2" t="str">
        <f>HYPERLINK("https://probpalata.gov.ru/files/ИП110300520600008.jpeg","Скачать индивидуальный QR-код магазина")</f>
        <v>Скачать индивидуальный QR-код магазина</v>
      </c>
    </row>
    <row r="12679" spans="1:7" x14ac:dyDescent="0.25">
      <c r="A12679" t="s">
        <v>39318</v>
      </c>
      <c r="B12679" t="s">
        <v>39473</v>
      </c>
      <c r="C12679" t="s">
        <v>39457</v>
      </c>
      <c r="D12679" t="s">
        <v>39458</v>
      </c>
      <c r="E12679" t="s">
        <v>39459</v>
      </c>
      <c r="F12679" t="s">
        <v>39474</v>
      </c>
      <c r="G12679" s="2" t="str">
        <f>HYPERLINK("https://probpalata.gov.ru/files/ИП110300520600009.jpeg","Скачать индивидуальный QR-код магазина")</f>
        <v>Скачать индивидуальный QR-код магазина</v>
      </c>
    </row>
    <row r="12680" spans="1:7" x14ac:dyDescent="0.25">
      <c r="A12680" t="s">
        <v>39318</v>
      </c>
      <c r="B12680" t="s">
        <v>39475</v>
      </c>
      <c r="C12680" t="s">
        <v>39476</v>
      </c>
      <c r="D12680" t="s">
        <v>39477</v>
      </c>
      <c r="E12680" t="s">
        <v>39478</v>
      </c>
      <c r="F12680" t="s">
        <v>39479</v>
      </c>
      <c r="G12680" s="2" t="str">
        <f>HYPERLINK("https://probpalata.gov.ru/files/ИП110301918200000.jpeg","Скачать индивидуальный QR-код магазина")</f>
        <v>Скачать индивидуальный QR-код магазина</v>
      </c>
    </row>
    <row r="12681" spans="1:7" x14ac:dyDescent="0.25">
      <c r="A12681" t="s">
        <v>39318</v>
      </c>
      <c r="B12681" t="s">
        <v>39480</v>
      </c>
      <c r="C12681" t="s">
        <v>39481</v>
      </c>
      <c r="D12681" t="s">
        <v>39482</v>
      </c>
      <c r="E12681" t="s">
        <v>39483</v>
      </c>
      <c r="F12681" t="s">
        <v>39484</v>
      </c>
      <c r="G12681" s="2" t="str">
        <f>HYPERLINK("https://probpalata.gov.ru/files/ИП110301682800000.jpeg","Скачать индивидуальный QR-код магазина")</f>
        <v>Скачать индивидуальный QR-код магазина</v>
      </c>
    </row>
    <row r="12682" spans="1:7" x14ac:dyDescent="0.25">
      <c r="A12682" t="s">
        <v>39318</v>
      </c>
      <c r="B12682" t="s">
        <v>39485</v>
      </c>
      <c r="C12682" t="s">
        <v>39486</v>
      </c>
      <c r="D12682" t="s">
        <v>39487</v>
      </c>
      <c r="E12682" t="s">
        <v>39488</v>
      </c>
      <c r="F12682" t="s">
        <v>39489</v>
      </c>
      <c r="G12682" s="2" t="str">
        <f>HYPERLINK("https://probpalata.gov.ru/files/ИП110303953400000.jpeg","Скачать индивидуальный QR-код магазина")</f>
        <v>Скачать индивидуальный QR-код магазина</v>
      </c>
    </row>
    <row r="12683" spans="1:7" x14ac:dyDescent="0.25">
      <c r="A12683" t="s">
        <v>39318</v>
      </c>
      <c r="B12683" t="s">
        <v>39490</v>
      </c>
      <c r="C12683" t="s">
        <v>39491</v>
      </c>
      <c r="D12683" t="s">
        <v>39492</v>
      </c>
      <c r="E12683" t="s">
        <v>39493</v>
      </c>
      <c r="F12683" t="s">
        <v>39494</v>
      </c>
      <c r="G12683" s="2" t="str">
        <f>HYPERLINK("https://probpalata.gov.ru/files/ИП110300401400000.jpeg","Скачать индивидуальный QR-код магазина")</f>
        <v>Скачать индивидуальный QR-код магазина</v>
      </c>
    </row>
    <row r="12684" spans="1:7" x14ac:dyDescent="0.25">
      <c r="A12684" t="s">
        <v>39318</v>
      </c>
      <c r="B12684" t="s">
        <v>39495</v>
      </c>
      <c r="C12684" t="s">
        <v>39496</v>
      </c>
      <c r="D12684" t="s">
        <v>39497</v>
      </c>
      <c r="E12684" t="s">
        <v>39498</v>
      </c>
      <c r="F12684" t="s">
        <v>39499</v>
      </c>
      <c r="G12684" s="2" t="str">
        <f>HYPERLINK("https://probpalata.gov.ru/files/ИП160600222400001.jpeg","Скачать индивидуальный QR-код магазина")</f>
        <v>Скачать индивидуальный QR-код магазина</v>
      </c>
    </row>
    <row r="12685" spans="1:7" x14ac:dyDescent="0.25">
      <c r="A12685" t="s">
        <v>39318</v>
      </c>
      <c r="B12685" t="s">
        <v>39500</v>
      </c>
      <c r="C12685" t="s">
        <v>39496</v>
      </c>
      <c r="D12685" t="s">
        <v>39497</v>
      </c>
      <c r="E12685" t="s">
        <v>39498</v>
      </c>
      <c r="F12685" t="s">
        <v>39501</v>
      </c>
      <c r="G12685" s="2" t="str">
        <f>HYPERLINK("https://probpalata.gov.ru/files/ИП160600222400008.jpeg","Скачать индивидуальный QR-код магазина")</f>
        <v>Скачать индивидуальный QR-код магазина</v>
      </c>
    </row>
    <row r="12686" spans="1:7" x14ac:dyDescent="0.25">
      <c r="A12686" t="s">
        <v>39318</v>
      </c>
      <c r="B12686" t="s">
        <v>39502</v>
      </c>
      <c r="C12686" t="s">
        <v>39503</v>
      </c>
      <c r="D12686" t="s">
        <v>39504</v>
      </c>
      <c r="E12686" t="s">
        <v>39505</v>
      </c>
      <c r="F12686" t="s">
        <v>39506</v>
      </c>
      <c r="G12686" s="2" t="str">
        <f>HYPERLINK("https://probpalata.gov.ru/files/ИП430601824200000.jpeg","Скачать индивидуальный QR-код магазина")</f>
        <v>Скачать индивидуальный QR-код магазина</v>
      </c>
    </row>
    <row r="12687" spans="1:7" x14ac:dyDescent="0.25">
      <c r="A12687" t="s">
        <v>39318</v>
      </c>
      <c r="B12687" t="s">
        <v>39507</v>
      </c>
      <c r="C12687" t="s">
        <v>1735</v>
      </c>
      <c r="D12687" t="s">
        <v>1736</v>
      </c>
      <c r="E12687" t="s">
        <v>1737</v>
      </c>
      <c r="F12687" t="s">
        <v>39508</v>
      </c>
      <c r="G12687" s="2" t="str">
        <f>HYPERLINK("https://probpalata.gov.ru/files/ЮЛ520603376600083.jpeg","Скачать индивидуальный QR-код магазина")</f>
        <v>Скачать индивидуальный QR-код магазина</v>
      </c>
    </row>
    <row r="12688" spans="1:7" x14ac:dyDescent="0.25">
      <c r="A12688" t="s">
        <v>39318</v>
      </c>
      <c r="B12688" t="s">
        <v>39509</v>
      </c>
      <c r="C12688" t="s">
        <v>1740</v>
      </c>
      <c r="D12688" t="s">
        <v>1741</v>
      </c>
      <c r="E12688" t="s">
        <v>1742</v>
      </c>
      <c r="F12688" t="s">
        <v>39510</v>
      </c>
      <c r="G12688" s="2" t="str">
        <f>HYPERLINK("https://probpalata.gov.ru/files/ЮЛ760201190700001.jpeg","Скачать индивидуальный QR-код магазина")</f>
        <v>Скачать индивидуальный QR-код магазина</v>
      </c>
    </row>
    <row r="12689" spans="1:7" x14ac:dyDescent="0.25">
      <c r="A12689" t="s">
        <v>39318</v>
      </c>
      <c r="B12689" t="s">
        <v>39511</v>
      </c>
      <c r="C12689" t="s">
        <v>1740</v>
      </c>
      <c r="D12689" t="s">
        <v>1741</v>
      </c>
      <c r="E12689" t="s">
        <v>1742</v>
      </c>
      <c r="F12689" t="s">
        <v>39512</v>
      </c>
      <c r="G12689" s="2" t="str">
        <f>HYPERLINK("https://probpalata.gov.ru/files/ЮЛ760201190700002.jpeg","Скачать индивидуальный QR-код магазина")</f>
        <v>Скачать индивидуальный QR-код магазина</v>
      </c>
    </row>
    <row r="12690" spans="1:7" x14ac:dyDescent="0.25">
      <c r="A12690" t="s">
        <v>39318</v>
      </c>
      <c r="B12690" t="s">
        <v>39513</v>
      </c>
      <c r="C12690" t="s">
        <v>713</v>
      </c>
      <c r="D12690" t="s">
        <v>714</v>
      </c>
      <c r="E12690" t="s">
        <v>715</v>
      </c>
      <c r="F12690" t="s">
        <v>39514</v>
      </c>
      <c r="G12690" s="2" t="str">
        <f>HYPERLINK("https://probpalata.gov.ru/files/ЮЛ770101216600088.jpeg","Скачать индивидуальный QR-код магазина")</f>
        <v>Скачать индивидуальный QR-код магазина</v>
      </c>
    </row>
    <row r="12691" spans="1:7" x14ac:dyDescent="0.25">
      <c r="A12691" t="s">
        <v>39318</v>
      </c>
      <c r="B12691" t="s">
        <v>39515</v>
      </c>
      <c r="C12691" t="s">
        <v>713</v>
      </c>
      <c r="D12691" t="s">
        <v>714</v>
      </c>
      <c r="E12691" t="s">
        <v>715</v>
      </c>
      <c r="F12691" t="s">
        <v>39516</v>
      </c>
      <c r="G12691" s="2" t="str">
        <f>HYPERLINK("https://probpalata.gov.ru/files/ЮЛ770101216600260.jpeg","Скачать индивидуальный QR-код магазина")</f>
        <v>Скачать индивидуальный QR-код магазина</v>
      </c>
    </row>
    <row r="12692" spans="1:7" x14ac:dyDescent="0.25">
      <c r="A12692" t="s">
        <v>39318</v>
      </c>
      <c r="B12692" t="s">
        <v>39517</v>
      </c>
      <c r="C12692" t="s">
        <v>713</v>
      </c>
      <c r="D12692" t="s">
        <v>714</v>
      </c>
      <c r="E12692" t="s">
        <v>715</v>
      </c>
      <c r="F12692" t="s">
        <v>39518</v>
      </c>
      <c r="G12692" s="2" t="str">
        <f>HYPERLINK("https://probpalata.gov.ru/files/ЮЛ770101216600375.jpeg","Скачать индивидуальный QR-код магазина")</f>
        <v>Скачать индивидуальный QR-код магазина</v>
      </c>
    </row>
    <row r="12693" spans="1:7" x14ac:dyDescent="0.25">
      <c r="A12693" t="s">
        <v>39318</v>
      </c>
      <c r="B12693" t="s">
        <v>39519</v>
      </c>
      <c r="C12693" t="s">
        <v>713</v>
      </c>
      <c r="D12693" t="s">
        <v>714</v>
      </c>
      <c r="E12693" t="s">
        <v>715</v>
      </c>
      <c r="F12693" t="s">
        <v>39520</v>
      </c>
      <c r="G12693" s="2" t="str">
        <f>HYPERLINK("https://probpalata.gov.ru/files/ЮЛ770101216600618.jpeg","Скачать индивидуальный QR-код магазина")</f>
        <v>Скачать индивидуальный QR-код магазина</v>
      </c>
    </row>
    <row r="12694" spans="1:7" x14ac:dyDescent="0.25">
      <c r="A12694" t="s">
        <v>39318</v>
      </c>
      <c r="B12694" t="s">
        <v>39521</v>
      </c>
      <c r="C12694" t="s">
        <v>713</v>
      </c>
      <c r="D12694" t="s">
        <v>714</v>
      </c>
      <c r="E12694" t="s">
        <v>715</v>
      </c>
      <c r="F12694" t="s">
        <v>39522</v>
      </c>
      <c r="G12694" s="2" t="str">
        <f>HYPERLINK("https://probpalata.gov.ru/files/ЮЛ770101216600627.jpeg","Скачать индивидуальный QR-код магазина")</f>
        <v>Скачать индивидуальный QR-код магазина</v>
      </c>
    </row>
    <row r="12695" spans="1:7" x14ac:dyDescent="0.25">
      <c r="A12695" t="s">
        <v>39318</v>
      </c>
      <c r="B12695" t="s">
        <v>39523</v>
      </c>
      <c r="C12695" t="s">
        <v>713</v>
      </c>
      <c r="D12695" t="s">
        <v>714</v>
      </c>
      <c r="E12695" t="s">
        <v>715</v>
      </c>
      <c r="F12695" t="s">
        <v>39524</v>
      </c>
      <c r="G12695" s="2" t="str">
        <f>HYPERLINK("https://probpalata.gov.ru/files/ЮЛ770101216600909.jpeg","Скачать индивидуальный QR-код магазина")</f>
        <v>Скачать индивидуальный QR-код магазина</v>
      </c>
    </row>
    <row r="12696" spans="1:7" x14ac:dyDescent="0.25">
      <c r="A12696" t="s">
        <v>39318</v>
      </c>
      <c r="B12696" t="s">
        <v>39525</v>
      </c>
      <c r="C12696" t="s">
        <v>713</v>
      </c>
      <c r="D12696" t="s">
        <v>714</v>
      </c>
      <c r="E12696" t="s">
        <v>715</v>
      </c>
      <c r="F12696" t="s">
        <v>39526</v>
      </c>
      <c r="G12696" s="2" t="str">
        <f>HYPERLINK("https://probpalata.gov.ru/files/ЮЛ770101216600943.jpeg","Скачать индивидуальный QR-код магазина")</f>
        <v>Скачать индивидуальный QR-код магазина</v>
      </c>
    </row>
    <row r="12697" spans="1:7" x14ac:dyDescent="0.25">
      <c r="A12697" t="s">
        <v>39318</v>
      </c>
      <c r="B12697" t="s">
        <v>39527</v>
      </c>
      <c r="C12697" t="s">
        <v>748</v>
      </c>
      <c r="D12697" t="s">
        <v>749</v>
      </c>
      <c r="E12697" t="s">
        <v>750</v>
      </c>
      <c r="F12697" t="s">
        <v>39528</v>
      </c>
      <c r="G12697" s="2" t="str">
        <f>HYPERLINK("https://probpalata.gov.ru/files/ЮЛ770100193500268.jpeg","Скачать индивидуальный QR-код магазина")</f>
        <v>Скачать индивидуальный QR-код магазина</v>
      </c>
    </row>
    <row r="12698" spans="1:7" x14ac:dyDescent="0.25">
      <c r="A12698" t="s">
        <v>39318</v>
      </c>
      <c r="B12698" t="s">
        <v>39529</v>
      </c>
      <c r="C12698" t="s">
        <v>748</v>
      </c>
      <c r="D12698" t="s">
        <v>749</v>
      </c>
      <c r="E12698" t="s">
        <v>750</v>
      </c>
      <c r="F12698" t="s">
        <v>39530</v>
      </c>
      <c r="G12698" s="2" t="str">
        <f>HYPERLINK("https://probpalata.gov.ru/files/ЮЛ770100193500269.jpeg","Скачать индивидуальный QR-код магазина")</f>
        <v>Скачать индивидуальный QR-код магазина</v>
      </c>
    </row>
    <row r="12699" spans="1:7" x14ac:dyDescent="0.25">
      <c r="A12699" t="s">
        <v>39318</v>
      </c>
      <c r="B12699" t="s">
        <v>39531</v>
      </c>
      <c r="C12699" t="s">
        <v>748</v>
      </c>
      <c r="D12699" t="s">
        <v>749</v>
      </c>
      <c r="E12699" t="s">
        <v>750</v>
      </c>
      <c r="F12699" t="s">
        <v>39532</v>
      </c>
      <c r="G12699" s="2" t="str">
        <f>HYPERLINK("https://probpalata.gov.ru/files/ЮЛ770100193500270.jpeg","Скачать индивидуальный QR-код магазина")</f>
        <v>Скачать индивидуальный QR-код магазина</v>
      </c>
    </row>
    <row r="12700" spans="1:7" x14ac:dyDescent="0.25">
      <c r="A12700" t="s">
        <v>39318</v>
      </c>
      <c r="B12700" t="s">
        <v>39533</v>
      </c>
      <c r="C12700" t="s">
        <v>748</v>
      </c>
      <c r="D12700" t="s">
        <v>749</v>
      </c>
      <c r="E12700" t="s">
        <v>750</v>
      </c>
      <c r="F12700" t="s">
        <v>39534</v>
      </c>
      <c r="G12700" s="2" t="str">
        <f>HYPERLINK("https://probpalata.gov.ru/files/ЮЛ770100193500536.jpeg","Скачать индивидуальный QR-код магазина")</f>
        <v>Скачать индивидуальный QR-код магазина</v>
      </c>
    </row>
    <row r="12701" spans="1:7" x14ac:dyDescent="0.25">
      <c r="A12701" t="s">
        <v>39318</v>
      </c>
      <c r="B12701" t="s">
        <v>39535</v>
      </c>
      <c r="C12701" t="s">
        <v>748</v>
      </c>
      <c r="D12701" t="s">
        <v>749</v>
      </c>
      <c r="E12701" t="s">
        <v>750</v>
      </c>
      <c r="F12701" t="s">
        <v>39536</v>
      </c>
      <c r="G12701" s="2" t="str">
        <f>HYPERLINK("https://probpalata.gov.ru/files/ЮЛ770100193500682.jpeg","Скачать индивидуальный QR-код магазина")</f>
        <v>Скачать индивидуальный QR-код магазина</v>
      </c>
    </row>
    <row r="12702" spans="1:7" x14ac:dyDescent="0.25">
      <c r="A12702" t="s">
        <v>39318</v>
      </c>
      <c r="B12702" t="s">
        <v>39537</v>
      </c>
      <c r="C12702" t="s">
        <v>748</v>
      </c>
      <c r="D12702" t="s">
        <v>749</v>
      </c>
      <c r="E12702" t="s">
        <v>750</v>
      </c>
      <c r="F12702" t="s">
        <v>39538</v>
      </c>
      <c r="G12702" s="2" t="str">
        <f>HYPERLINK("https://probpalata.gov.ru/files/ЮЛ770100193501056.jpeg","Скачать индивидуальный QR-код магазина")</f>
        <v>Скачать индивидуальный QR-код магазина</v>
      </c>
    </row>
    <row r="12703" spans="1:7" x14ac:dyDescent="0.25">
      <c r="A12703" t="s">
        <v>39318</v>
      </c>
      <c r="B12703" t="s">
        <v>39539</v>
      </c>
      <c r="C12703" t="s">
        <v>773</v>
      </c>
      <c r="D12703" t="s">
        <v>774</v>
      </c>
      <c r="E12703" t="s">
        <v>775</v>
      </c>
      <c r="F12703" t="s">
        <v>39540</v>
      </c>
      <c r="G12703" s="2" t="str">
        <f>HYPERLINK("https://probpalata.gov.ru/files/ЮЛ780300131300227.jpeg","Скачать индивидуальный QR-код магазина")</f>
        <v>Скачать индивидуальный QR-код магазина</v>
      </c>
    </row>
    <row r="12704" spans="1:7" x14ac:dyDescent="0.25">
      <c r="A12704" t="s">
        <v>39318</v>
      </c>
      <c r="B12704" t="s">
        <v>39541</v>
      </c>
      <c r="C12704" t="s">
        <v>773</v>
      </c>
      <c r="D12704" t="s">
        <v>774</v>
      </c>
      <c r="E12704" t="s">
        <v>775</v>
      </c>
      <c r="F12704" t="s">
        <v>39542</v>
      </c>
      <c r="G12704" s="2" t="str">
        <f>HYPERLINK("https://probpalata.gov.ru/files/ЮЛ780300131300228.jpeg","Скачать индивидуальный QR-код магазина")</f>
        <v>Скачать индивидуальный QR-код магазина</v>
      </c>
    </row>
    <row r="12705" spans="1:7" x14ac:dyDescent="0.25">
      <c r="A12705" t="s">
        <v>39318</v>
      </c>
      <c r="B12705" t="s">
        <v>39543</v>
      </c>
      <c r="C12705" t="s">
        <v>773</v>
      </c>
      <c r="D12705" t="s">
        <v>774</v>
      </c>
      <c r="E12705" t="s">
        <v>775</v>
      </c>
      <c r="F12705" t="s">
        <v>39544</v>
      </c>
      <c r="G12705" s="2" t="str">
        <f>HYPERLINK("https://probpalata.gov.ru/files/ЮЛ780300131300251.jpeg","Скачать индивидуальный QR-код магазина")</f>
        <v>Скачать индивидуальный QR-код магазина</v>
      </c>
    </row>
    <row r="12706" spans="1:7" x14ac:dyDescent="0.25">
      <c r="A12706" t="s">
        <v>39318</v>
      </c>
      <c r="B12706" t="s">
        <v>39545</v>
      </c>
      <c r="C12706" t="s">
        <v>773</v>
      </c>
      <c r="D12706" t="s">
        <v>774</v>
      </c>
      <c r="E12706" t="s">
        <v>775</v>
      </c>
      <c r="F12706" t="s">
        <v>39546</v>
      </c>
      <c r="G12706" s="2" t="str">
        <f>HYPERLINK("https://probpalata.gov.ru/files/ЮЛ780300131300473.jpeg","Скачать индивидуальный QR-код магазина")</f>
        <v>Скачать индивидуальный QR-код магазина</v>
      </c>
    </row>
    <row r="12707" spans="1:7" x14ac:dyDescent="0.25">
      <c r="A12707" t="s">
        <v>39318</v>
      </c>
      <c r="B12707" t="s">
        <v>39547</v>
      </c>
      <c r="C12707" t="s">
        <v>773</v>
      </c>
      <c r="D12707" t="s">
        <v>774</v>
      </c>
      <c r="E12707" t="s">
        <v>775</v>
      </c>
      <c r="F12707" t="s">
        <v>39548</v>
      </c>
      <c r="G12707" s="2" t="str">
        <f>HYPERLINK("https://probpalata.gov.ru/files/ЮЛ780300131300582.jpeg","Скачать индивидуальный QR-код магазина")</f>
        <v>Скачать индивидуальный QR-код магазина</v>
      </c>
    </row>
    <row r="12708" spans="1:7" x14ac:dyDescent="0.25">
      <c r="A12708" t="s">
        <v>39318</v>
      </c>
      <c r="B12708" t="s">
        <v>39549</v>
      </c>
      <c r="C12708" t="s">
        <v>787</v>
      </c>
      <c r="D12708" t="s">
        <v>788</v>
      </c>
      <c r="E12708" t="s">
        <v>789</v>
      </c>
      <c r="F12708" t="s">
        <v>39550</v>
      </c>
      <c r="G12708" s="2" t="str">
        <f>HYPERLINK("https://probpalata.gov.ru/files/ЮЛ780300328000097.jpeg","Скачать индивидуальный QR-код магазина")</f>
        <v>Скачать индивидуальный QR-код магазина</v>
      </c>
    </row>
    <row r="12709" spans="1:7" x14ac:dyDescent="0.25">
      <c r="A12709" t="s">
        <v>39318</v>
      </c>
      <c r="B12709" t="s">
        <v>39551</v>
      </c>
      <c r="C12709" t="s">
        <v>791</v>
      </c>
      <c r="D12709" t="s">
        <v>792</v>
      </c>
      <c r="E12709" t="s">
        <v>793</v>
      </c>
      <c r="F12709" t="s">
        <v>39552</v>
      </c>
      <c r="G12709" s="2" t="str">
        <f>HYPERLINK("https://probpalata.gov.ru/files/ЮЛ780300323500024.jpeg","Скачать индивидуальный QR-код магазина")</f>
        <v>Скачать индивидуальный QR-код магазина</v>
      </c>
    </row>
    <row r="12710" spans="1:7" x14ac:dyDescent="0.25">
      <c r="A12710" t="s">
        <v>39318</v>
      </c>
      <c r="B12710" t="s">
        <v>39553</v>
      </c>
      <c r="C12710" t="s">
        <v>791</v>
      </c>
      <c r="D12710" t="s">
        <v>792</v>
      </c>
      <c r="E12710" t="s">
        <v>793</v>
      </c>
      <c r="F12710" t="s">
        <v>39554</v>
      </c>
      <c r="G12710" s="2" t="str">
        <f>HYPERLINK("https://probpalata.gov.ru/files/ЮЛ780300323500033.jpeg","Скачать индивидуальный QR-код магазина")</f>
        <v>Скачать индивидуальный QR-код магазина</v>
      </c>
    </row>
    <row r="12711" spans="1:7" x14ac:dyDescent="0.25">
      <c r="A12711" t="s">
        <v>39318</v>
      </c>
      <c r="B12711" t="s">
        <v>39555</v>
      </c>
      <c r="C12711" t="s">
        <v>791</v>
      </c>
      <c r="D12711" t="s">
        <v>792</v>
      </c>
      <c r="E12711" t="s">
        <v>793</v>
      </c>
      <c r="F12711" t="s">
        <v>39556</v>
      </c>
      <c r="G12711" s="2" t="str">
        <f>HYPERLINK("https://probpalata.gov.ru/files/ЮЛ780300323500034.jpeg","Скачать индивидуальный QR-код магазина")</f>
        <v>Скачать индивидуальный QR-код магазина</v>
      </c>
    </row>
    <row r="12712" spans="1:7" x14ac:dyDescent="0.25">
      <c r="A12712" t="s">
        <v>39318</v>
      </c>
      <c r="B12712" t="s">
        <v>39557</v>
      </c>
      <c r="C12712" t="s">
        <v>791</v>
      </c>
      <c r="D12712" t="s">
        <v>792</v>
      </c>
      <c r="E12712" t="s">
        <v>793</v>
      </c>
      <c r="F12712" t="s">
        <v>39558</v>
      </c>
      <c r="G12712" s="2" t="str">
        <f>HYPERLINK("https://probpalata.gov.ru/files/ЮЛ780300323500055.jpeg","Скачать индивидуальный QR-код магазина")</f>
        <v>Скачать индивидуальный QR-код магазина</v>
      </c>
    </row>
    <row r="12713" spans="1:7" x14ac:dyDescent="0.25">
      <c r="A12713" t="s">
        <v>39318</v>
      </c>
      <c r="B12713" t="s">
        <v>39559</v>
      </c>
      <c r="C12713" t="s">
        <v>791</v>
      </c>
      <c r="D12713" t="s">
        <v>792</v>
      </c>
      <c r="E12713" t="s">
        <v>793</v>
      </c>
      <c r="F12713" t="s">
        <v>39560</v>
      </c>
      <c r="G12713" s="2" t="str">
        <f>HYPERLINK("https://probpalata.gov.ru/files/ЮЛ780300323500167.jpeg","Скачать индивидуальный QR-код магазина")</f>
        <v>Скачать индивидуальный QR-код магазина</v>
      </c>
    </row>
    <row r="12714" spans="1:7" x14ac:dyDescent="0.25">
      <c r="A12714" t="s">
        <v>39318</v>
      </c>
      <c r="B12714" t="s">
        <v>39561</v>
      </c>
      <c r="C12714" t="s">
        <v>791</v>
      </c>
      <c r="D12714" t="s">
        <v>792</v>
      </c>
      <c r="E12714" t="s">
        <v>793</v>
      </c>
      <c r="F12714" t="s">
        <v>39562</v>
      </c>
      <c r="G12714" s="2" t="str">
        <f>HYPERLINK("https://probpalata.gov.ru/files/ЮЛ780300323500168.jpeg","Скачать индивидуальный QR-код магазина")</f>
        <v>Скачать индивидуальный QR-код магазина</v>
      </c>
    </row>
    <row r="12715" spans="1:7" x14ac:dyDescent="0.25">
      <c r="A12715" t="s">
        <v>39318</v>
      </c>
      <c r="B12715" t="s">
        <v>39563</v>
      </c>
      <c r="C12715" t="s">
        <v>798</v>
      </c>
      <c r="D12715" t="s">
        <v>799</v>
      </c>
      <c r="E12715" t="s">
        <v>800</v>
      </c>
      <c r="F12715" t="s">
        <v>39564</v>
      </c>
      <c r="G12715" s="2" t="str">
        <f>HYPERLINK("https://probpalata.gov.ru/files/ЮЛ780300308200079.jpeg","Скачать индивидуальный QR-код магазина")</f>
        <v>Скачать индивидуальный QR-код магазина</v>
      </c>
    </row>
    <row r="12716" spans="1:7" x14ac:dyDescent="0.25">
      <c r="A12716" t="s">
        <v>39318</v>
      </c>
      <c r="B12716" t="s">
        <v>39543</v>
      </c>
      <c r="C12716" t="s">
        <v>798</v>
      </c>
      <c r="D12716" t="s">
        <v>799</v>
      </c>
      <c r="E12716" t="s">
        <v>800</v>
      </c>
      <c r="F12716" t="s">
        <v>39565</v>
      </c>
      <c r="G12716" s="2" t="str">
        <f>HYPERLINK("https://probpalata.gov.ru/files/ЮЛ780300308200116.jpeg","Скачать индивидуальный QR-код магазина")</f>
        <v>Скачать индивидуальный QR-код магазина</v>
      </c>
    </row>
    <row r="12717" spans="1:7" x14ac:dyDescent="0.25">
      <c r="A12717" t="s">
        <v>39318</v>
      </c>
      <c r="B12717" t="s">
        <v>39566</v>
      </c>
      <c r="C12717" t="s">
        <v>798</v>
      </c>
      <c r="D12717" t="s">
        <v>799</v>
      </c>
      <c r="E12717" t="s">
        <v>800</v>
      </c>
      <c r="F12717" t="s">
        <v>39567</v>
      </c>
      <c r="G12717" s="2" t="str">
        <f>HYPERLINK("https://probpalata.gov.ru/files/ЮЛ780300308200389.jpeg","Скачать индивидуальный QR-код магазина")</f>
        <v>Скачать индивидуальный QR-код магазина</v>
      </c>
    </row>
    <row r="12718" spans="1:7" x14ac:dyDescent="0.25">
      <c r="A12718" t="s">
        <v>39318</v>
      </c>
      <c r="B12718" t="s">
        <v>39568</v>
      </c>
      <c r="C12718" t="s">
        <v>798</v>
      </c>
      <c r="D12718" t="s">
        <v>799</v>
      </c>
      <c r="E12718" t="s">
        <v>800</v>
      </c>
      <c r="F12718" t="s">
        <v>39569</v>
      </c>
      <c r="G12718" s="2" t="str">
        <f>HYPERLINK("https://probpalata.gov.ru/files/ЮЛ780300308200839.jpeg","Скачать индивидуальный QR-код магазина")</f>
        <v>Скачать индивидуальный QR-код магазина</v>
      </c>
    </row>
    <row r="12719" spans="1:7" x14ac:dyDescent="0.25">
      <c r="A12719" t="s">
        <v>39318</v>
      </c>
      <c r="B12719" t="s">
        <v>39570</v>
      </c>
      <c r="C12719" t="s">
        <v>798</v>
      </c>
      <c r="D12719" t="s">
        <v>799</v>
      </c>
      <c r="E12719" t="s">
        <v>800</v>
      </c>
      <c r="F12719" t="s">
        <v>39571</v>
      </c>
      <c r="G12719" s="2" t="str">
        <f>HYPERLINK("https://probpalata.gov.ru/files/ЮЛ780300308200890.jpeg","Скачать индивидуальный QR-код магазина")</f>
        <v>Скачать индивидуальный QR-код магазина</v>
      </c>
    </row>
    <row r="12720" spans="1:7" x14ac:dyDescent="0.25">
      <c r="A12720" t="s">
        <v>39318</v>
      </c>
      <c r="B12720" t="s">
        <v>39545</v>
      </c>
      <c r="C12720" t="s">
        <v>798</v>
      </c>
      <c r="D12720" t="s">
        <v>799</v>
      </c>
      <c r="E12720" t="s">
        <v>800</v>
      </c>
      <c r="F12720" t="s">
        <v>39572</v>
      </c>
      <c r="G12720" s="2" t="str">
        <f>HYPERLINK("https://probpalata.gov.ru/files/ЮЛ780300308201019.jpeg","Скачать индивидуальный QR-код магазина")</f>
        <v>Скачать индивидуальный QR-код магазина</v>
      </c>
    </row>
    <row r="12721" spans="1:7" x14ac:dyDescent="0.25">
      <c r="A12721" t="s">
        <v>39318</v>
      </c>
      <c r="B12721" t="s">
        <v>39573</v>
      </c>
      <c r="C12721" t="s">
        <v>798</v>
      </c>
      <c r="D12721" t="s">
        <v>799</v>
      </c>
      <c r="E12721" t="s">
        <v>800</v>
      </c>
      <c r="F12721" t="s">
        <v>39574</v>
      </c>
      <c r="G12721" s="2" t="str">
        <f>HYPERLINK("https://probpalata.gov.ru/files/ЮЛ780300308201060.jpeg","Скачать индивидуальный QR-код магазина")</f>
        <v>Скачать индивидуальный QR-код магазина</v>
      </c>
    </row>
    <row r="12722" spans="1:7" x14ac:dyDescent="0.25">
      <c r="A12722" t="s">
        <v>39318</v>
      </c>
      <c r="B12722" t="s">
        <v>39553</v>
      </c>
      <c r="C12722" t="s">
        <v>823</v>
      </c>
      <c r="D12722" t="s">
        <v>824</v>
      </c>
      <c r="E12722" t="s">
        <v>825</v>
      </c>
      <c r="F12722" t="s">
        <v>39575</v>
      </c>
      <c r="G12722" s="2" t="str">
        <f>HYPERLINK("https://probpalata.gov.ru/files/ЮЛ780300363500040.jpeg","Скачать индивидуальный QR-код магазина")</f>
        <v>Скачать индивидуальный QR-код магазина</v>
      </c>
    </row>
    <row r="12723" spans="1:7" x14ac:dyDescent="0.25">
      <c r="A12723" t="s">
        <v>39318</v>
      </c>
      <c r="B12723" t="s">
        <v>39576</v>
      </c>
      <c r="C12723" t="s">
        <v>823</v>
      </c>
      <c r="D12723" t="s">
        <v>824</v>
      </c>
      <c r="E12723" t="s">
        <v>825</v>
      </c>
      <c r="F12723" t="s">
        <v>39577</v>
      </c>
      <c r="G12723" s="2" t="str">
        <f>HYPERLINK("https://probpalata.gov.ru/files/ЮЛ780300363500042.jpeg","Скачать индивидуальный QR-код магазина")</f>
        <v>Скачать индивидуальный QR-код магазина</v>
      </c>
    </row>
    <row r="12724" spans="1:7" x14ac:dyDescent="0.25">
      <c r="A12724" t="s">
        <v>39318</v>
      </c>
      <c r="B12724" t="s">
        <v>39559</v>
      </c>
      <c r="C12724" t="s">
        <v>823</v>
      </c>
      <c r="D12724" t="s">
        <v>824</v>
      </c>
      <c r="E12724" t="s">
        <v>825</v>
      </c>
      <c r="F12724" t="s">
        <v>39578</v>
      </c>
      <c r="G12724" s="2" t="str">
        <f>HYPERLINK("https://probpalata.gov.ru/files/ЮЛ780300363500218.jpeg","Скачать индивидуальный QR-код магазина")</f>
        <v>Скачать индивидуальный QR-код магазина</v>
      </c>
    </row>
    <row r="12725" spans="1:7" x14ac:dyDescent="0.25">
      <c r="A12725" t="s">
        <v>39318</v>
      </c>
      <c r="B12725" t="s">
        <v>39561</v>
      </c>
      <c r="C12725" t="s">
        <v>823</v>
      </c>
      <c r="D12725" t="s">
        <v>824</v>
      </c>
      <c r="E12725" t="s">
        <v>825</v>
      </c>
      <c r="F12725" t="s">
        <v>39579</v>
      </c>
      <c r="G12725" s="2" t="str">
        <f>HYPERLINK("https://probpalata.gov.ru/files/ЮЛ780300363500219.jpeg","Скачать индивидуальный QR-код магазина")</f>
        <v>Скачать индивидуальный QR-код магазина</v>
      </c>
    </row>
    <row r="12726" spans="1:7" x14ac:dyDescent="0.25">
      <c r="A12726" t="s">
        <v>39318</v>
      </c>
      <c r="B12726" t="s">
        <v>39580</v>
      </c>
      <c r="C12726" t="s">
        <v>823</v>
      </c>
      <c r="D12726" t="s">
        <v>824</v>
      </c>
      <c r="E12726" t="s">
        <v>825</v>
      </c>
      <c r="F12726" t="s">
        <v>39581</v>
      </c>
      <c r="G12726" s="2" t="str">
        <f>HYPERLINK("https://probpalata.gov.ru/files/ЮЛ780300363500272.jpeg","Скачать индивидуальный QR-код магазина")</f>
        <v>Скачать индивидуальный QR-код магазина</v>
      </c>
    </row>
    <row r="12727" spans="1:7" x14ac:dyDescent="0.25">
      <c r="A12727" t="s">
        <v>39318</v>
      </c>
      <c r="B12727" t="s">
        <v>39551</v>
      </c>
      <c r="C12727" t="s">
        <v>823</v>
      </c>
      <c r="D12727" t="s">
        <v>824</v>
      </c>
      <c r="E12727" t="s">
        <v>825</v>
      </c>
      <c r="F12727" t="s">
        <v>39582</v>
      </c>
      <c r="G12727" s="2" t="str">
        <f>HYPERLINK("https://probpalata.gov.ru/files/ЮЛ780300363500280.jpeg","Скачать индивидуальный QR-код магазина")</f>
        <v>Скачать индивидуальный QR-код магазина</v>
      </c>
    </row>
    <row r="12728" spans="1:7" x14ac:dyDescent="0.25">
      <c r="A12728" t="s">
        <v>39583</v>
      </c>
      <c r="B12728" t="s">
        <v>39584</v>
      </c>
      <c r="C12728" t="s">
        <v>2647</v>
      </c>
      <c r="D12728" t="s">
        <v>2648</v>
      </c>
      <c r="E12728" t="s">
        <v>2649</v>
      </c>
      <c r="F12728" t="s">
        <v>39585</v>
      </c>
      <c r="G12728" s="2" t="str">
        <f>HYPERLINK("https://probpalata.gov.ru/files/ИП610400007100003.jpeg","Скачать индивидуальный QR-код магазина")</f>
        <v>Скачать индивидуальный QR-код магазина</v>
      </c>
    </row>
    <row r="12729" spans="1:7" x14ac:dyDescent="0.25">
      <c r="A12729" t="s">
        <v>39583</v>
      </c>
      <c r="B12729" t="s">
        <v>39586</v>
      </c>
      <c r="C12729" t="s">
        <v>2647</v>
      </c>
      <c r="D12729" t="s">
        <v>2648</v>
      </c>
      <c r="E12729" t="s">
        <v>2649</v>
      </c>
      <c r="F12729" t="s">
        <v>39587</v>
      </c>
      <c r="G12729" s="2" t="str">
        <f>HYPERLINK("https://probpalata.gov.ru/files/ИП610400007100004.jpeg","Скачать индивидуальный QR-код магазина")</f>
        <v>Скачать индивидуальный QR-код магазина</v>
      </c>
    </row>
    <row r="12730" spans="1:7" x14ac:dyDescent="0.25">
      <c r="A12730" t="s">
        <v>39583</v>
      </c>
      <c r="B12730" t="s">
        <v>39588</v>
      </c>
      <c r="C12730" t="s">
        <v>2647</v>
      </c>
      <c r="D12730" t="s">
        <v>2648</v>
      </c>
      <c r="E12730" t="s">
        <v>2649</v>
      </c>
      <c r="F12730" t="s">
        <v>39589</v>
      </c>
      <c r="G12730" s="2" t="str">
        <f>HYPERLINK("https://probpalata.gov.ru/files/ИП610400007100015.jpeg","Скачать индивидуальный QR-код магазина")</f>
        <v>Скачать индивидуальный QR-код магазина</v>
      </c>
    </row>
    <row r="12731" spans="1:7" x14ac:dyDescent="0.25">
      <c r="A12731" t="s">
        <v>39583</v>
      </c>
      <c r="B12731" t="s">
        <v>39590</v>
      </c>
      <c r="C12731" t="s">
        <v>2647</v>
      </c>
      <c r="D12731" t="s">
        <v>2648</v>
      </c>
      <c r="E12731" t="s">
        <v>2649</v>
      </c>
      <c r="F12731" t="s">
        <v>39591</v>
      </c>
      <c r="G12731" s="2" t="str">
        <f>HYPERLINK("https://probpalata.gov.ru/files/ИП610400007100031.jpeg","Скачать индивидуальный QR-код магазина")</f>
        <v>Скачать индивидуальный QR-код магазина</v>
      </c>
    </row>
    <row r="12732" spans="1:7" x14ac:dyDescent="0.25">
      <c r="A12732" t="s">
        <v>39583</v>
      </c>
      <c r="B12732" t="s">
        <v>39592</v>
      </c>
      <c r="C12732" t="s">
        <v>2647</v>
      </c>
      <c r="D12732" t="s">
        <v>2648</v>
      </c>
      <c r="E12732" t="s">
        <v>2649</v>
      </c>
      <c r="F12732" t="s">
        <v>39593</v>
      </c>
      <c r="G12732" s="2" t="str">
        <f>HYPERLINK("https://probpalata.gov.ru/files/ИП610400007100032.jpeg","Скачать индивидуальный QR-код магазина")</f>
        <v>Скачать индивидуальный QR-код магазина</v>
      </c>
    </row>
    <row r="12733" spans="1:7" x14ac:dyDescent="0.25">
      <c r="A12733" t="s">
        <v>39583</v>
      </c>
      <c r="B12733" t="s">
        <v>39594</v>
      </c>
      <c r="C12733" t="s">
        <v>13421</v>
      </c>
      <c r="D12733" t="s">
        <v>13422</v>
      </c>
      <c r="E12733" t="s">
        <v>13423</v>
      </c>
      <c r="F12733" t="s">
        <v>39595</v>
      </c>
      <c r="G12733" s="2" t="str">
        <f>HYPERLINK("https://probpalata.gov.ru/files/ЮЛ230400002700019.jpeg","Скачать индивидуальный QR-код магазина")</f>
        <v>Скачать индивидуальный QR-код магазина</v>
      </c>
    </row>
    <row r="12734" spans="1:7" x14ac:dyDescent="0.25">
      <c r="A12734" t="s">
        <v>39583</v>
      </c>
      <c r="B12734" t="s">
        <v>39596</v>
      </c>
      <c r="C12734" t="s">
        <v>13421</v>
      </c>
      <c r="D12734" t="s">
        <v>13422</v>
      </c>
      <c r="E12734" t="s">
        <v>13423</v>
      </c>
      <c r="F12734" t="s">
        <v>39597</v>
      </c>
      <c r="G12734" s="2" t="str">
        <f>HYPERLINK("https://probpalata.gov.ru/files/ЮЛ230400002700021.jpeg","Скачать индивидуальный QR-код магазина")</f>
        <v>Скачать индивидуальный QR-код магазина</v>
      </c>
    </row>
    <row r="12735" spans="1:7" x14ac:dyDescent="0.25">
      <c r="A12735" t="s">
        <v>39583</v>
      </c>
      <c r="B12735" t="s">
        <v>39598</v>
      </c>
      <c r="C12735" t="s">
        <v>13421</v>
      </c>
      <c r="D12735" t="s">
        <v>13422</v>
      </c>
      <c r="E12735" t="s">
        <v>13423</v>
      </c>
      <c r="F12735" t="s">
        <v>39599</v>
      </c>
      <c r="G12735" s="2" t="str">
        <f>HYPERLINK("https://probpalata.gov.ru/files/ЮЛ230400002700022.jpeg","Скачать индивидуальный QR-код магазина")</f>
        <v>Скачать индивидуальный QR-код магазина</v>
      </c>
    </row>
    <row r="12736" spans="1:7" x14ac:dyDescent="0.25">
      <c r="A12736" t="s">
        <v>39583</v>
      </c>
      <c r="B12736" t="s">
        <v>39600</v>
      </c>
      <c r="C12736" t="s">
        <v>3246</v>
      </c>
      <c r="D12736" t="s">
        <v>3247</v>
      </c>
      <c r="E12736" t="s">
        <v>3248</v>
      </c>
      <c r="F12736" t="s">
        <v>39601</v>
      </c>
      <c r="G12736" s="2" t="str">
        <f>HYPERLINK("https://probpalata.gov.ru/files/ИП230400618900029.jpeg","Скачать индивидуальный QR-код магазина")</f>
        <v>Скачать индивидуальный QR-код магазина</v>
      </c>
    </row>
    <row r="12737" spans="1:7" x14ac:dyDescent="0.25">
      <c r="A12737" t="s">
        <v>39583</v>
      </c>
      <c r="B12737" t="s">
        <v>39602</v>
      </c>
      <c r="C12737" t="s">
        <v>3246</v>
      </c>
      <c r="D12737" t="s">
        <v>3247</v>
      </c>
      <c r="E12737" t="s">
        <v>3248</v>
      </c>
      <c r="F12737" t="s">
        <v>39603</v>
      </c>
      <c r="G12737" s="2" t="str">
        <f>HYPERLINK("https://probpalata.gov.ru/files/ИП230400618900031.jpeg","Скачать индивидуальный QR-код магазина")</f>
        <v>Скачать индивидуальный QR-код магазина</v>
      </c>
    </row>
    <row r="12738" spans="1:7" x14ac:dyDescent="0.25">
      <c r="A12738" t="s">
        <v>39583</v>
      </c>
      <c r="B12738" t="s">
        <v>39604</v>
      </c>
      <c r="C12738" t="s">
        <v>3246</v>
      </c>
      <c r="D12738" t="s">
        <v>3247</v>
      </c>
      <c r="E12738" t="s">
        <v>3248</v>
      </c>
      <c r="F12738" t="s">
        <v>39605</v>
      </c>
      <c r="G12738" s="2" t="str">
        <f>HYPERLINK("https://probpalata.gov.ru/files/ИП230400618900035.jpeg","Скачать индивидуальный QR-код магазина")</f>
        <v>Скачать индивидуальный QR-код магазина</v>
      </c>
    </row>
    <row r="12739" spans="1:7" x14ac:dyDescent="0.25">
      <c r="A12739" t="s">
        <v>39583</v>
      </c>
      <c r="B12739" t="s">
        <v>39606</v>
      </c>
      <c r="C12739" t="s">
        <v>3246</v>
      </c>
      <c r="D12739" t="s">
        <v>3247</v>
      </c>
      <c r="E12739" t="s">
        <v>3248</v>
      </c>
      <c r="F12739" t="s">
        <v>39607</v>
      </c>
      <c r="G12739" s="2" t="str">
        <f>HYPERLINK("https://probpalata.gov.ru/files/ИП230400618900041.jpeg","Скачать индивидуальный QR-код магазина")</f>
        <v>Скачать индивидуальный QR-код магазина</v>
      </c>
    </row>
    <row r="12740" spans="1:7" x14ac:dyDescent="0.25">
      <c r="A12740" t="s">
        <v>39583</v>
      </c>
      <c r="B12740" t="s">
        <v>39608</v>
      </c>
      <c r="C12740" t="s">
        <v>3246</v>
      </c>
      <c r="D12740" t="s">
        <v>3247</v>
      </c>
      <c r="E12740" t="s">
        <v>3248</v>
      </c>
      <c r="F12740" t="s">
        <v>39609</v>
      </c>
      <c r="G12740" s="2" t="str">
        <f>HYPERLINK("https://probpalata.gov.ru/files/ИП230400618900043.jpeg","Скачать индивидуальный QR-код магазина")</f>
        <v>Скачать индивидуальный QR-код магазина</v>
      </c>
    </row>
    <row r="12741" spans="1:7" x14ac:dyDescent="0.25">
      <c r="A12741" t="s">
        <v>39583</v>
      </c>
      <c r="B12741" t="s">
        <v>39610</v>
      </c>
      <c r="C12741" t="s">
        <v>3246</v>
      </c>
      <c r="D12741" t="s">
        <v>3247</v>
      </c>
      <c r="E12741" t="s">
        <v>3248</v>
      </c>
      <c r="F12741" t="s">
        <v>39611</v>
      </c>
      <c r="G12741" s="2" t="str">
        <f>HYPERLINK("https://probpalata.gov.ru/files/ИП230400618900048.jpeg","Скачать индивидуальный QR-код магазина")</f>
        <v>Скачать индивидуальный QR-код магазина</v>
      </c>
    </row>
    <row r="12742" spans="1:7" x14ac:dyDescent="0.25">
      <c r="A12742" t="s">
        <v>39583</v>
      </c>
      <c r="B12742" t="s">
        <v>39612</v>
      </c>
      <c r="C12742" t="s">
        <v>3246</v>
      </c>
      <c r="D12742" t="s">
        <v>3247</v>
      </c>
      <c r="E12742" t="s">
        <v>3248</v>
      </c>
      <c r="F12742" t="s">
        <v>39613</v>
      </c>
      <c r="G12742" s="2" t="str">
        <f>HYPERLINK("https://probpalata.gov.ru/files/ИП230400618900057.jpeg","Скачать индивидуальный QR-код магазина")</f>
        <v>Скачать индивидуальный QR-код магазина</v>
      </c>
    </row>
    <row r="12743" spans="1:7" x14ac:dyDescent="0.25">
      <c r="A12743" t="s">
        <v>39583</v>
      </c>
      <c r="B12743" t="s">
        <v>39614</v>
      </c>
      <c r="C12743" t="s">
        <v>3246</v>
      </c>
      <c r="D12743" t="s">
        <v>3247</v>
      </c>
      <c r="E12743" t="s">
        <v>3248</v>
      </c>
      <c r="F12743" t="s">
        <v>39615</v>
      </c>
      <c r="G12743" s="2" t="str">
        <f>HYPERLINK("https://probpalata.gov.ru/files/ИП230400618900058.jpeg","Скачать индивидуальный QR-код магазина")</f>
        <v>Скачать индивидуальный QR-код магазина</v>
      </c>
    </row>
    <row r="12744" spans="1:7" x14ac:dyDescent="0.25">
      <c r="A12744" t="s">
        <v>39583</v>
      </c>
      <c r="B12744" t="s">
        <v>39616</v>
      </c>
      <c r="C12744" t="s">
        <v>3246</v>
      </c>
      <c r="D12744" t="s">
        <v>3247</v>
      </c>
      <c r="E12744" t="s">
        <v>3248</v>
      </c>
      <c r="F12744" t="s">
        <v>39617</v>
      </c>
      <c r="G12744" s="2" t="str">
        <f>HYPERLINK("https://probpalata.gov.ru/files/ИП230400618900059.jpeg","Скачать индивидуальный QR-код магазина")</f>
        <v>Скачать индивидуальный QR-код магазина</v>
      </c>
    </row>
    <row r="12745" spans="1:7" x14ac:dyDescent="0.25">
      <c r="A12745" t="s">
        <v>39583</v>
      </c>
      <c r="B12745" t="s">
        <v>39618</v>
      </c>
      <c r="C12745" t="s">
        <v>5296</v>
      </c>
      <c r="D12745" t="s">
        <v>5297</v>
      </c>
      <c r="E12745" t="s">
        <v>5298</v>
      </c>
      <c r="F12745" t="s">
        <v>39619</v>
      </c>
      <c r="G12745" s="2" t="str">
        <f>HYPERLINK("https://probpalata.gov.ru/files/ИП470303686600013.jpeg","Скачать индивидуальный QR-код магазина")</f>
        <v>Скачать индивидуальный QR-код магазина</v>
      </c>
    </row>
    <row r="12746" spans="1:7" x14ac:dyDescent="0.25">
      <c r="A12746" t="s">
        <v>39583</v>
      </c>
      <c r="B12746" t="s">
        <v>39600</v>
      </c>
      <c r="C12746" t="s">
        <v>5296</v>
      </c>
      <c r="D12746" t="s">
        <v>5297</v>
      </c>
      <c r="E12746" t="s">
        <v>5298</v>
      </c>
      <c r="F12746" t="s">
        <v>39620</v>
      </c>
      <c r="G12746" s="2" t="str">
        <f>HYPERLINK("https://probpalata.gov.ru/files/ИП470303686600014.jpeg","Скачать индивидуальный QR-код магазина")</f>
        <v>Скачать индивидуальный QR-код магазина</v>
      </c>
    </row>
    <row r="12747" spans="1:7" x14ac:dyDescent="0.25">
      <c r="A12747" t="s">
        <v>39583</v>
      </c>
      <c r="B12747" t="s">
        <v>39621</v>
      </c>
      <c r="C12747" t="s">
        <v>5296</v>
      </c>
      <c r="D12747" t="s">
        <v>5297</v>
      </c>
      <c r="E12747" t="s">
        <v>5298</v>
      </c>
      <c r="F12747" t="s">
        <v>39622</v>
      </c>
      <c r="G12747" s="2" t="str">
        <f>HYPERLINK("https://probpalata.gov.ru/files/ИП470303686600016.jpeg","Скачать индивидуальный QR-код магазина")</f>
        <v>Скачать индивидуальный QR-код магазина</v>
      </c>
    </row>
    <row r="12748" spans="1:7" x14ac:dyDescent="0.25">
      <c r="A12748" t="s">
        <v>39583</v>
      </c>
      <c r="B12748" t="s">
        <v>39623</v>
      </c>
      <c r="C12748" t="s">
        <v>5296</v>
      </c>
      <c r="D12748" t="s">
        <v>5297</v>
      </c>
      <c r="E12748" t="s">
        <v>5298</v>
      </c>
      <c r="F12748" t="s">
        <v>39624</v>
      </c>
      <c r="G12748" s="2" t="str">
        <f>HYPERLINK("https://probpalata.gov.ru/files/ИП470303686600017.jpeg","Скачать индивидуальный QR-код магазина")</f>
        <v>Скачать индивидуальный QR-код магазина</v>
      </c>
    </row>
    <row r="12749" spans="1:7" x14ac:dyDescent="0.25">
      <c r="A12749" t="s">
        <v>39583</v>
      </c>
      <c r="B12749" t="s">
        <v>39625</v>
      </c>
      <c r="C12749" t="s">
        <v>39626</v>
      </c>
      <c r="D12749" t="s">
        <v>39627</v>
      </c>
      <c r="E12749" t="s">
        <v>39628</v>
      </c>
      <c r="F12749" t="s">
        <v>39629</v>
      </c>
      <c r="G12749" s="2" t="str">
        <f>HYPERLINK("https://probpalata.gov.ru/files/ИП500100069700000.jpeg","Скачать индивидуальный QR-код магазина")</f>
        <v>Скачать индивидуальный QR-код магазина</v>
      </c>
    </row>
    <row r="12750" spans="1:7" x14ac:dyDescent="0.25">
      <c r="A12750" t="s">
        <v>39583</v>
      </c>
      <c r="B12750" t="s">
        <v>39630</v>
      </c>
      <c r="C12750" t="s">
        <v>39631</v>
      </c>
      <c r="D12750" t="s">
        <v>39632</v>
      </c>
      <c r="E12750" t="s">
        <v>39633</v>
      </c>
      <c r="F12750" t="s">
        <v>39634</v>
      </c>
      <c r="G12750" s="2" t="str">
        <f>HYPERLINK("https://probpalata.gov.ru/files/ИП500100082700000.jpeg","Скачать индивидуальный QR-код магазина")</f>
        <v>Скачать индивидуальный QR-код магазина</v>
      </c>
    </row>
    <row r="12751" spans="1:7" x14ac:dyDescent="0.25">
      <c r="A12751" t="s">
        <v>39583</v>
      </c>
      <c r="B12751" t="s">
        <v>39635</v>
      </c>
      <c r="C12751" t="s">
        <v>10732</v>
      </c>
      <c r="D12751" t="s">
        <v>10733</v>
      </c>
      <c r="E12751" t="s">
        <v>10734</v>
      </c>
      <c r="F12751" t="s">
        <v>39636</v>
      </c>
      <c r="G12751" s="2" t="str">
        <f>HYPERLINK("https://probpalata.gov.ru/files/ИП440200426400024.jpeg","Скачать индивидуальный QR-код магазина")</f>
        <v>Скачать индивидуальный QR-код магазина</v>
      </c>
    </row>
    <row r="12752" spans="1:7" x14ac:dyDescent="0.25">
      <c r="A12752" t="s">
        <v>39583</v>
      </c>
      <c r="B12752" t="s">
        <v>39637</v>
      </c>
      <c r="C12752" t="s">
        <v>39638</v>
      </c>
      <c r="D12752" t="s">
        <v>39639</v>
      </c>
      <c r="E12752" t="s">
        <v>39640</v>
      </c>
      <c r="F12752" t="s">
        <v>39641</v>
      </c>
      <c r="G12752" s="2" t="str">
        <f>HYPERLINK("https://probpalata.gov.ru/files/ИП820401435000000.jpeg","Скачать индивидуальный QR-код магазина")</f>
        <v>Скачать индивидуальный QR-код магазина</v>
      </c>
    </row>
    <row r="12753" spans="1:7" x14ac:dyDescent="0.25">
      <c r="A12753" t="s">
        <v>39583</v>
      </c>
      <c r="B12753" t="s">
        <v>39642</v>
      </c>
      <c r="C12753" t="s">
        <v>39643</v>
      </c>
      <c r="D12753" t="s">
        <v>39644</v>
      </c>
      <c r="E12753" t="s">
        <v>39645</v>
      </c>
      <c r="F12753" t="s">
        <v>39646</v>
      </c>
      <c r="G12753" s="2" t="str">
        <f>HYPERLINK("https://probpalata.gov.ru/files/ИП830400516000000.jpeg","Скачать индивидуальный QR-код магазина")</f>
        <v>Скачать индивидуальный QR-код магазина</v>
      </c>
    </row>
    <row r="12754" spans="1:7" x14ac:dyDescent="0.25">
      <c r="A12754" t="s">
        <v>39583</v>
      </c>
      <c r="B12754" t="s">
        <v>39647</v>
      </c>
      <c r="C12754" t="s">
        <v>703</v>
      </c>
      <c r="D12754" t="s">
        <v>704</v>
      </c>
      <c r="E12754" t="s">
        <v>705</v>
      </c>
      <c r="F12754" t="s">
        <v>39648</v>
      </c>
      <c r="G12754" s="2" t="str">
        <f>HYPERLINK("https://probpalata.gov.ru/files/ИП610400426600023.jpeg","Скачать индивидуальный QR-код магазина")</f>
        <v>Скачать индивидуальный QR-код магазина</v>
      </c>
    </row>
    <row r="12755" spans="1:7" x14ac:dyDescent="0.25">
      <c r="A12755" t="s">
        <v>39583</v>
      </c>
      <c r="B12755" t="s">
        <v>39649</v>
      </c>
      <c r="C12755" t="s">
        <v>2551</v>
      </c>
      <c r="D12755" t="s">
        <v>2552</v>
      </c>
      <c r="E12755" t="s">
        <v>2553</v>
      </c>
      <c r="F12755" t="s">
        <v>39650</v>
      </c>
      <c r="G12755" s="2" t="str">
        <f>HYPERLINK("https://probpalata.gov.ru/files/ИП670100293400015.jpeg","Скачать индивидуальный QR-код магазина")</f>
        <v>Скачать индивидуальный QR-код магазина</v>
      </c>
    </row>
    <row r="12756" spans="1:7" x14ac:dyDescent="0.25">
      <c r="A12756" t="s">
        <v>39583</v>
      </c>
      <c r="B12756" t="s">
        <v>39651</v>
      </c>
      <c r="C12756" t="s">
        <v>39652</v>
      </c>
      <c r="D12756" t="s">
        <v>39653</v>
      </c>
      <c r="E12756" t="s">
        <v>39654</v>
      </c>
      <c r="F12756" t="s">
        <v>39655</v>
      </c>
      <c r="G12756" s="2" t="str">
        <f>HYPERLINK("https://probpalata.gov.ru/files/ЮЛ820401465600000.jpeg","Скачать индивидуальный QR-код магазина")</f>
        <v>Скачать индивидуальный QR-код магазина</v>
      </c>
    </row>
    <row r="12757" spans="1:7" x14ac:dyDescent="0.25">
      <c r="A12757" t="s">
        <v>39583</v>
      </c>
      <c r="B12757" t="s">
        <v>39656</v>
      </c>
      <c r="C12757" t="s">
        <v>15121</v>
      </c>
      <c r="D12757" t="s">
        <v>15122</v>
      </c>
      <c r="E12757" t="s">
        <v>15123</v>
      </c>
      <c r="F12757" t="s">
        <v>39657</v>
      </c>
      <c r="G12757" s="2" t="str">
        <f>HYPERLINK("https://probpalata.gov.ru/files/ЮЛ770101324600002.jpeg","Скачать индивидуальный QR-код магазина")</f>
        <v>Скачать индивидуальный QR-код магазина</v>
      </c>
    </row>
    <row r="12758" spans="1:7" x14ac:dyDescent="0.25">
      <c r="A12758" t="s">
        <v>39583</v>
      </c>
      <c r="B12758" t="s">
        <v>39658</v>
      </c>
      <c r="C12758" t="s">
        <v>15121</v>
      </c>
      <c r="D12758" t="s">
        <v>15122</v>
      </c>
      <c r="E12758" t="s">
        <v>15123</v>
      </c>
      <c r="F12758" t="s">
        <v>39659</v>
      </c>
      <c r="G12758" s="2" t="str">
        <f>HYPERLINK("https://probpalata.gov.ru/files/ЮЛ770101324600003.jpeg","Скачать индивидуальный QR-код магазина")</f>
        <v>Скачать индивидуальный QR-код магазина</v>
      </c>
    </row>
    <row r="12759" spans="1:7" x14ac:dyDescent="0.25">
      <c r="A12759" t="s">
        <v>39583</v>
      </c>
      <c r="B12759" t="s">
        <v>39660</v>
      </c>
      <c r="C12759" t="s">
        <v>15121</v>
      </c>
      <c r="D12759" t="s">
        <v>15122</v>
      </c>
      <c r="E12759" t="s">
        <v>15123</v>
      </c>
      <c r="F12759" t="s">
        <v>39661</v>
      </c>
      <c r="G12759" s="2" t="str">
        <f>HYPERLINK("https://probpalata.gov.ru/files/ЮЛ770101324600005.jpeg","Скачать индивидуальный QR-код магазина")</f>
        <v>Скачать индивидуальный QR-код магазина</v>
      </c>
    </row>
    <row r="12760" spans="1:7" x14ac:dyDescent="0.25">
      <c r="A12760" t="s">
        <v>39583</v>
      </c>
      <c r="B12760" t="s">
        <v>39662</v>
      </c>
      <c r="C12760" t="s">
        <v>15121</v>
      </c>
      <c r="D12760" t="s">
        <v>15122</v>
      </c>
      <c r="E12760" t="s">
        <v>15123</v>
      </c>
      <c r="F12760" t="s">
        <v>39663</v>
      </c>
      <c r="G12760" s="2" t="str">
        <f>HYPERLINK("https://probpalata.gov.ru/files/ЮЛ770101324600008.jpeg","Скачать индивидуальный QR-код магазина")</f>
        <v>Скачать индивидуальный QR-код магазина</v>
      </c>
    </row>
    <row r="12761" spans="1:7" x14ac:dyDescent="0.25">
      <c r="A12761" t="s">
        <v>39583</v>
      </c>
      <c r="B12761" t="s">
        <v>39664</v>
      </c>
      <c r="C12761" t="s">
        <v>15121</v>
      </c>
      <c r="D12761" t="s">
        <v>15122</v>
      </c>
      <c r="E12761" t="s">
        <v>15123</v>
      </c>
      <c r="F12761" t="s">
        <v>39665</v>
      </c>
      <c r="G12761" s="2" t="str">
        <f>HYPERLINK("https://probpalata.gov.ru/files/ЮЛ770101324600012.jpeg","Скачать индивидуальный QR-код магазина")</f>
        <v>Скачать индивидуальный QR-код магазина</v>
      </c>
    </row>
    <row r="12762" spans="1:7" x14ac:dyDescent="0.25">
      <c r="A12762" t="s">
        <v>39583</v>
      </c>
      <c r="B12762" t="s">
        <v>39666</v>
      </c>
      <c r="C12762" t="s">
        <v>15121</v>
      </c>
      <c r="D12762" t="s">
        <v>15122</v>
      </c>
      <c r="E12762" t="s">
        <v>15123</v>
      </c>
      <c r="F12762" t="s">
        <v>39667</v>
      </c>
      <c r="G12762" s="2" t="str">
        <f>HYPERLINK("https://probpalata.gov.ru/files/ЮЛ770101324600013.jpeg","Скачать индивидуальный QR-код магазина")</f>
        <v>Скачать индивидуальный QR-код магазина</v>
      </c>
    </row>
    <row r="12763" spans="1:7" x14ac:dyDescent="0.25">
      <c r="A12763" t="s">
        <v>39583</v>
      </c>
      <c r="B12763" t="s">
        <v>39668</v>
      </c>
      <c r="C12763" t="s">
        <v>15121</v>
      </c>
      <c r="D12763" t="s">
        <v>15122</v>
      </c>
      <c r="E12763" t="s">
        <v>15123</v>
      </c>
      <c r="F12763" t="s">
        <v>39669</v>
      </c>
      <c r="G12763" s="2" t="str">
        <f>HYPERLINK("https://probpalata.gov.ru/files/ЮЛ770101324600016.jpeg","Скачать индивидуальный QR-код магазина")</f>
        <v>Скачать индивидуальный QR-код магазина</v>
      </c>
    </row>
    <row r="12764" spans="1:7" x14ac:dyDescent="0.25">
      <c r="A12764" t="s">
        <v>39583</v>
      </c>
      <c r="B12764" t="s">
        <v>39670</v>
      </c>
      <c r="C12764" t="s">
        <v>15121</v>
      </c>
      <c r="D12764" t="s">
        <v>15122</v>
      </c>
      <c r="E12764" t="s">
        <v>15123</v>
      </c>
      <c r="F12764" t="s">
        <v>39671</v>
      </c>
      <c r="G12764" s="2" t="str">
        <f>HYPERLINK("https://probpalata.gov.ru/files/ЮЛ770101324600017.jpeg","Скачать индивидуальный QR-код магазина")</f>
        <v>Скачать индивидуальный QR-код магазина</v>
      </c>
    </row>
    <row r="12765" spans="1:7" x14ac:dyDescent="0.25">
      <c r="A12765" t="s">
        <v>39583</v>
      </c>
      <c r="B12765" t="s">
        <v>39672</v>
      </c>
      <c r="C12765" t="s">
        <v>15121</v>
      </c>
      <c r="D12765" t="s">
        <v>15122</v>
      </c>
      <c r="E12765" t="s">
        <v>15123</v>
      </c>
      <c r="F12765" t="s">
        <v>39673</v>
      </c>
      <c r="G12765" s="2" t="str">
        <f>HYPERLINK("https://probpalata.gov.ru/files/ЮЛ770101324600018.jpeg","Скачать индивидуальный QR-код магазина")</f>
        <v>Скачать индивидуальный QR-код магазина</v>
      </c>
    </row>
    <row r="12766" spans="1:7" x14ac:dyDescent="0.25">
      <c r="A12766" t="s">
        <v>39583</v>
      </c>
      <c r="B12766" t="s">
        <v>39674</v>
      </c>
      <c r="C12766" t="s">
        <v>15121</v>
      </c>
      <c r="D12766" t="s">
        <v>15122</v>
      </c>
      <c r="E12766" t="s">
        <v>15123</v>
      </c>
      <c r="F12766" t="s">
        <v>39675</v>
      </c>
      <c r="G12766" s="2" t="str">
        <f>HYPERLINK("https://probpalata.gov.ru/files/ЮЛ770101324600023.jpeg","Скачать индивидуальный QR-код магазина")</f>
        <v>Скачать индивидуальный QR-код магазина</v>
      </c>
    </row>
    <row r="12767" spans="1:7" x14ac:dyDescent="0.25">
      <c r="A12767" t="s">
        <v>39583</v>
      </c>
      <c r="B12767" t="s">
        <v>39676</v>
      </c>
      <c r="C12767" t="s">
        <v>15121</v>
      </c>
      <c r="D12767" t="s">
        <v>15122</v>
      </c>
      <c r="E12767" t="s">
        <v>15123</v>
      </c>
      <c r="F12767" t="s">
        <v>39677</v>
      </c>
      <c r="G12767" s="2" t="str">
        <f>HYPERLINK("https://probpalata.gov.ru/files/ЮЛ770101324600026.jpeg","Скачать индивидуальный QR-код магазина")</f>
        <v>Скачать индивидуальный QR-код магазина</v>
      </c>
    </row>
    <row r="12768" spans="1:7" x14ac:dyDescent="0.25">
      <c r="A12768" t="s">
        <v>39583</v>
      </c>
      <c r="B12768" t="s">
        <v>39678</v>
      </c>
      <c r="C12768" t="s">
        <v>15121</v>
      </c>
      <c r="D12768" t="s">
        <v>15122</v>
      </c>
      <c r="E12768" t="s">
        <v>15123</v>
      </c>
      <c r="F12768" t="s">
        <v>39679</v>
      </c>
      <c r="G12768" s="2" t="str">
        <f>HYPERLINK("https://probpalata.gov.ru/files/ЮЛ770101324600028.jpeg","Скачать индивидуальный QR-код магазина")</f>
        <v>Скачать индивидуальный QR-код магазина</v>
      </c>
    </row>
    <row r="12769" spans="1:7" x14ac:dyDescent="0.25">
      <c r="A12769" t="s">
        <v>39583</v>
      </c>
      <c r="B12769" t="s">
        <v>39680</v>
      </c>
      <c r="C12769" t="s">
        <v>15121</v>
      </c>
      <c r="D12769" t="s">
        <v>15122</v>
      </c>
      <c r="E12769" t="s">
        <v>15123</v>
      </c>
      <c r="F12769" t="s">
        <v>39681</v>
      </c>
      <c r="G12769" s="2" t="str">
        <f>HYPERLINK("https://probpalata.gov.ru/files/ЮЛ770101324600029.jpeg","Скачать индивидуальный QR-код магазина")</f>
        <v>Скачать индивидуальный QR-код магазина</v>
      </c>
    </row>
    <row r="12770" spans="1:7" x14ac:dyDescent="0.25">
      <c r="A12770" t="s">
        <v>39583</v>
      </c>
      <c r="B12770" t="s">
        <v>39682</v>
      </c>
      <c r="C12770" t="s">
        <v>15121</v>
      </c>
      <c r="D12770" t="s">
        <v>15122</v>
      </c>
      <c r="E12770" t="s">
        <v>15123</v>
      </c>
      <c r="F12770" t="s">
        <v>39683</v>
      </c>
      <c r="G12770" s="2" t="str">
        <f>HYPERLINK("https://probpalata.gov.ru/files/ЮЛ770101324600031.jpeg","Скачать индивидуальный QR-код магазина")</f>
        <v>Скачать индивидуальный QR-код магазина</v>
      </c>
    </row>
    <row r="12771" spans="1:7" x14ac:dyDescent="0.25">
      <c r="A12771" t="s">
        <v>39583</v>
      </c>
      <c r="B12771" t="s">
        <v>39684</v>
      </c>
      <c r="C12771" t="s">
        <v>787</v>
      </c>
      <c r="D12771" t="s">
        <v>788</v>
      </c>
      <c r="E12771" t="s">
        <v>789</v>
      </c>
      <c r="F12771" t="s">
        <v>39685</v>
      </c>
      <c r="G12771" s="2" t="str">
        <f>HYPERLINK("https://probpalata.gov.ru/files/ЮЛ780300328000204.jpeg","Скачать индивидуальный QR-код магазина")</f>
        <v>Скачать индивидуальный QR-код магазина</v>
      </c>
    </row>
    <row r="12772" spans="1:7" x14ac:dyDescent="0.25">
      <c r="A12772" t="s">
        <v>39583</v>
      </c>
      <c r="B12772" t="s">
        <v>39686</v>
      </c>
      <c r="C12772" t="s">
        <v>798</v>
      </c>
      <c r="D12772" t="s">
        <v>799</v>
      </c>
      <c r="E12772" t="s">
        <v>800</v>
      </c>
      <c r="F12772" t="s">
        <v>39687</v>
      </c>
      <c r="G12772" s="2" t="str">
        <f>HYPERLINK("https://probpalata.gov.ru/files/ЮЛ780300308200442.jpeg","Скачать индивидуальный QR-код магазина")</f>
        <v>Скачать индивидуальный QR-код магазина</v>
      </c>
    </row>
    <row r="12773" spans="1:7" x14ac:dyDescent="0.25">
      <c r="A12773" t="s">
        <v>39583</v>
      </c>
      <c r="B12773" t="s">
        <v>39688</v>
      </c>
      <c r="C12773" t="s">
        <v>1490</v>
      </c>
      <c r="D12773" t="s">
        <v>1491</v>
      </c>
      <c r="E12773" t="s">
        <v>1492</v>
      </c>
      <c r="F12773" t="s">
        <v>39689</v>
      </c>
      <c r="G12773" s="2" t="str">
        <f>HYPERLINK("https://probpalata.gov.ru/files/ЮЛ780301261200049.jpeg","Скачать индивидуальный QR-код магазина")</f>
        <v>Скачать индивидуальный QR-код магазина</v>
      </c>
    </row>
    <row r="12774" spans="1:7" x14ac:dyDescent="0.25">
      <c r="A12774" t="s">
        <v>39583</v>
      </c>
      <c r="B12774" t="s">
        <v>39602</v>
      </c>
      <c r="C12774" t="s">
        <v>1490</v>
      </c>
      <c r="D12774" t="s">
        <v>1491</v>
      </c>
      <c r="E12774" t="s">
        <v>1492</v>
      </c>
      <c r="F12774" t="s">
        <v>39690</v>
      </c>
      <c r="G12774" s="2" t="str">
        <f>HYPERLINK("https://probpalata.gov.ru/files/ЮЛ780301261200066.jpeg","Скачать индивидуальный QR-код магазина")</f>
        <v>Скачать индивидуальный QR-код магазина</v>
      </c>
    </row>
    <row r="12775" spans="1:7" x14ac:dyDescent="0.25">
      <c r="A12775" t="s">
        <v>39583</v>
      </c>
      <c r="B12775" t="s">
        <v>39608</v>
      </c>
      <c r="C12775" t="s">
        <v>39691</v>
      </c>
      <c r="D12775" t="s">
        <v>39692</v>
      </c>
      <c r="E12775" t="s">
        <v>39693</v>
      </c>
      <c r="F12775" t="s">
        <v>39694</v>
      </c>
      <c r="G12775" s="2" t="str">
        <f>HYPERLINK("https://probpalata.gov.ru/files/ИП820400986100000.jpeg","Скачать индивидуальный QR-код магазина")</f>
        <v>Скачать индивидуальный QR-код магазина</v>
      </c>
    </row>
    <row r="12776" spans="1:7" x14ac:dyDescent="0.25">
      <c r="A12776" t="s">
        <v>39583</v>
      </c>
      <c r="B12776" t="s">
        <v>39695</v>
      </c>
      <c r="C12776" t="s">
        <v>39691</v>
      </c>
      <c r="D12776" t="s">
        <v>39692</v>
      </c>
      <c r="E12776" t="s">
        <v>39693</v>
      </c>
      <c r="F12776" t="s">
        <v>39696</v>
      </c>
      <c r="G12776" s="2" t="str">
        <f>HYPERLINK("https://probpalata.gov.ru/files/ИП820400986100001.jpeg","Скачать индивидуальный QR-код магазина")</f>
        <v>Скачать индивидуальный QR-код магазина</v>
      </c>
    </row>
    <row r="12777" spans="1:7" x14ac:dyDescent="0.25">
      <c r="A12777" t="s">
        <v>39583</v>
      </c>
      <c r="B12777" t="s">
        <v>39697</v>
      </c>
      <c r="C12777" t="s">
        <v>39698</v>
      </c>
      <c r="D12777" t="s">
        <v>39699</v>
      </c>
      <c r="E12777" t="s">
        <v>39700</v>
      </c>
      <c r="F12777" t="s">
        <v>39701</v>
      </c>
      <c r="G12777" s="2" t="str">
        <f>HYPERLINK("https://probpalata.gov.ru/files/ИП820400562400000.jpeg","Скачать индивидуальный QR-код магазина")</f>
        <v>Скачать индивидуальный QR-код магазина</v>
      </c>
    </row>
    <row r="12778" spans="1:7" x14ac:dyDescent="0.25">
      <c r="A12778" t="s">
        <v>39583</v>
      </c>
      <c r="B12778" t="s">
        <v>39702</v>
      </c>
      <c r="C12778" t="s">
        <v>39698</v>
      </c>
      <c r="D12778" t="s">
        <v>39699</v>
      </c>
      <c r="E12778" t="s">
        <v>39700</v>
      </c>
      <c r="F12778" t="s">
        <v>39703</v>
      </c>
      <c r="G12778" s="2" t="str">
        <f>HYPERLINK("https://probpalata.gov.ru/files/ИП820400562400001.jpeg","Скачать индивидуальный QR-код магазина")</f>
        <v>Скачать индивидуальный QR-код магазина</v>
      </c>
    </row>
    <row r="12779" spans="1:7" x14ac:dyDescent="0.25">
      <c r="A12779" t="s">
        <v>39583</v>
      </c>
      <c r="B12779" t="s">
        <v>39704</v>
      </c>
      <c r="C12779" t="s">
        <v>39705</v>
      </c>
      <c r="D12779" t="s">
        <v>39706</v>
      </c>
      <c r="E12779" t="s">
        <v>39707</v>
      </c>
      <c r="F12779" t="s">
        <v>39708</v>
      </c>
      <c r="G12779" s="2" t="str">
        <f>HYPERLINK("https://probpalata.gov.ru/files/ИП820400461000000.jpeg","Скачать индивидуальный QR-код магазина")</f>
        <v>Скачать индивидуальный QR-код магазина</v>
      </c>
    </row>
    <row r="12780" spans="1:7" x14ac:dyDescent="0.25">
      <c r="A12780" t="s">
        <v>39583</v>
      </c>
      <c r="B12780" t="s">
        <v>39709</v>
      </c>
      <c r="C12780" t="s">
        <v>39710</v>
      </c>
      <c r="D12780" t="s">
        <v>39711</v>
      </c>
      <c r="E12780" t="s">
        <v>39712</v>
      </c>
      <c r="F12780" t="s">
        <v>39713</v>
      </c>
      <c r="G12780" s="2" t="str">
        <f>HYPERLINK("https://probpalata.gov.ru/files/ИП910403904200001.jpeg","Скачать индивидуальный QR-код магазина")</f>
        <v>Скачать индивидуальный QR-код магазина</v>
      </c>
    </row>
    <row r="12781" spans="1:7" x14ac:dyDescent="0.25">
      <c r="A12781" t="s">
        <v>39583</v>
      </c>
      <c r="B12781" t="s">
        <v>39714</v>
      </c>
      <c r="C12781" t="s">
        <v>39715</v>
      </c>
      <c r="D12781" t="s">
        <v>39716</v>
      </c>
      <c r="E12781" t="s">
        <v>39717</v>
      </c>
      <c r="F12781" t="s">
        <v>39718</v>
      </c>
      <c r="G12781" s="2" t="str">
        <f>HYPERLINK("https://probpalata.gov.ru/files/ИП820400619400000.jpeg","Скачать индивидуальный QR-код магазина")</f>
        <v>Скачать индивидуальный QR-код магазина</v>
      </c>
    </row>
    <row r="12782" spans="1:7" x14ac:dyDescent="0.25">
      <c r="A12782" t="s">
        <v>39583</v>
      </c>
      <c r="B12782" t="s">
        <v>39719</v>
      </c>
      <c r="C12782" t="s">
        <v>39720</v>
      </c>
      <c r="D12782" t="s">
        <v>39721</v>
      </c>
      <c r="E12782" t="s">
        <v>39722</v>
      </c>
      <c r="F12782" t="s">
        <v>39723</v>
      </c>
      <c r="G12782" s="2" t="str">
        <f>HYPERLINK("https://probpalata.gov.ru/files/ИП820400535000002.jpeg","Скачать индивидуальный QR-код магазина")</f>
        <v>Скачать индивидуальный QR-код магазина</v>
      </c>
    </row>
    <row r="12783" spans="1:7" x14ac:dyDescent="0.25">
      <c r="A12783" t="s">
        <v>39583</v>
      </c>
      <c r="B12783" t="s">
        <v>39724</v>
      </c>
      <c r="C12783" t="s">
        <v>39720</v>
      </c>
      <c r="D12783" t="s">
        <v>39721</v>
      </c>
      <c r="E12783" t="s">
        <v>39722</v>
      </c>
      <c r="F12783" t="s">
        <v>39725</v>
      </c>
      <c r="G12783" s="2" t="str">
        <f>HYPERLINK("https://probpalata.gov.ru/files/ИП820400535000003.jpeg","Скачать индивидуальный QR-код магазина")</f>
        <v>Скачать индивидуальный QR-код магазина</v>
      </c>
    </row>
    <row r="12784" spans="1:7" x14ac:dyDescent="0.25">
      <c r="A12784" t="s">
        <v>39583</v>
      </c>
      <c r="B12784" t="s">
        <v>39726</v>
      </c>
      <c r="C12784" t="s">
        <v>39727</v>
      </c>
      <c r="D12784" t="s">
        <v>39728</v>
      </c>
      <c r="E12784" t="s">
        <v>39729</v>
      </c>
      <c r="F12784" t="s">
        <v>39730</v>
      </c>
      <c r="G12784" s="2" t="str">
        <f>HYPERLINK("https://probpalata.gov.ru/files/ИП820400889100000.jpeg","Скачать индивидуальный QR-код магазина")</f>
        <v>Скачать индивидуальный QR-код магазина</v>
      </c>
    </row>
    <row r="12785" spans="1:7" x14ac:dyDescent="0.25">
      <c r="A12785" t="s">
        <v>39583</v>
      </c>
      <c r="B12785" t="s">
        <v>39731</v>
      </c>
      <c r="C12785" t="s">
        <v>39727</v>
      </c>
      <c r="D12785" t="s">
        <v>39728</v>
      </c>
      <c r="E12785" t="s">
        <v>39729</v>
      </c>
      <c r="F12785" t="s">
        <v>39732</v>
      </c>
      <c r="G12785" s="2" t="str">
        <f>HYPERLINK("https://probpalata.gov.ru/files/ИП820400889100001.jpeg","Скачать индивидуальный QR-код магазина")</f>
        <v>Скачать индивидуальный QR-код магазина</v>
      </c>
    </row>
    <row r="12786" spans="1:7" x14ac:dyDescent="0.25">
      <c r="A12786" t="s">
        <v>39583</v>
      </c>
      <c r="B12786" t="s">
        <v>39733</v>
      </c>
      <c r="C12786" t="s">
        <v>39734</v>
      </c>
      <c r="D12786" t="s">
        <v>39735</v>
      </c>
      <c r="E12786" t="s">
        <v>39736</v>
      </c>
      <c r="F12786" t="s">
        <v>39737</v>
      </c>
      <c r="G12786" s="2" t="str">
        <f>HYPERLINK("https://probpalata.gov.ru/files/ИП820400416000000.jpeg","Скачать индивидуальный QR-код магазина")</f>
        <v>Скачать индивидуальный QR-код магазина</v>
      </c>
    </row>
    <row r="12787" spans="1:7" x14ac:dyDescent="0.25">
      <c r="A12787" t="s">
        <v>39583</v>
      </c>
      <c r="B12787" t="s">
        <v>39738</v>
      </c>
      <c r="C12787" t="s">
        <v>39739</v>
      </c>
      <c r="D12787" t="s">
        <v>39740</v>
      </c>
      <c r="E12787" t="s">
        <v>39741</v>
      </c>
      <c r="F12787" t="s">
        <v>39742</v>
      </c>
      <c r="G12787" s="2" t="str">
        <f>HYPERLINK("https://probpalata.gov.ru/files/ИП820400321000000.jpeg","Скачать индивидуальный QR-код магазина")</f>
        <v>Скачать индивидуальный QR-код магазина</v>
      </c>
    </row>
    <row r="12788" spans="1:7" x14ac:dyDescent="0.25">
      <c r="A12788" t="s">
        <v>39583</v>
      </c>
      <c r="B12788" t="s">
        <v>39743</v>
      </c>
      <c r="C12788" t="s">
        <v>39744</v>
      </c>
      <c r="D12788" t="s">
        <v>39745</v>
      </c>
      <c r="E12788" t="s">
        <v>39746</v>
      </c>
      <c r="F12788" t="s">
        <v>39747</v>
      </c>
      <c r="G12788" s="2" t="str">
        <f>HYPERLINK("https://probpalata.gov.ru/files/ИП820400366700000.jpeg","Скачать индивидуальный QR-код магазина")</f>
        <v>Скачать индивидуальный QR-код магазина</v>
      </c>
    </row>
    <row r="12789" spans="1:7" x14ac:dyDescent="0.25">
      <c r="A12789" t="s">
        <v>39583</v>
      </c>
      <c r="B12789" t="s">
        <v>39748</v>
      </c>
      <c r="C12789" t="s">
        <v>39749</v>
      </c>
      <c r="D12789" t="s">
        <v>39750</v>
      </c>
      <c r="E12789" t="s">
        <v>39751</v>
      </c>
      <c r="F12789" t="s">
        <v>39752</v>
      </c>
      <c r="G12789" s="2" t="str">
        <f>HYPERLINK("https://probpalata.gov.ru/files/ИП820400559400000.jpeg","Скачать индивидуальный QR-код магазина")</f>
        <v>Скачать индивидуальный QR-код магазина</v>
      </c>
    </row>
    <row r="12790" spans="1:7" x14ac:dyDescent="0.25">
      <c r="A12790" t="s">
        <v>39583</v>
      </c>
      <c r="B12790" t="s">
        <v>39753</v>
      </c>
      <c r="C12790" t="s">
        <v>39754</v>
      </c>
      <c r="D12790" t="s">
        <v>39755</v>
      </c>
      <c r="E12790" t="s">
        <v>39756</v>
      </c>
      <c r="F12790" t="s">
        <v>39757</v>
      </c>
      <c r="G12790" s="2" t="str">
        <f>HYPERLINK("https://probpalata.gov.ru/files/ИП820400370700000.jpeg","Скачать индивидуальный QR-код магазина")</f>
        <v>Скачать индивидуальный QR-код магазина</v>
      </c>
    </row>
    <row r="12791" spans="1:7" x14ac:dyDescent="0.25">
      <c r="A12791" t="s">
        <v>39583</v>
      </c>
      <c r="B12791" t="s">
        <v>39758</v>
      </c>
      <c r="C12791" t="s">
        <v>39754</v>
      </c>
      <c r="D12791" t="s">
        <v>39755</v>
      </c>
      <c r="E12791" t="s">
        <v>39756</v>
      </c>
      <c r="F12791" t="s">
        <v>39759</v>
      </c>
      <c r="G12791" s="2" t="str">
        <f>HYPERLINK("https://probpalata.gov.ru/files/ИП820400370700002.jpeg","Скачать индивидуальный QR-код магазина")</f>
        <v>Скачать индивидуальный QR-код магазина</v>
      </c>
    </row>
    <row r="12792" spans="1:7" x14ac:dyDescent="0.25">
      <c r="A12792" t="s">
        <v>39583</v>
      </c>
      <c r="B12792" t="s">
        <v>39760</v>
      </c>
      <c r="C12792" t="s">
        <v>39761</v>
      </c>
      <c r="D12792" t="s">
        <v>39762</v>
      </c>
      <c r="E12792" t="s">
        <v>39763</v>
      </c>
      <c r="F12792" t="s">
        <v>39764</v>
      </c>
      <c r="G12792" s="2" t="str">
        <f>HYPERLINK("https://probpalata.gov.ru/files/ИП820400102700000.jpeg","Скачать индивидуальный QR-код магазина")</f>
        <v>Скачать индивидуальный QR-код магазина</v>
      </c>
    </row>
    <row r="12793" spans="1:7" x14ac:dyDescent="0.25">
      <c r="A12793" t="s">
        <v>39583</v>
      </c>
      <c r="B12793" t="s">
        <v>39765</v>
      </c>
      <c r="C12793" t="s">
        <v>39761</v>
      </c>
      <c r="D12793" t="s">
        <v>39762</v>
      </c>
      <c r="E12793" t="s">
        <v>39763</v>
      </c>
      <c r="F12793" t="s">
        <v>39766</v>
      </c>
      <c r="G12793" s="2" t="str">
        <f>HYPERLINK("https://probpalata.gov.ru/files/ИП820400102700001.jpeg","Скачать индивидуальный QR-код магазина")</f>
        <v>Скачать индивидуальный QR-код магазина</v>
      </c>
    </row>
    <row r="12794" spans="1:7" x14ac:dyDescent="0.25">
      <c r="A12794" t="s">
        <v>39583</v>
      </c>
      <c r="B12794" t="s">
        <v>39767</v>
      </c>
      <c r="C12794" t="s">
        <v>39768</v>
      </c>
      <c r="D12794" t="s">
        <v>39769</v>
      </c>
      <c r="E12794" t="s">
        <v>39770</v>
      </c>
      <c r="F12794" t="s">
        <v>39771</v>
      </c>
      <c r="G12794" s="2" t="str">
        <f>HYPERLINK("https://probpalata.gov.ru/files/ИП820400371200000.jpeg","Скачать индивидуальный QR-код магазина")</f>
        <v>Скачать индивидуальный QR-код магазина</v>
      </c>
    </row>
    <row r="12795" spans="1:7" x14ac:dyDescent="0.25">
      <c r="A12795" t="s">
        <v>39583</v>
      </c>
      <c r="B12795" t="s">
        <v>39602</v>
      </c>
      <c r="C12795" t="s">
        <v>39772</v>
      </c>
      <c r="D12795" t="s">
        <v>39773</v>
      </c>
      <c r="E12795" t="s">
        <v>39774</v>
      </c>
      <c r="F12795" t="s">
        <v>39775</v>
      </c>
      <c r="G12795" s="2" t="str">
        <f>HYPERLINK("https://probpalata.gov.ru/files/ИП820400561100000.jpeg","Скачать индивидуальный QR-код магазина")</f>
        <v>Скачать индивидуальный QR-код магазина</v>
      </c>
    </row>
    <row r="12796" spans="1:7" x14ac:dyDescent="0.25">
      <c r="A12796" t="s">
        <v>39583</v>
      </c>
      <c r="B12796" t="s">
        <v>39776</v>
      </c>
      <c r="C12796" t="s">
        <v>39777</v>
      </c>
      <c r="D12796" t="s">
        <v>39778</v>
      </c>
      <c r="E12796" t="s">
        <v>39779</v>
      </c>
      <c r="F12796" t="s">
        <v>39780</v>
      </c>
      <c r="G12796" s="2" t="str">
        <f>HYPERLINK("https://probpalata.gov.ru/files/ИП820400885500000.jpeg","Скачать индивидуальный QR-код магазина")</f>
        <v>Скачать индивидуальный QR-код магазина</v>
      </c>
    </row>
    <row r="12797" spans="1:7" x14ac:dyDescent="0.25">
      <c r="A12797" t="s">
        <v>39583</v>
      </c>
      <c r="B12797" t="s">
        <v>39781</v>
      </c>
      <c r="C12797" t="s">
        <v>39782</v>
      </c>
      <c r="D12797" t="s">
        <v>39783</v>
      </c>
      <c r="E12797" t="s">
        <v>39784</v>
      </c>
      <c r="F12797" t="s">
        <v>39785</v>
      </c>
      <c r="G12797" s="2" t="str">
        <f>HYPERLINK("https://probpalata.gov.ru/files/ЮЛ820401492700001.jpeg","Скачать индивидуальный QR-код магазина")</f>
        <v>Скачать индивидуальный QR-код магазина</v>
      </c>
    </row>
    <row r="12798" spans="1:7" x14ac:dyDescent="0.25">
      <c r="A12798" t="s">
        <v>39583</v>
      </c>
      <c r="B12798" t="s">
        <v>39786</v>
      </c>
      <c r="C12798" t="s">
        <v>39787</v>
      </c>
      <c r="D12798" t="s">
        <v>39788</v>
      </c>
      <c r="E12798" t="s">
        <v>39789</v>
      </c>
      <c r="F12798" t="s">
        <v>39790</v>
      </c>
      <c r="G12798" s="2" t="str">
        <f>HYPERLINK("https://probpalata.gov.ru/files/ЮЛ820401424800001.jpeg","Скачать индивидуальный QR-код магазина")</f>
        <v>Скачать индивидуальный QR-код магазина</v>
      </c>
    </row>
    <row r="12799" spans="1:7" x14ac:dyDescent="0.25">
      <c r="A12799" t="s">
        <v>39583</v>
      </c>
      <c r="B12799" t="s">
        <v>39791</v>
      </c>
      <c r="C12799" t="s">
        <v>39787</v>
      </c>
      <c r="D12799" t="s">
        <v>39788</v>
      </c>
      <c r="E12799" t="s">
        <v>39789</v>
      </c>
      <c r="F12799" t="s">
        <v>39792</v>
      </c>
      <c r="G12799" s="2" t="str">
        <f>HYPERLINK("https://probpalata.gov.ru/files/ЮЛ820401424800002.jpeg","Скачать индивидуальный QR-код магазина")</f>
        <v>Скачать индивидуальный QR-код магазина</v>
      </c>
    </row>
    <row r="12800" spans="1:7" x14ac:dyDescent="0.25">
      <c r="A12800" t="s">
        <v>39583</v>
      </c>
      <c r="B12800" t="s">
        <v>39793</v>
      </c>
      <c r="C12800" t="s">
        <v>39787</v>
      </c>
      <c r="D12800" t="s">
        <v>39788</v>
      </c>
      <c r="E12800" t="s">
        <v>39789</v>
      </c>
      <c r="F12800" t="s">
        <v>39794</v>
      </c>
      <c r="G12800" s="2" t="str">
        <f>HYPERLINK("https://probpalata.gov.ru/files/ЮЛ820401424800003.jpeg","Скачать индивидуальный QR-код магазина")</f>
        <v>Скачать индивидуальный QR-код магазина</v>
      </c>
    </row>
    <row r="12801" spans="1:7" x14ac:dyDescent="0.25">
      <c r="A12801" t="s">
        <v>39583</v>
      </c>
      <c r="B12801" t="s">
        <v>39795</v>
      </c>
      <c r="C12801" t="s">
        <v>28067</v>
      </c>
      <c r="D12801" t="s">
        <v>39796</v>
      </c>
      <c r="E12801" t="s">
        <v>39797</v>
      </c>
      <c r="F12801" t="s">
        <v>39798</v>
      </c>
      <c r="G12801" s="2" t="str">
        <f>HYPERLINK("https://probpalata.gov.ru/files/ЮЛ820400350800000.jpeg","Скачать индивидуальный QR-код магазина")</f>
        <v>Скачать индивидуальный QR-код магазина</v>
      </c>
    </row>
    <row r="12802" spans="1:7" x14ac:dyDescent="0.25">
      <c r="A12802" t="s">
        <v>39583</v>
      </c>
      <c r="B12802" t="s">
        <v>39799</v>
      </c>
      <c r="C12802" t="s">
        <v>28067</v>
      </c>
      <c r="D12802" t="s">
        <v>39796</v>
      </c>
      <c r="E12802" t="s">
        <v>39797</v>
      </c>
      <c r="F12802" t="s">
        <v>39800</v>
      </c>
      <c r="G12802" s="2" t="str">
        <f>HYPERLINK("https://probpalata.gov.ru/files/ЮЛ820400350800002.jpeg","Скачать индивидуальный QR-код магазина")</f>
        <v>Скачать индивидуальный QR-код магазина</v>
      </c>
    </row>
    <row r="12803" spans="1:7" x14ac:dyDescent="0.25">
      <c r="A12803" t="s">
        <v>39583</v>
      </c>
      <c r="B12803" t="s">
        <v>39801</v>
      </c>
      <c r="C12803" t="s">
        <v>39802</v>
      </c>
      <c r="D12803" t="s">
        <v>39803</v>
      </c>
      <c r="E12803" t="s">
        <v>39804</v>
      </c>
      <c r="F12803" t="s">
        <v>39805</v>
      </c>
      <c r="G12803" s="2" t="str">
        <f>HYPERLINK("https://probpalata.gov.ru/files/ИП820400312700000.jpeg","Скачать индивидуальный QR-код магазина")</f>
        <v>Скачать индивидуальный QR-код магазина</v>
      </c>
    </row>
    <row r="12804" spans="1:7" x14ac:dyDescent="0.25">
      <c r="A12804" t="s">
        <v>39583</v>
      </c>
      <c r="B12804" t="s">
        <v>39806</v>
      </c>
      <c r="C12804" t="s">
        <v>39807</v>
      </c>
      <c r="D12804" t="s">
        <v>39808</v>
      </c>
      <c r="E12804" t="s">
        <v>39809</v>
      </c>
      <c r="F12804" t="s">
        <v>39810</v>
      </c>
      <c r="G12804" s="2" t="str">
        <f>HYPERLINK("https://probpalata.gov.ru/files/ИП820400127500000.jpeg","Скачать индивидуальный QR-код магазина")</f>
        <v>Скачать индивидуальный QR-код магазина</v>
      </c>
    </row>
    <row r="12805" spans="1:7" x14ac:dyDescent="0.25">
      <c r="A12805" t="s">
        <v>39583</v>
      </c>
      <c r="B12805" t="s">
        <v>39602</v>
      </c>
      <c r="C12805" t="s">
        <v>39811</v>
      </c>
      <c r="D12805" t="s">
        <v>39812</v>
      </c>
      <c r="E12805" t="s">
        <v>39813</v>
      </c>
      <c r="F12805" t="s">
        <v>39814</v>
      </c>
      <c r="G12805" s="2" t="str">
        <f>HYPERLINK("https://probpalata.gov.ru/files/ИП820400335000000.jpeg","Скачать индивидуальный QR-код магазина")</f>
        <v>Скачать индивидуальный QR-код магазина</v>
      </c>
    </row>
    <row r="12806" spans="1:7" x14ac:dyDescent="0.25">
      <c r="A12806" t="s">
        <v>39583</v>
      </c>
      <c r="B12806" t="s">
        <v>39815</v>
      </c>
      <c r="C12806" t="s">
        <v>39816</v>
      </c>
      <c r="D12806" t="s">
        <v>39817</v>
      </c>
      <c r="E12806" t="s">
        <v>39818</v>
      </c>
      <c r="F12806" t="s">
        <v>39819</v>
      </c>
      <c r="G12806" s="2" t="str">
        <f>HYPERLINK("https://probpalata.gov.ru/files/ИП910403561900000.jpeg","Скачать индивидуальный QR-код магазина")</f>
        <v>Скачать индивидуальный QR-код магазина</v>
      </c>
    </row>
    <row r="12807" spans="1:7" x14ac:dyDescent="0.25">
      <c r="A12807" t="s">
        <v>39583</v>
      </c>
      <c r="B12807" t="s">
        <v>39820</v>
      </c>
      <c r="C12807" t="s">
        <v>39816</v>
      </c>
      <c r="D12807" t="s">
        <v>39817</v>
      </c>
      <c r="E12807" t="s">
        <v>39818</v>
      </c>
      <c r="F12807" t="s">
        <v>39821</v>
      </c>
      <c r="G12807" s="2" t="str">
        <f>HYPERLINK("https://probpalata.gov.ru/files/ИП910403561900001.jpeg","Скачать индивидуальный QR-код магазина")</f>
        <v>Скачать индивидуальный QR-код магазина</v>
      </c>
    </row>
    <row r="12808" spans="1:7" x14ac:dyDescent="0.25">
      <c r="A12808" t="s">
        <v>39583</v>
      </c>
      <c r="B12808" t="s">
        <v>39822</v>
      </c>
      <c r="C12808" t="s">
        <v>39816</v>
      </c>
      <c r="D12808" t="s">
        <v>39817</v>
      </c>
      <c r="E12808" t="s">
        <v>39818</v>
      </c>
      <c r="F12808" t="s">
        <v>39823</v>
      </c>
      <c r="G12808" s="2" t="str">
        <f>HYPERLINK("https://probpalata.gov.ru/files/ИП910403561900002.jpeg","Скачать индивидуальный QR-код магазина")</f>
        <v>Скачать индивидуальный QR-код магазина</v>
      </c>
    </row>
    <row r="12809" spans="1:7" x14ac:dyDescent="0.25">
      <c r="A12809" t="s">
        <v>39583</v>
      </c>
      <c r="B12809" t="s">
        <v>39824</v>
      </c>
      <c r="C12809" t="s">
        <v>39816</v>
      </c>
      <c r="D12809" t="s">
        <v>39817</v>
      </c>
      <c r="E12809" t="s">
        <v>39818</v>
      </c>
      <c r="F12809" t="s">
        <v>39825</v>
      </c>
      <c r="G12809" s="2" t="str">
        <f>HYPERLINK("https://probpalata.gov.ru/files/ИП910403561900003.jpeg","Скачать индивидуальный QR-код магазина")</f>
        <v>Скачать индивидуальный QR-код магазина</v>
      </c>
    </row>
    <row r="12810" spans="1:7" x14ac:dyDescent="0.25">
      <c r="A12810" t="s">
        <v>39583</v>
      </c>
      <c r="B12810" t="s">
        <v>39826</v>
      </c>
      <c r="C12810" t="s">
        <v>39816</v>
      </c>
      <c r="D12810" t="s">
        <v>39817</v>
      </c>
      <c r="E12810" t="s">
        <v>39818</v>
      </c>
      <c r="F12810" t="s">
        <v>39827</v>
      </c>
      <c r="G12810" s="2" t="str">
        <f>HYPERLINK("https://probpalata.gov.ru/files/ИП910403561900004.jpeg","Скачать индивидуальный QR-код магазина")</f>
        <v>Скачать индивидуальный QR-код магазина</v>
      </c>
    </row>
    <row r="12811" spans="1:7" x14ac:dyDescent="0.25">
      <c r="A12811" t="s">
        <v>39583</v>
      </c>
      <c r="B12811" t="s">
        <v>39828</v>
      </c>
      <c r="C12811" t="s">
        <v>39829</v>
      </c>
      <c r="D12811" t="s">
        <v>39830</v>
      </c>
      <c r="E12811" t="s">
        <v>39831</v>
      </c>
      <c r="F12811" t="s">
        <v>39832</v>
      </c>
      <c r="G12811" s="2" t="str">
        <f>HYPERLINK("https://probpalata.gov.ru/files/ИП910403567100000.jpeg","Скачать индивидуальный QR-код магазина")</f>
        <v>Скачать индивидуальный QR-код магазина</v>
      </c>
    </row>
    <row r="12812" spans="1:7" x14ac:dyDescent="0.25">
      <c r="A12812" t="s">
        <v>39583</v>
      </c>
      <c r="B12812" t="s">
        <v>39833</v>
      </c>
      <c r="C12812" t="s">
        <v>39829</v>
      </c>
      <c r="D12812" t="s">
        <v>39830</v>
      </c>
      <c r="E12812" t="s">
        <v>39831</v>
      </c>
      <c r="F12812" t="s">
        <v>39834</v>
      </c>
      <c r="G12812" s="2" t="str">
        <f>HYPERLINK("https://probpalata.gov.ru/files/ИП910403567100001.jpeg","Скачать индивидуальный QR-код магазина")</f>
        <v>Скачать индивидуальный QR-код магазина</v>
      </c>
    </row>
    <row r="12813" spans="1:7" x14ac:dyDescent="0.25">
      <c r="A12813" t="s">
        <v>39583</v>
      </c>
      <c r="B12813" t="s">
        <v>39835</v>
      </c>
      <c r="C12813" t="s">
        <v>39829</v>
      </c>
      <c r="D12813" t="s">
        <v>39830</v>
      </c>
      <c r="E12813" t="s">
        <v>39831</v>
      </c>
      <c r="F12813" t="s">
        <v>39836</v>
      </c>
      <c r="G12813" s="2" t="str">
        <f>HYPERLINK("https://probpalata.gov.ru/files/ИП910403567100002.jpeg","Скачать индивидуальный QR-код магазина")</f>
        <v>Скачать индивидуальный QR-код магазина</v>
      </c>
    </row>
    <row r="12814" spans="1:7" x14ac:dyDescent="0.25">
      <c r="A12814" t="s">
        <v>39583</v>
      </c>
      <c r="B12814" t="s">
        <v>39837</v>
      </c>
      <c r="C12814" t="s">
        <v>39829</v>
      </c>
      <c r="D12814" t="s">
        <v>39830</v>
      </c>
      <c r="E12814" t="s">
        <v>39831</v>
      </c>
      <c r="F12814" t="s">
        <v>39838</v>
      </c>
      <c r="G12814" s="2" t="str">
        <f>HYPERLINK("https://probpalata.gov.ru/files/ИП910403567100005.jpeg","Скачать индивидуальный QR-код магазина")</f>
        <v>Скачать индивидуальный QR-код магазина</v>
      </c>
    </row>
    <row r="12815" spans="1:7" x14ac:dyDescent="0.25">
      <c r="A12815" t="s">
        <v>39583</v>
      </c>
      <c r="B12815" t="s">
        <v>39839</v>
      </c>
      <c r="C12815" t="s">
        <v>39829</v>
      </c>
      <c r="D12815" t="s">
        <v>39830</v>
      </c>
      <c r="E12815" t="s">
        <v>39831</v>
      </c>
      <c r="F12815" t="s">
        <v>39840</v>
      </c>
      <c r="G12815" s="2" t="str">
        <f>HYPERLINK("https://probpalata.gov.ru/files/ИП910403567100006.jpeg","Скачать индивидуальный QR-код магазина")</f>
        <v>Скачать индивидуальный QR-код магазина</v>
      </c>
    </row>
    <row r="12816" spans="1:7" x14ac:dyDescent="0.25">
      <c r="A12816" t="s">
        <v>39583</v>
      </c>
      <c r="B12816" t="s">
        <v>39841</v>
      </c>
      <c r="C12816" t="s">
        <v>39842</v>
      </c>
      <c r="D12816" t="s">
        <v>39843</v>
      </c>
      <c r="E12816" t="s">
        <v>39844</v>
      </c>
      <c r="F12816" t="s">
        <v>39845</v>
      </c>
      <c r="G12816" s="2" t="str">
        <f>HYPERLINK("https://probpalata.gov.ru/files/ИП770103731800000.jpeg","Скачать индивидуальный QR-код магазина")</f>
        <v>Скачать индивидуальный QR-код магазина</v>
      </c>
    </row>
    <row r="12817" spans="1:7" x14ac:dyDescent="0.25">
      <c r="A12817" t="s">
        <v>39583</v>
      </c>
      <c r="B12817" t="s">
        <v>39846</v>
      </c>
      <c r="C12817" t="s">
        <v>39847</v>
      </c>
      <c r="D12817" t="s">
        <v>39848</v>
      </c>
      <c r="E12817" t="s">
        <v>39849</v>
      </c>
      <c r="F12817" t="s">
        <v>39850</v>
      </c>
      <c r="G12817" s="2" t="str">
        <f>HYPERLINK("https://probpalata.gov.ru/files/ИП820400527500000.jpeg","Скачать индивидуальный QR-код магазина")</f>
        <v>Скачать индивидуальный QR-код магазина</v>
      </c>
    </row>
    <row r="12818" spans="1:7" x14ac:dyDescent="0.25">
      <c r="A12818" t="s">
        <v>39583</v>
      </c>
      <c r="B12818" t="s">
        <v>39851</v>
      </c>
      <c r="C12818" t="s">
        <v>14542</v>
      </c>
      <c r="D12818" t="s">
        <v>39852</v>
      </c>
      <c r="E12818" t="s">
        <v>39853</v>
      </c>
      <c r="F12818" t="s">
        <v>39854</v>
      </c>
      <c r="G12818" s="2" t="str">
        <f>HYPERLINK("https://probpalata.gov.ru/files/ЮЛ820400778700000.jpeg","Скачать индивидуальный QR-код магазина")</f>
        <v>Скачать индивидуальный QR-код магазина</v>
      </c>
    </row>
    <row r="12819" spans="1:7" x14ac:dyDescent="0.25">
      <c r="A12819" t="s">
        <v>39583</v>
      </c>
      <c r="B12819" t="s">
        <v>39855</v>
      </c>
      <c r="C12819" t="s">
        <v>14542</v>
      </c>
      <c r="D12819" t="s">
        <v>39852</v>
      </c>
      <c r="E12819" t="s">
        <v>39853</v>
      </c>
      <c r="F12819" t="s">
        <v>39856</v>
      </c>
      <c r="G12819" s="2" t="str">
        <f>HYPERLINK("https://probpalata.gov.ru/files/ЮЛ820400778700001.jpeg","Скачать индивидуальный QR-код магазина")</f>
        <v>Скачать индивидуальный QR-код магазина</v>
      </c>
    </row>
    <row r="12820" spans="1:7" x14ac:dyDescent="0.25">
      <c r="A12820" t="s">
        <v>39583</v>
      </c>
      <c r="B12820" t="s">
        <v>39857</v>
      </c>
      <c r="C12820" t="s">
        <v>14542</v>
      </c>
      <c r="D12820" t="s">
        <v>39852</v>
      </c>
      <c r="E12820" t="s">
        <v>39853</v>
      </c>
      <c r="F12820" t="s">
        <v>39858</v>
      </c>
      <c r="G12820" s="2" t="str">
        <f>HYPERLINK("https://probpalata.gov.ru/files/ЮЛ820400778700002.jpeg","Скачать индивидуальный QR-код магазина")</f>
        <v>Скачать индивидуальный QR-код магазина</v>
      </c>
    </row>
    <row r="12821" spans="1:7" x14ac:dyDescent="0.25">
      <c r="A12821" t="s">
        <v>39583</v>
      </c>
      <c r="B12821" t="s">
        <v>39859</v>
      </c>
      <c r="C12821" t="s">
        <v>14542</v>
      </c>
      <c r="D12821" t="s">
        <v>39852</v>
      </c>
      <c r="E12821" t="s">
        <v>39853</v>
      </c>
      <c r="F12821" t="s">
        <v>39860</v>
      </c>
      <c r="G12821" s="2" t="str">
        <f>HYPERLINK("https://probpalata.gov.ru/files/ЮЛ820400778700004.jpeg","Скачать индивидуальный QR-код магазина")</f>
        <v>Скачать индивидуальный QR-код магазина</v>
      </c>
    </row>
    <row r="12822" spans="1:7" x14ac:dyDescent="0.25">
      <c r="A12822" t="s">
        <v>39583</v>
      </c>
      <c r="B12822" t="s">
        <v>39861</v>
      </c>
      <c r="C12822" t="s">
        <v>14542</v>
      </c>
      <c r="D12822" t="s">
        <v>39852</v>
      </c>
      <c r="E12822" t="s">
        <v>39853</v>
      </c>
      <c r="F12822" t="s">
        <v>39862</v>
      </c>
      <c r="G12822" s="2" t="str">
        <f>HYPERLINK("https://probpalata.gov.ru/files/ЮЛ820400778700005.jpeg","Скачать индивидуальный QR-код магазина")</f>
        <v>Скачать индивидуальный QR-код магазина</v>
      </c>
    </row>
    <row r="12823" spans="1:7" x14ac:dyDescent="0.25">
      <c r="A12823" t="s">
        <v>39583</v>
      </c>
      <c r="B12823" t="s">
        <v>39863</v>
      </c>
      <c r="C12823" t="s">
        <v>14542</v>
      </c>
      <c r="D12823" t="s">
        <v>39852</v>
      </c>
      <c r="E12823" t="s">
        <v>39853</v>
      </c>
      <c r="F12823" t="s">
        <v>39864</v>
      </c>
      <c r="G12823" s="2" t="str">
        <f>HYPERLINK("https://probpalata.gov.ru/files/ЮЛ820400778700008.jpeg","Скачать индивидуальный QR-код магазина")</f>
        <v>Скачать индивидуальный QR-код магазина</v>
      </c>
    </row>
    <row r="12824" spans="1:7" x14ac:dyDescent="0.25">
      <c r="A12824" t="s">
        <v>39583</v>
      </c>
      <c r="B12824" t="s">
        <v>39865</v>
      </c>
      <c r="C12824" t="s">
        <v>14542</v>
      </c>
      <c r="D12824" t="s">
        <v>39852</v>
      </c>
      <c r="E12824" t="s">
        <v>39853</v>
      </c>
      <c r="F12824" t="s">
        <v>39866</v>
      </c>
      <c r="G12824" s="2" t="str">
        <f>HYPERLINK("https://probpalata.gov.ru/files/ЮЛ820400778700009.jpeg","Скачать индивидуальный QR-код магазина")</f>
        <v>Скачать индивидуальный QR-код магазина</v>
      </c>
    </row>
    <row r="12825" spans="1:7" x14ac:dyDescent="0.25">
      <c r="A12825" t="s">
        <v>39583</v>
      </c>
      <c r="B12825" t="s">
        <v>39867</v>
      </c>
      <c r="C12825" t="s">
        <v>14542</v>
      </c>
      <c r="D12825" t="s">
        <v>39852</v>
      </c>
      <c r="E12825" t="s">
        <v>39853</v>
      </c>
      <c r="F12825" t="s">
        <v>39868</v>
      </c>
      <c r="G12825" s="2" t="str">
        <f>HYPERLINK("https://probpalata.gov.ru/files/ЮЛ820400778700014.jpeg","Скачать индивидуальный QR-код магазина")</f>
        <v>Скачать индивидуальный QR-код магазина</v>
      </c>
    </row>
    <row r="12826" spans="1:7" x14ac:dyDescent="0.25">
      <c r="A12826" t="s">
        <v>39583</v>
      </c>
      <c r="B12826" t="s">
        <v>39869</v>
      </c>
      <c r="C12826" t="s">
        <v>14542</v>
      </c>
      <c r="D12826" t="s">
        <v>39852</v>
      </c>
      <c r="E12826" t="s">
        <v>39853</v>
      </c>
      <c r="F12826" t="s">
        <v>39870</v>
      </c>
      <c r="G12826" s="2" t="str">
        <f>HYPERLINK("https://probpalata.gov.ru/files/ЮЛ820400778700015.jpeg","Скачать индивидуальный QR-код магазина")</f>
        <v>Скачать индивидуальный QR-код магазина</v>
      </c>
    </row>
    <row r="12827" spans="1:7" x14ac:dyDescent="0.25">
      <c r="A12827" t="s">
        <v>39583</v>
      </c>
      <c r="B12827" t="s">
        <v>39871</v>
      </c>
      <c r="C12827" t="s">
        <v>39872</v>
      </c>
      <c r="D12827" t="s">
        <v>39873</v>
      </c>
      <c r="E12827" t="s">
        <v>39874</v>
      </c>
      <c r="F12827" t="s">
        <v>39875</v>
      </c>
      <c r="G12827" s="2" t="str">
        <f>HYPERLINK("https://probpalata.gov.ru/files/ИП910403763200000.jpeg","Скачать индивидуальный QR-код магазина")</f>
        <v>Скачать индивидуальный QR-код магазина</v>
      </c>
    </row>
    <row r="12828" spans="1:7" x14ac:dyDescent="0.25">
      <c r="A12828" t="s">
        <v>39583</v>
      </c>
      <c r="B12828" t="s">
        <v>39876</v>
      </c>
      <c r="C12828" t="s">
        <v>39877</v>
      </c>
      <c r="D12828" t="s">
        <v>39878</v>
      </c>
      <c r="E12828" t="s">
        <v>39879</v>
      </c>
      <c r="F12828" t="s">
        <v>39880</v>
      </c>
      <c r="G12828" s="2" t="str">
        <f>HYPERLINK("https://probpalata.gov.ru/files/ИП820400391800000.jpeg","Скачать индивидуальный QR-код магазина")</f>
        <v>Скачать индивидуальный QR-код магазина</v>
      </c>
    </row>
    <row r="12829" spans="1:7" x14ac:dyDescent="0.25">
      <c r="A12829" t="s">
        <v>39583</v>
      </c>
      <c r="B12829" t="s">
        <v>39881</v>
      </c>
      <c r="C12829" t="s">
        <v>39882</v>
      </c>
      <c r="D12829" t="s">
        <v>39883</v>
      </c>
      <c r="E12829" t="s">
        <v>39884</v>
      </c>
      <c r="F12829" t="s">
        <v>39885</v>
      </c>
      <c r="G12829" s="2" t="str">
        <f>HYPERLINK("https://probpalata.gov.ru/files/ИП820400268100002.jpeg","Скачать индивидуальный QR-код магазина")</f>
        <v>Скачать индивидуальный QR-код магазина</v>
      </c>
    </row>
    <row r="12830" spans="1:7" x14ac:dyDescent="0.25">
      <c r="A12830" t="s">
        <v>39583</v>
      </c>
      <c r="B12830" t="s">
        <v>39886</v>
      </c>
      <c r="C12830" t="s">
        <v>6419</v>
      </c>
      <c r="D12830" t="s">
        <v>6420</v>
      </c>
      <c r="E12830" t="s">
        <v>6421</v>
      </c>
      <c r="F12830" t="s">
        <v>39887</v>
      </c>
      <c r="G12830" s="2" t="str">
        <f>HYPERLINK("https://probpalata.gov.ru/files/ЮЛ910403571400000.jpeg","Скачать индивидуальный QR-код магазина")</f>
        <v>Скачать индивидуальный QR-код магазина</v>
      </c>
    </row>
    <row r="12831" spans="1:7" x14ac:dyDescent="0.25">
      <c r="A12831" t="s">
        <v>39583</v>
      </c>
      <c r="B12831" t="s">
        <v>39888</v>
      </c>
      <c r="C12831" t="s">
        <v>6419</v>
      </c>
      <c r="D12831" t="s">
        <v>6420</v>
      </c>
      <c r="E12831" t="s">
        <v>6421</v>
      </c>
      <c r="F12831" t="s">
        <v>39889</v>
      </c>
      <c r="G12831" s="2" t="str">
        <f>HYPERLINK("https://probpalata.gov.ru/files/ЮЛ910403571400003.jpeg","Скачать индивидуальный QR-код магазина")</f>
        <v>Скачать индивидуальный QR-код магазина</v>
      </c>
    </row>
    <row r="12832" spans="1:7" x14ac:dyDescent="0.25">
      <c r="A12832" t="s">
        <v>39583</v>
      </c>
      <c r="B12832" t="s">
        <v>39890</v>
      </c>
      <c r="C12832" t="s">
        <v>6419</v>
      </c>
      <c r="D12832" t="s">
        <v>6420</v>
      </c>
      <c r="E12832" t="s">
        <v>6421</v>
      </c>
      <c r="F12832" t="s">
        <v>39891</v>
      </c>
      <c r="G12832" s="2" t="str">
        <f>HYPERLINK("https://probpalata.gov.ru/files/ЮЛ910403571400005.jpeg","Скачать индивидуальный QR-код магазина")</f>
        <v>Скачать индивидуальный QR-код магазина</v>
      </c>
    </row>
    <row r="12833" spans="1:7" x14ac:dyDescent="0.25">
      <c r="A12833" t="s">
        <v>39583</v>
      </c>
      <c r="B12833" t="s">
        <v>39892</v>
      </c>
      <c r="C12833" t="s">
        <v>6419</v>
      </c>
      <c r="D12833" t="s">
        <v>6420</v>
      </c>
      <c r="E12833" t="s">
        <v>6421</v>
      </c>
      <c r="F12833" t="s">
        <v>39893</v>
      </c>
      <c r="G12833" s="2" t="str">
        <f>HYPERLINK("https://probpalata.gov.ru/files/ЮЛ910403571400008.jpeg","Скачать индивидуальный QR-код магазина")</f>
        <v>Скачать индивидуальный QR-код магазина</v>
      </c>
    </row>
    <row r="12834" spans="1:7" x14ac:dyDescent="0.25">
      <c r="A12834" t="s">
        <v>39583</v>
      </c>
      <c r="B12834" t="s">
        <v>39894</v>
      </c>
      <c r="C12834" t="s">
        <v>6419</v>
      </c>
      <c r="D12834" t="s">
        <v>6420</v>
      </c>
      <c r="E12834" t="s">
        <v>6421</v>
      </c>
      <c r="F12834" t="s">
        <v>39895</v>
      </c>
      <c r="G12834" s="2" t="str">
        <f>HYPERLINK("https://probpalata.gov.ru/files/ЮЛ910403571400009.jpeg","Скачать индивидуальный QR-код магазина")</f>
        <v>Скачать индивидуальный QR-код магазина</v>
      </c>
    </row>
    <row r="12835" spans="1:7" x14ac:dyDescent="0.25">
      <c r="A12835" t="s">
        <v>39583</v>
      </c>
      <c r="B12835" t="s">
        <v>39896</v>
      </c>
      <c r="C12835" t="s">
        <v>6419</v>
      </c>
      <c r="D12835" t="s">
        <v>6420</v>
      </c>
      <c r="E12835" t="s">
        <v>6421</v>
      </c>
      <c r="F12835" t="s">
        <v>39897</v>
      </c>
      <c r="G12835" s="2" t="str">
        <f>HYPERLINK("https://probpalata.gov.ru/files/ЮЛ910403571400011.jpeg","Скачать индивидуальный QR-код магазина")</f>
        <v>Скачать индивидуальный QR-код магазина</v>
      </c>
    </row>
    <row r="12836" spans="1:7" x14ac:dyDescent="0.25">
      <c r="A12836" t="s">
        <v>39583</v>
      </c>
      <c r="B12836" t="s">
        <v>39898</v>
      </c>
      <c r="C12836" t="s">
        <v>6419</v>
      </c>
      <c r="D12836" t="s">
        <v>6420</v>
      </c>
      <c r="E12836" t="s">
        <v>6421</v>
      </c>
      <c r="F12836" t="s">
        <v>39899</v>
      </c>
      <c r="G12836" s="2" t="str">
        <f>HYPERLINK("https://probpalata.gov.ru/files/ЮЛ910403571400012.jpeg","Скачать индивидуальный QR-код магазина")</f>
        <v>Скачать индивидуальный QR-код магазина</v>
      </c>
    </row>
    <row r="12837" spans="1:7" x14ac:dyDescent="0.25">
      <c r="A12837" t="s">
        <v>39583</v>
      </c>
      <c r="B12837" t="s">
        <v>39900</v>
      </c>
      <c r="C12837" t="s">
        <v>6419</v>
      </c>
      <c r="D12837" t="s">
        <v>6420</v>
      </c>
      <c r="E12837" t="s">
        <v>6421</v>
      </c>
      <c r="F12837" t="s">
        <v>39901</v>
      </c>
      <c r="G12837" s="2" t="str">
        <f>HYPERLINK("https://probpalata.gov.ru/files/ЮЛ910403571400013.jpeg","Скачать индивидуальный QR-код магазина")</f>
        <v>Скачать индивидуальный QR-код магазина</v>
      </c>
    </row>
    <row r="12838" spans="1:7" x14ac:dyDescent="0.25">
      <c r="A12838" t="s">
        <v>39583</v>
      </c>
      <c r="B12838" t="s">
        <v>39902</v>
      </c>
      <c r="C12838" t="s">
        <v>6419</v>
      </c>
      <c r="D12838" t="s">
        <v>6420</v>
      </c>
      <c r="E12838" t="s">
        <v>6421</v>
      </c>
      <c r="F12838" t="s">
        <v>39903</v>
      </c>
      <c r="G12838" s="2" t="str">
        <f>HYPERLINK("https://probpalata.gov.ru/files/ЮЛ910403571400014.jpeg","Скачать индивидуальный QR-код магазина")</f>
        <v>Скачать индивидуальный QR-код магазина</v>
      </c>
    </row>
    <row r="12839" spans="1:7" x14ac:dyDescent="0.25">
      <c r="A12839" t="s">
        <v>39583</v>
      </c>
      <c r="B12839" t="s">
        <v>39904</v>
      </c>
      <c r="C12839" t="s">
        <v>6419</v>
      </c>
      <c r="D12839" t="s">
        <v>6420</v>
      </c>
      <c r="E12839" t="s">
        <v>6421</v>
      </c>
      <c r="F12839" t="s">
        <v>39905</v>
      </c>
      <c r="G12839" s="2" t="str">
        <f>HYPERLINK("https://probpalata.gov.ru/files/ЮЛ910403571400015.jpeg","Скачать индивидуальный QR-код магазина")</f>
        <v>Скачать индивидуальный QR-код магазина</v>
      </c>
    </row>
    <row r="12840" spans="1:7" x14ac:dyDescent="0.25">
      <c r="A12840" t="s">
        <v>39583</v>
      </c>
      <c r="B12840" t="s">
        <v>39906</v>
      </c>
      <c r="C12840" t="s">
        <v>6419</v>
      </c>
      <c r="D12840" t="s">
        <v>6420</v>
      </c>
      <c r="E12840" t="s">
        <v>6421</v>
      </c>
      <c r="F12840" t="s">
        <v>39907</v>
      </c>
      <c r="G12840" s="2" t="str">
        <f>HYPERLINK("https://probpalata.gov.ru/files/ЮЛ910403571400016.jpeg","Скачать индивидуальный QR-код магазина")</f>
        <v>Скачать индивидуальный QR-код магазина</v>
      </c>
    </row>
    <row r="12841" spans="1:7" x14ac:dyDescent="0.25">
      <c r="A12841" t="s">
        <v>39583</v>
      </c>
      <c r="B12841" t="s">
        <v>39908</v>
      </c>
      <c r="C12841" t="s">
        <v>6419</v>
      </c>
      <c r="D12841" t="s">
        <v>6420</v>
      </c>
      <c r="E12841" t="s">
        <v>6421</v>
      </c>
      <c r="F12841" t="s">
        <v>39909</v>
      </c>
      <c r="G12841" s="2" t="str">
        <f>HYPERLINK("https://probpalata.gov.ru/files/ЮЛ910403571400017.jpeg","Скачать индивидуальный QR-код магазина")</f>
        <v>Скачать индивидуальный QR-код магазина</v>
      </c>
    </row>
    <row r="12842" spans="1:7" x14ac:dyDescent="0.25">
      <c r="A12842" t="s">
        <v>39583</v>
      </c>
      <c r="B12842" t="s">
        <v>39910</v>
      </c>
      <c r="C12842" t="s">
        <v>6419</v>
      </c>
      <c r="D12842" t="s">
        <v>6420</v>
      </c>
      <c r="E12842" t="s">
        <v>6421</v>
      </c>
      <c r="F12842" t="s">
        <v>39911</v>
      </c>
      <c r="G12842" s="2" t="str">
        <f>HYPERLINK("https://probpalata.gov.ru/files/ЮЛ910403571400018.jpeg","Скачать индивидуальный QR-код магазина")</f>
        <v>Скачать индивидуальный QR-код магазина</v>
      </c>
    </row>
    <row r="12843" spans="1:7" x14ac:dyDescent="0.25">
      <c r="A12843" t="s">
        <v>39583</v>
      </c>
      <c r="B12843" t="s">
        <v>39912</v>
      </c>
      <c r="C12843" t="s">
        <v>6419</v>
      </c>
      <c r="D12843" t="s">
        <v>6420</v>
      </c>
      <c r="E12843" t="s">
        <v>6421</v>
      </c>
      <c r="F12843" t="s">
        <v>39913</v>
      </c>
      <c r="G12843" s="2" t="str">
        <f>HYPERLINK("https://probpalata.gov.ru/files/ЮЛ910403571400019.jpeg","Скачать индивидуальный QR-код магазина")</f>
        <v>Скачать индивидуальный QR-код магазина</v>
      </c>
    </row>
    <row r="12844" spans="1:7" x14ac:dyDescent="0.25">
      <c r="A12844" t="s">
        <v>39583</v>
      </c>
      <c r="B12844" t="s">
        <v>39914</v>
      </c>
      <c r="C12844" t="s">
        <v>6419</v>
      </c>
      <c r="D12844" t="s">
        <v>6420</v>
      </c>
      <c r="E12844" t="s">
        <v>6421</v>
      </c>
      <c r="F12844" t="s">
        <v>39915</v>
      </c>
      <c r="G12844" s="2" t="str">
        <f>HYPERLINK("https://probpalata.gov.ru/files/ЮЛ910403571400024.jpeg","Скачать индивидуальный QR-код магазина")</f>
        <v>Скачать индивидуальный QR-код магазина</v>
      </c>
    </row>
    <row r="12845" spans="1:7" x14ac:dyDescent="0.25">
      <c r="A12845" t="s">
        <v>39583</v>
      </c>
      <c r="B12845" t="s">
        <v>39916</v>
      </c>
      <c r="C12845" t="s">
        <v>6419</v>
      </c>
      <c r="D12845" t="s">
        <v>6420</v>
      </c>
      <c r="E12845" t="s">
        <v>6421</v>
      </c>
      <c r="F12845" t="s">
        <v>39917</v>
      </c>
      <c r="G12845" s="2" t="str">
        <f>HYPERLINK("https://probpalata.gov.ru/files/ЮЛ910403571400026.jpeg","Скачать индивидуальный QR-код магазина")</f>
        <v>Скачать индивидуальный QR-код магазина</v>
      </c>
    </row>
    <row r="12846" spans="1:7" x14ac:dyDescent="0.25">
      <c r="A12846" t="s">
        <v>39583</v>
      </c>
      <c r="B12846" t="s">
        <v>39918</v>
      </c>
      <c r="C12846" t="s">
        <v>6419</v>
      </c>
      <c r="D12846" t="s">
        <v>6420</v>
      </c>
      <c r="E12846" t="s">
        <v>6421</v>
      </c>
      <c r="F12846" t="s">
        <v>39919</v>
      </c>
      <c r="G12846" s="2" t="str">
        <f>HYPERLINK("https://probpalata.gov.ru/files/ЮЛ910403571400029.jpeg","Скачать индивидуальный QR-код магазина")</f>
        <v>Скачать индивидуальный QR-код магазина</v>
      </c>
    </row>
    <row r="12847" spans="1:7" x14ac:dyDescent="0.25">
      <c r="A12847" t="s">
        <v>39583</v>
      </c>
      <c r="B12847" t="s">
        <v>39920</v>
      </c>
      <c r="C12847" t="s">
        <v>6419</v>
      </c>
      <c r="D12847" t="s">
        <v>6420</v>
      </c>
      <c r="E12847" t="s">
        <v>6421</v>
      </c>
      <c r="F12847" t="s">
        <v>39921</v>
      </c>
      <c r="G12847" s="2" t="str">
        <f>HYPERLINK("https://probpalata.gov.ru/files/ЮЛ910403571400034.jpeg","Скачать индивидуальный QR-код магазина")</f>
        <v>Скачать индивидуальный QR-код магазина</v>
      </c>
    </row>
    <row r="12848" spans="1:7" x14ac:dyDescent="0.25">
      <c r="A12848" t="s">
        <v>39583</v>
      </c>
      <c r="B12848" t="s">
        <v>39922</v>
      </c>
      <c r="C12848" t="s">
        <v>6419</v>
      </c>
      <c r="D12848" t="s">
        <v>6420</v>
      </c>
      <c r="E12848" t="s">
        <v>6421</v>
      </c>
      <c r="F12848" t="s">
        <v>39923</v>
      </c>
      <c r="G12848" s="2" t="str">
        <f>HYPERLINK("https://probpalata.gov.ru/files/ЮЛ910403571400035.jpeg","Скачать индивидуальный QR-код магазина")</f>
        <v>Скачать индивидуальный QR-код магазина</v>
      </c>
    </row>
    <row r="12849" spans="1:7" x14ac:dyDescent="0.25">
      <c r="A12849" t="s">
        <v>39583</v>
      </c>
      <c r="B12849" t="s">
        <v>39924</v>
      </c>
      <c r="C12849" t="s">
        <v>6419</v>
      </c>
      <c r="D12849" t="s">
        <v>6420</v>
      </c>
      <c r="E12849" t="s">
        <v>6421</v>
      </c>
      <c r="F12849" t="s">
        <v>39925</v>
      </c>
      <c r="G12849" s="2" t="str">
        <f>HYPERLINK("https://probpalata.gov.ru/files/ЮЛ910403571400036.jpeg","Скачать индивидуальный QR-код магазина")</f>
        <v>Скачать индивидуальный QR-код магазина</v>
      </c>
    </row>
    <row r="12850" spans="1:7" x14ac:dyDescent="0.25">
      <c r="A12850" t="s">
        <v>39583</v>
      </c>
      <c r="B12850" t="s">
        <v>39926</v>
      </c>
      <c r="C12850" t="s">
        <v>6419</v>
      </c>
      <c r="D12850" t="s">
        <v>6420</v>
      </c>
      <c r="E12850" t="s">
        <v>6421</v>
      </c>
      <c r="F12850" t="s">
        <v>39927</v>
      </c>
      <c r="G12850" s="2" t="str">
        <f>HYPERLINK("https://probpalata.gov.ru/files/ЮЛ910403571400037.jpeg","Скачать индивидуальный QR-код магазина")</f>
        <v>Скачать индивидуальный QR-код магазина</v>
      </c>
    </row>
    <row r="12851" spans="1:7" x14ac:dyDescent="0.25">
      <c r="A12851" t="s">
        <v>39583</v>
      </c>
      <c r="B12851" t="s">
        <v>39928</v>
      </c>
      <c r="C12851" t="s">
        <v>6419</v>
      </c>
      <c r="D12851" t="s">
        <v>6420</v>
      </c>
      <c r="E12851" t="s">
        <v>6421</v>
      </c>
      <c r="F12851" t="s">
        <v>39929</v>
      </c>
      <c r="G12851" s="2" t="str">
        <f>HYPERLINK("https://probpalata.gov.ru/files/ЮЛ910403571400038.jpeg","Скачать индивидуальный QR-код магазина")</f>
        <v>Скачать индивидуальный QR-код магазина</v>
      </c>
    </row>
    <row r="12852" spans="1:7" x14ac:dyDescent="0.25">
      <c r="A12852" t="s">
        <v>39583</v>
      </c>
      <c r="B12852" t="s">
        <v>39930</v>
      </c>
      <c r="C12852" t="s">
        <v>6419</v>
      </c>
      <c r="D12852" t="s">
        <v>6420</v>
      </c>
      <c r="E12852" t="s">
        <v>6421</v>
      </c>
      <c r="F12852" t="s">
        <v>39931</v>
      </c>
      <c r="G12852" s="2" t="str">
        <f>HYPERLINK("https://probpalata.gov.ru/files/ЮЛ910403571400039.jpeg","Скачать индивидуальный QR-код магазина")</f>
        <v>Скачать индивидуальный QR-код магазина</v>
      </c>
    </row>
    <row r="12853" spans="1:7" x14ac:dyDescent="0.25">
      <c r="A12853" t="s">
        <v>39583</v>
      </c>
      <c r="B12853" t="s">
        <v>39932</v>
      </c>
      <c r="C12853" t="s">
        <v>6419</v>
      </c>
      <c r="D12853" t="s">
        <v>6420</v>
      </c>
      <c r="E12853" t="s">
        <v>6421</v>
      </c>
      <c r="F12853" t="s">
        <v>39933</v>
      </c>
      <c r="G12853" s="2" t="str">
        <f>HYPERLINK("https://probpalata.gov.ru/files/ЮЛ910403571400040.jpeg","Скачать индивидуальный QR-код магазина")</f>
        <v>Скачать индивидуальный QR-код магазина</v>
      </c>
    </row>
    <row r="12854" spans="1:7" x14ac:dyDescent="0.25">
      <c r="A12854" t="s">
        <v>39583</v>
      </c>
      <c r="B12854" t="s">
        <v>39934</v>
      </c>
      <c r="C12854" t="s">
        <v>6419</v>
      </c>
      <c r="D12854" t="s">
        <v>6420</v>
      </c>
      <c r="E12854" t="s">
        <v>6421</v>
      </c>
      <c r="F12854" t="s">
        <v>39935</v>
      </c>
      <c r="G12854" s="2" t="str">
        <f>HYPERLINK("https://probpalata.gov.ru/files/ЮЛ910403571400041.jpeg","Скачать индивидуальный QR-код магазина")</f>
        <v>Скачать индивидуальный QR-код магазина</v>
      </c>
    </row>
    <row r="12855" spans="1:7" x14ac:dyDescent="0.25">
      <c r="A12855" t="s">
        <v>39583</v>
      </c>
      <c r="B12855" t="s">
        <v>39936</v>
      </c>
      <c r="C12855" t="s">
        <v>6419</v>
      </c>
      <c r="D12855" t="s">
        <v>6420</v>
      </c>
      <c r="E12855" t="s">
        <v>6421</v>
      </c>
      <c r="F12855" t="s">
        <v>39937</v>
      </c>
      <c r="G12855" s="2" t="str">
        <f>HYPERLINK("https://probpalata.gov.ru/files/ЮЛ910403571400042.jpeg","Скачать индивидуальный QR-код магазина")</f>
        <v>Скачать индивидуальный QR-код магазина</v>
      </c>
    </row>
    <row r="12856" spans="1:7" x14ac:dyDescent="0.25">
      <c r="A12856" t="s">
        <v>39583</v>
      </c>
      <c r="B12856" t="s">
        <v>39938</v>
      </c>
      <c r="C12856" t="s">
        <v>6419</v>
      </c>
      <c r="D12856" t="s">
        <v>6420</v>
      </c>
      <c r="E12856" t="s">
        <v>6421</v>
      </c>
      <c r="F12856" t="s">
        <v>39939</v>
      </c>
      <c r="G12856" s="2" t="str">
        <f>HYPERLINK("https://probpalata.gov.ru/files/ЮЛ910403571400043.jpeg","Скачать индивидуальный QR-код магазина")</f>
        <v>Скачать индивидуальный QR-код магазина</v>
      </c>
    </row>
    <row r="12857" spans="1:7" x14ac:dyDescent="0.25">
      <c r="A12857" t="s">
        <v>39583</v>
      </c>
      <c r="B12857" t="s">
        <v>39940</v>
      </c>
      <c r="C12857" t="s">
        <v>6419</v>
      </c>
      <c r="D12857" t="s">
        <v>6420</v>
      </c>
      <c r="E12857" t="s">
        <v>6421</v>
      </c>
      <c r="F12857" t="s">
        <v>39941</v>
      </c>
      <c r="G12857" s="2" t="str">
        <f>HYPERLINK("https://probpalata.gov.ru/files/ЮЛ910403571400044.jpeg","Скачать индивидуальный QR-код магазина")</f>
        <v>Скачать индивидуальный QR-код магазина</v>
      </c>
    </row>
    <row r="12858" spans="1:7" x14ac:dyDescent="0.25">
      <c r="A12858" t="s">
        <v>39583</v>
      </c>
      <c r="B12858" t="s">
        <v>39942</v>
      </c>
      <c r="C12858" t="s">
        <v>6419</v>
      </c>
      <c r="D12858" t="s">
        <v>6420</v>
      </c>
      <c r="E12858" t="s">
        <v>6421</v>
      </c>
      <c r="F12858" t="s">
        <v>39943</v>
      </c>
      <c r="G12858" s="2" t="str">
        <f>HYPERLINK("https://probpalata.gov.ru/files/ЮЛ910403571400046.jpeg","Скачать индивидуальный QR-код магазина")</f>
        <v>Скачать индивидуальный QR-код магазина</v>
      </c>
    </row>
    <row r="12859" spans="1:7" x14ac:dyDescent="0.25">
      <c r="A12859" t="s">
        <v>39583</v>
      </c>
      <c r="B12859" t="s">
        <v>39944</v>
      </c>
      <c r="C12859" t="s">
        <v>6419</v>
      </c>
      <c r="D12859" t="s">
        <v>6420</v>
      </c>
      <c r="E12859" t="s">
        <v>6421</v>
      </c>
      <c r="F12859" t="s">
        <v>39945</v>
      </c>
      <c r="G12859" s="2" t="str">
        <f>HYPERLINK("https://probpalata.gov.ru/files/ЮЛ910403571400047.jpeg","Скачать индивидуальный QR-код магазина")</f>
        <v>Скачать индивидуальный QR-код магазина</v>
      </c>
    </row>
    <row r="12860" spans="1:7" x14ac:dyDescent="0.25">
      <c r="A12860" t="s">
        <v>39583</v>
      </c>
      <c r="B12860" t="s">
        <v>39946</v>
      </c>
      <c r="C12860" t="s">
        <v>6419</v>
      </c>
      <c r="D12860" t="s">
        <v>6420</v>
      </c>
      <c r="E12860" t="s">
        <v>6421</v>
      </c>
      <c r="F12860" t="s">
        <v>39947</v>
      </c>
      <c r="G12860" s="2" t="str">
        <f>HYPERLINK("https://probpalata.gov.ru/files/ЮЛ910403571400048.jpeg","Скачать индивидуальный QR-код магазина")</f>
        <v>Скачать индивидуальный QR-код магазина</v>
      </c>
    </row>
    <row r="12861" spans="1:7" x14ac:dyDescent="0.25">
      <c r="A12861" t="s">
        <v>39583</v>
      </c>
      <c r="B12861" t="s">
        <v>39664</v>
      </c>
      <c r="C12861" t="s">
        <v>6419</v>
      </c>
      <c r="D12861" t="s">
        <v>6420</v>
      </c>
      <c r="E12861" t="s">
        <v>6421</v>
      </c>
      <c r="F12861" t="s">
        <v>39948</v>
      </c>
      <c r="G12861" s="2" t="str">
        <f>HYPERLINK("https://probpalata.gov.ru/files/ЮЛ910403571400049.jpeg","Скачать индивидуальный QR-код магазина")</f>
        <v>Скачать индивидуальный QR-код магазина</v>
      </c>
    </row>
    <row r="12862" spans="1:7" x14ac:dyDescent="0.25">
      <c r="A12862" t="s">
        <v>39583</v>
      </c>
      <c r="B12862" t="s">
        <v>39949</v>
      </c>
      <c r="C12862" t="s">
        <v>6419</v>
      </c>
      <c r="D12862" t="s">
        <v>6420</v>
      </c>
      <c r="E12862" t="s">
        <v>6421</v>
      </c>
      <c r="F12862" t="s">
        <v>39950</v>
      </c>
      <c r="G12862" s="2" t="str">
        <f>HYPERLINK("https://probpalata.gov.ru/files/ЮЛ910403571400050.jpeg","Скачать индивидуальный QR-код магазина")</f>
        <v>Скачать индивидуальный QR-код магазина</v>
      </c>
    </row>
    <row r="12863" spans="1:7" x14ac:dyDescent="0.25">
      <c r="A12863" t="s">
        <v>39583</v>
      </c>
      <c r="B12863" t="s">
        <v>39951</v>
      </c>
      <c r="C12863" t="s">
        <v>6419</v>
      </c>
      <c r="D12863" t="s">
        <v>6420</v>
      </c>
      <c r="E12863" t="s">
        <v>6421</v>
      </c>
      <c r="F12863" t="s">
        <v>39952</v>
      </c>
      <c r="G12863" s="2" t="str">
        <f>HYPERLINK("https://probpalata.gov.ru/files/ЮЛ910403571400051.jpeg","Скачать индивидуальный QR-код магазина")</f>
        <v>Скачать индивидуальный QR-код магазина</v>
      </c>
    </row>
    <row r="12864" spans="1:7" x14ac:dyDescent="0.25">
      <c r="A12864" t="s">
        <v>39583</v>
      </c>
      <c r="B12864" t="s">
        <v>39953</v>
      </c>
      <c r="C12864" t="s">
        <v>6419</v>
      </c>
      <c r="D12864" t="s">
        <v>6420</v>
      </c>
      <c r="E12864" t="s">
        <v>6421</v>
      </c>
      <c r="F12864" t="s">
        <v>39954</v>
      </c>
      <c r="G12864" s="2" t="str">
        <f>HYPERLINK("https://probpalata.gov.ru/files/ЮЛ910403571400052.jpeg","Скачать индивидуальный QR-код магазина")</f>
        <v>Скачать индивидуальный QR-код магазина</v>
      </c>
    </row>
    <row r="12865" spans="1:7" x14ac:dyDescent="0.25">
      <c r="A12865" t="s">
        <v>39583</v>
      </c>
      <c r="B12865" t="s">
        <v>39955</v>
      </c>
      <c r="C12865" t="s">
        <v>6419</v>
      </c>
      <c r="D12865" t="s">
        <v>6420</v>
      </c>
      <c r="E12865" t="s">
        <v>6421</v>
      </c>
      <c r="F12865" t="s">
        <v>39956</v>
      </c>
      <c r="G12865" s="2" t="str">
        <f>HYPERLINK("https://probpalata.gov.ru/files/ЮЛ910403571400053.jpeg","Скачать индивидуальный QR-код магазина")</f>
        <v>Скачать индивидуальный QR-код магазина</v>
      </c>
    </row>
    <row r="12866" spans="1:7" x14ac:dyDescent="0.25">
      <c r="A12866" t="s">
        <v>39583</v>
      </c>
      <c r="B12866" t="s">
        <v>39957</v>
      </c>
      <c r="C12866" t="s">
        <v>6419</v>
      </c>
      <c r="D12866" t="s">
        <v>6420</v>
      </c>
      <c r="E12866" t="s">
        <v>6421</v>
      </c>
      <c r="F12866" t="s">
        <v>39958</v>
      </c>
      <c r="G12866" s="2" t="str">
        <f>HYPERLINK("https://probpalata.gov.ru/files/ЮЛ910403571400054.jpeg","Скачать индивидуальный QR-код магазина")</f>
        <v>Скачать индивидуальный QR-код магазина</v>
      </c>
    </row>
    <row r="12867" spans="1:7" x14ac:dyDescent="0.25">
      <c r="A12867" t="s">
        <v>39583</v>
      </c>
      <c r="B12867" t="s">
        <v>39959</v>
      </c>
      <c r="C12867" t="s">
        <v>6419</v>
      </c>
      <c r="D12867" t="s">
        <v>6420</v>
      </c>
      <c r="E12867" t="s">
        <v>6421</v>
      </c>
      <c r="F12867" t="s">
        <v>39960</v>
      </c>
      <c r="G12867" s="2" t="str">
        <f>HYPERLINK("https://probpalata.gov.ru/files/ЮЛ910403571400055.jpeg","Скачать индивидуальный QR-код магазина")</f>
        <v>Скачать индивидуальный QR-код магазина</v>
      </c>
    </row>
    <row r="12868" spans="1:7" x14ac:dyDescent="0.25">
      <c r="A12868" t="s">
        <v>39583</v>
      </c>
      <c r="B12868" t="s">
        <v>39961</v>
      </c>
      <c r="C12868" t="s">
        <v>6419</v>
      </c>
      <c r="D12868" t="s">
        <v>6420</v>
      </c>
      <c r="E12868" t="s">
        <v>6421</v>
      </c>
      <c r="F12868" t="s">
        <v>39962</v>
      </c>
      <c r="G12868" s="2" t="str">
        <f>HYPERLINK("https://probpalata.gov.ru/files/ЮЛ910403571400056.jpeg","Скачать индивидуальный QR-код магазина")</f>
        <v>Скачать индивидуальный QR-код магазина</v>
      </c>
    </row>
    <row r="12869" spans="1:7" x14ac:dyDescent="0.25">
      <c r="A12869" t="s">
        <v>39583</v>
      </c>
      <c r="B12869" t="s">
        <v>39963</v>
      </c>
      <c r="C12869" t="s">
        <v>6419</v>
      </c>
      <c r="D12869" t="s">
        <v>6420</v>
      </c>
      <c r="E12869" t="s">
        <v>6421</v>
      </c>
      <c r="F12869" t="s">
        <v>39964</v>
      </c>
      <c r="G12869" s="2" t="str">
        <f>HYPERLINK("https://probpalata.gov.ru/files/ЮЛ910403571400057.jpeg","Скачать индивидуальный QR-код магазина")</f>
        <v>Скачать индивидуальный QR-код магазина</v>
      </c>
    </row>
    <row r="12870" spans="1:7" x14ac:dyDescent="0.25">
      <c r="A12870" t="s">
        <v>39583</v>
      </c>
      <c r="B12870" t="s">
        <v>39965</v>
      </c>
      <c r="C12870" t="s">
        <v>6419</v>
      </c>
      <c r="D12870" t="s">
        <v>6420</v>
      </c>
      <c r="E12870" t="s">
        <v>6421</v>
      </c>
      <c r="F12870" t="s">
        <v>39966</v>
      </c>
      <c r="G12870" s="2" t="str">
        <f>HYPERLINK("https://probpalata.gov.ru/files/ЮЛ910403571400058.jpeg","Скачать индивидуальный QR-код магазина")</f>
        <v>Скачать индивидуальный QR-код магазина</v>
      </c>
    </row>
    <row r="12871" spans="1:7" x14ac:dyDescent="0.25">
      <c r="A12871" t="s">
        <v>39583</v>
      </c>
      <c r="B12871" t="s">
        <v>39967</v>
      </c>
      <c r="C12871" t="s">
        <v>6419</v>
      </c>
      <c r="D12871" t="s">
        <v>6420</v>
      </c>
      <c r="E12871" t="s">
        <v>6421</v>
      </c>
      <c r="F12871" t="s">
        <v>39968</v>
      </c>
      <c r="G12871" s="2" t="str">
        <f>HYPERLINK("https://probpalata.gov.ru/files/ЮЛ910403571400060.jpeg","Скачать индивидуальный QR-код магазина")</f>
        <v>Скачать индивидуальный QR-код магазина</v>
      </c>
    </row>
    <row r="12872" spans="1:7" x14ac:dyDescent="0.25">
      <c r="A12872" t="s">
        <v>39583</v>
      </c>
      <c r="B12872" t="s">
        <v>39969</v>
      </c>
      <c r="C12872" t="s">
        <v>6419</v>
      </c>
      <c r="D12872" t="s">
        <v>6420</v>
      </c>
      <c r="E12872" t="s">
        <v>6421</v>
      </c>
      <c r="F12872" t="s">
        <v>39970</v>
      </c>
      <c r="G12872" s="2" t="str">
        <f>HYPERLINK("https://probpalata.gov.ru/files/ЮЛ910403571400061.jpeg","Скачать индивидуальный QR-код магазина")</f>
        <v>Скачать индивидуальный QR-код магазина</v>
      </c>
    </row>
    <row r="12873" spans="1:7" x14ac:dyDescent="0.25">
      <c r="A12873" t="s">
        <v>39583</v>
      </c>
      <c r="B12873" t="s">
        <v>39971</v>
      </c>
      <c r="C12873" t="s">
        <v>6419</v>
      </c>
      <c r="D12873" t="s">
        <v>6420</v>
      </c>
      <c r="E12873" t="s">
        <v>6421</v>
      </c>
      <c r="F12873" t="s">
        <v>39972</v>
      </c>
      <c r="G12873" s="2" t="str">
        <f>HYPERLINK("https://probpalata.gov.ru/files/ЮЛ910403571400062.jpeg","Скачать индивидуальный QR-код магазина")</f>
        <v>Скачать индивидуальный QR-код магазина</v>
      </c>
    </row>
    <row r="12874" spans="1:7" x14ac:dyDescent="0.25">
      <c r="A12874" t="s">
        <v>39583</v>
      </c>
      <c r="B12874" t="s">
        <v>39973</v>
      </c>
      <c r="C12874" t="s">
        <v>6419</v>
      </c>
      <c r="D12874" t="s">
        <v>6420</v>
      </c>
      <c r="E12874" t="s">
        <v>6421</v>
      </c>
      <c r="F12874" t="s">
        <v>39974</v>
      </c>
      <c r="G12874" s="2" t="str">
        <f>HYPERLINK("https://probpalata.gov.ru/files/ЮЛ910403571400063.jpeg","Скачать индивидуальный QR-код магазина")</f>
        <v>Скачать индивидуальный QR-код магазина</v>
      </c>
    </row>
    <row r="12875" spans="1:7" x14ac:dyDescent="0.25">
      <c r="A12875" t="s">
        <v>39583</v>
      </c>
      <c r="B12875" t="s">
        <v>39975</v>
      </c>
      <c r="C12875" t="s">
        <v>6419</v>
      </c>
      <c r="D12875" t="s">
        <v>6420</v>
      </c>
      <c r="E12875" t="s">
        <v>6421</v>
      </c>
      <c r="F12875" t="s">
        <v>39976</v>
      </c>
      <c r="G12875" s="2" t="str">
        <f>HYPERLINK("https://probpalata.gov.ru/files/ЮЛ910403571400064.jpeg","Скачать индивидуальный QR-код магазина")</f>
        <v>Скачать индивидуальный QR-код магазина</v>
      </c>
    </row>
    <row r="12876" spans="1:7" x14ac:dyDescent="0.25">
      <c r="A12876" t="s">
        <v>39583</v>
      </c>
      <c r="B12876" t="s">
        <v>39977</v>
      </c>
      <c r="C12876" t="s">
        <v>6419</v>
      </c>
      <c r="D12876" t="s">
        <v>6420</v>
      </c>
      <c r="E12876" t="s">
        <v>6421</v>
      </c>
      <c r="F12876" t="s">
        <v>39978</v>
      </c>
      <c r="G12876" s="2" t="str">
        <f>HYPERLINK("https://probpalata.gov.ru/files/ЮЛ910403571400067.jpeg","Скачать индивидуальный QR-код магазина")</f>
        <v>Скачать индивидуальный QR-код магазина</v>
      </c>
    </row>
    <row r="12877" spans="1:7" x14ac:dyDescent="0.25">
      <c r="A12877" t="s">
        <v>39583</v>
      </c>
      <c r="B12877" t="s">
        <v>39979</v>
      </c>
      <c r="C12877" t="s">
        <v>6419</v>
      </c>
      <c r="D12877" t="s">
        <v>6420</v>
      </c>
      <c r="E12877" t="s">
        <v>6421</v>
      </c>
      <c r="F12877" t="s">
        <v>39980</v>
      </c>
      <c r="G12877" s="2" t="str">
        <f>HYPERLINK("https://probpalata.gov.ru/files/ЮЛ910403571400068.jpeg","Скачать индивидуальный QR-код магазина")</f>
        <v>Скачать индивидуальный QR-код магазина</v>
      </c>
    </row>
    <row r="12878" spans="1:7" x14ac:dyDescent="0.25">
      <c r="A12878" t="s">
        <v>39583</v>
      </c>
      <c r="B12878" t="s">
        <v>39981</v>
      </c>
      <c r="C12878" t="s">
        <v>6419</v>
      </c>
      <c r="D12878" t="s">
        <v>6420</v>
      </c>
      <c r="E12878" t="s">
        <v>6421</v>
      </c>
      <c r="F12878" t="s">
        <v>39982</v>
      </c>
      <c r="G12878" s="2" t="str">
        <f>HYPERLINK("https://probpalata.gov.ru/files/ЮЛ910403571400069.jpeg","Скачать индивидуальный QR-код магазина")</f>
        <v>Скачать индивидуальный QR-код магазина</v>
      </c>
    </row>
    <row r="12879" spans="1:7" x14ac:dyDescent="0.25">
      <c r="A12879" t="s">
        <v>39583</v>
      </c>
      <c r="B12879" t="s">
        <v>39983</v>
      </c>
      <c r="C12879" t="s">
        <v>6419</v>
      </c>
      <c r="D12879" t="s">
        <v>6420</v>
      </c>
      <c r="E12879" t="s">
        <v>6421</v>
      </c>
      <c r="F12879" t="s">
        <v>39984</v>
      </c>
      <c r="G12879" s="2" t="str">
        <f>HYPERLINK("https://probpalata.gov.ru/files/ЮЛ910403571400071.jpeg","Скачать индивидуальный QR-код магазина")</f>
        <v>Скачать индивидуальный QR-код магазина</v>
      </c>
    </row>
    <row r="12880" spans="1:7" x14ac:dyDescent="0.25">
      <c r="A12880" t="s">
        <v>39583</v>
      </c>
      <c r="B12880" t="s">
        <v>39985</v>
      </c>
      <c r="C12880" t="s">
        <v>6419</v>
      </c>
      <c r="D12880" t="s">
        <v>6420</v>
      </c>
      <c r="E12880" t="s">
        <v>6421</v>
      </c>
      <c r="F12880" t="s">
        <v>39986</v>
      </c>
      <c r="G12880" s="2" t="str">
        <f>HYPERLINK("https://probpalata.gov.ru/files/ЮЛ910403571400072.jpeg","Скачать индивидуальный QR-код магазина")</f>
        <v>Скачать индивидуальный QR-код магазина</v>
      </c>
    </row>
    <row r="12881" spans="1:7" x14ac:dyDescent="0.25">
      <c r="A12881" t="s">
        <v>39583</v>
      </c>
      <c r="B12881" t="s">
        <v>39987</v>
      </c>
      <c r="C12881" t="s">
        <v>6419</v>
      </c>
      <c r="D12881" t="s">
        <v>6420</v>
      </c>
      <c r="E12881" t="s">
        <v>6421</v>
      </c>
      <c r="F12881" t="s">
        <v>39988</v>
      </c>
      <c r="G12881" s="2" t="str">
        <f>HYPERLINK("https://probpalata.gov.ru/files/ЮЛ910403571400076.jpeg","Скачать индивидуальный QR-код магазина")</f>
        <v>Скачать индивидуальный QR-код магазина</v>
      </c>
    </row>
    <row r="12882" spans="1:7" x14ac:dyDescent="0.25">
      <c r="A12882" t="s">
        <v>39583</v>
      </c>
      <c r="B12882" t="s">
        <v>39989</v>
      </c>
      <c r="C12882" t="s">
        <v>6419</v>
      </c>
      <c r="D12882" t="s">
        <v>6420</v>
      </c>
      <c r="E12882" t="s">
        <v>6421</v>
      </c>
      <c r="F12882" t="s">
        <v>39990</v>
      </c>
      <c r="G12882" s="2" t="str">
        <f>HYPERLINK("https://probpalata.gov.ru/files/ЮЛ910403571400078.jpeg","Скачать индивидуальный QR-код магазина")</f>
        <v>Скачать индивидуальный QR-код магазина</v>
      </c>
    </row>
    <row r="12883" spans="1:7" x14ac:dyDescent="0.25">
      <c r="A12883" t="s">
        <v>39583</v>
      </c>
      <c r="B12883" t="s">
        <v>39991</v>
      </c>
      <c r="C12883" t="s">
        <v>6423</v>
      </c>
      <c r="D12883" t="s">
        <v>6424</v>
      </c>
      <c r="E12883" t="s">
        <v>6425</v>
      </c>
      <c r="F12883" t="s">
        <v>39992</v>
      </c>
      <c r="G12883" s="2" t="str">
        <f>HYPERLINK("https://probpalata.gov.ru/files/ЮЛ910403620200000.jpeg","Скачать индивидуальный QR-код магазина")</f>
        <v>Скачать индивидуальный QR-код магазина</v>
      </c>
    </row>
    <row r="12884" spans="1:7" x14ac:dyDescent="0.25">
      <c r="A12884" t="s">
        <v>39583</v>
      </c>
      <c r="B12884" t="s">
        <v>39961</v>
      </c>
      <c r="C12884" t="s">
        <v>6423</v>
      </c>
      <c r="D12884" t="s">
        <v>6424</v>
      </c>
      <c r="E12884" t="s">
        <v>6425</v>
      </c>
      <c r="F12884" t="s">
        <v>39993</v>
      </c>
      <c r="G12884" s="2" t="str">
        <f>HYPERLINK("https://probpalata.gov.ru/files/ЮЛ910403620200001.jpeg","Скачать индивидуальный QR-код магазина")</f>
        <v>Скачать индивидуальный QR-код магазина</v>
      </c>
    </row>
    <row r="12885" spans="1:7" x14ac:dyDescent="0.25">
      <c r="A12885" t="s">
        <v>39583</v>
      </c>
      <c r="B12885" t="s">
        <v>39994</v>
      </c>
      <c r="C12885" t="s">
        <v>6423</v>
      </c>
      <c r="D12885" t="s">
        <v>6424</v>
      </c>
      <c r="E12885" t="s">
        <v>6425</v>
      </c>
      <c r="F12885" t="s">
        <v>39995</v>
      </c>
      <c r="G12885" s="2" t="str">
        <f>HYPERLINK("https://probpalata.gov.ru/files/ЮЛ910403620200002.jpeg","Скачать индивидуальный QR-код магазина")</f>
        <v>Скачать индивидуальный QR-код магазина</v>
      </c>
    </row>
    <row r="12886" spans="1:7" x14ac:dyDescent="0.25">
      <c r="A12886" t="s">
        <v>39583</v>
      </c>
      <c r="B12886" t="s">
        <v>39664</v>
      </c>
      <c r="C12886" t="s">
        <v>6423</v>
      </c>
      <c r="D12886" t="s">
        <v>6424</v>
      </c>
      <c r="E12886" t="s">
        <v>6425</v>
      </c>
      <c r="F12886" t="s">
        <v>39996</v>
      </c>
      <c r="G12886" s="2" t="str">
        <f>HYPERLINK("https://probpalata.gov.ru/files/ЮЛ910403620200003.jpeg","Скачать индивидуальный QR-код магазина")</f>
        <v>Скачать индивидуальный QR-код магазина</v>
      </c>
    </row>
    <row r="12887" spans="1:7" x14ac:dyDescent="0.25">
      <c r="A12887" t="s">
        <v>39583</v>
      </c>
      <c r="B12887" t="s">
        <v>39997</v>
      </c>
      <c r="C12887" t="s">
        <v>6423</v>
      </c>
      <c r="D12887" t="s">
        <v>6424</v>
      </c>
      <c r="E12887" t="s">
        <v>6425</v>
      </c>
      <c r="F12887" t="s">
        <v>39998</v>
      </c>
      <c r="G12887" s="2" t="str">
        <f>HYPERLINK("https://probpalata.gov.ru/files/ЮЛ910403620200004.jpeg","Скачать индивидуальный QR-код магазина")</f>
        <v>Скачать индивидуальный QR-код магазина</v>
      </c>
    </row>
    <row r="12888" spans="1:7" x14ac:dyDescent="0.25">
      <c r="A12888" t="s">
        <v>39583</v>
      </c>
      <c r="B12888" t="s">
        <v>39924</v>
      </c>
      <c r="C12888" t="s">
        <v>6423</v>
      </c>
      <c r="D12888" t="s">
        <v>6424</v>
      </c>
      <c r="E12888" t="s">
        <v>6425</v>
      </c>
      <c r="F12888" t="s">
        <v>39999</v>
      </c>
      <c r="G12888" s="2" t="str">
        <f>HYPERLINK("https://probpalata.gov.ru/files/ЮЛ910403620200005.jpeg","Скачать индивидуальный QR-код магазина")</f>
        <v>Скачать индивидуальный QR-код магазина</v>
      </c>
    </row>
    <row r="12889" spans="1:7" x14ac:dyDescent="0.25">
      <c r="A12889" t="s">
        <v>39583</v>
      </c>
      <c r="B12889" t="s">
        <v>40000</v>
      </c>
      <c r="C12889" t="s">
        <v>6423</v>
      </c>
      <c r="D12889" t="s">
        <v>6424</v>
      </c>
      <c r="E12889" t="s">
        <v>6425</v>
      </c>
      <c r="F12889" t="s">
        <v>40001</v>
      </c>
      <c r="G12889" s="2" t="str">
        <f>HYPERLINK("https://probpalata.gov.ru/files/ЮЛ910403620200006.jpeg","Скачать индивидуальный QR-код магазина")</f>
        <v>Скачать индивидуальный QR-код магазина</v>
      </c>
    </row>
    <row r="12890" spans="1:7" x14ac:dyDescent="0.25">
      <c r="A12890" t="s">
        <v>39583</v>
      </c>
      <c r="B12890" t="s">
        <v>39959</v>
      </c>
      <c r="C12890" t="s">
        <v>6423</v>
      </c>
      <c r="D12890" t="s">
        <v>6424</v>
      </c>
      <c r="E12890" t="s">
        <v>6425</v>
      </c>
      <c r="F12890" t="s">
        <v>40002</v>
      </c>
      <c r="G12890" s="2" t="str">
        <f>HYPERLINK("https://probpalata.gov.ru/files/ЮЛ910403620200007.jpeg","Скачать индивидуальный QR-код магазина")</f>
        <v>Скачать индивидуальный QR-код магазина</v>
      </c>
    </row>
    <row r="12891" spans="1:7" x14ac:dyDescent="0.25">
      <c r="A12891" t="s">
        <v>39583</v>
      </c>
      <c r="B12891" t="s">
        <v>40003</v>
      </c>
      <c r="C12891" t="s">
        <v>6423</v>
      </c>
      <c r="D12891" t="s">
        <v>6424</v>
      </c>
      <c r="E12891" t="s">
        <v>6425</v>
      </c>
      <c r="F12891" t="s">
        <v>40004</v>
      </c>
      <c r="G12891" s="2" t="str">
        <f>HYPERLINK("https://probpalata.gov.ru/files/ЮЛ910403620200008.jpeg","Скачать индивидуальный QR-код магазина")</f>
        <v>Скачать индивидуальный QR-код магазина</v>
      </c>
    </row>
    <row r="12892" spans="1:7" x14ac:dyDescent="0.25">
      <c r="A12892" t="s">
        <v>39583</v>
      </c>
      <c r="B12892" t="s">
        <v>40005</v>
      </c>
      <c r="C12892" t="s">
        <v>6423</v>
      </c>
      <c r="D12892" t="s">
        <v>6424</v>
      </c>
      <c r="E12892" t="s">
        <v>6425</v>
      </c>
      <c r="F12892" t="s">
        <v>40006</v>
      </c>
      <c r="G12892" s="2" t="str">
        <f>HYPERLINK("https://probpalata.gov.ru/files/ЮЛ910403620200009.jpeg","Скачать индивидуальный QR-код магазина")</f>
        <v>Скачать индивидуальный QR-код магазина</v>
      </c>
    </row>
    <row r="12893" spans="1:7" x14ac:dyDescent="0.25">
      <c r="A12893" t="s">
        <v>39583</v>
      </c>
      <c r="B12893" t="s">
        <v>40007</v>
      </c>
      <c r="C12893" t="s">
        <v>6423</v>
      </c>
      <c r="D12893" t="s">
        <v>6424</v>
      </c>
      <c r="E12893" t="s">
        <v>6425</v>
      </c>
      <c r="F12893" t="s">
        <v>40008</v>
      </c>
      <c r="G12893" s="2" t="str">
        <f>HYPERLINK("https://probpalata.gov.ru/files/ЮЛ910403620200010.jpeg","Скачать индивидуальный QR-код магазина")</f>
        <v>Скачать индивидуальный QR-код магазина</v>
      </c>
    </row>
    <row r="12894" spans="1:7" x14ac:dyDescent="0.25">
      <c r="A12894" t="s">
        <v>39583</v>
      </c>
      <c r="B12894" t="s">
        <v>39955</v>
      </c>
      <c r="C12894" t="s">
        <v>6423</v>
      </c>
      <c r="D12894" t="s">
        <v>6424</v>
      </c>
      <c r="E12894" t="s">
        <v>6425</v>
      </c>
      <c r="F12894" t="s">
        <v>40009</v>
      </c>
      <c r="G12894" s="2" t="str">
        <f>HYPERLINK("https://probpalata.gov.ru/files/ЮЛ910403620200011.jpeg","Скачать индивидуальный QR-код магазина")</f>
        <v>Скачать индивидуальный QR-код магазина</v>
      </c>
    </row>
    <row r="12895" spans="1:7" x14ac:dyDescent="0.25">
      <c r="A12895" t="s">
        <v>39583</v>
      </c>
      <c r="B12895" t="s">
        <v>39967</v>
      </c>
      <c r="C12895" t="s">
        <v>6423</v>
      </c>
      <c r="D12895" t="s">
        <v>6424</v>
      </c>
      <c r="E12895" t="s">
        <v>6425</v>
      </c>
      <c r="F12895" t="s">
        <v>40010</v>
      </c>
      <c r="G12895" s="2" t="str">
        <f>HYPERLINK("https://probpalata.gov.ru/files/ЮЛ910403620200012.jpeg","Скачать индивидуальный QR-код магазина")</f>
        <v>Скачать индивидуальный QR-код магазина</v>
      </c>
    </row>
    <row r="12896" spans="1:7" x14ac:dyDescent="0.25">
      <c r="A12896" t="s">
        <v>39583</v>
      </c>
      <c r="B12896" t="s">
        <v>39944</v>
      </c>
      <c r="C12896" t="s">
        <v>6423</v>
      </c>
      <c r="D12896" t="s">
        <v>6424</v>
      </c>
      <c r="E12896" t="s">
        <v>6425</v>
      </c>
      <c r="F12896" t="s">
        <v>40011</v>
      </c>
      <c r="G12896" s="2" t="str">
        <f>HYPERLINK("https://probpalata.gov.ru/files/ЮЛ910403620200013.jpeg","Скачать индивидуальный QR-код магазина")</f>
        <v>Скачать индивидуальный QR-код магазина</v>
      </c>
    </row>
    <row r="12897" spans="1:7" x14ac:dyDescent="0.25">
      <c r="A12897" t="s">
        <v>39583</v>
      </c>
      <c r="B12897" t="s">
        <v>39963</v>
      </c>
      <c r="C12897" t="s">
        <v>6423</v>
      </c>
      <c r="D12897" t="s">
        <v>6424</v>
      </c>
      <c r="E12897" t="s">
        <v>6425</v>
      </c>
      <c r="F12897" t="s">
        <v>40012</v>
      </c>
      <c r="G12897" s="2" t="str">
        <f>HYPERLINK("https://probpalata.gov.ru/files/ЮЛ910403620200014.jpeg","Скачать индивидуальный QR-код магазина")</f>
        <v>Скачать индивидуальный QR-код магазина</v>
      </c>
    </row>
    <row r="12898" spans="1:7" x14ac:dyDescent="0.25">
      <c r="A12898" t="s">
        <v>39583</v>
      </c>
      <c r="B12898" t="s">
        <v>39918</v>
      </c>
      <c r="C12898" t="s">
        <v>6423</v>
      </c>
      <c r="D12898" t="s">
        <v>6424</v>
      </c>
      <c r="E12898" t="s">
        <v>6425</v>
      </c>
      <c r="F12898" t="s">
        <v>40013</v>
      </c>
      <c r="G12898" s="2" t="str">
        <f>HYPERLINK("https://probpalata.gov.ru/files/ЮЛ910403620200015.jpeg","Скачать индивидуальный QR-код магазина")</f>
        <v>Скачать индивидуальный QR-код магазина</v>
      </c>
    </row>
    <row r="12899" spans="1:7" x14ac:dyDescent="0.25">
      <c r="A12899" t="s">
        <v>39583</v>
      </c>
      <c r="B12899" t="s">
        <v>40014</v>
      </c>
      <c r="C12899" t="s">
        <v>6423</v>
      </c>
      <c r="D12899" t="s">
        <v>6424</v>
      </c>
      <c r="E12899" t="s">
        <v>6425</v>
      </c>
      <c r="F12899" t="s">
        <v>40015</v>
      </c>
      <c r="G12899" s="2" t="str">
        <f>HYPERLINK("https://probpalata.gov.ru/files/ЮЛ910403620200016.jpeg","Скачать индивидуальный QR-код магазина")</f>
        <v>Скачать индивидуальный QR-код магазина</v>
      </c>
    </row>
    <row r="12900" spans="1:7" x14ac:dyDescent="0.25">
      <c r="A12900" t="s">
        <v>39583</v>
      </c>
      <c r="B12900" t="s">
        <v>40016</v>
      </c>
      <c r="C12900" t="s">
        <v>6423</v>
      </c>
      <c r="D12900" t="s">
        <v>6424</v>
      </c>
      <c r="E12900" t="s">
        <v>6425</v>
      </c>
      <c r="F12900" t="s">
        <v>40017</v>
      </c>
      <c r="G12900" s="2" t="str">
        <f>HYPERLINK("https://probpalata.gov.ru/files/ЮЛ910403620200017.jpeg","Скачать индивидуальный QR-код магазина")</f>
        <v>Скачать индивидуальный QR-код магазина</v>
      </c>
    </row>
    <row r="12901" spans="1:7" x14ac:dyDescent="0.25">
      <c r="A12901" t="s">
        <v>39583</v>
      </c>
      <c r="B12901" t="s">
        <v>39938</v>
      </c>
      <c r="C12901" t="s">
        <v>6423</v>
      </c>
      <c r="D12901" t="s">
        <v>6424</v>
      </c>
      <c r="E12901" t="s">
        <v>6425</v>
      </c>
      <c r="F12901" t="s">
        <v>40018</v>
      </c>
      <c r="G12901" s="2" t="str">
        <f>HYPERLINK("https://probpalata.gov.ru/files/ЮЛ910403620200018.jpeg","Скачать индивидуальный QR-код магазина")</f>
        <v>Скачать индивидуальный QR-код магазина</v>
      </c>
    </row>
    <row r="12902" spans="1:7" x14ac:dyDescent="0.25">
      <c r="A12902" t="s">
        <v>39583</v>
      </c>
      <c r="B12902" t="s">
        <v>39953</v>
      </c>
      <c r="C12902" t="s">
        <v>6423</v>
      </c>
      <c r="D12902" t="s">
        <v>6424</v>
      </c>
      <c r="E12902" t="s">
        <v>6425</v>
      </c>
      <c r="F12902" t="s">
        <v>40019</v>
      </c>
      <c r="G12902" s="2" t="str">
        <f>HYPERLINK("https://probpalata.gov.ru/files/ЮЛ910403620200019.jpeg","Скачать индивидуальный QR-код магазина")</f>
        <v>Скачать индивидуальный QR-код магазина</v>
      </c>
    </row>
    <row r="12903" spans="1:7" x14ac:dyDescent="0.25">
      <c r="A12903" t="s">
        <v>39583</v>
      </c>
      <c r="B12903" t="s">
        <v>39951</v>
      </c>
      <c r="C12903" t="s">
        <v>6423</v>
      </c>
      <c r="D12903" t="s">
        <v>6424</v>
      </c>
      <c r="E12903" t="s">
        <v>6425</v>
      </c>
      <c r="F12903" t="s">
        <v>40020</v>
      </c>
      <c r="G12903" s="2" t="str">
        <f>HYPERLINK("https://probpalata.gov.ru/files/ЮЛ910403620200020.jpeg","Скачать индивидуальный QR-код магазина")</f>
        <v>Скачать индивидуальный QR-код магазина</v>
      </c>
    </row>
    <row r="12904" spans="1:7" x14ac:dyDescent="0.25">
      <c r="A12904" t="s">
        <v>39583</v>
      </c>
      <c r="B12904" t="s">
        <v>40021</v>
      </c>
      <c r="C12904" t="s">
        <v>6423</v>
      </c>
      <c r="D12904" t="s">
        <v>6424</v>
      </c>
      <c r="E12904" t="s">
        <v>6425</v>
      </c>
      <c r="F12904" t="s">
        <v>40022</v>
      </c>
      <c r="G12904" s="2" t="str">
        <f>HYPERLINK("https://probpalata.gov.ru/files/ЮЛ910403620200021.jpeg","Скачать индивидуальный QR-код магазина")</f>
        <v>Скачать индивидуальный QR-код магазина</v>
      </c>
    </row>
    <row r="12905" spans="1:7" x14ac:dyDescent="0.25">
      <c r="A12905" t="s">
        <v>39583</v>
      </c>
      <c r="B12905" t="s">
        <v>39932</v>
      </c>
      <c r="C12905" t="s">
        <v>6423</v>
      </c>
      <c r="D12905" t="s">
        <v>6424</v>
      </c>
      <c r="E12905" t="s">
        <v>6425</v>
      </c>
      <c r="F12905" t="s">
        <v>40023</v>
      </c>
      <c r="G12905" s="2" t="str">
        <f>HYPERLINK("https://probpalata.gov.ru/files/ЮЛ910403620200022.jpeg","Скачать индивидуальный QR-код магазина")</f>
        <v>Скачать индивидуальный QR-код магазина</v>
      </c>
    </row>
    <row r="12906" spans="1:7" x14ac:dyDescent="0.25">
      <c r="A12906" t="s">
        <v>39583</v>
      </c>
      <c r="B12906" t="s">
        <v>39916</v>
      </c>
      <c r="C12906" t="s">
        <v>6423</v>
      </c>
      <c r="D12906" t="s">
        <v>6424</v>
      </c>
      <c r="E12906" t="s">
        <v>6425</v>
      </c>
      <c r="F12906" t="s">
        <v>40024</v>
      </c>
      <c r="G12906" s="2" t="str">
        <f>HYPERLINK("https://probpalata.gov.ru/files/ЮЛ910403620200023.jpeg","Скачать индивидуальный QR-код магазина")</f>
        <v>Скачать индивидуальный QR-код магазина</v>
      </c>
    </row>
    <row r="12907" spans="1:7" x14ac:dyDescent="0.25">
      <c r="A12907" t="s">
        <v>39583</v>
      </c>
      <c r="B12907" t="s">
        <v>39892</v>
      </c>
      <c r="C12907" t="s">
        <v>6423</v>
      </c>
      <c r="D12907" t="s">
        <v>6424</v>
      </c>
      <c r="E12907" t="s">
        <v>6425</v>
      </c>
      <c r="F12907" t="s">
        <v>40025</v>
      </c>
      <c r="G12907" s="2" t="str">
        <f>HYPERLINK("https://probpalata.gov.ru/files/ЮЛ910403620200024.jpeg","Скачать индивидуальный QR-код магазина")</f>
        <v>Скачать индивидуальный QR-код магазина</v>
      </c>
    </row>
    <row r="12908" spans="1:7" x14ac:dyDescent="0.25">
      <c r="A12908" t="s">
        <v>39583</v>
      </c>
      <c r="B12908" t="s">
        <v>40026</v>
      </c>
      <c r="C12908" t="s">
        <v>6423</v>
      </c>
      <c r="D12908" t="s">
        <v>6424</v>
      </c>
      <c r="E12908" t="s">
        <v>6425</v>
      </c>
      <c r="F12908" t="s">
        <v>40027</v>
      </c>
      <c r="G12908" s="2" t="str">
        <f>HYPERLINK("https://probpalata.gov.ru/files/ЮЛ910403620200025.jpeg","Скачать индивидуальный QR-код магазина")</f>
        <v>Скачать индивидуальный QR-код магазина</v>
      </c>
    </row>
    <row r="12909" spans="1:7" x14ac:dyDescent="0.25">
      <c r="A12909" t="s">
        <v>39583</v>
      </c>
      <c r="B12909" t="s">
        <v>39904</v>
      </c>
      <c r="C12909" t="s">
        <v>6423</v>
      </c>
      <c r="D12909" t="s">
        <v>6424</v>
      </c>
      <c r="E12909" t="s">
        <v>6425</v>
      </c>
      <c r="F12909" t="s">
        <v>40028</v>
      </c>
      <c r="G12909" s="2" t="str">
        <f>HYPERLINK("https://probpalata.gov.ru/files/ЮЛ910403620200026.jpeg","Скачать индивидуальный QR-код магазина")</f>
        <v>Скачать индивидуальный QR-код магазина</v>
      </c>
    </row>
    <row r="12910" spans="1:7" x14ac:dyDescent="0.25">
      <c r="A12910" t="s">
        <v>39583</v>
      </c>
      <c r="B12910" t="s">
        <v>39902</v>
      </c>
      <c r="C12910" t="s">
        <v>6423</v>
      </c>
      <c r="D12910" t="s">
        <v>6424</v>
      </c>
      <c r="E12910" t="s">
        <v>6425</v>
      </c>
      <c r="F12910" t="s">
        <v>40029</v>
      </c>
      <c r="G12910" s="2" t="str">
        <f>HYPERLINK("https://probpalata.gov.ru/files/ЮЛ910403620200027.jpeg","Скачать индивидуальный QR-код магазина")</f>
        <v>Скачать индивидуальный QR-код магазина</v>
      </c>
    </row>
    <row r="12911" spans="1:7" x14ac:dyDescent="0.25">
      <c r="A12911" t="s">
        <v>39583</v>
      </c>
      <c r="B12911" t="s">
        <v>39890</v>
      </c>
      <c r="C12911" t="s">
        <v>6423</v>
      </c>
      <c r="D12911" t="s">
        <v>6424</v>
      </c>
      <c r="E12911" t="s">
        <v>6425</v>
      </c>
      <c r="F12911" t="s">
        <v>40030</v>
      </c>
      <c r="G12911" s="2" t="str">
        <f>HYPERLINK("https://probpalata.gov.ru/files/ЮЛ910403620200028.jpeg","Скачать индивидуальный QR-код магазина")</f>
        <v>Скачать индивидуальный QR-код магазина</v>
      </c>
    </row>
    <row r="12912" spans="1:7" x14ac:dyDescent="0.25">
      <c r="A12912" t="s">
        <v>39583</v>
      </c>
      <c r="B12912" t="s">
        <v>39908</v>
      </c>
      <c r="C12912" t="s">
        <v>6423</v>
      </c>
      <c r="D12912" t="s">
        <v>6424</v>
      </c>
      <c r="E12912" t="s">
        <v>6425</v>
      </c>
      <c r="F12912" t="s">
        <v>40031</v>
      </c>
      <c r="G12912" s="2" t="str">
        <f>HYPERLINK("https://probpalata.gov.ru/files/ЮЛ910403620200031.jpeg","Скачать индивидуальный QR-код магазина")</f>
        <v>Скачать индивидуальный QR-код магазина</v>
      </c>
    </row>
    <row r="12913" spans="1:7" x14ac:dyDescent="0.25">
      <c r="A12913" t="s">
        <v>39583</v>
      </c>
      <c r="B12913" t="s">
        <v>39910</v>
      </c>
      <c r="C12913" t="s">
        <v>6423</v>
      </c>
      <c r="D12913" t="s">
        <v>6424</v>
      </c>
      <c r="E12913" t="s">
        <v>6425</v>
      </c>
      <c r="F12913" t="s">
        <v>40032</v>
      </c>
      <c r="G12913" s="2" t="str">
        <f>HYPERLINK("https://probpalata.gov.ru/files/ЮЛ910403620200032.jpeg","Скачать индивидуальный QR-код магазина")</f>
        <v>Скачать индивидуальный QR-код магазина</v>
      </c>
    </row>
    <row r="12914" spans="1:7" x14ac:dyDescent="0.25">
      <c r="A12914" t="s">
        <v>39583</v>
      </c>
      <c r="B12914" t="s">
        <v>39894</v>
      </c>
      <c r="C12914" t="s">
        <v>6423</v>
      </c>
      <c r="D12914" t="s">
        <v>6424</v>
      </c>
      <c r="E12914" t="s">
        <v>6425</v>
      </c>
      <c r="F12914" t="s">
        <v>40033</v>
      </c>
      <c r="G12914" s="2" t="str">
        <f>HYPERLINK("https://probpalata.gov.ru/files/ЮЛ910403620200033.jpeg","Скачать индивидуальный QR-код магазина")</f>
        <v>Скачать индивидуальный QR-код магазина</v>
      </c>
    </row>
    <row r="12915" spans="1:7" x14ac:dyDescent="0.25">
      <c r="A12915" t="s">
        <v>39583</v>
      </c>
      <c r="B12915" t="s">
        <v>40034</v>
      </c>
      <c r="C12915" t="s">
        <v>6423</v>
      </c>
      <c r="D12915" t="s">
        <v>6424</v>
      </c>
      <c r="E12915" t="s">
        <v>6425</v>
      </c>
      <c r="F12915" t="s">
        <v>40035</v>
      </c>
      <c r="G12915" s="2" t="str">
        <f>HYPERLINK("https://probpalata.gov.ru/files/ЮЛ910403620200036.jpeg","Скачать индивидуальный QR-код магазина")</f>
        <v>Скачать индивидуальный QR-код магазина</v>
      </c>
    </row>
    <row r="12916" spans="1:7" x14ac:dyDescent="0.25">
      <c r="A12916" t="s">
        <v>39583</v>
      </c>
      <c r="B12916" t="s">
        <v>39896</v>
      </c>
      <c r="C12916" t="s">
        <v>6423</v>
      </c>
      <c r="D12916" t="s">
        <v>6424</v>
      </c>
      <c r="E12916" t="s">
        <v>6425</v>
      </c>
      <c r="F12916" t="s">
        <v>40036</v>
      </c>
      <c r="G12916" s="2" t="str">
        <f>HYPERLINK("https://probpalata.gov.ru/files/ЮЛ910403620200039.jpeg","Скачать индивидуальный QR-код магазина")</f>
        <v>Скачать индивидуальный QR-код магазина</v>
      </c>
    </row>
    <row r="12917" spans="1:7" x14ac:dyDescent="0.25">
      <c r="A12917" t="s">
        <v>39583</v>
      </c>
      <c r="B12917" t="s">
        <v>39906</v>
      </c>
      <c r="C12917" t="s">
        <v>6423</v>
      </c>
      <c r="D12917" t="s">
        <v>6424</v>
      </c>
      <c r="E12917" t="s">
        <v>6425</v>
      </c>
      <c r="F12917" t="s">
        <v>40037</v>
      </c>
      <c r="G12917" s="2" t="str">
        <f>HYPERLINK("https://probpalata.gov.ru/files/ЮЛ910403620200040.jpeg","Скачать индивидуальный QR-код магазина")</f>
        <v>Скачать индивидуальный QR-код магазина</v>
      </c>
    </row>
    <row r="12918" spans="1:7" x14ac:dyDescent="0.25">
      <c r="A12918" t="s">
        <v>39583</v>
      </c>
      <c r="B12918" t="s">
        <v>39888</v>
      </c>
      <c r="C12918" t="s">
        <v>6423</v>
      </c>
      <c r="D12918" t="s">
        <v>6424</v>
      </c>
      <c r="E12918" t="s">
        <v>6425</v>
      </c>
      <c r="F12918" t="s">
        <v>40038</v>
      </c>
      <c r="G12918" s="2" t="str">
        <f>HYPERLINK("https://probpalata.gov.ru/files/ЮЛ910403620200041.jpeg","Скачать индивидуальный QR-код магазина")</f>
        <v>Скачать индивидуальный QR-код магазина</v>
      </c>
    </row>
    <row r="12919" spans="1:7" x14ac:dyDescent="0.25">
      <c r="A12919" t="s">
        <v>39583</v>
      </c>
      <c r="B12919" t="s">
        <v>39936</v>
      </c>
      <c r="C12919" t="s">
        <v>6423</v>
      </c>
      <c r="D12919" t="s">
        <v>6424</v>
      </c>
      <c r="E12919" t="s">
        <v>6425</v>
      </c>
      <c r="F12919" t="s">
        <v>40039</v>
      </c>
      <c r="G12919" s="2" t="str">
        <f>HYPERLINK("https://probpalata.gov.ru/files/ЮЛ910403620200042.jpeg","Скачать индивидуальный QR-код магазина")</f>
        <v>Скачать индивидуальный QR-код магазина</v>
      </c>
    </row>
    <row r="12920" spans="1:7" x14ac:dyDescent="0.25">
      <c r="A12920" t="s">
        <v>39583</v>
      </c>
      <c r="B12920" t="s">
        <v>39914</v>
      </c>
      <c r="C12920" t="s">
        <v>6423</v>
      </c>
      <c r="D12920" t="s">
        <v>6424</v>
      </c>
      <c r="E12920" t="s">
        <v>6425</v>
      </c>
      <c r="F12920" t="s">
        <v>40040</v>
      </c>
      <c r="G12920" s="2" t="str">
        <f>HYPERLINK("https://probpalata.gov.ru/files/ЮЛ910403620200043.jpeg","Скачать индивидуальный QR-код магазина")</f>
        <v>Скачать индивидуальный QR-код магазина</v>
      </c>
    </row>
    <row r="12921" spans="1:7" x14ac:dyDescent="0.25">
      <c r="A12921" t="s">
        <v>39583</v>
      </c>
      <c r="B12921" t="s">
        <v>39942</v>
      </c>
      <c r="C12921" t="s">
        <v>6423</v>
      </c>
      <c r="D12921" t="s">
        <v>6424</v>
      </c>
      <c r="E12921" t="s">
        <v>6425</v>
      </c>
      <c r="F12921" t="s">
        <v>40041</v>
      </c>
      <c r="G12921" s="2" t="str">
        <f>HYPERLINK("https://probpalata.gov.ru/files/ЮЛ910403620200045.jpeg","Скачать индивидуальный QR-код магазина")</f>
        <v>Скачать индивидуальный QR-код магазина</v>
      </c>
    </row>
    <row r="12922" spans="1:7" x14ac:dyDescent="0.25">
      <c r="A12922" t="s">
        <v>39583</v>
      </c>
      <c r="B12922" t="s">
        <v>39898</v>
      </c>
      <c r="C12922" t="s">
        <v>6423</v>
      </c>
      <c r="D12922" t="s">
        <v>6424</v>
      </c>
      <c r="E12922" t="s">
        <v>6425</v>
      </c>
      <c r="F12922" t="s">
        <v>40042</v>
      </c>
      <c r="G12922" s="2" t="str">
        <f>HYPERLINK("https://probpalata.gov.ru/files/ЮЛ910403620200046.jpeg","Скачать индивидуальный QR-код магазина")</f>
        <v>Скачать индивидуальный QR-код магазина</v>
      </c>
    </row>
    <row r="12923" spans="1:7" x14ac:dyDescent="0.25">
      <c r="A12923" t="s">
        <v>39583</v>
      </c>
      <c r="B12923" t="s">
        <v>39912</v>
      </c>
      <c r="C12923" t="s">
        <v>6423</v>
      </c>
      <c r="D12923" t="s">
        <v>6424</v>
      </c>
      <c r="E12923" t="s">
        <v>6425</v>
      </c>
      <c r="F12923" t="s">
        <v>40043</v>
      </c>
      <c r="G12923" s="2" t="str">
        <f>HYPERLINK("https://probpalata.gov.ru/files/ЮЛ910403620200050.jpeg","Скачать индивидуальный QR-код магазина")</f>
        <v>Скачать индивидуальный QR-код магазина</v>
      </c>
    </row>
    <row r="12924" spans="1:7" x14ac:dyDescent="0.25">
      <c r="A12924" t="s">
        <v>39583</v>
      </c>
      <c r="B12924" t="s">
        <v>39900</v>
      </c>
      <c r="C12924" t="s">
        <v>6423</v>
      </c>
      <c r="D12924" t="s">
        <v>6424</v>
      </c>
      <c r="E12924" t="s">
        <v>6425</v>
      </c>
      <c r="F12924" t="s">
        <v>40044</v>
      </c>
      <c r="G12924" s="2" t="str">
        <f>HYPERLINK("https://probpalata.gov.ru/files/ЮЛ910403620200051.jpeg","Скачать индивидуальный QR-код магазина")</f>
        <v>Скачать индивидуальный QR-код магазина</v>
      </c>
    </row>
    <row r="12925" spans="1:7" x14ac:dyDescent="0.25">
      <c r="A12925" t="s">
        <v>39583</v>
      </c>
      <c r="B12925" t="s">
        <v>40045</v>
      </c>
      <c r="C12925" t="s">
        <v>6423</v>
      </c>
      <c r="D12925" t="s">
        <v>6424</v>
      </c>
      <c r="E12925" t="s">
        <v>6425</v>
      </c>
      <c r="F12925" t="s">
        <v>40046</v>
      </c>
      <c r="G12925" s="2" t="str">
        <f>HYPERLINK("https://probpalata.gov.ru/files/ЮЛ910403620200061.jpeg","Скачать индивидуальный QR-код магазина")</f>
        <v>Скачать индивидуальный QR-код магазина</v>
      </c>
    </row>
    <row r="12926" spans="1:7" x14ac:dyDescent="0.25">
      <c r="A12926" t="s">
        <v>39583</v>
      </c>
      <c r="B12926" t="s">
        <v>40047</v>
      </c>
      <c r="C12926" t="s">
        <v>6423</v>
      </c>
      <c r="D12926" t="s">
        <v>6424</v>
      </c>
      <c r="E12926" t="s">
        <v>6425</v>
      </c>
      <c r="F12926" t="s">
        <v>40048</v>
      </c>
      <c r="G12926" s="2" t="str">
        <f>HYPERLINK("https://probpalata.gov.ru/files/ЮЛ910403620200062.jpeg","Скачать индивидуальный QR-код магазина")</f>
        <v>Скачать индивидуальный QR-код магазина</v>
      </c>
    </row>
    <row r="12927" spans="1:7" x14ac:dyDescent="0.25">
      <c r="A12927" t="s">
        <v>39583</v>
      </c>
      <c r="B12927" t="s">
        <v>39973</v>
      </c>
      <c r="C12927" t="s">
        <v>6423</v>
      </c>
      <c r="D12927" t="s">
        <v>6424</v>
      </c>
      <c r="E12927" t="s">
        <v>6425</v>
      </c>
      <c r="F12927" t="s">
        <v>40049</v>
      </c>
      <c r="G12927" s="2" t="str">
        <f>HYPERLINK("https://probpalata.gov.ru/files/ЮЛ910403620200063.jpeg","Скачать индивидуальный QR-код магазина")</f>
        <v>Скачать индивидуальный QR-код магазина</v>
      </c>
    </row>
    <row r="12928" spans="1:7" x14ac:dyDescent="0.25">
      <c r="A12928" t="s">
        <v>39583</v>
      </c>
      <c r="B12928" t="s">
        <v>39975</v>
      </c>
      <c r="C12928" t="s">
        <v>6423</v>
      </c>
      <c r="D12928" t="s">
        <v>6424</v>
      </c>
      <c r="E12928" t="s">
        <v>6425</v>
      </c>
      <c r="F12928" t="s">
        <v>40050</v>
      </c>
      <c r="G12928" s="2" t="str">
        <f>HYPERLINK("https://probpalata.gov.ru/files/ЮЛ910403620200064.jpeg","Скачать индивидуальный QR-код магазина")</f>
        <v>Скачать индивидуальный QR-код магазина</v>
      </c>
    </row>
    <row r="12929" spans="1:7" x14ac:dyDescent="0.25">
      <c r="A12929" t="s">
        <v>39583</v>
      </c>
      <c r="B12929" t="s">
        <v>39977</v>
      </c>
      <c r="C12929" t="s">
        <v>6423</v>
      </c>
      <c r="D12929" t="s">
        <v>6424</v>
      </c>
      <c r="E12929" t="s">
        <v>6425</v>
      </c>
      <c r="F12929" t="s">
        <v>40051</v>
      </c>
      <c r="G12929" s="2" t="str">
        <f>HYPERLINK("https://probpalata.gov.ru/files/ЮЛ910403620200067.jpeg","Скачать индивидуальный QR-код магазина")</f>
        <v>Скачать индивидуальный QR-код магазина</v>
      </c>
    </row>
    <row r="12930" spans="1:7" x14ac:dyDescent="0.25">
      <c r="A12930" t="s">
        <v>39583</v>
      </c>
      <c r="B12930" t="s">
        <v>39979</v>
      </c>
      <c r="C12930" t="s">
        <v>6423</v>
      </c>
      <c r="D12930" t="s">
        <v>6424</v>
      </c>
      <c r="E12930" t="s">
        <v>6425</v>
      </c>
      <c r="F12930" t="s">
        <v>40052</v>
      </c>
      <c r="G12930" s="2" t="str">
        <f>HYPERLINK("https://probpalata.gov.ru/files/ЮЛ910403620200068.jpeg","Скачать индивидуальный QR-код магазина")</f>
        <v>Скачать индивидуальный QR-код магазина</v>
      </c>
    </row>
    <row r="12931" spans="1:7" x14ac:dyDescent="0.25">
      <c r="A12931" t="s">
        <v>39583</v>
      </c>
      <c r="B12931" t="s">
        <v>39981</v>
      </c>
      <c r="C12931" t="s">
        <v>6423</v>
      </c>
      <c r="D12931" t="s">
        <v>6424</v>
      </c>
      <c r="E12931" t="s">
        <v>6425</v>
      </c>
      <c r="F12931" t="s">
        <v>40053</v>
      </c>
      <c r="G12931" s="2" t="str">
        <f>HYPERLINK("https://probpalata.gov.ru/files/ЮЛ910403620200069.jpeg","Скачать индивидуальный QR-код магазина")</f>
        <v>Скачать индивидуальный QR-код магазина</v>
      </c>
    </row>
    <row r="12932" spans="1:7" x14ac:dyDescent="0.25">
      <c r="A12932" t="s">
        <v>39583</v>
      </c>
      <c r="B12932" t="s">
        <v>39983</v>
      </c>
      <c r="C12932" t="s">
        <v>6423</v>
      </c>
      <c r="D12932" t="s">
        <v>6424</v>
      </c>
      <c r="E12932" t="s">
        <v>6425</v>
      </c>
      <c r="F12932" t="s">
        <v>40054</v>
      </c>
      <c r="G12932" s="2" t="str">
        <f>HYPERLINK("https://probpalata.gov.ru/files/ЮЛ910403620200071.jpeg","Скачать индивидуальный QR-код магазина")</f>
        <v>Скачать индивидуальный QR-код магазина</v>
      </c>
    </row>
    <row r="12933" spans="1:7" x14ac:dyDescent="0.25">
      <c r="A12933" t="s">
        <v>39583</v>
      </c>
      <c r="B12933" t="s">
        <v>40055</v>
      </c>
      <c r="C12933" t="s">
        <v>6423</v>
      </c>
      <c r="D12933" t="s">
        <v>6424</v>
      </c>
      <c r="E12933" t="s">
        <v>6425</v>
      </c>
      <c r="F12933" t="s">
        <v>40056</v>
      </c>
      <c r="G12933" s="2" t="str">
        <f>HYPERLINK("https://probpalata.gov.ru/files/ЮЛ910403620200072.jpeg","Скачать индивидуальный QR-код магазина")</f>
        <v>Скачать индивидуальный QR-код магазина</v>
      </c>
    </row>
    <row r="12934" spans="1:7" x14ac:dyDescent="0.25">
      <c r="A12934" t="s">
        <v>39583</v>
      </c>
      <c r="B12934" t="s">
        <v>40057</v>
      </c>
      <c r="C12934" t="s">
        <v>6423</v>
      </c>
      <c r="D12934" t="s">
        <v>6424</v>
      </c>
      <c r="E12934" t="s">
        <v>6425</v>
      </c>
      <c r="F12934" t="s">
        <v>40058</v>
      </c>
      <c r="G12934" s="2" t="str">
        <f>HYPERLINK("https://probpalata.gov.ru/files/ЮЛ910403620200074.jpeg","Скачать индивидуальный QR-код магазина")</f>
        <v>Скачать индивидуальный QR-код магазина</v>
      </c>
    </row>
    <row r="12935" spans="1:7" x14ac:dyDescent="0.25">
      <c r="A12935" t="s">
        <v>39583</v>
      </c>
      <c r="B12935" t="s">
        <v>39989</v>
      </c>
      <c r="C12935" t="s">
        <v>6423</v>
      </c>
      <c r="D12935" t="s">
        <v>6424</v>
      </c>
      <c r="E12935" t="s">
        <v>6425</v>
      </c>
      <c r="F12935" t="s">
        <v>40059</v>
      </c>
      <c r="G12935" s="2" t="str">
        <f>HYPERLINK("https://probpalata.gov.ru/files/ЮЛ910403620200078.jpeg","Скачать индивидуальный QR-код магазина")</f>
        <v>Скачать индивидуальный QR-код магазина</v>
      </c>
    </row>
    <row r="12936" spans="1:7" x14ac:dyDescent="0.25">
      <c r="A12936" t="s">
        <v>39583</v>
      </c>
      <c r="B12936" t="s">
        <v>39602</v>
      </c>
      <c r="C12936" t="s">
        <v>40060</v>
      </c>
      <c r="D12936" t="s">
        <v>40061</v>
      </c>
      <c r="E12936" t="s">
        <v>40062</v>
      </c>
      <c r="F12936" t="s">
        <v>40063</v>
      </c>
      <c r="G12936" s="2" t="str">
        <f>HYPERLINK("https://probpalata.gov.ru/files/ИП820400423200000.jpeg","Скачать индивидуальный QR-код магазина")</f>
        <v>Скачать индивидуальный QR-код магазина</v>
      </c>
    </row>
    <row r="12937" spans="1:7" x14ac:dyDescent="0.25">
      <c r="A12937" t="s">
        <v>39583</v>
      </c>
      <c r="B12937" t="s">
        <v>40064</v>
      </c>
      <c r="C12937" t="s">
        <v>40065</v>
      </c>
      <c r="D12937" t="s">
        <v>40066</v>
      </c>
      <c r="E12937" t="s">
        <v>40067</v>
      </c>
      <c r="F12937" t="s">
        <v>40068</v>
      </c>
      <c r="G12937" s="2" t="str">
        <f>HYPERLINK("https://probpalata.gov.ru/files/ИП820400656100006.jpeg","Скачать индивидуальный QR-код магазина")</f>
        <v>Скачать индивидуальный QR-код магазина</v>
      </c>
    </row>
    <row r="12938" spans="1:7" x14ac:dyDescent="0.25">
      <c r="A12938" t="s">
        <v>39583</v>
      </c>
      <c r="B12938" t="s">
        <v>40069</v>
      </c>
      <c r="C12938" t="s">
        <v>40065</v>
      </c>
      <c r="D12938" t="s">
        <v>40066</v>
      </c>
      <c r="E12938" t="s">
        <v>40067</v>
      </c>
      <c r="F12938" t="s">
        <v>40070</v>
      </c>
      <c r="G12938" s="2" t="str">
        <f>HYPERLINK("https://probpalata.gov.ru/files/ИП820400656100008.jpeg","Скачать индивидуальный QR-код магазина")</f>
        <v>Скачать индивидуальный QR-код магазина</v>
      </c>
    </row>
    <row r="12939" spans="1:7" x14ac:dyDescent="0.25">
      <c r="A12939" t="s">
        <v>39583</v>
      </c>
      <c r="B12939" t="s">
        <v>40071</v>
      </c>
      <c r="C12939" t="s">
        <v>40065</v>
      </c>
      <c r="D12939" t="s">
        <v>40066</v>
      </c>
      <c r="E12939" t="s">
        <v>40067</v>
      </c>
      <c r="F12939" t="s">
        <v>40072</v>
      </c>
      <c r="G12939" s="2" t="str">
        <f>HYPERLINK("https://probpalata.gov.ru/files/ИП820400656100009.jpeg","Скачать индивидуальный QR-код магазина")</f>
        <v>Скачать индивидуальный QR-код магазина</v>
      </c>
    </row>
    <row r="12940" spans="1:7" x14ac:dyDescent="0.25">
      <c r="A12940" t="s">
        <v>39583</v>
      </c>
      <c r="B12940" t="s">
        <v>40073</v>
      </c>
      <c r="C12940" t="s">
        <v>40065</v>
      </c>
      <c r="D12940" t="s">
        <v>40066</v>
      </c>
      <c r="E12940" t="s">
        <v>40067</v>
      </c>
      <c r="F12940" t="s">
        <v>40074</v>
      </c>
      <c r="G12940" s="2" t="str">
        <f>HYPERLINK("https://probpalata.gov.ru/files/ИП820400656100010.jpeg","Скачать индивидуальный QR-код магазина")</f>
        <v>Скачать индивидуальный QR-код магазина</v>
      </c>
    </row>
    <row r="12941" spans="1:7" x14ac:dyDescent="0.25">
      <c r="A12941" t="s">
        <v>39583</v>
      </c>
      <c r="B12941" t="s">
        <v>40075</v>
      </c>
      <c r="C12941" t="s">
        <v>40076</v>
      </c>
      <c r="D12941" t="s">
        <v>40077</v>
      </c>
      <c r="E12941" t="s">
        <v>40078</v>
      </c>
      <c r="F12941" t="s">
        <v>40079</v>
      </c>
      <c r="G12941" s="2" t="str">
        <f>HYPERLINK("https://probpalata.gov.ru/files/ИП820400365000000.jpeg","Скачать индивидуальный QR-код магазина")</f>
        <v>Скачать индивидуальный QR-код магазина</v>
      </c>
    </row>
    <row r="12942" spans="1:7" x14ac:dyDescent="0.25">
      <c r="A12942" t="s">
        <v>39583</v>
      </c>
      <c r="B12942" t="s">
        <v>40080</v>
      </c>
      <c r="C12942" t="s">
        <v>40081</v>
      </c>
      <c r="D12942" t="s">
        <v>40082</v>
      </c>
      <c r="E12942" t="s">
        <v>40083</v>
      </c>
      <c r="F12942" t="s">
        <v>40084</v>
      </c>
      <c r="G12942" s="2" t="str">
        <f>HYPERLINK("https://probpalata.gov.ru/files/ИП820400020900000.jpeg","Скачать индивидуальный QR-код магазина")</f>
        <v>Скачать индивидуальный QR-код магазина</v>
      </c>
    </row>
    <row r="12943" spans="1:7" x14ac:dyDescent="0.25">
      <c r="A12943" t="s">
        <v>39583</v>
      </c>
      <c r="B12943" t="s">
        <v>40085</v>
      </c>
      <c r="C12943" t="s">
        <v>40086</v>
      </c>
      <c r="D12943" t="s">
        <v>40087</v>
      </c>
      <c r="E12943" t="s">
        <v>40088</v>
      </c>
      <c r="F12943" t="s">
        <v>40089</v>
      </c>
      <c r="G12943" s="2" t="str">
        <f>HYPERLINK("https://probpalata.gov.ru/files/ИП820400771000000.jpeg","Скачать индивидуальный QR-код магазина")</f>
        <v>Скачать индивидуальный QR-код магазина</v>
      </c>
    </row>
    <row r="12944" spans="1:7" x14ac:dyDescent="0.25">
      <c r="A12944" t="s">
        <v>39583</v>
      </c>
      <c r="B12944" t="s">
        <v>40090</v>
      </c>
      <c r="C12944" t="s">
        <v>40086</v>
      </c>
      <c r="D12944" t="s">
        <v>40087</v>
      </c>
      <c r="E12944" t="s">
        <v>40088</v>
      </c>
      <c r="F12944" t="s">
        <v>40091</v>
      </c>
      <c r="G12944" s="2" t="str">
        <f>HYPERLINK("https://probpalata.gov.ru/files/ИП820400771000001.jpeg","Скачать индивидуальный QR-код магазина")</f>
        <v>Скачать индивидуальный QR-код магазина</v>
      </c>
    </row>
    <row r="12945" spans="1:7" x14ac:dyDescent="0.25">
      <c r="A12945" t="s">
        <v>39583</v>
      </c>
      <c r="B12945" t="s">
        <v>40092</v>
      </c>
      <c r="C12945" t="s">
        <v>40093</v>
      </c>
      <c r="D12945" t="s">
        <v>40094</v>
      </c>
      <c r="E12945" t="s">
        <v>40095</v>
      </c>
      <c r="F12945" t="s">
        <v>40096</v>
      </c>
      <c r="G12945" s="2" t="str">
        <f>HYPERLINK("https://probpalata.gov.ru/files/ИП820400619200000.jpeg","Скачать индивидуальный QR-код магазина")</f>
        <v>Скачать индивидуальный QR-код магазина</v>
      </c>
    </row>
    <row r="12946" spans="1:7" x14ac:dyDescent="0.25">
      <c r="A12946" t="s">
        <v>39583</v>
      </c>
      <c r="B12946" t="s">
        <v>40097</v>
      </c>
      <c r="C12946" t="s">
        <v>40098</v>
      </c>
      <c r="D12946" t="s">
        <v>40099</v>
      </c>
      <c r="E12946" t="s">
        <v>40100</v>
      </c>
      <c r="F12946" t="s">
        <v>40101</v>
      </c>
      <c r="G12946" s="2" t="str">
        <f>HYPERLINK("https://probpalata.gov.ru/files/ИП820400334900000.jpeg","Скачать индивидуальный QR-код магазина")</f>
        <v>Скачать индивидуальный QR-код магазина</v>
      </c>
    </row>
    <row r="12947" spans="1:7" x14ac:dyDescent="0.25">
      <c r="A12947" t="s">
        <v>39583</v>
      </c>
      <c r="B12947" t="s">
        <v>40102</v>
      </c>
      <c r="C12947" t="s">
        <v>25674</v>
      </c>
      <c r="D12947" t="s">
        <v>25675</v>
      </c>
      <c r="E12947" t="s">
        <v>25676</v>
      </c>
      <c r="F12947" t="s">
        <v>40103</v>
      </c>
      <c r="G12947" s="2" t="str">
        <f>HYPERLINK("https://probpalata.gov.ru/files/ЮЛ820400992900000.jpeg","Скачать индивидуальный QR-код магазина")</f>
        <v>Скачать индивидуальный QR-код магазина</v>
      </c>
    </row>
    <row r="12948" spans="1:7" x14ac:dyDescent="0.25">
      <c r="A12948" t="s">
        <v>39583</v>
      </c>
      <c r="B12948" t="s">
        <v>40104</v>
      </c>
      <c r="C12948" t="s">
        <v>25674</v>
      </c>
      <c r="D12948" t="s">
        <v>25675</v>
      </c>
      <c r="E12948" t="s">
        <v>25676</v>
      </c>
      <c r="F12948" t="s">
        <v>40105</v>
      </c>
      <c r="G12948" s="2" t="str">
        <f>HYPERLINK("https://probpalata.gov.ru/files/ЮЛ820400992900001.jpeg","Скачать индивидуальный QR-код магазина")</f>
        <v>Скачать индивидуальный QR-код магазина</v>
      </c>
    </row>
    <row r="12949" spans="1:7" x14ac:dyDescent="0.25">
      <c r="A12949" t="s">
        <v>39583</v>
      </c>
      <c r="B12949" t="s">
        <v>40106</v>
      </c>
      <c r="C12949" t="s">
        <v>25674</v>
      </c>
      <c r="D12949" t="s">
        <v>25675</v>
      </c>
      <c r="E12949" t="s">
        <v>25676</v>
      </c>
      <c r="F12949" t="s">
        <v>40107</v>
      </c>
      <c r="G12949" s="2" t="str">
        <f>HYPERLINK("https://probpalata.gov.ru/files/ЮЛ820400992900002.jpeg","Скачать индивидуальный QR-код магазина")</f>
        <v>Скачать индивидуальный QR-код магазина</v>
      </c>
    </row>
    <row r="12950" spans="1:7" x14ac:dyDescent="0.25">
      <c r="A12950" t="s">
        <v>39583</v>
      </c>
      <c r="B12950" t="s">
        <v>40108</v>
      </c>
      <c r="C12950" t="s">
        <v>25674</v>
      </c>
      <c r="D12950" t="s">
        <v>25675</v>
      </c>
      <c r="E12950" t="s">
        <v>25676</v>
      </c>
      <c r="F12950" t="s">
        <v>40109</v>
      </c>
      <c r="G12950" s="2" t="str">
        <f>HYPERLINK("https://probpalata.gov.ru/files/ЮЛ820400992900006.jpeg","Скачать индивидуальный QR-код магазина")</f>
        <v>Скачать индивидуальный QR-код магазина</v>
      </c>
    </row>
    <row r="12951" spans="1:7" x14ac:dyDescent="0.25">
      <c r="A12951" t="s">
        <v>39583</v>
      </c>
      <c r="B12951" t="s">
        <v>40110</v>
      </c>
      <c r="C12951" t="s">
        <v>25674</v>
      </c>
      <c r="D12951" t="s">
        <v>25675</v>
      </c>
      <c r="E12951" t="s">
        <v>25676</v>
      </c>
      <c r="F12951" t="s">
        <v>40111</v>
      </c>
      <c r="G12951" s="2" t="str">
        <f>HYPERLINK("https://probpalata.gov.ru/files/ЮЛ820400992900008.jpeg","Скачать индивидуальный QR-код магазина")</f>
        <v>Скачать индивидуальный QR-код магазина</v>
      </c>
    </row>
    <row r="12952" spans="1:7" x14ac:dyDescent="0.25">
      <c r="A12952" t="s">
        <v>39583</v>
      </c>
      <c r="B12952" t="s">
        <v>40112</v>
      </c>
      <c r="C12952" t="s">
        <v>25674</v>
      </c>
      <c r="D12952" t="s">
        <v>25675</v>
      </c>
      <c r="E12952" t="s">
        <v>25676</v>
      </c>
      <c r="F12952" t="s">
        <v>40113</v>
      </c>
      <c r="G12952" s="2" t="str">
        <f>HYPERLINK("https://probpalata.gov.ru/files/ЮЛ820400992900011.jpeg","Скачать индивидуальный QR-код магазина")</f>
        <v>Скачать индивидуальный QR-код магазина</v>
      </c>
    </row>
    <row r="12953" spans="1:7" x14ac:dyDescent="0.25">
      <c r="A12953" t="s">
        <v>39583</v>
      </c>
      <c r="B12953" t="s">
        <v>40114</v>
      </c>
      <c r="C12953" t="s">
        <v>40115</v>
      </c>
      <c r="D12953" t="s">
        <v>40116</v>
      </c>
      <c r="E12953" t="s">
        <v>40117</v>
      </c>
      <c r="F12953" t="s">
        <v>40118</v>
      </c>
      <c r="G12953" s="2" t="str">
        <f>HYPERLINK("https://probpalata.gov.ru/files/ЮЛ820400810400001.jpeg","Скачать индивидуальный QR-код магазина")</f>
        <v>Скачать индивидуальный QR-код магазина</v>
      </c>
    </row>
    <row r="12954" spans="1:7" x14ac:dyDescent="0.25">
      <c r="A12954" t="s">
        <v>39583</v>
      </c>
      <c r="B12954" t="s">
        <v>40119</v>
      </c>
      <c r="C12954" t="s">
        <v>40115</v>
      </c>
      <c r="D12954" t="s">
        <v>40116</v>
      </c>
      <c r="E12954" t="s">
        <v>40117</v>
      </c>
      <c r="F12954" t="s">
        <v>40120</v>
      </c>
      <c r="G12954" s="2" t="str">
        <f>HYPERLINK("https://probpalata.gov.ru/files/ЮЛ820400810400004.jpeg","Скачать индивидуальный QR-код магазина")</f>
        <v>Скачать индивидуальный QR-код магазина</v>
      </c>
    </row>
    <row r="12955" spans="1:7" x14ac:dyDescent="0.25">
      <c r="A12955" t="s">
        <v>39583</v>
      </c>
      <c r="B12955" t="s">
        <v>40121</v>
      </c>
      <c r="C12955" t="s">
        <v>40122</v>
      </c>
      <c r="D12955" t="s">
        <v>40123</v>
      </c>
      <c r="E12955" t="s">
        <v>40124</v>
      </c>
      <c r="F12955" t="s">
        <v>40125</v>
      </c>
      <c r="G12955" s="2" t="str">
        <f>HYPERLINK("https://probpalata.gov.ru/files/ИП820400159800000.jpeg","Скачать индивидуальный QR-код магазина")</f>
        <v>Скачать индивидуальный QR-код магазина</v>
      </c>
    </row>
    <row r="12956" spans="1:7" x14ac:dyDescent="0.25">
      <c r="A12956" t="s">
        <v>39583</v>
      </c>
      <c r="B12956" t="s">
        <v>40126</v>
      </c>
      <c r="C12956" t="s">
        <v>40127</v>
      </c>
      <c r="D12956" t="s">
        <v>40128</v>
      </c>
      <c r="E12956" t="s">
        <v>40129</v>
      </c>
      <c r="F12956" t="s">
        <v>40130</v>
      </c>
      <c r="G12956" s="2" t="str">
        <f>HYPERLINK("https://probpalata.gov.ru/files/ИП820400995700000.jpeg","Скачать индивидуальный QR-код магазина")</f>
        <v>Скачать индивидуальный QR-код магазина</v>
      </c>
    </row>
    <row r="12957" spans="1:7" x14ac:dyDescent="0.25">
      <c r="A12957" t="s">
        <v>39583</v>
      </c>
      <c r="B12957" t="s">
        <v>40131</v>
      </c>
      <c r="C12957" t="s">
        <v>40132</v>
      </c>
      <c r="D12957" t="s">
        <v>40133</v>
      </c>
      <c r="E12957" t="s">
        <v>40134</v>
      </c>
      <c r="F12957" t="s">
        <v>40135</v>
      </c>
      <c r="G12957" s="2" t="str">
        <f>HYPERLINK("https://probpalata.gov.ru/files/ИП820400974300000.jpeg","Скачать индивидуальный QR-код магазина")</f>
        <v>Скачать индивидуальный QR-код магазина</v>
      </c>
    </row>
    <row r="12958" spans="1:7" x14ac:dyDescent="0.25">
      <c r="A12958" t="s">
        <v>39583</v>
      </c>
      <c r="B12958" t="s">
        <v>40136</v>
      </c>
      <c r="C12958" t="s">
        <v>40137</v>
      </c>
      <c r="D12958" t="s">
        <v>40138</v>
      </c>
      <c r="E12958" t="s">
        <v>40139</v>
      </c>
      <c r="F12958" t="s">
        <v>40140</v>
      </c>
      <c r="G12958" s="2" t="str">
        <f>HYPERLINK("https://probpalata.gov.ru/files/ИП910403929300000.jpeg","Скачать индивидуальный QR-код магазина")</f>
        <v>Скачать индивидуальный QR-код магазина</v>
      </c>
    </row>
    <row r="12959" spans="1:7" x14ac:dyDescent="0.25">
      <c r="A12959" t="s">
        <v>39583</v>
      </c>
      <c r="B12959" t="s">
        <v>40069</v>
      </c>
      <c r="C12959" t="s">
        <v>40141</v>
      </c>
      <c r="D12959" t="s">
        <v>40142</v>
      </c>
      <c r="E12959" t="s">
        <v>40143</v>
      </c>
      <c r="F12959" t="s">
        <v>40144</v>
      </c>
      <c r="G12959" s="2" t="str">
        <f>HYPERLINK("https://probpalata.gov.ru/files/ИП820400189500000.jpeg","Скачать индивидуальный QR-код магазина")</f>
        <v>Скачать индивидуальный QR-код магазина</v>
      </c>
    </row>
    <row r="12960" spans="1:7" x14ac:dyDescent="0.25">
      <c r="A12960" t="s">
        <v>39583</v>
      </c>
      <c r="B12960" t="s">
        <v>40145</v>
      </c>
      <c r="C12960" t="s">
        <v>40146</v>
      </c>
      <c r="D12960" t="s">
        <v>40147</v>
      </c>
      <c r="E12960" t="s">
        <v>40148</v>
      </c>
      <c r="F12960" t="s">
        <v>40149</v>
      </c>
      <c r="G12960" s="2" t="str">
        <f>HYPERLINK("https://probpalata.gov.ru/files/ИП820402012500000.jpeg","Скачать индивидуальный QR-код магазина")</f>
        <v>Скачать индивидуальный QR-код магазина</v>
      </c>
    </row>
    <row r="12961" spans="1:7" x14ac:dyDescent="0.25">
      <c r="A12961" t="s">
        <v>39583</v>
      </c>
      <c r="B12961" t="s">
        <v>40150</v>
      </c>
      <c r="C12961" t="s">
        <v>40151</v>
      </c>
      <c r="D12961" t="s">
        <v>40152</v>
      </c>
      <c r="E12961" t="s">
        <v>40153</v>
      </c>
      <c r="F12961" t="s">
        <v>40154</v>
      </c>
      <c r="G12961" s="2" t="str">
        <f>HYPERLINK("https://probpalata.gov.ru/files/ИП820400777500000.jpeg","Скачать индивидуальный QR-код магазина")</f>
        <v>Скачать индивидуальный QR-код магазина</v>
      </c>
    </row>
    <row r="12962" spans="1:7" x14ac:dyDescent="0.25">
      <c r="A12962" t="s">
        <v>39583</v>
      </c>
      <c r="B12962" t="s">
        <v>40155</v>
      </c>
      <c r="C12962" t="s">
        <v>40151</v>
      </c>
      <c r="D12962" t="s">
        <v>40152</v>
      </c>
      <c r="E12962" t="s">
        <v>40153</v>
      </c>
      <c r="F12962" t="s">
        <v>40156</v>
      </c>
      <c r="G12962" s="2" t="str">
        <f>HYPERLINK("https://probpalata.gov.ru/files/ИП820400777500002.jpeg","Скачать индивидуальный QR-код магазина")</f>
        <v>Скачать индивидуальный QR-код магазина</v>
      </c>
    </row>
    <row r="12963" spans="1:7" x14ac:dyDescent="0.25">
      <c r="A12963" t="s">
        <v>39583</v>
      </c>
      <c r="B12963" t="s">
        <v>40157</v>
      </c>
      <c r="C12963" t="s">
        <v>40158</v>
      </c>
      <c r="D12963" t="s">
        <v>40159</v>
      </c>
      <c r="E12963" t="s">
        <v>40160</v>
      </c>
      <c r="F12963" t="s">
        <v>40161</v>
      </c>
      <c r="G12963" s="2" t="str">
        <f>HYPERLINK("https://probpalata.gov.ru/files/ИП820401871800000.jpeg","Скачать индивидуальный QR-код магазина")</f>
        <v>Скачать индивидуальный QR-код магазина</v>
      </c>
    </row>
    <row r="12964" spans="1:7" x14ac:dyDescent="0.25">
      <c r="A12964" t="s">
        <v>39583</v>
      </c>
      <c r="B12964" t="s">
        <v>40162</v>
      </c>
      <c r="C12964" t="s">
        <v>40163</v>
      </c>
      <c r="D12964" t="s">
        <v>40164</v>
      </c>
      <c r="E12964" t="s">
        <v>40165</v>
      </c>
      <c r="F12964" t="s">
        <v>40166</v>
      </c>
      <c r="G12964" s="2" t="str">
        <f>HYPERLINK("https://probpalata.gov.ru/files/ИП820400368500000.jpeg","Скачать индивидуальный QR-код магазина")</f>
        <v>Скачать индивидуальный QR-код магазина</v>
      </c>
    </row>
    <row r="12965" spans="1:7" x14ac:dyDescent="0.25">
      <c r="A12965" t="s">
        <v>39583</v>
      </c>
      <c r="B12965" t="s">
        <v>40167</v>
      </c>
      <c r="C12965" t="s">
        <v>40168</v>
      </c>
      <c r="D12965" t="s">
        <v>40169</v>
      </c>
      <c r="E12965" t="s">
        <v>40170</v>
      </c>
      <c r="F12965" t="s">
        <v>40171</v>
      </c>
      <c r="G12965" s="2" t="str">
        <f>HYPERLINK("https://probpalata.gov.ru/files/ИП820400039600000.jpeg","Скачать индивидуальный QR-код магазина")</f>
        <v>Скачать индивидуальный QR-код магазина</v>
      </c>
    </row>
    <row r="12966" spans="1:7" x14ac:dyDescent="0.25">
      <c r="A12966" t="s">
        <v>39583</v>
      </c>
      <c r="B12966" t="s">
        <v>40172</v>
      </c>
      <c r="C12966" t="s">
        <v>40173</v>
      </c>
      <c r="D12966" t="s">
        <v>40174</v>
      </c>
      <c r="E12966" t="s">
        <v>40175</v>
      </c>
      <c r="F12966" t="s">
        <v>40176</v>
      </c>
      <c r="G12966" s="2" t="str">
        <f>HYPERLINK("https://probpalata.gov.ru/files/ИП820400561000000.jpeg","Скачать индивидуальный QR-код магазина")</f>
        <v>Скачать индивидуальный QR-код магазина</v>
      </c>
    </row>
    <row r="12967" spans="1:7" x14ac:dyDescent="0.25">
      <c r="A12967" t="s">
        <v>39583</v>
      </c>
      <c r="B12967" t="s">
        <v>40177</v>
      </c>
      <c r="C12967" t="s">
        <v>40173</v>
      </c>
      <c r="D12967" t="s">
        <v>40174</v>
      </c>
      <c r="E12967" t="s">
        <v>40175</v>
      </c>
      <c r="F12967" t="s">
        <v>40178</v>
      </c>
      <c r="G12967" s="2" t="str">
        <f>HYPERLINK("https://probpalata.gov.ru/files/ИП820400561000001.jpeg","Скачать индивидуальный QR-код магазина")</f>
        <v>Скачать индивидуальный QR-код магазина</v>
      </c>
    </row>
    <row r="12968" spans="1:7" x14ac:dyDescent="0.25">
      <c r="A12968" t="s">
        <v>39583</v>
      </c>
      <c r="B12968" t="s">
        <v>40179</v>
      </c>
      <c r="C12968" t="s">
        <v>40173</v>
      </c>
      <c r="D12968" t="s">
        <v>40174</v>
      </c>
      <c r="E12968" t="s">
        <v>40175</v>
      </c>
      <c r="F12968" t="s">
        <v>40180</v>
      </c>
      <c r="G12968" s="2" t="str">
        <f>HYPERLINK("https://probpalata.gov.ru/files/ИП820400561000004.jpeg","Скачать индивидуальный QR-код магазина")</f>
        <v>Скачать индивидуальный QR-код магазина</v>
      </c>
    </row>
    <row r="12969" spans="1:7" x14ac:dyDescent="0.25">
      <c r="A12969" t="s">
        <v>39583</v>
      </c>
      <c r="B12969" t="s">
        <v>40181</v>
      </c>
      <c r="C12969" t="s">
        <v>40182</v>
      </c>
      <c r="D12969" t="s">
        <v>40183</v>
      </c>
      <c r="E12969" t="s">
        <v>40184</v>
      </c>
      <c r="F12969" t="s">
        <v>40185</v>
      </c>
      <c r="G12969" s="2" t="str">
        <f>HYPERLINK("https://probpalata.gov.ru/files/ИП820400277600000.jpeg","Скачать индивидуальный QR-код магазина")</f>
        <v>Скачать индивидуальный QR-код магазина</v>
      </c>
    </row>
    <row r="12970" spans="1:7" x14ac:dyDescent="0.25">
      <c r="A12970" t="s">
        <v>39583</v>
      </c>
      <c r="B12970" t="s">
        <v>40186</v>
      </c>
      <c r="C12970" t="s">
        <v>40187</v>
      </c>
      <c r="D12970" t="s">
        <v>40188</v>
      </c>
      <c r="E12970" t="s">
        <v>40189</v>
      </c>
      <c r="F12970" t="s">
        <v>40190</v>
      </c>
      <c r="G12970" s="2" t="str">
        <f>HYPERLINK("https://probpalata.gov.ru/files/ИП820400976500000.jpeg","Скачать индивидуальный QR-код магазина")</f>
        <v>Скачать индивидуальный QR-код магазина</v>
      </c>
    </row>
    <row r="12971" spans="1:7" x14ac:dyDescent="0.25">
      <c r="A12971" t="s">
        <v>39583</v>
      </c>
      <c r="B12971" t="s">
        <v>40191</v>
      </c>
      <c r="C12971" t="s">
        <v>40192</v>
      </c>
      <c r="D12971" t="s">
        <v>40193</v>
      </c>
      <c r="E12971" t="s">
        <v>40194</v>
      </c>
      <c r="F12971" t="s">
        <v>40195</v>
      </c>
      <c r="G12971" s="2" t="str">
        <f>HYPERLINK("https://probpalata.gov.ru/files/ИП820400613500000.jpeg","Скачать индивидуальный QR-код магазина")</f>
        <v>Скачать индивидуальный QR-код магазина</v>
      </c>
    </row>
    <row r="12972" spans="1:7" x14ac:dyDescent="0.25">
      <c r="A12972" t="s">
        <v>39583</v>
      </c>
      <c r="B12972" t="s">
        <v>40196</v>
      </c>
      <c r="C12972" t="s">
        <v>40197</v>
      </c>
      <c r="D12972" t="s">
        <v>40198</v>
      </c>
      <c r="E12972" t="s">
        <v>40199</v>
      </c>
      <c r="F12972" t="s">
        <v>40200</v>
      </c>
      <c r="G12972" s="2" t="str">
        <f>HYPERLINK("https://probpalata.gov.ru/files/ИП820400008700000.jpeg","Скачать индивидуальный QR-код магазина")</f>
        <v>Скачать индивидуальный QR-код магазина</v>
      </c>
    </row>
    <row r="12973" spans="1:7" x14ac:dyDescent="0.25">
      <c r="A12973" t="s">
        <v>39583</v>
      </c>
      <c r="B12973" t="s">
        <v>40201</v>
      </c>
      <c r="C12973" t="s">
        <v>40202</v>
      </c>
      <c r="D12973" t="s">
        <v>40203</v>
      </c>
      <c r="E12973" t="s">
        <v>40204</v>
      </c>
      <c r="F12973" t="s">
        <v>40205</v>
      </c>
      <c r="G12973" s="2" t="str">
        <f>HYPERLINK("https://probpalata.gov.ru/files/ИП820400473100000.jpeg","Скачать индивидуальный QR-код магазина")</f>
        <v>Скачать индивидуальный QR-код магазина</v>
      </c>
    </row>
    <row r="12974" spans="1:7" x14ac:dyDescent="0.25">
      <c r="A12974" t="s">
        <v>39583</v>
      </c>
      <c r="B12974" t="s">
        <v>40206</v>
      </c>
      <c r="C12974" t="s">
        <v>40207</v>
      </c>
      <c r="D12974" t="s">
        <v>40208</v>
      </c>
      <c r="E12974" t="s">
        <v>40209</v>
      </c>
      <c r="F12974" t="s">
        <v>40210</v>
      </c>
      <c r="G12974" s="2" t="str">
        <f>HYPERLINK("https://probpalata.gov.ru/files/ИП820400461400000.jpeg","Скачать индивидуальный QR-код магазина")</f>
        <v>Скачать индивидуальный QR-код магазина</v>
      </c>
    </row>
    <row r="12975" spans="1:7" x14ac:dyDescent="0.25">
      <c r="A12975" t="s">
        <v>39583</v>
      </c>
      <c r="B12975" t="s">
        <v>40211</v>
      </c>
      <c r="C12975" t="s">
        <v>40212</v>
      </c>
      <c r="D12975" t="s">
        <v>40213</v>
      </c>
      <c r="E12975" t="s">
        <v>40214</v>
      </c>
      <c r="F12975" t="s">
        <v>40215</v>
      </c>
      <c r="G12975" s="2" t="str">
        <f>HYPERLINK("https://probpalata.gov.ru/files/ИП820401425600000.jpeg","Скачать индивидуальный QR-код магазина")</f>
        <v>Скачать индивидуальный QR-код магазина</v>
      </c>
    </row>
    <row r="12976" spans="1:7" x14ac:dyDescent="0.25">
      <c r="A12976" t="s">
        <v>39583</v>
      </c>
      <c r="B12976" t="s">
        <v>40216</v>
      </c>
      <c r="C12976" t="s">
        <v>40217</v>
      </c>
      <c r="D12976" t="s">
        <v>40218</v>
      </c>
      <c r="E12976" t="s">
        <v>40219</v>
      </c>
      <c r="F12976" t="s">
        <v>40220</v>
      </c>
      <c r="G12976" s="2" t="str">
        <f>HYPERLINK("https://probpalata.gov.ru/files/ИП820401425500000.jpeg","Скачать индивидуальный QR-код магазина")</f>
        <v>Скачать индивидуальный QR-код магазина</v>
      </c>
    </row>
    <row r="12977" spans="1:7" x14ac:dyDescent="0.25">
      <c r="A12977" t="s">
        <v>39583</v>
      </c>
      <c r="B12977" t="s">
        <v>40221</v>
      </c>
      <c r="C12977" t="s">
        <v>40222</v>
      </c>
      <c r="D12977" t="s">
        <v>40223</v>
      </c>
      <c r="E12977" t="s">
        <v>40224</v>
      </c>
      <c r="F12977" t="s">
        <v>40225</v>
      </c>
      <c r="G12977" s="2" t="str">
        <f>HYPERLINK("https://probpalata.gov.ru/files/ИП910404044100000.jpeg","Скачать индивидуальный QR-код магазина")</f>
        <v>Скачать индивидуальный QR-код магазина</v>
      </c>
    </row>
    <row r="12978" spans="1:7" x14ac:dyDescent="0.25">
      <c r="A12978" t="s">
        <v>39583</v>
      </c>
      <c r="B12978" t="s">
        <v>40226</v>
      </c>
      <c r="C12978" t="s">
        <v>40227</v>
      </c>
      <c r="D12978" t="s">
        <v>40228</v>
      </c>
      <c r="E12978" t="s">
        <v>40229</v>
      </c>
      <c r="F12978" t="s">
        <v>40230</v>
      </c>
      <c r="G12978" s="2" t="str">
        <f>HYPERLINK("https://probpalata.gov.ru/files/ИП820401466000000.jpeg","Скачать индивидуальный QR-код магазина")</f>
        <v>Скачать индивидуальный QR-код магазина</v>
      </c>
    </row>
    <row r="12979" spans="1:7" x14ac:dyDescent="0.25">
      <c r="A12979" t="s">
        <v>39583</v>
      </c>
      <c r="B12979" t="s">
        <v>40231</v>
      </c>
      <c r="C12979" t="s">
        <v>40232</v>
      </c>
      <c r="D12979" t="s">
        <v>40233</v>
      </c>
      <c r="E12979" t="s">
        <v>40234</v>
      </c>
      <c r="F12979" t="s">
        <v>40235</v>
      </c>
      <c r="G12979" s="2" t="str">
        <f>HYPERLINK("https://probpalata.gov.ru/files/ИП910403891100000.jpeg","Скачать индивидуальный QR-код магазина")</f>
        <v>Скачать индивидуальный QR-код магазина</v>
      </c>
    </row>
    <row r="12980" spans="1:7" x14ac:dyDescent="0.25">
      <c r="A12980" t="s">
        <v>39583</v>
      </c>
      <c r="B12980" t="s">
        <v>40236</v>
      </c>
      <c r="C12980" t="s">
        <v>40237</v>
      </c>
      <c r="D12980" t="s">
        <v>40238</v>
      </c>
      <c r="E12980" t="s">
        <v>40239</v>
      </c>
      <c r="F12980" t="s">
        <v>40240</v>
      </c>
      <c r="G12980" s="2" t="str">
        <f>HYPERLINK("https://probpalata.gov.ru/files/ИП820403224500000.jpeg","Скачать индивидуальный QR-код магазина")</f>
        <v>Скачать индивидуальный QR-код магазина</v>
      </c>
    </row>
    <row r="12981" spans="1:7" x14ac:dyDescent="0.25">
      <c r="A12981" t="s">
        <v>39583</v>
      </c>
      <c r="B12981" t="s">
        <v>40241</v>
      </c>
      <c r="C12981" t="s">
        <v>40242</v>
      </c>
      <c r="D12981" t="s">
        <v>40243</v>
      </c>
      <c r="E12981" t="s">
        <v>40244</v>
      </c>
      <c r="F12981" t="s">
        <v>40245</v>
      </c>
      <c r="G12981" s="2" t="str">
        <f>HYPERLINK("https://probpalata.gov.ru/files/ИП820403225700000.jpeg","Скачать индивидуальный QR-код магазина")</f>
        <v>Скачать индивидуальный QR-код магазина</v>
      </c>
    </row>
    <row r="12982" spans="1:7" x14ac:dyDescent="0.25">
      <c r="A12982" t="s">
        <v>39583</v>
      </c>
      <c r="B12982" t="s">
        <v>40246</v>
      </c>
      <c r="C12982" t="s">
        <v>40247</v>
      </c>
      <c r="D12982" t="s">
        <v>40248</v>
      </c>
      <c r="E12982" t="s">
        <v>40249</v>
      </c>
      <c r="F12982" t="s">
        <v>40250</v>
      </c>
      <c r="G12982" s="2" t="str">
        <f>HYPERLINK("https://probpalata.gov.ru/files/ИП820400250700000.jpeg","Скачать индивидуальный QR-код магазина")</f>
        <v>Скачать индивидуальный QR-код магазина</v>
      </c>
    </row>
    <row r="12983" spans="1:7" x14ac:dyDescent="0.25">
      <c r="A12983" t="s">
        <v>39583</v>
      </c>
      <c r="B12983" t="s">
        <v>40251</v>
      </c>
      <c r="C12983" t="s">
        <v>40247</v>
      </c>
      <c r="D12983" t="s">
        <v>40248</v>
      </c>
      <c r="E12983" t="s">
        <v>40249</v>
      </c>
      <c r="F12983" t="s">
        <v>40252</v>
      </c>
      <c r="G12983" s="2" t="str">
        <f>HYPERLINK("https://probpalata.gov.ru/files/ИП820400250700001.jpeg","Скачать индивидуальный QR-код магазина")</f>
        <v>Скачать индивидуальный QR-код магазина</v>
      </c>
    </row>
    <row r="12984" spans="1:7" x14ac:dyDescent="0.25">
      <c r="A12984" t="s">
        <v>39583</v>
      </c>
      <c r="B12984" t="s">
        <v>40253</v>
      </c>
      <c r="C12984" t="s">
        <v>40247</v>
      </c>
      <c r="D12984" t="s">
        <v>40248</v>
      </c>
      <c r="E12984" t="s">
        <v>40249</v>
      </c>
      <c r="F12984" t="s">
        <v>40254</v>
      </c>
      <c r="G12984" s="2" t="str">
        <f>HYPERLINK("https://probpalata.gov.ru/files/ИП820400250700002.jpeg","Скачать индивидуальный QR-код магазина")</f>
        <v>Скачать индивидуальный QR-код магазина</v>
      </c>
    </row>
    <row r="12985" spans="1:7" x14ac:dyDescent="0.25">
      <c r="A12985" t="s">
        <v>39583</v>
      </c>
      <c r="B12985" t="s">
        <v>40255</v>
      </c>
      <c r="C12985" t="s">
        <v>40256</v>
      </c>
      <c r="D12985" t="s">
        <v>40257</v>
      </c>
      <c r="E12985" t="s">
        <v>40258</v>
      </c>
      <c r="F12985" t="s">
        <v>40259</v>
      </c>
      <c r="G12985" s="2" t="str">
        <f>HYPERLINK("https://probpalata.gov.ru/files/ИП820401081200000.jpeg","Скачать индивидуальный QR-код магазина")</f>
        <v>Скачать индивидуальный QR-код магазина</v>
      </c>
    </row>
    <row r="12986" spans="1:7" x14ac:dyDescent="0.25">
      <c r="A12986" t="s">
        <v>39583</v>
      </c>
      <c r="B12986" t="s">
        <v>40260</v>
      </c>
      <c r="C12986" t="s">
        <v>40256</v>
      </c>
      <c r="D12986" t="s">
        <v>40257</v>
      </c>
      <c r="E12986" t="s">
        <v>40258</v>
      </c>
      <c r="F12986" t="s">
        <v>40261</v>
      </c>
      <c r="G12986" s="2" t="str">
        <f>HYPERLINK("https://probpalata.gov.ru/files/ИП820401081200002.jpeg","Скачать индивидуальный QR-код магазина")</f>
        <v>Скачать индивидуальный QR-код магазина</v>
      </c>
    </row>
    <row r="12987" spans="1:7" x14ac:dyDescent="0.25">
      <c r="A12987" t="s">
        <v>39583</v>
      </c>
      <c r="B12987" t="s">
        <v>40262</v>
      </c>
      <c r="C12987" t="s">
        <v>40263</v>
      </c>
      <c r="D12987" t="s">
        <v>40264</v>
      </c>
      <c r="E12987" t="s">
        <v>40265</v>
      </c>
      <c r="F12987" t="s">
        <v>40266</v>
      </c>
      <c r="G12987" s="2" t="str">
        <f>HYPERLINK("https://probpalata.gov.ru/files/ИП820401080600000.jpeg","Скачать индивидуальный QR-код магазина")</f>
        <v>Скачать индивидуальный QR-код магазина</v>
      </c>
    </row>
    <row r="12988" spans="1:7" x14ac:dyDescent="0.25">
      <c r="A12988" t="s">
        <v>39583</v>
      </c>
      <c r="B12988" t="s">
        <v>40267</v>
      </c>
      <c r="C12988" t="s">
        <v>40268</v>
      </c>
      <c r="D12988" t="s">
        <v>40269</v>
      </c>
      <c r="E12988" t="s">
        <v>40270</v>
      </c>
      <c r="F12988" t="s">
        <v>40271</v>
      </c>
      <c r="G12988" s="2" t="str">
        <f>HYPERLINK("https://probpalata.gov.ru/files/ИП820400494000000.jpeg","Скачать индивидуальный QR-код магазина")</f>
        <v>Скачать индивидуальный QR-код магазина</v>
      </c>
    </row>
    <row r="12989" spans="1:7" x14ac:dyDescent="0.25">
      <c r="A12989" t="s">
        <v>39583</v>
      </c>
      <c r="B12989" t="s">
        <v>40272</v>
      </c>
      <c r="C12989" t="s">
        <v>40268</v>
      </c>
      <c r="D12989" t="s">
        <v>40269</v>
      </c>
      <c r="E12989" t="s">
        <v>40270</v>
      </c>
      <c r="F12989" t="s">
        <v>40273</v>
      </c>
      <c r="G12989" s="2" t="str">
        <f>HYPERLINK("https://probpalata.gov.ru/files/ИП820400494000001.jpeg","Скачать индивидуальный QR-код магазина")</f>
        <v>Скачать индивидуальный QR-код магазина</v>
      </c>
    </row>
    <row r="12990" spans="1:7" x14ac:dyDescent="0.25">
      <c r="A12990" t="s">
        <v>39583</v>
      </c>
      <c r="B12990" t="s">
        <v>39602</v>
      </c>
      <c r="C12990" t="s">
        <v>40274</v>
      </c>
      <c r="D12990" t="s">
        <v>40275</v>
      </c>
      <c r="E12990" t="s">
        <v>40276</v>
      </c>
      <c r="F12990" t="s">
        <v>40277</v>
      </c>
      <c r="G12990" s="2" t="str">
        <f>HYPERLINK("https://probpalata.gov.ru/files/ИП820400607000000.jpeg","Скачать индивидуальный QR-код магазина")</f>
        <v>Скачать индивидуальный QR-код магазина</v>
      </c>
    </row>
    <row r="12991" spans="1:7" x14ac:dyDescent="0.25">
      <c r="A12991" t="s">
        <v>39583</v>
      </c>
      <c r="B12991" t="s">
        <v>40278</v>
      </c>
      <c r="C12991" t="s">
        <v>40279</v>
      </c>
      <c r="D12991" t="s">
        <v>40280</v>
      </c>
      <c r="E12991" t="s">
        <v>40281</v>
      </c>
      <c r="F12991" t="s">
        <v>40282</v>
      </c>
      <c r="G12991" s="2" t="str">
        <f>HYPERLINK("https://probpalata.gov.ru/files/ИП820401685100000.jpeg","Скачать индивидуальный QR-код магазина")</f>
        <v>Скачать индивидуальный QR-код магазина</v>
      </c>
    </row>
    <row r="12992" spans="1:7" x14ac:dyDescent="0.25">
      <c r="A12992" t="s">
        <v>39583</v>
      </c>
      <c r="B12992" t="s">
        <v>40283</v>
      </c>
      <c r="C12992" t="s">
        <v>40284</v>
      </c>
      <c r="D12992" t="s">
        <v>40285</v>
      </c>
      <c r="E12992" t="s">
        <v>40286</v>
      </c>
      <c r="F12992" t="s">
        <v>40287</v>
      </c>
      <c r="G12992" s="2" t="str">
        <f>HYPERLINK("https://probpalata.gov.ru/files/ИП820401433700000.jpeg","Скачать индивидуальный QR-код магазина")</f>
        <v>Скачать индивидуальный QR-код магазина</v>
      </c>
    </row>
    <row r="12993" spans="1:7" x14ac:dyDescent="0.25">
      <c r="A12993" t="s">
        <v>39583</v>
      </c>
      <c r="B12993" t="s">
        <v>40288</v>
      </c>
      <c r="C12993" t="s">
        <v>40284</v>
      </c>
      <c r="D12993" t="s">
        <v>40285</v>
      </c>
      <c r="E12993" t="s">
        <v>40286</v>
      </c>
      <c r="F12993" t="s">
        <v>40289</v>
      </c>
      <c r="G12993" s="2" t="str">
        <f>HYPERLINK("https://probpalata.gov.ru/files/ИП820401433700003.jpeg","Скачать индивидуальный QR-код магазина")</f>
        <v>Скачать индивидуальный QR-код магазина</v>
      </c>
    </row>
    <row r="12994" spans="1:7" x14ac:dyDescent="0.25">
      <c r="A12994" t="s">
        <v>39583</v>
      </c>
      <c r="B12994" t="s">
        <v>40290</v>
      </c>
      <c r="C12994" t="s">
        <v>40291</v>
      </c>
      <c r="D12994" t="s">
        <v>40292</v>
      </c>
      <c r="E12994" t="s">
        <v>40293</v>
      </c>
      <c r="F12994" t="s">
        <v>40294</v>
      </c>
      <c r="G12994" s="2" t="str">
        <f>HYPERLINK("https://probpalata.gov.ru/files/ИП820400460300000.jpeg","Скачать индивидуальный QR-код магазина")</f>
        <v>Скачать индивидуальный QR-код магазина</v>
      </c>
    </row>
    <row r="12995" spans="1:7" x14ac:dyDescent="0.25">
      <c r="A12995" t="s">
        <v>39583</v>
      </c>
      <c r="B12995" t="s">
        <v>40295</v>
      </c>
      <c r="C12995" t="s">
        <v>40296</v>
      </c>
      <c r="D12995" t="s">
        <v>40297</v>
      </c>
      <c r="E12995" t="s">
        <v>40298</v>
      </c>
      <c r="F12995" t="s">
        <v>40299</v>
      </c>
      <c r="G12995" s="2" t="str">
        <f>HYPERLINK("https://probpalata.gov.ru/files/ИП820400539700000.jpeg","Скачать индивидуальный QR-код магазина")</f>
        <v>Скачать индивидуальный QR-код магазина</v>
      </c>
    </row>
    <row r="12996" spans="1:7" x14ac:dyDescent="0.25">
      <c r="A12996" t="s">
        <v>39583</v>
      </c>
      <c r="B12996" t="s">
        <v>40300</v>
      </c>
      <c r="C12996" t="s">
        <v>40296</v>
      </c>
      <c r="D12996" t="s">
        <v>40297</v>
      </c>
      <c r="E12996" t="s">
        <v>40298</v>
      </c>
      <c r="F12996" t="s">
        <v>40301</v>
      </c>
      <c r="G12996" s="2" t="str">
        <f>HYPERLINK("https://probpalata.gov.ru/files/ИП820400539700001.jpeg","Скачать индивидуальный QR-код магазина")</f>
        <v>Скачать индивидуальный QR-код магазина</v>
      </c>
    </row>
    <row r="12997" spans="1:7" x14ac:dyDescent="0.25">
      <c r="A12997" t="s">
        <v>39583</v>
      </c>
      <c r="B12997" t="s">
        <v>40302</v>
      </c>
      <c r="C12997" t="s">
        <v>40296</v>
      </c>
      <c r="D12997" t="s">
        <v>40297</v>
      </c>
      <c r="E12997" t="s">
        <v>40298</v>
      </c>
      <c r="F12997" t="s">
        <v>40303</v>
      </c>
      <c r="G12997" s="2" t="str">
        <f>HYPERLINK("https://probpalata.gov.ru/files/ИП820400539700002.jpeg","Скачать индивидуальный QR-код магазина")</f>
        <v>Скачать индивидуальный QR-код магазина</v>
      </c>
    </row>
    <row r="12998" spans="1:7" x14ac:dyDescent="0.25">
      <c r="A12998" t="s">
        <v>39583</v>
      </c>
      <c r="B12998" t="s">
        <v>40304</v>
      </c>
      <c r="C12998" t="s">
        <v>40296</v>
      </c>
      <c r="D12998" t="s">
        <v>40297</v>
      </c>
      <c r="E12998" t="s">
        <v>40298</v>
      </c>
      <c r="F12998" t="s">
        <v>40305</v>
      </c>
      <c r="G12998" s="2" t="str">
        <f>HYPERLINK("https://probpalata.gov.ru/files/ИП820400539700003.jpeg","Скачать индивидуальный QR-код магазина")</f>
        <v>Скачать индивидуальный QR-код магазина</v>
      </c>
    </row>
    <row r="12999" spans="1:7" x14ac:dyDescent="0.25">
      <c r="A12999" t="s">
        <v>39583</v>
      </c>
      <c r="B12999" t="s">
        <v>40306</v>
      </c>
      <c r="C12999" t="s">
        <v>40307</v>
      </c>
      <c r="D12999" t="s">
        <v>40308</v>
      </c>
      <c r="E12999" t="s">
        <v>40309</v>
      </c>
      <c r="F12999" t="s">
        <v>40310</v>
      </c>
      <c r="G12999" s="2" t="str">
        <f>HYPERLINK("https://probpalata.gov.ru/files/ИП820400472600000.jpeg","Скачать индивидуальный QR-код магазина")</f>
        <v>Скачать индивидуальный QR-код магазина</v>
      </c>
    </row>
    <row r="13000" spans="1:7" x14ac:dyDescent="0.25">
      <c r="A13000" t="s">
        <v>39583</v>
      </c>
      <c r="B13000" t="s">
        <v>40311</v>
      </c>
      <c r="C13000" t="s">
        <v>40307</v>
      </c>
      <c r="D13000" t="s">
        <v>40308</v>
      </c>
      <c r="E13000" t="s">
        <v>40309</v>
      </c>
      <c r="F13000" t="s">
        <v>40312</v>
      </c>
      <c r="G13000" s="2" t="str">
        <f>HYPERLINK("https://probpalata.gov.ru/files/ИП820400472600001.jpeg","Скачать индивидуальный QR-код магазина")</f>
        <v>Скачать индивидуальный QR-код магазина</v>
      </c>
    </row>
    <row r="13001" spans="1:7" x14ac:dyDescent="0.25">
      <c r="A13001" t="s">
        <v>39583</v>
      </c>
      <c r="B13001" t="s">
        <v>40313</v>
      </c>
      <c r="C13001" t="s">
        <v>40314</v>
      </c>
      <c r="D13001" t="s">
        <v>40315</v>
      </c>
      <c r="E13001" t="s">
        <v>40316</v>
      </c>
      <c r="F13001" t="s">
        <v>40317</v>
      </c>
      <c r="G13001" s="2" t="str">
        <f>HYPERLINK("https://probpalata.gov.ru/files/ИП820400995400000.jpeg","Скачать индивидуальный QR-код магазина")</f>
        <v>Скачать индивидуальный QR-код магазина</v>
      </c>
    </row>
    <row r="13002" spans="1:7" x14ac:dyDescent="0.25">
      <c r="A13002" t="s">
        <v>39583</v>
      </c>
      <c r="B13002" t="s">
        <v>40318</v>
      </c>
      <c r="C13002" t="s">
        <v>40319</v>
      </c>
      <c r="D13002" t="s">
        <v>40320</v>
      </c>
      <c r="E13002" t="s">
        <v>40321</v>
      </c>
      <c r="F13002" t="s">
        <v>40322</v>
      </c>
      <c r="G13002" s="2" t="str">
        <f>HYPERLINK("https://probpalata.gov.ru/files/ИП820401509500001.jpeg","Скачать индивидуальный QR-код магазина")</f>
        <v>Скачать индивидуальный QR-код магазина</v>
      </c>
    </row>
    <row r="13003" spans="1:7" x14ac:dyDescent="0.25">
      <c r="A13003" t="s">
        <v>39583</v>
      </c>
      <c r="B13003" t="s">
        <v>40323</v>
      </c>
      <c r="C13003" t="s">
        <v>40319</v>
      </c>
      <c r="D13003" t="s">
        <v>40320</v>
      </c>
      <c r="E13003" t="s">
        <v>40321</v>
      </c>
      <c r="F13003" t="s">
        <v>40324</v>
      </c>
      <c r="G13003" s="2" t="str">
        <f>HYPERLINK("https://probpalata.gov.ru/files/ИП820401509500004.jpeg","Скачать индивидуальный QR-код магазина")</f>
        <v>Скачать индивидуальный QR-код магазина</v>
      </c>
    </row>
    <row r="13004" spans="1:7" x14ac:dyDescent="0.25">
      <c r="A13004" t="s">
        <v>39583</v>
      </c>
      <c r="B13004" t="s">
        <v>39602</v>
      </c>
      <c r="C13004" t="s">
        <v>40325</v>
      </c>
      <c r="D13004" t="s">
        <v>40326</v>
      </c>
      <c r="E13004" t="s">
        <v>40327</v>
      </c>
      <c r="F13004" t="s">
        <v>40328</v>
      </c>
      <c r="G13004" s="2" t="str">
        <f>HYPERLINK("https://probpalata.gov.ru/files/ИП820400975400000.jpeg","Скачать индивидуальный QR-код магазина")</f>
        <v>Скачать индивидуальный QR-код магазина</v>
      </c>
    </row>
    <row r="13005" spans="1:7" x14ac:dyDescent="0.25">
      <c r="A13005" t="s">
        <v>39583</v>
      </c>
      <c r="B13005" t="s">
        <v>40329</v>
      </c>
      <c r="C13005" t="s">
        <v>40325</v>
      </c>
      <c r="D13005" t="s">
        <v>40326</v>
      </c>
      <c r="E13005" t="s">
        <v>40327</v>
      </c>
      <c r="F13005" t="s">
        <v>40330</v>
      </c>
      <c r="G13005" s="2" t="str">
        <f>HYPERLINK("https://probpalata.gov.ru/files/ИП820400975400001.jpeg","Скачать индивидуальный QR-код магазина")</f>
        <v>Скачать индивидуальный QR-код магазина</v>
      </c>
    </row>
    <row r="13006" spans="1:7" x14ac:dyDescent="0.25">
      <c r="A13006" t="s">
        <v>39583</v>
      </c>
      <c r="B13006" t="s">
        <v>40331</v>
      </c>
      <c r="C13006" t="s">
        <v>40332</v>
      </c>
      <c r="D13006" t="s">
        <v>40333</v>
      </c>
      <c r="E13006" t="s">
        <v>40334</v>
      </c>
      <c r="F13006" t="s">
        <v>40335</v>
      </c>
      <c r="G13006" s="2" t="str">
        <f>HYPERLINK("https://probpalata.gov.ru/files/ИП820400889600000.jpeg","Скачать индивидуальный QR-код магазина")</f>
        <v>Скачать индивидуальный QR-код магазина</v>
      </c>
    </row>
    <row r="13007" spans="1:7" x14ac:dyDescent="0.25">
      <c r="A13007" t="s">
        <v>39583</v>
      </c>
      <c r="B13007" t="s">
        <v>40336</v>
      </c>
      <c r="C13007" t="s">
        <v>40337</v>
      </c>
      <c r="D13007" t="s">
        <v>40338</v>
      </c>
      <c r="E13007" t="s">
        <v>40339</v>
      </c>
      <c r="F13007" t="s">
        <v>40340</v>
      </c>
      <c r="G13007" s="2" t="str">
        <f>HYPERLINK("https://probpalata.gov.ru/files/ЮЛ820400770800000.jpeg","Скачать индивидуальный QR-код магазина")</f>
        <v>Скачать индивидуальный QR-код магазина</v>
      </c>
    </row>
    <row r="13008" spans="1:7" x14ac:dyDescent="0.25">
      <c r="A13008" t="s">
        <v>39583</v>
      </c>
      <c r="B13008" t="s">
        <v>40341</v>
      </c>
      <c r="C13008" t="s">
        <v>40342</v>
      </c>
      <c r="D13008" t="s">
        <v>40343</v>
      </c>
      <c r="E13008" t="s">
        <v>40344</v>
      </c>
      <c r="F13008" t="s">
        <v>40345</v>
      </c>
      <c r="G13008" s="2" t="str">
        <f>HYPERLINK("https://probpalata.gov.ru/files/ИП820400416600000.jpeg","Скачать индивидуальный QR-код магазина")</f>
        <v>Скачать индивидуальный QR-код магазина</v>
      </c>
    </row>
    <row r="13009" spans="1:7" x14ac:dyDescent="0.25">
      <c r="A13009" t="s">
        <v>39583</v>
      </c>
      <c r="B13009" t="s">
        <v>40346</v>
      </c>
      <c r="C13009" t="s">
        <v>40342</v>
      </c>
      <c r="D13009" t="s">
        <v>40343</v>
      </c>
      <c r="E13009" t="s">
        <v>40344</v>
      </c>
      <c r="F13009" t="s">
        <v>40347</v>
      </c>
      <c r="G13009" s="2" t="str">
        <f>HYPERLINK("https://probpalata.gov.ru/files/ИП820400416600001.jpeg","Скачать индивидуальный QR-код магазина")</f>
        <v>Скачать индивидуальный QR-код магазина</v>
      </c>
    </row>
    <row r="13010" spans="1:7" x14ac:dyDescent="0.25">
      <c r="A13010" t="s">
        <v>39583</v>
      </c>
      <c r="B13010" t="s">
        <v>40348</v>
      </c>
      <c r="C13010" t="s">
        <v>40342</v>
      </c>
      <c r="D13010" t="s">
        <v>40343</v>
      </c>
      <c r="E13010" t="s">
        <v>40344</v>
      </c>
      <c r="F13010" t="s">
        <v>40349</v>
      </c>
      <c r="G13010" s="2" t="str">
        <f>HYPERLINK("https://probpalata.gov.ru/files/ИП820400416600002.jpeg","Скачать индивидуальный QR-код магазина")</f>
        <v>Скачать индивидуальный QR-код магазина</v>
      </c>
    </row>
    <row r="13011" spans="1:7" x14ac:dyDescent="0.25">
      <c r="A13011" t="s">
        <v>39583</v>
      </c>
      <c r="B13011" t="s">
        <v>40350</v>
      </c>
      <c r="C13011" t="s">
        <v>40342</v>
      </c>
      <c r="D13011" t="s">
        <v>40343</v>
      </c>
      <c r="E13011" t="s">
        <v>40344</v>
      </c>
      <c r="F13011" t="s">
        <v>40351</v>
      </c>
      <c r="G13011" s="2" t="str">
        <f>HYPERLINK("https://probpalata.gov.ru/files/ИП820400416600005.jpeg","Скачать индивидуальный QR-код магазина")</f>
        <v>Скачать индивидуальный QR-код магазина</v>
      </c>
    </row>
    <row r="13012" spans="1:7" x14ac:dyDescent="0.25">
      <c r="A13012" t="s">
        <v>39583</v>
      </c>
      <c r="B13012" t="s">
        <v>40352</v>
      </c>
      <c r="C13012" t="s">
        <v>40353</v>
      </c>
      <c r="D13012" t="s">
        <v>40354</v>
      </c>
      <c r="E13012" t="s">
        <v>40355</v>
      </c>
      <c r="F13012" t="s">
        <v>40356</v>
      </c>
      <c r="G13012" s="2" t="str">
        <f>HYPERLINK("https://probpalata.gov.ru/files/ИП820400115900000.jpeg","Скачать индивидуальный QR-код магазина")</f>
        <v>Скачать индивидуальный QR-код магазина</v>
      </c>
    </row>
    <row r="13013" spans="1:7" x14ac:dyDescent="0.25">
      <c r="A13013" t="s">
        <v>39583</v>
      </c>
      <c r="B13013" t="s">
        <v>40357</v>
      </c>
      <c r="C13013" t="s">
        <v>40358</v>
      </c>
      <c r="D13013" t="s">
        <v>40359</v>
      </c>
      <c r="E13013" t="s">
        <v>40360</v>
      </c>
      <c r="F13013" t="s">
        <v>40361</v>
      </c>
      <c r="G13013" s="2" t="str">
        <f>HYPERLINK("https://probpalata.gov.ru/files/ИП820400076300000.jpeg","Скачать индивидуальный QR-код магазина")</f>
        <v>Скачать индивидуальный QR-код магазина</v>
      </c>
    </row>
    <row r="13014" spans="1:7" x14ac:dyDescent="0.25">
      <c r="A13014" t="s">
        <v>39583</v>
      </c>
      <c r="B13014" t="s">
        <v>40362</v>
      </c>
      <c r="C13014" t="s">
        <v>40358</v>
      </c>
      <c r="D13014" t="s">
        <v>40359</v>
      </c>
      <c r="E13014" t="s">
        <v>40360</v>
      </c>
      <c r="F13014" t="s">
        <v>40363</v>
      </c>
      <c r="G13014" s="2" t="str">
        <f>HYPERLINK("https://probpalata.gov.ru/files/ИП820400076300001.jpeg","Скачать индивидуальный QR-код магазина")</f>
        <v>Скачать индивидуальный QR-код магазина</v>
      </c>
    </row>
    <row r="13015" spans="1:7" x14ac:dyDescent="0.25">
      <c r="A13015" t="s">
        <v>39583</v>
      </c>
      <c r="B13015" t="s">
        <v>40364</v>
      </c>
      <c r="C13015" t="s">
        <v>40358</v>
      </c>
      <c r="D13015" t="s">
        <v>40359</v>
      </c>
      <c r="E13015" t="s">
        <v>40360</v>
      </c>
      <c r="F13015" t="s">
        <v>40365</v>
      </c>
      <c r="G13015" s="2" t="str">
        <f>HYPERLINK("https://probpalata.gov.ru/files/ИП820400076300003.jpeg","Скачать индивидуальный QR-код магазина")</f>
        <v>Скачать индивидуальный QR-код магазина</v>
      </c>
    </row>
    <row r="13016" spans="1:7" x14ac:dyDescent="0.25">
      <c r="A13016" t="s">
        <v>39583</v>
      </c>
      <c r="B13016" t="s">
        <v>39602</v>
      </c>
      <c r="C13016" t="s">
        <v>40366</v>
      </c>
      <c r="D13016" t="s">
        <v>40367</v>
      </c>
      <c r="E13016" t="s">
        <v>40368</v>
      </c>
      <c r="F13016" t="s">
        <v>40369</v>
      </c>
      <c r="G13016" s="2" t="str">
        <f>HYPERLINK("https://probpalata.gov.ru/files/ИП820400367500000.jpeg","Скачать индивидуальный QR-код магазина")</f>
        <v>Скачать индивидуальный QR-код магазина</v>
      </c>
    </row>
    <row r="13017" spans="1:7" x14ac:dyDescent="0.25">
      <c r="A13017" t="s">
        <v>39583</v>
      </c>
      <c r="B13017" t="s">
        <v>40370</v>
      </c>
      <c r="C13017" t="s">
        <v>40371</v>
      </c>
      <c r="D13017" t="s">
        <v>40372</v>
      </c>
      <c r="E13017" t="s">
        <v>40373</v>
      </c>
      <c r="F13017" t="s">
        <v>40374</v>
      </c>
      <c r="G13017" s="2" t="str">
        <f>HYPERLINK("https://probpalata.gov.ru/files/ИП820400316300000.jpeg","Скачать индивидуальный QR-код магазина")</f>
        <v>Скачать индивидуальный QR-код магазина</v>
      </c>
    </row>
    <row r="13018" spans="1:7" x14ac:dyDescent="0.25">
      <c r="A13018" t="s">
        <v>39583</v>
      </c>
      <c r="B13018" t="s">
        <v>40375</v>
      </c>
      <c r="C13018" t="s">
        <v>40376</v>
      </c>
      <c r="D13018" t="s">
        <v>40377</v>
      </c>
      <c r="E13018" t="s">
        <v>40378</v>
      </c>
      <c r="F13018" t="s">
        <v>40379</v>
      </c>
      <c r="G13018" s="2" t="str">
        <f>HYPERLINK("https://probpalata.gov.ru/files/ИП820400983500000.jpeg","Скачать индивидуальный QR-код магазина")</f>
        <v>Скачать индивидуальный QR-код магазина</v>
      </c>
    </row>
    <row r="13019" spans="1:7" x14ac:dyDescent="0.25">
      <c r="A13019" t="s">
        <v>39583</v>
      </c>
      <c r="B13019" t="s">
        <v>40380</v>
      </c>
      <c r="C13019" t="s">
        <v>40381</v>
      </c>
      <c r="D13019" t="s">
        <v>40382</v>
      </c>
      <c r="E13019" t="s">
        <v>40383</v>
      </c>
      <c r="F13019" t="s">
        <v>40384</v>
      </c>
      <c r="G13019" s="2" t="str">
        <f>HYPERLINK("https://probpalata.gov.ru/files/ИП820400476300000.jpeg","Скачать индивидуальный QR-код магазина")</f>
        <v>Скачать индивидуальный QR-код магазина</v>
      </c>
    </row>
    <row r="13020" spans="1:7" x14ac:dyDescent="0.25">
      <c r="A13020" t="s">
        <v>39583</v>
      </c>
      <c r="B13020" t="s">
        <v>40385</v>
      </c>
      <c r="C13020" t="s">
        <v>40386</v>
      </c>
      <c r="D13020" t="s">
        <v>40387</v>
      </c>
      <c r="E13020" t="s">
        <v>40388</v>
      </c>
      <c r="F13020" t="s">
        <v>40389</v>
      </c>
      <c r="G13020" s="2" t="str">
        <f>HYPERLINK("https://probpalata.gov.ru/files/ИП820400047700000.jpeg","Скачать индивидуальный QR-код магазина")</f>
        <v>Скачать индивидуальный QR-код магазина</v>
      </c>
    </row>
    <row r="13021" spans="1:7" x14ac:dyDescent="0.25">
      <c r="A13021" t="s">
        <v>39583</v>
      </c>
      <c r="B13021" t="s">
        <v>40390</v>
      </c>
      <c r="C13021" t="s">
        <v>40391</v>
      </c>
      <c r="D13021" t="s">
        <v>40392</v>
      </c>
      <c r="E13021" t="s">
        <v>40393</v>
      </c>
      <c r="F13021" t="s">
        <v>40394</v>
      </c>
      <c r="G13021" s="2" t="str">
        <f>HYPERLINK("https://probpalata.gov.ru/files/ИП820403397600000.jpeg","Скачать индивидуальный QR-код магазина")</f>
        <v>Скачать индивидуальный QR-код магазина</v>
      </c>
    </row>
    <row r="13022" spans="1:7" x14ac:dyDescent="0.25">
      <c r="A13022" t="s">
        <v>39583</v>
      </c>
      <c r="B13022" t="s">
        <v>40395</v>
      </c>
      <c r="C13022" t="s">
        <v>40391</v>
      </c>
      <c r="D13022" t="s">
        <v>40392</v>
      </c>
      <c r="E13022" t="s">
        <v>40393</v>
      </c>
      <c r="F13022" t="s">
        <v>40396</v>
      </c>
      <c r="G13022" s="2" t="str">
        <f>HYPERLINK("https://probpalata.gov.ru/files/ИП820403397600001.jpeg","Скачать индивидуальный QR-код магазина")</f>
        <v>Скачать индивидуальный QR-код магазина</v>
      </c>
    </row>
    <row r="13023" spans="1:7" x14ac:dyDescent="0.25">
      <c r="A13023" t="s">
        <v>39583</v>
      </c>
      <c r="B13023" t="s">
        <v>40397</v>
      </c>
      <c r="C13023" t="s">
        <v>40391</v>
      </c>
      <c r="D13023" t="s">
        <v>40392</v>
      </c>
      <c r="E13023" t="s">
        <v>40393</v>
      </c>
      <c r="F13023" t="s">
        <v>40398</v>
      </c>
      <c r="G13023" s="2" t="str">
        <f>HYPERLINK("https://probpalata.gov.ru/files/ИП820403397600002.jpeg","Скачать индивидуальный QR-код магазина")</f>
        <v>Скачать индивидуальный QR-код магазина</v>
      </c>
    </row>
    <row r="13024" spans="1:7" x14ac:dyDescent="0.25">
      <c r="A13024" t="s">
        <v>39583</v>
      </c>
      <c r="B13024" t="s">
        <v>40399</v>
      </c>
      <c r="C13024" t="s">
        <v>40391</v>
      </c>
      <c r="D13024" t="s">
        <v>40392</v>
      </c>
      <c r="E13024" t="s">
        <v>40393</v>
      </c>
      <c r="F13024" t="s">
        <v>40400</v>
      </c>
      <c r="G13024" s="2" t="str">
        <f>HYPERLINK("https://probpalata.gov.ru/files/ИП820403397600003.jpeg","Скачать индивидуальный QR-код магазина")</f>
        <v>Скачать индивидуальный QR-код магазина</v>
      </c>
    </row>
    <row r="13025" spans="1:7" x14ac:dyDescent="0.25">
      <c r="A13025" t="s">
        <v>39583</v>
      </c>
      <c r="B13025" t="s">
        <v>40401</v>
      </c>
      <c r="C13025" t="s">
        <v>40391</v>
      </c>
      <c r="D13025" t="s">
        <v>40392</v>
      </c>
      <c r="E13025" t="s">
        <v>40393</v>
      </c>
      <c r="F13025" t="s">
        <v>40402</v>
      </c>
      <c r="G13025" s="2" t="str">
        <f>HYPERLINK("https://probpalata.gov.ru/files/ИП820403397600004.jpeg","Скачать индивидуальный QR-код магазина")</f>
        <v>Скачать индивидуальный QR-код магазина</v>
      </c>
    </row>
    <row r="13026" spans="1:7" x14ac:dyDescent="0.25">
      <c r="A13026" t="s">
        <v>39583</v>
      </c>
      <c r="B13026" t="s">
        <v>40403</v>
      </c>
      <c r="C13026" t="s">
        <v>40391</v>
      </c>
      <c r="D13026" t="s">
        <v>40392</v>
      </c>
      <c r="E13026" t="s">
        <v>40393</v>
      </c>
      <c r="F13026" t="s">
        <v>40404</v>
      </c>
      <c r="G13026" s="2" t="str">
        <f>HYPERLINK("https://probpalata.gov.ru/files/ИП820403397600005.jpeg","Скачать индивидуальный QR-код магазина")</f>
        <v>Скачать индивидуальный QR-код магазина</v>
      </c>
    </row>
    <row r="13027" spans="1:7" x14ac:dyDescent="0.25">
      <c r="A13027" t="s">
        <v>39583</v>
      </c>
      <c r="B13027" t="s">
        <v>40405</v>
      </c>
      <c r="C13027" t="s">
        <v>40391</v>
      </c>
      <c r="D13027" t="s">
        <v>40392</v>
      </c>
      <c r="E13027" t="s">
        <v>40393</v>
      </c>
      <c r="F13027" t="s">
        <v>40406</v>
      </c>
      <c r="G13027" s="2" t="str">
        <f>HYPERLINK("https://probpalata.gov.ru/files/ИП820403397600006.jpeg","Скачать индивидуальный QR-код магазина")</f>
        <v>Скачать индивидуальный QR-код магазина</v>
      </c>
    </row>
    <row r="13028" spans="1:7" x14ac:dyDescent="0.25">
      <c r="A13028" t="s">
        <v>39583</v>
      </c>
      <c r="B13028" t="s">
        <v>40407</v>
      </c>
      <c r="C13028" t="s">
        <v>40408</v>
      </c>
      <c r="D13028" t="s">
        <v>40409</v>
      </c>
      <c r="E13028" t="s">
        <v>40410</v>
      </c>
      <c r="F13028" t="s">
        <v>40411</v>
      </c>
      <c r="G13028" s="2" t="str">
        <f>HYPERLINK("https://probpalata.gov.ru/files/ИП820403290000000.jpeg","Скачать индивидуальный QR-код магазина")</f>
        <v>Скачать индивидуальный QR-код магазина</v>
      </c>
    </row>
    <row r="13029" spans="1:7" x14ac:dyDescent="0.25">
      <c r="A13029" t="s">
        <v>39583</v>
      </c>
      <c r="B13029" t="s">
        <v>39910</v>
      </c>
      <c r="C13029" t="s">
        <v>40408</v>
      </c>
      <c r="D13029" t="s">
        <v>40409</v>
      </c>
      <c r="E13029" t="s">
        <v>40410</v>
      </c>
      <c r="F13029" t="s">
        <v>40412</v>
      </c>
      <c r="G13029" s="2" t="str">
        <f>HYPERLINK("https://probpalata.gov.ru/files/ИП820403290000005.jpeg","Скачать индивидуальный QR-код магазина")</f>
        <v>Скачать индивидуальный QR-код магазина</v>
      </c>
    </row>
    <row r="13030" spans="1:7" x14ac:dyDescent="0.25">
      <c r="A13030" t="s">
        <v>39583</v>
      </c>
      <c r="B13030" t="s">
        <v>40413</v>
      </c>
      <c r="C13030" t="s">
        <v>40408</v>
      </c>
      <c r="D13030" t="s">
        <v>40409</v>
      </c>
      <c r="E13030" t="s">
        <v>40410</v>
      </c>
      <c r="F13030" t="s">
        <v>40414</v>
      </c>
      <c r="G13030" s="2" t="str">
        <f>HYPERLINK("https://probpalata.gov.ru/files/ИП820403290000006.jpeg","Скачать индивидуальный QR-код магазина")</f>
        <v>Скачать индивидуальный QR-код магазина</v>
      </c>
    </row>
    <row r="13031" spans="1:7" x14ac:dyDescent="0.25">
      <c r="A13031" t="s">
        <v>39583</v>
      </c>
      <c r="B13031" t="s">
        <v>40415</v>
      </c>
      <c r="C13031" t="s">
        <v>40408</v>
      </c>
      <c r="D13031" t="s">
        <v>40409</v>
      </c>
      <c r="E13031" t="s">
        <v>40410</v>
      </c>
      <c r="F13031" t="s">
        <v>40416</v>
      </c>
      <c r="G13031" s="2" t="str">
        <f>HYPERLINK("https://probpalata.gov.ru/files/ИП820403290000008.jpeg","Скачать индивидуальный QR-код магазина")</f>
        <v>Скачать индивидуальный QR-код магазина</v>
      </c>
    </row>
    <row r="13032" spans="1:7" x14ac:dyDescent="0.25">
      <c r="A13032" t="s">
        <v>39583</v>
      </c>
      <c r="B13032" t="s">
        <v>40417</v>
      </c>
      <c r="C13032" t="s">
        <v>40408</v>
      </c>
      <c r="D13032" t="s">
        <v>40409</v>
      </c>
      <c r="E13032" t="s">
        <v>40410</v>
      </c>
      <c r="F13032" t="s">
        <v>40418</v>
      </c>
      <c r="G13032" s="2" t="str">
        <f>HYPERLINK("https://probpalata.gov.ru/files/ИП820403290000009.jpeg","Скачать индивидуальный QR-код магазина")</f>
        <v>Скачать индивидуальный QR-код магазина</v>
      </c>
    </row>
    <row r="13033" spans="1:7" x14ac:dyDescent="0.25">
      <c r="A13033" t="s">
        <v>39583</v>
      </c>
      <c r="B13033" t="s">
        <v>40419</v>
      </c>
      <c r="C13033" t="s">
        <v>40408</v>
      </c>
      <c r="D13033" t="s">
        <v>40409</v>
      </c>
      <c r="E13033" t="s">
        <v>40410</v>
      </c>
      <c r="F13033" t="s">
        <v>40420</v>
      </c>
      <c r="G13033" s="2" t="str">
        <f>HYPERLINK("https://probpalata.gov.ru/files/ИП820403290000010.jpeg","Скачать индивидуальный QR-код магазина")</f>
        <v>Скачать индивидуальный QR-код магазина</v>
      </c>
    </row>
    <row r="13034" spans="1:7" x14ac:dyDescent="0.25">
      <c r="A13034" t="s">
        <v>39583</v>
      </c>
      <c r="B13034" t="s">
        <v>40421</v>
      </c>
      <c r="C13034" t="s">
        <v>40422</v>
      </c>
      <c r="D13034" t="s">
        <v>40423</v>
      </c>
      <c r="E13034" t="s">
        <v>40424</v>
      </c>
      <c r="F13034" t="s">
        <v>40425</v>
      </c>
      <c r="G13034" s="2" t="str">
        <f>HYPERLINK("https://probpalata.gov.ru/files/ИП910403640700000.jpeg","Скачать индивидуальный QR-код магазина")</f>
        <v>Скачать индивидуальный QR-код магазина</v>
      </c>
    </row>
    <row r="13035" spans="1:7" x14ac:dyDescent="0.25">
      <c r="A13035" t="s">
        <v>39583</v>
      </c>
      <c r="B13035" t="s">
        <v>40426</v>
      </c>
      <c r="C13035" t="s">
        <v>40422</v>
      </c>
      <c r="D13035" t="s">
        <v>40423</v>
      </c>
      <c r="E13035" t="s">
        <v>40424</v>
      </c>
      <c r="F13035" t="s">
        <v>40427</v>
      </c>
      <c r="G13035" s="2" t="str">
        <f>HYPERLINK("https://probpalata.gov.ru/files/ИП910403640700001.jpeg","Скачать индивидуальный QR-код магазина")</f>
        <v>Скачать индивидуальный QR-код магазина</v>
      </c>
    </row>
    <row r="13036" spans="1:7" x14ac:dyDescent="0.25">
      <c r="A13036" t="s">
        <v>39583</v>
      </c>
      <c r="B13036" t="s">
        <v>40428</v>
      </c>
      <c r="C13036" t="s">
        <v>40422</v>
      </c>
      <c r="D13036" t="s">
        <v>40423</v>
      </c>
      <c r="E13036" t="s">
        <v>40424</v>
      </c>
      <c r="F13036" t="s">
        <v>40429</v>
      </c>
      <c r="G13036" s="2" t="str">
        <f>HYPERLINK("https://probpalata.gov.ru/files/ИП910403640700002.jpeg","Скачать индивидуальный QR-код магазина")</f>
        <v>Скачать индивидуальный QR-код магазина</v>
      </c>
    </row>
    <row r="13037" spans="1:7" x14ac:dyDescent="0.25">
      <c r="A13037" t="s">
        <v>39583</v>
      </c>
      <c r="B13037" t="s">
        <v>40430</v>
      </c>
      <c r="C13037" t="s">
        <v>40431</v>
      </c>
      <c r="D13037" t="s">
        <v>40432</v>
      </c>
      <c r="E13037" t="s">
        <v>40433</v>
      </c>
      <c r="F13037" t="s">
        <v>40434</v>
      </c>
      <c r="G13037" s="2" t="str">
        <f>HYPERLINK("https://probpalata.gov.ru/files/ИП820401073700000.jpeg","Скачать индивидуальный QR-код магазина")</f>
        <v>Скачать индивидуальный QR-код магазина</v>
      </c>
    </row>
    <row r="13038" spans="1:7" x14ac:dyDescent="0.25">
      <c r="A13038" t="s">
        <v>39583</v>
      </c>
      <c r="B13038" t="s">
        <v>40435</v>
      </c>
      <c r="C13038" t="s">
        <v>40436</v>
      </c>
      <c r="D13038" t="s">
        <v>40437</v>
      </c>
      <c r="E13038" t="s">
        <v>40438</v>
      </c>
      <c r="F13038" t="s">
        <v>40439</v>
      </c>
      <c r="G13038" s="2" t="str">
        <f>HYPERLINK("https://probpalata.gov.ru/files/ИП820401531000000.jpeg","Скачать индивидуальный QR-код магазина")</f>
        <v>Скачать индивидуальный QR-код магазина</v>
      </c>
    </row>
    <row r="13039" spans="1:7" x14ac:dyDescent="0.25">
      <c r="A13039" t="s">
        <v>39583</v>
      </c>
      <c r="B13039" t="s">
        <v>40440</v>
      </c>
      <c r="C13039" t="s">
        <v>40436</v>
      </c>
      <c r="D13039" t="s">
        <v>40437</v>
      </c>
      <c r="E13039" t="s">
        <v>40438</v>
      </c>
      <c r="F13039" t="s">
        <v>40441</v>
      </c>
      <c r="G13039" s="2" t="str">
        <f>HYPERLINK("https://probpalata.gov.ru/files/ИП820401531000003.jpeg","Скачать индивидуальный QR-код магазина")</f>
        <v>Скачать индивидуальный QR-код магазина</v>
      </c>
    </row>
    <row r="13040" spans="1:7" x14ac:dyDescent="0.25">
      <c r="A13040" t="s">
        <v>39583</v>
      </c>
      <c r="B13040" t="s">
        <v>40442</v>
      </c>
      <c r="C13040" t="s">
        <v>40436</v>
      </c>
      <c r="D13040" t="s">
        <v>40437</v>
      </c>
      <c r="E13040" t="s">
        <v>40438</v>
      </c>
      <c r="F13040" t="s">
        <v>40443</v>
      </c>
      <c r="G13040" s="2" t="str">
        <f>HYPERLINK("https://probpalata.gov.ru/files/ИП820401531000004.jpeg","Скачать индивидуальный QR-код магазина")</f>
        <v>Скачать индивидуальный QR-код магазина</v>
      </c>
    </row>
    <row r="13041" spans="1:7" x14ac:dyDescent="0.25">
      <c r="A13041" t="s">
        <v>39583</v>
      </c>
      <c r="B13041" t="s">
        <v>40444</v>
      </c>
      <c r="C13041" t="s">
        <v>40436</v>
      </c>
      <c r="D13041" t="s">
        <v>40437</v>
      </c>
      <c r="E13041" t="s">
        <v>40438</v>
      </c>
      <c r="F13041" t="s">
        <v>40445</v>
      </c>
      <c r="G13041" s="2" t="str">
        <f>HYPERLINK("https://probpalata.gov.ru/files/ИП820401531000005.jpeg","Скачать индивидуальный QR-код магазина")</f>
        <v>Скачать индивидуальный QR-код магазина</v>
      </c>
    </row>
    <row r="13042" spans="1:7" x14ac:dyDescent="0.25">
      <c r="A13042" t="s">
        <v>39583</v>
      </c>
      <c r="B13042" t="s">
        <v>40446</v>
      </c>
      <c r="C13042" t="s">
        <v>40436</v>
      </c>
      <c r="D13042" t="s">
        <v>40437</v>
      </c>
      <c r="E13042" t="s">
        <v>40438</v>
      </c>
      <c r="F13042" t="s">
        <v>40447</v>
      </c>
      <c r="G13042" s="2" t="str">
        <f>HYPERLINK("https://probpalata.gov.ru/files/ИП820401531000006.jpeg","Скачать индивидуальный QR-код магазина")</f>
        <v>Скачать индивидуальный QR-код магазина</v>
      </c>
    </row>
    <row r="13043" spans="1:7" x14ac:dyDescent="0.25">
      <c r="A13043" t="s">
        <v>39583</v>
      </c>
      <c r="B13043" t="s">
        <v>40448</v>
      </c>
      <c r="C13043" t="s">
        <v>40436</v>
      </c>
      <c r="D13043" t="s">
        <v>40437</v>
      </c>
      <c r="E13043" t="s">
        <v>40438</v>
      </c>
      <c r="F13043" t="s">
        <v>40449</v>
      </c>
      <c r="G13043" s="2" t="str">
        <f>HYPERLINK("https://probpalata.gov.ru/files/ИП820401531000009.jpeg","Скачать индивидуальный QR-код магазина")</f>
        <v>Скачать индивидуальный QR-код магазина</v>
      </c>
    </row>
    <row r="13044" spans="1:7" x14ac:dyDescent="0.25">
      <c r="A13044" t="s">
        <v>39583</v>
      </c>
      <c r="B13044" t="s">
        <v>40421</v>
      </c>
      <c r="C13044" t="s">
        <v>40436</v>
      </c>
      <c r="D13044" t="s">
        <v>40437</v>
      </c>
      <c r="E13044" t="s">
        <v>40438</v>
      </c>
      <c r="F13044" t="s">
        <v>40450</v>
      </c>
      <c r="G13044" s="2" t="str">
        <f>HYPERLINK("https://probpalata.gov.ru/files/ИП820401531000010.jpeg","Скачать индивидуальный QR-код магазина")</f>
        <v>Скачать индивидуальный QR-код магазина</v>
      </c>
    </row>
    <row r="13045" spans="1:7" x14ac:dyDescent="0.25">
      <c r="A13045" t="s">
        <v>39583</v>
      </c>
      <c r="B13045" t="s">
        <v>40451</v>
      </c>
      <c r="C13045" t="s">
        <v>40452</v>
      </c>
      <c r="D13045" t="s">
        <v>40453</v>
      </c>
      <c r="E13045" t="s">
        <v>40454</v>
      </c>
      <c r="F13045" t="s">
        <v>40455</v>
      </c>
      <c r="G13045" s="2" t="str">
        <f>HYPERLINK("https://probpalata.gov.ru/files/ИП910403905900000.jpeg","Скачать индивидуальный QR-код магазина")</f>
        <v>Скачать индивидуальный QR-код магазина</v>
      </c>
    </row>
    <row r="13046" spans="1:7" x14ac:dyDescent="0.25">
      <c r="A13046" t="s">
        <v>39583</v>
      </c>
      <c r="B13046" t="s">
        <v>40456</v>
      </c>
      <c r="C13046" t="s">
        <v>15574</v>
      </c>
      <c r="D13046" t="s">
        <v>15575</v>
      </c>
      <c r="E13046" t="s">
        <v>15576</v>
      </c>
      <c r="F13046" t="s">
        <v>40457</v>
      </c>
      <c r="G13046" s="2" t="str">
        <f>HYPERLINK("https://probpalata.gov.ru/files/ИП820400991100009.jpeg","Скачать индивидуальный QR-код магазина")</f>
        <v>Скачать индивидуальный QR-код магазина</v>
      </c>
    </row>
    <row r="13047" spans="1:7" x14ac:dyDescent="0.25">
      <c r="A13047" t="s">
        <v>39583</v>
      </c>
      <c r="B13047" t="s">
        <v>40458</v>
      </c>
      <c r="C13047" t="s">
        <v>15574</v>
      </c>
      <c r="D13047" t="s">
        <v>15575</v>
      </c>
      <c r="E13047" t="s">
        <v>15576</v>
      </c>
      <c r="F13047" t="s">
        <v>40459</v>
      </c>
      <c r="G13047" s="2" t="str">
        <f>HYPERLINK("https://probpalata.gov.ru/files/ИП820400991100010.jpeg","Скачать индивидуальный QR-код магазина")</f>
        <v>Скачать индивидуальный QR-код магазина</v>
      </c>
    </row>
    <row r="13048" spans="1:7" x14ac:dyDescent="0.25">
      <c r="A13048" t="s">
        <v>39583</v>
      </c>
      <c r="B13048" t="s">
        <v>40460</v>
      </c>
      <c r="C13048" t="s">
        <v>15574</v>
      </c>
      <c r="D13048" t="s">
        <v>15575</v>
      </c>
      <c r="E13048" t="s">
        <v>15576</v>
      </c>
      <c r="F13048" t="s">
        <v>40461</v>
      </c>
      <c r="G13048" s="2" t="str">
        <f>HYPERLINK("https://probpalata.gov.ru/files/ИП820400991100014.jpeg","Скачать индивидуальный QR-код магазина")</f>
        <v>Скачать индивидуальный QR-код магазина</v>
      </c>
    </row>
    <row r="13049" spans="1:7" x14ac:dyDescent="0.25">
      <c r="A13049" t="s">
        <v>39583</v>
      </c>
      <c r="B13049" t="s">
        <v>40462</v>
      </c>
      <c r="C13049" t="s">
        <v>40463</v>
      </c>
      <c r="D13049" t="s">
        <v>40464</v>
      </c>
      <c r="E13049" t="s">
        <v>40465</v>
      </c>
      <c r="F13049" t="s">
        <v>40466</v>
      </c>
      <c r="G13049" s="2" t="str">
        <f>HYPERLINK("https://probpalata.gov.ru/files/ИП820400494300000.jpeg","Скачать индивидуальный QR-код магазина")</f>
        <v>Скачать индивидуальный QR-код магазина</v>
      </c>
    </row>
    <row r="13050" spans="1:7" x14ac:dyDescent="0.25">
      <c r="A13050" t="s">
        <v>39583</v>
      </c>
      <c r="B13050" t="s">
        <v>40467</v>
      </c>
      <c r="C13050" t="s">
        <v>40468</v>
      </c>
      <c r="D13050" t="s">
        <v>40469</v>
      </c>
      <c r="E13050" t="s">
        <v>40470</v>
      </c>
      <c r="F13050" t="s">
        <v>40471</v>
      </c>
      <c r="G13050" s="2" t="str">
        <f>HYPERLINK("https://probpalata.gov.ru/files/ИП820400492300000.jpeg","Скачать индивидуальный QR-код магазина")</f>
        <v>Скачать индивидуальный QR-код магазина</v>
      </c>
    </row>
    <row r="13051" spans="1:7" x14ac:dyDescent="0.25">
      <c r="A13051" t="s">
        <v>39583</v>
      </c>
      <c r="B13051" t="s">
        <v>40472</v>
      </c>
      <c r="C13051" t="s">
        <v>40468</v>
      </c>
      <c r="D13051" t="s">
        <v>40469</v>
      </c>
      <c r="E13051" t="s">
        <v>40470</v>
      </c>
      <c r="F13051" t="s">
        <v>40473</v>
      </c>
      <c r="G13051" s="2" t="str">
        <f>HYPERLINK("https://probpalata.gov.ru/files/ИП820400492300003.jpeg","Скачать индивидуальный QR-код магазина")</f>
        <v>Скачать индивидуальный QR-код магазина</v>
      </c>
    </row>
    <row r="13052" spans="1:7" x14ac:dyDescent="0.25">
      <c r="A13052" t="s">
        <v>39583</v>
      </c>
      <c r="B13052" t="s">
        <v>40474</v>
      </c>
      <c r="C13052" t="s">
        <v>40475</v>
      </c>
      <c r="D13052" t="s">
        <v>40476</v>
      </c>
      <c r="E13052" t="s">
        <v>40477</v>
      </c>
      <c r="F13052" t="s">
        <v>40478</v>
      </c>
      <c r="G13052" s="2" t="str">
        <f>HYPERLINK("https://probpalata.gov.ru/files/ИП820400095000000.jpeg","Скачать индивидуальный QR-код магазина")</f>
        <v>Скачать индивидуальный QR-код магазина</v>
      </c>
    </row>
    <row r="13053" spans="1:7" x14ac:dyDescent="0.25">
      <c r="A13053" t="s">
        <v>39583</v>
      </c>
      <c r="B13053" t="s">
        <v>40479</v>
      </c>
      <c r="C13053" t="s">
        <v>40475</v>
      </c>
      <c r="D13053" t="s">
        <v>40476</v>
      </c>
      <c r="E13053" t="s">
        <v>40477</v>
      </c>
      <c r="F13053" t="s">
        <v>40480</v>
      </c>
      <c r="G13053" s="2" t="str">
        <f>HYPERLINK("https://probpalata.gov.ru/files/ИП820400095000001.jpeg","Скачать индивидуальный QR-код магазина")</f>
        <v>Скачать индивидуальный QR-код магазина</v>
      </c>
    </row>
    <row r="13054" spans="1:7" x14ac:dyDescent="0.25">
      <c r="A13054" t="s">
        <v>39583</v>
      </c>
      <c r="B13054" t="s">
        <v>40481</v>
      </c>
      <c r="C13054" t="s">
        <v>40482</v>
      </c>
      <c r="D13054" t="s">
        <v>40483</v>
      </c>
      <c r="E13054" t="s">
        <v>40484</v>
      </c>
      <c r="F13054" t="s">
        <v>40485</v>
      </c>
      <c r="G13054" s="2" t="str">
        <f>HYPERLINK("https://probpalata.gov.ru/files/ИП820400095100000.jpeg","Скачать индивидуальный QR-код магазина")</f>
        <v>Скачать индивидуальный QR-код магазина</v>
      </c>
    </row>
    <row r="13055" spans="1:7" x14ac:dyDescent="0.25">
      <c r="A13055" t="s">
        <v>39583</v>
      </c>
      <c r="B13055" t="s">
        <v>40486</v>
      </c>
      <c r="C13055" t="s">
        <v>40487</v>
      </c>
      <c r="D13055" t="s">
        <v>40488</v>
      </c>
      <c r="E13055" t="s">
        <v>40489</v>
      </c>
      <c r="F13055" t="s">
        <v>40490</v>
      </c>
      <c r="G13055" s="2" t="str">
        <f>HYPERLINK("https://probpalata.gov.ru/files/ИП820400351400000.jpeg","Скачать индивидуальный QR-код магазина")</f>
        <v>Скачать индивидуальный QR-код магазина</v>
      </c>
    </row>
    <row r="13056" spans="1:7" x14ac:dyDescent="0.25">
      <c r="A13056" t="s">
        <v>39583</v>
      </c>
      <c r="B13056" t="s">
        <v>40491</v>
      </c>
      <c r="C13056" t="s">
        <v>40492</v>
      </c>
      <c r="D13056" t="s">
        <v>40493</v>
      </c>
      <c r="E13056" t="s">
        <v>40494</v>
      </c>
      <c r="F13056" t="s">
        <v>40495</v>
      </c>
      <c r="G13056" s="2" t="str">
        <f>HYPERLINK("https://probpalata.gov.ru/files/ИП820400329500000.jpeg","Скачать индивидуальный QR-код магазина")</f>
        <v>Скачать индивидуальный QR-код магазина</v>
      </c>
    </row>
    <row r="13057" spans="1:7" x14ac:dyDescent="0.25">
      <c r="A13057" t="s">
        <v>39583</v>
      </c>
      <c r="B13057" t="s">
        <v>40496</v>
      </c>
      <c r="C13057" t="s">
        <v>40497</v>
      </c>
      <c r="D13057" t="s">
        <v>40498</v>
      </c>
      <c r="E13057" t="s">
        <v>40499</v>
      </c>
      <c r="F13057" t="s">
        <v>40500</v>
      </c>
      <c r="G13057" s="2" t="str">
        <f>HYPERLINK("https://probpalata.gov.ru/files/ИП820400882100000.jpeg","Скачать индивидуальный QR-код магазина")</f>
        <v>Скачать индивидуальный QR-код магазина</v>
      </c>
    </row>
    <row r="13058" spans="1:7" x14ac:dyDescent="0.25">
      <c r="A13058" t="s">
        <v>39583</v>
      </c>
      <c r="B13058" t="s">
        <v>40501</v>
      </c>
      <c r="C13058" t="s">
        <v>40502</v>
      </c>
      <c r="D13058" t="s">
        <v>40503</v>
      </c>
      <c r="E13058" t="s">
        <v>40504</v>
      </c>
      <c r="F13058" t="s">
        <v>40505</v>
      </c>
      <c r="G13058" s="2" t="str">
        <f>HYPERLINK("https://probpalata.gov.ru/files/ИП820400522800000.jpeg","Скачать индивидуальный QR-код магазина")</f>
        <v>Скачать индивидуальный QR-код магазина</v>
      </c>
    </row>
    <row r="13059" spans="1:7" x14ac:dyDescent="0.25">
      <c r="A13059" t="s">
        <v>39583</v>
      </c>
      <c r="B13059" t="s">
        <v>40506</v>
      </c>
      <c r="C13059" t="s">
        <v>40502</v>
      </c>
      <c r="D13059" t="s">
        <v>40503</v>
      </c>
      <c r="E13059" t="s">
        <v>40504</v>
      </c>
      <c r="F13059" t="s">
        <v>40507</v>
      </c>
      <c r="G13059" s="2" t="str">
        <f>HYPERLINK("https://probpalata.gov.ru/files/ИП820400522800001.jpeg","Скачать индивидуальный QR-код магазина")</f>
        <v>Скачать индивидуальный QR-код магазина</v>
      </c>
    </row>
    <row r="13060" spans="1:7" x14ac:dyDescent="0.25">
      <c r="A13060" t="s">
        <v>39583</v>
      </c>
      <c r="B13060" t="s">
        <v>40508</v>
      </c>
      <c r="C13060" t="s">
        <v>40502</v>
      </c>
      <c r="D13060" t="s">
        <v>40503</v>
      </c>
      <c r="E13060" t="s">
        <v>40504</v>
      </c>
      <c r="F13060" t="s">
        <v>40509</v>
      </c>
      <c r="G13060" s="2" t="str">
        <f>HYPERLINK("https://probpalata.gov.ru/files/ИП820400522800002.jpeg","Скачать индивидуальный QR-код магазина")</f>
        <v>Скачать индивидуальный QR-код магазина</v>
      </c>
    </row>
    <row r="13061" spans="1:7" x14ac:dyDescent="0.25">
      <c r="A13061" t="s">
        <v>39583</v>
      </c>
      <c r="B13061" t="s">
        <v>40510</v>
      </c>
      <c r="C13061" t="s">
        <v>40511</v>
      </c>
      <c r="D13061" t="s">
        <v>40512</v>
      </c>
      <c r="E13061" t="s">
        <v>40513</v>
      </c>
      <c r="F13061" t="s">
        <v>40514</v>
      </c>
      <c r="G13061" s="2" t="str">
        <f>HYPERLINK("https://probpalata.gov.ru/files/ИП820400128000000.jpeg","Скачать индивидуальный QR-код магазина")</f>
        <v>Скачать индивидуальный QR-код магазина</v>
      </c>
    </row>
    <row r="13062" spans="1:7" x14ac:dyDescent="0.25">
      <c r="A13062" t="s">
        <v>39583</v>
      </c>
      <c r="B13062" t="s">
        <v>40515</v>
      </c>
      <c r="C13062" t="s">
        <v>40516</v>
      </c>
      <c r="D13062" t="s">
        <v>40517</v>
      </c>
      <c r="E13062" t="s">
        <v>40518</v>
      </c>
      <c r="F13062" t="s">
        <v>40519</v>
      </c>
      <c r="G13062" s="2" t="str">
        <f>HYPERLINK("https://probpalata.gov.ru/files/ИП820400994600000.jpeg","Скачать индивидуальный QR-код магазина")</f>
        <v>Скачать индивидуальный QR-код магазина</v>
      </c>
    </row>
    <row r="13063" spans="1:7" x14ac:dyDescent="0.25">
      <c r="A13063" t="s">
        <v>39583</v>
      </c>
      <c r="B13063" t="s">
        <v>40520</v>
      </c>
      <c r="C13063" t="s">
        <v>40521</v>
      </c>
      <c r="D13063" t="s">
        <v>40522</v>
      </c>
      <c r="E13063" t="s">
        <v>40523</v>
      </c>
      <c r="F13063" t="s">
        <v>40524</v>
      </c>
      <c r="G13063" s="2" t="str">
        <f>HYPERLINK("https://probpalata.gov.ru/files/ИП820400392000000.jpeg","Скачать индивидуальный QR-код магазина")</f>
        <v>Скачать индивидуальный QR-код магазина</v>
      </c>
    </row>
    <row r="13064" spans="1:7" x14ac:dyDescent="0.25">
      <c r="A13064" t="s">
        <v>39583</v>
      </c>
      <c r="B13064" t="s">
        <v>40525</v>
      </c>
      <c r="C13064" t="s">
        <v>40526</v>
      </c>
      <c r="D13064" t="s">
        <v>40527</v>
      </c>
      <c r="E13064" t="s">
        <v>40528</v>
      </c>
      <c r="F13064" t="s">
        <v>40529</v>
      </c>
      <c r="G13064" s="2" t="str">
        <f>HYPERLINK("https://probpalata.gov.ru/files/ИП820400492600000.jpeg","Скачать индивидуальный QR-код магазина")</f>
        <v>Скачать индивидуальный QR-код магазина</v>
      </c>
    </row>
    <row r="13065" spans="1:7" x14ac:dyDescent="0.25">
      <c r="A13065" t="s">
        <v>39583</v>
      </c>
      <c r="B13065" t="s">
        <v>40530</v>
      </c>
      <c r="C13065" t="s">
        <v>40531</v>
      </c>
      <c r="D13065" t="s">
        <v>40532</v>
      </c>
      <c r="E13065" t="s">
        <v>40533</v>
      </c>
      <c r="F13065" t="s">
        <v>40534</v>
      </c>
      <c r="G13065" s="2" t="str">
        <f>HYPERLINK("https://probpalata.gov.ru/files/ИП820400128400000.jpeg","Скачать индивидуальный QR-код магазина")</f>
        <v>Скачать индивидуальный QR-код магазина</v>
      </c>
    </row>
    <row r="13066" spans="1:7" x14ac:dyDescent="0.25">
      <c r="A13066" t="s">
        <v>39583</v>
      </c>
      <c r="B13066" t="s">
        <v>40535</v>
      </c>
      <c r="C13066" t="s">
        <v>40536</v>
      </c>
      <c r="D13066" t="s">
        <v>40537</v>
      </c>
      <c r="E13066" t="s">
        <v>40538</v>
      </c>
      <c r="F13066" t="s">
        <v>40539</v>
      </c>
      <c r="G13066" s="2" t="str">
        <f>HYPERLINK("https://probpalata.gov.ru/files/ИП830400080000000.jpeg","Скачать индивидуальный QR-код магазина")</f>
        <v>Скачать индивидуальный QR-код магазина</v>
      </c>
    </row>
    <row r="13067" spans="1:7" x14ac:dyDescent="0.25">
      <c r="A13067" t="s">
        <v>39583</v>
      </c>
      <c r="B13067" t="s">
        <v>39600</v>
      </c>
      <c r="C13067" t="s">
        <v>40540</v>
      </c>
      <c r="D13067" t="s">
        <v>40541</v>
      </c>
      <c r="E13067" t="s">
        <v>40542</v>
      </c>
      <c r="F13067" t="s">
        <v>40543</v>
      </c>
      <c r="G13067" s="2" t="str">
        <f>HYPERLINK("https://probpalata.gov.ru/files/ИП830400651100004.jpeg","Скачать индивидуальный QR-код магазина")</f>
        <v>Скачать индивидуальный QR-код магазина</v>
      </c>
    </row>
    <row r="13068" spans="1:7" x14ac:dyDescent="0.25">
      <c r="A13068" t="s">
        <v>39583</v>
      </c>
      <c r="B13068" t="s">
        <v>40544</v>
      </c>
      <c r="C13068" t="s">
        <v>40540</v>
      </c>
      <c r="D13068" t="s">
        <v>40541</v>
      </c>
      <c r="E13068" t="s">
        <v>40542</v>
      </c>
      <c r="F13068" t="s">
        <v>40545</v>
      </c>
      <c r="G13068" s="2" t="str">
        <f>HYPERLINK("https://probpalata.gov.ru/files/ИП830400651100005.jpeg","Скачать индивидуальный QR-код магазина")</f>
        <v>Скачать индивидуальный QR-код магазина</v>
      </c>
    </row>
    <row r="13069" spans="1:7" x14ac:dyDescent="0.25">
      <c r="A13069" t="s">
        <v>39583</v>
      </c>
      <c r="B13069" t="s">
        <v>40546</v>
      </c>
      <c r="C13069" t="s">
        <v>40547</v>
      </c>
      <c r="D13069" t="s">
        <v>40548</v>
      </c>
      <c r="E13069" t="s">
        <v>40549</v>
      </c>
      <c r="F13069" t="s">
        <v>40550</v>
      </c>
      <c r="G13069" s="2" t="str">
        <f>HYPERLINK("https://probpalata.gov.ru/files/ИП820400444000000.jpeg","Скачать индивидуальный QR-код магазина")</f>
        <v>Скачать индивидуальный QR-код магазина</v>
      </c>
    </row>
    <row r="13070" spans="1:7" x14ac:dyDescent="0.25">
      <c r="A13070" t="s">
        <v>39583</v>
      </c>
      <c r="B13070" t="s">
        <v>40551</v>
      </c>
      <c r="C13070" t="s">
        <v>40552</v>
      </c>
      <c r="D13070" t="s">
        <v>40553</v>
      </c>
      <c r="E13070" t="s">
        <v>40554</v>
      </c>
      <c r="F13070" t="s">
        <v>40555</v>
      </c>
      <c r="G13070" s="2" t="str">
        <f>HYPERLINK("https://probpalata.gov.ru/files/ЮЛ830400995300002.jpeg","Скачать индивидуальный QR-код магазина")</f>
        <v>Скачать индивидуальный QR-код магазина</v>
      </c>
    </row>
    <row r="13071" spans="1:7" x14ac:dyDescent="0.25">
      <c r="A13071" t="s">
        <v>39583</v>
      </c>
      <c r="B13071" t="s">
        <v>40556</v>
      </c>
      <c r="C13071" t="s">
        <v>40552</v>
      </c>
      <c r="D13071" t="s">
        <v>40553</v>
      </c>
      <c r="E13071" t="s">
        <v>40554</v>
      </c>
      <c r="F13071" t="s">
        <v>40557</v>
      </c>
      <c r="G13071" s="2" t="str">
        <f>HYPERLINK("https://probpalata.gov.ru/files/ЮЛ830400995300005.jpeg","Скачать индивидуальный QR-код магазина")</f>
        <v>Скачать индивидуальный QR-код магазина</v>
      </c>
    </row>
    <row r="13072" spans="1:7" x14ac:dyDescent="0.25">
      <c r="A13072" t="s">
        <v>39583</v>
      </c>
      <c r="B13072" t="s">
        <v>40558</v>
      </c>
      <c r="C13072" t="s">
        <v>40552</v>
      </c>
      <c r="D13072" t="s">
        <v>40553</v>
      </c>
      <c r="E13072" t="s">
        <v>40554</v>
      </c>
      <c r="F13072" t="s">
        <v>40559</v>
      </c>
      <c r="G13072" s="2" t="str">
        <f>HYPERLINK("https://probpalata.gov.ru/files/ЮЛ830400995300009.jpeg","Скачать индивидуальный QR-код магазина")</f>
        <v>Скачать индивидуальный QR-код магазина</v>
      </c>
    </row>
    <row r="13073" spans="1:7" x14ac:dyDescent="0.25">
      <c r="A13073" t="s">
        <v>39583</v>
      </c>
      <c r="B13073" t="s">
        <v>40560</v>
      </c>
      <c r="C13073" t="s">
        <v>40561</v>
      </c>
      <c r="D13073" t="s">
        <v>40562</v>
      </c>
      <c r="E13073" t="s">
        <v>40563</v>
      </c>
      <c r="F13073" t="s">
        <v>40564</v>
      </c>
      <c r="G13073" s="2" t="str">
        <f>HYPERLINK("https://probpalata.gov.ru/files/ИП830400494400000.jpeg","Скачать индивидуальный QR-код магазина")</f>
        <v>Скачать индивидуальный QR-код магазина</v>
      </c>
    </row>
    <row r="13074" spans="1:7" x14ac:dyDescent="0.25">
      <c r="A13074" t="s">
        <v>39583</v>
      </c>
      <c r="B13074" t="s">
        <v>40565</v>
      </c>
      <c r="C13074" t="s">
        <v>40566</v>
      </c>
      <c r="D13074" t="s">
        <v>40567</v>
      </c>
      <c r="E13074" t="s">
        <v>40568</v>
      </c>
      <c r="F13074" t="s">
        <v>40569</v>
      </c>
      <c r="G13074" s="2" t="str">
        <f>HYPERLINK("https://probpalata.gov.ru/files/ЮЛ830400411000002.jpeg","Скачать индивидуальный QR-код магазина")</f>
        <v>Скачать индивидуальный QR-код магазина</v>
      </c>
    </row>
    <row r="13075" spans="1:7" x14ac:dyDescent="0.25">
      <c r="A13075" t="s">
        <v>39583</v>
      </c>
      <c r="B13075" t="s">
        <v>40570</v>
      </c>
      <c r="C13075" t="s">
        <v>15613</v>
      </c>
      <c r="D13075" t="s">
        <v>15614</v>
      </c>
      <c r="E13075" t="s">
        <v>15615</v>
      </c>
      <c r="F13075" t="s">
        <v>40571</v>
      </c>
      <c r="G13075" s="2" t="str">
        <f>HYPERLINK("https://probpalata.gov.ru/files/ЮЛ770103721200000.jpeg","Скачать индивидуальный QR-код магазина")</f>
        <v>Скачать индивидуальный QR-код магазина</v>
      </c>
    </row>
    <row r="13076" spans="1:7" x14ac:dyDescent="0.25">
      <c r="A13076" t="s">
        <v>40572</v>
      </c>
      <c r="B13076" t="s">
        <v>40573</v>
      </c>
      <c r="C13076" t="s">
        <v>40574</v>
      </c>
      <c r="D13076" t="s">
        <v>40575</v>
      </c>
      <c r="E13076" t="s">
        <v>40576</v>
      </c>
      <c r="F13076" t="s">
        <v>40577</v>
      </c>
      <c r="G13076" s="2" t="str">
        <f>HYPERLINK("https://probpalata.gov.ru/files/ЮЛ120603351200003.jpeg","Скачать индивидуальный QR-код магазина")</f>
        <v>Скачать индивидуальный QR-код магазина</v>
      </c>
    </row>
    <row r="13077" spans="1:7" x14ac:dyDescent="0.25">
      <c r="A13077" t="s">
        <v>40572</v>
      </c>
      <c r="B13077" t="s">
        <v>40578</v>
      </c>
      <c r="C13077" t="s">
        <v>40579</v>
      </c>
      <c r="D13077" t="s">
        <v>40580</v>
      </c>
      <c r="E13077" t="s">
        <v>40581</v>
      </c>
      <c r="F13077" t="s">
        <v>40582</v>
      </c>
      <c r="G13077" s="2" t="str">
        <f>HYPERLINK("https://probpalata.gov.ru/files/ЮЛ120603789900000.jpeg","Скачать индивидуальный QR-код магазина")</f>
        <v>Скачать индивидуальный QR-код магазина</v>
      </c>
    </row>
    <row r="13078" spans="1:7" x14ac:dyDescent="0.25">
      <c r="A13078" t="s">
        <v>40572</v>
      </c>
      <c r="B13078" t="s">
        <v>40583</v>
      </c>
      <c r="C13078" t="s">
        <v>40584</v>
      </c>
      <c r="D13078" t="s">
        <v>40585</v>
      </c>
      <c r="E13078" t="s">
        <v>40586</v>
      </c>
      <c r="F13078" t="s">
        <v>40587</v>
      </c>
      <c r="G13078" s="2" t="str">
        <f>HYPERLINK("https://probpalata.gov.ru/files/ЮЛ120603791400000.jpeg","Скачать индивидуальный QR-код магазина")</f>
        <v>Скачать индивидуальный QR-код магазина</v>
      </c>
    </row>
    <row r="13079" spans="1:7" x14ac:dyDescent="0.25">
      <c r="A13079" t="s">
        <v>40572</v>
      </c>
      <c r="B13079" t="s">
        <v>40588</v>
      </c>
      <c r="C13079" t="s">
        <v>14040</v>
      </c>
      <c r="D13079" t="s">
        <v>40589</v>
      </c>
      <c r="E13079" t="s">
        <v>40590</v>
      </c>
      <c r="F13079" t="s">
        <v>40591</v>
      </c>
      <c r="G13079" s="2" t="str">
        <f>HYPERLINK("https://probpalata.gov.ru/files/ЮЛ120603805400000.jpeg","Скачать индивидуальный QR-код магазина")</f>
        <v>Скачать индивидуальный QR-код магазина</v>
      </c>
    </row>
    <row r="13080" spans="1:7" x14ac:dyDescent="0.25">
      <c r="A13080" t="s">
        <v>40572</v>
      </c>
      <c r="B13080" t="s">
        <v>40592</v>
      </c>
      <c r="C13080" t="s">
        <v>40593</v>
      </c>
      <c r="D13080" t="s">
        <v>40594</v>
      </c>
      <c r="E13080" t="s">
        <v>40595</v>
      </c>
      <c r="F13080" t="s">
        <v>40596</v>
      </c>
      <c r="G13080" s="2" t="str">
        <f>HYPERLINK("https://probpalata.gov.ru/files/ЮЛ120600111200000.jpeg","Скачать индивидуальный QR-код магазина")</f>
        <v>Скачать индивидуальный QR-код магазина</v>
      </c>
    </row>
    <row r="13081" spans="1:7" x14ac:dyDescent="0.25">
      <c r="A13081" t="s">
        <v>40572</v>
      </c>
      <c r="B13081" t="s">
        <v>40597</v>
      </c>
      <c r="C13081" t="s">
        <v>40598</v>
      </c>
      <c r="D13081" t="s">
        <v>40599</v>
      </c>
      <c r="E13081" t="s">
        <v>40600</v>
      </c>
      <c r="F13081" t="s">
        <v>40601</v>
      </c>
      <c r="G13081" s="2" t="str">
        <f>HYPERLINK("https://probpalata.gov.ru/files/ИП120601127500000.jpeg","Скачать индивидуальный QR-код магазина")</f>
        <v>Скачать индивидуальный QR-код магазина</v>
      </c>
    </row>
    <row r="13082" spans="1:7" x14ac:dyDescent="0.25">
      <c r="A13082" t="s">
        <v>40572</v>
      </c>
      <c r="B13082" t="s">
        <v>40602</v>
      </c>
      <c r="C13082" t="s">
        <v>40603</v>
      </c>
      <c r="D13082" t="s">
        <v>40604</v>
      </c>
      <c r="E13082" t="s">
        <v>40605</v>
      </c>
      <c r="F13082" t="s">
        <v>40606</v>
      </c>
      <c r="G13082" s="2" t="str">
        <f>HYPERLINK("https://probpalata.gov.ru/files/ИП120600402300000.jpeg","Скачать индивидуальный QR-код магазина")</f>
        <v>Скачать индивидуальный QR-код магазина</v>
      </c>
    </row>
    <row r="13083" spans="1:7" x14ac:dyDescent="0.25">
      <c r="A13083" t="s">
        <v>40572</v>
      </c>
      <c r="B13083" t="s">
        <v>40607</v>
      </c>
      <c r="C13083" t="s">
        <v>40603</v>
      </c>
      <c r="D13083" t="s">
        <v>40604</v>
      </c>
      <c r="E13083" t="s">
        <v>40605</v>
      </c>
      <c r="F13083" t="s">
        <v>40608</v>
      </c>
      <c r="G13083" s="2" t="str">
        <f>HYPERLINK("https://probpalata.gov.ru/files/ИП120600402300002.jpeg","Скачать индивидуальный QR-код магазина")</f>
        <v>Скачать индивидуальный QR-код магазина</v>
      </c>
    </row>
    <row r="13084" spans="1:7" x14ac:dyDescent="0.25">
      <c r="A13084" t="s">
        <v>40572</v>
      </c>
      <c r="B13084" t="s">
        <v>40609</v>
      </c>
      <c r="C13084" t="s">
        <v>30148</v>
      </c>
      <c r="D13084" t="s">
        <v>30149</v>
      </c>
      <c r="E13084" t="s">
        <v>30150</v>
      </c>
      <c r="F13084" t="s">
        <v>40610</v>
      </c>
      <c r="G13084" s="2" t="str">
        <f>HYPERLINK("https://probpalata.gov.ru/files/ИП120601082800004.jpeg","Скачать индивидуальный QR-код магазина")</f>
        <v>Скачать индивидуальный QR-код магазина</v>
      </c>
    </row>
    <row r="13085" spans="1:7" x14ac:dyDescent="0.25">
      <c r="A13085" t="s">
        <v>40572</v>
      </c>
      <c r="B13085" t="s">
        <v>40611</v>
      </c>
      <c r="C13085" t="s">
        <v>40612</v>
      </c>
      <c r="D13085" t="s">
        <v>40613</v>
      </c>
      <c r="E13085" t="s">
        <v>40614</v>
      </c>
      <c r="F13085" t="s">
        <v>40615</v>
      </c>
      <c r="G13085" s="2" t="str">
        <f>HYPERLINK("https://probpalata.gov.ru/files/ИП120603534200000.jpeg","Скачать индивидуальный QR-код магазина")</f>
        <v>Скачать индивидуальный QR-код магазина</v>
      </c>
    </row>
    <row r="13086" spans="1:7" x14ac:dyDescent="0.25">
      <c r="A13086" t="s">
        <v>40572</v>
      </c>
      <c r="B13086" t="s">
        <v>40616</v>
      </c>
      <c r="C13086" t="s">
        <v>10986</v>
      </c>
      <c r="D13086" t="s">
        <v>10987</v>
      </c>
      <c r="E13086" t="s">
        <v>10988</v>
      </c>
      <c r="F13086" t="s">
        <v>40617</v>
      </c>
      <c r="G13086" s="2" t="str">
        <f>HYPERLINK("https://probpalata.gov.ru/files/ИП120600364300000.jpeg","Скачать индивидуальный QR-код магазина")</f>
        <v>Скачать индивидуальный QR-код магазина</v>
      </c>
    </row>
    <row r="13087" spans="1:7" x14ac:dyDescent="0.25">
      <c r="A13087" t="s">
        <v>40572</v>
      </c>
      <c r="B13087" t="s">
        <v>40618</v>
      </c>
      <c r="C13087" t="s">
        <v>40619</v>
      </c>
      <c r="D13087" t="s">
        <v>40620</v>
      </c>
      <c r="E13087" t="s">
        <v>40621</v>
      </c>
      <c r="F13087" t="s">
        <v>40622</v>
      </c>
      <c r="G13087" s="2" t="str">
        <f>HYPERLINK("https://probpalata.gov.ru/files/ИП120601083800000.jpeg","Скачать индивидуальный QR-код магазина")</f>
        <v>Скачать индивидуальный QR-код магазина</v>
      </c>
    </row>
    <row r="13088" spans="1:7" x14ac:dyDescent="0.25">
      <c r="A13088" t="s">
        <v>40572</v>
      </c>
      <c r="B13088" t="s">
        <v>40623</v>
      </c>
      <c r="C13088" t="s">
        <v>40619</v>
      </c>
      <c r="D13088" t="s">
        <v>40620</v>
      </c>
      <c r="E13088" t="s">
        <v>40621</v>
      </c>
      <c r="F13088" t="s">
        <v>40624</v>
      </c>
      <c r="G13088" s="2" t="str">
        <f>HYPERLINK("https://probpalata.gov.ru/files/ИП120601083800001.jpeg","Скачать индивидуальный QR-код магазина")</f>
        <v>Скачать индивидуальный QR-код магазина</v>
      </c>
    </row>
    <row r="13089" spans="1:7" x14ac:dyDescent="0.25">
      <c r="A13089" t="s">
        <v>40572</v>
      </c>
      <c r="B13089" t="s">
        <v>40625</v>
      </c>
      <c r="C13089" t="s">
        <v>40619</v>
      </c>
      <c r="D13089" t="s">
        <v>40620</v>
      </c>
      <c r="E13089" t="s">
        <v>40621</v>
      </c>
      <c r="F13089" t="s">
        <v>40626</v>
      </c>
      <c r="G13089" s="2" t="str">
        <f>HYPERLINK("https://probpalata.gov.ru/files/ИП120601083800003.jpeg","Скачать индивидуальный QR-код магазина")</f>
        <v>Скачать индивидуальный QR-код магазина</v>
      </c>
    </row>
    <row r="13090" spans="1:7" x14ac:dyDescent="0.25">
      <c r="A13090" t="s">
        <v>40572</v>
      </c>
      <c r="B13090" t="s">
        <v>40627</v>
      </c>
      <c r="C13090" t="s">
        <v>40619</v>
      </c>
      <c r="D13090" t="s">
        <v>40620</v>
      </c>
      <c r="E13090" t="s">
        <v>40621</v>
      </c>
      <c r="F13090" t="s">
        <v>40628</v>
      </c>
      <c r="G13090" s="2" t="str">
        <f>HYPERLINK("https://probpalata.gov.ru/files/ИП120601083800005.jpeg","Скачать индивидуальный QR-код магазина")</f>
        <v>Скачать индивидуальный QR-код магазина</v>
      </c>
    </row>
    <row r="13091" spans="1:7" x14ac:dyDescent="0.25">
      <c r="A13091" t="s">
        <v>40572</v>
      </c>
      <c r="B13091" t="s">
        <v>40629</v>
      </c>
      <c r="C13091" t="s">
        <v>40630</v>
      </c>
      <c r="D13091" t="s">
        <v>40631</v>
      </c>
      <c r="E13091" t="s">
        <v>40632</v>
      </c>
      <c r="F13091" t="s">
        <v>40633</v>
      </c>
      <c r="G13091" s="2" t="str">
        <f>HYPERLINK("https://probpalata.gov.ru/files/ИП120600926700000.jpeg","Скачать индивидуальный QR-код магазина")</f>
        <v>Скачать индивидуальный QR-код магазина</v>
      </c>
    </row>
    <row r="13092" spans="1:7" x14ac:dyDescent="0.25">
      <c r="A13092" t="s">
        <v>40572</v>
      </c>
      <c r="B13092" t="s">
        <v>40634</v>
      </c>
      <c r="C13092" t="s">
        <v>40630</v>
      </c>
      <c r="D13092" t="s">
        <v>40631</v>
      </c>
      <c r="E13092" t="s">
        <v>40632</v>
      </c>
      <c r="F13092" t="s">
        <v>40635</v>
      </c>
      <c r="G13092" s="2" t="str">
        <f>HYPERLINK("https://probpalata.gov.ru/files/ИП120600926700002.jpeg","Скачать индивидуальный QR-код магазина")</f>
        <v>Скачать индивидуальный QR-код магазина</v>
      </c>
    </row>
    <row r="13093" spans="1:7" x14ac:dyDescent="0.25">
      <c r="A13093" t="s">
        <v>40572</v>
      </c>
      <c r="B13093" t="s">
        <v>40636</v>
      </c>
      <c r="C13093" t="s">
        <v>40637</v>
      </c>
      <c r="D13093" t="s">
        <v>40638</v>
      </c>
      <c r="E13093" t="s">
        <v>40639</v>
      </c>
      <c r="F13093" t="s">
        <v>40640</v>
      </c>
      <c r="G13093" s="2" t="str">
        <f>HYPERLINK("https://probpalata.gov.ru/files/ИП120600879400000.jpeg","Скачать индивидуальный QR-код магазина")</f>
        <v>Скачать индивидуальный QR-код магазина</v>
      </c>
    </row>
    <row r="13094" spans="1:7" x14ac:dyDescent="0.25">
      <c r="A13094" t="s">
        <v>40572</v>
      </c>
      <c r="B13094" t="s">
        <v>40641</v>
      </c>
      <c r="C13094" t="s">
        <v>40642</v>
      </c>
      <c r="D13094" t="s">
        <v>40643</v>
      </c>
      <c r="E13094" t="s">
        <v>40644</v>
      </c>
      <c r="F13094" t="s">
        <v>40645</v>
      </c>
      <c r="G13094" s="2" t="str">
        <f>HYPERLINK("https://probpalata.gov.ru/files/ЮЛ120603278400000.jpeg","Скачать индивидуальный QR-код магазина")</f>
        <v>Скачать индивидуальный QR-код магазина</v>
      </c>
    </row>
    <row r="13095" spans="1:7" x14ac:dyDescent="0.25">
      <c r="A13095" t="s">
        <v>40572</v>
      </c>
      <c r="B13095" t="s">
        <v>40646</v>
      </c>
      <c r="C13095" t="s">
        <v>40642</v>
      </c>
      <c r="D13095" t="s">
        <v>40643</v>
      </c>
      <c r="E13095" t="s">
        <v>40644</v>
      </c>
      <c r="F13095" t="s">
        <v>40647</v>
      </c>
      <c r="G13095" s="2" t="str">
        <f>HYPERLINK("https://probpalata.gov.ru/files/ЮЛ120603278400001.jpeg","Скачать индивидуальный QR-код магазина")</f>
        <v>Скачать индивидуальный QR-код магазина</v>
      </c>
    </row>
    <row r="13096" spans="1:7" x14ac:dyDescent="0.25">
      <c r="A13096" t="s">
        <v>40572</v>
      </c>
      <c r="B13096" t="s">
        <v>40648</v>
      </c>
      <c r="C13096" t="s">
        <v>40642</v>
      </c>
      <c r="D13096" t="s">
        <v>40643</v>
      </c>
      <c r="E13096" t="s">
        <v>40644</v>
      </c>
      <c r="F13096" t="s">
        <v>40649</v>
      </c>
      <c r="G13096" s="2" t="str">
        <f>HYPERLINK("https://probpalata.gov.ru/files/ЮЛ120603278400002.jpeg","Скачать индивидуальный QR-код магазина")</f>
        <v>Скачать индивидуальный QR-код магазина</v>
      </c>
    </row>
    <row r="13097" spans="1:7" x14ac:dyDescent="0.25">
      <c r="A13097" t="s">
        <v>40572</v>
      </c>
      <c r="B13097" t="s">
        <v>40650</v>
      </c>
      <c r="C13097" t="s">
        <v>40651</v>
      </c>
      <c r="D13097" t="s">
        <v>40652</v>
      </c>
      <c r="E13097" t="s">
        <v>40653</v>
      </c>
      <c r="F13097" t="s">
        <v>40654</v>
      </c>
      <c r="G13097" s="2" t="str">
        <f>HYPERLINK("https://probpalata.gov.ru/files/ИП120603414100000.jpeg","Скачать индивидуальный QR-код магазина")</f>
        <v>Скачать индивидуальный QR-код магазина</v>
      </c>
    </row>
    <row r="13098" spans="1:7" x14ac:dyDescent="0.25">
      <c r="A13098" t="s">
        <v>40572</v>
      </c>
      <c r="B13098" t="s">
        <v>40655</v>
      </c>
      <c r="C13098" t="s">
        <v>40656</v>
      </c>
      <c r="D13098" t="s">
        <v>40657</v>
      </c>
      <c r="E13098" t="s">
        <v>40658</v>
      </c>
      <c r="F13098" t="s">
        <v>40659</v>
      </c>
      <c r="G13098" s="2" t="str">
        <f>HYPERLINK("https://probpalata.gov.ru/files/ЮЛ120600100400008.jpeg","Скачать индивидуальный QR-код магазина")</f>
        <v>Скачать индивидуальный QR-код магазина</v>
      </c>
    </row>
    <row r="13099" spans="1:7" x14ac:dyDescent="0.25">
      <c r="A13099" t="s">
        <v>40572</v>
      </c>
      <c r="B13099" t="s">
        <v>40660</v>
      </c>
      <c r="C13099" t="s">
        <v>40656</v>
      </c>
      <c r="D13099" t="s">
        <v>40657</v>
      </c>
      <c r="E13099" t="s">
        <v>40658</v>
      </c>
      <c r="F13099" t="s">
        <v>40661</v>
      </c>
      <c r="G13099" s="2" t="str">
        <f>HYPERLINK("https://probpalata.gov.ru/files/ЮЛ120600100400009.jpeg","Скачать индивидуальный QR-код магазина")</f>
        <v>Скачать индивидуальный QR-код магазина</v>
      </c>
    </row>
    <row r="13100" spans="1:7" x14ac:dyDescent="0.25">
      <c r="A13100" t="s">
        <v>40572</v>
      </c>
      <c r="B13100" t="s">
        <v>40662</v>
      </c>
      <c r="C13100" t="s">
        <v>11004</v>
      </c>
      <c r="D13100" t="s">
        <v>11005</v>
      </c>
      <c r="E13100" t="s">
        <v>11006</v>
      </c>
      <c r="F13100" t="s">
        <v>40663</v>
      </c>
      <c r="G13100" s="2" t="str">
        <f>HYPERLINK("https://probpalata.gov.ru/files/ИП120600483700004.jpeg","Скачать индивидуальный QR-код магазина")</f>
        <v>Скачать индивидуальный QR-код магазина</v>
      </c>
    </row>
    <row r="13101" spans="1:7" x14ac:dyDescent="0.25">
      <c r="A13101" t="s">
        <v>40572</v>
      </c>
      <c r="B13101" t="s">
        <v>40664</v>
      </c>
      <c r="C13101" t="s">
        <v>40665</v>
      </c>
      <c r="D13101" t="s">
        <v>40666</v>
      </c>
      <c r="E13101" t="s">
        <v>40667</v>
      </c>
      <c r="F13101" t="s">
        <v>40668</v>
      </c>
      <c r="G13101" s="2" t="str">
        <f>HYPERLINK("https://probpalata.gov.ru/files/ИП120603666400000.jpeg","Скачать индивидуальный QR-код магазина")</f>
        <v>Скачать индивидуальный QR-код магазина</v>
      </c>
    </row>
    <row r="13102" spans="1:7" x14ac:dyDescent="0.25">
      <c r="A13102" t="s">
        <v>40572</v>
      </c>
      <c r="B13102" t="s">
        <v>40669</v>
      </c>
      <c r="C13102" t="s">
        <v>40670</v>
      </c>
      <c r="D13102" t="s">
        <v>40671</v>
      </c>
      <c r="E13102" t="s">
        <v>40672</v>
      </c>
      <c r="F13102" t="s">
        <v>40673</v>
      </c>
      <c r="G13102" s="2" t="str">
        <f>HYPERLINK("https://probpalata.gov.ru/files/ИП120600144100000.jpeg","Скачать индивидуальный QR-код магазина")</f>
        <v>Скачать индивидуальный QR-код магазина</v>
      </c>
    </row>
    <row r="13103" spans="1:7" x14ac:dyDescent="0.25">
      <c r="A13103" t="s">
        <v>40572</v>
      </c>
      <c r="B13103" t="s">
        <v>40674</v>
      </c>
      <c r="C13103" t="s">
        <v>40675</v>
      </c>
      <c r="D13103" t="s">
        <v>40676</v>
      </c>
      <c r="E13103" t="s">
        <v>40677</v>
      </c>
      <c r="F13103" t="s">
        <v>40678</v>
      </c>
      <c r="G13103" s="2" t="str">
        <f>HYPERLINK("https://probpalata.gov.ru/files/ИП120601348700000.jpeg","Скачать индивидуальный QR-код магазина")</f>
        <v>Скачать индивидуальный QR-код магазина</v>
      </c>
    </row>
    <row r="13104" spans="1:7" x14ac:dyDescent="0.25">
      <c r="A13104" t="s">
        <v>40572</v>
      </c>
      <c r="B13104" t="s">
        <v>40669</v>
      </c>
      <c r="C13104" t="s">
        <v>40675</v>
      </c>
      <c r="D13104" t="s">
        <v>40676</v>
      </c>
      <c r="E13104" t="s">
        <v>40677</v>
      </c>
      <c r="F13104" t="s">
        <v>40679</v>
      </c>
      <c r="G13104" s="2" t="str">
        <f>HYPERLINK("https://probpalata.gov.ru/files/ИП120601348700007.jpeg","Скачать индивидуальный QR-код магазина")</f>
        <v>Скачать индивидуальный QR-код магазина</v>
      </c>
    </row>
    <row r="13105" spans="1:7" x14ac:dyDescent="0.25">
      <c r="A13105" t="s">
        <v>40572</v>
      </c>
      <c r="B13105" t="s">
        <v>40680</v>
      </c>
      <c r="C13105" t="s">
        <v>40681</v>
      </c>
      <c r="D13105" t="s">
        <v>40682</v>
      </c>
      <c r="E13105" t="s">
        <v>40683</v>
      </c>
      <c r="F13105" t="s">
        <v>40684</v>
      </c>
      <c r="G13105" s="2" t="str">
        <f>HYPERLINK("https://probpalata.gov.ru/files/ИП120600819000000.jpeg","Скачать индивидуальный QR-код магазина")</f>
        <v>Скачать индивидуальный QR-код магазина</v>
      </c>
    </row>
    <row r="13106" spans="1:7" x14ac:dyDescent="0.25">
      <c r="A13106" t="s">
        <v>40572</v>
      </c>
      <c r="B13106" t="s">
        <v>40685</v>
      </c>
      <c r="C13106" t="s">
        <v>40686</v>
      </c>
      <c r="D13106" t="s">
        <v>40687</v>
      </c>
      <c r="E13106" t="s">
        <v>40688</v>
      </c>
      <c r="F13106" t="s">
        <v>40689</v>
      </c>
      <c r="G13106" s="2" t="str">
        <f>HYPERLINK("https://probpalata.gov.ru/files/ИП120600254100000.jpeg","Скачать индивидуальный QR-код магазина")</f>
        <v>Скачать индивидуальный QR-код магазина</v>
      </c>
    </row>
    <row r="13107" spans="1:7" x14ac:dyDescent="0.25">
      <c r="A13107" t="s">
        <v>40572</v>
      </c>
      <c r="B13107" t="s">
        <v>40690</v>
      </c>
      <c r="C13107" t="s">
        <v>6443</v>
      </c>
      <c r="D13107" t="s">
        <v>6444</v>
      </c>
      <c r="E13107" t="s">
        <v>6445</v>
      </c>
      <c r="F13107" t="s">
        <v>40691</v>
      </c>
      <c r="G13107" s="2" t="str">
        <f>HYPERLINK("https://probpalata.gov.ru/files/ИП520600153500006.jpeg","Скачать индивидуальный QR-код магазина")</f>
        <v>Скачать индивидуальный QR-код магазина</v>
      </c>
    </row>
    <row r="13108" spans="1:7" x14ac:dyDescent="0.25">
      <c r="A13108" t="s">
        <v>40572</v>
      </c>
      <c r="B13108" t="s">
        <v>40692</v>
      </c>
      <c r="C13108" t="s">
        <v>40693</v>
      </c>
      <c r="D13108" t="s">
        <v>40694</v>
      </c>
      <c r="E13108" t="s">
        <v>40695</v>
      </c>
      <c r="F13108" t="s">
        <v>40696</v>
      </c>
      <c r="G13108" s="2" t="str">
        <f>HYPERLINK("https://probpalata.gov.ru/files/ИП120603219300000.jpeg","Скачать индивидуальный QR-код магазина")</f>
        <v>Скачать индивидуальный QR-код магазина</v>
      </c>
    </row>
    <row r="13109" spans="1:7" x14ac:dyDescent="0.25">
      <c r="A13109" t="s">
        <v>40572</v>
      </c>
      <c r="B13109" t="s">
        <v>40697</v>
      </c>
      <c r="C13109" t="s">
        <v>40693</v>
      </c>
      <c r="D13109" t="s">
        <v>40694</v>
      </c>
      <c r="E13109" t="s">
        <v>40695</v>
      </c>
      <c r="F13109" t="s">
        <v>40698</v>
      </c>
      <c r="G13109" s="2" t="str">
        <f>HYPERLINK("https://probpalata.gov.ru/files/ИП120603219300001.jpeg","Скачать индивидуальный QR-код магазина")</f>
        <v>Скачать индивидуальный QR-код магазина</v>
      </c>
    </row>
    <row r="13110" spans="1:7" x14ac:dyDescent="0.25">
      <c r="A13110" t="s">
        <v>40572</v>
      </c>
      <c r="B13110" t="s">
        <v>40699</v>
      </c>
      <c r="C13110" t="s">
        <v>40700</v>
      </c>
      <c r="D13110" t="s">
        <v>40701</v>
      </c>
      <c r="E13110" t="s">
        <v>40702</v>
      </c>
      <c r="F13110" t="s">
        <v>40703</v>
      </c>
      <c r="G13110" s="2" t="str">
        <f>HYPERLINK("https://probpalata.gov.ru/files/ИП180600087600000.jpeg","Скачать индивидуальный QR-код магазина")</f>
        <v>Скачать индивидуальный QR-код магазина</v>
      </c>
    </row>
    <row r="13111" spans="1:7" x14ac:dyDescent="0.25">
      <c r="A13111" t="s">
        <v>40572</v>
      </c>
      <c r="B13111" t="s">
        <v>40704</v>
      </c>
      <c r="C13111" t="s">
        <v>40700</v>
      </c>
      <c r="D13111" t="s">
        <v>40701</v>
      </c>
      <c r="E13111" t="s">
        <v>40702</v>
      </c>
      <c r="F13111" t="s">
        <v>40705</v>
      </c>
      <c r="G13111" s="2" t="str">
        <f>HYPERLINK("https://probpalata.gov.ru/files/ИП180600087600002.jpeg","Скачать индивидуальный QR-код магазина")</f>
        <v>Скачать индивидуальный QR-код магазина</v>
      </c>
    </row>
    <row r="13112" spans="1:7" x14ac:dyDescent="0.25">
      <c r="A13112" t="s">
        <v>40572</v>
      </c>
      <c r="B13112" t="s">
        <v>40706</v>
      </c>
      <c r="C13112" t="s">
        <v>40700</v>
      </c>
      <c r="D13112" t="s">
        <v>40701</v>
      </c>
      <c r="E13112" t="s">
        <v>40702</v>
      </c>
      <c r="F13112" t="s">
        <v>40707</v>
      </c>
      <c r="G13112" s="2" t="str">
        <f>HYPERLINK("https://probpalata.gov.ru/files/ИП180600087600003.jpeg","Скачать индивидуальный QR-код магазина")</f>
        <v>Скачать индивидуальный QR-код магазина</v>
      </c>
    </row>
    <row r="13113" spans="1:7" x14ac:dyDescent="0.25">
      <c r="A13113" t="s">
        <v>40572</v>
      </c>
      <c r="B13113" t="s">
        <v>40708</v>
      </c>
      <c r="C13113" t="s">
        <v>40700</v>
      </c>
      <c r="D13113" t="s">
        <v>40701</v>
      </c>
      <c r="E13113" t="s">
        <v>40702</v>
      </c>
      <c r="F13113" t="s">
        <v>40709</v>
      </c>
      <c r="G13113" s="2" t="str">
        <f>HYPERLINK("https://probpalata.gov.ru/files/ИП180600087600004.jpeg","Скачать индивидуальный QR-код магазина")</f>
        <v>Скачать индивидуальный QR-код магазина</v>
      </c>
    </row>
    <row r="13114" spans="1:7" x14ac:dyDescent="0.25">
      <c r="A13114" t="s">
        <v>40572</v>
      </c>
      <c r="B13114" t="s">
        <v>40710</v>
      </c>
      <c r="C13114" t="s">
        <v>40700</v>
      </c>
      <c r="D13114" t="s">
        <v>40701</v>
      </c>
      <c r="E13114" t="s">
        <v>40702</v>
      </c>
      <c r="F13114" t="s">
        <v>40711</v>
      </c>
      <c r="G13114" s="2" t="str">
        <f>HYPERLINK("https://probpalata.gov.ru/files/ИП180600087600005.jpeg","Скачать индивидуальный QR-код магазина")</f>
        <v>Скачать индивидуальный QR-код магазина</v>
      </c>
    </row>
    <row r="13115" spans="1:7" x14ac:dyDescent="0.25">
      <c r="A13115" t="s">
        <v>40572</v>
      </c>
      <c r="B13115" t="s">
        <v>40712</v>
      </c>
      <c r="C13115" t="s">
        <v>40713</v>
      </c>
      <c r="D13115" t="s">
        <v>40714</v>
      </c>
      <c r="E13115" t="s">
        <v>40715</v>
      </c>
      <c r="F13115" t="s">
        <v>40716</v>
      </c>
      <c r="G13115" s="2" t="str">
        <f>HYPERLINK("https://probpalata.gov.ru/files/ИП120603397700000.jpeg","Скачать индивидуальный QR-код магазина")</f>
        <v>Скачать индивидуальный QR-код магазина</v>
      </c>
    </row>
    <row r="13116" spans="1:7" x14ac:dyDescent="0.25">
      <c r="A13116" t="s">
        <v>40572</v>
      </c>
      <c r="B13116" t="s">
        <v>40717</v>
      </c>
      <c r="C13116" t="s">
        <v>4559</v>
      </c>
      <c r="D13116" t="s">
        <v>4560</v>
      </c>
      <c r="E13116" t="s">
        <v>4561</v>
      </c>
      <c r="F13116" t="s">
        <v>40718</v>
      </c>
      <c r="G13116" s="2" t="str">
        <f>HYPERLINK("https://probpalata.gov.ru/files/ИП440200822300001.jpeg","Скачать индивидуальный QR-код магазина")</f>
        <v>Скачать индивидуальный QR-код магазина</v>
      </c>
    </row>
    <row r="13117" spans="1:7" x14ac:dyDescent="0.25">
      <c r="A13117" t="s">
        <v>40572</v>
      </c>
      <c r="B13117" t="s">
        <v>40719</v>
      </c>
      <c r="C13117" t="s">
        <v>33474</v>
      </c>
      <c r="D13117" t="s">
        <v>33475</v>
      </c>
      <c r="E13117" t="s">
        <v>33476</v>
      </c>
      <c r="F13117" t="s">
        <v>40720</v>
      </c>
      <c r="G13117" s="2" t="str">
        <f>HYPERLINK("https://probpalata.gov.ru/files/ИП500100525400003.jpeg","Скачать индивидуальный QR-код магазина")</f>
        <v>Скачать индивидуальный QR-код магазина</v>
      </c>
    </row>
    <row r="13118" spans="1:7" x14ac:dyDescent="0.25">
      <c r="A13118" t="s">
        <v>40572</v>
      </c>
      <c r="B13118" t="s">
        <v>40721</v>
      </c>
      <c r="C13118" t="s">
        <v>681</v>
      </c>
      <c r="D13118" t="s">
        <v>682</v>
      </c>
      <c r="E13118" t="s">
        <v>683</v>
      </c>
      <c r="F13118" t="s">
        <v>40722</v>
      </c>
      <c r="G13118" s="2" t="str">
        <f>HYPERLINK("https://probpalata.gov.ru/files/ИП520600807800014.jpeg","Скачать индивидуальный QR-код магазина")</f>
        <v>Скачать индивидуальный QR-код магазина</v>
      </c>
    </row>
    <row r="13119" spans="1:7" x14ac:dyDescent="0.25">
      <c r="A13119" t="s">
        <v>40572</v>
      </c>
      <c r="B13119" t="s">
        <v>40723</v>
      </c>
      <c r="C13119" t="s">
        <v>2197</v>
      </c>
      <c r="D13119" t="s">
        <v>2198</v>
      </c>
      <c r="E13119" t="s">
        <v>2199</v>
      </c>
      <c r="F13119" t="s">
        <v>40724</v>
      </c>
      <c r="G13119" s="2" t="str">
        <f>HYPERLINK("https://probpalata.gov.ru/files/ИП630601425400097.jpeg","Скачать индивидуальный QR-код магазина")</f>
        <v>Скачать индивидуальный QR-код магазина</v>
      </c>
    </row>
    <row r="13120" spans="1:7" x14ac:dyDescent="0.25">
      <c r="A13120" t="s">
        <v>40572</v>
      </c>
      <c r="B13120" t="s">
        <v>40725</v>
      </c>
      <c r="C13120" t="s">
        <v>2197</v>
      </c>
      <c r="D13120" t="s">
        <v>2198</v>
      </c>
      <c r="E13120" t="s">
        <v>2199</v>
      </c>
      <c r="F13120" t="s">
        <v>40726</v>
      </c>
      <c r="G13120" s="2" t="str">
        <f>HYPERLINK("https://probpalata.gov.ru/files/ИП630601425400099.jpeg","Скачать индивидуальный QR-код магазина")</f>
        <v>Скачать индивидуальный QR-код магазина</v>
      </c>
    </row>
    <row r="13121" spans="1:7" x14ac:dyDescent="0.25">
      <c r="A13121" t="s">
        <v>40572</v>
      </c>
      <c r="B13121" t="s">
        <v>40727</v>
      </c>
      <c r="C13121" t="s">
        <v>1740</v>
      </c>
      <c r="D13121" t="s">
        <v>1741</v>
      </c>
      <c r="E13121" t="s">
        <v>1742</v>
      </c>
      <c r="F13121" t="s">
        <v>40728</v>
      </c>
      <c r="G13121" s="2" t="str">
        <f>HYPERLINK("https://probpalata.gov.ru/files/ЮЛ760201190700037.jpeg","Скачать индивидуальный QR-код магазина")</f>
        <v>Скачать индивидуальный QR-код магазина</v>
      </c>
    </row>
    <row r="13122" spans="1:7" x14ac:dyDescent="0.25">
      <c r="A13122" t="s">
        <v>40572</v>
      </c>
      <c r="B13122" t="s">
        <v>40729</v>
      </c>
      <c r="C13122" t="s">
        <v>713</v>
      </c>
      <c r="D13122" t="s">
        <v>714</v>
      </c>
      <c r="E13122" t="s">
        <v>715</v>
      </c>
      <c r="F13122" t="s">
        <v>40730</v>
      </c>
      <c r="G13122" s="2" t="str">
        <f>HYPERLINK("https://probpalata.gov.ru/files/ЮЛ770101216600098.jpeg","Скачать индивидуальный QR-код магазина")</f>
        <v>Скачать индивидуальный QR-код магазина</v>
      </c>
    </row>
    <row r="13123" spans="1:7" x14ac:dyDescent="0.25">
      <c r="A13123" t="s">
        <v>40572</v>
      </c>
      <c r="B13123" t="s">
        <v>40731</v>
      </c>
      <c r="C13123" t="s">
        <v>713</v>
      </c>
      <c r="D13123" t="s">
        <v>714</v>
      </c>
      <c r="E13123" t="s">
        <v>715</v>
      </c>
      <c r="F13123" t="s">
        <v>40732</v>
      </c>
      <c r="G13123" s="2" t="str">
        <f>HYPERLINK("https://probpalata.gov.ru/files/ЮЛ770101216600534.jpeg","Скачать индивидуальный QR-код магазина")</f>
        <v>Скачать индивидуальный QR-код магазина</v>
      </c>
    </row>
    <row r="13124" spans="1:7" x14ac:dyDescent="0.25">
      <c r="A13124" t="s">
        <v>40572</v>
      </c>
      <c r="B13124" t="s">
        <v>40733</v>
      </c>
      <c r="C13124" t="s">
        <v>713</v>
      </c>
      <c r="D13124" t="s">
        <v>714</v>
      </c>
      <c r="E13124" t="s">
        <v>715</v>
      </c>
      <c r="F13124" t="s">
        <v>40734</v>
      </c>
      <c r="G13124" s="2" t="str">
        <f>HYPERLINK("https://probpalata.gov.ru/files/ЮЛ770101216600740.jpeg","Скачать индивидуальный QR-код магазина")</f>
        <v>Скачать индивидуальный QR-код магазина</v>
      </c>
    </row>
    <row r="13125" spans="1:7" x14ac:dyDescent="0.25">
      <c r="A13125" t="s">
        <v>40572</v>
      </c>
      <c r="B13125" t="s">
        <v>40735</v>
      </c>
      <c r="C13125" t="s">
        <v>748</v>
      </c>
      <c r="D13125" t="s">
        <v>749</v>
      </c>
      <c r="E13125" t="s">
        <v>750</v>
      </c>
      <c r="F13125" t="s">
        <v>40736</v>
      </c>
      <c r="G13125" s="2" t="str">
        <f>HYPERLINK("https://probpalata.gov.ru/files/ЮЛ770100193500290.jpeg","Скачать индивидуальный QR-код магазина")</f>
        <v>Скачать индивидуальный QR-код магазина</v>
      </c>
    </row>
    <row r="13126" spans="1:7" x14ac:dyDescent="0.25">
      <c r="A13126" t="s">
        <v>40572</v>
      </c>
      <c r="B13126" t="s">
        <v>40737</v>
      </c>
      <c r="C13126" t="s">
        <v>748</v>
      </c>
      <c r="D13126" t="s">
        <v>749</v>
      </c>
      <c r="E13126" t="s">
        <v>750</v>
      </c>
      <c r="F13126" t="s">
        <v>40738</v>
      </c>
      <c r="G13126" s="2" t="str">
        <f>HYPERLINK("https://probpalata.gov.ru/files/ЮЛ770100193500607.jpeg","Скачать индивидуальный QR-код магазина")</f>
        <v>Скачать индивидуальный QR-код магазина</v>
      </c>
    </row>
    <row r="13127" spans="1:7" x14ac:dyDescent="0.25">
      <c r="A13127" t="s">
        <v>40572</v>
      </c>
      <c r="B13127" t="s">
        <v>40739</v>
      </c>
      <c r="C13127" t="s">
        <v>748</v>
      </c>
      <c r="D13127" t="s">
        <v>749</v>
      </c>
      <c r="E13127" t="s">
        <v>750</v>
      </c>
      <c r="F13127" t="s">
        <v>40740</v>
      </c>
      <c r="G13127" s="2" t="str">
        <f>HYPERLINK("https://probpalata.gov.ru/files/ЮЛ770100193501030.jpeg","Скачать индивидуальный QR-код магазина")</f>
        <v>Скачать индивидуальный QR-код магазина</v>
      </c>
    </row>
    <row r="13128" spans="1:7" x14ac:dyDescent="0.25">
      <c r="A13128" t="s">
        <v>40572</v>
      </c>
      <c r="B13128" t="s">
        <v>40741</v>
      </c>
      <c r="C13128" t="s">
        <v>773</v>
      </c>
      <c r="D13128" t="s">
        <v>774</v>
      </c>
      <c r="E13128" t="s">
        <v>775</v>
      </c>
      <c r="F13128" t="s">
        <v>40742</v>
      </c>
      <c r="G13128" s="2" t="str">
        <f>HYPERLINK("https://probpalata.gov.ru/files/ЮЛ780300131300229.jpeg","Скачать индивидуальный QR-код магазина")</f>
        <v>Скачать индивидуальный QR-код магазина</v>
      </c>
    </row>
    <row r="13129" spans="1:7" x14ac:dyDescent="0.25">
      <c r="A13129" t="s">
        <v>40572</v>
      </c>
      <c r="B13129" t="s">
        <v>40743</v>
      </c>
      <c r="C13129" t="s">
        <v>791</v>
      </c>
      <c r="D13129" t="s">
        <v>792</v>
      </c>
      <c r="E13129" t="s">
        <v>793</v>
      </c>
      <c r="F13129" t="s">
        <v>40744</v>
      </c>
      <c r="G13129" s="2" t="str">
        <f>HYPERLINK("https://probpalata.gov.ru/files/ЮЛ780300323500061.jpeg","Скачать индивидуальный QR-код магазина")</f>
        <v>Скачать индивидуальный QR-код магазина</v>
      </c>
    </row>
    <row r="13130" spans="1:7" x14ac:dyDescent="0.25">
      <c r="A13130" t="s">
        <v>40572</v>
      </c>
      <c r="B13130" t="s">
        <v>40745</v>
      </c>
      <c r="C13130" t="s">
        <v>798</v>
      </c>
      <c r="D13130" t="s">
        <v>799</v>
      </c>
      <c r="E13130" t="s">
        <v>800</v>
      </c>
      <c r="F13130" t="s">
        <v>40746</v>
      </c>
      <c r="G13130" s="2" t="str">
        <f>HYPERLINK("https://probpalata.gov.ru/files/ЮЛ780300308200431.jpeg","Скачать индивидуальный QR-код магазина")</f>
        <v>Скачать индивидуальный QR-код магазина</v>
      </c>
    </row>
    <row r="13131" spans="1:7" x14ac:dyDescent="0.25">
      <c r="A13131" t="s">
        <v>40572</v>
      </c>
      <c r="B13131" t="s">
        <v>40747</v>
      </c>
      <c r="C13131" t="s">
        <v>798</v>
      </c>
      <c r="D13131" t="s">
        <v>799</v>
      </c>
      <c r="E13131" t="s">
        <v>800</v>
      </c>
      <c r="F13131" t="s">
        <v>40748</v>
      </c>
      <c r="G13131" s="2" t="str">
        <f>HYPERLINK("https://probpalata.gov.ru/files/ЮЛ780300308200559.jpeg","Скачать индивидуальный QR-код магазина")</f>
        <v>Скачать индивидуальный QR-код магазина</v>
      </c>
    </row>
    <row r="13132" spans="1:7" x14ac:dyDescent="0.25">
      <c r="A13132" t="s">
        <v>40572</v>
      </c>
      <c r="B13132" t="s">
        <v>40749</v>
      </c>
      <c r="C13132" t="s">
        <v>823</v>
      </c>
      <c r="D13132" t="s">
        <v>824</v>
      </c>
      <c r="E13132" t="s">
        <v>825</v>
      </c>
      <c r="F13132" t="s">
        <v>40750</v>
      </c>
      <c r="G13132" s="2" t="str">
        <f>HYPERLINK("https://probpalata.gov.ru/files/ЮЛ780300363500108.jpeg","Скачать индивидуальный QR-код магазина")</f>
        <v>Скачать индивидуальный QR-код магазина</v>
      </c>
    </row>
    <row r="13133" spans="1:7" x14ac:dyDescent="0.25">
      <c r="A13133" t="s">
        <v>40751</v>
      </c>
      <c r="B13133" t="s">
        <v>40752</v>
      </c>
      <c r="C13133" t="s">
        <v>40753</v>
      </c>
      <c r="D13133" t="s">
        <v>40754</v>
      </c>
      <c r="E13133" t="s">
        <v>40755</v>
      </c>
      <c r="F13133" t="s">
        <v>40756</v>
      </c>
      <c r="G13133" s="2" t="str">
        <f>HYPERLINK("https://probpalata.gov.ru/files/ЮЛ130603183700000.jpeg","Скачать индивидуальный QR-код магазина")</f>
        <v>Скачать индивидуальный QR-код магазина</v>
      </c>
    </row>
    <row r="13134" spans="1:7" x14ac:dyDescent="0.25">
      <c r="A13134" t="s">
        <v>40751</v>
      </c>
      <c r="B13134" t="s">
        <v>40757</v>
      </c>
      <c r="C13134" t="s">
        <v>40758</v>
      </c>
      <c r="D13134" t="s">
        <v>40759</v>
      </c>
      <c r="E13134" t="s">
        <v>40760</v>
      </c>
      <c r="F13134" t="s">
        <v>40761</v>
      </c>
      <c r="G13134" s="2" t="str">
        <f>HYPERLINK("https://probpalata.gov.ru/files/ИП130603458700000.jpeg","Скачать индивидуальный QR-код магазина")</f>
        <v>Скачать индивидуальный QR-код магазина</v>
      </c>
    </row>
    <row r="13135" spans="1:7" x14ac:dyDescent="0.25">
      <c r="A13135" t="s">
        <v>40751</v>
      </c>
      <c r="B13135" t="s">
        <v>40762</v>
      </c>
      <c r="C13135" t="s">
        <v>40758</v>
      </c>
      <c r="D13135" t="s">
        <v>40759</v>
      </c>
      <c r="E13135" t="s">
        <v>40760</v>
      </c>
      <c r="F13135" t="s">
        <v>40763</v>
      </c>
      <c r="G13135" s="2" t="str">
        <f>HYPERLINK("https://probpalata.gov.ru/files/ИП130603458700001.jpeg","Скачать индивидуальный QR-код магазина")</f>
        <v>Скачать индивидуальный QR-код магазина</v>
      </c>
    </row>
    <row r="13136" spans="1:7" x14ac:dyDescent="0.25">
      <c r="A13136" t="s">
        <v>40751</v>
      </c>
      <c r="B13136" t="s">
        <v>40764</v>
      </c>
      <c r="C13136" t="s">
        <v>40765</v>
      </c>
      <c r="D13136" t="s">
        <v>40766</v>
      </c>
      <c r="E13136" t="s">
        <v>40767</v>
      </c>
      <c r="F13136" t="s">
        <v>40768</v>
      </c>
      <c r="G13136" s="2" t="str">
        <f>HYPERLINK("https://probpalata.gov.ru/files/ИП130603140700000.jpeg","Скачать индивидуальный QR-код магазина")</f>
        <v>Скачать индивидуальный QR-код магазина</v>
      </c>
    </row>
    <row r="13137" spans="1:7" x14ac:dyDescent="0.25">
      <c r="A13137" t="s">
        <v>40751</v>
      </c>
      <c r="B13137" t="s">
        <v>40769</v>
      </c>
      <c r="C13137" t="s">
        <v>40770</v>
      </c>
      <c r="D13137" t="s">
        <v>40771</v>
      </c>
      <c r="E13137" t="s">
        <v>40772</v>
      </c>
      <c r="F13137" t="s">
        <v>40773</v>
      </c>
      <c r="G13137" s="2" t="str">
        <f>HYPERLINK("https://probpalata.gov.ru/files/ИП130601210900000.jpeg","Скачать индивидуальный QR-код магазина")</f>
        <v>Скачать индивидуальный QR-код магазина</v>
      </c>
    </row>
    <row r="13138" spans="1:7" x14ac:dyDescent="0.25">
      <c r="A13138" t="s">
        <v>40751</v>
      </c>
      <c r="B13138" t="s">
        <v>40774</v>
      </c>
      <c r="C13138" t="s">
        <v>40775</v>
      </c>
      <c r="D13138" t="s">
        <v>40776</v>
      </c>
      <c r="E13138" t="s">
        <v>40777</v>
      </c>
      <c r="F13138" t="s">
        <v>40778</v>
      </c>
      <c r="G13138" s="2" t="str">
        <f>HYPERLINK("https://probpalata.gov.ru/files/ИП130600313600000.jpeg","Скачать индивидуальный QR-код магазина")</f>
        <v>Скачать индивидуальный QR-код магазина</v>
      </c>
    </row>
    <row r="13139" spans="1:7" x14ac:dyDescent="0.25">
      <c r="A13139" t="s">
        <v>40751</v>
      </c>
      <c r="B13139" t="s">
        <v>40779</v>
      </c>
      <c r="C13139" t="s">
        <v>40780</v>
      </c>
      <c r="D13139" t="s">
        <v>40781</v>
      </c>
      <c r="E13139" t="s">
        <v>40782</v>
      </c>
      <c r="F13139" t="s">
        <v>40783</v>
      </c>
      <c r="G13139" s="2" t="str">
        <f>HYPERLINK("https://probpalata.gov.ru/files/ИП130600489300000.jpeg","Скачать индивидуальный QR-код магазина")</f>
        <v>Скачать индивидуальный QR-код магазина</v>
      </c>
    </row>
    <row r="13140" spans="1:7" x14ac:dyDescent="0.25">
      <c r="A13140" t="s">
        <v>40751</v>
      </c>
      <c r="B13140" t="s">
        <v>40784</v>
      </c>
      <c r="C13140" t="s">
        <v>40785</v>
      </c>
      <c r="D13140" t="s">
        <v>40786</v>
      </c>
      <c r="E13140" t="s">
        <v>40787</v>
      </c>
      <c r="F13140" t="s">
        <v>40788</v>
      </c>
      <c r="G13140" s="2" t="str">
        <f>HYPERLINK("https://probpalata.gov.ru/files/ИП130603130800000.jpeg","Скачать индивидуальный QR-код магазина")</f>
        <v>Скачать индивидуальный QR-код магазина</v>
      </c>
    </row>
    <row r="13141" spans="1:7" x14ac:dyDescent="0.25">
      <c r="A13141" t="s">
        <v>40751</v>
      </c>
      <c r="B13141" t="s">
        <v>40789</v>
      </c>
      <c r="C13141" t="s">
        <v>40785</v>
      </c>
      <c r="D13141" t="s">
        <v>40786</v>
      </c>
      <c r="E13141" t="s">
        <v>40787</v>
      </c>
      <c r="F13141" t="s">
        <v>40790</v>
      </c>
      <c r="G13141" s="2" t="str">
        <f>HYPERLINK("https://probpalata.gov.ru/files/ИП130603130800001.jpeg","Скачать индивидуальный QR-код магазина")</f>
        <v>Скачать индивидуальный QR-код магазина</v>
      </c>
    </row>
    <row r="13142" spans="1:7" x14ac:dyDescent="0.25">
      <c r="A13142" t="s">
        <v>40751</v>
      </c>
      <c r="B13142" t="s">
        <v>40791</v>
      </c>
      <c r="C13142" t="s">
        <v>40792</v>
      </c>
      <c r="D13142" t="s">
        <v>40793</v>
      </c>
      <c r="E13142" t="s">
        <v>40794</v>
      </c>
      <c r="F13142" t="s">
        <v>40795</v>
      </c>
      <c r="G13142" s="2" t="str">
        <f>HYPERLINK("https://probpalata.gov.ru/files/ИП130603140300000.jpeg","Скачать индивидуальный QR-код магазина")</f>
        <v>Скачать индивидуальный QR-код магазина</v>
      </c>
    </row>
    <row r="13143" spans="1:7" x14ac:dyDescent="0.25">
      <c r="A13143" t="s">
        <v>40751</v>
      </c>
      <c r="B13143" t="s">
        <v>40796</v>
      </c>
      <c r="C13143" t="s">
        <v>40797</v>
      </c>
      <c r="D13143" t="s">
        <v>40798</v>
      </c>
      <c r="E13143" t="s">
        <v>40799</v>
      </c>
      <c r="F13143" t="s">
        <v>40800</v>
      </c>
      <c r="G13143" s="2" t="str">
        <f>HYPERLINK("https://probpalata.gov.ru/files/ИП130603507300000.jpeg","Скачать индивидуальный QR-код магазина")</f>
        <v>Скачать индивидуальный QR-код магазина</v>
      </c>
    </row>
    <row r="13144" spans="1:7" x14ac:dyDescent="0.25">
      <c r="A13144" t="s">
        <v>40751</v>
      </c>
      <c r="B13144" t="s">
        <v>40801</v>
      </c>
      <c r="C13144" t="s">
        <v>40802</v>
      </c>
      <c r="D13144" t="s">
        <v>40803</v>
      </c>
      <c r="E13144" t="s">
        <v>40804</v>
      </c>
      <c r="F13144" t="s">
        <v>40805</v>
      </c>
      <c r="G13144" s="2" t="str">
        <f>HYPERLINK("https://probpalata.gov.ru/files/ИП130603455900000.jpeg","Скачать индивидуальный QR-код магазина")</f>
        <v>Скачать индивидуальный QR-код магазина</v>
      </c>
    </row>
    <row r="13145" spans="1:7" x14ac:dyDescent="0.25">
      <c r="A13145" t="s">
        <v>40751</v>
      </c>
      <c r="B13145" t="s">
        <v>40806</v>
      </c>
      <c r="C13145" t="s">
        <v>40807</v>
      </c>
      <c r="D13145" t="s">
        <v>40808</v>
      </c>
      <c r="E13145" t="s">
        <v>40809</v>
      </c>
      <c r="F13145" t="s">
        <v>40810</v>
      </c>
      <c r="G13145" s="2" t="str">
        <f>HYPERLINK("https://probpalata.gov.ru/files/ИП130601144200000.jpeg","Скачать индивидуальный QR-код магазина")</f>
        <v>Скачать индивидуальный QR-код магазина</v>
      </c>
    </row>
    <row r="13146" spans="1:7" x14ac:dyDescent="0.25">
      <c r="A13146" t="s">
        <v>40751</v>
      </c>
      <c r="B13146" t="s">
        <v>40811</v>
      </c>
      <c r="C13146" t="s">
        <v>40812</v>
      </c>
      <c r="D13146" t="s">
        <v>40813</v>
      </c>
      <c r="E13146" t="s">
        <v>40814</v>
      </c>
      <c r="F13146" t="s">
        <v>40815</v>
      </c>
      <c r="G13146" s="2" t="str">
        <f>HYPERLINK("https://probpalata.gov.ru/files/ИП130601529800000.jpeg","Скачать индивидуальный QR-код магазина")</f>
        <v>Скачать индивидуальный QR-код магазина</v>
      </c>
    </row>
    <row r="13147" spans="1:7" x14ac:dyDescent="0.25">
      <c r="A13147" t="s">
        <v>40751</v>
      </c>
      <c r="B13147" t="s">
        <v>40816</v>
      </c>
      <c r="C13147" t="s">
        <v>40812</v>
      </c>
      <c r="D13147" t="s">
        <v>40813</v>
      </c>
      <c r="E13147" t="s">
        <v>40814</v>
      </c>
      <c r="F13147" t="s">
        <v>40817</v>
      </c>
      <c r="G13147" s="2" t="str">
        <f>HYPERLINK("https://probpalata.gov.ru/files/ИП130601529800001.jpeg","Скачать индивидуальный QR-код магазина")</f>
        <v>Скачать индивидуальный QR-код магазина</v>
      </c>
    </row>
    <row r="13148" spans="1:7" x14ac:dyDescent="0.25">
      <c r="A13148" t="s">
        <v>40751</v>
      </c>
      <c r="B13148" t="s">
        <v>40818</v>
      </c>
      <c r="C13148" t="s">
        <v>40812</v>
      </c>
      <c r="D13148" t="s">
        <v>40813</v>
      </c>
      <c r="E13148" t="s">
        <v>40814</v>
      </c>
      <c r="F13148" t="s">
        <v>40819</v>
      </c>
      <c r="G13148" s="2" t="str">
        <f>HYPERLINK("https://probpalata.gov.ru/files/ИП130601529800004.jpeg","Скачать индивидуальный QR-код магазина")</f>
        <v>Скачать индивидуальный QR-код магазина</v>
      </c>
    </row>
    <row r="13149" spans="1:7" x14ac:dyDescent="0.25">
      <c r="A13149" t="s">
        <v>40751</v>
      </c>
      <c r="B13149" t="s">
        <v>40820</v>
      </c>
      <c r="C13149" t="s">
        <v>40821</v>
      </c>
      <c r="D13149" t="s">
        <v>40822</v>
      </c>
      <c r="E13149" t="s">
        <v>40823</v>
      </c>
      <c r="F13149" t="s">
        <v>40824</v>
      </c>
      <c r="G13149" s="2" t="str">
        <f>HYPERLINK("https://probpalata.gov.ru/files/ИП130600127200000.jpeg","Скачать индивидуальный QR-код магазина")</f>
        <v>Скачать индивидуальный QR-код магазина</v>
      </c>
    </row>
    <row r="13150" spans="1:7" x14ac:dyDescent="0.25">
      <c r="A13150" t="s">
        <v>40751</v>
      </c>
      <c r="B13150" t="s">
        <v>40825</v>
      </c>
      <c r="C13150" t="s">
        <v>6443</v>
      </c>
      <c r="D13150" t="s">
        <v>6444</v>
      </c>
      <c r="E13150" t="s">
        <v>6445</v>
      </c>
      <c r="F13150" t="s">
        <v>40826</v>
      </c>
      <c r="G13150" s="2" t="str">
        <f>HYPERLINK("https://probpalata.gov.ru/files/ИП520600153500009.jpeg","Скачать индивидуальный QR-код магазина")</f>
        <v>Скачать индивидуальный QR-код магазина</v>
      </c>
    </row>
    <row r="13151" spans="1:7" x14ac:dyDescent="0.25">
      <c r="A13151" t="s">
        <v>40751</v>
      </c>
      <c r="B13151" t="s">
        <v>40827</v>
      </c>
      <c r="C13151" t="s">
        <v>6443</v>
      </c>
      <c r="D13151" t="s">
        <v>6444</v>
      </c>
      <c r="E13151" t="s">
        <v>6445</v>
      </c>
      <c r="F13151" t="s">
        <v>40828</v>
      </c>
      <c r="G13151" s="2" t="str">
        <f>HYPERLINK("https://probpalata.gov.ru/files/ИП520600153500012.jpeg","Скачать индивидуальный QR-код магазина")</f>
        <v>Скачать индивидуальный QR-код магазина</v>
      </c>
    </row>
    <row r="13152" spans="1:7" x14ac:dyDescent="0.25">
      <c r="A13152" t="s">
        <v>40751</v>
      </c>
      <c r="B13152" t="s">
        <v>40829</v>
      </c>
      <c r="C13152" t="s">
        <v>30207</v>
      </c>
      <c r="D13152" t="s">
        <v>30208</v>
      </c>
      <c r="E13152" t="s">
        <v>30209</v>
      </c>
      <c r="F13152" t="s">
        <v>40830</v>
      </c>
      <c r="G13152" s="2" t="str">
        <f>HYPERLINK("https://probpalata.gov.ru/files/ИП370200423500000.jpeg","Скачать индивидуальный QR-код магазина")</f>
        <v>Скачать индивидуальный QR-код магазина</v>
      </c>
    </row>
    <row r="13153" spans="1:7" x14ac:dyDescent="0.25">
      <c r="A13153" t="s">
        <v>40751</v>
      </c>
      <c r="B13153" t="s">
        <v>40831</v>
      </c>
      <c r="C13153" t="s">
        <v>30207</v>
      </c>
      <c r="D13153" t="s">
        <v>30208</v>
      </c>
      <c r="E13153" t="s">
        <v>30209</v>
      </c>
      <c r="F13153" t="s">
        <v>40832</v>
      </c>
      <c r="G13153" s="2" t="str">
        <f>HYPERLINK("https://probpalata.gov.ru/files/ИП370200423500001.jpeg","Скачать индивидуальный QR-код магазина")</f>
        <v>Скачать индивидуальный QR-код магазина</v>
      </c>
    </row>
    <row r="13154" spans="1:7" x14ac:dyDescent="0.25">
      <c r="A13154" t="s">
        <v>40751</v>
      </c>
      <c r="B13154" t="s">
        <v>40833</v>
      </c>
      <c r="C13154" t="s">
        <v>30207</v>
      </c>
      <c r="D13154" t="s">
        <v>30208</v>
      </c>
      <c r="E13154" t="s">
        <v>30209</v>
      </c>
      <c r="F13154" t="s">
        <v>40834</v>
      </c>
      <c r="G13154" s="2" t="str">
        <f>HYPERLINK("https://probpalata.gov.ru/files/ИП370200423500002.jpeg","Скачать индивидуальный QR-код магазина")</f>
        <v>Скачать индивидуальный QR-код магазина</v>
      </c>
    </row>
    <row r="13155" spans="1:7" x14ac:dyDescent="0.25">
      <c r="A13155" t="s">
        <v>40751</v>
      </c>
      <c r="B13155" t="s">
        <v>40835</v>
      </c>
      <c r="C13155" t="s">
        <v>30207</v>
      </c>
      <c r="D13155" t="s">
        <v>30208</v>
      </c>
      <c r="E13155" t="s">
        <v>30209</v>
      </c>
      <c r="F13155" t="s">
        <v>40836</v>
      </c>
      <c r="G13155" s="2" t="str">
        <f>HYPERLINK("https://probpalata.gov.ru/files/ИП370200423500004.jpeg","Скачать индивидуальный QR-код магазина")</f>
        <v>Скачать индивидуальный QR-код магазина</v>
      </c>
    </row>
    <row r="13156" spans="1:7" x14ac:dyDescent="0.25">
      <c r="A13156" t="s">
        <v>40751</v>
      </c>
      <c r="B13156" t="s">
        <v>40837</v>
      </c>
      <c r="C13156" t="s">
        <v>30207</v>
      </c>
      <c r="D13156" t="s">
        <v>30208</v>
      </c>
      <c r="E13156" t="s">
        <v>30209</v>
      </c>
      <c r="F13156" t="s">
        <v>40838</v>
      </c>
      <c r="G13156" s="2" t="str">
        <f>HYPERLINK("https://probpalata.gov.ru/files/ИП370200423500010.jpeg","Скачать индивидуальный QR-код магазина")</f>
        <v>Скачать индивидуальный QR-код магазина</v>
      </c>
    </row>
    <row r="13157" spans="1:7" x14ac:dyDescent="0.25">
      <c r="A13157" t="s">
        <v>40751</v>
      </c>
      <c r="B13157" t="s">
        <v>40839</v>
      </c>
      <c r="C13157" t="s">
        <v>30207</v>
      </c>
      <c r="D13157" t="s">
        <v>30208</v>
      </c>
      <c r="E13157" t="s">
        <v>30209</v>
      </c>
      <c r="F13157" t="s">
        <v>40840</v>
      </c>
      <c r="G13157" s="2" t="str">
        <f>HYPERLINK("https://probpalata.gov.ru/files/ИП370200423500016.jpeg","Скачать индивидуальный QR-код магазина")</f>
        <v>Скачать индивидуальный QR-код магазина</v>
      </c>
    </row>
    <row r="13158" spans="1:7" x14ac:dyDescent="0.25">
      <c r="A13158" t="s">
        <v>40751</v>
      </c>
      <c r="B13158" t="s">
        <v>40841</v>
      </c>
      <c r="C13158" t="s">
        <v>2185</v>
      </c>
      <c r="D13158" t="s">
        <v>2186</v>
      </c>
      <c r="E13158" t="s">
        <v>2187</v>
      </c>
      <c r="F13158" t="s">
        <v>40842</v>
      </c>
      <c r="G13158" s="2" t="str">
        <f>HYPERLINK("https://probpalata.gov.ru/files/ЮЛ480100215000024.jpeg","Скачать индивидуальный QR-код магазина")</f>
        <v>Скачать индивидуальный QR-код магазина</v>
      </c>
    </row>
    <row r="13159" spans="1:7" x14ac:dyDescent="0.25">
      <c r="A13159" t="s">
        <v>40751</v>
      </c>
      <c r="B13159" t="s">
        <v>40843</v>
      </c>
      <c r="C13159" t="s">
        <v>681</v>
      </c>
      <c r="D13159" t="s">
        <v>682</v>
      </c>
      <c r="E13159" t="s">
        <v>683</v>
      </c>
      <c r="F13159" t="s">
        <v>40844</v>
      </c>
      <c r="G13159" s="2" t="str">
        <f>HYPERLINK("https://probpalata.gov.ru/files/ИП520600807800022.jpeg","Скачать индивидуальный QR-код магазина")</f>
        <v>Скачать индивидуальный QR-код магазина</v>
      </c>
    </row>
    <row r="13160" spans="1:7" x14ac:dyDescent="0.25">
      <c r="A13160" t="s">
        <v>40751</v>
      </c>
      <c r="B13160" t="s">
        <v>40845</v>
      </c>
      <c r="C13160" t="s">
        <v>3116</v>
      </c>
      <c r="D13160" t="s">
        <v>3117</v>
      </c>
      <c r="E13160" t="s">
        <v>3118</v>
      </c>
      <c r="F13160" t="s">
        <v>40846</v>
      </c>
      <c r="G13160" s="2" t="str">
        <f>HYPERLINK("https://probpalata.gov.ru/files/ИП520601790200021.jpeg","Скачать индивидуальный QR-код магазина")</f>
        <v>Скачать индивидуальный QR-код магазина</v>
      </c>
    </row>
    <row r="13161" spans="1:7" x14ac:dyDescent="0.25">
      <c r="A13161" t="s">
        <v>40751</v>
      </c>
      <c r="B13161" t="s">
        <v>40847</v>
      </c>
      <c r="C13161" t="s">
        <v>33949</v>
      </c>
      <c r="D13161" t="s">
        <v>33950</v>
      </c>
      <c r="E13161" t="s">
        <v>33951</v>
      </c>
      <c r="F13161" t="s">
        <v>40848</v>
      </c>
      <c r="G13161" s="2" t="str">
        <f>HYPERLINK("https://probpalata.gov.ru/files/ИП630603381400002.jpeg","Скачать индивидуальный QR-код магазина")</f>
        <v>Скачать индивидуальный QR-код магазина</v>
      </c>
    </row>
    <row r="13162" spans="1:7" x14ac:dyDescent="0.25">
      <c r="A13162" t="s">
        <v>40751</v>
      </c>
      <c r="B13162" t="s">
        <v>40849</v>
      </c>
      <c r="C13162" t="s">
        <v>33949</v>
      </c>
      <c r="D13162" t="s">
        <v>33950</v>
      </c>
      <c r="E13162" t="s">
        <v>33951</v>
      </c>
      <c r="F13162" t="s">
        <v>40850</v>
      </c>
      <c r="G13162" s="2" t="str">
        <f>HYPERLINK("https://probpalata.gov.ru/files/ИП630603381400012.jpeg","Скачать индивидуальный QR-код магазина")</f>
        <v>Скачать индивидуальный QR-код магазина</v>
      </c>
    </row>
    <row r="13163" spans="1:7" x14ac:dyDescent="0.25">
      <c r="A13163" t="s">
        <v>40751</v>
      </c>
      <c r="B13163" t="s">
        <v>40849</v>
      </c>
      <c r="C13163" t="s">
        <v>2197</v>
      </c>
      <c r="D13163" t="s">
        <v>2198</v>
      </c>
      <c r="E13163" t="s">
        <v>2199</v>
      </c>
      <c r="F13163" t="s">
        <v>40851</v>
      </c>
      <c r="G13163" s="2" t="str">
        <f>HYPERLINK("https://probpalata.gov.ru/files/ИП630601425400028.jpeg","Скачать индивидуальный QR-код магазина")</f>
        <v>Скачать индивидуальный QR-код магазина</v>
      </c>
    </row>
    <row r="13164" spans="1:7" x14ac:dyDescent="0.25">
      <c r="A13164" t="s">
        <v>40751</v>
      </c>
      <c r="B13164" t="s">
        <v>40852</v>
      </c>
      <c r="C13164" t="s">
        <v>3828</v>
      </c>
      <c r="D13164" t="s">
        <v>3829</v>
      </c>
      <c r="E13164" t="s">
        <v>3830</v>
      </c>
      <c r="F13164" t="s">
        <v>40853</v>
      </c>
      <c r="G13164" s="2" t="str">
        <f>HYPERLINK("https://probpalata.gov.ru/files/ЮЛ630603373600073.jpeg","Скачать индивидуальный QR-код магазина")</f>
        <v>Скачать индивидуальный QR-код магазина</v>
      </c>
    </row>
    <row r="13165" spans="1:7" x14ac:dyDescent="0.25">
      <c r="A13165" t="s">
        <v>40751</v>
      </c>
      <c r="B13165" t="s">
        <v>40847</v>
      </c>
      <c r="C13165" t="s">
        <v>40854</v>
      </c>
      <c r="D13165" t="s">
        <v>40855</v>
      </c>
      <c r="E13165" t="s">
        <v>40856</v>
      </c>
      <c r="F13165" t="s">
        <v>40857</v>
      </c>
      <c r="G13165" s="2" t="str">
        <f>HYPERLINK("https://probpalata.gov.ru/files/ИП630600581600015.jpeg","Скачать индивидуальный QR-код магазина")</f>
        <v>Скачать индивидуальный QR-код магазина</v>
      </c>
    </row>
    <row r="13166" spans="1:7" x14ac:dyDescent="0.25">
      <c r="A13166" t="s">
        <v>40751</v>
      </c>
      <c r="B13166" t="s">
        <v>40858</v>
      </c>
      <c r="C13166" t="s">
        <v>713</v>
      </c>
      <c r="D13166" t="s">
        <v>714</v>
      </c>
      <c r="E13166" t="s">
        <v>715</v>
      </c>
      <c r="F13166" t="s">
        <v>40859</v>
      </c>
      <c r="G13166" s="2" t="str">
        <f>HYPERLINK("https://probpalata.gov.ru/files/ЮЛ770101216600134.jpeg","Скачать индивидуальный QR-код магазина")</f>
        <v>Скачать индивидуальный QR-код магазина</v>
      </c>
    </row>
    <row r="13167" spans="1:7" x14ac:dyDescent="0.25">
      <c r="A13167" t="s">
        <v>40751</v>
      </c>
      <c r="B13167" t="s">
        <v>40860</v>
      </c>
      <c r="C13167" t="s">
        <v>713</v>
      </c>
      <c r="D13167" t="s">
        <v>714</v>
      </c>
      <c r="E13167" t="s">
        <v>715</v>
      </c>
      <c r="F13167" t="s">
        <v>40861</v>
      </c>
      <c r="G13167" s="2" t="str">
        <f>HYPERLINK("https://probpalata.gov.ru/files/ЮЛ770101216600256.jpeg","Скачать индивидуальный QR-код магазина")</f>
        <v>Скачать индивидуальный QR-код магазина</v>
      </c>
    </row>
    <row r="13168" spans="1:7" x14ac:dyDescent="0.25">
      <c r="A13168" t="s">
        <v>40751</v>
      </c>
      <c r="B13168" t="s">
        <v>40862</v>
      </c>
      <c r="C13168" t="s">
        <v>713</v>
      </c>
      <c r="D13168" t="s">
        <v>714</v>
      </c>
      <c r="E13168" t="s">
        <v>715</v>
      </c>
      <c r="F13168" t="s">
        <v>40863</v>
      </c>
      <c r="G13168" s="2" t="str">
        <f>HYPERLINK("https://probpalata.gov.ru/files/ЮЛ770101216600421.jpeg","Скачать индивидуальный QR-код магазина")</f>
        <v>Скачать индивидуальный QR-код магазина</v>
      </c>
    </row>
    <row r="13169" spans="1:7" x14ac:dyDescent="0.25">
      <c r="A13169" t="s">
        <v>40751</v>
      </c>
      <c r="B13169" t="s">
        <v>40864</v>
      </c>
      <c r="C13169" t="s">
        <v>713</v>
      </c>
      <c r="D13169" t="s">
        <v>714</v>
      </c>
      <c r="E13169" t="s">
        <v>715</v>
      </c>
      <c r="F13169" t="s">
        <v>40865</v>
      </c>
      <c r="G13169" s="2" t="str">
        <f>HYPERLINK("https://probpalata.gov.ru/files/ЮЛ770101216600430.jpeg","Скачать индивидуальный QR-код магазина")</f>
        <v>Скачать индивидуальный QR-код магазина</v>
      </c>
    </row>
    <row r="13170" spans="1:7" x14ac:dyDescent="0.25">
      <c r="A13170" t="s">
        <v>40751</v>
      </c>
      <c r="B13170" t="s">
        <v>40866</v>
      </c>
      <c r="C13170" t="s">
        <v>713</v>
      </c>
      <c r="D13170" t="s">
        <v>714</v>
      </c>
      <c r="E13170" t="s">
        <v>715</v>
      </c>
      <c r="F13170" t="s">
        <v>40867</v>
      </c>
      <c r="G13170" s="2" t="str">
        <f>HYPERLINK("https://probpalata.gov.ru/files/ЮЛ770101216600908.jpeg","Скачать индивидуальный QR-код магазина")</f>
        <v>Скачать индивидуальный QR-код магазина</v>
      </c>
    </row>
    <row r="13171" spans="1:7" x14ac:dyDescent="0.25">
      <c r="A13171" t="s">
        <v>40751</v>
      </c>
      <c r="B13171" t="s">
        <v>40868</v>
      </c>
      <c r="C13171" t="s">
        <v>748</v>
      </c>
      <c r="D13171" t="s">
        <v>749</v>
      </c>
      <c r="E13171" t="s">
        <v>750</v>
      </c>
      <c r="F13171" t="s">
        <v>40869</v>
      </c>
      <c r="G13171" s="2" t="str">
        <f>HYPERLINK("https://probpalata.gov.ru/files/ЮЛ770100193500291.jpeg","Скачать индивидуальный QR-код магазина")</f>
        <v>Скачать индивидуальный QR-код магазина</v>
      </c>
    </row>
    <row r="13172" spans="1:7" x14ac:dyDescent="0.25">
      <c r="A13172" t="s">
        <v>40751</v>
      </c>
      <c r="B13172" t="s">
        <v>40870</v>
      </c>
      <c r="C13172" t="s">
        <v>748</v>
      </c>
      <c r="D13172" t="s">
        <v>749</v>
      </c>
      <c r="E13172" t="s">
        <v>750</v>
      </c>
      <c r="F13172" t="s">
        <v>40871</v>
      </c>
      <c r="G13172" s="2" t="str">
        <f>HYPERLINK("https://probpalata.gov.ru/files/ЮЛ770100193500502.jpeg","Скачать индивидуальный QR-код магазина")</f>
        <v>Скачать индивидуальный QR-код магазина</v>
      </c>
    </row>
    <row r="13173" spans="1:7" x14ac:dyDescent="0.25">
      <c r="A13173" t="s">
        <v>40751</v>
      </c>
      <c r="B13173" t="s">
        <v>40872</v>
      </c>
      <c r="C13173" t="s">
        <v>748</v>
      </c>
      <c r="D13173" t="s">
        <v>749</v>
      </c>
      <c r="E13173" t="s">
        <v>750</v>
      </c>
      <c r="F13173" t="s">
        <v>40873</v>
      </c>
      <c r="G13173" s="2" t="str">
        <f>HYPERLINK("https://probpalata.gov.ru/files/ЮЛ770100193500622.jpeg","Скачать индивидуальный QR-код магазина")</f>
        <v>Скачать индивидуальный QR-код магазина</v>
      </c>
    </row>
    <row r="13174" spans="1:7" x14ac:dyDescent="0.25">
      <c r="A13174" t="s">
        <v>40751</v>
      </c>
      <c r="B13174" t="s">
        <v>40874</v>
      </c>
      <c r="C13174" t="s">
        <v>3634</v>
      </c>
      <c r="D13174" t="s">
        <v>25286</v>
      </c>
      <c r="E13174" t="s">
        <v>25287</v>
      </c>
      <c r="F13174" t="s">
        <v>40875</v>
      </c>
      <c r="G13174" s="2" t="str">
        <f>HYPERLINK("https://probpalata.gov.ru/files/ЮЛ770100417200004.jpeg","Скачать индивидуальный QR-код магазина")</f>
        <v>Скачать индивидуальный QR-код магазина</v>
      </c>
    </row>
    <row r="13175" spans="1:7" x14ac:dyDescent="0.25">
      <c r="A13175" t="s">
        <v>40751</v>
      </c>
      <c r="B13175" t="s">
        <v>40876</v>
      </c>
      <c r="C13175" t="s">
        <v>3634</v>
      </c>
      <c r="D13175" t="s">
        <v>25286</v>
      </c>
      <c r="E13175" t="s">
        <v>25287</v>
      </c>
      <c r="F13175" t="s">
        <v>40877</v>
      </c>
      <c r="G13175" s="2" t="str">
        <f>HYPERLINK("https://probpalata.gov.ru/files/ЮЛ770100417200005.jpeg","Скачать индивидуальный QR-код магазина")</f>
        <v>Скачать индивидуальный QR-код магазина</v>
      </c>
    </row>
    <row r="13176" spans="1:7" x14ac:dyDescent="0.25">
      <c r="A13176" t="s">
        <v>40751</v>
      </c>
      <c r="B13176" t="s">
        <v>40878</v>
      </c>
      <c r="C13176" t="s">
        <v>773</v>
      </c>
      <c r="D13176" t="s">
        <v>774</v>
      </c>
      <c r="E13176" t="s">
        <v>775</v>
      </c>
      <c r="F13176" t="s">
        <v>40879</v>
      </c>
      <c r="G13176" s="2" t="str">
        <f>HYPERLINK("https://probpalata.gov.ru/files/ЮЛ780300131300299.jpeg","Скачать индивидуальный QR-код магазина")</f>
        <v>Скачать индивидуальный QR-код магазина</v>
      </c>
    </row>
    <row r="13177" spans="1:7" x14ac:dyDescent="0.25">
      <c r="A13177" t="s">
        <v>40751</v>
      </c>
      <c r="B13177" t="s">
        <v>40880</v>
      </c>
      <c r="C13177" t="s">
        <v>773</v>
      </c>
      <c r="D13177" t="s">
        <v>774</v>
      </c>
      <c r="E13177" t="s">
        <v>775</v>
      </c>
      <c r="F13177" t="s">
        <v>40881</v>
      </c>
      <c r="G13177" s="2" t="str">
        <f>HYPERLINK("https://probpalata.gov.ru/files/ЮЛ780300131300300.jpeg","Скачать индивидуальный QR-код магазина")</f>
        <v>Скачать индивидуальный QR-код магазина</v>
      </c>
    </row>
    <row r="13178" spans="1:7" x14ac:dyDescent="0.25">
      <c r="A13178" t="s">
        <v>40751</v>
      </c>
      <c r="B13178" t="s">
        <v>40882</v>
      </c>
      <c r="C13178" t="s">
        <v>773</v>
      </c>
      <c r="D13178" t="s">
        <v>774</v>
      </c>
      <c r="E13178" t="s">
        <v>775</v>
      </c>
      <c r="F13178" t="s">
        <v>40883</v>
      </c>
      <c r="G13178" s="2" t="str">
        <f>HYPERLINK("https://probpalata.gov.ru/files/ЮЛ780300131300301.jpeg","Скачать индивидуальный QR-код магазина")</f>
        <v>Скачать индивидуальный QR-код магазина</v>
      </c>
    </row>
    <row r="13179" spans="1:7" x14ac:dyDescent="0.25">
      <c r="A13179" t="s">
        <v>40751</v>
      </c>
      <c r="B13179" t="s">
        <v>40884</v>
      </c>
      <c r="C13179" t="s">
        <v>773</v>
      </c>
      <c r="D13179" t="s">
        <v>774</v>
      </c>
      <c r="E13179" t="s">
        <v>775</v>
      </c>
      <c r="F13179" t="s">
        <v>40885</v>
      </c>
      <c r="G13179" s="2" t="str">
        <f>HYPERLINK("https://probpalata.gov.ru/files/ЮЛ780300131300566.jpeg","Скачать индивидуальный QR-код магазина")</f>
        <v>Скачать индивидуальный QR-код магазина</v>
      </c>
    </row>
    <row r="13180" spans="1:7" x14ac:dyDescent="0.25">
      <c r="A13180" t="s">
        <v>40751</v>
      </c>
      <c r="B13180" t="s">
        <v>40886</v>
      </c>
      <c r="C13180" t="s">
        <v>787</v>
      </c>
      <c r="D13180" t="s">
        <v>788</v>
      </c>
      <c r="E13180" t="s">
        <v>789</v>
      </c>
      <c r="F13180" t="s">
        <v>40887</v>
      </c>
      <c r="G13180" s="2" t="str">
        <f>HYPERLINK("https://probpalata.gov.ru/files/ЮЛ780300328000135.jpeg","Скачать индивидуальный QR-код магазина")</f>
        <v>Скачать индивидуальный QR-код магазина</v>
      </c>
    </row>
    <row r="13181" spans="1:7" x14ac:dyDescent="0.25">
      <c r="A13181" t="s">
        <v>40751</v>
      </c>
      <c r="B13181" t="s">
        <v>40888</v>
      </c>
      <c r="C13181" t="s">
        <v>4077</v>
      </c>
      <c r="D13181" t="s">
        <v>4078</v>
      </c>
      <c r="E13181" t="s">
        <v>4079</v>
      </c>
      <c r="F13181" t="s">
        <v>40889</v>
      </c>
      <c r="G13181" s="2" t="str">
        <f>HYPERLINK("https://probpalata.gov.ru/files/ЮЛ780300331800128.jpeg","Скачать индивидуальный QR-код магазина")</f>
        <v>Скачать индивидуальный QR-код магазина</v>
      </c>
    </row>
    <row r="13182" spans="1:7" x14ac:dyDescent="0.25">
      <c r="A13182" t="s">
        <v>40751</v>
      </c>
      <c r="B13182" t="s">
        <v>40890</v>
      </c>
      <c r="C13182" t="s">
        <v>791</v>
      </c>
      <c r="D13182" t="s">
        <v>792</v>
      </c>
      <c r="E13182" t="s">
        <v>793</v>
      </c>
      <c r="F13182" t="s">
        <v>40891</v>
      </c>
      <c r="G13182" s="2" t="str">
        <f>HYPERLINK("https://probpalata.gov.ru/files/ЮЛ780300323500026.jpeg","Скачать индивидуальный QR-код магазина")</f>
        <v>Скачать индивидуальный QR-код магазина</v>
      </c>
    </row>
    <row r="13183" spans="1:7" x14ac:dyDescent="0.25">
      <c r="A13183" t="s">
        <v>40751</v>
      </c>
      <c r="B13183" t="s">
        <v>40892</v>
      </c>
      <c r="C13183" t="s">
        <v>798</v>
      </c>
      <c r="D13183" t="s">
        <v>799</v>
      </c>
      <c r="E13183" t="s">
        <v>800</v>
      </c>
      <c r="F13183" t="s">
        <v>40893</v>
      </c>
      <c r="G13183" s="2" t="str">
        <f>HYPERLINK("https://probpalata.gov.ru/files/ЮЛ780300308200054.jpeg","Скачать индивидуальный QR-код магазина")</f>
        <v>Скачать индивидуальный QR-код магазина</v>
      </c>
    </row>
    <row r="13184" spans="1:7" x14ac:dyDescent="0.25">
      <c r="A13184" t="s">
        <v>40751</v>
      </c>
      <c r="B13184" t="s">
        <v>40894</v>
      </c>
      <c r="C13184" t="s">
        <v>798</v>
      </c>
      <c r="D13184" t="s">
        <v>799</v>
      </c>
      <c r="E13184" t="s">
        <v>800</v>
      </c>
      <c r="F13184" t="s">
        <v>40895</v>
      </c>
      <c r="G13184" s="2" t="str">
        <f>HYPERLINK("https://probpalata.gov.ru/files/ЮЛ780300308200055.jpeg","Скачать индивидуальный QR-код магазина")</f>
        <v>Скачать индивидуальный QR-код магазина</v>
      </c>
    </row>
    <row r="13185" spans="1:7" x14ac:dyDescent="0.25">
      <c r="A13185" t="s">
        <v>40751</v>
      </c>
      <c r="B13185" t="s">
        <v>40896</v>
      </c>
      <c r="C13185" t="s">
        <v>798</v>
      </c>
      <c r="D13185" t="s">
        <v>799</v>
      </c>
      <c r="E13185" t="s">
        <v>800</v>
      </c>
      <c r="F13185" t="s">
        <v>40897</v>
      </c>
      <c r="G13185" s="2" t="str">
        <f>HYPERLINK("https://probpalata.gov.ru/files/ЮЛ780300308200103.jpeg","Скачать индивидуальный QR-код магазина")</f>
        <v>Скачать индивидуальный QR-код магазина</v>
      </c>
    </row>
    <row r="13186" spans="1:7" x14ac:dyDescent="0.25">
      <c r="A13186" t="s">
        <v>40751</v>
      </c>
      <c r="B13186" t="s">
        <v>40898</v>
      </c>
      <c r="C13186" t="s">
        <v>798</v>
      </c>
      <c r="D13186" t="s">
        <v>799</v>
      </c>
      <c r="E13186" t="s">
        <v>800</v>
      </c>
      <c r="F13186" t="s">
        <v>40899</v>
      </c>
      <c r="G13186" s="2" t="str">
        <f>HYPERLINK("https://probpalata.gov.ru/files/ЮЛ780300308200104.jpeg","Скачать индивидуальный QR-код магазина")</f>
        <v>Скачать индивидуальный QR-код магазина</v>
      </c>
    </row>
    <row r="13187" spans="1:7" x14ac:dyDescent="0.25">
      <c r="A13187" t="s">
        <v>40751</v>
      </c>
      <c r="B13187" t="s">
        <v>40886</v>
      </c>
      <c r="C13187" t="s">
        <v>798</v>
      </c>
      <c r="D13187" t="s">
        <v>799</v>
      </c>
      <c r="E13187" t="s">
        <v>800</v>
      </c>
      <c r="F13187" t="s">
        <v>40900</v>
      </c>
      <c r="G13187" s="2" t="str">
        <f>HYPERLINK("https://probpalata.gov.ru/files/ЮЛ780300308200219.jpeg","Скачать индивидуальный QR-код магазина")</f>
        <v>Скачать индивидуальный QR-код магазина</v>
      </c>
    </row>
    <row r="13188" spans="1:7" x14ac:dyDescent="0.25">
      <c r="A13188" t="s">
        <v>40751</v>
      </c>
      <c r="B13188" t="s">
        <v>40901</v>
      </c>
      <c r="C13188" t="s">
        <v>798</v>
      </c>
      <c r="D13188" t="s">
        <v>799</v>
      </c>
      <c r="E13188" t="s">
        <v>800</v>
      </c>
      <c r="F13188" t="s">
        <v>40902</v>
      </c>
      <c r="G13188" s="2" t="str">
        <f>HYPERLINK("https://probpalata.gov.ru/files/ЮЛ780300308201116.jpeg","Скачать индивидуальный QR-код магазина")</f>
        <v>Скачать индивидуальный QR-код магазина</v>
      </c>
    </row>
    <row r="13189" spans="1:7" x14ac:dyDescent="0.25">
      <c r="A13189" t="s">
        <v>40751</v>
      </c>
      <c r="B13189" t="s">
        <v>40890</v>
      </c>
      <c r="C13189" t="s">
        <v>823</v>
      </c>
      <c r="D13189" t="s">
        <v>824</v>
      </c>
      <c r="E13189" t="s">
        <v>825</v>
      </c>
      <c r="F13189" t="s">
        <v>40903</v>
      </c>
      <c r="G13189" s="2" t="str">
        <f>HYPERLINK("https://probpalata.gov.ru/files/ЮЛ780300363500208.jpeg","Скачать индивидуальный QR-код магазина")</f>
        <v>Скачать индивидуальный QR-код магазина</v>
      </c>
    </row>
    <row r="13190" spans="1:7" x14ac:dyDescent="0.25">
      <c r="A13190" t="s">
        <v>40904</v>
      </c>
      <c r="B13190" t="s">
        <v>40905</v>
      </c>
      <c r="C13190" t="s">
        <v>40906</v>
      </c>
      <c r="D13190" t="s">
        <v>40907</v>
      </c>
      <c r="E13190" t="s">
        <v>40908</v>
      </c>
      <c r="F13190" t="s">
        <v>40909</v>
      </c>
      <c r="G13190" s="2" t="str">
        <f>HYPERLINK("https://probpalata.gov.ru/files/ИП140903817100002.jpeg","Скачать индивидуальный QR-код магазина")</f>
        <v>Скачать индивидуальный QR-код магазина</v>
      </c>
    </row>
    <row r="13191" spans="1:7" x14ac:dyDescent="0.25">
      <c r="A13191" t="s">
        <v>40904</v>
      </c>
      <c r="B13191" t="s">
        <v>40910</v>
      </c>
      <c r="C13191" t="s">
        <v>40906</v>
      </c>
      <c r="D13191" t="s">
        <v>40907</v>
      </c>
      <c r="E13191" t="s">
        <v>40908</v>
      </c>
      <c r="F13191" t="s">
        <v>40911</v>
      </c>
      <c r="G13191" s="2" t="str">
        <f>HYPERLINK("https://probpalata.gov.ru/files/ИП140903817100003.jpeg","Скачать индивидуальный QR-код магазина")</f>
        <v>Скачать индивидуальный QR-код магазина</v>
      </c>
    </row>
    <row r="13192" spans="1:7" x14ac:dyDescent="0.25">
      <c r="A13192" t="s">
        <v>40904</v>
      </c>
      <c r="B13192" t="s">
        <v>40912</v>
      </c>
      <c r="C13192" t="s">
        <v>40913</v>
      </c>
      <c r="D13192" t="s">
        <v>40914</v>
      </c>
      <c r="E13192" t="s">
        <v>40915</v>
      </c>
      <c r="F13192" t="s">
        <v>40916</v>
      </c>
      <c r="G13192" s="2" t="str">
        <f>HYPERLINK("https://probpalata.gov.ru/files/ЮЛ140903276400000.jpeg","Скачать индивидуальный QR-код магазина")</f>
        <v>Скачать индивидуальный QR-код магазина</v>
      </c>
    </row>
    <row r="13193" spans="1:7" x14ac:dyDescent="0.25">
      <c r="A13193" t="s">
        <v>40904</v>
      </c>
      <c r="B13193" t="s">
        <v>40917</v>
      </c>
      <c r="C13193" t="s">
        <v>40918</v>
      </c>
      <c r="D13193" t="s">
        <v>40919</v>
      </c>
      <c r="E13193" t="s">
        <v>40920</v>
      </c>
      <c r="F13193" t="s">
        <v>40921</v>
      </c>
      <c r="G13193" s="2" t="str">
        <f>HYPERLINK("https://probpalata.gov.ru/files/ЮЛ140903401000002.jpeg","Скачать индивидуальный QR-код магазина")</f>
        <v>Скачать индивидуальный QR-код магазина</v>
      </c>
    </row>
    <row r="13194" spans="1:7" x14ac:dyDescent="0.25">
      <c r="A13194" t="s">
        <v>40904</v>
      </c>
      <c r="B13194" t="s">
        <v>40922</v>
      </c>
      <c r="C13194" t="s">
        <v>40918</v>
      </c>
      <c r="D13194" t="s">
        <v>40919</v>
      </c>
      <c r="E13194" t="s">
        <v>40920</v>
      </c>
      <c r="F13194" t="s">
        <v>40923</v>
      </c>
      <c r="G13194" s="2" t="str">
        <f>HYPERLINK("https://probpalata.gov.ru/files/ЮЛ140903401000003.jpeg","Скачать индивидуальный QR-код магазина")</f>
        <v>Скачать индивидуальный QR-код магазина</v>
      </c>
    </row>
    <row r="13195" spans="1:7" x14ac:dyDescent="0.25">
      <c r="A13195" t="s">
        <v>40904</v>
      </c>
      <c r="B13195" t="s">
        <v>40924</v>
      </c>
      <c r="C13195" t="s">
        <v>40925</v>
      </c>
      <c r="D13195" t="s">
        <v>40926</v>
      </c>
      <c r="E13195" t="s">
        <v>40927</v>
      </c>
      <c r="F13195" t="s">
        <v>40928</v>
      </c>
      <c r="G13195" s="2" t="str">
        <f>HYPERLINK("https://probpalata.gov.ru/files/ЮЛ140903444200000.jpeg","Скачать индивидуальный QR-код магазина")</f>
        <v>Скачать индивидуальный QR-код магазина</v>
      </c>
    </row>
    <row r="13196" spans="1:7" x14ac:dyDescent="0.25">
      <c r="A13196" t="s">
        <v>40904</v>
      </c>
      <c r="B13196" t="s">
        <v>40929</v>
      </c>
      <c r="C13196" t="s">
        <v>40925</v>
      </c>
      <c r="D13196" t="s">
        <v>40926</v>
      </c>
      <c r="E13196" t="s">
        <v>40927</v>
      </c>
      <c r="F13196" t="s">
        <v>40930</v>
      </c>
      <c r="G13196" s="2" t="str">
        <f>HYPERLINK("https://probpalata.gov.ru/files/ЮЛ140903444200001.jpeg","Скачать индивидуальный QR-код магазина")</f>
        <v>Скачать индивидуальный QR-код магазина</v>
      </c>
    </row>
    <row r="13197" spans="1:7" x14ac:dyDescent="0.25">
      <c r="A13197" t="s">
        <v>40904</v>
      </c>
      <c r="B13197" t="s">
        <v>40931</v>
      </c>
      <c r="C13197" t="s">
        <v>40932</v>
      </c>
      <c r="D13197" t="s">
        <v>40933</v>
      </c>
      <c r="E13197" t="s">
        <v>40934</v>
      </c>
      <c r="F13197" t="s">
        <v>40935</v>
      </c>
      <c r="G13197" s="2" t="str">
        <f>HYPERLINK("https://probpalata.gov.ru/files/ЮЛ140903477400000.jpeg","Скачать индивидуальный QR-код магазина")</f>
        <v>Скачать индивидуальный QR-код магазина</v>
      </c>
    </row>
    <row r="13198" spans="1:7" x14ac:dyDescent="0.25">
      <c r="A13198" t="s">
        <v>40904</v>
      </c>
      <c r="B13198" t="s">
        <v>40936</v>
      </c>
      <c r="C13198" t="s">
        <v>40937</v>
      </c>
      <c r="D13198" t="s">
        <v>40938</v>
      </c>
      <c r="E13198" t="s">
        <v>40939</v>
      </c>
      <c r="F13198" t="s">
        <v>40940</v>
      </c>
      <c r="G13198" s="2" t="str">
        <f>HYPERLINK("https://probpalata.gov.ru/files/ИП140900781000000.jpeg","Скачать индивидуальный QR-код магазина")</f>
        <v>Скачать индивидуальный QR-код магазина</v>
      </c>
    </row>
    <row r="13199" spans="1:7" x14ac:dyDescent="0.25">
      <c r="A13199" t="s">
        <v>40904</v>
      </c>
      <c r="B13199" t="s">
        <v>40941</v>
      </c>
      <c r="C13199" t="s">
        <v>40937</v>
      </c>
      <c r="D13199" t="s">
        <v>40938</v>
      </c>
      <c r="E13199" t="s">
        <v>40939</v>
      </c>
      <c r="F13199" t="s">
        <v>40942</v>
      </c>
      <c r="G13199" s="2" t="str">
        <f>HYPERLINK("https://probpalata.gov.ru/files/ИП140900781000001.jpeg","Скачать индивидуальный QR-код магазина")</f>
        <v>Скачать индивидуальный QR-код магазина</v>
      </c>
    </row>
    <row r="13200" spans="1:7" x14ac:dyDescent="0.25">
      <c r="A13200" t="s">
        <v>40904</v>
      </c>
      <c r="B13200" t="s">
        <v>40943</v>
      </c>
      <c r="C13200" t="s">
        <v>40937</v>
      </c>
      <c r="D13200" t="s">
        <v>40938</v>
      </c>
      <c r="E13200" t="s">
        <v>40939</v>
      </c>
      <c r="F13200" t="s">
        <v>40944</v>
      </c>
      <c r="G13200" s="2" t="str">
        <f>HYPERLINK("https://probpalata.gov.ru/files/ИП140900781000002.jpeg","Скачать индивидуальный QR-код магазина")</f>
        <v>Скачать индивидуальный QR-код магазина</v>
      </c>
    </row>
    <row r="13201" spans="1:7" x14ac:dyDescent="0.25">
      <c r="A13201" t="s">
        <v>40904</v>
      </c>
      <c r="B13201" t="s">
        <v>40945</v>
      </c>
      <c r="C13201" t="s">
        <v>40946</v>
      </c>
      <c r="D13201" t="s">
        <v>40947</v>
      </c>
      <c r="E13201" t="s">
        <v>40948</v>
      </c>
      <c r="F13201" t="s">
        <v>40949</v>
      </c>
      <c r="G13201" s="2" t="str">
        <f>HYPERLINK("https://probpalata.gov.ru/files/ИП140901000800000.jpeg","Скачать индивидуальный QR-код магазина")</f>
        <v>Скачать индивидуальный QR-код магазина</v>
      </c>
    </row>
    <row r="13202" spans="1:7" x14ac:dyDescent="0.25">
      <c r="A13202" t="s">
        <v>40904</v>
      </c>
      <c r="B13202" t="s">
        <v>40950</v>
      </c>
      <c r="C13202" t="s">
        <v>40951</v>
      </c>
      <c r="D13202" t="s">
        <v>40952</v>
      </c>
      <c r="E13202" t="s">
        <v>40953</v>
      </c>
      <c r="F13202" t="s">
        <v>40954</v>
      </c>
      <c r="G13202" s="2" t="str">
        <f>HYPERLINK("https://probpalata.gov.ru/files/ИП140901867300000.jpeg","Скачать индивидуальный QR-код магазина")</f>
        <v>Скачать индивидуальный QR-код магазина</v>
      </c>
    </row>
    <row r="13203" spans="1:7" x14ac:dyDescent="0.25">
      <c r="A13203" t="s">
        <v>40904</v>
      </c>
      <c r="B13203" t="s">
        <v>40955</v>
      </c>
      <c r="C13203" t="s">
        <v>40956</v>
      </c>
      <c r="D13203" t="s">
        <v>40957</v>
      </c>
      <c r="E13203" t="s">
        <v>40958</v>
      </c>
      <c r="F13203" t="s">
        <v>40959</v>
      </c>
      <c r="G13203" s="2" t="str">
        <f>HYPERLINK("https://probpalata.gov.ru/files/ИП140903555800000.jpeg","Скачать индивидуальный QR-код магазина")</f>
        <v>Скачать индивидуальный QR-код магазина</v>
      </c>
    </row>
    <row r="13204" spans="1:7" x14ac:dyDescent="0.25">
      <c r="A13204" t="s">
        <v>40904</v>
      </c>
      <c r="B13204" t="s">
        <v>40960</v>
      </c>
      <c r="C13204" t="s">
        <v>40961</v>
      </c>
      <c r="D13204" t="s">
        <v>40962</v>
      </c>
      <c r="E13204" t="s">
        <v>40963</v>
      </c>
      <c r="F13204" t="s">
        <v>40964</v>
      </c>
      <c r="G13204" s="2" t="str">
        <f>HYPERLINK("https://probpalata.gov.ru/files/ИП140901411200000.jpeg","Скачать индивидуальный QR-код магазина")</f>
        <v>Скачать индивидуальный QR-код магазина</v>
      </c>
    </row>
    <row r="13205" spans="1:7" x14ac:dyDescent="0.25">
      <c r="A13205" t="s">
        <v>40904</v>
      </c>
      <c r="B13205" t="s">
        <v>40965</v>
      </c>
      <c r="C13205" t="s">
        <v>40966</v>
      </c>
      <c r="D13205" t="s">
        <v>40967</v>
      </c>
      <c r="E13205" t="s">
        <v>40968</v>
      </c>
      <c r="F13205" t="s">
        <v>40969</v>
      </c>
      <c r="G13205" s="2" t="str">
        <f>HYPERLINK("https://probpalata.gov.ru/files/ИП140901001600000.jpeg","Скачать индивидуальный QR-код магазина")</f>
        <v>Скачать индивидуальный QR-код магазина</v>
      </c>
    </row>
    <row r="13206" spans="1:7" x14ac:dyDescent="0.25">
      <c r="A13206" t="s">
        <v>40904</v>
      </c>
      <c r="B13206" t="s">
        <v>40970</v>
      </c>
      <c r="C13206" t="s">
        <v>40971</v>
      </c>
      <c r="D13206" t="s">
        <v>40972</v>
      </c>
      <c r="E13206" t="s">
        <v>40973</v>
      </c>
      <c r="F13206" t="s">
        <v>40974</v>
      </c>
      <c r="G13206" s="2" t="str">
        <f>HYPERLINK("https://probpalata.gov.ru/files/ЮЛ140900031500000.jpeg","Скачать индивидуальный QR-код магазина")</f>
        <v>Скачать индивидуальный QR-код магазина</v>
      </c>
    </row>
    <row r="13207" spans="1:7" x14ac:dyDescent="0.25">
      <c r="A13207" t="s">
        <v>40904</v>
      </c>
      <c r="B13207" t="s">
        <v>40975</v>
      </c>
      <c r="C13207" t="s">
        <v>40976</v>
      </c>
      <c r="D13207" t="s">
        <v>40977</v>
      </c>
      <c r="E13207" t="s">
        <v>40978</v>
      </c>
      <c r="F13207" t="s">
        <v>40979</v>
      </c>
      <c r="G13207" s="2" t="str">
        <f>HYPERLINK("https://probpalata.gov.ru/files/ИП140901090300000.jpeg","Скачать индивидуальный QR-код магазина")</f>
        <v>Скачать индивидуальный QR-код магазина</v>
      </c>
    </row>
    <row r="13208" spans="1:7" x14ac:dyDescent="0.25">
      <c r="A13208" t="s">
        <v>40904</v>
      </c>
      <c r="B13208" t="s">
        <v>40980</v>
      </c>
      <c r="C13208" t="s">
        <v>40981</v>
      </c>
      <c r="D13208" t="s">
        <v>40982</v>
      </c>
      <c r="E13208" t="s">
        <v>40983</v>
      </c>
      <c r="F13208" t="s">
        <v>40984</v>
      </c>
      <c r="G13208" s="2" t="str">
        <f>HYPERLINK("https://probpalata.gov.ru/files/ИП140903994900000.jpeg","Скачать индивидуальный QR-код магазина")</f>
        <v>Скачать индивидуальный QR-код магазина</v>
      </c>
    </row>
    <row r="13209" spans="1:7" x14ac:dyDescent="0.25">
      <c r="A13209" t="s">
        <v>40904</v>
      </c>
      <c r="B13209" t="s">
        <v>40985</v>
      </c>
      <c r="C13209" t="s">
        <v>40986</v>
      </c>
      <c r="D13209" t="s">
        <v>40987</v>
      </c>
      <c r="E13209" t="s">
        <v>40988</v>
      </c>
      <c r="F13209" t="s">
        <v>40989</v>
      </c>
      <c r="G13209" s="2" t="str">
        <f>HYPERLINK("https://probpalata.gov.ru/files/ИП140900342400000.jpeg","Скачать индивидуальный QR-код магазина")</f>
        <v>Скачать индивидуальный QR-код магазина</v>
      </c>
    </row>
    <row r="13210" spans="1:7" x14ac:dyDescent="0.25">
      <c r="A13210" t="s">
        <v>40904</v>
      </c>
      <c r="B13210" t="s">
        <v>40990</v>
      </c>
      <c r="C13210" t="s">
        <v>40991</v>
      </c>
      <c r="D13210" t="s">
        <v>40992</v>
      </c>
      <c r="E13210" t="s">
        <v>40993</v>
      </c>
      <c r="F13210" t="s">
        <v>40994</v>
      </c>
      <c r="G13210" s="2" t="str">
        <f>HYPERLINK("https://probpalata.gov.ru/files/ИП140901513700001.jpeg","Скачать индивидуальный QR-код магазина")</f>
        <v>Скачать индивидуальный QR-код магазина</v>
      </c>
    </row>
    <row r="13211" spans="1:7" x14ac:dyDescent="0.25">
      <c r="A13211" t="s">
        <v>40904</v>
      </c>
      <c r="B13211" t="s">
        <v>40995</v>
      </c>
      <c r="C13211" t="s">
        <v>40996</v>
      </c>
      <c r="D13211" t="s">
        <v>40997</v>
      </c>
      <c r="E13211" t="s">
        <v>40998</v>
      </c>
      <c r="F13211" t="s">
        <v>40999</v>
      </c>
      <c r="G13211" s="2" t="str">
        <f>HYPERLINK("https://probpalata.gov.ru/files/ЮЛ140901090000000.jpeg","Скачать индивидуальный QR-код магазина")</f>
        <v>Скачать индивидуальный QR-код магазина</v>
      </c>
    </row>
    <row r="13212" spans="1:7" x14ac:dyDescent="0.25">
      <c r="A13212" t="s">
        <v>40904</v>
      </c>
      <c r="B13212" t="s">
        <v>41000</v>
      </c>
      <c r="C13212" t="s">
        <v>41001</v>
      </c>
      <c r="D13212" t="s">
        <v>41002</v>
      </c>
      <c r="E13212" t="s">
        <v>41003</v>
      </c>
      <c r="F13212" t="s">
        <v>41004</v>
      </c>
      <c r="G13212" s="2" t="str">
        <f>HYPERLINK("https://probpalata.gov.ru/files/ИП140901468500000.jpeg","Скачать индивидуальный QR-код магазина")</f>
        <v>Скачать индивидуальный QR-код магазина</v>
      </c>
    </row>
    <row r="13213" spans="1:7" x14ac:dyDescent="0.25">
      <c r="A13213" t="s">
        <v>40904</v>
      </c>
      <c r="B13213" t="s">
        <v>41005</v>
      </c>
      <c r="C13213" t="s">
        <v>41006</v>
      </c>
      <c r="D13213" t="s">
        <v>41007</v>
      </c>
      <c r="E13213" t="s">
        <v>41008</v>
      </c>
      <c r="F13213" t="s">
        <v>41009</v>
      </c>
      <c r="G13213" s="2" t="str">
        <f>HYPERLINK("https://probpalata.gov.ru/files/ИП140901003100000.jpeg","Скачать индивидуальный QR-код магазина")</f>
        <v>Скачать индивидуальный QR-код магазина</v>
      </c>
    </row>
    <row r="13214" spans="1:7" x14ac:dyDescent="0.25">
      <c r="A13214" t="s">
        <v>40904</v>
      </c>
      <c r="B13214" t="s">
        <v>41010</v>
      </c>
      <c r="C13214" t="s">
        <v>41011</v>
      </c>
      <c r="D13214" t="s">
        <v>41012</v>
      </c>
      <c r="E13214" t="s">
        <v>41013</v>
      </c>
      <c r="F13214" t="s">
        <v>41014</v>
      </c>
      <c r="G13214" s="2" t="str">
        <f>HYPERLINK("https://probpalata.gov.ru/files/ИП140901102500000.jpeg","Скачать индивидуальный QR-код магазина")</f>
        <v>Скачать индивидуальный QR-код магазина</v>
      </c>
    </row>
    <row r="13215" spans="1:7" x14ac:dyDescent="0.25">
      <c r="A13215" t="s">
        <v>40904</v>
      </c>
      <c r="B13215" t="s">
        <v>41015</v>
      </c>
      <c r="C13215" t="s">
        <v>41016</v>
      </c>
      <c r="D13215" t="s">
        <v>41017</v>
      </c>
      <c r="E13215" t="s">
        <v>41018</v>
      </c>
      <c r="F13215" t="s">
        <v>41019</v>
      </c>
      <c r="G13215" s="2" t="str">
        <f>HYPERLINK("https://probpalata.gov.ru/files/ИП140900346700000.jpeg","Скачать индивидуальный QR-код магазина")</f>
        <v>Скачать индивидуальный QR-код магазина</v>
      </c>
    </row>
    <row r="13216" spans="1:7" x14ac:dyDescent="0.25">
      <c r="A13216" t="s">
        <v>40904</v>
      </c>
      <c r="B13216" t="s">
        <v>41020</v>
      </c>
      <c r="C13216" t="s">
        <v>18991</v>
      </c>
      <c r="D13216" t="s">
        <v>18992</v>
      </c>
      <c r="E13216" t="s">
        <v>18993</v>
      </c>
      <c r="F13216" t="s">
        <v>41021</v>
      </c>
      <c r="G13216" s="2" t="str">
        <f>HYPERLINK("https://probpalata.gov.ru/files/ЮЛ140900909900000.jpeg","Скачать индивидуальный QR-код магазина")</f>
        <v>Скачать индивидуальный QR-код магазина</v>
      </c>
    </row>
    <row r="13217" spans="1:7" x14ac:dyDescent="0.25">
      <c r="A13217" t="s">
        <v>40904</v>
      </c>
      <c r="B13217" t="s">
        <v>41022</v>
      </c>
      <c r="C13217" t="s">
        <v>41023</v>
      </c>
      <c r="D13217" t="s">
        <v>41024</v>
      </c>
      <c r="E13217" t="s">
        <v>41025</v>
      </c>
      <c r="F13217" t="s">
        <v>41026</v>
      </c>
      <c r="G13217" s="2" t="str">
        <f>HYPERLINK("https://probpalata.gov.ru/files/ИП140903647200000.jpeg","Скачать индивидуальный QR-код магазина")</f>
        <v>Скачать индивидуальный QR-код магазина</v>
      </c>
    </row>
    <row r="13218" spans="1:7" x14ac:dyDescent="0.25">
      <c r="A13218" t="s">
        <v>40904</v>
      </c>
      <c r="B13218" t="s">
        <v>41027</v>
      </c>
      <c r="C13218" t="s">
        <v>41023</v>
      </c>
      <c r="D13218" t="s">
        <v>41024</v>
      </c>
      <c r="E13218" t="s">
        <v>41025</v>
      </c>
      <c r="F13218" t="s">
        <v>41028</v>
      </c>
      <c r="G13218" s="2" t="str">
        <f>HYPERLINK("https://probpalata.gov.ru/files/ИП140903647200001.jpeg","Скачать индивидуальный QR-код магазина")</f>
        <v>Скачать индивидуальный QR-код магазина</v>
      </c>
    </row>
    <row r="13219" spans="1:7" x14ac:dyDescent="0.25">
      <c r="A13219" t="s">
        <v>40904</v>
      </c>
      <c r="B13219" t="s">
        <v>41029</v>
      </c>
      <c r="C13219" t="s">
        <v>41023</v>
      </c>
      <c r="D13219" t="s">
        <v>41024</v>
      </c>
      <c r="E13219" t="s">
        <v>41025</v>
      </c>
      <c r="F13219" t="s">
        <v>41030</v>
      </c>
      <c r="G13219" s="2" t="str">
        <f>HYPERLINK("https://probpalata.gov.ru/files/ИП140903647200002.jpeg","Скачать индивидуальный QR-код магазина")</f>
        <v>Скачать индивидуальный QR-код магазина</v>
      </c>
    </row>
    <row r="13220" spans="1:7" x14ac:dyDescent="0.25">
      <c r="A13220" t="s">
        <v>40904</v>
      </c>
      <c r="B13220" t="s">
        <v>41031</v>
      </c>
      <c r="C13220" t="s">
        <v>41032</v>
      </c>
      <c r="D13220" t="s">
        <v>41033</v>
      </c>
      <c r="E13220" t="s">
        <v>41034</v>
      </c>
      <c r="F13220" t="s">
        <v>41035</v>
      </c>
      <c r="G13220" s="2" t="str">
        <f>HYPERLINK("https://probpalata.gov.ru/files/ИП140901353900000.jpeg","Скачать индивидуальный QR-код магазина")</f>
        <v>Скачать индивидуальный QR-код магазина</v>
      </c>
    </row>
    <row r="13221" spans="1:7" x14ac:dyDescent="0.25">
      <c r="A13221" t="s">
        <v>40904</v>
      </c>
      <c r="B13221" t="s">
        <v>41036</v>
      </c>
      <c r="C13221" t="s">
        <v>41032</v>
      </c>
      <c r="D13221" t="s">
        <v>41033</v>
      </c>
      <c r="E13221" t="s">
        <v>41034</v>
      </c>
      <c r="F13221" t="s">
        <v>41037</v>
      </c>
      <c r="G13221" s="2" t="str">
        <f>HYPERLINK("https://probpalata.gov.ru/files/ИП140901353900001.jpeg","Скачать индивидуальный QR-код магазина")</f>
        <v>Скачать индивидуальный QR-код магазина</v>
      </c>
    </row>
    <row r="13222" spans="1:7" x14ac:dyDescent="0.25">
      <c r="A13222" t="s">
        <v>40904</v>
      </c>
      <c r="B13222" t="s">
        <v>41038</v>
      </c>
      <c r="C13222" t="s">
        <v>6274</v>
      </c>
      <c r="D13222" t="s">
        <v>41039</v>
      </c>
      <c r="E13222" t="s">
        <v>41040</v>
      </c>
      <c r="F13222" t="s">
        <v>41041</v>
      </c>
      <c r="G13222" s="2" t="str">
        <f>HYPERLINK("https://probpalata.gov.ru/files/ЮЛ140900339800001.jpeg","Скачать индивидуальный QR-код магазина")</f>
        <v>Скачать индивидуальный QR-код магазина</v>
      </c>
    </row>
    <row r="13223" spans="1:7" x14ac:dyDescent="0.25">
      <c r="A13223" t="s">
        <v>40904</v>
      </c>
      <c r="B13223" t="s">
        <v>41042</v>
      </c>
      <c r="C13223" t="s">
        <v>6274</v>
      </c>
      <c r="D13223" t="s">
        <v>41039</v>
      </c>
      <c r="E13223" t="s">
        <v>41040</v>
      </c>
      <c r="F13223" t="s">
        <v>41043</v>
      </c>
      <c r="G13223" s="2" t="str">
        <f>HYPERLINK("https://probpalata.gov.ru/files/ЮЛ140900339800002.jpeg","Скачать индивидуальный QR-код магазина")</f>
        <v>Скачать индивидуальный QR-код магазина</v>
      </c>
    </row>
    <row r="13224" spans="1:7" x14ac:dyDescent="0.25">
      <c r="A13224" t="s">
        <v>40904</v>
      </c>
      <c r="B13224" t="s">
        <v>41044</v>
      </c>
      <c r="C13224" t="s">
        <v>41045</v>
      </c>
      <c r="D13224" t="s">
        <v>41046</v>
      </c>
      <c r="E13224" t="s">
        <v>41047</v>
      </c>
      <c r="F13224" t="s">
        <v>41048</v>
      </c>
      <c r="G13224" s="2" t="str">
        <f>HYPERLINK("https://probpalata.gov.ru/files/ИП140901004200000.jpeg","Скачать индивидуальный QR-код магазина")</f>
        <v>Скачать индивидуальный QR-код магазина</v>
      </c>
    </row>
    <row r="13225" spans="1:7" x14ac:dyDescent="0.25">
      <c r="A13225" t="s">
        <v>40904</v>
      </c>
      <c r="B13225" t="s">
        <v>41049</v>
      </c>
      <c r="C13225" t="s">
        <v>41050</v>
      </c>
      <c r="D13225" t="s">
        <v>41051</v>
      </c>
      <c r="E13225" t="s">
        <v>41052</v>
      </c>
      <c r="F13225" t="s">
        <v>41053</v>
      </c>
      <c r="G13225" s="2" t="str">
        <f>HYPERLINK("https://probpalata.gov.ru/files/ИП140900567000000.jpeg","Скачать индивидуальный QR-код магазина")</f>
        <v>Скачать индивидуальный QR-код магазина</v>
      </c>
    </row>
    <row r="13226" spans="1:7" x14ac:dyDescent="0.25">
      <c r="A13226" t="s">
        <v>40904</v>
      </c>
      <c r="B13226" t="s">
        <v>41054</v>
      </c>
      <c r="C13226" t="s">
        <v>41055</v>
      </c>
      <c r="D13226" t="s">
        <v>41056</v>
      </c>
      <c r="E13226" t="s">
        <v>41057</v>
      </c>
      <c r="F13226" t="s">
        <v>41058</v>
      </c>
      <c r="G13226" s="2" t="str">
        <f>HYPERLINK("https://probpalata.gov.ru/files/ИП140900027300000.jpeg","Скачать индивидуальный QR-код магазина")</f>
        <v>Скачать индивидуальный QR-код магазина</v>
      </c>
    </row>
    <row r="13227" spans="1:7" x14ac:dyDescent="0.25">
      <c r="A13227" t="s">
        <v>40904</v>
      </c>
      <c r="B13227" t="s">
        <v>41059</v>
      </c>
      <c r="C13227" t="s">
        <v>41060</v>
      </c>
      <c r="D13227" t="s">
        <v>41061</v>
      </c>
      <c r="E13227" t="s">
        <v>41062</v>
      </c>
      <c r="F13227" t="s">
        <v>41063</v>
      </c>
      <c r="G13227" s="2" t="str">
        <f>HYPERLINK("https://probpalata.gov.ru/files/ИП140900339500000.jpeg","Скачать индивидуальный QR-код магазина")</f>
        <v>Скачать индивидуальный QR-код магазина</v>
      </c>
    </row>
    <row r="13228" spans="1:7" x14ac:dyDescent="0.25">
      <c r="A13228" t="s">
        <v>40904</v>
      </c>
      <c r="B13228" t="s">
        <v>41064</v>
      </c>
      <c r="C13228" t="s">
        <v>2481</v>
      </c>
      <c r="D13228" t="s">
        <v>41065</v>
      </c>
      <c r="E13228" t="s">
        <v>41066</v>
      </c>
      <c r="F13228" t="s">
        <v>41067</v>
      </c>
      <c r="G13228" s="2" t="str">
        <f>HYPERLINK("https://probpalata.gov.ru/files/ЮЛ140900051300000.jpeg","Скачать индивидуальный QR-код магазина")</f>
        <v>Скачать индивидуальный QR-код магазина</v>
      </c>
    </row>
    <row r="13229" spans="1:7" x14ac:dyDescent="0.25">
      <c r="A13229" t="s">
        <v>40904</v>
      </c>
      <c r="B13229" t="s">
        <v>41068</v>
      </c>
      <c r="C13229" t="s">
        <v>41069</v>
      </c>
      <c r="D13229" t="s">
        <v>41070</v>
      </c>
      <c r="E13229" t="s">
        <v>41071</v>
      </c>
      <c r="F13229" t="s">
        <v>41072</v>
      </c>
      <c r="G13229" s="2" t="str">
        <f>HYPERLINK("https://probpalata.gov.ru/files/ИП140903794900000.jpeg","Скачать индивидуальный QR-код магазина")</f>
        <v>Скачать индивидуальный QR-код магазина</v>
      </c>
    </row>
    <row r="13230" spans="1:7" x14ac:dyDescent="0.25">
      <c r="A13230" t="s">
        <v>40904</v>
      </c>
      <c r="B13230" t="s">
        <v>41073</v>
      </c>
      <c r="C13230" t="s">
        <v>41074</v>
      </c>
      <c r="D13230" t="s">
        <v>41075</v>
      </c>
      <c r="E13230" t="s">
        <v>41076</v>
      </c>
      <c r="F13230" t="s">
        <v>41077</v>
      </c>
      <c r="G13230" s="2" t="str">
        <f>HYPERLINK("https://probpalata.gov.ru/files/ИП140900407500000.jpeg","Скачать индивидуальный QR-код магазина")</f>
        <v>Скачать индивидуальный QR-код магазина</v>
      </c>
    </row>
    <row r="13231" spans="1:7" x14ac:dyDescent="0.25">
      <c r="A13231" t="s">
        <v>40904</v>
      </c>
      <c r="B13231" t="s">
        <v>41078</v>
      </c>
      <c r="C13231" t="s">
        <v>41079</v>
      </c>
      <c r="D13231" t="s">
        <v>41080</v>
      </c>
      <c r="E13231" t="s">
        <v>41081</v>
      </c>
      <c r="F13231" t="s">
        <v>41082</v>
      </c>
      <c r="G13231" s="2" t="str">
        <f>HYPERLINK("https://probpalata.gov.ru/files/ИП140901098200000.jpeg","Скачать индивидуальный QR-код магазина")</f>
        <v>Скачать индивидуальный QR-код магазина</v>
      </c>
    </row>
    <row r="13232" spans="1:7" x14ac:dyDescent="0.25">
      <c r="A13232" t="s">
        <v>40904</v>
      </c>
      <c r="B13232" t="s">
        <v>41083</v>
      </c>
      <c r="C13232" t="s">
        <v>41084</v>
      </c>
      <c r="D13232" t="s">
        <v>41085</v>
      </c>
      <c r="E13232" t="s">
        <v>41086</v>
      </c>
      <c r="F13232" t="s">
        <v>41087</v>
      </c>
      <c r="G13232" s="2" t="str">
        <f>HYPERLINK("https://probpalata.gov.ru/files/ИП140901102400000.jpeg","Скачать индивидуальный QR-код магазина")</f>
        <v>Скачать индивидуальный QR-код магазина</v>
      </c>
    </row>
    <row r="13233" spans="1:7" x14ac:dyDescent="0.25">
      <c r="A13233" t="s">
        <v>40904</v>
      </c>
      <c r="B13233" t="s">
        <v>40990</v>
      </c>
      <c r="C13233" t="s">
        <v>41088</v>
      </c>
      <c r="D13233" t="s">
        <v>41089</v>
      </c>
      <c r="E13233" t="s">
        <v>41090</v>
      </c>
      <c r="F13233" t="s">
        <v>41091</v>
      </c>
      <c r="G13233" s="2" t="str">
        <f>HYPERLINK("https://probpalata.gov.ru/files/ИП140901725900000.jpeg","Скачать индивидуальный QR-код магазина")</f>
        <v>Скачать индивидуальный QR-код магазина</v>
      </c>
    </row>
    <row r="13234" spans="1:7" x14ac:dyDescent="0.25">
      <c r="A13234" t="s">
        <v>40904</v>
      </c>
      <c r="B13234" t="s">
        <v>41092</v>
      </c>
      <c r="C13234" t="s">
        <v>41093</v>
      </c>
      <c r="D13234" t="s">
        <v>41094</v>
      </c>
      <c r="E13234" t="s">
        <v>41095</v>
      </c>
      <c r="F13234" t="s">
        <v>41096</v>
      </c>
      <c r="G13234" s="2" t="str">
        <f>HYPERLINK("https://probpalata.gov.ru/files/ИП140900576100001.jpeg","Скачать индивидуальный QR-код магазина")</f>
        <v>Скачать индивидуальный QR-код магазина</v>
      </c>
    </row>
    <row r="13235" spans="1:7" x14ac:dyDescent="0.25">
      <c r="A13235" t="s">
        <v>40904</v>
      </c>
      <c r="B13235" t="s">
        <v>41097</v>
      </c>
      <c r="C13235" t="s">
        <v>41098</v>
      </c>
      <c r="D13235" t="s">
        <v>41099</v>
      </c>
      <c r="E13235" t="s">
        <v>41100</v>
      </c>
      <c r="F13235" t="s">
        <v>41101</v>
      </c>
      <c r="G13235" s="2" t="str">
        <f>HYPERLINK("https://probpalata.gov.ru/files/ИП140900574900004.jpeg","Скачать индивидуальный QR-код магазина")</f>
        <v>Скачать индивидуальный QR-код магазина</v>
      </c>
    </row>
    <row r="13236" spans="1:7" x14ac:dyDescent="0.25">
      <c r="A13236" t="s">
        <v>40904</v>
      </c>
      <c r="B13236" t="s">
        <v>41102</v>
      </c>
      <c r="C13236" t="s">
        <v>41098</v>
      </c>
      <c r="D13236" t="s">
        <v>41099</v>
      </c>
      <c r="E13236" t="s">
        <v>41100</v>
      </c>
      <c r="F13236" t="s">
        <v>41103</v>
      </c>
      <c r="G13236" s="2" t="str">
        <f>HYPERLINK("https://probpalata.gov.ru/files/ИП140900574900005.jpeg","Скачать индивидуальный QR-код магазина")</f>
        <v>Скачать индивидуальный QR-код магазина</v>
      </c>
    </row>
    <row r="13237" spans="1:7" x14ac:dyDescent="0.25">
      <c r="A13237" t="s">
        <v>40904</v>
      </c>
      <c r="B13237" t="s">
        <v>41104</v>
      </c>
      <c r="C13237" t="s">
        <v>41105</v>
      </c>
      <c r="D13237" t="s">
        <v>41106</v>
      </c>
      <c r="E13237" t="s">
        <v>41107</v>
      </c>
      <c r="F13237" t="s">
        <v>41108</v>
      </c>
      <c r="G13237" s="2" t="str">
        <f>HYPERLINK("https://probpalata.gov.ru/files/ИП140900912600000.jpeg","Скачать индивидуальный QR-код магазина")</f>
        <v>Скачать индивидуальный QR-код магазина</v>
      </c>
    </row>
    <row r="13238" spans="1:7" x14ac:dyDescent="0.25">
      <c r="A13238" t="s">
        <v>40904</v>
      </c>
      <c r="B13238" t="s">
        <v>41109</v>
      </c>
      <c r="C13238" t="s">
        <v>41110</v>
      </c>
      <c r="D13238" t="s">
        <v>41111</v>
      </c>
      <c r="E13238" t="s">
        <v>41112</v>
      </c>
      <c r="F13238" t="s">
        <v>41113</v>
      </c>
      <c r="G13238" s="2" t="str">
        <f>HYPERLINK("https://probpalata.gov.ru/files/ИП140900590500000.jpeg","Скачать индивидуальный QR-код магазина")</f>
        <v>Скачать индивидуальный QR-код магазина</v>
      </c>
    </row>
    <row r="13239" spans="1:7" x14ac:dyDescent="0.25">
      <c r="A13239" t="s">
        <v>40904</v>
      </c>
      <c r="B13239" t="s">
        <v>41114</v>
      </c>
      <c r="C13239" t="s">
        <v>41115</v>
      </c>
      <c r="D13239" t="s">
        <v>41116</v>
      </c>
      <c r="E13239" t="s">
        <v>41117</v>
      </c>
      <c r="F13239" t="s">
        <v>41118</v>
      </c>
      <c r="G13239" s="2" t="str">
        <f>HYPERLINK("https://probpalata.gov.ru/files/ИП140901251300000.jpeg","Скачать индивидуальный QR-код магазина")</f>
        <v>Скачать индивидуальный QR-код магазина</v>
      </c>
    </row>
    <row r="13240" spans="1:7" x14ac:dyDescent="0.25">
      <c r="A13240" t="s">
        <v>40904</v>
      </c>
      <c r="B13240" t="s">
        <v>41119</v>
      </c>
      <c r="C13240" t="s">
        <v>41115</v>
      </c>
      <c r="D13240" t="s">
        <v>41116</v>
      </c>
      <c r="E13240" t="s">
        <v>41117</v>
      </c>
      <c r="F13240" t="s">
        <v>41120</v>
      </c>
      <c r="G13240" s="2" t="str">
        <f>HYPERLINK("https://probpalata.gov.ru/files/ИП140901251300003.jpeg","Скачать индивидуальный QR-код магазина")</f>
        <v>Скачать индивидуальный QR-код магазина</v>
      </c>
    </row>
    <row r="13241" spans="1:7" x14ac:dyDescent="0.25">
      <c r="A13241" t="s">
        <v>40904</v>
      </c>
      <c r="B13241" t="s">
        <v>41121</v>
      </c>
      <c r="C13241" t="s">
        <v>41122</v>
      </c>
      <c r="D13241" t="s">
        <v>41123</v>
      </c>
      <c r="E13241" t="s">
        <v>41124</v>
      </c>
      <c r="F13241" t="s">
        <v>41125</v>
      </c>
      <c r="G13241" s="2" t="str">
        <f>HYPERLINK("https://probpalata.gov.ru/files/ИП140900579200000.jpeg","Скачать индивидуальный QR-код магазина")</f>
        <v>Скачать индивидуальный QR-код магазина</v>
      </c>
    </row>
    <row r="13242" spans="1:7" x14ac:dyDescent="0.25">
      <c r="A13242" t="s">
        <v>40904</v>
      </c>
      <c r="B13242" t="s">
        <v>41126</v>
      </c>
      <c r="C13242" t="s">
        <v>41127</v>
      </c>
      <c r="D13242" t="s">
        <v>41128</v>
      </c>
      <c r="E13242" t="s">
        <v>41129</v>
      </c>
      <c r="F13242" t="s">
        <v>41130</v>
      </c>
      <c r="G13242" s="2" t="str">
        <f>HYPERLINK("https://probpalata.gov.ru/files/ИП140900341100000.jpeg","Скачать индивидуальный QR-код магазина")</f>
        <v>Скачать индивидуальный QR-код магазина</v>
      </c>
    </row>
    <row r="13243" spans="1:7" x14ac:dyDescent="0.25">
      <c r="A13243" t="s">
        <v>40904</v>
      </c>
      <c r="B13243" t="s">
        <v>41131</v>
      </c>
      <c r="C13243" t="s">
        <v>41127</v>
      </c>
      <c r="D13243" t="s">
        <v>41128</v>
      </c>
      <c r="E13243" t="s">
        <v>41129</v>
      </c>
      <c r="F13243" t="s">
        <v>41132</v>
      </c>
      <c r="G13243" s="2" t="str">
        <f>HYPERLINK("https://probpalata.gov.ru/files/ИП140900341100001.jpeg","Скачать индивидуальный QR-код магазина")</f>
        <v>Скачать индивидуальный QR-код магазина</v>
      </c>
    </row>
    <row r="13244" spans="1:7" x14ac:dyDescent="0.25">
      <c r="A13244" t="s">
        <v>40904</v>
      </c>
      <c r="B13244" t="s">
        <v>41083</v>
      </c>
      <c r="C13244" t="s">
        <v>41127</v>
      </c>
      <c r="D13244" t="s">
        <v>41128</v>
      </c>
      <c r="E13244" t="s">
        <v>41129</v>
      </c>
      <c r="F13244" t="s">
        <v>41133</v>
      </c>
      <c r="G13244" s="2" t="str">
        <f>HYPERLINK("https://probpalata.gov.ru/files/ИП140900341100002.jpeg","Скачать индивидуальный QR-код магазина")</f>
        <v>Скачать индивидуальный QR-код магазина</v>
      </c>
    </row>
    <row r="13245" spans="1:7" x14ac:dyDescent="0.25">
      <c r="A13245" t="s">
        <v>40904</v>
      </c>
      <c r="B13245" t="s">
        <v>41134</v>
      </c>
      <c r="C13245" t="s">
        <v>41127</v>
      </c>
      <c r="D13245" t="s">
        <v>41128</v>
      </c>
      <c r="E13245" t="s">
        <v>41129</v>
      </c>
      <c r="F13245" t="s">
        <v>41135</v>
      </c>
      <c r="G13245" s="2" t="str">
        <f>HYPERLINK("https://probpalata.gov.ru/files/ИП140900341100003.jpeg","Скачать индивидуальный QR-код магазина")</f>
        <v>Скачать индивидуальный QR-код магазина</v>
      </c>
    </row>
    <row r="13246" spans="1:7" x14ac:dyDescent="0.25">
      <c r="A13246" t="s">
        <v>40904</v>
      </c>
      <c r="B13246" t="s">
        <v>41136</v>
      </c>
      <c r="C13246" t="s">
        <v>41127</v>
      </c>
      <c r="D13246" t="s">
        <v>41128</v>
      </c>
      <c r="E13246" t="s">
        <v>41129</v>
      </c>
      <c r="F13246" t="s">
        <v>41137</v>
      </c>
      <c r="G13246" s="2" t="str">
        <f>HYPERLINK("https://probpalata.gov.ru/files/ИП140900341100004.jpeg","Скачать индивидуальный QR-код магазина")</f>
        <v>Скачать индивидуальный QR-код магазина</v>
      </c>
    </row>
    <row r="13247" spans="1:7" x14ac:dyDescent="0.25">
      <c r="A13247" t="s">
        <v>40904</v>
      </c>
      <c r="B13247" t="s">
        <v>41102</v>
      </c>
      <c r="C13247" t="s">
        <v>41127</v>
      </c>
      <c r="D13247" t="s">
        <v>41128</v>
      </c>
      <c r="E13247" t="s">
        <v>41129</v>
      </c>
      <c r="F13247" t="s">
        <v>41138</v>
      </c>
      <c r="G13247" s="2" t="str">
        <f>HYPERLINK("https://probpalata.gov.ru/files/ИП140900341100005.jpeg","Скачать индивидуальный QR-код магазина")</f>
        <v>Скачать индивидуальный QR-код магазина</v>
      </c>
    </row>
    <row r="13248" spans="1:7" x14ac:dyDescent="0.25">
      <c r="A13248" t="s">
        <v>40904</v>
      </c>
      <c r="B13248" t="s">
        <v>41139</v>
      </c>
      <c r="C13248" t="s">
        <v>41127</v>
      </c>
      <c r="D13248" t="s">
        <v>41128</v>
      </c>
      <c r="E13248" t="s">
        <v>41129</v>
      </c>
      <c r="F13248" t="s">
        <v>41140</v>
      </c>
      <c r="G13248" s="2" t="str">
        <f>HYPERLINK("https://probpalata.gov.ru/files/ИП140900341100006.jpeg","Скачать индивидуальный QR-код магазина")</f>
        <v>Скачать индивидуальный QR-код магазина</v>
      </c>
    </row>
    <row r="13249" spans="1:7" x14ac:dyDescent="0.25">
      <c r="A13249" t="s">
        <v>40904</v>
      </c>
      <c r="B13249" t="s">
        <v>41141</v>
      </c>
      <c r="C13249" t="s">
        <v>41127</v>
      </c>
      <c r="D13249" t="s">
        <v>41128</v>
      </c>
      <c r="E13249" t="s">
        <v>41129</v>
      </c>
      <c r="F13249" t="s">
        <v>41142</v>
      </c>
      <c r="G13249" s="2" t="str">
        <f>HYPERLINK("https://probpalata.gov.ru/files/ИП140900341100007.jpeg","Скачать индивидуальный QR-код магазина")</f>
        <v>Скачать индивидуальный QR-код магазина</v>
      </c>
    </row>
    <row r="13250" spans="1:7" x14ac:dyDescent="0.25">
      <c r="A13250" t="s">
        <v>40904</v>
      </c>
      <c r="B13250" t="s">
        <v>41126</v>
      </c>
      <c r="C13250" t="s">
        <v>41127</v>
      </c>
      <c r="D13250" t="s">
        <v>41128</v>
      </c>
      <c r="E13250" t="s">
        <v>41129</v>
      </c>
      <c r="F13250" t="s">
        <v>41143</v>
      </c>
      <c r="G13250" s="2" t="str">
        <f>HYPERLINK("https://probpalata.gov.ru/files/ИП140900341100008.jpeg","Скачать индивидуальный QR-код магазина")</f>
        <v>Скачать индивидуальный QR-код магазина</v>
      </c>
    </row>
    <row r="13251" spans="1:7" x14ac:dyDescent="0.25">
      <c r="A13251" t="s">
        <v>40904</v>
      </c>
      <c r="B13251" t="s">
        <v>41144</v>
      </c>
      <c r="C13251" t="s">
        <v>41127</v>
      </c>
      <c r="D13251" t="s">
        <v>41128</v>
      </c>
      <c r="E13251" t="s">
        <v>41129</v>
      </c>
      <c r="F13251" t="s">
        <v>41145</v>
      </c>
      <c r="G13251" s="2" t="str">
        <f>HYPERLINK("https://probpalata.gov.ru/files/ИП140900341100009.jpeg","Скачать индивидуальный QR-код магазина")</f>
        <v>Скачать индивидуальный QR-код магазина</v>
      </c>
    </row>
    <row r="13252" spans="1:7" x14ac:dyDescent="0.25">
      <c r="A13252" t="s">
        <v>40904</v>
      </c>
      <c r="B13252" t="s">
        <v>41146</v>
      </c>
      <c r="C13252" t="s">
        <v>41127</v>
      </c>
      <c r="D13252" t="s">
        <v>41128</v>
      </c>
      <c r="E13252" t="s">
        <v>41129</v>
      </c>
      <c r="F13252" t="s">
        <v>41147</v>
      </c>
      <c r="G13252" s="2" t="str">
        <f>HYPERLINK("https://probpalata.gov.ru/files/ИП140900341100010.jpeg","Скачать индивидуальный QR-код магазина")</f>
        <v>Скачать индивидуальный QR-код магазина</v>
      </c>
    </row>
    <row r="13253" spans="1:7" x14ac:dyDescent="0.25">
      <c r="A13253" t="s">
        <v>40904</v>
      </c>
      <c r="B13253" t="s">
        <v>41148</v>
      </c>
      <c r="C13253" t="s">
        <v>41127</v>
      </c>
      <c r="D13253" t="s">
        <v>41128</v>
      </c>
      <c r="E13253" t="s">
        <v>41129</v>
      </c>
      <c r="F13253" t="s">
        <v>41149</v>
      </c>
      <c r="G13253" s="2" t="str">
        <f>HYPERLINK("https://probpalata.gov.ru/files/ИП140900341100011.jpeg","Скачать индивидуальный QR-код магазина")</f>
        <v>Скачать индивидуальный QR-код магазина</v>
      </c>
    </row>
    <row r="13254" spans="1:7" x14ac:dyDescent="0.25">
      <c r="A13254" t="s">
        <v>40904</v>
      </c>
      <c r="B13254" t="s">
        <v>41150</v>
      </c>
      <c r="C13254" t="s">
        <v>41151</v>
      </c>
      <c r="D13254" t="s">
        <v>41152</v>
      </c>
      <c r="E13254" t="s">
        <v>41153</v>
      </c>
      <c r="F13254" t="s">
        <v>41154</v>
      </c>
      <c r="G13254" s="2" t="str">
        <f>HYPERLINK("https://probpalata.gov.ru/files/ИП140900843500001.jpeg","Скачать индивидуальный QR-код магазина")</f>
        <v>Скачать индивидуальный QR-код магазина</v>
      </c>
    </row>
    <row r="13255" spans="1:7" x14ac:dyDescent="0.25">
      <c r="A13255" t="s">
        <v>40904</v>
      </c>
      <c r="B13255" t="s">
        <v>41083</v>
      </c>
      <c r="C13255" t="s">
        <v>41155</v>
      </c>
      <c r="D13255" t="s">
        <v>41156</v>
      </c>
      <c r="E13255" t="s">
        <v>41157</v>
      </c>
      <c r="F13255" t="s">
        <v>41158</v>
      </c>
      <c r="G13255" s="2" t="str">
        <f>HYPERLINK("https://probpalata.gov.ru/files/ИП140900342200004.jpeg","Скачать индивидуальный QR-код магазина")</f>
        <v>Скачать индивидуальный QR-код магазина</v>
      </c>
    </row>
    <row r="13256" spans="1:7" x14ac:dyDescent="0.25">
      <c r="A13256" t="s">
        <v>40904</v>
      </c>
      <c r="B13256" t="s">
        <v>41159</v>
      </c>
      <c r="C13256" t="s">
        <v>19006</v>
      </c>
      <c r="D13256" t="s">
        <v>19007</v>
      </c>
      <c r="E13256" t="s">
        <v>19008</v>
      </c>
      <c r="F13256" t="s">
        <v>41160</v>
      </c>
      <c r="G13256" s="2" t="str">
        <f>HYPERLINK("https://probpalata.gov.ru/files/ЮЛ140900843100000.jpeg","Скачать индивидуальный QR-код магазина")</f>
        <v>Скачать индивидуальный QR-код магазина</v>
      </c>
    </row>
    <row r="13257" spans="1:7" x14ac:dyDescent="0.25">
      <c r="A13257" t="s">
        <v>40904</v>
      </c>
      <c r="B13257" t="s">
        <v>41161</v>
      </c>
      <c r="C13257" t="s">
        <v>41162</v>
      </c>
      <c r="D13257" t="s">
        <v>41163</v>
      </c>
      <c r="E13257" t="s">
        <v>41164</v>
      </c>
      <c r="F13257" t="s">
        <v>41165</v>
      </c>
      <c r="G13257" s="2" t="str">
        <f>HYPERLINK("https://probpalata.gov.ru/files/ИП140903897300000.jpeg","Скачать индивидуальный QR-код магазина")</f>
        <v>Скачать индивидуальный QR-код магазина</v>
      </c>
    </row>
    <row r="13258" spans="1:7" x14ac:dyDescent="0.25">
      <c r="A13258" t="s">
        <v>40904</v>
      </c>
      <c r="B13258" t="s">
        <v>41166</v>
      </c>
      <c r="C13258" t="s">
        <v>31652</v>
      </c>
      <c r="D13258" t="s">
        <v>31653</v>
      </c>
      <c r="E13258" t="s">
        <v>31654</v>
      </c>
      <c r="F13258" t="s">
        <v>41167</v>
      </c>
      <c r="G13258" s="2" t="str">
        <f>HYPERLINK("https://probpalata.gov.ru/files/ЮЛ140900908400000.jpeg","Скачать индивидуальный QR-код магазина")</f>
        <v>Скачать индивидуальный QR-код магазина</v>
      </c>
    </row>
    <row r="13259" spans="1:7" x14ac:dyDescent="0.25">
      <c r="A13259" t="s">
        <v>40904</v>
      </c>
      <c r="B13259" t="s">
        <v>41168</v>
      </c>
      <c r="C13259" t="s">
        <v>31652</v>
      </c>
      <c r="D13259" t="s">
        <v>31653</v>
      </c>
      <c r="E13259" t="s">
        <v>31654</v>
      </c>
      <c r="F13259" t="s">
        <v>41169</v>
      </c>
      <c r="G13259" s="2" t="str">
        <f>HYPERLINK("https://probpalata.gov.ru/files/ЮЛ140900908400002.jpeg","Скачать индивидуальный QR-код магазина")</f>
        <v>Скачать индивидуальный QR-код магазина</v>
      </c>
    </row>
    <row r="13260" spans="1:7" x14ac:dyDescent="0.25">
      <c r="A13260" t="s">
        <v>40904</v>
      </c>
      <c r="B13260" t="s">
        <v>41170</v>
      </c>
      <c r="C13260" t="s">
        <v>31652</v>
      </c>
      <c r="D13260" t="s">
        <v>31653</v>
      </c>
      <c r="E13260" t="s">
        <v>31654</v>
      </c>
      <c r="F13260" t="s">
        <v>41171</v>
      </c>
      <c r="G13260" s="2" t="str">
        <f>HYPERLINK("https://probpalata.gov.ru/files/ЮЛ140900908400003.jpeg","Скачать индивидуальный QR-код магазина")</f>
        <v>Скачать индивидуальный QR-код магазина</v>
      </c>
    </row>
    <row r="13261" spans="1:7" x14ac:dyDescent="0.25">
      <c r="A13261" t="s">
        <v>40904</v>
      </c>
      <c r="B13261" t="s">
        <v>41172</v>
      </c>
      <c r="C13261" t="s">
        <v>31652</v>
      </c>
      <c r="D13261" t="s">
        <v>31653</v>
      </c>
      <c r="E13261" t="s">
        <v>31654</v>
      </c>
      <c r="F13261" t="s">
        <v>41173</v>
      </c>
      <c r="G13261" s="2" t="str">
        <f>HYPERLINK("https://probpalata.gov.ru/files/ЮЛ140900908400004.jpeg","Скачать индивидуальный QR-код магазина")</f>
        <v>Скачать индивидуальный QR-код магазина</v>
      </c>
    </row>
    <row r="13262" spans="1:7" x14ac:dyDescent="0.25">
      <c r="A13262" t="s">
        <v>40904</v>
      </c>
      <c r="B13262" t="s">
        <v>41174</v>
      </c>
      <c r="C13262" t="s">
        <v>31652</v>
      </c>
      <c r="D13262" t="s">
        <v>31653</v>
      </c>
      <c r="E13262" t="s">
        <v>31654</v>
      </c>
      <c r="F13262" t="s">
        <v>41175</v>
      </c>
      <c r="G13262" s="2" t="str">
        <f>HYPERLINK("https://probpalata.gov.ru/files/ЮЛ140900908400005.jpeg","Скачать индивидуальный QR-код магазина")</f>
        <v>Скачать индивидуальный QR-код магазина</v>
      </c>
    </row>
    <row r="13263" spans="1:7" x14ac:dyDescent="0.25">
      <c r="A13263" t="s">
        <v>40904</v>
      </c>
      <c r="B13263" t="s">
        <v>41176</v>
      </c>
      <c r="C13263" t="s">
        <v>31652</v>
      </c>
      <c r="D13263" t="s">
        <v>31653</v>
      </c>
      <c r="E13263" t="s">
        <v>31654</v>
      </c>
      <c r="F13263" t="s">
        <v>41177</v>
      </c>
      <c r="G13263" s="2" t="str">
        <f>HYPERLINK("https://probpalata.gov.ru/files/ЮЛ140900908400006.jpeg","Скачать индивидуальный QR-код магазина")</f>
        <v>Скачать индивидуальный QR-код магазина</v>
      </c>
    </row>
    <row r="13264" spans="1:7" x14ac:dyDescent="0.25">
      <c r="A13264" t="s">
        <v>40904</v>
      </c>
      <c r="B13264" t="s">
        <v>41178</v>
      </c>
      <c r="C13264" t="s">
        <v>31652</v>
      </c>
      <c r="D13264" t="s">
        <v>31653</v>
      </c>
      <c r="E13264" t="s">
        <v>31654</v>
      </c>
      <c r="F13264" t="s">
        <v>41179</v>
      </c>
      <c r="G13264" s="2" t="str">
        <f>HYPERLINK("https://probpalata.gov.ru/files/ЮЛ140900908400007.jpeg","Скачать индивидуальный QR-код магазина")</f>
        <v>Скачать индивидуальный QR-код магазина</v>
      </c>
    </row>
    <row r="13265" spans="1:7" x14ac:dyDescent="0.25">
      <c r="A13265" t="s">
        <v>40904</v>
      </c>
      <c r="B13265" t="s">
        <v>41180</v>
      </c>
      <c r="C13265" t="s">
        <v>31652</v>
      </c>
      <c r="D13265" t="s">
        <v>31653</v>
      </c>
      <c r="E13265" t="s">
        <v>31654</v>
      </c>
      <c r="F13265" t="s">
        <v>41181</v>
      </c>
      <c r="G13265" s="2" t="str">
        <f>HYPERLINK("https://probpalata.gov.ru/files/ЮЛ140900908400008.jpeg","Скачать индивидуальный QR-код магазина")</f>
        <v>Скачать индивидуальный QR-код магазина</v>
      </c>
    </row>
    <row r="13266" spans="1:7" x14ac:dyDescent="0.25">
      <c r="A13266" t="s">
        <v>40904</v>
      </c>
      <c r="B13266" t="s">
        <v>41182</v>
      </c>
      <c r="C13266" t="s">
        <v>31652</v>
      </c>
      <c r="D13266" t="s">
        <v>31653</v>
      </c>
      <c r="E13266" t="s">
        <v>31654</v>
      </c>
      <c r="F13266" t="s">
        <v>41183</v>
      </c>
      <c r="G13266" s="2" t="str">
        <f>HYPERLINK("https://probpalata.gov.ru/files/ЮЛ140900908400009.jpeg","Скачать индивидуальный QR-код магазина")</f>
        <v>Скачать индивидуальный QR-код магазина</v>
      </c>
    </row>
    <row r="13267" spans="1:7" x14ac:dyDescent="0.25">
      <c r="A13267" t="s">
        <v>40904</v>
      </c>
      <c r="B13267" t="s">
        <v>41184</v>
      </c>
      <c r="C13267" t="s">
        <v>31652</v>
      </c>
      <c r="D13267" t="s">
        <v>31653</v>
      </c>
      <c r="E13267" t="s">
        <v>31654</v>
      </c>
      <c r="F13267" t="s">
        <v>41185</v>
      </c>
      <c r="G13267" s="2" t="str">
        <f>HYPERLINK("https://probpalata.gov.ru/files/ЮЛ140900908400010.jpeg","Скачать индивидуальный QR-код магазина")</f>
        <v>Скачать индивидуальный QR-код магазина</v>
      </c>
    </row>
    <row r="13268" spans="1:7" x14ac:dyDescent="0.25">
      <c r="A13268" t="s">
        <v>40904</v>
      </c>
      <c r="B13268" t="s">
        <v>41186</v>
      </c>
      <c r="C13268" t="s">
        <v>31652</v>
      </c>
      <c r="D13268" t="s">
        <v>31653</v>
      </c>
      <c r="E13268" t="s">
        <v>31654</v>
      </c>
      <c r="F13268" t="s">
        <v>41187</v>
      </c>
      <c r="G13268" s="2" t="str">
        <f>HYPERLINK("https://probpalata.gov.ru/files/ЮЛ140900908400013.jpeg","Скачать индивидуальный QR-код магазина")</f>
        <v>Скачать индивидуальный QR-код магазина</v>
      </c>
    </row>
    <row r="13269" spans="1:7" x14ac:dyDescent="0.25">
      <c r="A13269" t="s">
        <v>40904</v>
      </c>
      <c r="B13269" t="s">
        <v>41188</v>
      </c>
      <c r="C13269" t="s">
        <v>31652</v>
      </c>
      <c r="D13269" t="s">
        <v>31653</v>
      </c>
      <c r="E13269" t="s">
        <v>31654</v>
      </c>
      <c r="F13269" t="s">
        <v>41189</v>
      </c>
      <c r="G13269" s="2" t="str">
        <f>HYPERLINK("https://probpalata.gov.ru/files/ЮЛ140900908400014.jpeg","Скачать индивидуальный QR-код магазина")</f>
        <v>Скачать индивидуальный QR-код магазина</v>
      </c>
    </row>
    <row r="13270" spans="1:7" x14ac:dyDescent="0.25">
      <c r="A13270" t="s">
        <v>40904</v>
      </c>
      <c r="B13270" t="s">
        <v>41190</v>
      </c>
      <c r="C13270" t="s">
        <v>31652</v>
      </c>
      <c r="D13270" t="s">
        <v>31653</v>
      </c>
      <c r="E13270" t="s">
        <v>31654</v>
      </c>
      <c r="F13270" t="s">
        <v>41191</v>
      </c>
      <c r="G13270" s="2" t="str">
        <f>HYPERLINK("https://probpalata.gov.ru/files/ЮЛ140900908400015.jpeg","Скачать индивидуальный QR-код магазина")</f>
        <v>Скачать индивидуальный QR-код магазина</v>
      </c>
    </row>
    <row r="13271" spans="1:7" x14ac:dyDescent="0.25">
      <c r="A13271" t="s">
        <v>40904</v>
      </c>
      <c r="B13271" t="s">
        <v>41192</v>
      </c>
      <c r="C13271" t="s">
        <v>31652</v>
      </c>
      <c r="D13271" t="s">
        <v>31653</v>
      </c>
      <c r="E13271" t="s">
        <v>31654</v>
      </c>
      <c r="F13271" t="s">
        <v>41193</v>
      </c>
      <c r="G13271" s="2" t="str">
        <f>HYPERLINK("https://probpalata.gov.ru/files/ЮЛ140900908400016.jpeg","Скачать индивидуальный QR-код магазина")</f>
        <v>Скачать индивидуальный QR-код магазина</v>
      </c>
    </row>
    <row r="13272" spans="1:7" x14ac:dyDescent="0.25">
      <c r="A13272" t="s">
        <v>40904</v>
      </c>
      <c r="B13272" t="s">
        <v>41194</v>
      </c>
      <c r="C13272" t="s">
        <v>31652</v>
      </c>
      <c r="D13272" t="s">
        <v>31653</v>
      </c>
      <c r="E13272" t="s">
        <v>31654</v>
      </c>
      <c r="F13272" t="s">
        <v>41195</v>
      </c>
      <c r="G13272" s="2" t="str">
        <f>HYPERLINK("https://probpalata.gov.ru/files/ЮЛ140900908400018.jpeg","Скачать индивидуальный QR-код магазина")</f>
        <v>Скачать индивидуальный QR-код магазина</v>
      </c>
    </row>
    <row r="13273" spans="1:7" x14ac:dyDescent="0.25">
      <c r="A13273" t="s">
        <v>40904</v>
      </c>
      <c r="B13273" t="s">
        <v>41196</v>
      </c>
      <c r="C13273" t="s">
        <v>31652</v>
      </c>
      <c r="D13273" t="s">
        <v>31653</v>
      </c>
      <c r="E13273" t="s">
        <v>31654</v>
      </c>
      <c r="F13273" t="s">
        <v>41197</v>
      </c>
      <c r="G13273" s="2" t="str">
        <f>HYPERLINK("https://probpalata.gov.ru/files/ЮЛ140900908400019.jpeg","Скачать индивидуальный QR-код магазина")</f>
        <v>Скачать индивидуальный QR-код магазина</v>
      </c>
    </row>
    <row r="13274" spans="1:7" x14ac:dyDescent="0.25">
      <c r="A13274" t="s">
        <v>40904</v>
      </c>
      <c r="B13274" t="s">
        <v>41198</v>
      </c>
      <c r="C13274" t="s">
        <v>41199</v>
      </c>
      <c r="D13274" t="s">
        <v>41200</v>
      </c>
      <c r="E13274" t="s">
        <v>41201</v>
      </c>
      <c r="F13274" t="s">
        <v>41202</v>
      </c>
      <c r="G13274" s="2" t="str">
        <f>HYPERLINK("https://probpalata.gov.ru/files/ИП140903236100000.jpeg","Скачать индивидуальный QR-код магазина")</f>
        <v>Скачать индивидуальный QR-код магазина</v>
      </c>
    </row>
    <row r="13275" spans="1:7" x14ac:dyDescent="0.25">
      <c r="A13275" t="s">
        <v>40904</v>
      </c>
      <c r="B13275" t="s">
        <v>41203</v>
      </c>
      <c r="C13275" t="s">
        <v>35622</v>
      </c>
      <c r="D13275" t="s">
        <v>35623</v>
      </c>
      <c r="E13275" t="s">
        <v>35624</v>
      </c>
      <c r="F13275" t="s">
        <v>41204</v>
      </c>
      <c r="G13275" s="2" t="str">
        <f>HYPERLINK("https://probpalata.gov.ru/files/ЮЛ140900211300001.jpeg","Скачать индивидуальный QR-код магазина")</f>
        <v>Скачать индивидуальный QR-код магазина</v>
      </c>
    </row>
    <row r="13276" spans="1:7" x14ac:dyDescent="0.25">
      <c r="A13276" t="s">
        <v>40904</v>
      </c>
      <c r="B13276" t="s">
        <v>41205</v>
      </c>
      <c r="C13276" t="s">
        <v>35622</v>
      </c>
      <c r="D13276" t="s">
        <v>35623</v>
      </c>
      <c r="E13276" t="s">
        <v>35624</v>
      </c>
      <c r="F13276" t="s">
        <v>41206</v>
      </c>
      <c r="G13276" s="2" t="str">
        <f>HYPERLINK("https://probpalata.gov.ru/files/ЮЛ140900211300002.jpeg","Скачать индивидуальный QR-код магазина")</f>
        <v>Скачать индивидуальный QR-код магазина</v>
      </c>
    </row>
    <row r="13277" spans="1:7" x14ac:dyDescent="0.25">
      <c r="A13277" t="s">
        <v>40904</v>
      </c>
      <c r="B13277" t="s">
        <v>41207</v>
      </c>
      <c r="C13277" t="s">
        <v>35622</v>
      </c>
      <c r="D13277" t="s">
        <v>35623</v>
      </c>
      <c r="E13277" t="s">
        <v>35624</v>
      </c>
      <c r="F13277" t="s">
        <v>41208</v>
      </c>
      <c r="G13277" s="2" t="str">
        <f>HYPERLINK("https://probpalata.gov.ru/files/ЮЛ140900211300003.jpeg","Скачать индивидуальный QR-код магазина")</f>
        <v>Скачать индивидуальный QR-код магазина</v>
      </c>
    </row>
    <row r="13278" spans="1:7" x14ac:dyDescent="0.25">
      <c r="A13278" t="s">
        <v>40904</v>
      </c>
      <c r="B13278" t="s">
        <v>41209</v>
      </c>
      <c r="C13278" t="s">
        <v>35622</v>
      </c>
      <c r="D13278" t="s">
        <v>35623</v>
      </c>
      <c r="E13278" t="s">
        <v>35624</v>
      </c>
      <c r="F13278" t="s">
        <v>41210</v>
      </c>
      <c r="G13278" s="2" t="str">
        <f>HYPERLINK("https://probpalata.gov.ru/files/ЮЛ140900211300004.jpeg","Скачать индивидуальный QR-код магазина")</f>
        <v>Скачать индивидуальный QR-код магазина</v>
      </c>
    </row>
    <row r="13279" spans="1:7" x14ac:dyDescent="0.25">
      <c r="A13279" t="s">
        <v>40904</v>
      </c>
      <c r="B13279" t="s">
        <v>41126</v>
      </c>
      <c r="C13279" t="s">
        <v>35622</v>
      </c>
      <c r="D13279" t="s">
        <v>35623</v>
      </c>
      <c r="E13279" t="s">
        <v>35624</v>
      </c>
      <c r="F13279" t="s">
        <v>41211</v>
      </c>
      <c r="G13279" s="2" t="str">
        <f>HYPERLINK("https://probpalata.gov.ru/files/ЮЛ140900211300005.jpeg","Скачать индивидуальный QR-код магазина")</f>
        <v>Скачать индивидуальный QR-код магазина</v>
      </c>
    </row>
    <row r="13280" spans="1:7" x14ac:dyDescent="0.25">
      <c r="A13280" t="s">
        <v>40904</v>
      </c>
      <c r="B13280" t="s">
        <v>41212</v>
      </c>
      <c r="C13280" t="s">
        <v>35622</v>
      </c>
      <c r="D13280" t="s">
        <v>35623</v>
      </c>
      <c r="E13280" t="s">
        <v>35624</v>
      </c>
      <c r="F13280" t="s">
        <v>41213</v>
      </c>
      <c r="G13280" s="2" t="str">
        <f>HYPERLINK("https://probpalata.gov.ru/files/ЮЛ140900211300006.jpeg","Скачать индивидуальный QR-код магазина")</f>
        <v>Скачать индивидуальный QR-код магазина</v>
      </c>
    </row>
    <row r="13281" spans="1:7" x14ac:dyDescent="0.25">
      <c r="A13281" t="s">
        <v>40904</v>
      </c>
      <c r="B13281" t="s">
        <v>41214</v>
      </c>
      <c r="C13281" t="s">
        <v>35622</v>
      </c>
      <c r="D13281" t="s">
        <v>35623</v>
      </c>
      <c r="E13281" t="s">
        <v>35624</v>
      </c>
      <c r="F13281" t="s">
        <v>41215</v>
      </c>
      <c r="G13281" s="2" t="str">
        <f>HYPERLINK("https://probpalata.gov.ru/files/ЮЛ140900211300007.jpeg","Скачать индивидуальный QR-код магазина")</f>
        <v>Скачать индивидуальный QR-код магазина</v>
      </c>
    </row>
    <row r="13282" spans="1:7" x14ac:dyDescent="0.25">
      <c r="A13282" t="s">
        <v>40904</v>
      </c>
      <c r="B13282" t="s">
        <v>41216</v>
      </c>
      <c r="C13282" t="s">
        <v>35622</v>
      </c>
      <c r="D13282" t="s">
        <v>35623</v>
      </c>
      <c r="E13282" t="s">
        <v>35624</v>
      </c>
      <c r="F13282" t="s">
        <v>41217</v>
      </c>
      <c r="G13282" s="2" t="str">
        <f>HYPERLINK("https://probpalata.gov.ru/files/ЮЛ140900211300008.jpeg","Скачать индивидуальный QR-код магазина")</f>
        <v>Скачать индивидуальный QR-код магазина</v>
      </c>
    </row>
    <row r="13283" spans="1:7" x14ac:dyDescent="0.25">
      <c r="A13283" t="s">
        <v>40904</v>
      </c>
      <c r="B13283" t="s">
        <v>41218</v>
      </c>
      <c r="C13283" t="s">
        <v>35622</v>
      </c>
      <c r="D13283" t="s">
        <v>35623</v>
      </c>
      <c r="E13283" t="s">
        <v>35624</v>
      </c>
      <c r="F13283" t="s">
        <v>41219</v>
      </c>
      <c r="G13283" s="2" t="str">
        <f>HYPERLINK("https://probpalata.gov.ru/files/ЮЛ140900211300009.jpeg","Скачать индивидуальный QR-код магазина")</f>
        <v>Скачать индивидуальный QR-код магазина</v>
      </c>
    </row>
    <row r="13284" spans="1:7" x14ac:dyDescent="0.25">
      <c r="A13284" t="s">
        <v>40904</v>
      </c>
      <c r="B13284" t="s">
        <v>41220</v>
      </c>
      <c r="C13284" t="s">
        <v>35622</v>
      </c>
      <c r="D13284" t="s">
        <v>35623</v>
      </c>
      <c r="E13284" t="s">
        <v>35624</v>
      </c>
      <c r="F13284" t="s">
        <v>41221</v>
      </c>
      <c r="G13284" s="2" t="str">
        <f>HYPERLINK("https://probpalata.gov.ru/files/ЮЛ140900211300010.jpeg","Скачать индивидуальный QR-код магазина")</f>
        <v>Скачать индивидуальный QR-код магазина</v>
      </c>
    </row>
    <row r="13285" spans="1:7" x14ac:dyDescent="0.25">
      <c r="A13285" t="s">
        <v>40904</v>
      </c>
      <c r="B13285" t="s">
        <v>41222</v>
      </c>
      <c r="C13285" t="s">
        <v>35622</v>
      </c>
      <c r="D13285" t="s">
        <v>35623</v>
      </c>
      <c r="E13285" t="s">
        <v>35624</v>
      </c>
      <c r="F13285" t="s">
        <v>41223</v>
      </c>
      <c r="G13285" s="2" t="str">
        <f>HYPERLINK("https://probpalata.gov.ru/files/ЮЛ140900211300012.jpeg","Скачать индивидуальный QR-код магазина")</f>
        <v>Скачать индивидуальный QR-код магазина</v>
      </c>
    </row>
    <row r="13286" spans="1:7" x14ac:dyDescent="0.25">
      <c r="A13286" t="s">
        <v>40904</v>
      </c>
      <c r="B13286" t="s">
        <v>41224</v>
      </c>
      <c r="C13286" t="s">
        <v>35622</v>
      </c>
      <c r="D13286" t="s">
        <v>35623</v>
      </c>
      <c r="E13286" t="s">
        <v>35624</v>
      </c>
      <c r="F13286" t="s">
        <v>41225</v>
      </c>
      <c r="G13286" s="2" t="str">
        <f>HYPERLINK("https://probpalata.gov.ru/files/ЮЛ140900211300013.jpeg","Скачать индивидуальный QR-код магазина")</f>
        <v>Скачать индивидуальный QR-код магазина</v>
      </c>
    </row>
    <row r="13287" spans="1:7" x14ac:dyDescent="0.25">
      <c r="A13287" t="s">
        <v>40904</v>
      </c>
      <c r="B13287" t="s">
        <v>41220</v>
      </c>
      <c r="C13287" t="s">
        <v>35622</v>
      </c>
      <c r="D13287" t="s">
        <v>35623</v>
      </c>
      <c r="E13287" t="s">
        <v>35624</v>
      </c>
      <c r="F13287" t="s">
        <v>41226</v>
      </c>
      <c r="G13287" s="2" t="str">
        <f>HYPERLINK("https://probpalata.gov.ru/files/ЮЛ140900211300014.jpeg","Скачать индивидуальный QR-код магазина")</f>
        <v>Скачать индивидуальный QR-код магазина</v>
      </c>
    </row>
    <row r="13288" spans="1:7" x14ac:dyDescent="0.25">
      <c r="A13288" t="s">
        <v>40904</v>
      </c>
      <c r="B13288" t="s">
        <v>41227</v>
      </c>
      <c r="C13288" t="s">
        <v>35622</v>
      </c>
      <c r="D13288" t="s">
        <v>35623</v>
      </c>
      <c r="E13288" t="s">
        <v>35624</v>
      </c>
      <c r="F13288" t="s">
        <v>41228</v>
      </c>
      <c r="G13288" s="2" t="str">
        <f>HYPERLINK("https://probpalata.gov.ru/files/ЮЛ140900211300015.jpeg","Скачать индивидуальный QR-код магазина")</f>
        <v>Скачать индивидуальный QR-код магазина</v>
      </c>
    </row>
    <row r="13289" spans="1:7" x14ac:dyDescent="0.25">
      <c r="A13289" t="s">
        <v>40904</v>
      </c>
      <c r="B13289" t="s">
        <v>41229</v>
      </c>
      <c r="C13289" t="s">
        <v>35622</v>
      </c>
      <c r="D13289" t="s">
        <v>35623</v>
      </c>
      <c r="E13289" t="s">
        <v>35624</v>
      </c>
      <c r="F13289" t="s">
        <v>41230</v>
      </c>
      <c r="G13289" s="2" t="str">
        <f>HYPERLINK("https://probpalata.gov.ru/files/ЮЛ140900211300016.jpeg","Скачать индивидуальный QR-код магазина")</f>
        <v>Скачать индивидуальный QR-код магазина</v>
      </c>
    </row>
    <row r="13290" spans="1:7" x14ac:dyDescent="0.25">
      <c r="A13290" t="s">
        <v>40904</v>
      </c>
      <c r="B13290" t="s">
        <v>41231</v>
      </c>
      <c r="C13290" t="s">
        <v>35622</v>
      </c>
      <c r="D13290" t="s">
        <v>35623</v>
      </c>
      <c r="E13290" t="s">
        <v>35624</v>
      </c>
      <c r="F13290" t="s">
        <v>41232</v>
      </c>
      <c r="G13290" s="2" t="str">
        <f>HYPERLINK("https://probpalata.gov.ru/files/ЮЛ140900211300017.jpeg","Скачать индивидуальный QR-код магазина")</f>
        <v>Скачать индивидуальный QR-код магазина</v>
      </c>
    </row>
    <row r="13291" spans="1:7" x14ac:dyDescent="0.25">
      <c r="A13291" t="s">
        <v>40904</v>
      </c>
      <c r="B13291" t="s">
        <v>41233</v>
      </c>
      <c r="C13291" t="s">
        <v>41234</v>
      </c>
      <c r="D13291" t="s">
        <v>41235</v>
      </c>
      <c r="E13291" t="s">
        <v>41236</v>
      </c>
      <c r="F13291" t="s">
        <v>41237</v>
      </c>
      <c r="G13291" s="2" t="str">
        <f>HYPERLINK("https://probpalata.gov.ru/files/ЮЛ140900341500000.jpeg","Скачать индивидуальный QR-код магазина")</f>
        <v>Скачать индивидуальный QR-код магазина</v>
      </c>
    </row>
    <row r="13292" spans="1:7" x14ac:dyDescent="0.25">
      <c r="A13292" t="s">
        <v>40904</v>
      </c>
      <c r="B13292" t="s">
        <v>41238</v>
      </c>
      <c r="C13292" t="s">
        <v>41234</v>
      </c>
      <c r="D13292" t="s">
        <v>41235</v>
      </c>
      <c r="E13292" t="s">
        <v>41236</v>
      </c>
      <c r="F13292" t="s">
        <v>41239</v>
      </c>
      <c r="G13292" s="2" t="str">
        <f>HYPERLINK("https://probpalata.gov.ru/files/ЮЛ140900341500001.jpeg","Скачать индивидуальный QR-код магазина")</f>
        <v>Скачать индивидуальный QR-код магазина</v>
      </c>
    </row>
    <row r="13293" spans="1:7" x14ac:dyDescent="0.25">
      <c r="A13293" t="s">
        <v>40904</v>
      </c>
      <c r="B13293" t="s">
        <v>41240</v>
      </c>
      <c r="C13293" t="s">
        <v>41234</v>
      </c>
      <c r="D13293" t="s">
        <v>41235</v>
      </c>
      <c r="E13293" t="s">
        <v>41236</v>
      </c>
      <c r="F13293" t="s">
        <v>41241</v>
      </c>
      <c r="G13293" s="2" t="str">
        <f>HYPERLINK("https://probpalata.gov.ru/files/ЮЛ140900341500002.jpeg","Скачать индивидуальный QR-код магазина")</f>
        <v>Скачать индивидуальный QR-код магазина</v>
      </c>
    </row>
    <row r="13294" spans="1:7" x14ac:dyDescent="0.25">
      <c r="A13294" t="s">
        <v>40904</v>
      </c>
      <c r="B13294" t="s">
        <v>41242</v>
      </c>
      <c r="C13294" t="s">
        <v>41234</v>
      </c>
      <c r="D13294" t="s">
        <v>41235</v>
      </c>
      <c r="E13294" t="s">
        <v>41236</v>
      </c>
      <c r="F13294" t="s">
        <v>41243</v>
      </c>
      <c r="G13294" s="2" t="str">
        <f>HYPERLINK("https://probpalata.gov.ru/files/ЮЛ140900341500004.jpeg","Скачать индивидуальный QR-код магазина")</f>
        <v>Скачать индивидуальный QR-код магазина</v>
      </c>
    </row>
    <row r="13295" spans="1:7" x14ac:dyDescent="0.25">
      <c r="A13295" t="s">
        <v>40904</v>
      </c>
      <c r="B13295" t="s">
        <v>41244</v>
      </c>
      <c r="C13295" t="s">
        <v>41234</v>
      </c>
      <c r="D13295" t="s">
        <v>41235</v>
      </c>
      <c r="E13295" t="s">
        <v>41236</v>
      </c>
      <c r="F13295" t="s">
        <v>41245</v>
      </c>
      <c r="G13295" s="2" t="str">
        <f>HYPERLINK("https://probpalata.gov.ru/files/ЮЛ140900341500006.jpeg","Скачать индивидуальный QR-код магазина")</f>
        <v>Скачать индивидуальный QR-код магазина</v>
      </c>
    </row>
    <row r="13296" spans="1:7" x14ac:dyDescent="0.25">
      <c r="A13296" t="s">
        <v>40904</v>
      </c>
      <c r="B13296" t="s">
        <v>41246</v>
      </c>
      <c r="C13296" t="s">
        <v>41234</v>
      </c>
      <c r="D13296" t="s">
        <v>41235</v>
      </c>
      <c r="E13296" t="s">
        <v>41236</v>
      </c>
      <c r="F13296" t="s">
        <v>41247</v>
      </c>
      <c r="G13296" s="2" t="str">
        <f>HYPERLINK("https://probpalata.gov.ru/files/ЮЛ140900341500007.jpeg","Скачать индивидуальный QR-код магазина")</f>
        <v>Скачать индивидуальный QR-код магазина</v>
      </c>
    </row>
    <row r="13297" spans="1:7" x14ac:dyDescent="0.25">
      <c r="A13297" t="s">
        <v>40904</v>
      </c>
      <c r="B13297" t="s">
        <v>41248</v>
      </c>
      <c r="C13297" t="s">
        <v>41234</v>
      </c>
      <c r="D13297" t="s">
        <v>41235</v>
      </c>
      <c r="E13297" t="s">
        <v>41236</v>
      </c>
      <c r="F13297" t="s">
        <v>41249</v>
      </c>
      <c r="G13297" s="2" t="str">
        <f>HYPERLINK("https://probpalata.gov.ru/files/ЮЛ140900341500008.jpeg","Скачать индивидуальный QR-код магазина")</f>
        <v>Скачать индивидуальный QR-код магазина</v>
      </c>
    </row>
    <row r="13298" spans="1:7" x14ac:dyDescent="0.25">
      <c r="A13298" t="s">
        <v>40904</v>
      </c>
      <c r="B13298" t="s">
        <v>41250</v>
      </c>
      <c r="C13298" t="s">
        <v>3592</v>
      </c>
      <c r="D13298" t="s">
        <v>41251</v>
      </c>
      <c r="E13298" t="s">
        <v>41252</v>
      </c>
      <c r="F13298" t="s">
        <v>41253</v>
      </c>
      <c r="G13298" s="2" t="str">
        <f>HYPERLINK("https://probpalata.gov.ru/files/ЮЛ140900122400000.jpeg","Скачать индивидуальный QR-код магазина")</f>
        <v>Скачать индивидуальный QR-код магазина</v>
      </c>
    </row>
    <row r="13299" spans="1:7" x14ac:dyDescent="0.25">
      <c r="A13299" t="s">
        <v>40904</v>
      </c>
      <c r="B13299" t="s">
        <v>40990</v>
      </c>
      <c r="C13299" t="s">
        <v>41254</v>
      </c>
      <c r="D13299" t="s">
        <v>41255</v>
      </c>
      <c r="E13299" t="s">
        <v>41256</v>
      </c>
      <c r="F13299" t="s">
        <v>41257</v>
      </c>
      <c r="G13299" s="2" t="str">
        <f>HYPERLINK("https://probpalata.gov.ru/files/ИП140901544600002.jpeg","Скачать индивидуальный QR-код магазина")</f>
        <v>Скачать индивидуальный QR-код магазина</v>
      </c>
    </row>
    <row r="13300" spans="1:7" x14ac:dyDescent="0.25">
      <c r="A13300" t="s">
        <v>40904</v>
      </c>
      <c r="B13300" t="s">
        <v>41258</v>
      </c>
      <c r="C13300" t="s">
        <v>41254</v>
      </c>
      <c r="D13300" t="s">
        <v>41255</v>
      </c>
      <c r="E13300" t="s">
        <v>41256</v>
      </c>
      <c r="F13300" t="s">
        <v>41259</v>
      </c>
      <c r="G13300" s="2" t="str">
        <f>HYPERLINK("https://probpalata.gov.ru/files/ИП140901544600004.jpeg","Скачать индивидуальный QR-код магазина")</f>
        <v>Скачать индивидуальный QR-код магазина</v>
      </c>
    </row>
    <row r="13301" spans="1:7" x14ac:dyDescent="0.25">
      <c r="A13301" t="s">
        <v>40904</v>
      </c>
      <c r="B13301" t="s">
        <v>41260</v>
      </c>
      <c r="C13301" t="s">
        <v>41254</v>
      </c>
      <c r="D13301" t="s">
        <v>41255</v>
      </c>
      <c r="E13301" t="s">
        <v>41256</v>
      </c>
      <c r="F13301" t="s">
        <v>41261</v>
      </c>
      <c r="G13301" s="2" t="str">
        <f>HYPERLINK("https://probpalata.gov.ru/files/ИП140901544600006.jpeg","Скачать индивидуальный QR-код магазина")</f>
        <v>Скачать индивидуальный QR-код магазина</v>
      </c>
    </row>
    <row r="13302" spans="1:7" x14ac:dyDescent="0.25">
      <c r="A13302" t="s">
        <v>40904</v>
      </c>
      <c r="B13302" t="s">
        <v>41262</v>
      </c>
      <c r="C13302" t="s">
        <v>41263</v>
      </c>
      <c r="D13302" t="s">
        <v>41264</v>
      </c>
      <c r="E13302" t="s">
        <v>41265</v>
      </c>
      <c r="F13302" t="s">
        <v>41266</v>
      </c>
      <c r="G13302" s="2" t="str">
        <f>HYPERLINK("https://probpalata.gov.ru/files/ИП140901337800002.jpeg","Скачать индивидуальный QR-код магазина")</f>
        <v>Скачать индивидуальный QR-код магазина</v>
      </c>
    </row>
    <row r="13303" spans="1:7" x14ac:dyDescent="0.25">
      <c r="A13303" t="s">
        <v>40904</v>
      </c>
      <c r="B13303" t="s">
        <v>41267</v>
      </c>
      <c r="C13303" t="s">
        <v>41263</v>
      </c>
      <c r="D13303" t="s">
        <v>41264</v>
      </c>
      <c r="E13303" t="s">
        <v>41265</v>
      </c>
      <c r="F13303" t="s">
        <v>41268</v>
      </c>
      <c r="G13303" s="2" t="str">
        <f>HYPERLINK("https://probpalata.gov.ru/files/ИП140901337800003.jpeg","Скачать индивидуальный QR-код магазина")</f>
        <v>Скачать индивидуальный QR-код магазина</v>
      </c>
    </row>
    <row r="13304" spans="1:7" x14ac:dyDescent="0.25">
      <c r="A13304" t="s">
        <v>40904</v>
      </c>
      <c r="B13304" t="s">
        <v>41269</v>
      </c>
      <c r="C13304" t="s">
        <v>41263</v>
      </c>
      <c r="D13304" t="s">
        <v>41264</v>
      </c>
      <c r="E13304" t="s">
        <v>41265</v>
      </c>
      <c r="F13304" t="s">
        <v>41270</v>
      </c>
      <c r="G13304" s="2" t="str">
        <f>HYPERLINK("https://probpalata.gov.ru/files/ИП140901337800004.jpeg","Скачать индивидуальный QR-код магазина")</f>
        <v>Скачать индивидуальный QR-код магазина</v>
      </c>
    </row>
    <row r="13305" spans="1:7" x14ac:dyDescent="0.25">
      <c r="A13305" t="s">
        <v>40904</v>
      </c>
      <c r="B13305" t="s">
        <v>41271</v>
      </c>
      <c r="C13305" t="s">
        <v>41263</v>
      </c>
      <c r="D13305" t="s">
        <v>41264</v>
      </c>
      <c r="E13305" t="s">
        <v>41265</v>
      </c>
      <c r="F13305" t="s">
        <v>41272</v>
      </c>
      <c r="G13305" s="2" t="str">
        <f>HYPERLINK("https://probpalata.gov.ru/files/ИП140901337800005.jpeg","Скачать индивидуальный QR-код магазина")</f>
        <v>Скачать индивидуальный QR-код магазина</v>
      </c>
    </row>
    <row r="13306" spans="1:7" x14ac:dyDescent="0.25">
      <c r="A13306" t="s">
        <v>40904</v>
      </c>
      <c r="B13306" t="s">
        <v>41273</v>
      </c>
      <c r="C13306" t="s">
        <v>41263</v>
      </c>
      <c r="D13306" t="s">
        <v>41264</v>
      </c>
      <c r="E13306" t="s">
        <v>41265</v>
      </c>
      <c r="F13306" t="s">
        <v>41274</v>
      </c>
      <c r="G13306" s="2" t="str">
        <f>HYPERLINK("https://probpalata.gov.ru/files/ИП140901337800006.jpeg","Скачать индивидуальный QR-код магазина")</f>
        <v>Скачать индивидуальный QR-код магазина</v>
      </c>
    </row>
    <row r="13307" spans="1:7" x14ac:dyDescent="0.25">
      <c r="A13307" t="s">
        <v>40904</v>
      </c>
      <c r="B13307" t="s">
        <v>41203</v>
      </c>
      <c r="C13307" t="s">
        <v>41275</v>
      </c>
      <c r="D13307" t="s">
        <v>41276</v>
      </c>
      <c r="E13307" t="s">
        <v>41277</v>
      </c>
      <c r="F13307" t="s">
        <v>41278</v>
      </c>
      <c r="G13307" s="2" t="str">
        <f>HYPERLINK("https://probpalata.gov.ru/files/ИП140900340200000.jpeg","Скачать индивидуальный QR-код магазина")</f>
        <v>Скачать индивидуальный QR-код магазина</v>
      </c>
    </row>
    <row r="13308" spans="1:7" x14ac:dyDescent="0.25">
      <c r="A13308" t="s">
        <v>40904</v>
      </c>
      <c r="B13308" t="s">
        <v>41279</v>
      </c>
      <c r="C13308" t="s">
        <v>41280</v>
      </c>
      <c r="D13308" t="s">
        <v>41281</v>
      </c>
      <c r="E13308" t="s">
        <v>41282</v>
      </c>
      <c r="F13308" t="s">
        <v>41283</v>
      </c>
      <c r="G13308" s="2" t="str">
        <f>HYPERLINK("https://probpalata.gov.ru/files/ИП140903585300000.jpeg","Скачать индивидуальный QR-код магазина")</f>
        <v>Скачать индивидуальный QR-код магазина</v>
      </c>
    </row>
    <row r="13309" spans="1:7" x14ac:dyDescent="0.25">
      <c r="A13309" t="s">
        <v>40904</v>
      </c>
      <c r="B13309" t="s">
        <v>41284</v>
      </c>
      <c r="C13309" t="s">
        <v>41280</v>
      </c>
      <c r="D13309" t="s">
        <v>41281</v>
      </c>
      <c r="E13309" t="s">
        <v>41282</v>
      </c>
      <c r="F13309" t="s">
        <v>41285</v>
      </c>
      <c r="G13309" s="2" t="str">
        <f>HYPERLINK("https://probpalata.gov.ru/files/ИП140903585300002.jpeg","Скачать индивидуальный QR-код магазина")</f>
        <v>Скачать индивидуальный QR-код магазина</v>
      </c>
    </row>
    <row r="13310" spans="1:7" x14ac:dyDescent="0.25">
      <c r="A13310" t="s">
        <v>40904</v>
      </c>
      <c r="B13310" t="s">
        <v>41022</v>
      </c>
      <c r="C13310" t="s">
        <v>41280</v>
      </c>
      <c r="D13310" t="s">
        <v>41281</v>
      </c>
      <c r="E13310" t="s">
        <v>41282</v>
      </c>
      <c r="F13310" t="s">
        <v>41286</v>
      </c>
      <c r="G13310" s="2" t="str">
        <f>HYPERLINK("https://probpalata.gov.ru/files/ИП140903585300003.jpeg","Скачать индивидуальный QR-код магазина")</f>
        <v>Скачать индивидуальный QR-код магазина</v>
      </c>
    </row>
    <row r="13311" spans="1:7" x14ac:dyDescent="0.25">
      <c r="A13311" t="s">
        <v>40904</v>
      </c>
      <c r="B13311" t="s">
        <v>41287</v>
      </c>
      <c r="C13311" t="s">
        <v>41288</v>
      </c>
      <c r="D13311" t="s">
        <v>41289</v>
      </c>
      <c r="E13311" t="s">
        <v>41290</v>
      </c>
      <c r="F13311" t="s">
        <v>41291</v>
      </c>
      <c r="G13311" s="2" t="str">
        <f>HYPERLINK("https://probpalata.gov.ru/files/ИП140900676200000.jpeg","Скачать индивидуальный QR-код магазина")</f>
        <v>Скачать индивидуальный QR-код магазина</v>
      </c>
    </row>
    <row r="13312" spans="1:7" x14ac:dyDescent="0.25">
      <c r="A13312" t="s">
        <v>40904</v>
      </c>
      <c r="B13312" t="s">
        <v>41292</v>
      </c>
      <c r="C13312" t="s">
        <v>41293</v>
      </c>
      <c r="D13312" t="s">
        <v>41294</v>
      </c>
      <c r="E13312" t="s">
        <v>41295</v>
      </c>
      <c r="F13312" t="s">
        <v>41296</v>
      </c>
      <c r="G13312" s="2" t="str">
        <f>HYPERLINK("https://probpalata.gov.ru/files/ИП140900674500000.jpeg","Скачать индивидуальный QR-код магазина")</f>
        <v>Скачать индивидуальный QR-код магазина</v>
      </c>
    </row>
    <row r="13313" spans="1:7" x14ac:dyDescent="0.25">
      <c r="A13313" t="s">
        <v>40904</v>
      </c>
      <c r="B13313" t="s">
        <v>41297</v>
      </c>
      <c r="C13313" t="s">
        <v>41298</v>
      </c>
      <c r="D13313" t="s">
        <v>41299</v>
      </c>
      <c r="E13313" t="s">
        <v>41300</v>
      </c>
      <c r="F13313" t="s">
        <v>41301</v>
      </c>
      <c r="G13313" s="2" t="str">
        <f>HYPERLINK("https://probpalata.gov.ru/files/ИП140900585400000.jpeg","Скачать индивидуальный QR-код магазина")</f>
        <v>Скачать индивидуальный QR-код магазина</v>
      </c>
    </row>
    <row r="13314" spans="1:7" x14ac:dyDescent="0.25">
      <c r="A13314" t="s">
        <v>40904</v>
      </c>
      <c r="B13314" t="s">
        <v>41015</v>
      </c>
      <c r="C13314" t="s">
        <v>17031</v>
      </c>
      <c r="D13314" t="s">
        <v>41302</v>
      </c>
      <c r="E13314" t="s">
        <v>41303</v>
      </c>
      <c r="F13314" t="s">
        <v>41304</v>
      </c>
      <c r="G13314" s="2" t="str">
        <f>HYPERLINK("https://probpalata.gov.ru/files/ЮЛ140900287900001.jpeg","Скачать индивидуальный QR-код магазина")</f>
        <v>Скачать индивидуальный QR-код магазина</v>
      </c>
    </row>
    <row r="13315" spans="1:7" x14ac:dyDescent="0.25">
      <c r="A13315" t="s">
        <v>40904</v>
      </c>
      <c r="B13315" t="s">
        <v>41305</v>
      </c>
      <c r="C13315" t="s">
        <v>17031</v>
      </c>
      <c r="D13315" t="s">
        <v>41302</v>
      </c>
      <c r="E13315" t="s">
        <v>41303</v>
      </c>
      <c r="F13315" t="s">
        <v>41306</v>
      </c>
      <c r="G13315" s="2" t="str">
        <f>HYPERLINK("https://probpalata.gov.ru/files/ЮЛ140900287900002.jpeg","Скачать индивидуальный QR-код магазина")</f>
        <v>Скачать индивидуальный QR-код магазина</v>
      </c>
    </row>
    <row r="13316" spans="1:7" x14ac:dyDescent="0.25">
      <c r="A13316" t="s">
        <v>40904</v>
      </c>
      <c r="B13316" t="s">
        <v>41307</v>
      </c>
      <c r="C13316" t="s">
        <v>17031</v>
      </c>
      <c r="D13316" t="s">
        <v>41302</v>
      </c>
      <c r="E13316" t="s">
        <v>41303</v>
      </c>
      <c r="F13316" t="s">
        <v>41308</v>
      </c>
      <c r="G13316" s="2" t="str">
        <f>HYPERLINK("https://probpalata.gov.ru/files/ЮЛ140900287900003.jpeg","Скачать индивидуальный QR-код магазина")</f>
        <v>Скачать индивидуальный QR-код магазина</v>
      </c>
    </row>
    <row r="13317" spans="1:7" x14ac:dyDescent="0.25">
      <c r="A13317" t="s">
        <v>40904</v>
      </c>
      <c r="B13317" t="s">
        <v>41309</v>
      </c>
      <c r="C13317" t="s">
        <v>17031</v>
      </c>
      <c r="D13317" t="s">
        <v>41302</v>
      </c>
      <c r="E13317" t="s">
        <v>41303</v>
      </c>
      <c r="F13317" t="s">
        <v>41310</v>
      </c>
      <c r="G13317" s="2" t="str">
        <f>HYPERLINK("https://probpalata.gov.ru/files/ЮЛ140900287900004.jpeg","Скачать индивидуальный QR-код магазина")</f>
        <v>Скачать индивидуальный QR-код магазина</v>
      </c>
    </row>
    <row r="13318" spans="1:7" x14ac:dyDescent="0.25">
      <c r="A13318" t="s">
        <v>40904</v>
      </c>
      <c r="B13318" t="s">
        <v>41311</v>
      </c>
      <c r="C13318" t="s">
        <v>17031</v>
      </c>
      <c r="D13318" t="s">
        <v>41302</v>
      </c>
      <c r="E13318" t="s">
        <v>41303</v>
      </c>
      <c r="F13318" t="s">
        <v>41312</v>
      </c>
      <c r="G13318" s="2" t="str">
        <f>HYPERLINK("https://probpalata.gov.ru/files/ЮЛ140900287900005.jpeg","Скачать индивидуальный QR-код магазина")</f>
        <v>Скачать индивидуальный QR-код магазина</v>
      </c>
    </row>
    <row r="13319" spans="1:7" x14ac:dyDescent="0.25">
      <c r="A13319" t="s">
        <v>40904</v>
      </c>
      <c r="B13319" t="s">
        <v>41224</v>
      </c>
      <c r="C13319" t="s">
        <v>17031</v>
      </c>
      <c r="D13319" t="s">
        <v>41302</v>
      </c>
      <c r="E13319" t="s">
        <v>41303</v>
      </c>
      <c r="F13319" t="s">
        <v>41313</v>
      </c>
      <c r="G13319" s="2" t="str">
        <f>HYPERLINK("https://probpalata.gov.ru/files/ЮЛ140900287900006.jpeg","Скачать индивидуальный QR-код магазина")</f>
        <v>Скачать индивидуальный QR-код магазина</v>
      </c>
    </row>
    <row r="13320" spans="1:7" x14ac:dyDescent="0.25">
      <c r="A13320" t="s">
        <v>40904</v>
      </c>
      <c r="B13320" t="s">
        <v>41314</v>
      </c>
      <c r="C13320" t="s">
        <v>17031</v>
      </c>
      <c r="D13320" t="s">
        <v>41302</v>
      </c>
      <c r="E13320" t="s">
        <v>41303</v>
      </c>
      <c r="F13320" t="s">
        <v>41315</v>
      </c>
      <c r="G13320" s="2" t="str">
        <f>HYPERLINK("https://probpalata.gov.ru/files/ЮЛ140900287900007.jpeg","Скачать индивидуальный QR-код магазина")</f>
        <v>Скачать индивидуальный QR-код магазина</v>
      </c>
    </row>
    <row r="13321" spans="1:7" x14ac:dyDescent="0.25">
      <c r="A13321" t="s">
        <v>40904</v>
      </c>
      <c r="B13321" t="s">
        <v>41316</v>
      </c>
      <c r="C13321" t="s">
        <v>17031</v>
      </c>
      <c r="D13321" t="s">
        <v>41302</v>
      </c>
      <c r="E13321" t="s">
        <v>41303</v>
      </c>
      <c r="F13321" t="s">
        <v>41317</v>
      </c>
      <c r="G13321" s="2" t="str">
        <f>HYPERLINK("https://probpalata.gov.ru/files/ЮЛ140900287900008.jpeg","Скачать индивидуальный QR-код магазина")</f>
        <v>Скачать индивидуальный QR-код магазина</v>
      </c>
    </row>
    <row r="13322" spans="1:7" x14ac:dyDescent="0.25">
      <c r="A13322" t="s">
        <v>40904</v>
      </c>
      <c r="B13322" t="s">
        <v>41318</v>
      </c>
      <c r="C13322" t="s">
        <v>17031</v>
      </c>
      <c r="D13322" t="s">
        <v>41302</v>
      </c>
      <c r="E13322" t="s">
        <v>41303</v>
      </c>
      <c r="F13322" t="s">
        <v>41319</v>
      </c>
      <c r="G13322" s="2" t="str">
        <f>HYPERLINK("https://probpalata.gov.ru/files/ЮЛ140900287900009.jpeg","Скачать индивидуальный QR-код магазина")</f>
        <v>Скачать индивидуальный QR-код магазина</v>
      </c>
    </row>
    <row r="13323" spans="1:7" x14ac:dyDescent="0.25">
      <c r="A13323" t="s">
        <v>40904</v>
      </c>
      <c r="B13323" t="s">
        <v>41222</v>
      </c>
      <c r="C13323" t="s">
        <v>17031</v>
      </c>
      <c r="D13323" t="s">
        <v>41302</v>
      </c>
      <c r="E13323" t="s">
        <v>41303</v>
      </c>
      <c r="F13323" t="s">
        <v>41320</v>
      </c>
      <c r="G13323" s="2" t="str">
        <f>HYPERLINK("https://probpalata.gov.ru/files/ЮЛ140900287900010.jpeg","Скачать индивидуальный QR-код магазина")</f>
        <v>Скачать индивидуальный QR-код магазина</v>
      </c>
    </row>
    <row r="13324" spans="1:7" x14ac:dyDescent="0.25">
      <c r="A13324" t="s">
        <v>40904</v>
      </c>
      <c r="B13324" t="s">
        <v>41321</v>
      </c>
      <c r="C13324" t="s">
        <v>17031</v>
      </c>
      <c r="D13324" t="s">
        <v>41302</v>
      </c>
      <c r="E13324" t="s">
        <v>41303</v>
      </c>
      <c r="F13324" t="s">
        <v>41322</v>
      </c>
      <c r="G13324" s="2" t="str">
        <f>HYPERLINK("https://probpalata.gov.ru/files/ЮЛ140900287900011.jpeg","Скачать индивидуальный QR-код магазина")</f>
        <v>Скачать индивидуальный QR-код магазина</v>
      </c>
    </row>
    <row r="13325" spans="1:7" x14ac:dyDescent="0.25">
      <c r="A13325" t="s">
        <v>40904</v>
      </c>
      <c r="B13325" t="s">
        <v>41323</v>
      </c>
      <c r="C13325" t="s">
        <v>17031</v>
      </c>
      <c r="D13325" t="s">
        <v>41302</v>
      </c>
      <c r="E13325" t="s">
        <v>41303</v>
      </c>
      <c r="F13325" t="s">
        <v>41324</v>
      </c>
      <c r="G13325" s="2" t="str">
        <f>HYPERLINK("https://probpalata.gov.ru/files/ЮЛ140900287900012.jpeg","Скачать индивидуальный QR-код магазина")</f>
        <v>Скачать индивидуальный QR-код магазина</v>
      </c>
    </row>
    <row r="13326" spans="1:7" x14ac:dyDescent="0.25">
      <c r="A13326" t="s">
        <v>40904</v>
      </c>
      <c r="B13326" t="s">
        <v>41325</v>
      </c>
      <c r="C13326" t="s">
        <v>17031</v>
      </c>
      <c r="D13326" t="s">
        <v>41302</v>
      </c>
      <c r="E13326" t="s">
        <v>41303</v>
      </c>
      <c r="F13326" t="s">
        <v>41326</v>
      </c>
      <c r="G13326" s="2" t="str">
        <f>HYPERLINK("https://probpalata.gov.ru/files/ЮЛ140900287900013.jpeg","Скачать индивидуальный QR-код магазина")</f>
        <v>Скачать индивидуальный QR-код магазина</v>
      </c>
    </row>
    <row r="13327" spans="1:7" x14ac:dyDescent="0.25">
      <c r="A13327" t="s">
        <v>40904</v>
      </c>
      <c r="B13327" t="s">
        <v>41327</v>
      </c>
      <c r="C13327" t="s">
        <v>17031</v>
      </c>
      <c r="D13327" t="s">
        <v>41302</v>
      </c>
      <c r="E13327" t="s">
        <v>41303</v>
      </c>
      <c r="F13327" t="s">
        <v>41328</v>
      </c>
      <c r="G13327" s="2" t="str">
        <f>HYPERLINK("https://probpalata.gov.ru/files/ЮЛ140900287900014.jpeg","Скачать индивидуальный QR-код магазина")</f>
        <v>Скачать индивидуальный QR-код магазина</v>
      </c>
    </row>
    <row r="13328" spans="1:7" x14ac:dyDescent="0.25">
      <c r="A13328" t="s">
        <v>40904</v>
      </c>
      <c r="B13328" t="s">
        <v>41329</v>
      </c>
      <c r="C13328" t="s">
        <v>17031</v>
      </c>
      <c r="D13328" t="s">
        <v>41302</v>
      </c>
      <c r="E13328" t="s">
        <v>41303</v>
      </c>
      <c r="F13328" t="s">
        <v>41330</v>
      </c>
      <c r="G13328" s="2" t="str">
        <f>HYPERLINK("https://probpalata.gov.ru/files/ЮЛ140900287900015.jpeg","Скачать индивидуальный QR-код магазина")</f>
        <v>Скачать индивидуальный QR-код магазина</v>
      </c>
    </row>
    <row r="13329" spans="1:7" x14ac:dyDescent="0.25">
      <c r="A13329" t="s">
        <v>40904</v>
      </c>
      <c r="B13329" t="s">
        <v>41331</v>
      </c>
      <c r="C13329" t="s">
        <v>17031</v>
      </c>
      <c r="D13329" t="s">
        <v>41302</v>
      </c>
      <c r="E13329" t="s">
        <v>41303</v>
      </c>
      <c r="F13329" t="s">
        <v>41332</v>
      </c>
      <c r="G13329" s="2" t="str">
        <f>HYPERLINK("https://probpalata.gov.ru/files/ЮЛ140900287900016.jpeg","Скачать индивидуальный QR-код магазина")</f>
        <v>Скачать индивидуальный QR-код магазина</v>
      </c>
    </row>
    <row r="13330" spans="1:7" x14ac:dyDescent="0.25">
      <c r="A13330" t="s">
        <v>40904</v>
      </c>
      <c r="B13330" t="s">
        <v>41333</v>
      </c>
      <c r="C13330" t="s">
        <v>17031</v>
      </c>
      <c r="D13330" t="s">
        <v>41302</v>
      </c>
      <c r="E13330" t="s">
        <v>41303</v>
      </c>
      <c r="F13330" t="s">
        <v>41334</v>
      </c>
      <c r="G13330" s="2" t="str">
        <f>HYPERLINK("https://probpalata.gov.ru/files/ЮЛ140900287900017.jpeg","Скачать индивидуальный QR-код магазина")</f>
        <v>Скачать индивидуальный QR-код магазина</v>
      </c>
    </row>
    <row r="13331" spans="1:7" x14ac:dyDescent="0.25">
      <c r="A13331" t="s">
        <v>40904</v>
      </c>
      <c r="B13331" t="s">
        <v>41335</v>
      </c>
      <c r="C13331" t="s">
        <v>17031</v>
      </c>
      <c r="D13331" t="s">
        <v>41302</v>
      </c>
      <c r="E13331" t="s">
        <v>41303</v>
      </c>
      <c r="F13331" t="s">
        <v>41336</v>
      </c>
      <c r="G13331" s="2" t="str">
        <f>HYPERLINK("https://probpalata.gov.ru/files/ЮЛ140900287900018.jpeg","Скачать индивидуальный QR-код магазина")</f>
        <v>Скачать индивидуальный QR-код магазина</v>
      </c>
    </row>
    <row r="13332" spans="1:7" x14ac:dyDescent="0.25">
      <c r="A13332" t="s">
        <v>40904</v>
      </c>
      <c r="B13332" t="s">
        <v>41114</v>
      </c>
      <c r="C13332" t="s">
        <v>41337</v>
      </c>
      <c r="D13332" t="s">
        <v>41338</v>
      </c>
      <c r="E13332" t="s">
        <v>41339</v>
      </c>
      <c r="F13332" t="s">
        <v>41340</v>
      </c>
      <c r="G13332" s="2" t="str">
        <f>HYPERLINK("https://probpalata.gov.ru/files/ИП140903587300000.jpeg","Скачать индивидуальный QR-код магазина")</f>
        <v>Скачать индивидуальный QR-код магазина</v>
      </c>
    </row>
    <row r="13333" spans="1:7" x14ac:dyDescent="0.25">
      <c r="A13333" t="s">
        <v>40904</v>
      </c>
      <c r="B13333" t="s">
        <v>41341</v>
      </c>
      <c r="C13333" t="s">
        <v>41342</v>
      </c>
      <c r="D13333" t="s">
        <v>41343</v>
      </c>
      <c r="E13333" t="s">
        <v>41344</v>
      </c>
      <c r="F13333" t="s">
        <v>41345</v>
      </c>
      <c r="G13333" s="2" t="str">
        <f>HYPERLINK("https://probpalata.gov.ru/files/ИП140900428400000.jpeg","Скачать индивидуальный QR-код магазина")</f>
        <v>Скачать индивидуальный QR-код магазина</v>
      </c>
    </row>
    <row r="13334" spans="1:7" x14ac:dyDescent="0.25">
      <c r="A13334" t="s">
        <v>40904</v>
      </c>
      <c r="B13334" t="s">
        <v>41346</v>
      </c>
      <c r="C13334" t="s">
        <v>41342</v>
      </c>
      <c r="D13334" t="s">
        <v>41343</v>
      </c>
      <c r="E13334" t="s">
        <v>41344</v>
      </c>
      <c r="F13334" t="s">
        <v>41347</v>
      </c>
      <c r="G13334" s="2" t="str">
        <f>HYPERLINK("https://probpalata.gov.ru/files/ИП140900428400003.jpeg","Скачать индивидуальный QR-код магазина")</f>
        <v>Скачать индивидуальный QR-код магазина</v>
      </c>
    </row>
    <row r="13335" spans="1:7" x14ac:dyDescent="0.25">
      <c r="A13335" t="s">
        <v>40904</v>
      </c>
      <c r="B13335" t="s">
        <v>41348</v>
      </c>
      <c r="C13335" t="s">
        <v>41349</v>
      </c>
      <c r="D13335" t="s">
        <v>41350</v>
      </c>
      <c r="E13335" t="s">
        <v>41351</v>
      </c>
      <c r="F13335" t="s">
        <v>41352</v>
      </c>
      <c r="G13335" s="2" t="str">
        <f>HYPERLINK("https://probpalata.gov.ru/files/ИП140901543400000.jpeg","Скачать индивидуальный QR-код магазина")</f>
        <v>Скачать индивидуальный QR-код магазина</v>
      </c>
    </row>
    <row r="13336" spans="1:7" x14ac:dyDescent="0.25">
      <c r="A13336" t="s">
        <v>40904</v>
      </c>
      <c r="B13336" t="s">
        <v>41203</v>
      </c>
      <c r="C13336" t="s">
        <v>41353</v>
      </c>
      <c r="D13336" t="s">
        <v>41354</v>
      </c>
      <c r="E13336" t="s">
        <v>41355</v>
      </c>
      <c r="F13336" t="s">
        <v>41356</v>
      </c>
      <c r="G13336" s="2" t="str">
        <f>HYPERLINK("https://probpalata.gov.ru/files/ИП140903724000002.jpeg","Скачать индивидуальный QR-код магазина")</f>
        <v>Скачать индивидуальный QR-код магазина</v>
      </c>
    </row>
    <row r="13337" spans="1:7" x14ac:dyDescent="0.25">
      <c r="A13337" t="s">
        <v>40904</v>
      </c>
      <c r="B13337" t="s">
        <v>40990</v>
      </c>
      <c r="C13337" t="s">
        <v>41353</v>
      </c>
      <c r="D13337" t="s">
        <v>41354</v>
      </c>
      <c r="E13337" t="s">
        <v>41355</v>
      </c>
      <c r="F13337" t="s">
        <v>41357</v>
      </c>
      <c r="G13337" s="2" t="str">
        <f>HYPERLINK("https://probpalata.gov.ru/files/ИП140903724000003.jpeg","Скачать индивидуальный QR-код магазина")</f>
        <v>Скачать индивидуальный QR-код магазина</v>
      </c>
    </row>
    <row r="13338" spans="1:7" x14ac:dyDescent="0.25">
      <c r="A13338" t="s">
        <v>40904</v>
      </c>
      <c r="B13338" t="s">
        <v>41358</v>
      </c>
      <c r="C13338" t="s">
        <v>41353</v>
      </c>
      <c r="D13338" t="s">
        <v>41354</v>
      </c>
      <c r="E13338" t="s">
        <v>41355</v>
      </c>
      <c r="F13338" t="s">
        <v>41359</v>
      </c>
      <c r="G13338" s="2" t="str">
        <f>HYPERLINK("https://probpalata.gov.ru/files/ИП140903724000005.jpeg","Скачать индивидуальный QR-код магазина")</f>
        <v>Скачать индивидуальный QR-код магазина</v>
      </c>
    </row>
    <row r="13339" spans="1:7" x14ac:dyDescent="0.25">
      <c r="A13339" t="s">
        <v>40904</v>
      </c>
      <c r="B13339" t="s">
        <v>40990</v>
      </c>
      <c r="C13339" t="s">
        <v>41360</v>
      </c>
      <c r="D13339" t="s">
        <v>41361</v>
      </c>
      <c r="E13339" t="s">
        <v>41362</v>
      </c>
      <c r="F13339" t="s">
        <v>41363</v>
      </c>
      <c r="G13339" s="2" t="str">
        <f>HYPERLINK("https://probpalata.gov.ru/files/ИП140901381300000.jpeg","Скачать индивидуальный QR-код магазина")</f>
        <v>Скачать индивидуальный QR-код магазина</v>
      </c>
    </row>
    <row r="13340" spans="1:7" x14ac:dyDescent="0.25">
      <c r="A13340" t="s">
        <v>40904</v>
      </c>
      <c r="B13340" t="s">
        <v>41203</v>
      </c>
      <c r="C13340" t="s">
        <v>41360</v>
      </c>
      <c r="D13340" t="s">
        <v>41361</v>
      </c>
      <c r="E13340" t="s">
        <v>41362</v>
      </c>
      <c r="F13340" t="s">
        <v>41364</v>
      </c>
      <c r="G13340" s="2" t="str">
        <f>HYPERLINK("https://probpalata.gov.ru/files/ИП140901381300002.jpeg","Скачать индивидуальный QR-код магазина")</f>
        <v>Скачать индивидуальный QR-код магазина</v>
      </c>
    </row>
    <row r="13341" spans="1:7" x14ac:dyDescent="0.25">
      <c r="A13341" t="s">
        <v>40904</v>
      </c>
      <c r="B13341" t="s">
        <v>41365</v>
      </c>
      <c r="C13341" t="s">
        <v>41366</v>
      </c>
      <c r="D13341" t="s">
        <v>41367</v>
      </c>
      <c r="E13341" t="s">
        <v>41368</v>
      </c>
      <c r="F13341" t="s">
        <v>41369</v>
      </c>
      <c r="G13341" s="2" t="str">
        <f>HYPERLINK("https://probpalata.gov.ru/files/ЮЛ140900338900000.jpeg","Скачать индивидуальный QR-код магазина")</f>
        <v>Скачать индивидуальный QR-код магазина</v>
      </c>
    </row>
    <row r="13342" spans="1:7" x14ac:dyDescent="0.25">
      <c r="A13342" t="s">
        <v>40904</v>
      </c>
      <c r="B13342" t="s">
        <v>41218</v>
      </c>
      <c r="C13342" t="s">
        <v>9734</v>
      </c>
      <c r="D13342" t="s">
        <v>9735</v>
      </c>
      <c r="E13342" t="s">
        <v>9736</v>
      </c>
      <c r="F13342" t="s">
        <v>41370</v>
      </c>
      <c r="G13342" s="2" t="str">
        <f>HYPERLINK("https://probpalata.gov.ru/files/ИП140901095200000.jpeg","Скачать индивидуальный QR-код магазина")</f>
        <v>Скачать индивидуальный QR-код магазина</v>
      </c>
    </row>
    <row r="13343" spans="1:7" x14ac:dyDescent="0.25">
      <c r="A13343" t="s">
        <v>40904</v>
      </c>
      <c r="B13343" t="s">
        <v>41146</v>
      </c>
      <c r="C13343" t="s">
        <v>9734</v>
      </c>
      <c r="D13343" t="s">
        <v>9735</v>
      </c>
      <c r="E13343" t="s">
        <v>9736</v>
      </c>
      <c r="F13343" t="s">
        <v>41371</v>
      </c>
      <c r="G13343" s="2" t="str">
        <f>HYPERLINK("https://probpalata.gov.ru/files/ИП140901095200004.jpeg","Скачать индивидуальный QR-код магазина")</f>
        <v>Скачать индивидуальный QR-код магазина</v>
      </c>
    </row>
    <row r="13344" spans="1:7" x14ac:dyDescent="0.25">
      <c r="A13344" t="s">
        <v>40904</v>
      </c>
      <c r="B13344" t="s">
        <v>41218</v>
      </c>
      <c r="C13344" t="s">
        <v>9734</v>
      </c>
      <c r="D13344" t="s">
        <v>9735</v>
      </c>
      <c r="E13344" t="s">
        <v>9736</v>
      </c>
      <c r="F13344" t="s">
        <v>41372</v>
      </c>
      <c r="G13344" s="2" t="str">
        <f>HYPERLINK("https://probpalata.gov.ru/files/ИП140901095200005.jpeg","Скачать индивидуальный QR-код магазина")</f>
        <v>Скачать индивидуальный QR-код магазина</v>
      </c>
    </row>
    <row r="13345" spans="1:7" x14ac:dyDescent="0.25">
      <c r="A13345" t="s">
        <v>40904</v>
      </c>
      <c r="B13345" t="s">
        <v>41373</v>
      </c>
      <c r="C13345" t="s">
        <v>41374</v>
      </c>
      <c r="D13345" t="s">
        <v>41375</v>
      </c>
      <c r="E13345" t="s">
        <v>41376</v>
      </c>
      <c r="F13345" t="s">
        <v>41377</v>
      </c>
      <c r="G13345" s="2" t="str">
        <f>HYPERLINK("https://probpalata.gov.ru/files/ИП140900337900000.jpeg","Скачать индивидуальный QR-код магазина")</f>
        <v>Скачать индивидуальный QR-код магазина</v>
      </c>
    </row>
    <row r="13346" spans="1:7" x14ac:dyDescent="0.25">
      <c r="A13346" t="s">
        <v>40904</v>
      </c>
      <c r="B13346" t="s">
        <v>41378</v>
      </c>
      <c r="C13346" t="s">
        <v>41379</v>
      </c>
      <c r="D13346" t="s">
        <v>41380</v>
      </c>
      <c r="E13346" t="s">
        <v>41381</v>
      </c>
      <c r="F13346" t="s">
        <v>41382</v>
      </c>
      <c r="G13346" s="2" t="str">
        <f>HYPERLINK("https://probpalata.gov.ru/files/ЮЛ140900437700000.jpeg","Скачать индивидуальный QR-код магазина")</f>
        <v>Скачать индивидуальный QR-код магазина</v>
      </c>
    </row>
    <row r="13347" spans="1:7" x14ac:dyDescent="0.25">
      <c r="A13347" t="s">
        <v>40904</v>
      </c>
      <c r="B13347" t="s">
        <v>41383</v>
      </c>
      <c r="C13347" t="s">
        <v>41384</v>
      </c>
      <c r="D13347" t="s">
        <v>41385</v>
      </c>
      <c r="E13347" t="s">
        <v>41386</v>
      </c>
      <c r="F13347" t="s">
        <v>41387</v>
      </c>
      <c r="G13347" s="2" t="str">
        <f>HYPERLINK("https://probpalata.gov.ru/files/ЮЛ140903980000001.jpeg","Скачать индивидуальный QR-код магазина")</f>
        <v>Скачать индивидуальный QR-код магазина</v>
      </c>
    </row>
    <row r="13348" spans="1:7" x14ac:dyDescent="0.25">
      <c r="A13348" t="s">
        <v>40904</v>
      </c>
      <c r="B13348" t="s">
        <v>41388</v>
      </c>
      <c r="C13348" t="s">
        <v>41384</v>
      </c>
      <c r="D13348" t="s">
        <v>41385</v>
      </c>
      <c r="E13348" t="s">
        <v>41386</v>
      </c>
      <c r="F13348" t="s">
        <v>41389</v>
      </c>
      <c r="G13348" s="2" t="str">
        <f>HYPERLINK("https://probpalata.gov.ru/files/ЮЛ140903980000002.jpeg","Скачать индивидуальный QR-код магазина")</f>
        <v>Скачать индивидуальный QR-код магазина</v>
      </c>
    </row>
    <row r="13349" spans="1:7" x14ac:dyDescent="0.25">
      <c r="A13349" t="s">
        <v>40904</v>
      </c>
      <c r="B13349" t="s">
        <v>41390</v>
      </c>
      <c r="C13349" t="s">
        <v>41391</v>
      </c>
      <c r="D13349" t="s">
        <v>41392</v>
      </c>
      <c r="E13349" t="s">
        <v>41393</v>
      </c>
      <c r="F13349" t="s">
        <v>41394</v>
      </c>
      <c r="G13349" s="2" t="str">
        <f>HYPERLINK("https://probpalata.gov.ru/files/ЮЛ140900509000000.jpeg","Скачать индивидуальный QR-код магазина")</f>
        <v>Скачать индивидуальный QR-код магазина</v>
      </c>
    </row>
    <row r="13350" spans="1:7" x14ac:dyDescent="0.25">
      <c r="A13350" t="s">
        <v>40904</v>
      </c>
      <c r="B13350" t="s">
        <v>41395</v>
      </c>
      <c r="C13350" t="s">
        <v>19035</v>
      </c>
      <c r="D13350" t="s">
        <v>19036</v>
      </c>
      <c r="E13350" t="s">
        <v>19037</v>
      </c>
      <c r="F13350" t="s">
        <v>41396</v>
      </c>
      <c r="G13350" s="2" t="str">
        <f>HYPERLINK("https://probpalata.gov.ru/files/ЮЛ140900291100000.jpeg","Скачать индивидуальный QR-код магазина")</f>
        <v>Скачать индивидуальный QR-код магазина</v>
      </c>
    </row>
    <row r="13351" spans="1:7" x14ac:dyDescent="0.25">
      <c r="A13351" t="s">
        <v>40904</v>
      </c>
      <c r="B13351" t="s">
        <v>41397</v>
      </c>
      <c r="C13351" t="s">
        <v>19035</v>
      </c>
      <c r="D13351" t="s">
        <v>19036</v>
      </c>
      <c r="E13351" t="s">
        <v>19037</v>
      </c>
      <c r="F13351" t="s">
        <v>41398</v>
      </c>
      <c r="G13351" s="2" t="str">
        <f>HYPERLINK("https://probpalata.gov.ru/files/ЮЛ140900291100001.jpeg","Скачать индивидуальный QR-код магазина")</f>
        <v>Скачать индивидуальный QR-код магазина</v>
      </c>
    </row>
    <row r="13352" spans="1:7" x14ac:dyDescent="0.25">
      <c r="A13352" t="s">
        <v>40904</v>
      </c>
      <c r="B13352" t="s">
        <v>41399</v>
      </c>
      <c r="C13352" t="s">
        <v>19035</v>
      </c>
      <c r="D13352" t="s">
        <v>19036</v>
      </c>
      <c r="E13352" t="s">
        <v>19037</v>
      </c>
      <c r="F13352" t="s">
        <v>41400</v>
      </c>
      <c r="G13352" s="2" t="str">
        <f>HYPERLINK("https://probpalata.gov.ru/files/ЮЛ140900291100003.jpeg","Скачать индивидуальный QR-код магазина")</f>
        <v>Скачать индивидуальный QR-код магазина</v>
      </c>
    </row>
    <row r="13353" spans="1:7" x14ac:dyDescent="0.25">
      <c r="A13353" t="s">
        <v>40904</v>
      </c>
      <c r="B13353" t="s">
        <v>41401</v>
      </c>
      <c r="C13353" t="s">
        <v>19035</v>
      </c>
      <c r="D13353" t="s">
        <v>19036</v>
      </c>
      <c r="E13353" t="s">
        <v>19037</v>
      </c>
      <c r="F13353" t="s">
        <v>41402</v>
      </c>
      <c r="G13353" s="2" t="str">
        <f>HYPERLINK("https://probpalata.gov.ru/files/ЮЛ140900291100004.jpeg","Скачать индивидуальный QR-код магазина")</f>
        <v>Скачать индивидуальный QR-код магазина</v>
      </c>
    </row>
    <row r="13354" spans="1:7" x14ac:dyDescent="0.25">
      <c r="A13354" t="s">
        <v>40904</v>
      </c>
      <c r="B13354" t="s">
        <v>41403</v>
      </c>
      <c r="C13354" t="s">
        <v>19035</v>
      </c>
      <c r="D13354" t="s">
        <v>19036</v>
      </c>
      <c r="E13354" t="s">
        <v>19037</v>
      </c>
      <c r="F13354" t="s">
        <v>41404</v>
      </c>
      <c r="G13354" s="2" t="str">
        <f>HYPERLINK("https://probpalata.gov.ru/files/ЮЛ140900291100005.jpeg","Скачать индивидуальный QR-код магазина")</f>
        <v>Скачать индивидуальный QR-код магазина</v>
      </c>
    </row>
    <row r="13355" spans="1:7" x14ac:dyDescent="0.25">
      <c r="A13355" t="s">
        <v>40904</v>
      </c>
      <c r="B13355" t="s">
        <v>41205</v>
      </c>
      <c r="C13355" t="s">
        <v>19035</v>
      </c>
      <c r="D13355" t="s">
        <v>19036</v>
      </c>
      <c r="E13355" t="s">
        <v>19037</v>
      </c>
      <c r="F13355" t="s">
        <v>41405</v>
      </c>
      <c r="G13355" s="2" t="str">
        <f>HYPERLINK("https://probpalata.gov.ru/files/ЮЛ140900291100008.jpeg","Скачать индивидуальный QR-код магазина")</f>
        <v>Скачать индивидуальный QR-код магазина</v>
      </c>
    </row>
    <row r="13356" spans="1:7" x14ac:dyDescent="0.25">
      <c r="A13356" t="s">
        <v>40904</v>
      </c>
      <c r="B13356" t="s">
        <v>41406</v>
      </c>
      <c r="C13356" t="s">
        <v>19035</v>
      </c>
      <c r="D13356" t="s">
        <v>19036</v>
      </c>
      <c r="E13356" t="s">
        <v>19037</v>
      </c>
      <c r="F13356" t="s">
        <v>41407</v>
      </c>
      <c r="G13356" s="2" t="str">
        <f>HYPERLINK("https://probpalata.gov.ru/files/ЮЛ140900291100010.jpeg","Скачать индивидуальный QR-код магазина")</f>
        <v>Скачать индивидуальный QR-код магазина</v>
      </c>
    </row>
    <row r="13357" spans="1:7" x14ac:dyDescent="0.25">
      <c r="A13357" t="s">
        <v>40904</v>
      </c>
      <c r="B13357" t="s">
        <v>41408</v>
      </c>
      <c r="C13357" t="s">
        <v>41409</v>
      </c>
      <c r="D13357" t="s">
        <v>41410</v>
      </c>
      <c r="E13357" t="s">
        <v>41411</v>
      </c>
      <c r="F13357" t="s">
        <v>41412</v>
      </c>
      <c r="G13357" s="2" t="str">
        <f>HYPERLINK("https://probpalata.gov.ru/files/ЮЛ140903968400000.jpeg","Скачать индивидуальный QR-код магазина")</f>
        <v>Скачать индивидуальный QR-код магазина</v>
      </c>
    </row>
    <row r="13358" spans="1:7" x14ac:dyDescent="0.25">
      <c r="A13358" t="s">
        <v>40904</v>
      </c>
      <c r="B13358" t="s">
        <v>41102</v>
      </c>
      <c r="C13358" t="s">
        <v>41409</v>
      </c>
      <c r="D13358" t="s">
        <v>41410</v>
      </c>
      <c r="E13358" t="s">
        <v>41411</v>
      </c>
      <c r="F13358" t="s">
        <v>41413</v>
      </c>
      <c r="G13358" s="2" t="str">
        <f>HYPERLINK("https://probpalata.gov.ru/files/ЮЛ140903968400001.jpeg","Скачать индивидуальный QR-код магазина")</f>
        <v>Скачать индивидуальный QR-код магазина</v>
      </c>
    </row>
    <row r="13359" spans="1:7" x14ac:dyDescent="0.25">
      <c r="A13359" t="s">
        <v>40904</v>
      </c>
      <c r="B13359" t="s">
        <v>41414</v>
      </c>
      <c r="C13359" t="s">
        <v>838</v>
      </c>
      <c r="D13359" t="s">
        <v>839</v>
      </c>
      <c r="E13359" t="s">
        <v>840</v>
      </c>
      <c r="F13359" t="s">
        <v>41415</v>
      </c>
      <c r="G13359" s="2" t="str">
        <f>HYPERLINK("https://probpalata.gov.ru/files/ЮЛ140900343400000.jpeg","Скачать индивидуальный QR-код магазина")</f>
        <v>Скачать индивидуальный QR-код магазина</v>
      </c>
    </row>
    <row r="13360" spans="1:7" x14ac:dyDescent="0.25">
      <c r="A13360" t="s">
        <v>40904</v>
      </c>
      <c r="B13360" t="s">
        <v>41416</v>
      </c>
      <c r="C13360" t="s">
        <v>838</v>
      </c>
      <c r="D13360" t="s">
        <v>839</v>
      </c>
      <c r="E13360" t="s">
        <v>840</v>
      </c>
      <c r="F13360" t="s">
        <v>41417</v>
      </c>
      <c r="G13360" s="2" t="str">
        <f>HYPERLINK("https://probpalata.gov.ru/files/ЮЛ140900343400001.jpeg","Скачать индивидуальный QR-код магазина")</f>
        <v>Скачать индивидуальный QR-код магазина</v>
      </c>
    </row>
    <row r="13361" spans="1:7" x14ac:dyDescent="0.25">
      <c r="A13361" t="s">
        <v>40904</v>
      </c>
      <c r="B13361" t="s">
        <v>41418</v>
      </c>
      <c r="C13361" t="s">
        <v>838</v>
      </c>
      <c r="D13361" t="s">
        <v>839</v>
      </c>
      <c r="E13361" t="s">
        <v>840</v>
      </c>
      <c r="F13361" t="s">
        <v>41419</v>
      </c>
      <c r="G13361" s="2" t="str">
        <f>HYPERLINK("https://probpalata.gov.ru/files/ЮЛ140900343400002.jpeg","Скачать индивидуальный QR-код магазина")</f>
        <v>Скачать индивидуальный QR-код магазина</v>
      </c>
    </row>
    <row r="13362" spans="1:7" x14ac:dyDescent="0.25">
      <c r="A13362" t="s">
        <v>40904</v>
      </c>
      <c r="B13362" t="s">
        <v>41214</v>
      </c>
      <c r="C13362" t="s">
        <v>838</v>
      </c>
      <c r="D13362" t="s">
        <v>839</v>
      </c>
      <c r="E13362" t="s">
        <v>840</v>
      </c>
      <c r="F13362" t="s">
        <v>41420</v>
      </c>
      <c r="G13362" s="2" t="str">
        <f>HYPERLINK("https://probpalata.gov.ru/files/ЮЛ140900343400008.jpeg","Скачать индивидуальный QR-код магазина")</f>
        <v>Скачать индивидуальный QR-код магазина</v>
      </c>
    </row>
    <row r="13363" spans="1:7" x14ac:dyDescent="0.25">
      <c r="A13363" t="s">
        <v>40904</v>
      </c>
      <c r="B13363" t="s">
        <v>41421</v>
      </c>
      <c r="C13363" t="s">
        <v>838</v>
      </c>
      <c r="D13363" t="s">
        <v>839</v>
      </c>
      <c r="E13363" t="s">
        <v>840</v>
      </c>
      <c r="F13363" t="s">
        <v>41422</v>
      </c>
      <c r="G13363" s="2" t="str">
        <f>HYPERLINK("https://probpalata.gov.ru/files/ЮЛ140900343400009.jpeg","Скачать индивидуальный QR-код магазина")</f>
        <v>Скачать индивидуальный QR-код магазина</v>
      </c>
    </row>
    <row r="13364" spans="1:7" x14ac:dyDescent="0.25">
      <c r="A13364" t="s">
        <v>40904</v>
      </c>
      <c r="B13364" t="s">
        <v>41423</v>
      </c>
      <c r="C13364" t="s">
        <v>838</v>
      </c>
      <c r="D13364" t="s">
        <v>839</v>
      </c>
      <c r="E13364" t="s">
        <v>840</v>
      </c>
      <c r="F13364" t="s">
        <v>41424</v>
      </c>
      <c r="G13364" s="2" t="str">
        <f>HYPERLINK("https://probpalata.gov.ru/files/ЮЛ140900343400010.jpeg","Скачать индивидуальный QR-код магазина")</f>
        <v>Скачать индивидуальный QR-код магазина</v>
      </c>
    </row>
    <row r="13365" spans="1:7" x14ac:dyDescent="0.25">
      <c r="A13365" t="s">
        <v>40904</v>
      </c>
      <c r="B13365" t="s">
        <v>41203</v>
      </c>
      <c r="C13365" t="s">
        <v>838</v>
      </c>
      <c r="D13365" t="s">
        <v>839</v>
      </c>
      <c r="E13365" t="s">
        <v>840</v>
      </c>
      <c r="F13365" t="s">
        <v>41425</v>
      </c>
      <c r="G13365" s="2" t="str">
        <f>HYPERLINK("https://probpalata.gov.ru/files/ЮЛ140900343400011.jpeg","Скачать индивидуальный QR-код магазина")</f>
        <v>Скачать индивидуальный QR-код магазина</v>
      </c>
    </row>
    <row r="13366" spans="1:7" x14ac:dyDescent="0.25">
      <c r="A13366" t="s">
        <v>40904</v>
      </c>
      <c r="B13366" t="s">
        <v>41426</v>
      </c>
      <c r="C13366" t="s">
        <v>359</v>
      </c>
      <c r="D13366" t="s">
        <v>360</v>
      </c>
      <c r="E13366" t="s">
        <v>361</v>
      </c>
      <c r="F13366" t="s">
        <v>41427</v>
      </c>
      <c r="G13366" s="2" t="str">
        <f>HYPERLINK("https://probpalata.gov.ru/files/ЮЛ220800779500001.jpeg","Скачать индивидуальный QR-код магазина")</f>
        <v>Скачать индивидуальный QR-код магазина</v>
      </c>
    </row>
    <row r="13367" spans="1:7" x14ac:dyDescent="0.25">
      <c r="A13367" t="s">
        <v>40904</v>
      </c>
      <c r="B13367" t="s">
        <v>41231</v>
      </c>
      <c r="C13367" t="s">
        <v>863</v>
      </c>
      <c r="D13367" t="s">
        <v>864</v>
      </c>
      <c r="E13367" t="s">
        <v>865</v>
      </c>
      <c r="F13367" t="s">
        <v>41428</v>
      </c>
      <c r="G13367" s="2" t="str">
        <f>HYPERLINK("https://probpalata.gov.ru/files/ЮЛ270900211200064.jpeg","Скачать индивидуальный QR-код магазина")</f>
        <v>Скачать индивидуальный QR-код магазина</v>
      </c>
    </row>
    <row r="13368" spans="1:7" x14ac:dyDescent="0.25">
      <c r="A13368" t="s">
        <v>40904</v>
      </c>
      <c r="B13368" t="s">
        <v>41429</v>
      </c>
      <c r="C13368" t="s">
        <v>41430</v>
      </c>
      <c r="D13368" t="s">
        <v>41431</v>
      </c>
      <c r="E13368" t="s">
        <v>41432</v>
      </c>
      <c r="F13368" t="s">
        <v>41433</v>
      </c>
      <c r="G13368" s="2" t="str">
        <f>HYPERLINK("https://probpalata.gov.ru/files/ИП140903359800000.jpeg","Скачать индивидуальный QR-код магазина")</f>
        <v>Скачать индивидуальный QR-код магазина</v>
      </c>
    </row>
    <row r="13369" spans="1:7" x14ac:dyDescent="0.25">
      <c r="A13369" t="s">
        <v>40904</v>
      </c>
      <c r="B13369" t="s">
        <v>41434</v>
      </c>
      <c r="C13369" t="s">
        <v>41435</v>
      </c>
      <c r="D13369" t="s">
        <v>41436</v>
      </c>
      <c r="E13369" t="s">
        <v>41437</v>
      </c>
      <c r="F13369" t="s">
        <v>41438</v>
      </c>
      <c r="G13369" s="2" t="str">
        <f>HYPERLINK("https://probpalata.gov.ru/files/ИП540801543300000.jpeg","Скачать индивидуальный QR-код магазина")</f>
        <v>Скачать индивидуальный QR-код магазина</v>
      </c>
    </row>
    <row r="13370" spans="1:7" x14ac:dyDescent="0.25">
      <c r="A13370" t="s">
        <v>40904</v>
      </c>
      <c r="B13370" t="s">
        <v>41439</v>
      </c>
      <c r="C13370" t="s">
        <v>41440</v>
      </c>
      <c r="D13370" t="s">
        <v>41441</v>
      </c>
      <c r="E13370" t="s">
        <v>41442</v>
      </c>
      <c r="F13370" t="s">
        <v>41443</v>
      </c>
      <c r="G13370" s="2" t="str">
        <f>HYPERLINK("https://probpalata.gov.ru/files/ИП540801100000003.jpeg","Скачать индивидуальный QR-код магазина")</f>
        <v>Скачать индивидуальный QR-код магазина</v>
      </c>
    </row>
    <row r="13371" spans="1:7" x14ac:dyDescent="0.25">
      <c r="A13371" t="s">
        <v>40904</v>
      </c>
      <c r="B13371" t="s">
        <v>41444</v>
      </c>
      <c r="C13371" t="s">
        <v>10745</v>
      </c>
      <c r="D13371" t="s">
        <v>10746</v>
      </c>
      <c r="E13371" t="s">
        <v>10747</v>
      </c>
      <c r="F13371" t="s">
        <v>41445</v>
      </c>
      <c r="G13371" s="2" t="str">
        <f>HYPERLINK("https://probpalata.gov.ru/files/ИП540801107000019.jpeg","Скачать индивидуальный QR-код магазина")</f>
        <v>Скачать индивидуальный QR-код магазина</v>
      </c>
    </row>
    <row r="13372" spans="1:7" x14ac:dyDescent="0.25">
      <c r="A13372" t="s">
        <v>40904</v>
      </c>
      <c r="B13372" t="s">
        <v>41446</v>
      </c>
      <c r="C13372" t="s">
        <v>10745</v>
      </c>
      <c r="D13372" t="s">
        <v>10746</v>
      </c>
      <c r="E13372" t="s">
        <v>10747</v>
      </c>
      <c r="F13372" t="s">
        <v>41447</v>
      </c>
      <c r="G13372" s="2" t="str">
        <f>HYPERLINK("https://probpalata.gov.ru/files/ИП540801107000020.jpeg","Скачать индивидуальный QR-код магазина")</f>
        <v>Скачать индивидуальный QR-код магазина</v>
      </c>
    </row>
    <row r="13373" spans="1:7" x14ac:dyDescent="0.25">
      <c r="A13373" t="s">
        <v>40904</v>
      </c>
      <c r="B13373" t="s">
        <v>41448</v>
      </c>
      <c r="C13373" t="s">
        <v>10745</v>
      </c>
      <c r="D13373" t="s">
        <v>10746</v>
      </c>
      <c r="E13373" t="s">
        <v>10747</v>
      </c>
      <c r="F13373" t="s">
        <v>41449</v>
      </c>
      <c r="G13373" s="2" t="str">
        <f>HYPERLINK("https://probpalata.gov.ru/files/ИП540801107000024.jpeg","Скачать индивидуальный QR-код магазина")</f>
        <v>Скачать индивидуальный QR-код магазина</v>
      </c>
    </row>
    <row r="13374" spans="1:7" x14ac:dyDescent="0.25">
      <c r="A13374" t="s">
        <v>40904</v>
      </c>
      <c r="B13374" t="s">
        <v>41450</v>
      </c>
      <c r="C13374" t="s">
        <v>32436</v>
      </c>
      <c r="D13374" t="s">
        <v>32437</v>
      </c>
      <c r="E13374" t="s">
        <v>32438</v>
      </c>
      <c r="F13374" t="s">
        <v>41451</v>
      </c>
      <c r="G13374" s="2" t="str">
        <f>HYPERLINK("https://probpalata.gov.ru/files/ЮЛ540800575000005.jpeg","Скачать индивидуальный QR-код магазина")</f>
        <v>Скачать индивидуальный QR-код магазина</v>
      </c>
    </row>
    <row r="13375" spans="1:7" x14ac:dyDescent="0.25">
      <c r="A13375" t="s">
        <v>40904</v>
      </c>
      <c r="B13375" t="s">
        <v>41452</v>
      </c>
      <c r="C13375" t="s">
        <v>32464</v>
      </c>
      <c r="D13375" t="s">
        <v>32465</v>
      </c>
      <c r="E13375" t="s">
        <v>32466</v>
      </c>
      <c r="F13375" t="s">
        <v>41453</v>
      </c>
      <c r="G13375" s="2" t="str">
        <f>HYPERLINK("https://probpalata.gov.ru/files/ЮЛ540800575100008.jpeg","Скачать индивидуальный QR-код магазина")</f>
        <v>Скачать индивидуальный QR-код магазина</v>
      </c>
    </row>
    <row r="13376" spans="1:7" x14ac:dyDescent="0.25">
      <c r="A13376" t="s">
        <v>40904</v>
      </c>
      <c r="B13376" t="s">
        <v>41454</v>
      </c>
      <c r="C13376" t="s">
        <v>32464</v>
      </c>
      <c r="D13376" t="s">
        <v>32465</v>
      </c>
      <c r="E13376" t="s">
        <v>32466</v>
      </c>
      <c r="F13376" t="s">
        <v>41455</v>
      </c>
      <c r="G13376" s="2" t="str">
        <f>HYPERLINK("https://probpalata.gov.ru/files/ЮЛ540800575100009.jpeg","Скачать индивидуальный QR-код магазина")</f>
        <v>Скачать индивидуальный QR-код магазина</v>
      </c>
    </row>
    <row r="13377" spans="1:7" x14ac:dyDescent="0.25">
      <c r="A13377" t="s">
        <v>40904</v>
      </c>
      <c r="B13377" t="s">
        <v>41456</v>
      </c>
      <c r="C13377" t="s">
        <v>6039</v>
      </c>
      <c r="D13377" t="s">
        <v>6040</v>
      </c>
      <c r="E13377" t="s">
        <v>6041</v>
      </c>
      <c r="F13377" t="s">
        <v>41457</v>
      </c>
      <c r="G13377" s="2" t="str">
        <f>HYPERLINK("https://probpalata.gov.ru/files/ИП770101425100022.jpeg","Скачать индивидуальный QR-код магазина")</f>
        <v>Скачать индивидуальный QR-код магазина</v>
      </c>
    </row>
    <row r="13378" spans="1:7" x14ac:dyDescent="0.25">
      <c r="A13378" t="s">
        <v>40904</v>
      </c>
      <c r="B13378" t="s">
        <v>41458</v>
      </c>
      <c r="C13378" t="s">
        <v>748</v>
      </c>
      <c r="D13378" t="s">
        <v>749</v>
      </c>
      <c r="E13378" t="s">
        <v>750</v>
      </c>
      <c r="F13378" t="s">
        <v>41459</v>
      </c>
      <c r="G13378" s="2" t="str">
        <f>HYPERLINK("https://probpalata.gov.ru/files/ЮЛ770100193500503.jpeg","Скачать индивидуальный QR-код магазина")</f>
        <v>Скачать индивидуальный QR-код магазина</v>
      </c>
    </row>
    <row r="13379" spans="1:7" x14ac:dyDescent="0.25">
      <c r="A13379" t="s">
        <v>40904</v>
      </c>
      <c r="B13379" t="s">
        <v>41460</v>
      </c>
      <c r="C13379" t="s">
        <v>748</v>
      </c>
      <c r="D13379" t="s">
        <v>749</v>
      </c>
      <c r="E13379" t="s">
        <v>750</v>
      </c>
      <c r="F13379" t="s">
        <v>41461</v>
      </c>
      <c r="G13379" s="2" t="str">
        <f>HYPERLINK("https://probpalata.gov.ru/files/ЮЛ770100193500654.jpeg","Скачать индивидуальный QR-код магазина")</f>
        <v>Скачать индивидуальный QR-код магазина</v>
      </c>
    </row>
    <row r="13380" spans="1:7" x14ac:dyDescent="0.25">
      <c r="A13380" t="s">
        <v>40904</v>
      </c>
      <c r="B13380" t="s">
        <v>41462</v>
      </c>
      <c r="C13380" t="s">
        <v>748</v>
      </c>
      <c r="D13380" t="s">
        <v>749</v>
      </c>
      <c r="E13380" t="s">
        <v>750</v>
      </c>
      <c r="F13380" t="s">
        <v>41463</v>
      </c>
      <c r="G13380" s="2" t="str">
        <f>HYPERLINK("https://probpalata.gov.ru/files/ЮЛ770100193500655.jpeg","Скачать индивидуальный QR-код магазина")</f>
        <v>Скачать индивидуальный QR-код магазина</v>
      </c>
    </row>
    <row r="13381" spans="1:7" x14ac:dyDescent="0.25">
      <c r="A13381" t="s">
        <v>40904</v>
      </c>
      <c r="B13381" t="s">
        <v>41464</v>
      </c>
      <c r="C13381" t="s">
        <v>748</v>
      </c>
      <c r="D13381" t="s">
        <v>749</v>
      </c>
      <c r="E13381" t="s">
        <v>750</v>
      </c>
      <c r="F13381" t="s">
        <v>41465</v>
      </c>
      <c r="G13381" s="2" t="str">
        <f>HYPERLINK("https://probpalata.gov.ru/files/ЮЛ770100193500701.jpeg","Скачать индивидуальный QR-код магазина")</f>
        <v>Скачать индивидуальный QR-код магазина</v>
      </c>
    </row>
    <row r="13382" spans="1:7" x14ac:dyDescent="0.25">
      <c r="A13382" t="s">
        <v>40904</v>
      </c>
      <c r="B13382" t="s">
        <v>41323</v>
      </c>
      <c r="C13382" t="s">
        <v>748</v>
      </c>
      <c r="D13382" t="s">
        <v>749</v>
      </c>
      <c r="E13382" t="s">
        <v>750</v>
      </c>
      <c r="F13382" t="s">
        <v>41466</v>
      </c>
      <c r="G13382" s="2" t="str">
        <f>HYPERLINK("https://probpalata.gov.ru/files/ЮЛ770100193500801.jpeg","Скачать индивидуальный QR-код магазина")</f>
        <v>Скачать индивидуальный QR-код магазина</v>
      </c>
    </row>
    <row r="13383" spans="1:7" x14ac:dyDescent="0.25">
      <c r="A13383" t="s">
        <v>40904</v>
      </c>
      <c r="B13383" t="s">
        <v>41467</v>
      </c>
      <c r="C13383" t="s">
        <v>748</v>
      </c>
      <c r="D13383" t="s">
        <v>749</v>
      </c>
      <c r="E13383" t="s">
        <v>750</v>
      </c>
      <c r="F13383" t="s">
        <v>41468</v>
      </c>
      <c r="G13383" s="2" t="str">
        <f>HYPERLINK("https://probpalata.gov.ru/files/ЮЛ770100193500840.jpeg","Скачать индивидуальный QR-код магазина")</f>
        <v>Скачать индивидуальный QR-код магазина</v>
      </c>
    </row>
    <row r="13384" spans="1:7" x14ac:dyDescent="0.25">
      <c r="A13384" t="s">
        <v>40904</v>
      </c>
      <c r="B13384" t="s">
        <v>41469</v>
      </c>
      <c r="C13384" t="s">
        <v>41470</v>
      </c>
      <c r="D13384" t="s">
        <v>41471</v>
      </c>
      <c r="E13384" t="s">
        <v>41472</v>
      </c>
      <c r="F13384" t="s">
        <v>41473</v>
      </c>
      <c r="G13384" s="2" t="str">
        <f>HYPERLINK("https://probpalata.gov.ru/files/ИП780301367300000.jpeg","Скачать индивидуальный QR-код магазина")</f>
        <v>Скачать индивидуальный QR-код магазина</v>
      </c>
    </row>
    <row r="13385" spans="1:7" x14ac:dyDescent="0.25">
      <c r="A13385" t="s">
        <v>40904</v>
      </c>
      <c r="B13385" t="s">
        <v>41474</v>
      </c>
      <c r="C13385" t="s">
        <v>32749</v>
      </c>
      <c r="D13385" t="s">
        <v>32750</v>
      </c>
      <c r="E13385" t="s">
        <v>32751</v>
      </c>
      <c r="F13385" t="s">
        <v>41475</v>
      </c>
      <c r="G13385" s="2" t="str">
        <f>HYPERLINK("https://probpalata.gov.ru/files/ЮЛ780301246700001.jpeg","Скачать индивидуальный QR-код магазина")</f>
        <v>Скачать индивидуальный QR-код магазина</v>
      </c>
    </row>
    <row r="13386" spans="1:7" x14ac:dyDescent="0.25">
      <c r="A13386" t="s">
        <v>40904</v>
      </c>
      <c r="B13386" t="s">
        <v>41476</v>
      </c>
      <c r="C13386" t="s">
        <v>32749</v>
      </c>
      <c r="D13386" t="s">
        <v>32750</v>
      </c>
      <c r="E13386" t="s">
        <v>32751</v>
      </c>
      <c r="F13386" t="s">
        <v>41477</v>
      </c>
      <c r="G13386" s="2" t="str">
        <f>HYPERLINK("https://probpalata.gov.ru/files/ЮЛ780301246700005.jpeg","Скачать индивидуальный QR-код магазина")</f>
        <v>Скачать индивидуальный QR-код магазина</v>
      </c>
    </row>
    <row r="13387" spans="1:7" x14ac:dyDescent="0.25">
      <c r="A13387" t="s">
        <v>40904</v>
      </c>
      <c r="B13387" t="s">
        <v>41478</v>
      </c>
      <c r="C13387" t="s">
        <v>32749</v>
      </c>
      <c r="D13387" t="s">
        <v>32750</v>
      </c>
      <c r="E13387" t="s">
        <v>32751</v>
      </c>
      <c r="F13387" t="s">
        <v>41479</v>
      </c>
      <c r="G13387" s="2" t="str">
        <f>HYPERLINK("https://probpalata.gov.ru/files/ЮЛ780301246700006.jpeg","Скачать индивидуальный QR-код магазина")</f>
        <v>Скачать индивидуальный QR-код магазина</v>
      </c>
    </row>
    <row r="13388" spans="1:7" x14ac:dyDescent="0.25">
      <c r="A13388" t="s">
        <v>40904</v>
      </c>
      <c r="B13388" t="s">
        <v>41049</v>
      </c>
      <c r="C13388" t="s">
        <v>798</v>
      </c>
      <c r="D13388" t="s">
        <v>799</v>
      </c>
      <c r="E13388" t="s">
        <v>800</v>
      </c>
      <c r="F13388" t="s">
        <v>41480</v>
      </c>
      <c r="G13388" s="2" t="str">
        <f>HYPERLINK("https://probpalata.gov.ru/files/ЮЛ780300308200033.jpeg","Скачать индивидуальный QR-код магазина")</f>
        <v>Скачать индивидуальный QR-код магазина</v>
      </c>
    </row>
    <row r="13389" spans="1:7" x14ac:dyDescent="0.25">
      <c r="A13389" t="s">
        <v>40904</v>
      </c>
      <c r="B13389" t="s">
        <v>41481</v>
      </c>
      <c r="C13389" t="s">
        <v>798</v>
      </c>
      <c r="D13389" t="s">
        <v>799</v>
      </c>
      <c r="E13389" t="s">
        <v>800</v>
      </c>
      <c r="F13389" t="s">
        <v>41482</v>
      </c>
      <c r="G13389" s="2" t="str">
        <f>HYPERLINK("https://probpalata.gov.ru/files/ЮЛ780300308200877.jpeg","Скачать индивидуальный QR-код магазина")</f>
        <v>Скачать индивидуальный QR-код магазина</v>
      </c>
    </row>
    <row r="13390" spans="1:7" x14ac:dyDescent="0.25">
      <c r="A13390" t="s">
        <v>41483</v>
      </c>
      <c r="B13390" t="s">
        <v>41484</v>
      </c>
      <c r="C13390" t="s">
        <v>7920</v>
      </c>
      <c r="D13390" t="s">
        <v>7921</v>
      </c>
      <c r="E13390" t="s">
        <v>7922</v>
      </c>
      <c r="F13390" t="s">
        <v>41485</v>
      </c>
      <c r="G13390" s="2" t="str">
        <f>HYPERLINK("https://probpalata.gov.ru/files/ИП070501720100001.jpeg","Скачать индивидуальный QR-код магазина")</f>
        <v>Скачать индивидуальный QR-код магазина</v>
      </c>
    </row>
    <row r="13391" spans="1:7" x14ac:dyDescent="0.25">
      <c r="A13391" t="s">
        <v>41483</v>
      </c>
      <c r="B13391" t="s">
        <v>41486</v>
      </c>
      <c r="C13391" t="s">
        <v>41487</v>
      </c>
      <c r="D13391" t="s">
        <v>41488</v>
      </c>
      <c r="E13391" t="s">
        <v>41489</v>
      </c>
      <c r="F13391" t="s">
        <v>41490</v>
      </c>
      <c r="G13391" s="2" t="str">
        <f>HYPERLINK("https://probpalata.gov.ru/files/ИП150500979600000.jpeg","Скачать индивидуальный QR-код магазина")</f>
        <v>Скачать индивидуальный QR-код магазина</v>
      </c>
    </row>
    <row r="13392" spans="1:7" x14ac:dyDescent="0.25">
      <c r="A13392" t="s">
        <v>41483</v>
      </c>
      <c r="B13392" t="s">
        <v>41491</v>
      </c>
      <c r="C13392" t="s">
        <v>41492</v>
      </c>
      <c r="D13392" t="s">
        <v>41493</v>
      </c>
      <c r="E13392" t="s">
        <v>41494</v>
      </c>
      <c r="F13392" t="s">
        <v>41495</v>
      </c>
      <c r="G13392" s="2" t="str">
        <f>HYPERLINK("https://probpalata.gov.ru/files/ИП150500770900000.jpeg","Скачать индивидуальный QR-код магазина")</f>
        <v>Скачать индивидуальный QR-код магазина</v>
      </c>
    </row>
    <row r="13393" spans="1:7" x14ac:dyDescent="0.25">
      <c r="A13393" t="s">
        <v>41483</v>
      </c>
      <c r="B13393" t="s">
        <v>41496</v>
      </c>
      <c r="C13393" t="s">
        <v>41497</v>
      </c>
      <c r="D13393" t="s">
        <v>41498</v>
      </c>
      <c r="E13393" t="s">
        <v>41499</v>
      </c>
      <c r="F13393" t="s">
        <v>41500</v>
      </c>
      <c r="G13393" s="2" t="str">
        <f>HYPERLINK("https://probpalata.gov.ru/files/ИП150501312400000.jpeg","Скачать индивидуальный QR-код магазина")</f>
        <v>Скачать индивидуальный QR-код магазина</v>
      </c>
    </row>
    <row r="13394" spans="1:7" x14ac:dyDescent="0.25">
      <c r="A13394" t="s">
        <v>41483</v>
      </c>
      <c r="B13394" t="s">
        <v>41501</v>
      </c>
      <c r="C13394" t="s">
        <v>41497</v>
      </c>
      <c r="D13394" t="s">
        <v>41498</v>
      </c>
      <c r="E13394" t="s">
        <v>41499</v>
      </c>
      <c r="F13394" t="s">
        <v>41502</v>
      </c>
      <c r="G13394" s="2" t="str">
        <f>HYPERLINK("https://probpalata.gov.ru/files/ИП150501312400001.jpeg","Скачать индивидуальный QR-код магазина")</f>
        <v>Скачать индивидуальный QR-код магазина</v>
      </c>
    </row>
    <row r="13395" spans="1:7" x14ac:dyDescent="0.25">
      <c r="A13395" t="s">
        <v>41483</v>
      </c>
      <c r="B13395" t="s">
        <v>41503</v>
      </c>
      <c r="C13395" t="s">
        <v>41497</v>
      </c>
      <c r="D13395" t="s">
        <v>41498</v>
      </c>
      <c r="E13395" t="s">
        <v>41499</v>
      </c>
      <c r="F13395" t="s">
        <v>41504</v>
      </c>
      <c r="G13395" s="2" t="str">
        <f>HYPERLINK("https://probpalata.gov.ru/files/ИП150501312400004.jpeg","Скачать индивидуальный QR-код магазина")</f>
        <v>Скачать индивидуальный QR-код магазина</v>
      </c>
    </row>
    <row r="13396" spans="1:7" x14ac:dyDescent="0.25">
      <c r="A13396" t="s">
        <v>41483</v>
      </c>
      <c r="B13396" t="s">
        <v>41505</v>
      </c>
      <c r="C13396" t="s">
        <v>41497</v>
      </c>
      <c r="D13396" t="s">
        <v>41498</v>
      </c>
      <c r="E13396" t="s">
        <v>41499</v>
      </c>
      <c r="F13396" t="s">
        <v>41506</v>
      </c>
      <c r="G13396" s="2" t="str">
        <f>HYPERLINK("https://probpalata.gov.ru/files/ИП150501312400005.jpeg","Скачать индивидуальный QR-код магазина")</f>
        <v>Скачать индивидуальный QR-код магазина</v>
      </c>
    </row>
    <row r="13397" spans="1:7" x14ac:dyDescent="0.25">
      <c r="A13397" t="s">
        <v>41483</v>
      </c>
      <c r="B13397" t="s">
        <v>41507</v>
      </c>
      <c r="C13397" t="s">
        <v>41497</v>
      </c>
      <c r="D13397" t="s">
        <v>41498</v>
      </c>
      <c r="E13397" t="s">
        <v>41499</v>
      </c>
      <c r="F13397" t="s">
        <v>41508</v>
      </c>
      <c r="G13397" s="2" t="str">
        <f>HYPERLINK("https://probpalata.gov.ru/files/ИП150501312400006.jpeg","Скачать индивидуальный QR-код магазина")</f>
        <v>Скачать индивидуальный QR-код магазина</v>
      </c>
    </row>
    <row r="13398" spans="1:7" x14ac:dyDescent="0.25">
      <c r="A13398" t="s">
        <v>41483</v>
      </c>
      <c r="B13398" t="s">
        <v>41509</v>
      </c>
      <c r="C13398" t="s">
        <v>41510</v>
      </c>
      <c r="D13398" t="s">
        <v>41511</v>
      </c>
      <c r="E13398" t="s">
        <v>41512</v>
      </c>
      <c r="F13398" t="s">
        <v>41513</v>
      </c>
      <c r="G13398" s="2" t="str">
        <f>HYPERLINK("https://probpalata.gov.ru/files/ИП150503524000000.jpeg","Скачать индивидуальный QR-код магазина")</f>
        <v>Скачать индивидуальный QR-код магазина</v>
      </c>
    </row>
    <row r="13399" spans="1:7" x14ac:dyDescent="0.25">
      <c r="A13399" t="s">
        <v>41483</v>
      </c>
      <c r="B13399" t="s">
        <v>41514</v>
      </c>
      <c r="C13399" t="s">
        <v>41515</v>
      </c>
      <c r="D13399" t="s">
        <v>41516</v>
      </c>
      <c r="E13399" t="s">
        <v>41517</v>
      </c>
      <c r="F13399" t="s">
        <v>41518</v>
      </c>
      <c r="G13399" s="2" t="str">
        <f>HYPERLINK("https://probpalata.gov.ru/files/ИП150503251500000.jpeg","Скачать индивидуальный QR-код магазина")</f>
        <v>Скачать индивидуальный QR-код магазина</v>
      </c>
    </row>
    <row r="13400" spans="1:7" x14ac:dyDescent="0.25">
      <c r="A13400" t="s">
        <v>41483</v>
      </c>
      <c r="B13400" t="s">
        <v>41519</v>
      </c>
      <c r="C13400" t="s">
        <v>41520</v>
      </c>
      <c r="D13400" t="s">
        <v>41521</v>
      </c>
      <c r="E13400" t="s">
        <v>41522</v>
      </c>
      <c r="F13400" t="s">
        <v>41523</v>
      </c>
      <c r="G13400" s="2" t="str">
        <f>HYPERLINK("https://probpalata.gov.ru/files/ИП150500598300000.jpeg","Скачать индивидуальный QR-код магазина")</f>
        <v>Скачать индивидуальный QR-код магазина</v>
      </c>
    </row>
    <row r="13401" spans="1:7" x14ac:dyDescent="0.25">
      <c r="A13401" t="s">
        <v>41483</v>
      </c>
      <c r="B13401" t="s">
        <v>41524</v>
      </c>
      <c r="C13401" t="s">
        <v>41520</v>
      </c>
      <c r="D13401" t="s">
        <v>41521</v>
      </c>
      <c r="E13401" t="s">
        <v>41522</v>
      </c>
      <c r="F13401" t="s">
        <v>41525</v>
      </c>
      <c r="G13401" s="2" t="str">
        <f>HYPERLINK("https://probpalata.gov.ru/files/ИП150500598300001.jpeg","Скачать индивидуальный QR-код магазина")</f>
        <v>Скачать индивидуальный QR-код магазина</v>
      </c>
    </row>
    <row r="13402" spans="1:7" x14ac:dyDescent="0.25">
      <c r="A13402" t="s">
        <v>41483</v>
      </c>
      <c r="B13402" t="s">
        <v>41526</v>
      </c>
      <c r="C13402" t="s">
        <v>41520</v>
      </c>
      <c r="D13402" t="s">
        <v>41521</v>
      </c>
      <c r="E13402" t="s">
        <v>41522</v>
      </c>
      <c r="F13402" t="s">
        <v>41527</v>
      </c>
      <c r="G13402" s="2" t="str">
        <f>HYPERLINK("https://probpalata.gov.ru/files/ИП150500598300002.jpeg","Скачать индивидуальный QR-код магазина")</f>
        <v>Скачать индивидуальный QR-код магазина</v>
      </c>
    </row>
    <row r="13403" spans="1:7" x14ac:dyDescent="0.25">
      <c r="A13403" t="s">
        <v>41483</v>
      </c>
      <c r="B13403" t="s">
        <v>41528</v>
      </c>
      <c r="C13403" t="s">
        <v>41529</v>
      </c>
      <c r="D13403" t="s">
        <v>41530</v>
      </c>
      <c r="E13403" t="s">
        <v>41531</v>
      </c>
      <c r="F13403" t="s">
        <v>41532</v>
      </c>
      <c r="G13403" s="2" t="str">
        <f>HYPERLINK("https://probpalata.gov.ru/files/ЮЛ150501339700000.jpeg","Скачать индивидуальный QR-код магазина")</f>
        <v>Скачать индивидуальный QR-код магазина</v>
      </c>
    </row>
    <row r="13404" spans="1:7" x14ac:dyDescent="0.25">
      <c r="A13404" t="s">
        <v>41483</v>
      </c>
      <c r="B13404" t="s">
        <v>41533</v>
      </c>
      <c r="C13404" t="s">
        <v>41534</v>
      </c>
      <c r="D13404" t="s">
        <v>41535</v>
      </c>
      <c r="E13404" t="s">
        <v>41536</v>
      </c>
      <c r="F13404" t="s">
        <v>41537</v>
      </c>
      <c r="G13404" s="2" t="str">
        <f>HYPERLINK("https://probpalata.gov.ru/files/ЮЛ150501693700000.jpeg","Скачать индивидуальный QR-код магазина")</f>
        <v>Скачать индивидуальный QR-код магазина</v>
      </c>
    </row>
    <row r="13405" spans="1:7" x14ac:dyDescent="0.25">
      <c r="A13405" t="s">
        <v>41483</v>
      </c>
      <c r="B13405" t="s">
        <v>41538</v>
      </c>
      <c r="C13405" t="s">
        <v>41539</v>
      </c>
      <c r="D13405" t="s">
        <v>41540</v>
      </c>
      <c r="E13405" t="s">
        <v>41541</v>
      </c>
      <c r="F13405" t="s">
        <v>41542</v>
      </c>
      <c r="G13405" s="2" t="str">
        <f>HYPERLINK("https://probpalata.gov.ru/files/ЮЛ150500598800000.jpeg","Скачать индивидуальный QR-код магазина")</f>
        <v>Скачать индивидуальный QR-код магазина</v>
      </c>
    </row>
    <row r="13406" spans="1:7" x14ac:dyDescent="0.25">
      <c r="A13406" t="s">
        <v>41483</v>
      </c>
      <c r="B13406" t="s">
        <v>41543</v>
      </c>
      <c r="C13406" t="s">
        <v>41544</v>
      </c>
      <c r="D13406" t="s">
        <v>41545</v>
      </c>
      <c r="E13406" t="s">
        <v>41546</v>
      </c>
      <c r="F13406" t="s">
        <v>41547</v>
      </c>
      <c r="G13406" s="2" t="str">
        <f>HYPERLINK("https://probpalata.gov.ru/files/ЮЛ150500629200000.jpeg","Скачать индивидуальный QR-код магазина")</f>
        <v>Скачать индивидуальный QR-код магазина</v>
      </c>
    </row>
    <row r="13407" spans="1:7" x14ac:dyDescent="0.25">
      <c r="A13407" t="s">
        <v>41483</v>
      </c>
      <c r="B13407" t="s">
        <v>41548</v>
      </c>
      <c r="C13407" t="s">
        <v>41549</v>
      </c>
      <c r="D13407" t="s">
        <v>41550</v>
      </c>
      <c r="E13407" t="s">
        <v>41551</v>
      </c>
      <c r="F13407" t="s">
        <v>41552</v>
      </c>
      <c r="G13407" s="2" t="str">
        <f>HYPERLINK("https://probpalata.gov.ru/files/ЮЛ150500260100000.jpeg","Скачать индивидуальный QR-код магазина")</f>
        <v>Скачать индивидуальный QR-код магазина</v>
      </c>
    </row>
    <row r="13408" spans="1:7" x14ac:dyDescent="0.25">
      <c r="A13408" t="s">
        <v>41483</v>
      </c>
      <c r="B13408" t="s">
        <v>41553</v>
      </c>
      <c r="C13408" t="s">
        <v>41554</v>
      </c>
      <c r="D13408" t="s">
        <v>41555</v>
      </c>
      <c r="E13408" t="s">
        <v>41556</v>
      </c>
      <c r="F13408" t="s">
        <v>41557</v>
      </c>
      <c r="G13408" s="2" t="str">
        <f>HYPERLINK("https://probpalata.gov.ru/files/ИП150501662100000.jpeg","Скачать индивидуальный QR-код магазина")</f>
        <v>Скачать индивидуальный QR-код магазина</v>
      </c>
    </row>
    <row r="13409" spans="1:7" x14ac:dyDescent="0.25">
      <c r="A13409" t="s">
        <v>41483</v>
      </c>
      <c r="B13409" t="s">
        <v>41558</v>
      </c>
      <c r="C13409" t="s">
        <v>6606</v>
      </c>
      <c r="D13409" t="s">
        <v>41559</v>
      </c>
      <c r="E13409" t="s">
        <v>41560</v>
      </c>
      <c r="F13409" t="s">
        <v>41561</v>
      </c>
      <c r="G13409" s="2" t="str">
        <f>HYPERLINK("https://probpalata.gov.ru/files/ЮЛ150500616100000.jpeg","Скачать индивидуальный QR-код магазина")</f>
        <v>Скачать индивидуальный QR-код магазина</v>
      </c>
    </row>
    <row r="13410" spans="1:7" x14ac:dyDescent="0.25">
      <c r="A13410" t="s">
        <v>41483</v>
      </c>
      <c r="B13410" t="s">
        <v>41562</v>
      </c>
      <c r="C13410" t="s">
        <v>41563</v>
      </c>
      <c r="D13410" t="s">
        <v>41564</v>
      </c>
      <c r="E13410" t="s">
        <v>41565</v>
      </c>
      <c r="F13410" t="s">
        <v>41566</v>
      </c>
      <c r="G13410" s="2" t="str">
        <f>HYPERLINK("https://probpalata.gov.ru/files/ИП150501247100000.jpeg","Скачать индивидуальный QR-код магазина")</f>
        <v>Скачать индивидуальный QR-код магазина</v>
      </c>
    </row>
    <row r="13411" spans="1:7" x14ac:dyDescent="0.25">
      <c r="A13411" t="s">
        <v>41483</v>
      </c>
      <c r="B13411" t="s">
        <v>41567</v>
      </c>
      <c r="C13411" t="s">
        <v>41568</v>
      </c>
      <c r="D13411" t="s">
        <v>41569</v>
      </c>
      <c r="E13411" t="s">
        <v>41570</v>
      </c>
      <c r="F13411" t="s">
        <v>41571</v>
      </c>
      <c r="G13411" s="2" t="str">
        <f>HYPERLINK("https://probpalata.gov.ru/files/ИП260500042000000.jpeg","Скачать индивидуальный QR-код магазина")</f>
        <v>Скачать индивидуальный QR-код магазина</v>
      </c>
    </row>
    <row r="13412" spans="1:7" x14ac:dyDescent="0.25">
      <c r="A13412" t="s">
        <v>41483</v>
      </c>
      <c r="B13412" t="s">
        <v>41572</v>
      </c>
      <c r="C13412" t="s">
        <v>703</v>
      </c>
      <c r="D13412" t="s">
        <v>704</v>
      </c>
      <c r="E13412" t="s">
        <v>705</v>
      </c>
      <c r="F13412" t="s">
        <v>41573</v>
      </c>
      <c r="G13412" s="2" t="str">
        <f>HYPERLINK("https://probpalata.gov.ru/files/ИП610400426600031.jpeg","Скачать индивидуальный QR-код магазина")</f>
        <v>Скачать индивидуальный QR-код магазина</v>
      </c>
    </row>
    <row r="13413" spans="1:7" x14ac:dyDescent="0.25">
      <c r="A13413" t="s">
        <v>41483</v>
      </c>
      <c r="B13413" t="s">
        <v>41574</v>
      </c>
      <c r="C13413" t="s">
        <v>7965</v>
      </c>
      <c r="D13413" t="s">
        <v>7966</v>
      </c>
      <c r="E13413" t="s">
        <v>7967</v>
      </c>
      <c r="F13413" t="s">
        <v>41575</v>
      </c>
      <c r="G13413" s="2" t="str">
        <f>HYPERLINK("https://probpalata.gov.ru/files/ЮЛ660700070800068.jpeg","Скачать индивидуальный QR-код магазина")</f>
        <v>Скачать индивидуальный QR-код магазина</v>
      </c>
    </row>
    <row r="13414" spans="1:7" x14ac:dyDescent="0.25">
      <c r="A13414" t="s">
        <v>41483</v>
      </c>
      <c r="B13414" t="s">
        <v>41576</v>
      </c>
      <c r="C13414" t="s">
        <v>7965</v>
      </c>
      <c r="D13414" t="s">
        <v>7966</v>
      </c>
      <c r="E13414" t="s">
        <v>7967</v>
      </c>
      <c r="F13414" t="s">
        <v>41577</v>
      </c>
      <c r="G13414" s="2" t="str">
        <f>HYPERLINK("https://probpalata.gov.ru/files/ЮЛ660700070800220.jpeg","Скачать индивидуальный QR-код магазина")</f>
        <v>Скачать индивидуальный QR-код магазина</v>
      </c>
    </row>
    <row r="13415" spans="1:7" x14ac:dyDescent="0.25">
      <c r="A13415" t="s">
        <v>41483</v>
      </c>
      <c r="B13415" t="s">
        <v>41578</v>
      </c>
      <c r="C13415" t="s">
        <v>1745</v>
      </c>
      <c r="D13415" t="s">
        <v>1746</v>
      </c>
      <c r="E13415" t="s">
        <v>1747</v>
      </c>
      <c r="F13415" t="s">
        <v>41579</v>
      </c>
      <c r="G13415" s="2" t="str">
        <f>HYPERLINK("https://probpalata.gov.ru/files/ЮЛ770100201500454.jpeg","Скачать индивидуальный QR-код магазина")</f>
        <v>Скачать индивидуальный QR-код магазина</v>
      </c>
    </row>
    <row r="13416" spans="1:7" x14ac:dyDescent="0.25">
      <c r="A13416" t="s">
        <v>41483</v>
      </c>
      <c r="B13416" t="s">
        <v>41580</v>
      </c>
      <c r="C13416" t="s">
        <v>713</v>
      </c>
      <c r="D13416" t="s">
        <v>714</v>
      </c>
      <c r="E13416" t="s">
        <v>715</v>
      </c>
      <c r="F13416" t="s">
        <v>41581</v>
      </c>
      <c r="G13416" s="2" t="str">
        <f>HYPERLINK("https://probpalata.gov.ru/files/ЮЛ770101216600313.jpeg","Скачать индивидуальный QR-код магазина")</f>
        <v>Скачать индивидуальный QR-код магазина</v>
      </c>
    </row>
    <row r="13417" spans="1:7" x14ac:dyDescent="0.25">
      <c r="A13417" t="s">
        <v>41483</v>
      </c>
      <c r="B13417" t="s">
        <v>41582</v>
      </c>
      <c r="C13417" t="s">
        <v>713</v>
      </c>
      <c r="D13417" t="s">
        <v>714</v>
      </c>
      <c r="E13417" t="s">
        <v>715</v>
      </c>
      <c r="F13417" t="s">
        <v>41583</v>
      </c>
      <c r="G13417" s="2" t="str">
        <f>HYPERLINK("https://probpalata.gov.ru/files/ЮЛ770101216600368.jpeg","Скачать индивидуальный QR-код магазина")</f>
        <v>Скачать индивидуальный QR-код магазина</v>
      </c>
    </row>
    <row r="13418" spans="1:7" x14ac:dyDescent="0.25">
      <c r="A13418" t="s">
        <v>41483</v>
      </c>
      <c r="B13418" t="s">
        <v>41584</v>
      </c>
      <c r="C13418" t="s">
        <v>713</v>
      </c>
      <c r="D13418" t="s">
        <v>714</v>
      </c>
      <c r="E13418" t="s">
        <v>715</v>
      </c>
      <c r="F13418" t="s">
        <v>41585</v>
      </c>
      <c r="G13418" s="2" t="str">
        <f>HYPERLINK("https://probpalata.gov.ru/files/ЮЛ770101216600405.jpeg","Скачать индивидуальный QR-код магазина")</f>
        <v>Скачать индивидуальный QR-код магазина</v>
      </c>
    </row>
    <row r="13419" spans="1:7" x14ac:dyDescent="0.25">
      <c r="A13419" t="s">
        <v>41483</v>
      </c>
      <c r="B13419" t="s">
        <v>41586</v>
      </c>
      <c r="C13419" t="s">
        <v>1416</v>
      </c>
      <c r="D13419" t="s">
        <v>1417</v>
      </c>
      <c r="E13419" t="s">
        <v>1418</v>
      </c>
      <c r="F13419" t="s">
        <v>41587</v>
      </c>
      <c r="G13419" s="2" t="str">
        <f>HYPERLINK("https://probpalata.gov.ru/files/ЮЛ770100419400077.jpeg","Скачать индивидуальный QR-код магазина")</f>
        <v>Скачать индивидуальный QR-код магазина</v>
      </c>
    </row>
    <row r="13420" spans="1:7" x14ac:dyDescent="0.25">
      <c r="A13420" t="s">
        <v>41483</v>
      </c>
      <c r="B13420" t="s">
        <v>41588</v>
      </c>
      <c r="C13420" t="s">
        <v>1416</v>
      </c>
      <c r="D13420" t="s">
        <v>1417</v>
      </c>
      <c r="E13420" t="s">
        <v>1418</v>
      </c>
      <c r="F13420" t="s">
        <v>41589</v>
      </c>
      <c r="G13420" s="2" t="str">
        <f>HYPERLINK("https://probpalata.gov.ru/files/ЮЛ770100419400190.jpeg","Скачать индивидуальный QR-код магазина")</f>
        <v>Скачать индивидуальный QR-код магазина</v>
      </c>
    </row>
    <row r="13421" spans="1:7" x14ac:dyDescent="0.25">
      <c r="A13421" t="s">
        <v>41483</v>
      </c>
      <c r="B13421" t="s">
        <v>41590</v>
      </c>
      <c r="C13421" t="s">
        <v>748</v>
      </c>
      <c r="D13421" t="s">
        <v>749</v>
      </c>
      <c r="E13421" t="s">
        <v>750</v>
      </c>
      <c r="F13421" t="s">
        <v>41591</v>
      </c>
      <c r="G13421" s="2" t="str">
        <f>HYPERLINK("https://probpalata.gov.ru/files/ЮЛ770100193500293.jpeg","Скачать индивидуальный QR-код магазина")</f>
        <v>Скачать индивидуальный QR-код магазина</v>
      </c>
    </row>
    <row r="13422" spans="1:7" x14ac:dyDescent="0.25">
      <c r="A13422" t="s">
        <v>41483</v>
      </c>
      <c r="B13422" t="s">
        <v>41592</v>
      </c>
      <c r="C13422" t="s">
        <v>748</v>
      </c>
      <c r="D13422" t="s">
        <v>749</v>
      </c>
      <c r="E13422" t="s">
        <v>750</v>
      </c>
      <c r="F13422" t="s">
        <v>41593</v>
      </c>
      <c r="G13422" s="2" t="str">
        <f>HYPERLINK("https://probpalata.gov.ru/files/ЮЛ770100193500631.jpeg","Скачать индивидуальный QR-код магазина")</f>
        <v>Скачать индивидуальный QR-код магазина</v>
      </c>
    </row>
    <row r="13423" spans="1:7" x14ac:dyDescent="0.25">
      <c r="A13423" t="s">
        <v>41483</v>
      </c>
      <c r="B13423" t="s">
        <v>41594</v>
      </c>
      <c r="C13423" t="s">
        <v>748</v>
      </c>
      <c r="D13423" t="s">
        <v>749</v>
      </c>
      <c r="E13423" t="s">
        <v>750</v>
      </c>
      <c r="F13423" t="s">
        <v>41595</v>
      </c>
      <c r="G13423" s="2" t="str">
        <f>HYPERLINK("https://probpalata.gov.ru/files/ЮЛ770100193500881.jpeg","Скачать индивидуальный QR-код магазина")</f>
        <v>Скачать индивидуальный QR-код магазина</v>
      </c>
    </row>
    <row r="13424" spans="1:7" x14ac:dyDescent="0.25">
      <c r="A13424" t="s">
        <v>41483</v>
      </c>
      <c r="B13424" t="s">
        <v>41596</v>
      </c>
      <c r="C13424" t="s">
        <v>748</v>
      </c>
      <c r="D13424" t="s">
        <v>749</v>
      </c>
      <c r="E13424" t="s">
        <v>750</v>
      </c>
      <c r="F13424" t="s">
        <v>41597</v>
      </c>
      <c r="G13424" s="2" t="str">
        <f>HYPERLINK("https://probpalata.gov.ru/files/ЮЛ770100193501034.jpeg","Скачать индивидуальный QR-код магазина")</f>
        <v>Скачать индивидуальный QR-код магазина</v>
      </c>
    </row>
    <row r="13425" spans="1:7" x14ac:dyDescent="0.25">
      <c r="A13425" t="s">
        <v>41483</v>
      </c>
      <c r="B13425" t="s">
        <v>41598</v>
      </c>
      <c r="C13425" t="s">
        <v>748</v>
      </c>
      <c r="D13425" t="s">
        <v>749</v>
      </c>
      <c r="E13425" t="s">
        <v>750</v>
      </c>
      <c r="F13425" t="s">
        <v>41599</v>
      </c>
      <c r="G13425" s="2" t="str">
        <f>HYPERLINK("https://probpalata.gov.ru/files/ЮЛ770100193501123.jpeg","Скачать индивидуальный QR-код магазина")</f>
        <v>Скачать индивидуальный QR-код магазина</v>
      </c>
    </row>
    <row r="13426" spans="1:7" x14ac:dyDescent="0.25">
      <c r="A13426" t="s">
        <v>41483</v>
      </c>
      <c r="B13426" t="s">
        <v>41600</v>
      </c>
      <c r="C13426" t="s">
        <v>773</v>
      </c>
      <c r="D13426" t="s">
        <v>774</v>
      </c>
      <c r="E13426" t="s">
        <v>775</v>
      </c>
      <c r="F13426" t="s">
        <v>41601</v>
      </c>
      <c r="G13426" s="2" t="str">
        <f>HYPERLINK("https://probpalata.gov.ru/files/ЮЛ780300131300302.jpeg","Скачать индивидуальный QR-код магазина")</f>
        <v>Скачать индивидуальный QR-код магазина</v>
      </c>
    </row>
    <row r="13427" spans="1:7" x14ac:dyDescent="0.25">
      <c r="A13427" t="s">
        <v>41483</v>
      </c>
      <c r="B13427" t="s">
        <v>41602</v>
      </c>
      <c r="C13427" t="s">
        <v>773</v>
      </c>
      <c r="D13427" t="s">
        <v>774</v>
      </c>
      <c r="E13427" t="s">
        <v>775</v>
      </c>
      <c r="F13427" t="s">
        <v>41603</v>
      </c>
      <c r="G13427" s="2" t="str">
        <f>HYPERLINK("https://probpalata.gov.ru/files/ЮЛ780300131300303.jpeg","Скачать индивидуальный QR-код магазина")</f>
        <v>Скачать индивидуальный QR-код магазина</v>
      </c>
    </row>
    <row r="13428" spans="1:7" x14ac:dyDescent="0.25">
      <c r="A13428" t="s">
        <v>41483</v>
      </c>
      <c r="B13428" t="s">
        <v>41604</v>
      </c>
      <c r="C13428" t="s">
        <v>773</v>
      </c>
      <c r="D13428" t="s">
        <v>774</v>
      </c>
      <c r="E13428" t="s">
        <v>775</v>
      </c>
      <c r="F13428" t="s">
        <v>41605</v>
      </c>
      <c r="G13428" s="2" t="str">
        <f>HYPERLINK("https://probpalata.gov.ru/files/ЮЛ780300131300304.jpeg","Скачать индивидуальный QR-код магазина")</f>
        <v>Скачать индивидуальный QR-код магазина</v>
      </c>
    </row>
    <row r="13429" spans="1:7" x14ac:dyDescent="0.25">
      <c r="A13429" t="s">
        <v>41483</v>
      </c>
      <c r="B13429" t="s">
        <v>41606</v>
      </c>
      <c r="C13429" t="s">
        <v>773</v>
      </c>
      <c r="D13429" t="s">
        <v>774</v>
      </c>
      <c r="E13429" t="s">
        <v>775</v>
      </c>
      <c r="F13429" t="s">
        <v>41607</v>
      </c>
      <c r="G13429" s="2" t="str">
        <f>HYPERLINK("https://probpalata.gov.ru/files/ЮЛ780300131300305.jpeg","Скачать индивидуальный QR-код магазина")</f>
        <v>Скачать индивидуальный QR-код магазина</v>
      </c>
    </row>
    <row r="13430" spans="1:7" x14ac:dyDescent="0.25">
      <c r="A13430" t="s">
        <v>41483</v>
      </c>
      <c r="B13430" t="s">
        <v>41608</v>
      </c>
      <c r="C13430" t="s">
        <v>773</v>
      </c>
      <c r="D13430" t="s">
        <v>774</v>
      </c>
      <c r="E13430" t="s">
        <v>775</v>
      </c>
      <c r="F13430" t="s">
        <v>41609</v>
      </c>
      <c r="G13430" s="2" t="str">
        <f>HYPERLINK("https://probpalata.gov.ru/files/ЮЛ780300131300306.jpeg","Скачать индивидуальный QR-код магазина")</f>
        <v>Скачать индивидуальный QR-код магазина</v>
      </c>
    </row>
    <row r="13431" spans="1:7" x14ac:dyDescent="0.25">
      <c r="A13431" t="s">
        <v>41483</v>
      </c>
      <c r="B13431" t="s">
        <v>41610</v>
      </c>
      <c r="C13431" t="s">
        <v>773</v>
      </c>
      <c r="D13431" t="s">
        <v>774</v>
      </c>
      <c r="E13431" t="s">
        <v>775</v>
      </c>
      <c r="F13431" t="s">
        <v>41611</v>
      </c>
      <c r="G13431" s="2" t="str">
        <f>HYPERLINK("https://probpalata.gov.ru/files/ЮЛ780300131300307.jpeg","Скачать индивидуальный QR-код магазина")</f>
        <v>Скачать индивидуальный QR-код магазина</v>
      </c>
    </row>
    <row r="13432" spans="1:7" x14ac:dyDescent="0.25">
      <c r="A13432" t="s">
        <v>41483</v>
      </c>
      <c r="B13432" t="s">
        <v>41612</v>
      </c>
      <c r="C13432" t="s">
        <v>773</v>
      </c>
      <c r="D13432" t="s">
        <v>774</v>
      </c>
      <c r="E13432" t="s">
        <v>775</v>
      </c>
      <c r="F13432" t="s">
        <v>41613</v>
      </c>
      <c r="G13432" s="2" t="str">
        <f>HYPERLINK("https://probpalata.gov.ru/files/ЮЛ780300131300451.jpeg","Скачать индивидуальный QR-код магазина")</f>
        <v>Скачать индивидуальный QR-код магазина</v>
      </c>
    </row>
    <row r="13433" spans="1:7" x14ac:dyDescent="0.25">
      <c r="A13433" t="s">
        <v>41483</v>
      </c>
      <c r="B13433" t="s">
        <v>41614</v>
      </c>
      <c r="C13433" t="s">
        <v>773</v>
      </c>
      <c r="D13433" t="s">
        <v>774</v>
      </c>
      <c r="E13433" t="s">
        <v>775</v>
      </c>
      <c r="F13433" t="s">
        <v>41615</v>
      </c>
      <c r="G13433" s="2" t="str">
        <f>HYPERLINK("https://probpalata.gov.ru/files/ЮЛ780300131300554.jpeg","Скачать индивидуальный QR-код магазина")</f>
        <v>Скачать индивидуальный QR-код магазина</v>
      </c>
    </row>
    <row r="13434" spans="1:7" x14ac:dyDescent="0.25">
      <c r="A13434" t="s">
        <v>41483</v>
      </c>
      <c r="B13434" t="s">
        <v>41616</v>
      </c>
      <c r="C13434" t="s">
        <v>773</v>
      </c>
      <c r="D13434" t="s">
        <v>774</v>
      </c>
      <c r="E13434" t="s">
        <v>775</v>
      </c>
      <c r="F13434" t="s">
        <v>41617</v>
      </c>
      <c r="G13434" s="2" t="str">
        <f>HYPERLINK("https://probpalata.gov.ru/files/ЮЛ780300131300558.jpeg","Скачать индивидуальный QR-код магазина")</f>
        <v>Скачать индивидуальный QR-код магазина</v>
      </c>
    </row>
    <row r="13435" spans="1:7" x14ac:dyDescent="0.25">
      <c r="A13435" t="s">
        <v>41483</v>
      </c>
      <c r="B13435" t="s">
        <v>41618</v>
      </c>
      <c r="C13435" t="s">
        <v>773</v>
      </c>
      <c r="D13435" t="s">
        <v>774</v>
      </c>
      <c r="E13435" t="s">
        <v>775</v>
      </c>
      <c r="F13435" t="s">
        <v>41619</v>
      </c>
      <c r="G13435" s="2" t="str">
        <f>HYPERLINK("https://probpalata.gov.ru/files/ЮЛ780300131300562.jpeg","Скачать индивидуальный QR-код магазина")</f>
        <v>Скачать индивидуальный QR-код магазина</v>
      </c>
    </row>
    <row r="13436" spans="1:7" x14ac:dyDescent="0.25">
      <c r="A13436" t="s">
        <v>41483</v>
      </c>
      <c r="B13436" t="s">
        <v>41620</v>
      </c>
      <c r="C13436" t="s">
        <v>787</v>
      </c>
      <c r="D13436" t="s">
        <v>788</v>
      </c>
      <c r="E13436" t="s">
        <v>789</v>
      </c>
      <c r="F13436" t="s">
        <v>41621</v>
      </c>
      <c r="G13436" s="2" t="str">
        <f>HYPERLINK("https://probpalata.gov.ru/files/ЮЛ780300328000137.jpeg","Скачать индивидуальный QR-код магазина")</f>
        <v>Скачать индивидуальный QR-код магазина</v>
      </c>
    </row>
    <row r="13437" spans="1:7" x14ac:dyDescent="0.25">
      <c r="A13437" t="s">
        <v>41483</v>
      </c>
      <c r="B13437" t="s">
        <v>41622</v>
      </c>
      <c r="C13437" t="s">
        <v>787</v>
      </c>
      <c r="D13437" t="s">
        <v>788</v>
      </c>
      <c r="E13437" t="s">
        <v>789</v>
      </c>
      <c r="F13437" t="s">
        <v>41623</v>
      </c>
      <c r="G13437" s="2" t="str">
        <f>HYPERLINK("https://probpalata.gov.ru/files/ЮЛ780300328000224.jpeg","Скачать индивидуальный QR-код магазина")</f>
        <v>Скачать индивидуальный QR-код магазина</v>
      </c>
    </row>
    <row r="13438" spans="1:7" x14ac:dyDescent="0.25">
      <c r="A13438" t="s">
        <v>41483</v>
      </c>
      <c r="B13438" t="s">
        <v>41624</v>
      </c>
      <c r="C13438" t="s">
        <v>787</v>
      </c>
      <c r="D13438" t="s">
        <v>788</v>
      </c>
      <c r="E13438" t="s">
        <v>789</v>
      </c>
      <c r="F13438" t="s">
        <v>41625</v>
      </c>
      <c r="G13438" s="2" t="str">
        <f>HYPERLINK("https://probpalata.gov.ru/files/ЮЛ780300328000226.jpeg","Скачать индивидуальный QR-код магазина")</f>
        <v>Скачать индивидуальный QR-код магазина</v>
      </c>
    </row>
    <row r="13439" spans="1:7" x14ac:dyDescent="0.25">
      <c r="A13439" t="s">
        <v>41483</v>
      </c>
      <c r="B13439" t="s">
        <v>41626</v>
      </c>
      <c r="C13439" t="s">
        <v>787</v>
      </c>
      <c r="D13439" t="s">
        <v>788</v>
      </c>
      <c r="E13439" t="s">
        <v>789</v>
      </c>
      <c r="F13439" t="s">
        <v>41627</v>
      </c>
      <c r="G13439" s="2" t="str">
        <f>HYPERLINK("https://probpalata.gov.ru/files/ЮЛ780300328000245.jpeg","Скачать индивидуальный QR-код магазина")</f>
        <v>Скачать индивидуальный QR-код магазина</v>
      </c>
    </row>
    <row r="13440" spans="1:7" x14ac:dyDescent="0.25">
      <c r="A13440" t="s">
        <v>41483</v>
      </c>
      <c r="B13440" t="s">
        <v>41628</v>
      </c>
      <c r="C13440" t="s">
        <v>4077</v>
      </c>
      <c r="D13440" t="s">
        <v>4078</v>
      </c>
      <c r="E13440" t="s">
        <v>4079</v>
      </c>
      <c r="F13440" t="s">
        <v>41629</v>
      </c>
      <c r="G13440" s="2" t="str">
        <f>HYPERLINK("https://probpalata.gov.ru/files/ЮЛ780300331800010.jpeg","Скачать индивидуальный QR-код магазина")</f>
        <v>Скачать индивидуальный QR-код магазина</v>
      </c>
    </row>
    <row r="13441" spans="1:7" x14ac:dyDescent="0.25">
      <c r="A13441" t="s">
        <v>41483</v>
      </c>
      <c r="B13441" t="s">
        <v>41630</v>
      </c>
      <c r="C13441" t="s">
        <v>4077</v>
      </c>
      <c r="D13441" t="s">
        <v>4078</v>
      </c>
      <c r="E13441" t="s">
        <v>4079</v>
      </c>
      <c r="F13441" t="s">
        <v>41631</v>
      </c>
      <c r="G13441" s="2" t="str">
        <f>HYPERLINK("https://probpalata.gov.ru/files/ЮЛ780300331800012.jpeg","Скачать индивидуальный QR-код магазина")</f>
        <v>Скачать индивидуальный QR-код магазина</v>
      </c>
    </row>
    <row r="13442" spans="1:7" x14ac:dyDescent="0.25">
      <c r="A13442" t="s">
        <v>41483</v>
      </c>
      <c r="B13442" t="s">
        <v>41632</v>
      </c>
      <c r="C13442" t="s">
        <v>4077</v>
      </c>
      <c r="D13442" t="s">
        <v>4078</v>
      </c>
      <c r="E13442" t="s">
        <v>4079</v>
      </c>
      <c r="F13442" t="s">
        <v>41633</v>
      </c>
      <c r="G13442" s="2" t="str">
        <f>HYPERLINK("https://probpalata.gov.ru/files/ЮЛ780300331800136.jpeg","Скачать индивидуальный QR-код магазина")</f>
        <v>Скачать индивидуальный QR-код магазина</v>
      </c>
    </row>
    <row r="13443" spans="1:7" x14ac:dyDescent="0.25">
      <c r="A13443" t="s">
        <v>41483</v>
      </c>
      <c r="B13443" t="s">
        <v>41634</v>
      </c>
      <c r="C13443" t="s">
        <v>798</v>
      </c>
      <c r="D13443" t="s">
        <v>799</v>
      </c>
      <c r="E13443" t="s">
        <v>800</v>
      </c>
      <c r="F13443" t="s">
        <v>41635</v>
      </c>
      <c r="G13443" s="2" t="str">
        <f>HYPERLINK("https://probpalata.gov.ru/files/ЮЛ780300308200120.jpeg","Скачать индивидуальный QR-код магазина")</f>
        <v>Скачать индивидуальный QR-код магазина</v>
      </c>
    </row>
    <row r="13444" spans="1:7" x14ac:dyDescent="0.25">
      <c r="A13444" t="s">
        <v>41483</v>
      </c>
      <c r="B13444" t="s">
        <v>41636</v>
      </c>
      <c r="C13444" t="s">
        <v>798</v>
      </c>
      <c r="D13444" t="s">
        <v>799</v>
      </c>
      <c r="E13444" t="s">
        <v>800</v>
      </c>
      <c r="F13444" t="s">
        <v>41637</v>
      </c>
      <c r="G13444" s="2" t="str">
        <f>HYPERLINK("https://probpalata.gov.ru/files/ЮЛ780300308200200.jpeg","Скачать индивидуальный QR-код магазина")</f>
        <v>Скачать индивидуальный QR-код магазина</v>
      </c>
    </row>
    <row r="13445" spans="1:7" x14ac:dyDescent="0.25">
      <c r="A13445" t="s">
        <v>41483</v>
      </c>
      <c r="B13445" t="s">
        <v>41638</v>
      </c>
      <c r="C13445" t="s">
        <v>798</v>
      </c>
      <c r="D13445" t="s">
        <v>799</v>
      </c>
      <c r="E13445" t="s">
        <v>800</v>
      </c>
      <c r="F13445" t="s">
        <v>41639</v>
      </c>
      <c r="G13445" s="2" t="str">
        <f>HYPERLINK("https://probpalata.gov.ru/files/ЮЛ780300308200436.jpeg","Скачать индивидуальный QR-код магазина")</f>
        <v>Скачать индивидуальный QR-код магазина</v>
      </c>
    </row>
    <row r="13446" spans="1:7" x14ac:dyDescent="0.25">
      <c r="A13446" t="s">
        <v>41483</v>
      </c>
      <c r="B13446" t="s">
        <v>41640</v>
      </c>
      <c r="C13446" t="s">
        <v>798</v>
      </c>
      <c r="D13446" t="s">
        <v>799</v>
      </c>
      <c r="E13446" t="s">
        <v>800</v>
      </c>
      <c r="F13446" t="s">
        <v>41641</v>
      </c>
      <c r="G13446" s="2" t="str">
        <f>HYPERLINK("https://probpalata.gov.ru/files/ЮЛ780300308200789.jpeg","Скачать индивидуальный QR-код магазина")</f>
        <v>Скачать индивидуальный QR-код магазина</v>
      </c>
    </row>
    <row r="13447" spans="1:7" x14ac:dyDescent="0.25">
      <c r="A13447" t="s">
        <v>41483</v>
      </c>
      <c r="B13447" t="s">
        <v>41642</v>
      </c>
      <c r="C13447" t="s">
        <v>798</v>
      </c>
      <c r="D13447" t="s">
        <v>799</v>
      </c>
      <c r="E13447" t="s">
        <v>800</v>
      </c>
      <c r="F13447" t="s">
        <v>41643</v>
      </c>
      <c r="G13447" s="2" t="str">
        <f>HYPERLINK("https://probpalata.gov.ru/files/ЮЛ780300308200790.jpeg","Скачать индивидуальный QR-код магазина")</f>
        <v>Скачать индивидуальный QR-код магазина</v>
      </c>
    </row>
    <row r="13448" spans="1:7" x14ac:dyDescent="0.25">
      <c r="A13448" t="s">
        <v>41483</v>
      </c>
      <c r="B13448" t="s">
        <v>41644</v>
      </c>
      <c r="C13448" t="s">
        <v>798</v>
      </c>
      <c r="D13448" t="s">
        <v>799</v>
      </c>
      <c r="E13448" t="s">
        <v>800</v>
      </c>
      <c r="F13448" t="s">
        <v>41645</v>
      </c>
      <c r="G13448" s="2" t="str">
        <f>HYPERLINK("https://probpalata.gov.ru/files/ЮЛ780300308200822.jpeg","Скачать индивидуальный QR-код магазина")</f>
        <v>Скачать индивидуальный QR-код магазина</v>
      </c>
    </row>
    <row r="13449" spans="1:7" x14ac:dyDescent="0.25">
      <c r="A13449" t="s">
        <v>41483</v>
      </c>
      <c r="B13449" t="s">
        <v>41610</v>
      </c>
      <c r="C13449" t="s">
        <v>798</v>
      </c>
      <c r="D13449" t="s">
        <v>799</v>
      </c>
      <c r="E13449" t="s">
        <v>800</v>
      </c>
      <c r="F13449" t="s">
        <v>41646</v>
      </c>
      <c r="G13449" s="2" t="str">
        <f>HYPERLINK("https://probpalata.gov.ru/files/ЮЛ780300308200826.jpeg","Скачать индивидуальный QR-код магазина")</f>
        <v>Скачать индивидуальный QR-код магазина</v>
      </c>
    </row>
    <row r="13450" spans="1:7" x14ac:dyDescent="0.25">
      <c r="A13450" t="s">
        <v>41483</v>
      </c>
      <c r="B13450" t="s">
        <v>41647</v>
      </c>
      <c r="C13450" t="s">
        <v>798</v>
      </c>
      <c r="D13450" t="s">
        <v>799</v>
      </c>
      <c r="E13450" t="s">
        <v>800</v>
      </c>
      <c r="F13450" t="s">
        <v>41648</v>
      </c>
      <c r="G13450" s="2" t="str">
        <f>HYPERLINK("https://probpalata.gov.ru/files/ЮЛ780300308200838.jpeg","Скачать индивидуальный QR-код магазина")</f>
        <v>Скачать индивидуальный QR-код магазина</v>
      </c>
    </row>
    <row r="13451" spans="1:7" x14ac:dyDescent="0.25">
      <c r="A13451" t="s">
        <v>41483</v>
      </c>
      <c r="B13451" t="s">
        <v>41649</v>
      </c>
      <c r="C13451" t="s">
        <v>798</v>
      </c>
      <c r="D13451" t="s">
        <v>799</v>
      </c>
      <c r="E13451" t="s">
        <v>800</v>
      </c>
      <c r="F13451" t="s">
        <v>41650</v>
      </c>
      <c r="G13451" s="2" t="str">
        <f>HYPERLINK("https://probpalata.gov.ru/files/ЮЛ780300308200863.jpeg","Скачать индивидуальный QR-код магазина")</f>
        <v>Скачать индивидуальный QR-код магазина</v>
      </c>
    </row>
    <row r="13452" spans="1:7" x14ac:dyDescent="0.25">
      <c r="A13452" t="s">
        <v>41483</v>
      </c>
      <c r="B13452" t="s">
        <v>41651</v>
      </c>
      <c r="C13452" t="s">
        <v>798</v>
      </c>
      <c r="D13452" t="s">
        <v>799</v>
      </c>
      <c r="E13452" t="s">
        <v>800</v>
      </c>
      <c r="F13452" t="s">
        <v>41652</v>
      </c>
      <c r="G13452" s="2" t="str">
        <f>HYPERLINK("https://probpalata.gov.ru/files/ЮЛ780300308201010.jpeg","Скачать индивидуальный QR-код магазина")</f>
        <v>Скачать индивидуальный QR-код магазина</v>
      </c>
    </row>
    <row r="13453" spans="1:7" x14ac:dyDescent="0.25">
      <c r="A13453" t="s">
        <v>41653</v>
      </c>
      <c r="B13453" t="s">
        <v>41654</v>
      </c>
      <c r="C13453" t="s">
        <v>41655</v>
      </c>
      <c r="D13453" t="s">
        <v>41656</v>
      </c>
      <c r="E13453" t="s">
        <v>41657</v>
      </c>
      <c r="F13453" t="s">
        <v>41658</v>
      </c>
      <c r="G13453" s="2" t="str">
        <f>HYPERLINK("https://probpalata.gov.ru/files/ИП090503847900000.jpeg","Скачать индивидуальный QR-код магазина")</f>
        <v>Скачать индивидуальный QR-код магазина</v>
      </c>
    </row>
    <row r="13454" spans="1:7" x14ac:dyDescent="0.25">
      <c r="A13454" t="s">
        <v>41653</v>
      </c>
      <c r="B13454" t="s">
        <v>41659</v>
      </c>
      <c r="C13454" t="s">
        <v>9495</v>
      </c>
      <c r="D13454" t="s">
        <v>9496</v>
      </c>
      <c r="E13454" t="s">
        <v>9497</v>
      </c>
      <c r="F13454" t="s">
        <v>41660</v>
      </c>
      <c r="G13454" s="2" t="str">
        <f>HYPERLINK("https://probpalata.gov.ru/files/ЮЛ020603117700074.jpeg","Скачать индивидуальный QR-код магазина")</f>
        <v>Скачать индивидуальный QR-код магазина</v>
      </c>
    </row>
    <row r="13455" spans="1:7" x14ac:dyDescent="0.25">
      <c r="A13455" t="s">
        <v>41653</v>
      </c>
      <c r="B13455" t="s">
        <v>41661</v>
      </c>
      <c r="C13455" t="s">
        <v>9495</v>
      </c>
      <c r="D13455" t="s">
        <v>9496</v>
      </c>
      <c r="E13455" t="s">
        <v>9497</v>
      </c>
      <c r="F13455" t="s">
        <v>41662</v>
      </c>
      <c r="G13455" s="2" t="str">
        <f>HYPERLINK("https://probpalata.gov.ru/files/ЮЛ020603117700077.jpeg","Скачать индивидуальный QR-код магазина")</f>
        <v>Скачать индивидуальный QR-код магазина</v>
      </c>
    </row>
    <row r="13456" spans="1:7" x14ac:dyDescent="0.25">
      <c r="A13456" t="s">
        <v>41653</v>
      </c>
      <c r="B13456" t="s">
        <v>41663</v>
      </c>
      <c r="C13456" t="s">
        <v>9495</v>
      </c>
      <c r="D13456" t="s">
        <v>9496</v>
      </c>
      <c r="E13456" t="s">
        <v>9497</v>
      </c>
      <c r="F13456" t="s">
        <v>41664</v>
      </c>
      <c r="G13456" s="2" t="str">
        <f>HYPERLINK("https://probpalata.gov.ru/files/ЮЛ020603117700078.jpeg","Скачать индивидуальный QR-код магазина")</f>
        <v>Скачать индивидуальный QR-код магазина</v>
      </c>
    </row>
    <row r="13457" spans="1:7" x14ac:dyDescent="0.25">
      <c r="A13457" t="s">
        <v>41653</v>
      </c>
      <c r="B13457" t="s">
        <v>41665</v>
      </c>
      <c r="C13457" t="s">
        <v>9495</v>
      </c>
      <c r="D13457" t="s">
        <v>9496</v>
      </c>
      <c r="E13457" t="s">
        <v>9497</v>
      </c>
      <c r="F13457" t="s">
        <v>41666</v>
      </c>
      <c r="G13457" s="2" t="str">
        <f>HYPERLINK("https://probpalata.gov.ru/files/ЮЛ020603117700107.jpeg","Скачать индивидуальный QR-код магазина")</f>
        <v>Скачать индивидуальный QR-код магазина</v>
      </c>
    </row>
    <row r="13458" spans="1:7" x14ac:dyDescent="0.25">
      <c r="A13458" t="s">
        <v>41653</v>
      </c>
      <c r="B13458" t="s">
        <v>41667</v>
      </c>
      <c r="C13458" t="s">
        <v>38614</v>
      </c>
      <c r="D13458" t="s">
        <v>38615</v>
      </c>
      <c r="E13458" t="s">
        <v>38616</v>
      </c>
      <c r="F13458" t="s">
        <v>41668</v>
      </c>
      <c r="G13458" s="2" t="str">
        <f>HYPERLINK("https://probpalata.gov.ru/files/ЮЛ050500548500001.jpeg","Скачать индивидуальный QR-код магазина")</f>
        <v>Скачать индивидуальный QR-код магазина</v>
      </c>
    </row>
    <row r="13459" spans="1:7" x14ac:dyDescent="0.25">
      <c r="A13459" t="s">
        <v>41653</v>
      </c>
      <c r="B13459" t="s">
        <v>41669</v>
      </c>
      <c r="C13459" t="s">
        <v>10991</v>
      </c>
      <c r="D13459" t="s">
        <v>10992</v>
      </c>
      <c r="E13459" t="s">
        <v>10993</v>
      </c>
      <c r="F13459" t="s">
        <v>41670</v>
      </c>
      <c r="G13459" s="2" t="str">
        <f>HYPERLINK("https://probpalata.gov.ru/files/ИП120600362800007.jpeg","Скачать индивидуальный QR-код магазина")</f>
        <v>Скачать индивидуальный QR-код магазина</v>
      </c>
    </row>
    <row r="13460" spans="1:7" x14ac:dyDescent="0.25">
      <c r="A13460" t="s">
        <v>41653</v>
      </c>
      <c r="B13460" t="s">
        <v>41671</v>
      </c>
      <c r="C13460" t="s">
        <v>41672</v>
      </c>
      <c r="D13460" t="s">
        <v>41673</v>
      </c>
      <c r="E13460" t="s">
        <v>41674</v>
      </c>
      <c r="F13460" t="s">
        <v>41675</v>
      </c>
      <c r="G13460" s="2" t="str">
        <f>HYPERLINK("https://probpalata.gov.ru/files/ИП160603305900000.jpeg","Скачать индивидуальный QR-код магазина")</f>
        <v>Скачать индивидуальный QR-код магазина</v>
      </c>
    </row>
    <row r="13461" spans="1:7" x14ac:dyDescent="0.25">
      <c r="A13461" t="s">
        <v>41653</v>
      </c>
      <c r="B13461" t="s">
        <v>41676</v>
      </c>
      <c r="C13461" t="s">
        <v>41672</v>
      </c>
      <c r="D13461" t="s">
        <v>41673</v>
      </c>
      <c r="E13461" t="s">
        <v>41674</v>
      </c>
      <c r="F13461" t="s">
        <v>41677</v>
      </c>
      <c r="G13461" s="2" t="str">
        <f>HYPERLINK("https://probpalata.gov.ru/files/ИП160603305900006.jpeg","Скачать индивидуальный QR-код магазина")</f>
        <v>Скачать индивидуальный QR-код магазина</v>
      </c>
    </row>
    <row r="13462" spans="1:7" x14ac:dyDescent="0.25">
      <c r="A13462" t="s">
        <v>41653</v>
      </c>
      <c r="B13462" t="s">
        <v>41678</v>
      </c>
      <c r="C13462" t="s">
        <v>41679</v>
      </c>
      <c r="D13462" t="s">
        <v>41680</v>
      </c>
      <c r="E13462" t="s">
        <v>41681</v>
      </c>
      <c r="F13462" t="s">
        <v>41682</v>
      </c>
      <c r="G13462" s="2" t="str">
        <f>HYPERLINK("https://probpalata.gov.ru/files/ИП160600137800000.jpeg","Скачать индивидуальный QR-код магазина")</f>
        <v>Скачать индивидуальный QR-код магазина</v>
      </c>
    </row>
    <row r="13463" spans="1:7" x14ac:dyDescent="0.25">
      <c r="A13463" t="s">
        <v>41653</v>
      </c>
      <c r="B13463" t="s">
        <v>41683</v>
      </c>
      <c r="C13463" t="s">
        <v>41684</v>
      </c>
      <c r="D13463" t="s">
        <v>41685</v>
      </c>
      <c r="E13463" t="s">
        <v>41686</v>
      </c>
      <c r="F13463" t="s">
        <v>41687</v>
      </c>
      <c r="G13463" s="2" t="str">
        <f>HYPERLINK("https://probpalata.gov.ru/files/ИП160600878600000.jpeg","Скачать индивидуальный QR-код магазина")</f>
        <v>Скачать индивидуальный QR-код магазина</v>
      </c>
    </row>
    <row r="13464" spans="1:7" x14ac:dyDescent="0.25">
      <c r="A13464" t="s">
        <v>41653</v>
      </c>
      <c r="B13464" t="s">
        <v>41688</v>
      </c>
      <c r="C13464" t="s">
        <v>41689</v>
      </c>
      <c r="D13464" t="s">
        <v>41690</v>
      </c>
      <c r="E13464" t="s">
        <v>41691</v>
      </c>
      <c r="F13464" t="s">
        <v>41692</v>
      </c>
      <c r="G13464" s="2" t="str">
        <f>HYPERLINK("https://probpalata.gov.ru/files/ИП160601150800000.jpeg","Скачать индивидуальный QR-код магазина")</f>
        <v>Скачать индивидуальный QR-код магазина</v>
      </c>
    </row>
    <row r="13465" spans="1:7" x14ac:dyDescent="0.25">
      <c r="A13465" t="s">
        <v>41653</v>
      </c>
      <c r="B13465" t="s">
        <v>41693</v>
      </c>
      <c r="C13465" t="s">
        <v>41694</v>
      </c>
      <c r="D13465" t="s">
        <v>41695</v>
      </c>
      <c r="E13465" t="s">
        <v>41696</v>
      </c>
      <c r="F13465" t="s">
        <v>41697</v>
      </c>
      <c r="G13465" s="2" t="str">
        <f>HYPERLINK("https://probpalata.gov.ru/files/ИП160601133700000.jpeg","Скачать индивидуальный QR-код магазина")</f>
        <v>Скачать индивидуальный QR-код магазина</v>
      </c>
    </row>
    <row r="13466" spans="1:7" x14ac:dyDescent="0.25">
      <c r="A13466" t="s">
        <v>41653</v>
      </c>
      <c r="B13466" t="s">
        <v>41698</v>
      </c>
      <c r="C13466" t="s">
        <v>41699</v>
      </c>
      <c r="D13466" t="s">
        <v>41700</v>
      </c>
      <c r="E13466" t="s">
        <v>41701</v>
      </c>
      <c r="F13466" t="s">
        <v>41702</v>
      </c>
      <c r="G13466" s="2" t="str">
        <f>HYPERLINK("https://probpalata.gov.ru/files/ИП160603582000000.jpeg","Скачать индивидуальный QR-код магазина")</f>
        <v>Скачать индивидуальный QR-код магазина</v>
      </c>
    </row>
    <row r="13467" spans="1:7" x14ac:dyDescent="0.25">
      <c r="A13467" t="s">
        <v>41653</v>
      </c>
      <c r="B13467" t="s">
        <v>41703</v>
      </c>
      <c r="C13467" t="s">
        <v>41704</v>
      </c>
      <c r="D13467" t="s">
        <v>41705</v>
      </c>
      <c r="E13467" t="s">
        <v>41706</v>
      </c>
      <c r="F13467" t="s">
        <v>41707</v>
      </c>
      <c r="G13467" s="2" t="str">
        <f>HYPERLINK("https://probpalata.gov.ru/files/ИП160601398000000.jpeg","Скачать индивидуальный QR-код магазина")</f>
        <v>Скачать индивидуальный QR-код магазина</v>
      </c>
    </row>
    <row r="13468" spans="1:7" x14ac:dyDescent="0.25">
      <c r="A13468" t="s">
        <v>41653</v>
      </c>
      <c r="B13468" t="s">
        <v>41708</v>
      </c>
      <c r="C13468" t="s">
        <v>41709</v>
      </c>
      <c r="D13468" t="s">
        <v>41710</v>
      </c>
      <c r="E13468" t="s">
        <v>41711</v>
      </c>
      <c r="F13468" t="s">
        <v>41712</v>
      </c>
      <c r="G13468" s="2" t="str">
        <f>HYPERLINK("https://probpalata.gov.ru/files/ИП160601048300000.jpeg","Скачать индивидуальный QR-код магазина")</f>
        <v>Скачать индивидуальный QR-код магазина</v>
      </c>
    </row>
    <row r="13469" spans="1:7" x14ac:dyDescent="0.25">
      <c r="A13469" t="s">
        <v>41653</v>
      </c>
      <c r="B13469" t="s">
        <v>41713</v>
      </c>
      <c r="C13469" t="s">
        <v>41714</v>
      </c>
      <c r="D13469" t="s">
        <v>41715</v>
      </c>
      <c r="E13469" t="s">
        <v>41716</v>
      </c>
      <c r="F13469" t="s">
        <v>41717</v>
      </c>
      <c r="G13469" s="2" t="str">
        <f>HYPERLINK("https://probpalata.gov.ru/files/ИП160603306300000.jpeg","Скачать индивидуальный QR-код магазина")</f>
        <v>Скачать индивидуальный QR-код магазина</v>
      </c>
    </row>
    <row r="13470" spans="1:7" x14ac:dyDescent="0.25">
      <c r="A13470" t="s">
        <v>41653</v>
      </c>
      <c r="B13470" t="s">
        <v>41718</v>
      </c>
      <c r="C13470" t="s">
        <v>39257</v>
      </c>
      <c r="D13470" t="s">
        <v>39258</v>
      </c>
      <c r="E13470" t="s">
        <v>39259</v>
      </c>
      <c r="F13470" t="s">
        <v>41719</v>
      </c>
      <c r="G13470" s="2" t="str">
        <f>HYPERLINK("https://probpalata.gov.ru/files/ИП160600640400000.jpeg","Скачать индивидуальный QR-код магазина")</f>
        <v>Скачать индивидуальный QR-код магазина</v>
      </c>
    </row>
    <row r="13471" spans="1:7" x14ac:dyDescent="0.25">
      <c r="A13471" t="s">
        <v>41653</v>
      </c>
      <c r="B13471" t="s">
        <v>41720</v>
      </c>
      <c r="C13471" t="s">
        <v>39257</v>
      </c>
      <c r="D13471" t="s">
        <v>39258</v>
      </c>
      <c r="E13471" t="s">
        <v>39259</v>
      </c>
      <c r="F13471" t="s">
        <v>41721</v>
      </c>
      <c r="G13471" s="2" t="str">
        <f>HYPERLINK("https://probpalata.gov.ru/files/ИП160600640400002.jpeg","Скачать индивидуальный QR-код магазина")</f>
        <v>Скачать индивидуальный QR-код магазина</v>
      </c>
    </row>
    <row r="13472" spans="1:7" x14ac:dyDescent="0.25">
      <c r="A13472" t="s">
        <v>41653</v>
      </c>
      <c r="B13472" t="s">
        <v>41722</v>
      </c>
      <c r="C13472" t="s">
        <v>39257</v>
      </c>
      <c r="D13472" t="s">
        <v>39258</v>
      </c>
      <c r="E13472" t="s">
        <v>39259</v>
      </c>
      <c r="F13472" t="s">
        <v>41723</v>
      </c>
      <c r="G13472" s="2" t="str">
        <f>HYPERLINK("https://probpalata.gov.ru/files/ИП160600640400004.jpeg","Скачать индивидуальный QR-код магазина")</f>
        <v>Скачать индивидуальный QR-код магазина</v>
      </c>
    </row>
    <row r="13473" spans="1:7" x14ac:dyDescent="0.25">
      <c r="A13473" t="s">
        <v>41653</v>
      </c>
      <c r="B13473" t="s">
        <v>41724</v>
      </c>
      <c r="C13473" t="s">
        <v>39257</v>
      </c>
      <c r="D13473" t="s">
        <v>39258</v>
      </c>
      <c r="E13473" t="s">
        <v>39259</v>
      </c>
      <c r="F13473" t="s">
        <v>41725</v>
      </c>
      <c r="G13473" s="2" t="str">
        <f>HYPERLINK("https://probpalata.gov.ru/files/ИП160600640400005.jpeg","Скачать индивидуальный QR-код магазина")</f>
        <v>Скачать индивидуальный QR-код магазина</v>
      </c>
    </row>
    <row r="13474" spans="1:7" x14ac:dyDescent="0.25">
      <c r="A13474" t="s">
        <v>41653</v>
      </c>
      <c r="B13474" t="s">
        <v>41726</v>
      </c>
      <c r="C13474" t="s">
        <v>39257</v>
      </c>
      <c r="D13474" t="s">
        <v>39258</v>
      </c>
      <c r="E13474" t="s">
        <v>39259</v>
      </c>
      <c r="F13474" t="s">
        <v>41727</v>
      </c>
      <c r="G13474" s="2" t="str">
        <f>HYPERLINK("https://probpalata.gov.ru/files/ИП160600640400008.jpeg","Скачать индивидуальный QR-код магазина")</f>
        <v>Скачать индивидуальный QR-код магазина</v>
      </c>
    </row>
    <row r="13475" spans="1:7" x14ac:dyDescent="0.25">
      <c r="A13475" t="s">
        <v>41653</v>
      </c>
      <c r="B13475" t="s">
        <v>41728</v>
      </c>
      <c r="C13475" t="s">
        <v>39257</v>
      </c>
      <c r="D13475" t="s">
        <v>39258</v>
      </c>
      <c r="E13475" t="s">
        <v>39259</v>
      </c>
      <c r="F13475" t="s">
        <v>41729</v>
      </c>
      <c r="G13475" s="2" t="str">
        <f>HYPERLINK("https://probpalata.gov.ru/files/ИП160600640400011.jpeg","Скачать индивидуальный QR-код магазина")</f>
        <v>Скачать индивидуальный QR-код магазина</v>
      </c>
    </row>
    <row r="13476" spans="1:7" x14ac:dyDescent="0.25">
      <c r="A13476" t="s">
        <v>41653</v>
      </c>
      <c r="B13476" t="s">
        <v>41730</v>
      </c>
      <c r="C13476" t="s">
        <v>41731</v>
      </c>
      <c r="D13476" t="s">
        <v>41732</v>
      </c>
      <c r="E13476" t="s">
        <v>41733</v>
      </c>
      <c r="F13476" t="s">
        <v>41734</v>
      </c>
      <c r="G13476" s="2" t="str">
        <f>HYPERLINK("https://probpalata.gov.ru/files/ИП160600929200000.jpeg","Скачать индивидуальный QR-код магазина")</f>
        <v>Скачать индивидуальный QR-код магазина</v>
      </c>
    </row>
    <row r="13477" spans="1:7" x14ac:dyDescent="0.25">
      <c r="A13477" t="s">
        <v>41653</v>
      </c>
      <c r="B13477" t="s">
        <v>41735</v>
      </c>
      <c r="C13477" t="s">
        <v>41736</v>
      </c>
      <c r="D13477" t="s">
        <v>41737</v>
      </c>
      <c r="E13477" t="s">
        <v>41738</v>
      </c>
      <c r="F13477" t="s">
        <v>41739</v>
      </c>
      <c r="G13477" s="2" t="str">
        <f>HYPERLINK("https://probpalata.gov.ru/files/ИП160603228900000.jpeg","Скачать индивидуальный QR-код магазина")</f>
        <v>Скачать индивидуальный QR-код магазина</v>
      </c>
    </row>
    <row r="13478" spans="1:7" x14ac:dyDescent="0.25">
      <c r="A13478" t="s">
        <v>41653</v>
      </c>
      <c r="B13478" t="s">
        <v>41740</v>
      </c>
      <c r="C13478" t="s">
        <v>41741</v>
      </c>
      <c r="D13478" t="s">
        <v>41742</v>
      </c>
      <c r="E13478" t="s">
        <v>41743</v>
      </c>
      <c r="F13478" t="s">
        <v>41744</v>
      </c>
      <c r="G13478" s="2" t="str">
        <f>HYPERLINK("https://probpalata.gov.ru/files/ИП160601316700000.jpeg","Скачать индивидуальный QR-код магазина")</f>
        <v>Скачать индивидуальный QR-код магазина</v>
      </c>
    </row>
    <row r="13479" spans="1:7" x14ac:dyDescent="0.25">
      <c r="A13479" t="s">
        <v>41653</v>
      </c>
      <c r="B13479" t="s">
        <v>41745</v>
      </c>
      <c r="C13479" t="s">
        <v>41746</v>
      </c>
      <c r="D13479" t="s">
        <v>41747</v>
      </c>
      <c r="E13479" t="s">
        <v>41748</v>
      </c>
      <c r="F13479" t="s">
        <v>41749</v>
      </c>
      <c r="G13479" s="2" t="str">
        <f>HYPERLINK("https://probpalata.gov.ru/files/ИП160600465700000.jpeg","Скачать индивидуальный QR-код магазина")</f>
        <v>Скачать индивидуальный QR-код магазина</v>
      </c>
    </row>
    <row r="13480" spans="1:7" x14ac:dyDescent="0.25">
      <c r="A13480" t="s">
        <v>41653</v>
      </c>
      <c r="B13480" t="s">
        <v>41750</v>
      </c>
      <c r="C13480" t="s">
        <v>41746</v>
      </c>
      <c r="D13480" t="s">
        <v>41747</v>
      </c>
      <c r="E13480" t="s">
        <v>41748</v>
      </c>
      <c r="F13480" t="s">
        <v>41751</v>
      </c>
      <c r="G13480" s="2" t="str">
        <f>HYPERLINK("https://probpalata.gov.ru/files/ИП160600465700002.jpeg","Скачать индивидуальный QR-код магазина")</f>
        <v>Скачать индивидуальный QR-код магазина</v>
      </c>
    </row>
    <row r="13481" spans="1:7" x14ac:dyDescent="0.25">
      <c r="A13481" t="s">
        <v>41653</v>
      </c>
      <c r="B13481" t="s">
        <v>41752</v>
      </c>
      <c r="C13481" t="s">
        <v>41746</v>
      </c>
      <c r="D13481" t="s">
        <v>41747</v>
      </c>
      <c r="E13481" t="s">
        <v>41748</v>
      </c>
      <c r="F13481" t="s">
        <v>41753</v>
      </c>
      <c r="G13481" s="2" t="str">
        <f>HYPERLINK("https://probpalata.gov.ru/files/ИП160600465700004.jpeg","Скачать индивидуальный QR-код магазина")</f>
        <v>Скачать индивидуальный QR-код магазина</v>
      </c>
    </row>
    <row r="13482" spans="1:7" x14ac:dyDescent="0.25">
      <c r="A13482" t="s">
        <v>41653</v>
      </c>
      <c r="B13482" t="s">
        <v>41750</v>
      </c>
      <c r="C13482" t="s">
        <v>16481</v>
      </c>
      <c r="D13482" t="s">
        <v>41754</v>
      </c>
      <c r="E13482" t="s">
        <v>41755</v>
      </c>
      <c r="F13482" t="s">
        <v>41756</v>
      </c>
      <c r="G13482" s="2" t="str">
        <f>HYPERLINK("https://probpalata.gov.ru/files/ЮЛ160600293100000.jpeg","Скачать индивидуальный QR-код магазина")</f>
        <v>Скачать индивидуальный QR-код магазина</v>
      </c>
    </row>
    <row r="13483" spans="1:7" x14ac:dyDescent="0.25">
      <c r="A13483" t="s">
        <v>41653</v>
      </c>
      <c r="B13483" t="s">
        <v>41757</v>
      </c>
      <c r="C13483" t="s">
        <v>41758</v>
      </c>
      <c r="D13483" t="s">
        <v>41759</v>
      </c>
      <c r="E13483" t="s">
        <v>41760</v>
      </c>
      <c r="F13483" t="s">
        <v>41761</v>
      </c>
      <c r="G13483" s="2" t="str">
        <f>HYPERLINK("https://probpalata.gov.ru/files/ИП160600820500001.jpeg","Скачать индивидуальный QR-код магазина")</f>
        <v>Скачать индивидуальный QR-код магазина</v>
      </c>
    </row>
    <row r="13484" spans="1:7" x14ac:dyDescent="0.25">
      <c r="A13484" t="s">
        <v>41653</v>
      </c>
      <c r="B13484" t="s">
        <v>41762</v>
      </c>
      <c r="C13484" t="s">
        <v>41758</v>
      </c>
      <c r="D13484" t="s">
        <v>41759</v>
      </c>
      <c r="E13484" t="s">
        <v>41760</v>
      </c>
      <c r="F13484" t="s">
        <v>41763</v>
      </c>
      <c r="G13484" s="2" t="str">
        <f>HYPERLINK("https://probpalata.gov.ru/files/ИП160600820500002.jpeg","Скачать индивидуальный QR-код магазина")</f>
        <v>Скачать индивидуальный QR-код магазина</v>
      </c>
    </row>
    <row r="13485" spans="1:7" x14ac:dyDescent="0.25">
      <c r="A13485" t="s">
        <v>41653</v>
      </c>
      <c r="B13485" t="s">
        <v>41764</v>
      </c>
      <c r="C13485" t="s">
        <v>41758</v>
      </c>
      <c r="D13485" t="s">
        <v>41759</v>
      </c>
      <c r="E13485" t="s">
        <v>41760</v>
      </c>
      <c r="F13485" t="s">
        <v>41765</v>
      </c>
      <c r="G13485" s="2" t="str">
        <f>HYPERLINK("https://probpalata.gov.ru/files/ИП160600820500003.jpeg","Скачать индивидуальный QR-код магазина")</f>
        <v>Скачать индивидуальный QR-код магазина</v>
      </c>
    </row>
    <row r="13486" spans="1:7" x14ac:dyDescent="0.25">
      <c r="A13486" t="s">
        <v>41653</v>
      </c>
      <c r="B13486" t="s">
        <v>41766</v>
      </c>
      <c r="C13486" t="s">
        <v>41758</v>
      </c>
      <c r="D13486" t="s">
        <v>41759</v>
      </c>
      <c r="E13486" t="s">
        <v>41760</v>
      </c>
      <c r="F13486" t="s">
        <v>41767</v>
      </c>
      <c r="G13486" s="2" t="str">
        <f>HYPERLINK("https://probpalata.gov.ru/files/ИП160600820500004.jpeg","Скачать индивидуальный QR-код магазина")</f>
        <v>Скачать индивидуальный QR-код магазина</v>
      </c>
    </row>
    <row r="13487" spans="1:7" x14ac:dyDescent="0.25">
      <c r="A13487" t="s">
        <v>41653</v>
      </c>
      <c r="B13487" t="s">
        <v>41768</v>
      </c>
      <c r="C13487" t="s">
        <v>41758</v>
      </c>
      <c r="D13487" t="s">
        <v>41759</v>
      </c>
      <c r="E13487" t="s">
        <v>41760</v>
      </c>
      <c r="F13487" t="s">
        <v>41769</v>
      </c>
      <c r="G13487" s="2" t="str">
        <f>HYPERLINK("https://probpalata.gov.ru/files/ИП160600820500005.jpeg","Скачать индивидуальный QR-код магазина")</f>
        <v>Скачать индивидуальный QR-код магазина</v>
      </c>
    </row>
    <row r="13488" spans="1:7" x14ac:dyDescent="0.25">
      <c r="A13488" t="s">
        <v>41653</v>
      </c>
      <c r="B13488" t="s">
        <v>41770</v>
      </c>
      <c r="C13488" t="s">
        <v>41771</v>
      </c>
      <c r="D13488" t="s">
        <v>41772</v>
      </c>
      <c r="E13488" t="s">
        <v>41773</v>
      </c>
      <c r="F13488" t="s">
        <v>41774</v>
      </c>
      <c r="G13488" s="2" t="str">
        <f>HYPERLINK("https://probpalata.gov.ru/files/ИП160601236600000.jpeg","Скачать индивидуальный QR-код магазина")</f>
        <v>Скачать индивидуальный QR-код магазина</v>
      </c>
    </row>
    <row r="13489" spans="1:7" x14ac:dyDescent="0.25">
      <c r="A13489" t="s">
        <v>41653</v>
      </c>
      <c r="B13489" t="s">
        <v>41775</v>
      </c>
      <c r="C13489" t="s">
        <v>41776</v>
      </c>
      <c r="D13489" t="s">
        <v>41777</v>
      </c>
      <c r="E13489" t="s">
        <v>41778</v>
      </c>
      <c r="F13489" t="s">
        <v>41779</v>
      </c>
      <c r="G13489" s="2" t="str">
        <f>HYPERLINK("https://probpalata.gov.ru/files/ИП160601147300000.jpeg","Скачать индивидуальный QR-код магазина")</f>
        <v>Скачать индивидуальный QR-код магазина</v>
      </c>
    </row>
    <row r="13490" spans="1:7" x14ac:dyDescent="0.25">
      <c r="A13490" t="s">
        <v>41653</v>
      </c>
      <c r="B13490" t="s">
        <v>41780</v>
      </c>
      <c r="C13490" t="s">
        <v>37599</v>
      </c>
      <c r="D13490" t="s">
        <v>37600</v>
      </c>
      <c r="E13490" t="s">
        <v>37601</v>
      </c>
      <c r="F13490" t="s">
        <v>41781</v>
      </c>
      <c r="G13490" s="2" t="str">
        <f>HYPERLINK("https://probpalata.gov.ru/files/ЮЛ160603245400000.jpeg","Скачать индивидуальный QR-код магазина")</f>
        <v>Скачать индивидуальный QR-код магазина</v>
      </c>
    </row>
    <row r="13491" spans="1:7" x14ac:dyDescent="0.25">
      <c r="A13491" t="s">
        <v>41653</v>
      </c>
      <c r="B13491" t="s">
        <v>41782</v>
      </c>
      <c r="C13491" t="s">
        <v>37599</v>
      </c>
      <c r="D13491" t="s">
        <v>37600</v>
      </c>
      <c r="E13491" t="s">
        <v>37601</v>
      </c>
      <c r="F13491" t="s">
        <v>41783</v>
      </c>
      <c r="G13491" s="2" t="str">
        <f>HYPERLINK("https://probpalata.gov.ru/files/ЮЛ160603245400003.jpeg","Скачать индивидуальный QR-код магазина")</f>
        <v>Скачать индивидуальный QR-код магазина</v>
      </c>
    </row>
    <row r="13492" spans="1:7" x14ac:dyDescent="0.25">
      <c r="A13492" t="s">
        <v>41653</v>
      </c>
      <c r="B13492" t="s">
        <v>41784</v>
      </c>
      <c r="C13492" t="s">
        <v>37599</v>
      </c>
      <c r="D13492" t="s">
        <v>37600</v>
      </c>
      <c r="E13492" t="s">
        <v>37601</v>
      </c>
      <c r="F13492" t="s">
        <v>41785</v>
      </c>
      <c r="G13492" s="2" t="str">
        <f>HYPERLINK("https://probpalata.gov.ru/files/ЮЛ160603245400004.jpeg","Скачать индивидуальный QR-код магазина")</f>
        <v>Скачать индивидуальный QR-код магазина</v>
      </c>
    </row>
    <row r="13493" spans="1:7" x14ac:dyDescent="0.25">
      <c r="A13493" t="s">
        <v>41653</v>
      </c>
      <c r="B13493" t="s">
        <v>41786</v>
      </c>
      <c r="C13493" t="s">
        <v>41787</v>
      </c>
      <c r="D13493" t="s">
        <v>41788</v>
      </c>
      <c r="E13493" t="s">
        <v>41789</v>
      </c>
      <c r="F13493" t="s">
        <v>41790</v>
      </c>
      <c r="G13493" s="2" t="str">
        <f>HYPERLINK("https://probpalata.gov.ru/files/ИП160600826300000.jpeg","Скачать индивидуальный QR-код магазина")</f>
        <v>Скачать индивидуальный QR-код магазина</v>
      </c>
    </row>
    <row r="13494" spans="1:7" x14ac:dyDescent="0.25">
      <c r="A13494" t="s">
        <v>41653</v>
      </c>
      <c r="B13494" t="s">
        <v>41791</v>
      </c>
      <c r="C13494" t="s">
        <v>41792</v>
      </c>
      <c r="D13494" t="s">
        <v>41793</v>
      </c>
      <c r="E13494" t="s">
        <v>41794</v>
      </c>
      <c r="F13494" t="s">
        <v>41795</v>
      </c>
      <c r="G13494" s="2" t="str">
        <f>HYPERLINK("https://probpalata.gov.ru/files/ИП160600052200000.jpeg","Скачать индивидуальный QR-код магазина")</f>
        <v>Скачать индивидуальный QR-код магазина</v>
      </c>
    </row>
    <row r="13495" spans="1:7" x14ac:dyDescent="0.25">
      <c r="A13495" t="s">
        <v>41653</v>
      </c>
      <c r="B13495" t="s">
        <v>41796</v>
      </c>
      <c r="C13495" t="s">
        <v>41797</v>
      </c>
      <c r="D13495" t="s">
        <v>41798</v>
      </c>
      <c r="E13495" t="s">
        <v>41799</v>
      </c>
      <c r="F13495" t="s">
        <v>41800</v>
      </c>
      <c r="G13495" s="2" t="str">
        <f>HYPERLINK("https://probpalata.gov.ru/files/ИП160600561400000.jpeg","Скачать индивидуальный QR-код магазина")</f>
        <v>Скачать индивидуальный QR-код магазина</v>
      </c>
    </row>
    <row r="13496" spans="1:7" x14ac:dyDescent="0.25">
      <c r="A13496" t="s">
        <v>41653</v>
      </c>
      <c r="B13496" t="s">
        <v>41801</v>
      </c>
      <c r="C13496" t="s">
        <v>41797</v>
      </c>
      <c r="D13496" t="s">
        <v>41798</v>
      </c>
      <c r="E13496" t="s">
        <v>41799</v>
      </c>
      <c r="F13496" t="s">
        <v>41802</v>
      </c>
      <c r="G13496" s="2" t="str">
        <f>HYPERLINK("https://probpalata.gov.ru/files/ИП160600561400001.jpeg","Скачать индивидуальный QR-код магазина")</f>
        <v>Скачать индивидуальный QR-код магазина</v>
      </c>
    </row>
    <row r="13497" spans="1:7" x14ac:dyDescent="0.25">
      <c r="A13497" t="s">
        <v>41653</v>
      </c>
      <c r="B13497" t="s">
        <v>41803</v>
      </c>
      <c r="C13497" t="s">
        <v>41804</v>
      </c>
      <c r="D13497" t="s">
        <v>41805</v>
      </c>
      <c r="E13497" t="s">
        <v>41806</v>
      </c>
      <c r="F13497" t="s">
        <v>41807</v>
      </c>
      <c r="G13497" s="2" t="str">
        <f>HYPERLINK("https://probpalata.gov.ru/files/ИП160601869100000.jpeg","Скачать индивидуальный QR-код магазина")</f>
        <v>Скачать индивидуальный QR-код магазина</v>
      </c>
    </row>
    <row r="13498" spans="1:7" x14ac:dyDescent="0.25">
      <c r="A13498" t="s">
        <v>41653</v>
      </c>
      <c r="B13498" t="s">
        <v>41808</v>
      </c>
      <c r="C13498" t="s">
        <v>41809</v>
      </c>
      <c r="D13498" t="s">
        <v>41810</v>
      </c>
      <c r="E13498" t="s">
        <v>41811</v>
      </c>
      <c r="F13498" t="s">
        <v>41812</v>
      </c>
      <c r="G13498" s="2" t="str">
        <f>HYPERLINK("https://probpalata.gov.ru/files/ИП160601421900000.jpeg","Скачать индивидуальный QR-код магазина")</f>
        <v>Скачать индивидуальный QR-код магазина</v>
      </c>
    </row>
    <row r="13499" spans="1:7" x14ac:dyDescent="0.25">
      <c r="A13499" t="s">
        <v>41653</v>
      </c>
      <c r="B13499" t="s">
        <v>41813</v>
      </c>
      <c r="C13499" t="s">
        <v>41814</v>
      </c>
      <c r="D13499" t="s">
        <v>41815</v>
      </c>
      <c r="E13499" t="s">
        <v>41816</v>
      </c>
      <c r="F13499" t="s">
        <v>41817</v>
      </c>
      <c r="G13499" s="2" t="str">
        <f>HYPERLINK("https://probpalata.gov.ru/files/ИП770100217600000.jpeg","Скачать индивидуальный QR-код магазина")</f>
        <v>Скачать индивидуальный QR-код магазина</v>
      </c>
    </row>
    <row r="13500" spans="1:7" x14ac:dyDescent="0.25">
      <c r="A13500" t="s">
        <v>41653</v>
      </c>
      <c r="B13500" t="s">
        <v>41818</v>
      </c>
      <c r="C13500" t="s">
        <v>41819</v>
      </c>
      <c r="D13500" t="s">
        <v>41820</v>
      </c>
      <c r="E13500" t="s">
        <v>41821</v>
      </c>
      <c r="F13500" t="s">
        <v>41822</v>
      </c>
      <c r="G13500" s="2" t="str">
        <f>HYPERLINK("https://probpalata.gov.ru/files/ИП160600237500000.jpeg","Скачать индивидуальный QR-код магазина")</f>
        <v>Скачать индивидуальный QR-код магазина</v>
      </c>
    </row>
    <row r="13501" spans="1:7" x14ac:dyDescent="0.25">
      <c r="A13501" t="s">
        <v>41653</v>
      </c>
      <c r="B13501" t="s">
        <v>41823</v>
      </c>
      <c r="C13501" t="s">
        <v>41824</v>
      </c>
      <c r="D13501" t="s">
        <v>41825</v>
      </c>
      <c r="E13501" t="s">
        <v>41826</v>
      </c>
      <c r="F13501" t="s">
        <v>41827</v>
      </c>
      <c r="G13501" s="2" t="str">
        <f>HYPERLINK("https://probpalata.gov.ru/files/ИП160600803000000.jpeg","Скачать индивидуальный QR-код магазина")</f>
        <v>Скачать индивидуальный QR-код магазина</v>
      </c>
    </row>
    <row r="13502" spans="1:7" x14ac:dyDescent="0.25">
      <c r="A13502" t="s">
        <v>41653</v>
      </c>
      <c r="B13502" t="s">
        <v>41828</v>
      </c>
      <c r="C13502" t="s">
        <v>41829</v>
      </c>
      <c r="D13502" t="s">
        <v>41830</v>
      </c>
      <c r="E13502" t="s">
        <v>41831</v>
      </c>
      <c r="F13502" t="s">
        <v>41832</v>
      </c>
      <c r="G13502" s="2" t="str">
        <f>HYPERLINK("https://probpalata.gov.ru/files/ИП160600231600001.jpeg","Скачать индивидуальный QR-код магазина")</f>
        <v>Скачать индивидуальный QR-код магазина</v>
      </c>
    </row>
    <row r="13503" spans="1:7" x14ac:dyDescent="0.25">
      <c r="A13503" t="s">
        <v>41653</v>
      </c>
      <c r="B13503" t="s">
        <v>41833</v>
      </c>
      <c r="C13503" t="s">
        <v>41829</v>
      </c>
      <c r="D13503" t="s">
        <v>41830</v>
      </c>
      <c r="E13503" t="s">
        <v>41831</v>
      </c>
      <c r="F13503" t="s">
        <v>41834</v>
      </c>
      <c r="G13503" s="2" t="str">
        <f>HYPERLINK("https://probpalata.gov.ru/files/ИП160600231600004.jpeg","Скачать индивидуальный QR-код магазина")</f>
        <v>Скачать индивидуальный QR-код магазина</v>
      </c>
    </row>
    <row r="13504" spans="1:7" x14ac:dyDescent="0.25">
      <c r="A13504" t="s">
        <v>41653</v>
      </c>
      <c r="B13504" t="s">
        <v>41835</v>
      </c>
      <c r="C13504" t="s">
        <v>41829</v>
      </c>
      <c r="D13504" t="s">
        <v>41830</v>
      </c>
      <c r="E13504" t="s">
        <v>41831</v>
      </c>
      <c r="F13504" t="s">
        <v>41836</v>
      </c>
      <c r="G13504" s="2" t="str">
        <f>HYPERLINK("https://probpalata.gov.ru/files/ИП160600231600006.jpeg","Скачать индивидуальный QR-код магазина")</f>
        <v>Скачать индивидуальный QR-код магазина</v>
      </c>
    </row>
    <row r="13505" spans="1:7" x14ac:dyDescent="0.25">
      <c r="A13505" t="s">
        <v>41653</v>
      </c>
      <c r="B13505" t="s">
        <v>41837</v>
      </c>
      <c r="C13505" t="s">
        <v>41829</v>
      </c>
      <c r="D13505" t="s">
        <v>41830</v>
      </c>
      <c r="E13505" t="s">
        <v>41831</v>
      </c>
      <c r="F13505" t="s">
        <v>41838</v>
      </c>
      <c r="G13505" s="2" t="str">
        <f>HYPERLINK("https://probpalata.gov.ru/files/ИП160600231600007.jpeg","Скачать индивидуальный QR-код магазина")</f>
        <v>Скачать индивидуальный QR-код магазина</v>
      </c>
    </row>
    <row r="13506" spans="1:7" x14ac:dyDescent="0.25">
      <c r="A13506" t="s">
        <v>41653</v>
      </c>
      <c r="B13506" t="s">
        <v>41839</v>
      </c>
      <c r="C13506" t="s">
        <v>41829</v>
      </c>
      <c r="D13506" t="s">
        <v>41830</v>
      </c>
      <c r="E13506" t="s">
        <v>41831</v>
      </c>
      <c r="F13506" t="s">
        <v>41840</v>
      </c>
      <c r="G13506" s="2" t="str">
        <f>HYPERLINK("https://probpalata.gov.ru/files/ИП160600231600008.jpeg","Скачать индивидуальный QR-код магазина")</f>
        <v>Скачать индивидуальный QR-код магазина</v>
      </c>
    </row>
    <row r="13507" spans="1:7" x14ac:dyDescent="0.25">
      <c r="A13507" t="s">
        <v>41653</v>
      </c>
      <c r="B13507" t="s">
        <v>41841</v>
      </c>
      <c r="C13507" t="s">
        <v>41829</v>
      </c>
      <c r="D13507" t="s">
        <v>41830</v>
      </c>
      <c r="E13507" t="s">
        <v>41831</v>
      </c>
      <c r="F13507" t="s">
        <v>41842</v>
      </c>
      <c r="G13507" s="2" t="str">
        <f>HYPERLINK("https://probpalata.gov.ru/files/ИП160600231600010.jpeg","Скачать индивидуальный QR-код магазина")</f>
        <v>Скачать индивидуальный QR-код магазина</v>
      </c>
    </row>
    <row r="13508" spans="1:7" x14ac:dyDescent="0.25">
      <c r="A13508" t="s">
        <v>41653</v>
      </c>
      <c r="B13508" t="s">
        <v>41843</v>
      </c>
      <c r="C13508" t="s">
        <v>41829</v>
      </c>
      <c r="D13508" t="s">
        <v>41830</v>
      </c>
      <c r="E13508" t="s">
        <v>41831</v>
      </c>
      <c r="F13508" t="s">
        <v>41844</v>
      </c>
      <c r="G13508" s="2" t="str">
        <f>HYPERLINK("https://probpalata.gov.ru/files/ИП160600231600011.jpeg","Скачать индивидуальный QR-код магазина")</f>
        <v>Скачать индивидуальный QR-код магазина</v>
      </c>
    </row>
    <row r="13509" spans="1:7" x14ac:dyDescent="0.25">
      <c r="A13509" t="s">
        <v>41653</v>
      </c>
      <c r="B13509" t="s">
        <v>41845</v>
      </c>
      <c r="C13509" t="s">
        <v>41829</v>
      </c>
      <c r="D13509" t="s">
        <v>41830</v>
      </c>
      <c r="E13509" t="s">
        <v>41831</v>
      </c>
      <c r="F13509" t="s">
        <v>41846</v>
      </c>
      <c r="G13509" s="2" t="str">
        <f>HYPERLINK("https://probpalata.gov.ru/files/ИП160600231600012.jpeg","Скачать индивидуальный QR-код магазина")</f>
        <v>Скачать индивидуальный QR-код магазина</v>
      </c>
    </row>
    <row r="13510" spans="1:7" x14ac:dyDescent="0.25">
      <c r="A13510" t="s">
        <v>41653</v>
      </c>
      <c r="B13510" t="s">
        <v>41847</v>
      </c>
      <c r="C13510" t="s">
        <v>41829</v>
      </c>
      <c r="D13510" t="s">
        <v>41830</v>
      </c>
      <c r="E13510" t="s">
        <v>41831</v>
      </c>
      <c r="F13510" t="s">
        <v>41848</v>
      </c>
      <c r="G13510" s="2" t="str">
        <f>HYPERLINK("https://probpalata.gov.ru/files/ИП160600231600013.jpeg","Скачать индивидуальный QR-код магазина")</f>
        <v>Скачать индивидуальный QR-код магазина</v>
      </c>
    </row>
    <row r="13511" spans="1:7" x14ac:dyDescent="0.25">
      <c r="A13511" t="s">
        <v>41653</v>
      </c>
      <c r="B13511" t="s">
        <v>41849</v>
      </c>
      <c r="C13511" t="s">
        <v>41850</v>
      </c>
      <c r="D13511" t="s">
        <v>41851</v>
      </c>
      <c r="E13511" t="s">
        <v>41852</v>
      </c>
      <c r="F13511" t="s">
        <v>41853</v>
      </c>
      <c r="G13511" s="2" t="str">
        <f>HYPERLINK("https://probpalata.gov.ru/files/ИП160603442500003.jpeg","Скачать индивидуальный QR-код магазина")</f>
        <v>Скачать индивидуальный QR-код магазина</v>
      </c>
    </row>
    <row r="13512" spans="1:7" x14ac:dyDescent="0.25">
      <c r="A13512" t="s">
        <v>41653</v>
      </c>
      <c r="B13512" t="s">
        <v>41854</v>
      </c>
      <c r="C13512" t="s">
        <v>41855</v>
      </c>
      <c r="D13512" t="s">
        <v>41856</v>
      </c>
      <c r="E13512" t="s">
        <v>41857</v>
      </c>
      <c r="F13512" t="s">
        <v>41858</v>
      </c>
      <c r="G13512" s="2" t="str">
        <f>HYPERLINK("https://probpalata.gov.ru/files/ИП230403445800000.jpeg","Скачать индивидуальный QR-код магазина")</f>
        <v>Скачать индивидуальный QR-код магазина</v>
      </c>
    </row>
    <row r="13513" spans="1:7" x14ac:dyDescent="0.25">
      <c r="A13513" t="s">
        <v>41653</v>
      </c>
      <c r="B13513" t="s">
        <v>41859</v>
      </c>
      <c r="C13513" t="s">
        <v>41860</v>
      </c>
      <c r="D13513" t="s">
        <v>41861</v>
      </c>
      <c r="E13513" t="s">
        <v>41862</v>
      </c>
      <c r="F13513" t="s">
        <v>41863</v>
      </c>
      <c r="G13513" s="2" t="str">
        <f>HYPERLINK("https://probpalata.gov.ru/files/ИП160600260200000.jpeg","Скачать индивидуальный QR-код магазина")</f>
        <v>Скачать индивидуальный QR-код магазина</v>
      </c>
    </row>
    <row r="13514" spans="1:7" x14ac:dyDescent="0.25">
      <c r="A13514" t="s">
        <v>41653</v>
      </c>
      <c r="B13514" t="s">
        <v>41864</v>
      </c>
      <c r="C13514" t="s">
        <v>41865</v>
      </c>
      <c r="D13514" t="s">
        <v>41866</v>
      </c>
      <c r="E13514" t="s">
        <v>41867</v>
      </c>
      <c r="F13514" t="s">
        <v>41868</v>
      </c>
      <c r="G13514" s="2" t="str">
        <f>HYPERLINK("https://probpalata.gov.ru/files/ИП160603356200000.jpeg","Скачать индивидуальный QR-код магазина")</f>
        <v>Скачать индивидуальный QR-код магазина</v>
      </c>
    </row>
    <row r="13515" spans="1:7" x14ac:dyDescent="0.25">
      <c r="A13515" t="s">
        <v>41653</v>
      </c>
      <c r="B13515" t="s">
        <v>41869</v>
      </c>
      <c r="C13515" t="s">
        <v>41870</v>
      </c>
      <c r="D13515" t="s">
        <v>41871</v>
      </c>
      <c r="E13515" t="s">
        <v>41872</v>
      </c>
      <c r="F13515" t="s">
        <v>41873</v>
      </c>
      <c r="G13515" s="2" t="str">
        <f>HYPERLINK("https://probpalata.gov.ru/files/ИП160600964400000.jpeg","Скачать индивидуальный QR-код магазина")</f>
        <v>Скачать индивидуальный QR-код магазина</v>
      </c>
    </row>
    <row r="13516" spans="1:7" x14ac:dyDescent="0.25">
      <c r="A13516" t="s">
        <v>41653</v>
      </c>
      <c r="B13516" t="s">
        <v>41874</v>
      </c>
      <c r="C13516" t="s">
        <v>41875</v>
      </c>
      <c r="D13516" t="s">
        <v>41876</v>
      </c>
      <c r="E13516" t="s">
        <v>41877</v>
      </c>
      <c r="F13516" t="s">
        <v>41878</v>
      </c>
      <c r="G13516" s="2" t="str">
        <f>HYPERLINK("https://probpalata.gov.ru/files/ИП160604004500000.jpeg","Скачать индивидуальный QR-код магазина")</f>
        <v>Скачать индивидуальный QR-код магазина</v>
      </c>
    </row>
    <row r="13517" spans="1:7" x14ac:dyDescent="0.25">
      <c r="A13517" t="s">
        <v>41653</v>
      </c>
      <c r="B13517" t="s">
        <v>41879</v>
      </c>
      <c r="C13517" t="s">
        <v>41875</v>
      </c>
      <c r="D13517" t="s">
        <v>41876</v>
      </c>
      <c r="E13517" t="s">
        <v>41877</v>
      </c>
      <c r="F13517" t="s">
        <v>41880</v>
      </c>
      <c r="G13517" s="2" t="str">
        <f>HYPERLINK("https://probpalata.gov.ru/files/ИП160604004500001.jpeg","Скачать индивидуальный QR-код магазина")</f>
        <v>Скачать индивидуальный QR-код магазина</v>
      </c>
    </row>
    <row r="13518" spans="1:7" x14ac:dyDescent="0.25">
      <c r="A13518" t="s">
        <v>41653</v>
      </c>
      <c r="B13518" t="s">
        <v>41881</v>
      </c>
      <c r="C13518" t="s">
        <v>41882</v>
      </c>
      <c r="D13518" t="s">
        <v>41883</v>
      </c>
      <c r="E13518" t="s">
        <v>41884</v>
      </c>
      <c r="F13518" t="s">
        <v>41885</v>
      </c>
      <c r="G13518" s="2" t="str">
        <f>HYPERLINK("https://probpalata.gov.ru/files/ИП160600097800001.jpeg","Скачать индивидуальный QR-код магазина")</f>
        <v>Скачать индивидуальный QR-код магазина</v>
      </c>
    </row>
    <row r="13519" spans="1:7" x14ac:dyDescent="0.25">
      <c r="A13519" t="s">
        <v>41653</v>
      </c>
      <c r="B13519" t="s">
        <v>41886</v>
      </c>
      <c r="C13519" t="s">
        <v>41887</v>
      </c>
      <c r="D13519" t="s">
        <v>41888</v>
      </c>
      <c r="E13519" t="s">
        <v>41889</v>
      </c>
      <c r="F13519" t="s">
        <v>41890</v>
      </c>
      <c r="G13519" s="2" t="str">
        <f>HYPERLINK("https://probpalata.gov.ru/files/ИП160600411200000.jpeg","Скачать индивидуальный QR-код магазина")</f>
        <v>Скачать индивидуальный QR-код магазина</v>
      </c>
    </row>
    <row r="13520" spans="1:7" x14ac:dyDescent="0.25">
      <c r="A13520" t="s">
        <v>41653</v>
      </c>
      <c r="B13520" t="s">
        <v>41891</v>
      </c>
      <c r="C13520" t="s">
        <v>41892</v>
      </c>
      <c r="D13520" t="s">
        <v>41893</v>
      </c>
      <c r="E13520" t="s">
        <v>41894</v>
      </c>
      <c r="F13520" t="s">
        <v>41895</v>
      </c>
      <c r="G13520" s="2" t="str">
        <f>HYPERLINK("https://probpalata.gov.ru/files/ИП160603152700000.jpeg","Скачать индивидуальный QR-код магазина")</f>
        <v>Скачать индивидуальный QR-код магазина</v>
      </c>
    </row>
    <row r="13521" spans="1:7" x14ac:dyDescent="0.25">
      <c r="A13521" t="s">
        <v>41653</v>
      </c>
      <c r="B13521" t="s">
        <v>41896</v>
      </c>
      <c r="C13521" t="s">
        <v>41892</v>
      </c>
      <c r="D13521" t="s">
        <v>41893</v>
      </c>
      <c r="E13521" t="s">
        <v>41894</v>
      </c>
      <c r="F13521" t="s">
        <v>41897</v>
      </c>
      <c r="G13521" s="2" t="str">
        <f>HYPERLINK("https://probpalata.gov.ru/files/ИП160603152700001.jpeg","Скачать индивидуальный QR-код магазина")</f>
        <v>Скачать индивидуальный QR-код магазина</v>
      </c>
    </row>
    <row r="13522" spans="1:7" x14ac:dyDescent="0.25">
      <c r="A13522" t="s">
        <v>41653</v>
      </c>
      <c r="B13522" t="s">
        <v>41898</v>
      </c>
      <c r="C13522" t="s">
        <v>41899</v>
      </c>
      <c r="D13522" t="s">
        <v>41900</v>
      </c>
      <c r="E13522" t="s">
        <v>41901</v>
      </c>
      <c r="F13522" t="s">
        <v>41902</v>
      </c>
      <c r="G13522" s="2" t="str">
        <f>HYPERLINK("https://probpalata.gov.ru/files/ИП160600777600000.jpeg","Скачать индивидуальный QR-код магазина")</f>
        <v>Скачать индивидуальный QR-код магазина</v>
      </c>
    </row>
    <row r="13523" spans="1:7" x14ac:dyDescent="0.25">
      <c r="A13523" t="s">
        <v>41653</v>
      </c>
      <c r="B13523" t="s">
        <v>41903</v>
      </c>
      <c r="C13523" t="s">
        <v>41904</v>
      </c>
      <c r="D13523" t="s">
        <v>41905</v>
      </c>
      <c r="E13523" t="s">
        <v>41906</v>
      </c>
      <c r="F13523" t="s">
        <v>41907</v>
      </c>
      <c r="G13523" s="2" t="str">
        <f>HYPERLINK("https://probpalata.gov.ru/files/ИП160601287100000.jpeg","Скачать индивидуальный QR-код магазина")</f>
        <v>Скачать индивидуальный QR-код магазина</v>
      </c>
    </row>
    <row r="13524" spans="1:7" x14ac:dyDescent="0.25">
      <c r="A13524" t="s">
        <v>41653</v>
      </c>
      <c r="B13524" t="s">
        <v>41908</v>
      </c>
      <c r="C13524" t="s">
        <v>41904</v>
      </c>
      <c r="D13524" t="s">
        <v>41905</v>
      </c>
      <c r="E13524" t="s">
        <v>41906</v>
      </c>
      <c r="F13524" t="s">
        <v>41909</v>
      </c>
      <c r="G13524" s="2" t="str">
        <f>HYPERLINK("https://probpalata.gov.ru/files/ИП160601287100001.jpeg","Скачать индивидуальный QR-код магазина")</f>
        <v>Скачать индивидуальный QR-код магазина</v>
      </c>
    </row>
    <row r="13525" spans="1:7" x14ac:dyDescent="0.25">
      <c r="A13525" t="s">
        <v>41653</v>
      </c>
      <c r="B13525" t="s">
        <v>41828</v>
      </c>
      <c r="C13525" t="s">
        <v>41910</v>
      </c>
      <c r="D13525" t="s">
        <v>41911</v>
      </c>
      <c r="E13525" t="s">
        <v>41912</v>
      </c>
      <c r="F13525" t="s">
        <v>41913</v>
      </c>
      <c r="G13525" s="2" t="str">
        <f>HYPERLINK("https://probpalata.gov.ru/files/ИП160601350400000.jpeg","Скачать индивидуальный QR-код магазина")</f>
        <v>Скачать индивидуальный QR-код магазина</v>
      </c>
    </row>
    <row r="13526" spans="1:7" x14ac:dyDescent="0.25">
      <c r="A13526" t="s">
        <v>41653</v>
      </c>
      <c r="B13526" t="s">
        <v>41886</v>
      </c>
      <c r="C13526" t="s">
        <v>41914</v>
      </c>
      <c r="D13526" t="s">
        <v>41915</v>
      </c>
      <c r="E13526" t="s">
        <v>41916</v>
      </c>
      <c r="F13526" t="s">
        <v>41917</v>
      </c>
      <c r="G13526" s="2" t="str">
        <f>HYPERLINK("https://probpalata.gov.ru/files/ИП160603271400001.jpeg","Скачать индивидуальный QR-код магазина")</f>
        <v>Скачать индивидуальный QR-код магазина</v>
      </c>
    </row>
    <row r="13527" spans="1:7" x14ac:dyDescent="0.25">
      <c r="A13527" t="s">
        <v>41653</v>
      </c>
      <c r="B13527" t="s">
        <v>41918</v>
      </c>
      <c r="C13527" t="s">
        <v>41914</v>
      </c>
      <c r="D13527" t="s">
        <v>41915</v>
      </c>
      <c r="E13527" t="s">
        <v>41916</v>
      </c>
      <c r="F13527" t="s">
        <v>41919</v>
      </c>
      <c r="G13527" s="2" t="str">
        <f>HYPERLINK("https://probpalata.gov.ru/files/ИП160603271400002.jpeg","Скачать индивидуальный QR-код магазина")</f>
        <v>Скачать индивидуальный QR-код магазина</v>
      </c>
    </row>
    <row r="13528" spans="1:7" x14ac:dyDescent="0.25">
      <c r="A13528" t="s">
        <v>41653</v>
      </c>
      <c r="B13528" t="s">
        <v>41828</v>
      </c>
      <c r="C13528" t="s">
        <v>41914</v>
      </c>
      <c r="D13528" t="s">
        <v>41915</v>
      </c>
      <c r="E13528" t="s">
        <v>41916</v>
      </c>
      <c r="F13528" t="s">
        <v>41920</v>
      </c>
      <c r="G13528" s="2" t="str">
        <f>HYPERLINK("https://probpalata.gov.ru/files/ИП160603271400003.jpeg","Скачать индивидуальный QR-код магазина")</f>
        <v>Скачать индивидуальный QR-код магазина</v>
      </c>
    </row>
    <row r="13529" spans="1:7" x14ac:dyDescent="0.25">
      <c r="A13529" t="s">
        <v>41653</v>
      </c>
      <c r="B13529" t="s">
        <v>41921</v>
      </c>
      <c r="C13529" t="s">
        <v>41914</v>
      </c>
      <c r="D13529" t="s">
        <v>41915</v>
      </c>
      <c r="E13529" t="s">
        <v>41916</v>
      </c>
      <c r="F13529" t="s">
        <v>41922</v>
      </c>
      <c r="G13529" s="2" t="str">
        <f>HYPERLINK("https://probpalata.gov.ru/files/ИП160603271400005.jpeg","Скачать индивидуальный QR-код магазина")</f>
        <v>Скачать индивидуальный QR-код магазина</v>
      </c>
    </row>
    <row r="13530" spans="1:7" x14ac:dyDescent="0.25">
      <c r="A13530" t="s">
        <v>41653</v>
      </c>
      <c r="B13530" t="s">
        <v>41923</v>
      </c>
      <c r="C13530" t="s">
        <v>41924</v>
      </c>
      <c r="D13530" t="s">
        <v>41925</v>
      </c>
      <c r="E13530" t="s">
        <v>41926</v>
      </c>
      <c r="F13530" t="s">
        <v>41927</v>
      </c>
      <c r="G13530" s="2" t="str">
        <f>HYPERLINK("https://probpalata.gov.ru/files/ИП160604064500000.jpeg","Скачать индивидуальный QR-код магазина")</f>
        <v>Скачать индивидуальный QR-код магазина</v>
      </c>
    </row>
    <row r="13531" spans="1:7" x14ac:dyDescent="0.25">
      <c r="A13531" t="s">
        <v>41653</v>
      </c>
      <c r="B13531" t="s">
        <v>41928</v>
      </c>
      <c r="C13531" t="s">
        <v>37604</v>
      </c>
      <c r="D13531" t="s">
        <v>37605</v>
      </c>
      <c r="E13531" t="s">
        <v>37606</v>
      </c>
      <c r="F13531" t="s">
        <v>41929</v>
      </c>
      <c r="G13531" s="2" t="str">
        <f>HYPERLINK("https://probpalata.gov.ru/files/ЮЛ160600086600000.jpeg","Скачать индивидуальный QR-код магазина")</f>
        <v>Скачать индивидуальный QR-код магазина</v>
      </c>
    </row>
    <row r="13532" spans="1:7" x14ac:dyDescent="0.25">
      <c r="A13532" t="s">
        <v>41653</v>
      </c>
      <c r="B13532" t="s">
        <v>41930</v>
      </c>
      <c r="C13532" t="s">
        <v>41931</v>
      </c>
      <c r="D13532" t="s">
        <v>41932</v>
      </c>
      <c r="E13532" t="s">
        <v>41933</v>
      </c>
      <c r="F13532" t="s">
        <v>41934</v>
      </c>
      <c r="G13532" s="2" t="str">
        <f>HYPERLINK("https://probpalata.gov.ru/files/ЮЛ160600138900000.jpeg","Скачать индивидуальный QR-код магазина")</f>
        <v>Скачать индивидуальный QR-код магазина</v>
      </c>
    </row>
    <row r="13533" spans="1:7" x14ac:dyDescent="0.25">
      <c r="A13533" t="s">
        <v>41653</v>
      </c>
      <c r="B13533" t="s">
        <v>41935</v>
      </c>
      <c r="C13533" t="s">
        <v>41936</v>
      </c>
      <c r="D13533" t="s">
        <v>41937</v>
      </c>
      <c r="E13533" t="s">
        <v>41938</v>
      </c>
      <c r="F13533" t="s">
        <v>41939</v>
      </c>
      <c r="G13533" s="2" t="str">
        <f>HYPERLINK("https://probpalata.gov.ru/files/ИП160603321100000.jpeg","Скачать индивидуальный QR-код магазина")</f>
        <v>Скачать индивидуальный QR-код магазина</v>
      </c>
    </row>
    <row r="13534" spans="1:7" x14ac:dyDescent="0.25">
      <c r="A13534" t="s">
        <v>41653</v>
      </c>
      <c r="B13534" t="s">
        <v>41940</v>
      </c>
      <c r="C13534" t="s">
        <v>41941</v>
      </c>
      <c r="D13534" t="s">
        <v>41942</v>
      </c>
      <c r="E13534" t="s">
        <v>41943</v>
      </c>
      <c r="F13534" t="s">
        <v>41944</v>
      </c>
      <c r="G13534" s="2" t="str">
        <f>HYPERLINK("https://probpalata.gov.ru/files/ЮЛ160603798500000.jpeg","Скачать индивидуальный QR-код магазина")</f>
        <v>Скачать индивидуальный QR-код магазина</v>
      </c>
    </row>
    <row r="13535" spans="1:7" x14ac:dyDescent="0.25">
      <c r="A13535" t="s">
        <v>41653</v>
      </c>
      <c r="B13535" t="s">
        <v>41945</v>
      </c>
      <c r="C13535" t="s">
        <v>41946</v>
      </c>
      <c r="D13535" t="s">
        <v>41947</v>
      </c>
      <c r="E13535" t="s">
        <v>41948</v>
      </c>
      <c r="F13535" t="s">
        <v>41949</v>
      </c>
      <c r="G13535" s="2" t="str">
        <f>HYPERLINK("https://probpalata.gov.ru/files/ИП160601257900000.jpeg","Скачать индивидуальный QR-код магазина")</f>
        <v>Скачать индивидуальный QR-код магазина</v>
      </c>
    </row>
    <row r="13536" spans="1:7" x14ac:dyDescent="0.25">
      <c r="A13536" t="s">
        <v>41653</v>
      </c>
      <c r="B13536" t="s">
        <v>41950</v>
      </c>
      <c r="C13536" t="s">
        <v>41951</v>
      </c>
      <c r="D13536" t="s">
        <v>41952</v>
      </c>
      <c r="E13536" t="s">
        <v>41953</v>
      </c>
      <c r="F13536" t="s">
        <v>41954</v>
      </c>
      <c r="G13536" s="2" t="str">
        <f>HYPERLINK("https://probpalata.gov.ru/files/ИП160603216600000.jpeg","Скачать индивидуальный QR-код магазина")</f>
        <v>Скачать индивидуальный QR-код магазина</v>
      </c>
    </row>
    <row r="13537" spans="1:7" x14ac:dyDescent="0.25">
      <c r="A13537" t="s">
        <v>41653</v>
      </c>
      <c r="B13537" t="s">
        <v>41955</v>
      </c>
      <c r="C13537" t="s">
        <v>41956</v>
      </c>
      <c r="D13537" t="s">
        <v>41957</v>
      </c>
      <c r="E13537" t="s">
        <v>41958</v>
      </c>
      <c r="F13537" t="s">
        <v>41959</v>
      </c>
      <c r="G13537" s="2" t="str">
        <f>HYPERLINK("https://probpalata.gov.ru/files/ИП160601111900000.jpeg","Скачать индивидуальный QR-код магазина")</f>
        <v>Скачать индивидуальный QR-код магазина</v>
      </c>
    </row>
    <row r="13538" spans="1:7" x14ac:dyDescent="0.25">
      <c r="A13538" t="s">
        <v>41653</v>
      </c>
      <c r="B13538" t="s">
        <v>41960</v>
      </c>
      <c r="C13538" t="s">
        <v>41961</v>
      </c>
      <c r="D13538" t="s">
        <v>41962</v>
      </c>
      <c r="E13538" t="s">
        <v>41963</v>
      </c>
      <c r="F13538" t="s">
        <v>41964</v>
      </c>
      <c r="G13538" s="2" t="str">
        <f>HYPERLINK("https://probpalata.gov.ru/files/ИП160603314500000.jpeg","Скачать индивидуальный QR-код магазина")</f>
        <v>Скачать индивидуальный QR-код магазина</v>
      </c>
    </row>
    <row r="13539" spans="1:7" x14ac:dyDescent="0.25">
      <c r="A13539" t="s">
        <v>41653</v>
      </c>
      <c r="B13539" t="s">
        <v>41965</v>
      </c>
      <c r="C13539" t="s">
        <v>41966</v>
      </c>
      <c r="D13539" t="s">
        <v>41967</v>
      </c>
      <c r="E13539" t="s">
        <v>41968</v>
      </c>
      <c r="F13539" t="s">
        <v>41969</v>
      </c>
      <c r="G13539" s="2" t="str">
        <f>HYPERLINK("https://probpalata.gov.ru/files/ИП160603167700000.jpeg","Скачать индивидуальный QR-код магазина")</f>
        <v>Скачать индивидуальный QR-код магазина</v>
      </c>
    </row>
    <row r="13540" spans="1:7" x14ac:dyDescent="0.25">
      <c r="A13540" t="s">
        <v>41653</v>
      </c>
      <c r="B13540" t="s">
        <v>41970</v>
      </c>
      <c r="C13540" t="s">
        <v>41971</v>
      </c>
      <c r="D13540" t="s">
        <v>41972</v>
      </c>
      <c r="E13540" t="s">
        <v>41973</v>
      </c>
      <c r="F13540" t="s">
        <v>41974</v>
      </c>
      <c r="G13540" s="2" t="str">
        <f>HYPERLINK("https://probpalata.gov.ru/files/ИП160601705500000.jpeg","Скачать индивидуальный QR-код магазина")</f>
        <v>Скачать индивидуальный QR-код магазина</v>
      </c>
    </row>
    <row r="13541" spans="1:7" x14ac:dyDescent="0.25">
      <c r="A13541" t="s">
        <v>41653</v>
      </c>
      <c r="B13541" t="s">
        <v>41975</v>
      </c>
      <c r="C13541" t="s">
        <v>41976</v>
      </c>
      <c r="D13541" t="s">
        <v>41977</v>
      </c>
      <c r="E13541" t="s">
        <v>41978</v>
      </c>
      <c r="F13541" t="s">
        <v>41979</v>
      </c>
      <c r="G13541" s="2" t="str">
        <f>HYPERLINK("https://probpalata.gov.ru/files/ИП160603510100000.jpeg","Скачать индивидуальный QR-код магазина")</f>
        <v>Скачать индивидуальный QR-код магазина</v>
      </c>
    </row>
    <row r="13542" spans="1:7" x14ac:dyDescent="0.25">
      <c r="A13542" t="s">
        <v>41653</v>
      </c>
      <c r="B13542" t="s">
        <v>41980</v>
      </c>
      <c r="C13542" t="s">
        <v>41981</v>
      </c>
      <c r="D13542" t="s">
        <v>41982</v>
      </c>
      <c r="E13542" t="s">
        <v>41983</v>
      </c>
      <c r="F13542" t="s">
        <v>41984</v>
      </c>
      <c r="G13542" s="2" t="str">
        <f>HYPERLINK("https://probpalata.gov.ru/files/ИП160600218400000.jpeg","Скачать индивидуальный QR-код магазина")</f>
        <v>Скачать индивидуальный QR-код магазина</v>
      </c>
    </row>
    <row r="13543" spans="1:7" x14ac:dyDescent="0.25">
      <c r="A13543" t="s">
        <v>41653</v>
      </c>
      <c r="B13543" t="s">
        <v>41985</v>
      </c>
      <c r="C13543" t="s">
        <v>41986</v>
      </c>
      <c r="D13543" t="s">
        <v>41987</v>
      </c>
      <c r="E13543" t="s">
        <v>41988</v>
      </c>
      <c r="F13543" t="s">
        <v>41989</v>
      </c>
      <c r="G13543" s="2" t="str">
        <f>HYPERLINK("https://probpalata.gov.ru/files/ИП160600507800000.jpeg","Скачать индивидуальный QR-код магазина")</f>
        <v>Скачать индивидуальный QR-код магазина</v>
      </c>
    </row>
    <row r="13544" spans="1:7" x14ac:dyDescent="0.25">
      <c r="A13544" t="s">
        <v>41653</v>
      </c>
      <c r="B13544" t="s">
        <v>41990</v>
      </c>
      <c r="C13544" t="s">
        <v>41986</v>
      </c>
      <c r="D13544" t="s">
        <v>41987</v>
      </c>
      <c r="E13544" t="s">
        <v>41988</v>
      </c>
      <c r="F13544" t="s">
        <v>41991</v>
      </c>
      <c r="G13544" s="2" t="str">
        <f>HYPERLINK("https://probpalata.gov.ru/files/ИП160600507800001.jpeg","Скачать индивидуальный QR-код магазина")</f>
        <v>Скачать индивидуальный QR-код магазина</v>
      </c>
    </row>
    <row r="13545" spans="1:7" x14ac:dyDescent="0.25">
      <c r="A13545" t="s">
        <v>41653</v>
      </c>
      <c r="B13545" t="s">
        <v>41992</v>
      </c>
      <c r="C13545" t="s">
        <v>41993</v>
      </c>
      <c r="D13545" t="s">
        <v>41994</v>
      </c>
      <c r="E13545" t="s">
        <v>41995</v>
      </c>
      <c r="F13545" t="s">
        <v>41996</v>
      </c>
      <c r="G13545" s="2" t="str">
        <f>HYPERLINK("https://probpalata.gov.ru/files/ИП160603273600000.jpeg","Скачать индивидуальный QR-код магазина")</f>
        <v>Скачать индивидуальный QR-код магазина</v>
      </c>
    </row>
    <row r="13546" spans="1:7" x14ac:dyDescent="0.25">
      <c r="A13546" t="s">
        <v>41653</v>
      </c>
      <c r="B13546" t="s">
        <v>41997</v>
      </c>
      <c r="C13546" t="s">
        <v>41998</v>
      </c>
      <c r="D13546" t="s">
        <v>41999</v>
      </c>
      <c r="E13546" t="s">
        <v>42000</v>
      </c>
      <c r="F13546" t="s">
        <v>42001</v>
      </c>
      <c r="G13546" s="2" t="str">
        <f>HYPERLINK("https://probpalata.gov.ru/files/ИП160603479300000.jpeg","Скачать индивидуальный QR-код магазина")</f>
        <v>Скачать индивидуальный QR-код магазина</v>
      </c>
    </row>
    <row r="13547" spans="1:7" x14ac:dyDescent="0.25">
      <c r="A13547" t="s">
        <v>41653</v>
      </c>
      <c r="B13547" t="s">
        <v>42002</v>
      </c>
      <c r="C13547" t="s">
        <v>42003</v>
      </c>
      <c r="D13547" t="s">
        <v>42004</v>
      </c>
      <c r="E13547" t="s">
        <v>42005</v>
      </c>
      <c r="F13547" t="s">
        <v>42006</v>
      </c>
      <c r="G13547" s="2" t="str">
        <f>HYPERLINK("https://probpalata.gov.ru/files/ИП160603160400000.jpeg","Скачать индивидуальный QR-код магазина")</f>
        <v>Скачать индивидуальный QR-код магазина</v>
      </c>
    </row>
    <row r="13548" spans="1:7" x14ac:dyDescent="0.25">
      <c r="A13548" t="s">
        <v>41653</v>
      </c>
      <c r="B13548" t="s">
        <v>42007</v>
      </c>
      <c r="C13548" t="s">
        <v>42003</v>
      </c>
      <c r="D13548" t="s">
        <v>42004</v>
      </c>
      <c r="E13548" t="s">
        <v>42005</v>
      </c>
      <c r="F13548" t="s">
        <v>42008</v>
      </c>
      <c r="G13548" s="2" t="str">
        <f>HYPERLINK("https://probpalata.gov.ru/files/ИП160603160400001.jpeg","Скачать индивидуальный QR-код магазина")</f>
        <v>Скачать индивидуальный QR-код магазина</v>
      </c>
    </row>
    <row r="13549" spans="1:7" x14ac:dyDescent="0.25">
      <c r="A13549" t="s">
        <v>41653</v>
      </c>
      <c r="B13549" t="s">
        <v>42009</v>
      </c>
      <c r="C13549" t="s">
        <v>42010</v>
      </c>
      <c r="D13549" t="s">
        <v>42011</v>
      </c>
      <c r="E13549" t="s">
        <v>42012</v>
      </c>
      <c r="F13549" t="s">
        <v>42013</v>
      </c>
      <c r="G13549" s="2" t="str">
        <f>HYPERLINK("https://probpalata.gov.ru/files/ИП160603347200000.jpeg","Скачать индивидуальный QR-код магазина")</f>
        <v>Скачать индивидуальный QR-код магазина</v>
      </c>
    </row>
    <row r="13550" spans="1:7" x14ac:dyDescent="0.25">
      <c r="A13550" t="s">
        <v>41653</v>
      </c>
      <c r="B13550" t="s">
        <v>42014</v>
      </c>
      <c r="C13550" t="s">
        <v>42015</v>
      </c>
      <c r="D13550" t="s">
        <v>42016</v>
      </c>
      <c r="E13550" t="s">
        <v>42017</v>
      </c>
      <c r="F13550" t="s">
        <v>42018</v>
      </c>
      <c r="G13550" s="2" t="str">
        <f>HYPERLINK("https://probpalata.gov.ru/files/ИП180601157300003.jpeg","Скачать индивидуальный QR-код магазина")</f>
        <v>Скачать индивидуальный QR-код магазина</v>
      </c>
    </row>
    <row r="13551" spans="1:7" x14ac:dyDescent="0.25">
      <c r="A13551" t="s">
        <v>41653</v>
      </c>
      <c r="B13551" t="s">
        <v>42019</v>
      </c>
      <c r="C13551" t="s">
        <v>42015</v>
      </c>
      <c r="D13551" t="s">
        <v>42016</v>
      </c>
      <c r="E13551" t="s">
        <v>42017</v>
      </c>
      <c r="F13551" t="s">
        <v>42020</v>
      </c>
      <c r="G13551" s="2" t="str">
        <f>HYPERLINK("https://probpalata.gov.ru/files/ИП180601157300004.jpeg","Скачать индивидуальный QR-код магазина")</f>
        <v>Скачать индивидуальный QR-код магазина</v>
      </c>
    </row>
    <row r="13552" spans="1:7" x14ac:dyDescent="0.25">
      <c r="A13552" t="s">
        <v>41653</v>
      </c>
      <c r="B13552" t="s">
        <v>42021</v>
      </c>
      <c r="C13552" t="s">
        <v>42015</v>
      </c>
      <c r="D13552" t="s">
        <v>42016</v>
      </c>
      <c r="E13552" t="s">
        <v>42017</v>
      </c>
      <c r="F13552" t="s">
        <v>42022</v>
      </c>
      <c r="G13552" s="2" t="str">
        <f>HYPERLINK("https://probpalata.gov.ru/files/ИП180601157300005.jpeg","Скачать индивидуальный QR-код магазина")</f>
        <v>Скачать индивидуальный QR-код магазина</v>
      </c>
    </row>
    <row r="13553" spans="1:7" x14ac:dyDescent="0.25">
      <c r="A13553" t="s">
        <v>41653</v>
      </c>
      <c r="B13553" t="s">
        <v>42023</v>
      </c>
      <c r="C13553" t="s">
        <v>42015</v>
      </c>
      <c r="D13553" t="s">
        <v>42016</v>
      </c>
      <c r="E13553" t="s">
        <v>42017</v>
      </c>
      <c r="F13553" t="s">
        <v>42024</v>
      </c>
      <c r="G13553" s="2" t="str">
        <f>HYPERLINK("https://probpalata.gov.ru/files/ИП180601157300007.jpeg","Скачать индивидуальный QR-код магазина")</f>
        <v>Скачать индивидуальный QR-код магазина</v>
      </c>
    </row>
    <row r="13554" spans="1:7" x14ac:dyDescent="0.25">
      <c r="A13554" t="s">
        <v>41653</v>
      </c>
      <c r="B13554" t="s">
        <v>42025</v>
      </c>
      <c r="C13554" t="s">
        <v>42026</v>
      </c>
      <c r="D13554" t="s">
        <v>42027</v>
      </c>
      <c r="E13554" t="s">
        <v>42028</v>
      </c>
      <c r="F13554" t="s">
        <v>42029</v>
      </c>
      <c r="G13554" s="2" t="str">
        <f>HYPERLINK("https://probpalata.gov.ru/files/ИП160603031900000.jpeg","Скачать индивидуальный QR-код магазина")</f>
        <v>Скачать индивидуальный QR-код магазина</v>
      </c>
    </row>
    <row r="13555" spans="1:7" x14ac:dyDescent="0.25">
      <c r="A13555" t="s">
        <v>41653</v>
      </c>
      <c r="B13555" t="s">
        <v>42030</v>
      </c>
      <c r="C13555" t="s">
        <v>42031</v>
      </c>
      <c r="D13555" t="s">
        <v>42032</v>
      </c>
      <c r="E13555" t="s">
        <v>42033</v>
      </c>
      <c r="F13555" t="s">
        <v>42034</v>
      </c>
      <c r="G13555" s="2" t="str">
        <f>HYPERLINK("https://probpalata.gov.ru/files/ИП160600517700000.jpeg","Скачать индивидуальный QR-код магазина")</f>
        <v>Скачать индивидуальный QR-код магазина</v>
      </c>
    </row>
    <row r="13556" spans="1:7" x14ac:dyDescent="0.25">
      <c r="A13556" t="s">
        <v>41653</v>
      </c>
      <c r="B13556" t="s">
        <v>42035</v>
      </c>
      <c r="C13556" t="s">
        <v>42036</v>
      </c>
      <c r="D13556" t="s">
        <v>42037</v>
      </c>
      <c r="E13556" t="s">
        <v>42038</v>
      </c>
      <c r="F13556" t="s">
        <v>42039</v>
      </c>
      <c r="G13556" s="2" t="str">
        <f>HYPERLINK("https://probpalata.gov.ru/files/ИП160601148800000.jpeg","Скачать индивидуальный QR-код магазина")</f>
        <v>Скачать индивидуальный QR-код магазина</v>
      </c>
    </row>
    <row r="13557" spans="1:7" x14ac:dyDescent="0.25">
      <c r="A13557" t="s">
        <v>41653</v>
      </c>
      <c r="B13557" t="s">
        <v>42040</v>
      </c>
      <c r="C13557" t="s">
        <v>42036</v>
      </c>
      <c r="D13557" t="s">
        <v>42037</v>
      </c>
      <c r="E13557" t="s">
        <v>42038</v>
      </c>
      <c r="F13557" t="s">
        <v>42041</v>
      </c>
      <c r="G13557" s="2" t="str">
        <f>HYPERLINK("https://probpalata.gov.ru/files/ИП160601148800003.jpeg","Скачать индивидуальный QR-код магазина")</f>
        <v>Скачать индивидуальный QR-код магазина</v>
      </c>
    </row>
    <row r="13558" spans="1:7" x14ac:dyDescent="0.25">
      <c r="A13558" t="s">
        <v>41653</v>
      </c>
      <c r="B13558" t="s">
        <v>42042</v>
      </c>
      <c r="C13558" t="s">
        <v>42043</v>
      </c>
      <c r="D13558" t="s">
        <v>42044</v>
      </c>
      <c r="E13558" t="s">
        <v>42045</v>
      </c>
      <c r="F13558" t="s">
        <v>42046</v>
      </c>
      <c r="G13558" s="2" t="str">
        <f>HYPERLINK("https://probpalata.gov.ru/files/ИП160603145500000.jpeg","Скачать индивидуальный QR-код магазина")</f>
        <v>Скачать индивидуальный QR-код магазина</v>
      </c>
    </row>
    <row r="13559" spans="1:7" x14ac:dyDescent="0.25">
      <c r="A13559" t="s">
        <v>41653</v>
      </c>
      <c r="B13559" t="s">
        <v>42047</v>
      </c>
      <c r="C13559" t="s">
        <v>42048</v>
      </c>
      <c r="D13559" t="s">
        <v>42049</v>
      </c>
      <c r="E13559" t="s">
        <v>42050</v>
      </c>
      <c r="F13559" t="s">
        <v>42051</v>
      </c>
      <c r="G13559" s="2" t="str">
        <f>HYPERLINK("https://probpalata.gov.ru/files/ЮЛ160601790400001.jpeg","Скачать индивидуальный QR-код магазина")</f>
        <v>Скачать индивидуальный QR-код магазина</v>
      </c>
    </row>
    <row r="13560" spans="1:7" x14ac:dyDescent="0.25">
      <c r="A13560" t="s">
        <v>41653</v>
      </c>
      <c r="B13560" t="s">
        <v>42052</v>
      </c>
      <c r="C13560" t="s">
        <v>42053</v>
      </c>
      <c r="D13560" t="s">
        <v>42054</v>
      </c>
      <c r="E13560" t="s">
        <v>42055</v>
      </c>
      <c r="F13560" t="s">
        <v>42056</v>
      </c>
      <c r="G13560" s="2" t="str">
        <f>HYPERLINK("https://probpalata.gov.ru/files/ЮЛ160603240200000.jpeg","Скачать индивидуальный QR-код магазина")</f>
        <v>Скачать индивидуальный QR-код магазина</v>
      </c>
    </row>
    <row r="13561" spans="1:7" x14ac:dyDescent="0.25">
      <c r="A13561" t="s">
        <v>41653</v>
      </c>
      <c r="B13561" t="s">
        <v>42057</v>
      </c>
      <c r="C13561" t="s">
        <v>42058</v>
      </c>
      <c r="D13561" t="s">
        <v>42059</v>
      </c>
      <c r="E13561" t="s">
        <v>42060</v>
      </c>
      <c r="F13561" t="s">
        <v>42061</v>
      </c>
      <c r="G13561" s="2" t="str">
        <f>HYPERLINK("https://probpalata.gov.ru/files/ЮЛ160603315800000.jpeg","Скачать индивидуальный QR-код магазина")</f>
        <v>Скачать индивидуальный QR-код магазина</v>
      </c>
    </row>
    <row r="13562" spans="1:7" x14ac:dyDescent="0.25">
      <c r="A13562" t="s">
        <v>41653</v>
      </c>
      <c r="B13562" t="s">
        <v>42062</v>
      </c>
      <c r="C13562" t="s">
        <v>42063</v>
      </c>
      <c r="D13562" t="s">
        <v>42064</v>
      </c>
      <c r="E13562" t="s">
        <v>42065</v>
      </c>
      <c r="F13562" t="s">
        <v>42066</v>
      </c>
      <c r="G13562" s="2" t="str">
        <f>HYPERLINK("https://probpalata.gov.ru/files/ЮЛ160600516900000.jpeg","Скачать индивидуальный QR-код магазина")</f>
        <v>Скачать индивидуальный QR-код магазина</v>
      </c>
    </row>
    <row r="13563" spans="1:7" x14ac:dyDescent="0.25">
      <c r="A13563" t="s">
        <v>41653</v>
      </c>
      <c r="B13563" t="s">
        <v>42067</v>
      </c>
      <c r="C13563" t="s">
        <v>42068</v>
      </c>
      <c r="D13563" t="s">
        <v>42069</v>
      </c>
      <c r="E13563" t="s">
        <v>42070</v>
      </c>
      <c r="F13563" t="s">
        <v>42071</v>
      </c>
      <c r="G13563" s="2" t="str">
        <f>HYPERLINK("https://probpalata.gov.ru/files/ЮЛ160603347500000.jpeg","Скачать индивидуальный QR-код магазина")</f>
        <v>Скачать индивидуальный QR-код магазина</v>
      </c>
    </row>
    <row r="13564" spans="1:7" x14ac:dyDescent="0.25">
      <c r="A13564" t="s">
        <v>41653</v>
      </c>
      <c r="B13564" t="s">
        <v>42072</v>
      </c>
      <c r="C13564" t="s">
        <v>42068</v>
      </c>
      <c r="D13564" t="s">
        <v>42069</v>
      </c>
      <c r="E13564" t="s">
        <v>42070</v>
      </c>
      <c r="F13564" t="s">
        <v>42073</v>
      </c>
      <c r="G13564" s="2" t="str">
        <f>HYPERLINK("https://probpalata.gov.ru/files/ЮЛ160603347500003.jpeg","Скачать индивидуальный QR-код магазина")</f>
        <v>Скачать индивидуальный QR-код магазина</v>
      </c>
    </row>
    <row r="13565" spans="1:7" x14ac:dyDescent="0.25">
      <c r="A13565" t="s">
        <v>41653</v>
      </c>
      <c r="B13565" t="s">
        <v>42074</v>
      </c>
      <c r="C13565" t="s">
        <v>42075</v>
      </c>
      <c r="D13565" t="s">
        <v>42076</v>
      </c>
      <c r="E13565" t="s">
        <v>42077</v>
      </c>
      <c r="F13565" t="s">
        <v>42078</v>
      </c>
      <c r="G13565" s="2" t="str">
        <f>HYPERLINK("https://probpalata.gov.ru/files/ЮЛ160600078900000.jpeg","Скачать индивидуальный QR-код магазина")</f>
        <v>Скачать индивидуальный QR-код магазина</v>
      </c>
    </row>
    <row r="13566" spans="1:7" x14ac:dyDescent="0.25">
      <c r="A13566" t="s">
        <v>41653</v>
      </c>
      <c r="B13566" t="s">
        <v>42079</v>
      </c>
      <c r="C13566" t="s">
        <v>42080</v>
      </c>
      <c r="D13566" t="s">
        <v>42081</v>
      </c>
      <c r="E13566" t="s">
        <v>42082</v>
      </c>
      <c r="F13566" t="s">
        <v>42083</v>
      </c>
      <c r="G13566" s="2" t="str">
        <f>HYPERLINK("https://probpalata.gov.ru/files/ЮЛ160603382400000.jpeg","Скачать индивидуальный QR-код магазина")</f>
        <v>Скачать индивидуальный QR-код магазина</v>
      </c>
    </row>
    <row r="13567" spans="1:7" x14ac:dyDescent="0.25">
      <c r="A13567" t="s">
        <v>41653</v>
      </c>
      <c r="B13567" t="s">
        <v>42084</v>
      </c>
      <c r="C13567" t="s">
        <v>42085</v>
      </c>
      <c r="D13567" t="s">
        <v>42086</v>
      </c>
      <c r="E13567" t="s">
        <v>42087</v>
      </c>
      <c r="F13567" t="s">
        <v>42088</v>
      </c>
      <c r="G13567" s="2" t="str">
        <f>HYPERLINK("https://probpalata.gov.ru/files/ЮЛ160603148200000.jpeg","Скачать индивидуальный QR-код магазина")</f>
        <v>Скачать индивидуальный QR-код магазина</v>
      </c>
    </row>
    <row r="13568" spans="1:7" x14ac:dyDescent="0.25">
      <c r="A13568" t="s">
        <v>41653</v>
      </c>
      <c r="B13568" t="s">
        <v>42089</v>
      </c>
      <c r="C13568" t="s">
        <v>42090</v>
      </c>
      <c r="D13568" t="s">
        <v>42091</v>
      </c>
      <c r="E13568" t="s">
        <v>42092</v>
      </c>
      <c r="F13568" t="s">
        <v>42093</v>
      </c>
      <c r="G13568" s="2" t="str">
        <f>HYPERLINK("https://probpalata.gov.ru/files/ЮЛ160603974400000.jpeg","Скачать индивидуальный QR-код магазина")</f>
        <v>Скачать индивидуальный QR-код магазина</v>
      </c>
    </row>
    <row r="13569" spans="1:7" x14ac:dyDescent="0.25">
      <c r="A13569" t="s">
        <v>41653</v>
      </c>
      <c r="B13569" t="s">
        <v>42094</v>
      </c>
      <c r="C13569" t="s">
        <v>42095</v>
      </c>
      <c r="D13569" t="s">
        <v>42096</v>
      </c>
      <c r="E13569" t="s">
        <v>42097</v>
      </c>
      <c r="F13569" t="s">
        <v>42098</v>
      </c>
      <c r="G13569" s="2" t="str">
        <f>HYPERLINK("https://probpalata.gov.ru/files/ЮЛ160600794400000.jpeg","Скачать индивидуальный QR-код магазина")</f>
        <v>Скачать индивидуальный QR-код магазина</v>
      </c>
    </row>
    <row r="13570" spans="1:7" x14ac:dyDescent="0.25">
      <c r="A13570" t="s">
        <v>41653</v>
      </c>
      <c r="B13570" t="s">
        <v>42099</v>
      </c>
      <c r="C13570" t="s">
        <v>42100</v>
      </c>
      <c r="D13570" t="s">
        <v>42101</v>
      </c>
      <c r="E13570" t="s">
        <v>42102</v>
      </c>
      <c r="F13570" t="s">
        <v>42103</v>
      </c>
      <c r="G13570" s="2" t="str">
        <f>HYPERLINK("https://probpalata.gov.ru/files/ИП160600633200000.jpeg","Скачать индивидуальный QR-код магазина")</f>
        <v>Скачать индивидуальный QR-код магазина</v>
      </c>
    </row>
    <row r="13571" spans="1:7" x14ac:dyDescent="0.25">
      <c r="A13571" t="s">
        <v>41653</v>
      </c>
      <c r="B13571" t="s">
        <v>42104</v>
      </c>
      <c r="C13571" t="s">
        <v>42100</v>
      </c>
      <c r="D13571" t="s">
        <v>42101</v>
      </c>
      <c r="E13571" t="s">
        <v>42102</v>
      </c>
      <c r="F13571" t="s">
        <v>42105</v>
      </c>
      <c r="G13571" s="2" t="str">
        <f>HYPERLINK("https://probpalata.gov.ru/files/ИП160600633200001.jpeg","Скачать индивидуальный QR-код магазина")</f>
        <v>Скачать индивидуальный QR-код магазина</v>
      </c>
    </row>
    <row r="13572" spans="1:7" x14ac:dyDescent="0.25">
      <c r="A13572" t="s">
        <v>41653</v>
      </c>
      <c r="B13572" t="s">
        <v>42106</v>
      </c>
      <c r="C13572" t="s">
        <v>42107</v>
      </c>
      <c r="D13572" t="s">
        <v>42108</v>
      </c>
      <c r="E13572" t="s">
        <v>42109</v>
      </c>
      <c r="F13572" t="s">
        <v>42110</v>
      </c>
      <c r="G13572" s="2" t="str">
        <f>HYPERLINK("https://probpalata.gov.ru/files/ИП160603161500000.jpeg","Скачать индивидуальный QR-код магазина")</f>
        <v>Скачать индивидуальный QR-код магазина</v>
      </c>
    </row>
    <row r="13573" spans="1:7" x14ac:dyDescent="0.25">
      <c r="A13573" t="s">
        <v>41653</v>
      </c>
      <c r="B13573" t="s">
        <v>42099</v>
      </c>
      <c r="C13573" t="s">
        <v>42111</v>
      </c>
      <c r="D13573" t="s">
        <v>42112</v>
      </c>
      <c r="E13573" t="s">
        <v>42113</v>
      </c>
      <c r="F13573" t="s">
        <v>42114</v>
      </c>
      <c r="G13573" s="2" t="str">
        <f>HYPERLINK("https://probpalata.gov.ru/files/ИП160600558500000.jpeg","Скачать индивидуальный QR-код магазина")</f>
        <v>Скачать индивидуальный QR-код магазина</v>
      </c>
    </row>
    <row r="13574" spans="1:7" x14ac:dyDescent="0.25">
      <c r="A13574" t="s">
        <v>41653</v>
      </c>
      <c r="B13574" t="s">
        <v>42115</v>
      </c>
      <c r="C13574" t="s">
        <v>42116</v>
      </c>
      <c r="D13574" t="s">
        <v>42117</v>
      </c>
      <c r="E13574" t="s">
        <v>42118</v>
      </c>
      <c r="F13574" t="s">
        <v>42119</v>
      </c>
      <c r="G13574" s="2" t="str">
        <f>HYPERLINK("https://probpalata.gov.ru/files/ЮЛ160601303400000.jpeg","Скачать индивидуальный QR-код магазина")</f>
        <v>Скачать индивидуальный QR-код магазина</v>
      </c>
    </row>
    <row r="13575" spans="1:7" x14ac:dyDescent="0.25">
      <c r="A13575" t="s">
        <v>41653</v>
      </c>
      <c r="B13575" t="s">
        <v>42120</v>
      </c>
      <c r="C13575" t="s">
        <v>42116</v>
      </c>
      <c r="D13575" t="s">
        <v>42117</v>
      </c>
      <c r="E13575" t="s">
        <v>42118</v>
      </c>
      <c r="F13575" t="s">
        <v>42121</v>
      </c>
      <c r="G13575" s="2" t="str">
        <f>HYPERLINK("https://probpalata.gov.ru/files/ЮЛ160601303400002.jpeg","Скачать индивидуальный QR-код магазина")</f>
        <v>Скачать индивидуальный QR-код магазина</v>
      </c>
    </row>
    <row r="13576" spans="1:7" x14ac:dyDescent="0.25">
      <c r="A13576" t="s">
        <v>41653</v>
      </c>
      <c r="B13576" t="s">
        <v>42122</v>
      </c>
      <c r="C13576" t="s">
        <v>42116</v>
      </c>
      <c r="D13576" t="s">
        <v>42117</v>
      </c>
      <c r="E13576" t="s">
        <v>42118</v>
      </c>
      <c r="F13576" t="s">
        <v>42123</v>
      </c>
      <c r="G13576" s="2" t="str">
        <f>HYPERLINK("https://probpalata.gov.ru/files/ЮЛ160601303400003.jpeg","Скачать индивидуальный QR-код магазина")</f>
        <v>Скачать индивидуальный QR-код магазина</v>
      </c>
    </row>
    <row r="13577" spans="1:7" x14ac:dyDescent="0.25">
      <c r="A13577" t="s">
        <v>41653</v>
      </c>
      <c r="B13577" t="s">
        <v>42124</v>
      </c>
      <c r="C13577" t="s">
        <v>42116</v>
      </c>
      <c r="D13577" t="s">
        <v>42117</v>
      </c>
      <c r="E13577" t="s">
        <v>42118</v>
      </c>
      <c r="F13577" t="s">
        <v>42125</v>
      </c>
      <c r="G13577" s="2" t="str">
        <f>HYPERLINK("https://probpalata.gov.ru/files/ЮЛ160601303400005.jpeg","Скачать индивидуальный QR-код магазина")</f>
        <v>Скачать индивидуальный QR-код магазина</v>
      </c>
    </row>
    <row r="13578" spans="1:7" x14ac:dyDescent="0.25">
      <c r="A13578" t="s">
        <v>41653</v>
      </c>
      <c r="B13578" t="s">
        <v>42072</v>
      </c>
      <c r="C13578" t="s">
        <v>42126</v>
      </c>
      <c r="D13578" t="s">
        <v>42127</v>
      </c>
      <c r="E13578" t="s">
        <v>42128</v>
      </c>
      <c r="F13578" t="s">
        <v>42129</v>
      </c>
      <c r="G13578" s="2" t="str">
        <f>HYPERLINK("https://probpalata.gov.ru/files/ИП730603233000000.jpeg","Скачать индивидуальный QR-код магазина")</f>
        <v>Скачать индивидуальный QR-код магазина</v>
      </c>
    </row>
    <row r="13579" spans="1:7" x14ac:dyDescent="0.25">
      <c r="A13579" t="s">
        <v>41653</v>
      </c>
      <c r="B13579" t="s">
        <v>42130</v>
      </c>
      <c r="C13579" t="s">
        <v>19069</v>
      </c>
      <c r="D13579" t="s">
        <v>19070</v>
      </c>
      <c r="E13579" t="s">
        <v>19071</v>
      </c>
      <c r="F13579" t="s">
        <v>42131</v>
      </c>
      <c r="G13579" s="2" t="str">
        <f>HYPERLINK("https://probpalata.gov.ru/files/ЮЛ160600260300000.jpeg","Скачать индивидуальный QR-код магазина")</f>
        <v>Скачать индивидуальный QR-код магазина</v>
      </c>
    </row>
    <row r="13580" spans="1:7" x14ac:dyDescent="0.25">
      <c r="A13580" t="s">
        <v>41653</v>
      </c>
      <c r="B13580" t="s">
        <v>42132</v>
      </c>
      <c r="C13580" t="s">
        <v>42133</v>
      </c>
      <c r="D13580" t="s">
        <v>42134</v>
      </c>
      <c r="E13580" t="s">
        <v>42135</v>
      </c>
      <c r="F13580" t="s">
        <v>42136</v>
      </c>
      <c r="G13580" s="2" t="str">
        <f>HYPERLINK("https://probpalata.gov.ru/files/ИП160600200900000.jpeg","Скачать индивидуальный QR-код магазина")</f>
        <v>Скачать индивидуальный QR-код магазина</v>
      </c>
    </row>
    <row r="13581" spans="1:7" x14ac:dyDescent="0.25">
      <c r="A13581" t="s">
        <v>41653</v>
      </c>
      <c r="B13581" t="s">
        <v>42137</v>
      </c>
      <c r="C13581" t="s">
        <v>42133</v>
      </c>
      <c r="D13581" t="s">
        <v>42134</v>
      </c>
      <c r="E13581" t="s">
        <v>42135</v>
      </c>
      <c r="F13581" t="s">
        <v>42138</v>
      </c>
      <c r="G13581" s="2" t="str">
        <f>HYPERLINK("https://probpalata.gov.ru/files/ИП160600200900001.jpeg","Скачать индивидуальный QR-код магазина")</f>
        <v>Скачать индивидуальный QR-код магазина</v>
      </c>
    </row>
    <row r="13582" spans="1:7" x14ac:dyDescent="0.25">
      <c r="A13582" t="s">
        <v>41653</v>
      </c>
      <c r="B13582" t="s">
        <v>42139</v>
      </c>
      <c r="C13582" t="s">
        <v>42140</v>
      </c>
      <c r="D13582" t="s">
        <v>42141</v>
      </c>
      <c r="E13582" t="s">
        <v>42142</v>
      </c>
      <c r="F13582" t="s">
        <v>42143</v>
      </c>
      <c r="G13582" s="2" t="str">
        <f>HYPERLINK("https://probpalata.gov.ru/files/ИП180600230200000.jpeg","Скачать индивидуальный QR-код магазина")</f>
        <v>Скачать индивидуальный QR-код магазина</v>
      </c>
    </row>
    <row r="13583" spans="1:7" x14ac:dyDescent="0.25">
      <c r="A13583" t="s">
        <v>41653</v>
      </c>
      <c r="B13583" t="s">
        <v>42144</v>
      </c>
      <c r="C13583" t="s">
        <v>42140</v>
      </c>
      <c r="D13583" t="s">
        <v>42141</v>
      </c>
      <c r="E13583" t="s">
        <v>42142</v>
      </c>
      <c r="F13583" t="s">
        <v>42145</v>
      </c>
      <c r="G13583" s="2" t="str">
        <f>HYPERLINK("https://probpalata.gov.ru/files/ИП180600230200001.jpeg","Скачать индивидуальный QR-код магазина")</f>
        <v>Скачать индивидуальный QR-код магазина</v>
      </c>
    </row>
    <row r="13584" spans="1:7" x14ac:dyDescent="0.25">
      <c r="A13584" t="s">
        <v>41653</v>
      </c>
      <c r="B13584" t="s">
        <v>42146</v>
      </c>
      <c r="C13584" t="s">
        <v>42147</v>
      </c>
      <c r="D13584" t="s">
        <v>42148</v>
      </c>
      <c r="E13584" t="s">
        <v>42149</v>
      </c>
      <c r="F13584" t="s">
        <v>42150</v>
      </c>
      <c r="G13584" s="2" t="str">
        <f>HYPERLINK("https://probpalata.gov.ru/files/ЮЛ160603425400000.jpeg","Скачать индивидуальный QR-код магазина")</f>
        <v>Скачать индивидуальный QR-код магазина</v>
      </c>
    </row>
    <row r="13585" spans="1:7" x14ac:dyDescent="0.25">
      <c r="A13585" t="s">
        <v>41653</v>
      </c>
      <c r="B13585" t="s">
        <v>42151</v>
      </c>
      <c r="C13585" t="s">
        <v>42152</v>
      </c>
      <c r="D13585" t="s">
        <v>42153</v>
      </c>
      <c r="E13585" t="s">
        <v>42154</v>
      </c>
      <c r="F13585" t="s">
        <v>42155</v>
      </c>
      <c r="G13585" s="2" t="str">
        <f>HYPERLINK("https://probpalata.gov.ru/files/ИП160603202700000.jpeg","Скачать индивидуальный QR-код магазина")</f>
        <v>Скачать индивидуальный QR-код магазина</v>
      </c>
    </row>
    <row r="13586" spans="1:7" x14ac:dyDescent="0.25">
      <c r="A13586" t="s">
        <v>41653</v>
      </c>
      <c r="B13586" t="s">
        <v>42156</v>
      </c>
      <c r="C13586" t="s">
        <v>42152</v>
      </c>
      <c r="D13586" t="s">
        <v>42153</v>
      </c>
      <c r="E13586" t="s">
        <v>42154</v>
      </c>
      <c r="F13586" t="s">
        <v>42157</v>
      </c>
      <c r="G13586" s="2" t="str">
        <f>HYPERLINK("https://probpalata.gov.ru/files/ИП160603202700001.jpeg","Скачать индивидуальный QR-код магазина")</f>
        <v>Скачать индивидуальный QR-код магазина</v>
      </c>
    </row>
    <row r="13587" spans="1:7" x14ac:dyDescent="0.25">
      <c r="A13587" t="s">
        <v>41653</v>
      </c>
      <c r="B13587" t="s">
        <v>42158</v>
      </c>
      <c r="C13587" t="s">
        <v>42152</v>
      </c>
      <c r="D13587" t="s">
        <v>42153</v>
      </c>
      <c r="E13587" t="s">
        <v>42154</v>
      </c>
      <c r="F13587" t="s">
        <v>42159</v>
      </c>
      <c r="G13587" s="2" t="str">
        <f>HYPERLINK("https://probpalata.gov.ru/files/ИП160603202700002.jpeg","Скачать индивидуальный QR-код магазина")</f>
        <v>Скачать индивидуальный QR-код магазина</v>
      </c>
    </row>
    <row r="13588" spans="1:7" x14ac:dyDescent="0.25">
      <c r="A13588" t="s">
        <v>41653</v>
      </c>
      <c r="B13588" t="s">
        <v>42160</v>
      </c>
      <c r="C13588" t="s">
        <v>42152</v>
      </c>
      <c r="D13588" t="s">
        <v>42153</v>
      </c>
      <c r="E13588" t="s">
        <v>42154</v>
      </c>
      <c r="F13588" t="s">
        <v>42161</v>
      </c>
      <c r="G13588" s="2" t="str">
        <f>HYPERLINK("https://probpalata.gov.ru/files/ИП160603202700003.jpeg","Скачать индивидуальный QR-код магазина")</f>
        <v>Скачать индивидуальный QR-код магазина</v>
      </c>
    </row>
    <row r="13589" spans="1:7" x14ac:dyDescent="0.25">
      <c r="A13589" t="s">
        <v>41653</v>
      </c>
      <c r="B13589" t="s">
        <v>42162</v>
      </c>
      <c r="C13589" t="s">
        <v>42152</v>
      </c>
      <c r="D13589" t="s">
        <v>42153</v>
      </c>
      <c r="E13589" t="s">
        <v>42154</v>
      </c>
      <c r="F13589" t="s">
        <v>42163</v>
      </c>
      <c r="G13589" s="2" t="str">
        <f>HYPERLINK("https://probpalata.gov.ru/files/ИП160603202700004.jpeg","Скачать индивидуальный QR-код магазина")</f>
        <v>Скачать индивидуальный QR-код магазина</v>
      </c>
    </row>
    <row r="13590" spans="1:7" x14ac:dyDescent="0.25">
      <c r="A13590" t="s">
        <v>41653</v>
      </c>
      <c r="B13590" t="s">
        <v>42164</v>
      </c>
      <c r="C13590" t="s">
        <v>42152</v>
      </c>
      <c r="D13590" t="s">
        <v>42153</v>
      </c>
      <c r="E13590" t="s">
        <v>42154</v>
      </c>
      <c r="F13590" t="s">
        <v>42165</v>
      </c>
      <c r="G13590" s="2" t="str">
        <f>HYPERLINK("https://probpalata.gov.ru/files/ИП160603202700005.jpeg","Скачать индивидуальный QR-код магазина")</f>
        <v>Скачать индивидуальный QR-код магазина</v>
      </c>
    </row>
    <row r="13591" spans="1:7" x14ac:dyDescent="0.25">
      <c r="A13591" t="s">
        <v>41653</v>
      </c>
      <c r="B13591" t="s">
        <v>42166</v>
      </c>
      <c r="C13591" t="s">
        <v>42167</v>
      </c>
      <c r="D13591" t="s">
        <v>42168</v>
      </c>
      <c r="E13591" t="s">
        <v>42169</v>
      </c>
      <c r="F13591" t="s">
        <v>42170</v>
      </c>
      <c r="G13591" s="2" t="str">
        <f>HYPERLINK("https://probpalata.gov.ru/files/ЮЛ160601925700000.jpeg","Скачать индивидуальный QR-код магазина")</f>
        <v>Скачать индивидуальный QR-код магазина</v>
      </c>
    </row>
    <row r="13592" spans="1:7" x14ac:dyDescent="0.25">
      <c r="A13592" t="s">
        <v>41653</v>
      </c>
      <c r="B13592" t="s">
        <v>42171</v>
      </c>
      <c r="C13592" t="s">
        <v>42172</v>
      </c>
      <c r="D13592" t="s">
        <v>42173</v>
      </c>
      <c r="E13592" t="s">
        <v>42174</v>
      </c>
      <c r="F13592" t="s">
        <v>42175</v>
      </c>
      <c r="G13592" s="2" t="str">
        <f>HYPERLINK("https://probpalata.gov.ru/files/ИП160603460400000.jpeg","Скачать индивидуальный QR-код магазина")</f>
        <v>Скачать индивидуальный QR-код магазина</v>
      </c>
    </row>
    <row r="13593" spans="1:7" x14ac:dyDescent="0.25">
      <c r="A13593" t="s">
        <v>41653</v>
      </c>
      <c r="B13593" t="s">
        <v>42176</v>
      </c>
      <c r="C13593" t="s">
        <v>42177</v>
      </c>
      <c r="D13593" t="s">
        <v>42178</v>
      </c>
      <c r="E13593" t="s">
        <v>42179</v>
      </c>
      <c r="F13593" t="s">
        <v>42180</v>
      </c>
      <c r="G13593" s="2" t="str">
        <f>HYPERLINK("https://probpalata.gov.ru/files/ИП160600232800000.jpeg","Скачать индивидуальный QR-код магазина")</f>
        <v>Скачать индивидуальный QR-код магазина</v>
      </c>
    </row>
    <row r="13594" spans="1:7" x14ac:dyDescent="0.25">
      <c r="A13594" t="s">
        <v>41653</v>
      </c>
      <c r="B13594" t="s">
        <v>42181</v>
      </c>
      <c r="C13594" t="s">
        <v>42177</v>
      </c>
      <c r="D13594" t="s">
        <v>42178</v>
      </c>
      <c r="E13594" t="s">
        <v>42179</v>
      </c>
      <c r="F13594" t="s">
        <v>42182</v>
      </c>
      <c r="G13594" s="2" t="str">
        <f>HYPERLINK("https://probpalata.gov.ru/files/ИП160600232800001.jpeg","Скачать индивидуальный QR-код магазина")</f>
        <v>Скачать индивидуальный QR-код магазина</v>
      </c>
    </row>
    <row r="13595" spans="1:7" x14ac:dyDescent="0.25">
      <c r="A13595" t="s">
        <v>41653</v>
      </c>
      <c r="B13595" t="s">
        <v>42183</v>
      </c>
      <c r="C13595" t="s">
        <v>42177</v>
      </c>
      <c r="D13595" t="s">
        <v>42178</v>
      </c>
      <c r="E13595" t="s">
        <v>42179</v>
      </c>
      <c r="F13595" t="s">
        <v>42184</v>
      </c>
      <c r="G13595" s="2" t="str">
        <f>HYPERLINK("https://probpalata.gov.ru/files/ИП160600232800002.jpeg","Скачать индивидуальный QR-код магазина")</f>
        <v>Скачать индивидуальный QR-код магазина</v>
      </c>
    </row>
    <row r="13596" spans="1:7" x14ac:dyDescent="0.25">
      <c r="A13596" t="s">
        <v>41653</v>
      </c>
      <c r="B13596" t="s">
        <v>42185</v>
      </c>
      <c r="C13596" t="s">
        <v>42177</v>
      </c>
      <c r="D13596" t="s">
        <v>42178</v>
      </c>
      <c r="E13596" t="s">
        <v>42179</v>
      </c>
      <c r="F13596" t="s">
        <v>42186</v>
      </c>
      <c r="G13596" s="2" t="str">
        <f>HYPERLINK("https://probpalata.gov.ru/files/ИП160600232800004.jpeg","Скачать индивидуальный QR-код магазина")</f>
        <v>Скачать индивидуальный QR-код магазина</v>
      </c>
    </row>
    <row r="13597" spans="1:7" x14ac:dyDescent="0.25">
      <c r="A13597" t="s">
        <v>41653</v>
      </c>
      <c r="B13597" t="s">
        <v>42187</v>
      </c>
      <c r="C13597" t="s">
        <v>42177</v>
      </c>
      <c r="D13597" t="s">
        <v>42178</v>
      </c>
      <c r="E13597" t="s">
        <v>42179</v>
      </c>
      <c r="F13597" t="s">
        <v>42188</v>
      </c>
      <c r="G13597" s="2" t="str">
        <f>HYPERLINK("https://probpalata.gov.ru/files/ИП160600232800005.jpeg","Скачать индивидуальный QR-код магазина")</f>
        <v>Скачать индивидуальный QR-код магазина</v>
      </c>
    </row>
    <row r="13598" spans="1:7" x14ac:dyDescent="0.25">
      <c r="A13598" t="s">
        <v>41653</v>
      </c>
      <c r="B13598" t="s">
        <v>42189</v>
      </c>
      <c r="C13598" t="s">
        <v>42190</v>
      </c>
      <c r="D13598" t="s">
        <v>42191</v>
      </c>
      <c r="E13598" t="s">
        <v>42192</v>
      </c>
      <c r="F13598" t="s">
        <v>42193</v>
      </c>
      <c r="G13598" s="2" t="str">
        <f>HYPERLINK("https://probpalata.gov.ru/files/ЮЛ160600067800000.jpeg","Скачать индивидуальный QR-код магазина")</f>
        <v>Скачать индивидуальный QR-код магазина</v>
      </c>
    </row>
    <row r="13599" spans="1:7" x14ac:dyDescent="0.25">
      <c r="A13599" t="s">
        <v>41653</v>
      </c>
      <c r="B13599" t="s">
        <v>42194</v>
      </c>
      <c r="C13599" t="s">
        <v>42195</v>
      </c>
      <c r="D13599" t="s">
        <v>42196</v>
      </c>
      <c r="E13599" t="s">
        <v>42197</v>
      </c>
      <c r="F13599" t="s">
        <v>42198</v>
      </c>
      <c r="G13599" s="2" t="str">
        <f>HYPERLINK("https://probpalata.gov.ru/files/ЮЛ160600149400000.jpeg","Скачать индивидуальный QR-код магазина")</f>
        <v>Скачать индивидуальный QR-код магазина</v>
      </c>
    </row>
    <row r="13600" spans="1:7" x14ac:dyDescent="0.25">
      <c r="A13600" t="s">
        <v>41653</v>
      </c>
      <c r="B13600" t="s">
        <v>42199</v>
      </c>
      <c r="C13600" t="s">
        <v>42200</v>
      </c>
      <c r="D13600" t="s">
        <v>42201</v>
      </c>
      <c r="E13600" t="s">
        <v>42202</v>
      </c>
      <c r="F13600" t="s">
        <v>42203</v>
      </c>
      <c r="G13600" s="2" t="str">
        <f>HYPERLINK("https://probpalata.gov.ru/files/ИП160603359400000.jpeg","Скачать индивидуальный QR-код магазина")</f>
        <v>Скачать индивидуальный QR-код магазина</v>
      </c>
    </row>
    <row r="13601" spans="1:7" x14ac:dyDescent="0.25">
      <c r="A13601" t="s">
        <v>41653</v>
      </c>
      <c r="B13601" t="s">
        <v>42204</v>
      </c>
      <c r="C13601" t="s">
        <v>26966</v>
      </c>
      <c r="D13601" t="s">
        <v>26967</v>
      </c>
      <c r="E13601" t="s">
        <v>26968</v>
      </c>
      <c r="F13601" t="s">
        <v>42205</v>
      </c>
      <c r="G13601" s="2" t="str">
        <f>HYPERLINK("https://probpalata.gov.ru/files/ИП770100867900001.jpeg","Скачать индивидуальный QR-код магазина")</f>
        <v>Скачать индивидуальный QR-код магазина</v>
      </c>
    </row>
    <row r="13602" spans="1:7" x14ac:dyDescent="0.25">
      <c r="A13602" t="s">
        <v>41653</v>
      </c>
      <c r="B13602" t="s">
        <v>42206</v>
      </c>
      <c r="C13602" t="s">
        <v>26966</v>
      </c>
      <c r="D13602" t="s">
        <v>26967</v>
      </c>
      <c r="E13602" t="s">
        <v>26968</v>
      </c>
      <c r="F13602" t="s">
        <v>42207</v>
      </c>
      <c r="G13602" s="2" t="str">
        <f>HYPERLINK("https://probpalata.gov.ru/files/ИП770100867900002.jpeg","Скачать индивидуальный QR-код магазина")</f>
        <v>Скачать индивидуальный QR-код магазина</v>
      </c>
    </row>
    <row r="13603" spans="1:7" x14ac:dyDescent="0.25">
      <c r="A13603" t="s">
        <v>41653</v>
      </c>
      <c r="B13603" t="s">
        <v>42208</v>
      </c>
      <c r="C13603" t="s">
        <v>42209</v>
      </c>
      <c r="D13603" t="s">
        <v>42210</v>
      </c>
      <c r="E13603" t="s">
        <v>42211</v>
      </c>
      <c r="F13603" t="s">
        <v>42212</v>
      </c>
      <c r="G13603" s="2" t="str">
        <f>HYPERLINK("https://probpalata.gov.ru/files/ИП160603334100000.jpeg","Скачать индивидуальный QR-код магазина")</f>
        <v>Скачать индивидуальный QR-код магазина</v>
      </c>
    </row>
    <row r="13604" spans="1:7" x14ac:dyDescent="0.25">
      <c r="A13604" t="s">
        <v>41653</v>
      </c>
      <c r="B13604" t="s">
        <v>42213</v>
      </c>
      <c r="C13604" t="s">
        <v>13224</v>
      </c>
      <c r="D13604" t="s">
        <v>13225</v>
      </c>
      <c r="E13604" t="s">
        <v>13226</v>
      </c>
      <c r="F13604" t="s">
        <v>42214</v>
      </c>
      <c r="G13604" s="2" t="str">
        <f>HYPERLINK("https://probpalata.gov.ru/files/ИП160603156900000.jpeg","Скачать индивидуальный QR-код магазина")</f>
        <v>Скачать индивидуальный QR-код магазина</v>
      </c>
    </row>
    <row r="13605" spans="1:7" x14ac:dyDescent="0.25">
      <c r="A13605" t="s">
        <v>41653</v>
      </c>
      <c r="B13605" t="s">
        <v>42215</v>
      </c>
      <c r="C13605" t="s">
        <v>13224</v>
      </c>
      <c r="D13605" t="s">
        <v>13225</v>
      </c>
      <c r="E13605" t="s">
        <v>13226</v>
      </c>
      <c r="F13605" t="s">
        <v>42216</v>
      </c>
      <c r="G13605" s="2" t="str">
        <f>HYPERLINK("https://probpalata.gov.ru/files/ИП160603156900006.jpeg","Скачать индивидуальный QR-код магазина")</f>
        <v>Скачать индивидуальный QR-код магазина</v>
      </c>
    </row>
    <row r="13606" spans="1:7" x14ac:dyDescent="0.25">
      <c r="A13606" t="s">
        <v>41653</v>
      </c>
      <c r="B13606" t="s">
        <v>42217</v>
      </c>
      <c r="C13606" t="s">
        <v>13224</v>
      </c>
      <c r="D13606" t="s">
        <v>13225</v>
      </c>
      <c r="E13606" t="s">
        <v>13226</v>
      </c>
      <c r="F13606" t="s">
        <v>42218</v>
      </c>
      <c r="G13606" s="2" t="str">
        <f>HYPERLINK("https://probpalata.gov.ru/files/ИП160603156900010.jpeg","Скачать индивидуальный QR-код магазина")</f>
        <v>Скачать индивидуальный QR-код магазина</v>
      </c>
    </row>
    <row r="13607" spans="1:7" x14ac:dyDescent="0.25">
      <c r="A13607" t="s">
        <v>41653</v>
      </c>
      <c r="B13607" t="s">
        <v>42219</v>
      </c>
      <c r="C13607" t="s">
        <v>13224</v>
      </c>
      <c r="D13607" t="s">
        <v>13225</v>
      </c>
      <c r="E13607" t="s">
        <v>13226</v>
      </c>
      <c r="F13607" t="s">
        <v>42220</v>
      </c>
      <c r="G13607" s="2" t="str">
        <f>HYPERLINK("https://probpalata.gov.ru/files/ИП160603156900011.jpeg","Скачать индивидуальный QR-код магазина")</f>
        <v>Скачать индивидуальный QR-код магазина</v>
      </c>
    </row>
    <row r="13608" spans="1:7" x14ac:dyDescent="0.25">
      <c r="A13608" t="s">
        <v>41653</v>
      </c>
      <c r="B13608" t="s">
        <v>42221</v>
      </c>
      <c r="C13608" t="s">
        <v>42222</v>
      </c>
      <c r="D13608" t="s">
        <v>42223</v>
      </c>
      <c r="E13608" t="s">
        <v>42224</v>
      </c>
      <c r="F13608" t="s">
        <v>42225</v>
      </c>
      <c r="G13608" s="2" t="str">
        <f>HYPERLINK("https://probpalata.gov.ru/files/ИП160601519600000.jpeg","Скачать индивидуальный QR-код магазина")</f>
        <v>Скачать индивидуальный QR-код магазина</v>
      </c>
    </row>
    <row r="13609" spans="1:7" x14ac:dyDescent="0.25">
      <c r="A13609" t="s">
        <v>41653</v>
      </c>
      <c r="B13609" t="s">
        <v>42226</v>
      </c>
      <c r="C13609" t="s">
        <v>42227</v>
      </c>
      <c r="D13609" t="s">
        <v>42228</v>
      </c>
      <c r="E13609" t="s">
        <v>42229</v>
      </c>
      <c r="F13609" t="s">
        <v>42230</v>
      </c>
      <c r="G13609" s="2" t="str">
        <f>HYPERLINK("https://probpalata.gov.ru/files/ЮЛ160600200100002.jpeg","Скачать индивидуальный QR-код магазина")</f>
        <v>Скачать индивидуальный QR-код магазина</v>
      </c>
    </row>
    <row r="13610" spans="1:7" x14ac:dyDescent="0.25">
      <c r="A13610" t="s">
        <v>41653</v>
      </c>
      <c r="B13610" t="s">
        <v>42231</v>
      </c>
      <c r="C13610" t="s">
        <v>42227</v>
      </c>
      <c r="D13610" t="s">
        <v>42228</v>
      </c>
      <c r="E13610" t="s">
        <v>42229</v>
      </c>
      <c r="F13610" t="s">
        <v>42232</v>
      </c>
      <c r="G13610" s="2" t="str">
        <f>HYPERLINK("https://probpalata.gov.ru/files/ЮЛ160600200100003.jpeg","Скачать индивидуальный QR-код магазина")</f>
        <v>Скачать индивидуальный QR-код магазина</v>
      </c>
    </row>
    <row r="13611" spans="1:7" x14ac:dyDescent="0.25">
      <c r="A13611" t="s">
        <v>41653</v>
      </c>
      <c r="B13611" t="s">
        <v>42233</v>
      </c>
      <c r="C13611" t="s">
        <v>42227</v>
      </c>
      <c r="D13611" t="s">
        <v>42228</v>
      </c>
      <c r="E13611" t="s">
        <v>42229</v>
      </c>
      <c r="F13611" t="s">
        <v>42234</v>
      </c>
      <c r="G13611" s="2" t="str">
        <f>HYPERLINK("https://probpalata.gov.ru/files/ЮЛ160600200100004.jpeg","Скачать индивидуальный QR-код магазина")</f>
        <v>Скачать индивидуальный QR-код магазина</v>
      </c>
    </row>
    <row r="13612" spans="1:7" x14ac:dyDescent="0.25">
      <c r="A13612" t="s">
        <v>41653</v>
      </c>
      <c r="B13612" t="s">
        <v>42235</v>
      </c>
      <c r="C13612" t="s">
        <v>42227</v>
      </c>
      <c r="D13612" t="s">
        <v>42228</v>
      </c>
      <c r="E13612" t="s">
        <v>42229</v>
      </c>
      <c r="F13612" t="s">
        <v>42236</v>
      </c>
      <c r="G13612" s="2" t="str">
        <f>HYPERLINK("https://probpalata.gov.ru/files/ЮЛ160600200100005.jpeg","Скачать индивидуальный QR-код магазина")</f>
        <v>Скачать индивидуальный QR-код магазина</v>
      </c>
    </row>
    <row r="13613" spans="1:7" x14ac:dyDescent="0.25">
      <c r="A13613" t="s">
        <v>41653</v>
      </c>
      <c r="B13613" t="s">
        <v>42237</v>
      </c>
      <c r="C13613" t="s">
        <v>42227</v>
      </c>
      <c r="D13613" t="s">
        <v>42228</v>
      </c>
      <c r="E13613" t="s">
        <v>42229</v>
      </c>
      <c r="F13613" t="s">
        <v>42238</v>
      </c>
      <c r="G13613" s="2" t="str">
        <f>HYPERLINK("https://probpalata.gov.ru/files/ЮЛ160600200100006.jpeg","Скачать индивидуальный QR-код магазина")</f>
        <v>Скачать индивидуальный QR-код магазина</v>
      </c>
    </row>
    <row r="13614" spans="1:7" x14ac:dyDescent="0.25">
      <c r="A13614" t="s">
        <v>41653</v>
      </c>
      <c r="B13614" t="s">
        <v>42239</v>
      </c>
      <c r="C13614" t="s">
        <v>42227</v>
      </c>
      <c r="D13614" t="s">
        <v>42228</v>
      </c>
      <c r="E13614" t="s">
        <v>42229</v>
      </c>
      <c r="F13614" t="s">
        <v>42240</v>
      </c>
      <c r="G13614" s="2" t="str">
        <f>HYPERLINK("https://probpalata.gov.ru/files/ЮЛ160600200100009.jpeg","Скачать индивидуальный QR-код магазина")</f>
        <v>Скачать индивидуальный QR-код магазина</v>
      </c>
    </row>
    <row r="13615" spans="1:7" x14ac:dyDescent="0.25">
      <c r="A13615" t="s">
        <v>41653</v>
      </c>
      <c r="B13615" t="s">
        <v>42241</v>
      </c>
      <c r="C13615" t="s">
        <v>42227</v>
      </c>
      <c r="D13615" t="s">
        <v>42228</v>
      </c>
      <c r="E13615" t="s">
        <v>42229</v>
      </c>
      <c r="F13615" t="s">
        <v>42242</v>
      </c>
      <c r="G13615" s="2" t="str">
        <f>HYPERLINK("https://probpalata.gov.ru/files/ЮЛ160600200100010.jpeg","Скачать индивидуальный QR-код магазина")</f>
        <v>Скачать индивидуальный QR-код магазина</v>
      </c>
    </row>
    <row r="13616" spans="1:7" x14ac:dyDescent="0.25">
      <c r="A13616" t="s">
        <v>41653</v>
      </c>
      <c r="B13616" t="s">
        <v>42243</v>
      </c>
      <c r="C13616" t="s">
        <v>42227</v>
      </c>
      <c r="D13616" t="s">
        <v>42228</v>
      </c>
      <c r="E13616" t="s">
        <v>42229</v>
      </c>
      <c r="F13616" t="s">
        <v>42244</v>
      </c>
      <c r="G13616" s="2" t="str">
        <f>HYPERLINK("https://probpalata.gov.ru/files/ЮЛ160600200100011.jpeg","Скачать индивидуальный QR-код магазина")</f>
        <v>Скачать индивидуальный QR-код магазина</v>
      </c>
    </row>
    <row r="13617" spans="1:7" x14ac:dyDescent="0.25">
      <c r="A13617" t="s">
        <v>41653</v>
      </c>
      <c r="B13617" t="s">
        <v>42245</v>
      </c>
      <c r="C13617" t="s">
        <v>42227</v>
      </c>
      <c r="D13617" t="s">
        <v>42228</v>
      </c>
      <c r="E13617" t="s">
        <v>42229</v>
      </c>
      <c r="F13617" t="s">
        <v>42246</v>
      </c>
      <c r="G13617" s="2" t="str">
        <f>HYPERLINK("https://probpalata.gov.ru/files/ЮЛ160600200100012.jpeg","Скачать индивидуальный QR-код магазина")</f>
        <v>Скачать индивидуальный QR-код магазина</v>
      </c>
    </row>
    <row r="13618" spans="1:7" x14ac:dyDescent="0.25">
      <c r="A13618" t="s">
        <v>41653</v>
      </c>
      <c r="B13618" t="s">
        <v>42247</v>
      </c>
      <c r="C13618" t="s">
        <v>42227</v>
      </c>
      <c r="D13618" t="s">
        <v>42228</v>
      </c>
      <c r="E13618" t="s">
        <v>42229</v>
      </c>
      <c r="F13618" t="s">
        <v>42248</v>
      </c>
      <c r="G13618" s="2" t="str">
        <f>HYPERLINK("https://probpalata.gov.ru/files/ЮЛ160600200100013.jpeg","Скачать индивидуальный QR-код магазина")</f>
        <v>Скачать индивидуальный QR-код магазина</v>
      </c>
    </row>
    <row r="13619" spans="1:7" x14ac:dyDescent="0.25">
      <c r="A13619" t="s">
        <v>41653</v>
      </c>
      <c r="B13619" t="s">
        <v>42249</v>
      </c>
      <c r="C13619" t="s">
        <v>42227</v>
      </c>
      <c r="D13619" t="s">
        <v>42228</v>
      </c>
      <c r="E13619" t="s">
        <v>42229</v>
      </c>
      <c r="F13619" t="s">
        <v>42250</v>
      </c>
      <c r="G13619" s="2" t="str">
        <f>HYPERLINK("https://probpalata.gov.ru/files/ЮЛ160600200100015.jpeg","Скачать индивидуальный QR-код магазина")</f>
        <v>Скачать индивидуальный QR-код магазина</v>
      </c>
    </row>
    <row r="13620" spans="1:7" x14ac:dyDescent="0.25">
      <c r="A13620" t="s">
        <v>41653</v>
      </c>
      <c r="B13620" t="s">
        <v>42251</v>
      </c>
      <c r="C13620" t="s">
        <v>42227</v>
      </c>
      <c r="D13620" t="s">
        <v>42228</v>
      </c>
      <c r="E13620" t="s">
        <v>42229</v>
      </c>
      <c r="F13620" t="s">
        <v>42252</v>
      </c>
      <c r="G13620" s="2" t="str">
        <f>HYPERLINK("https://probpalata.gov.ru/files/ЮЛ160600200100016.jpeg","Скачать индивидуальный QR-код магазина")</f>
        <v>Скачать индивидуальный QR-код магазина</v>
      </c>
    </row>
    <row r="13621" spans="1:7" x14ac:dyDescent="0.25">
      <c r="A13621" t="s">
        <v>41653</v>
      </c>
      <c r="B13621" t="s">
        <v>42253</v>
      </c>
      <c r="C13621" t="s">
        <v>42227</v>
      </c>
      <c r="D13621" t="s">
        <v>42228</v>
      </c>
      <c r="E13621" t="s">
        <v>42229</v>
      </c>
      <c r="F13621" t="s">
        <v>42254</v>
      </c>
      <c r="G13621" s="2" t="str">
        <f>HYPERLINK("https://probpalata.gov.ru/files/ЮЛ160600200100017.jpeg","Скачать индивидуальный QR-код магазина")</f>
        <v>Скачать индивидуальный QR-код магазина</v>
      </c>
    </row>
    <row r="13622" spans="1:7" x14ac:dyDescent="0.25">
      <c r="A13622" t="s">
        <v>41653</v>
      </c>
      <c r="B13622" t="s">
        <v>42255</v>
      </c>
      <c r="C13622" t="s">
        <v>42227</v>
      </c>
      <c r="D13622" t="s">
        <v>42228</v>
      </c>
      <c r="E13622" t="s">
        <v>42229</v>
      </c>
      <c r="F13622" t="s">
        <v>42256</v>
      </c>
      <c r="G13622" s="2" t="str">
        <f>HYPERLINK("https://probpalata.gov.ru/files/ЮЛ160600200100018.jpeg","Скачать индивидуальный QR-код магазина")</f>
        <v>Скачать индивидуальный QR-код магазина</v>
      </c>
    </row>
    <row r="13623" spans="1:7" x14ac:dyDescent="0.25">
      <c r="A13623" t="s">
        <v>41653</v>
      </c>
      <c r="B13623" t="s">
        <v>42257</v>
      </c>
      <c r="C13623" t="s">
        <v>42227</v>
      </c>
      <c r="D13623" t="s">
        <v>42228</v>
      </c>
      <c r="E13623" t="s">
        <v>42229</v>
      </c>
      <c r="F13623" t="s">
        <v>42258</v>
      </c>
      <c r="G13623" s="2" t="str">
        <f>HYPERLINK("https://probpalata.gov.ru/files/ЮЛ160600200100019.jpeg","Скачать индивидуальный QR-код магазина")</f>
        <v>Скачать индивидуальный QR-код магазина</v>
      </c>
    </row>
    <row r="13624" spans="1:7" x14ac:dyDescent="0.25">
      <c r="A13624" t="s">
        <v>41653</v>
      </c>
      <c r="B13624" t="s">
        <v>42259</v>
      </c>
      <c r="C13624" t="s">
        <v>42227</v>
      </c>
      <c r="D13624" t="s">
        <v>42228</v>
      </c>
      <c r="E13624" t="s">
        <v>42229</v>
      </c>
      <c r="F13624" t="s">
        <v>42260</v>
      </c>
      <c r="G13624" s="2" t="str">
        <f>HYPERLINK("https://probpalata.gov.ru/files/ЮЛ160600200100020.jpeg","Скачать индивидуальный QR-код магазина")</f>
        <v>Скачать индивидуальный QR-код магазина</v>
      </c>
    </row>
    <row r="13625" spans="1:7" x14ac:dyDescent="0.25">
      <c r="A13625" t="s">
        <v>41653</v>
      </c>
      <c r="B13625" t="s">
        <v>42261</v>
      </c>
      <c r="C13625" t="s">
        <v>42227</v>
      </c>
      <c r="D13625" t="s">
        <v>42228</v>
      </c>
      <c r="E13625" t="s">
        <v>42229</v>
      </c>
      <c r="F13625" t="s">
        <v>42262</v>
      </c>
      <c r="G13625" s="2" t="str">
        <f>HYPERLINK("https://probpalata.gov.ru/files/ЮЛ160600200100021.jpeg","Скачать индивидуальный QR-код магазина")</f>
        <v>Скачать индивидуальный QR-код магазина</v>
      </c>
    </row>
    <row r="13626" spans="1:7" x14ac:dyDescent="0.25">
      <c r="A13626" t="s">
        <v>41653</v>
      </c>
      <c r="B13626" t="s">
        <v>42263</v>
      </c>
      <c r="C13626" t="s">
        <v>42227</v>
      </c>
      <c r="D13626" t="s">
        <v>42228</v>
      </c>
      <c r="E13626" t="s">
        <v>42229</v>
      </c>
      <c r="F13626" t="s">
        <v>42264</v>
      </c>
      <c r="G13626" s="2" t="str">
        <f>HYPERLINK("https://probpalata.gov.ru/files/ЮЛ160600200100022.jpeg","Скачать индивидуальный QR-код магазина")</f>
        <v>Скачать индивидуальный QR-код магазина</v>
      </c>
    </row>
    <row r="13627" spans="1:7" x14ac:dyDescent="0.25">
      <c r="A13627" t="s">
        <v>41653</v>
      </c>
      <c r="B13627" t="s">
        <v>42265</v>
      </c>
      <c r="C13627" t="s">
        <v>42227</v>
      </c>
      <c r="D13627" t="s">
        <v>42228</v>
      </c>
      <c r="E13627" t="s">
        <v>42229</v>
      </c>
      <c r="F13627" t="s">
        <v>42266</v>
      </c>
      <c r="G13627" s="2" t="str">
        <f>HYPERLINK("https://probpalata.gov.ru/files/ЮЛ160600200100023.jpeg","Скачать индивидуальный QR-код магазина")</f>
        <v>Скачать индивидуальный QR-код магазина</v>
      </c>
    </row>
    <row r="13628" spans="1:7" x14ac:dyDescent="0.25">
      <c r="A13628" t="s">
        <v>41653</v>
      </c>
      <c r="B13628" t="s">
        <v>42267</v>
      </c>
      <c r="C13628" t="s">
        <v>42227</v>
      </c>
      <c r="D13628" t="s">
        <v>42228</v>
      </c>
      <c r="E13628" t="s">
        <v>42229</v>
      </c>
      <c r="F13628" t="s">
        <v>42268</v>
      </c>
      <c r="G13628" s="2" t="str">
        <f>HYPERLINK("https://probpalata.gov.ru/files/ЮЛ160600200100024.jpeg","Скачать индивидуальный QR-код магазина")</f>
        <v>Скачать индивидуальный QR-код магазина</v>
      </c>
    </row>
    <row r="13629" spans="1:7" x14ac:dyDescent="0.25">
      <c r="A13629" t="s">
        <v>41653</v>
      </c>
      <c r="B13629" t="s">
        <v>42269</v>
      </c>
      <c r="C13629" t="s">
        <v>42270</v>
      </c>
      <c r="D13629" t="s">
        <v>42271</v>
      </c>
      <c r="E13629" t="s">
        <v>42272</v>
      </c>
      <c r="F13629" t="s">
        <v>42273</v>
      </c>
      <c r="G13629" s="2" t="str">
        <f>HYPERLINK("https://probpalata.gov.ru/files/ИП180600787200001.jpeg","Скачать индивидуальный QR-код магазина")</f>
        <v>Скачать индивидуальный QR-код магазина</v>
      </c>
    </row>
    <row r="13630" spans="1:7" x14ac:dyDescent="0.25">
      <c r="A13630" t="s">
        <v>41653</v>
      </c>
      <c r="B13630" t="s">
        <v>42274</v>
      </c>
      <c r="C13630" t="s">
        <v>42270</v>
      </c>
      <c r="D13630" t="s">
        <v>42271</v>
      </c>
      <c r="E13630" t="s">
        <v>42272</v>
      </c>
      <c r="F13630" t="s">
        <v>42275</v>
      </c>
      <c r="G13630" s="2" t="str">
        <f>HYPERLINK("https://probpalata.gov.ru/files/ИП180600787200002.jpeg","Скачать индивидуальный QR-код магазина")</f>
        <v>Скачать индивидуальный QR-код магазина</v>
      </c>
    </row>
    <row r="13631" spans="1:7" x14ac:dyDescent="0.25">
      <c r="A13631" t="s">
        <v>41653</v>
      </c>
      <c r="B13631" t="s">
        <v>42276</v>
      </c>
      <c r="C13631" t="s">
        <v>42277</v>
      </c>
      <c r="D13631" t="s">
        <v>42278</v>
      </c>
      <c r="E13631" t="s">
        <v>42279</v>
      </c>
      <c r="F13631" t="s">
        <v>42280</v>
      </c>
      <c r="G13631" s="2" t="str">
        <f>HYPERLINK("https://probpalata.gov.ru/files/ИП180603831600000.jpeg","Скачать индивидуальный QR-код магазина")</f>
        <v>Скачать индивидуальный QR-код магазина</v>
      </c>
    </row>
    <row r="13632" spans="1:7" x14ac:dyDescent="0.25">
      <c r="A13632" t="s">
        <v>41653</v>
      </c>
      <c r="B13632" t="s">
        <v>42276</v>
      </c>
      <c r="C13632" t="s">
        <v>42281</v>
      </c>
      <c r="D13632" t="s">
        <v>42282</v>
      </c>
      <c r="E13632" t="s">
        <v>42283</v>
      </c>
      <c r="F13632" t="s">
        <v>42284</v>
      </c>
      <c r="G13632" s="2" t="str">
        <f>HYPERLINK("https://probpalata.gov.ru/files/ИП770103609400000.jpeg","Скачать индивидуальный QR-код магазина")</f>
        <v>Скачать индивидуальный QR-код магазина</v>
      </c>
    </row>
    <row r="13633" spans="1:7" x14ac:dyDescent="0.25">
      <c r="A13633" t="s">
        <v>41653</v>
      </c>
      <c r="B13633" t="s">
        <v>42285</v>
      </c>
      <c r="C13633" t="s">
        <v>853</v>
      </c>
      <c r="D13633" t="s">
        <v>854</v>
      </c>
      <c r="E13633" t="s">
        <v>855</v>
      </c>
      <c r="F13633" t="s">
        <v>42286</v>
      </c>
      <c r="G13633" s="2" t="str">
        <f>HYPERLINK("https://probpalata.gov.ru/files/ИП270900039700004.jpeg","Скачать индивидуальный QR-код магазина")</f>
        <v>Скачать индивидуальный QR-код магазина</v>
      </c>
    </row>
    <row r="13634" spans="1:7" x14ac:dyDescent="0.25">
      <c r="A13634" t="s">
        <v>41653</v>
      </c>
      <c r="B13634" t="s">
        <v>42287</v>
      </c>
      <c r="C13634" t="s">
        <v>42288</v>
      </c>
      <c r="D13634" t="s">
        <v>42289</v>
      </c>
      <c r="E13634" t="s">
        <v>42290</v>
      </c>
      <c r="F13634" t="s">
        <v>42291</v>
      </c>
      <c r="G13634" s="2" t="str">
        <f>HYPERLINK("https://probpalata.gov.ru/files/ИП160603469400000.jpeg","Скачать индивидуальный QR-код магазина")</f>
        <v>Скачать индивидуальный QR-код магазина</v>
      </c>
    </row>
    <row r="13635" spans="1:7" x14ac:dyDescent="0.25">
      <c r="A13635" t="s">
        <v>41653</v>
      </c>
      <c r="B13635" t="s">
        <v>42292</v>
      </c>
      <c r="C13635" t="s">
        <v>19496</v>
      </c>
      <c r="D13635" t="s">
        <v>19497</v>
      </c>
      <c r="E13635" t="s">
        <v>19498</v>
      </c>
      <c r="F13635" t="s">
        <v>42293</v>
      </c>
      <c r="G13635" s="2" t="str">
        <f>HYPERLINK("https://probpalata.gov.ru/files/ИП210600048700000.jpeg","Скачать индивидуальный QR-код магазина")</f>
        <v>Скачать индивидуальный QR-код магазина</v>
      </c>
    </row>
    <row r="13636" spans="1:7" x14ac:dyDescent="0.25">
      <c r="A13636" t="s">
        <v>41653</v>
      </c>
      <c r="B13636" t="s">
        <v>42294</v>
      </c>
      <c r="C13636" t="s">
        <v>19496</v>
      </c>
      <c r="D13636" t="s">
        <v>19497</v>
      </c>
      <c r="E13636" t="s">
        <v>19498</v>
      </c>
      <c r="F13636" t="s">
        <v>42295</v>
      </c>
      <c r="G13636" s="2" t="str">
        <f>HYPERLINK("https://probpalata.gov.ru/files/ИП210600048700003.jpeg","Скачать индивидуальный QR-код магазина")</f>
        <v>Скачать индивидуальный QR-код магазина</v>
      </c>
    </row>
    <row r="13637" spans="1:7" x14ac:dyDescent="0.25">
      <c r="A13637" t="s">
        <v>41653</v>
      </c>
      <c r="B13637" t="s">
        <v>42296</v>
      </c>
      <c r="C13637" t="s">
        <v>19496</v>
      </c>
      <c r="D13637" t="s">
        <v>19497</v>
      </c>
      <c r="E13637" t="s">
        <v>19498</v>
      </c>
      <c r="F13637" t="s">
        <v>42297</v>
      </c>
      <c r="G13637" s="2" t="str">
        <f>HYPERLINK("https://probpalata.gov.ru/files/ИП210600048700004.jpeg","Скачать индивидуальный QR-код магазина")</f>
        <v>Скачать индивидуальный QR-код магазина</v>
      </c>
    </row>
    <row r="13638" spans="1:7" x14ac:dyDescent="0.25">
      <c r="A13638" t="s">
        <v>41653</v>
      </c>
      <c r="B13638" t="s">
        <v>42298</v>
      </c>
      <c r="C13638" t="s">
        <v>19496</v>
      </c>
      <c r="D13638" t="s">
        <v>19497</v>
      </c>
      <c r="E13638" t="s">
        <v>19498</v>
      </c>
      <c r="F13638" t="s">
        <v>42299</v>
      </c>
      <c r="G13638" s="2" t="str">
        <f>HYPERLINK("https://probpalata.gov.ru/files/ИП210600048700005.jpeg","Скачать индивидуальный QR-код магазина")</f>
        <v>Скачать индивидуальный QR-код магазина</v>
      </c>
    </row>
    <row r="13639" spans="1:7" x14ac:dyDescent="0.25">
      <c r="A13639" t="s">
        <v>41653</v>
      </c>
      <c r="B13639" t="s">
        <v>42300</v>
      </c>
      <c r="C13639" t="s">
        <v>19496</v>
      </c>
      <c r="D13639" t="s">
        <v>19497</v>
      </c>
      <c r="E13639" t="s">
        <v>19498</v>
      </c>
      <c r="F13639" t="s">
        <v>42301</v>
      </c>
      <c r="G13639" s="2" t="str">
        <f>HYPERLINK("https://probpalata.gov.ru/files/ИП210600048700006.jpeg","Скачать индивидуальный QR-код магазина")</f>
        <v>Скачать индивидуальный QR-код магазина</v>
      </c>
    </row>
    <row r="13640" spans="1:7" x14ac:dyDescent="0.25">
      <c r="A13640" t="s">
        <v>41653</v>
      </c>
      <c r="B13640" t="s">
        <v>42302</v>
      </c>
      <c r="C13640" t="s">
        <v>19501</v>
      </c>
      <c r="D13640" t="s">
        <v>19502</v>
      </c>
      <c r="E13640" t="s">
        <v>19503</v>
      </c>
      <c r="F13640" t="s">
        <v>42303</v>
      </c>
      <c r="G13640" s="2" t="str">
        <f>HYPERLINK("https://probpalata.gov.ru/files/ИП160600113700000.jpeg","Скачать индивидуальный QR-код магазина")</f>
        <v>Скачать индивидуальный QR-код магазина</v>
      </c>
    </row>
    <row r="13641" spans="1:7" x14ac:dyDescent="0.25">
      <c r="A13641" t="s">
        <v>41653</v>
      </c>
      <c r="B13641" t="s">
        <v>42304</v>
      </c>
      <c r="C13641" t="s">
        <v>19501</v>
      </c>
      <c r="D13641" t="s">
        <v>19502</v>
      </c>
      <c r="E13641" t="s">
        <v>19503</v>
      </c>
      <c r="F13641" t="s">
        <v>42305</v>
      </c>
      <c r="G13641" s="2" t="str">
        <f>HYPERLINK("https://probpalata.gov.ru/files/ИП160600113700001.jpeg","Скачать индивидуальный QR-код магазина")</f>
        <v>Скачать индивидуальный QR-код магазина</v>
      </c>
    </row>
    <row r="13642" spans="1:7" x14ac:dyDescent="0.25">
      <c r="A13642" t="s">
        <v>41653</v>
      </c>
      <c r="B13642" t="s">
        <v>42306</v>
      </c>
      <c r="C13642" t="s">
        <v>19501</v>
      </c>
      <c r="D13642" t="s">
        <v>19502</v>
      </c>
      <c r="E13642" t="s">
        <v>19503</v>
      </c>
      <c r="F13642" t="s">
        <v>42307</v>
      </c>
      <c r="G13642" s="2" t="str">
        <f>HYPERLINK("https://probpalata.gov.ru/files/ИП160600113700003.jpeg","Скачать индивидуальный QR-код магазина")</f>
        <v>Скачать индивидуальный QR-код магазина</v>
      </c>
    </row>
    <row r="13643" spans="1:7" x14ac:dyDescent="0.25">
      <c r="A13643" t="s">
        <v>41653</v>
      </c>
      <c r="B13643" t="s">
        <v>42308</v>
      </c>
      <c r="C13643" t="s">
        <v>19501</v>
      </c>
      <c r="D13643" t="s">
        <v>19502</v>
      </c>
      <c r="E13643" t="s">
        <v>19503</v>
      </c>
      <c r="F13643" t="s">
        <v>42309</v>
      </c>
      <c r="G13643" s="2" t="str">
        <f>HYPERLINK("https://probpalata.gov.ru/files/ИП160600113700004.jpeg","Скачать индивидуальный QR-код магазина")</f>
        <v>Скачать индивидуальный QR-код магазина</v>
      </c>
    </row>
    <row r="13644" spans="1:7" x14ac:dyDescent="0.25">
      <c r="A13644" t="s">
        <v>41653</v>
      </c>
      <c r="B13644" t="s">
        <v>42310</v>
      </c>
      <c r="C13644" t="s">
        <v>19501</v>
      </c>
      <c r="D13644" t="s">
        <v>19502</v>
      </c>
      <c r="E13644" t="s">
        <v>19503</v>
      </c>
      <c r="F13644" t="s">
        <v>42311</v>
      </c>
      <c r="G13644" s="2" t="str">
        <f>HYPERLINK("https://probpalata.gov.ru/files/ИП160600113700005.jpeg","Скачать индивидуальный QR-код магазина")</f>
        <v>Скачать индивидуальный QR-код магазина</v>
      </c>
    </row>
    <row r="13645" spans="1:7" x14ac:dyDescent="0.25">
      <c r="A13645" t="s">
        <v>41653</v>
      </c>
      <c r="B13645" t="s">
        <v>42312</v>
      </c>
      <c r="C13645" t="s">
        <v>19501</v>
      </c>
      <c r="D13645" t="s">
        <v>19502</v>
      </c>
      <c r="E13645" t="s">
        <v>19503</v>
      </c>
      <c r="F13645" t="s">
        <v>42313</v>
      </c>
      <c r="G13645" s="2" t="str">
        <f>HYPERLINK("https://probpalata.gov.ru/files/ИП160600113700006.jpeg","Скачать индивидуальный QR-код магазина")</f>
        <v>Скачать индивидуальный QR-код магазина</v>
      </c>
    </row>
    <row r="13646" spans="1:7" x14ac:dyDescent="0.25">
      <c r="A13646" t="s">
        <v>41653</v>
      </c>
      <c r="B13646" t="s">
        <v>42314</v>
      </c>
      <c r="C13646" t="s">
        <v>19501</v>
      </c>
      <c r="D13646" t="s">
        <v>19502</v>
      </c>
      <c r="E13646" t="s">
        <v>19503</v>
      </c>
      <c r="F13646" t="s">
        <v>42315</v>
      </c>
      <c r="G13646" s="2" t="str">
        <f>HYPERLINK("https://probpalata.gov.ru/files/ИП160600113700007.jpeg","Скачать индивидуальный QR-код магазина")</f>
        <v>Скачать индивидуальный QR-код магазина</v>
      </c>
    </row>
    <row r="13647" spans="1:7" x14ac:dyDescent="0.25">
      <c r="A13647" t="s">
        <v>41653</v>
      </c>
      <c r="B13647" t="s">
        <v>42316</v>
      </c>
      <c r="C13647" t="s">
        <v>19501</v>
      </c>
      <c r="D13647" t="s">
        <v>19502</v>
      </c>
      <c r="E13647" t="s">
        <v>19503</v>
      </c>
      <c r="F13647" t="s">
        <v>42317</v>
      </c>
      <c r="G13647" s="2" t="str">
        <f>HYPERLINK("https://probpalata.gov.ru/files/ИП160600113700008.jpeg","Скачать индивидуальный QR-код магазина")</f>
        <v>Скачать индивидуальный QR-код магазина</v>
      </c>
    </row>
    <row r="13648" spans="1:7" x14ac:dyDescent="0.25">
      <c r="A13648" t="s">
        <v>41653</v>
      </c>
      <c r="B13648" t="s">
        <v>42318</v>
      </c>
      <c r="C13648" t="s">
        <v>19501</v>
      </c>
      <c r="D13648" t="s">
        <v>19502</v>
      </c>
      <c r="E13648" t="s">
        <v>19503</v>
      </c>
      <c r="F13648" t="s">
        <v>42319</v>
      </c>
      <c r="G13648" s="2" t="str">
        <f>HYPERLINK("https://probpalata.gov.ru/files/ИП160600113700009.jpeg","Скачать индивидуальный QR-код магазина")</f>
        <v>Скачать индивидуальный QR-код магазина</v>
      </c>
    </row>
    <row r="13649" spans="1:7" x14ac:dyDescent="0.25">
      <c r="A13649" t="s">
        <v>41653</v>
      </c>
      <c r="B13649" t="s">
        <v>42320</v>
      </c>
      <c r="C13649" t="s">
        <v>19501</v>
      </c>
      <c r="D13649" t="s">
        <v>19502</v>
      </c>
      <c r="E13649" t="s">
        <v>19503</v>
      </c>
      <c r="F13649" t="s">
        <v>42321</v>
      </c>
      <c r="G13649" s="2" t="str">
        <f>HYPERLINK("https://probpalata.gov.ru/files/ИП160600113700010.jpeg","Скачать индивидуальный QR-код магазина")</f>
        <v>Скачать индивидуальный QR-код магазина</v>
      </c>
    </row>
    <row r="13650" spans="1:7" x14ac:dyDescent="0.25">
      <c r="A13650" t="s">
        <v>41653</v>
      </c>
      <c r="B13650" t="s">
        <v>42322</v>
      </c>
      <c r="C13650" t="s">
        <v>42323</v>
      </c>
      <c r="D13650" t="s">
        <v>42324</v>
      </c>
      <c r="E13650" t="s">
        <v>42325</v>
      </c>
      <c r="F13650" t="s">
        <v>42326</v>
      </c>
      <c r="G13650" s="2" t="str">
        <f>HYPERLINK("https://probpalata.gov.ru/files/ИП430600055800000.jpeg","Скачать индивидуальный QR-код магазина")</f>
        <v>Скачать индивидуальный QR-код магазина</v>
      </c>
    </row>
    <row r="13651" spans="1:7" x14ac:dyDescent="0.25">
      <c r="A13651" t="s">
        <v>41653</v>
      </c>
      <c r="B13651" t="s">
        <v>42327</v>
      </c>
      <c r="C13651" t="s">
        <v>42328</v>
      </c>
      <c r="D13651" t="s">
        <v>42329</v>
      </c>
      <c r="E13651" t="s">
        <v>42330</v>
      </c>
      <c r="F13651" t="s">
        <v>42331</v>
      </c>
      <c r="G13651" s="2" t="str">
        <f>HYPERLINK("https://probpalata.gov.ru/files/ИП160600125300000.jpeg","Скачать индивидуальный QR-код магазина")</f>
        <v>Скачать индивидуальный QR-код магазина</v>
      </c>
    </row>
    <row r="13652" spans="1:7" x14ac:dyDescent="0.25">
      <c r="A13652" t="s">
        <v>41653</v>
      </c>
      <c r="B13652" t="s">
        <v>42332</v>
      </c>
      <c r="C13652" t="s">
        <v>42328</v>
      </c>
      <c r="D13652" t="s">
        <v>42329</v>
      </c>
      <c r="E13652" t="s">
        <v>42330</v>
      </c>
      <c r="F13652" t="s">
        <v>42333</v>
      </c>
      <c r="G13652" s="2" t="str">
        <f>HYPERLINK("https://probpalata.gov.ru/files/ИП160600125300001.jpeg","Скачать индивидуальный QR-код магазина")</f>
        <v>Скачать индивидуальный QR-код магазина</v>
      </c>
    </row>
    <row r="13653" spans="1:7" x14ac:dyDescent="0.25">
      <c r="A13653" t="s">
        <v>41653</v>
      </c>
      <c r="B13653" t="s">
        <v>42334</v>
      </c>
      <c r="C13653" t="s">
        <v>42328</v>
      </c>
      <c r="D13653" t="s">
        <v>42329</v>
      </c>
      <c r="E13653" t="s">
        <v>42330</v>
      </c>
      <c r="F13653" t="s">
        <v>42335</v>
      </c>
      <c r="G13653" s="2" t="str">
        <f>HYPERLINK("https://probpalata.gov.ru/files/ИП160600125300003.jpeg","Скачать индивидуальный QR-код магазина")</f>
        <v>Скачать индивидуальный QR-код магазина</v>
      </c>
    </row>
    <row r="13654" spans="1:7" x14ac:dyDescent="0.25">
      <c r="A13654" t="s">
        <v>41653</v>
      </c>
      <c r="B13654" t="s">
        <v>42336</v>
      </c>
      <c r="C13654" t="s">
        <v>42328</v>
      </c>
      <c r="D13654" t="s">
        <v>42329</v>
      </c>
      <c r="E13654" t="s">
        <v>42330</v>
      </c>
      <c r="F13654" t="s">
        <v>42337</v>
      </c>
      <c r="G13654" s="2" t="str">
        <f>HYPERLINK("https://probpalata.gov.ru/files/ИП160600125300004.jpeg","Скачать индивидуальный QR-код магазина")</f>
        <v>Скачать индивидуальный QR-код магазина</v>
      </c>
    </row>
    <row r="13655" spans="1:7" x14ac:dyDescent="0.25">
      <c r="A13655" t="s">
        <v>41653</v>
      </c>
      <c r="B13655" t="s">
        <v>42338</v>
      </c>
      <c r="C13655" t="s">
        <v>42328</v>
      </c>
      <c r="D13655" t="s">
        <v>42329</v>
      </c>
      <c r="E13655" t="s">
        <v>42330</v>
      </c>
      <c r="F13655" t="s">
        <v>42339</v>
      </c>
      <c r="G13655" s="2" t="str">
        <f>HYPERLINK("https://probpalata.gov.ru/files/ИП160600125300005.jpeg","Скачать индивидуальный QR-код магазина")</f>
        <v>Скачать индивидуальный QR-код магазина</v>
      </c>
    </row>
    <row r="13656" spans="1:7" x14ac:dyDescent="0.25">
      <c r="A13656" t="s">
        <v>41653</v>
      </c>
      <c r="B13656" t="s">
        <v>42340</v>
      </c>
      <c r="C13656" t="s">
        <v>42328</v>
      </c>
      <c r="D13656" t="s">
        <v>42329</v>
      </c>
      <c r="E13656" t="s">
        <v>42330</v>
      </c>
      <c r="F13656" t="s">
        <v>42341</v>
      </c>
      <c r="G13656" s="2" t="str">
        <f>HYPERLINK("https://probpalata.gov.ru/files/ИП160600125300006.jpeg","Скачать индивидуальный QR-код магазина")</f>
        <v>Скачать индивидуальный QR-код магазина</v>
      </c>
    </row>
    <row r="13657" spans="1:7" x14ac:dyDescent="0.25">
      <c r="A13657" t="s">
        <v>41653</v>
      </c>
      <c r="B13657" t="s">
        <v>42342</v>
      </c>
      <c r="C13657" t="s">
        <v>17036</v>
      </c>
      <c r="D13657" t="s">
        <v>17037</v>
      </c>
      <c r="E13657" t="s">
        <v>17038</v>
      </c>
      <c r="F13657" t="s">
        <v>42343</v>
      </c>
      <c r="G13657" s="2" t="str">
        <f>HYPERLINK("https://probpalata.gov.ru/files/ЮЛ450700088900002.jpeg","Скачать индивидуальный QR-код магазина")</f>
        <v>Скачать индивидуальный QR-код магазина</v>
      </c>
    </row>
    <row r="13658" spans="1:7" x14ac:dyDescent="0.25">
      <c r="A13658" t="s">
        <v>41653</v>
      </c>
      <c r="B13658" t="s">
        <v>42344</v>
      </c>
      <c r="C13658" t="s">
        <v>17036</v>
      </c>
      <c r="D13658" t="s">
        <v>17037</v>
      </c>
      <c r="E13658" t="s">
        <v>17038</v>
      </c>
      <c r="F13658" t="s">
        <v>42345</v>
      </c>
      <c r="G13658" s="2" t="str">
        <f>HYPERLINK("https://probpalata.gov.ru/files/ЮЛ450700088900003.jpeg","Скачать индивидуальный QR-код магазина")</f>
        <v>Скачать индивидуальный QR-код магазина</v>
      </c>
    </row>
    <row r="13659" spans="1:7" x14ac:dyDescent="0.25">
      <c r="A13659" t="s">
        <v>41653</v>
      </c>
      <c r="B13659" t="s">
        <v>42346</v>
      </c>
      <c r="C13659" t="s">
        <v>17036</v>
      </c>
      <c r="D13659" t="s">
        <v>17037</v>
      </c>
      <c r="E13659" t="s">
        <v>17038</v>
      </c>
      <c r="F13659" t="s">
        <v>42347</v>
      </c>
      <c r="G13659" s="2" t="str">
        <f>HYPERLINK("https://probpalata.gov.ru/files/ЮЛ450700088900004.jpeg","Скачать индивидуальный QR-код магазина")</f>
        <v>Скачать индивидуальный QR-код магазина</v>
      </c>
    </row>
    <row r="13660" spans="1:7" x14ac:dyDescent="0.25">
      <c r="A13660" t="s">
        <v>41653</v>
      </c>
      <c r="B13660" t="s">
        <v>42348</v>
      </c>
      <c r="C13660" t="s">
        <v>17036</v>
      </c>
      <c r="D13660" t="s">
        <v>17037</v>
      </c>
      <c r="E13660" t="s">
        <v>17038</v>
      </c>
      <c r="F13660" t="s">
        <v>42349</v>
      </c>
      <c r="G13660" s="2" t="str">
        <f>HYPERLINK("https://probpalata.gov.ru/files/ЮЛ450700088900005.jpeg","Скачать индивидуальный QR-код магазина")</f>
        <v>Скачать индивидуальный QR-код магазина</v>
      </c>
    </row>
    <row r="13661" spans="1:7" x14ac:dyDescent="0.25">
      <c r="A13661" t="s">
        <v>41653</v>
      </c>
      <c r="B13661" t="s">
        <v>42350</v>
      </c>
      <c r="C13661" t="s">
        <v>17036</v>
      </c>
      <c r="D13661" t="s">
        <v>17037</v>
      </c>
      <c r="E13661" t="s">
        <v>17038</v>
      </c>
      <c r="F13661" t="s">
        <v>42351</v>
      </c>
      <c r="G13661" s="2" t="str">
        <f>HYPERLINK("https://probpalata.gov.ru/files/ЮЛ450700088900006.jpeg","Скачать индивидуальный QR-код магазина")</f>
        <v>Скачать индивидуальный QR-код магазина</v>
      </c>
    </row>
    <row r="13662" spans="1:7" x14ac:dyDescent="0.25">
      <c r="A13662" t="s">
        <v>41653</v>
      </c>
      <c r="B13662" t="s">
        <v>42352</v>
      </c>
      <c r="C13662" t="s">
        <v>17036</v>
      </c>
      <c r="D13662" t="s">
        <v>17037</v>
      </c>
      <c r="E13662" t="s">
        <v>17038</v>
      </c>
      <c r="F13662" t="s">
        <v>42353</v>
      </c>
      <c r="G13662" s="2" t="str">
        <f>HYPERLINK("https://probpalata.gov.ru/files/ЮЛ450700088900007.jpeg","Скачать индивидуальный QR-код магазина")</f>
        <v>Скачать индивидуальный QR-код магазина</v>
      </c>
    </row>
    <row r="13663" spans="1:7" x14ac:dyDescent="0.25">
      <c r="A13663" t="s">
        <v>41653</v>
      </c>
      <c r="B13663" t="s">
        <v>42354</v>
      </c>
      <c r="C13663" t="s">
        <v>17036</v>
      </c>
      <c r="D13663" t="s">
        <v>17037</v>
      </c>
      <c r="E13663" t="s">
        <v>17038</v>
      </c>
      <c r="F13663" t="s">
        <v>42355</v>
      </c>
      <c r="G13663" s="2" t="str">
        <f>HYPERLINK("https://probpalata.gov.ru/files/ЮЛ450700088900008.jpeg","Скачать индивидуальный QR-код магазина")</f>
        <v>Скачать индивидуальный QR-код магазина</v>
      </c>
    </row>
    <row r="13664" spans="1:7" x14ac:dyDescent="0.25">
      <c r="A13664" t="s">
        <v>41653</v>
      </c>
      <c r="B13664" t="s">
        <v>42356</v>
      </c>
      <c r="C13664" t="s">
        <v>17036</v>
      </c>
      <c r="D13664" t="s">
        <v>17037</v>
      </c>
      <c r="E13664" t="s">
        <v>17038</v>
      </c>
      <c r="F13664" t="s">
        <v>42357</v>
      </c>
      <c r="G13664" s="2" t="str">
        <f>HYPERLINK("https://probpalata.gov.ru/files/ЮЛ450700088900010.jpeg","Скачать индивидуальный QR-код магазина")</f>
        <v>Скачать индивидуальный QR-код магазина</v>
      </c>
    </row>
    <row r="13665" spans="1:7" x14ac:dyDescent="0.25">
      <c r="A13665" t="s">
        <v>41653</v>
      </c>
      <c r="B13665" t="s">
        <v>42358</v>
      </c>
      <c r="C13665" t="s">
        <v>17036</v>
      </c>
      <c r="D13665" t="s">
        <v>17037</v>
      </c>
      <c r="E13665" t="s">
        <v>17038</v>
      </c>
      <c r="F13665" t="s">
        <v>42359</v>
      </c>
      <c r="G13665" s="2" t="str">
        <f>HYPERLINK("https://probpalata.gov.ru/files/ЮЛ450700088900011.jpeg","Скачать индивидуальный QR-код магазина")</f>
        <v>Скачать индивидуальный QR-код магазина</v>
      </c>
    </row>
    <row r="13666" spans="1:7" x14ac:dyDescent="0.25">
      <c r="A13666" t="s">
        <v>41653</v>
      </c>
      <c r="B13666" t="s">
        <v>42360</v>
      </c>
      <c r="C13666" t="s">
        <v>17036</v>
      </c>
      <c r="D13666" t="s">
        <v>17037</v>
      </c>
      <c r="E13666" t="s">
        <v>17038</v>
      </c>
      <c r="F13666" t="s">
        <v>42361</v>
      </c>
      <c r="G13666" s="2" t="str">
        <f>HYPERLINK("https://probpalata.gov.ru/files/ЮЛ450700088900012.jpeg","Скачать индивидуальный QR-код магазина")</f>
        <v>Скачать индивидуальный QR-код магазина</v>
      </c>
    </row>
    <row r="13667" spans="1:7" x14ac:dyDescent="0.25">
      <c r="A13667" t="s">
        <v>41653</v>
      </c>
      <c r="B13667" t="s">
        <v>42362</v>
      </c>
      <c r="C13667" t="s">
        <v>17036</v>
      </c>
      <c r="D13667" t="s">
        <v>17037</v>
      </c>
      <c r="E13667" t="s">
        <v>17038</v>
      </c>
      <c r="F13667" t="s">
        <v>42363</v>
      </c>
      <c r="G13667" s="2" t="str">
        <f>HYPERLINK("https://probpalata.gov.ru/files/ЮЛ450700088900013.jpeg","Скачать индивидуальный QR-код магазина")</f>
        <v>Скачать индивидуальный QR-код магазина</v>
      </c>
    </row>
    <row r="13668" spans="1:7" x14ac:dyDescent="0.25">
      <c r="A13668" t="s">
        <v>41653</v>
      </c>
      <c r="B13668" t="s">
        <v>42364</v>
      </c>
      <c r="C13668" t="s">
        <v>17036</v>
      </c>
      <c r="D13668" t="s">
        <v>17037</v>
      </c>
      <c r="E13668" t="s">
        <v>17038</v>
      </c>
      <c r="F13668" t="s">
        <v>42365</v>
      </c>
      <c r="G13668" s="2" t="str">
        <f>HYPERLINK("https://probpalata.gov.ru/files/ЮЛ450700088900015.jpeg","Скачать индивидуальный QR-код магазина")</f>
        <v>Скачать индивидуальный QR-код магазина</v>
      </c>
    </row>
    <row r="13669" spans="1:7" x14ac:dyDescent="0.25">
      <c r="A13669" t="s">
        <v>41653</v>
      </c>
      <c r="B13669" t="s">
        <v>42366</v>
      </c>
      <c r="C13669" t="s">
        <v>17036</v>
      </c>
      <c r="D13669" t="s">
        <v>17037</v>
      </c>
      <c r="E13669" t="s">
        <v>17038</v>
      </c>
      <c r="F13669" t="s">
        <v>42367</v>
      </c>
      <c r="G13669" s="2" t="str">
        <f>HYPERLINK("https://probpalata.gov.ru/files/ЮЛ450700088900016.jpeg","Скачать индивидуальный QR-код магазина")</f>
        <v>Скачать индивидуальный QR-код магазина</v>
      </c>
    </row>
    <row r="13670" spans="1:7" x14ac:dyDescent="0.25">
      <c r="A13670" t="s">
        <v>41653</v>
      </c>
      <c r="B13670" t="s">
        <v>42368</v>
      </c>
      <c r="C13670" t="s">
        <v>17036</v>
      </c>
      <c r="D13670" t="s">
        <v>17037</v>
      </c>
      <c r="E13670" t="s">
        <v>17038</v>
      </c>
      <c r="F13670" t="s">
        <v>42369</v>
      </c>
      <c r="G13670" s="2" t="str">
        <f>HYPERLINK("https://probpalata.gov.ru/files/ЮЛ450700088900017.jpeg","Скачать индивидуальный QR-код магазина")</f>
        <v>Скачать индивидуальный QR-код магазина</v>
      </c>
    </row>
    <row r="13671" spans="1:7" x14ac:dyDescent="0.25">
      <c r="A13671" t="s">
        <v>41653</v>
      </c>
      <c r="B13671" t="s">
        <v>42370</v>
      </c>
      <c r="C13671" t="s">
        <v>17036</v>
      </c>
      <c r="D13671" t="s">
        <v>17037</v>
      </c>
      <c r="E13671" t="s">
        <v>17038</v>
      </c>
      <c r="F13671" t="s">
        <v>42371</v>
      </c>
      <c r="G13671" s="2" t="str">
        <f>HYPERLINK("https://probpalata.gov.ru/files/ЮЛ450700088900018.jpeg","Скачать индивидуальный QR-код магазина")</f>
        <v>Скачать индивидуальный QR-код магазина</v>
      </c>
    </row>
    <row r="13672" spans="1:7" x14ac:dyDescent="0.25">
      <c r="A13672" t="s">
        <v>41653</v>
      </c>
      <c r="B13672" t="s">
        <v>42372</v>
      </c>
      <c r="C13672" t="s">
        <v>17036</v>
      </c>
      <c r="D13672" t="s">
        <v>17037</v>
      </c>
      <c r="E13672" t="s">
        <v>17038</v>
      </c>
      <c r="F13672" t="s">
        <v>42373</v>
      </c>
      <c r="G13672" s="2" t="str">
        <f>HYPERLINK("https://probpalata.gov.ru/files/ЮЛ450700088900019.jpeg","Скачать индивидуальный QR-код магазина")</f>
        <v>Скачать индивидуальный QR-код магазина</v>
      </c>
    </row>
    <row r="13673" spans="1:7" x14ac:dyDescent="0.25">
      <c r="A13673" t="s">
        <v>41653</v>
      </c>
      <c r="B13673" t="s">
        <v>42374</v>
      </c>
      <c r="C13673" t="s">
        <v>17036</v>
      </c>
      <c r="D13673" t="s">
        <v>17037</v>
      </c>
      <c r="E13673" t="s">
        <v>17038</v>
      </c>
      <c r="F13673" t="s">
        <v>42375</v>
      </c>
      <c r="G13673" s="2" t="str">
        <f>HYPERLINK("https://probpalata.gov.ru/files/ЮЛ450700088900020.jpeg","Скачать индивидуальный QR-код магазина")</f>
        <v>Скачать индивидуальный QR-код магазина</v>
      </c>
    </row>
    <row r="13674" spans="1:7" x14ac:dyDescent="0.25">
      <c r="A13674" t="s">
        <v>41653</v>
      </c>
      <c r="B13674" t="s">
        <v>42376</v>
      </c>
      <c r="C13674" t="s">
        <v>17036</v>
      </c>
      <c r="D13674" t="s">
        <v>17037</v>
      </c>
      <c r="E13674" t="s">
        <v>17038</v>
      </c>
      <c r="F13674" t="s">
        <v>42377</v>
      </c>
      <c r="G13674" s="2" t="str">
        <f>HYPERLINK("https://probpalata.gov.ru/files/ЮЛ450700088900021.jpeg","Скачать индивидуальный QR-код магазина")</f>
        <v>Скачать индивидуальный QR-код магазина</v>
      </c>
    </row>
    <row r="13675" spans="1:7" x14ac:dyDescent="0.25">
      <c r="A13675" t="s">
        <v>41653</v>
      </c>
      <c r="B13675" t="s">
        <v>42378</v>
      </c>
      <c r="C13675" t="s">
        <v>17036</v>
      </c>
      <c r="D13675" t="s">
        <v>17037</v>
      </c>
      <c r="E13675" t="s">
        <v>17038</v>
      </c>
      <c r="F13675" t="s">
        <v>42379</v>
      </c>
      <c r="G13675" s="2" t="str">
        <f>HYPERLINK("https://probpalata.gov.ru/files/ЮЛ450700088900022.jpeg","Скачать индивидуальный QR-код магазина")</f>
        <v>Скачать индивидуальный QR-код магазина</v>
      </c>
    </row>
    <row r="13676" spans="1:7" x14ac:dyDescent="0.25">
      <c r="A13676" t="s">
        <v>41653</v>
      </c>
      <c r="B13676" t="s">
        <v>42380</v>
      </c>
      <c r="C13676" t="s">
        <v>17036</v>
      </c>
      <c r="D13676" t="s">
        <v>17037</v>
      </c>
      <c r="E13676" t="s">
        <v>17038</v>
      </c>
      <c r="F13676" t="s">
        <v>42381</v>
      </c>
      <c r="G13676" s="2" t="str">
        <f>HYPERLINK("https://probpalata.gov.ru/files/ЮЛ450700088900023.jpeg","Скачать индивидуальный QR-код магазина")</f>
        <v>Скачать индивидуальный QR-код магазина</v>
      </c>
    </row>
    <row r="13677" spans="1:7" x14ac:dyDescent="0.25">
      <c r="A13677" t="s">
        <v>41653</v>
      </c>
      <c r="B13677" t="s">
        <v>42382</v>
      </c>
      <c r="C13677" t="s">
        <v>17036</v>
      </c>
      <c r="D13677" t="s">
        <v>17037</v>
      </c>
      <c r="E13677" t="s">
        <v>17038</v>
      </c>
      <c r="F13677" t="s">
        <v>42383</v>
      </c>
      <c r="G13677" s="2" t="str">
        <f>HYPERLINK("https://probpalata.gov.ru/files/ЮЛ450700088900024.jpeg","Скачать индивидуальный QR-код магазина")</f>
        <v>Скачать индивидуальный QR-код магазина</v>
      </c>
    </row>
    <row r="13678" spans="1:7" x14ac:dyDescent="0.25">
      <c r="A13678" t="s">
        <v>41653</v>
      </c>
      <c r="B13678" t="s">
        <v>42384</v>
      </c>
      <c r="C13678" t="s">
        <v>3761</v>
      </c>
      <c r="D13678" t="s">
        <v>3762</v>
      </c>
      <c r="E13678" t="s">
        <v>3763</v>
      </c>
      <c r="F13678" t="s">
        <v>42385</v>
      </c>
      <c r="G13678" s="2" t="str">
        <f>HYPERLINK("https://probpalata.gov.ru/files/ЮЛ470300219500007.jpeg","Скачать индивидуальный QR-код магазина")</f>
        <v>Скачать индивидуальный QR-код магазина</v>
      </c>
    </row>
    <row r="13679" spans="1:7" x14ac:dyDescent="0.25">
      <c r="A13679" t="s">
        <v>41653</v>
      </c>
      <c r="B13679" t="s">
        <v>42386</v>
      </c>
      <c r="C13679" t="s">
        <v>671</v>
      </c>
      <c r="D13679" t="s">
        <v>672</v>
      </c>
      <c r="E13679" t="s">
        <v>673</v>
      </c>
      <c r="F13679" t="s">
        <v>42387</v>
      </c>
      <c r="G13679" s="2" t="str">
        <f>HYPERLINK("https://probpalata.gov.ru/files/ИП500100445500014.jpeg","Скачать индивидуальный QR-код магазина")</f>
        <v>Скачать индивидуальный QR-код магазина</v>
      </c>
    </row>
    <row r="13680" spans="1:7" x14ac:dyDescent="0.25">
      <c r="A13680" t="s">
        <v>41653</v>
      </c>
      <c r="B13680" t="s">
        <v>42388</v>
      </c>
      <c r="C13680" t="s">
        <v>671</v>
      </c>
      <c r="D13680" t="s">
        <v>672</v>
      </c>
      <c r="E13680" t="s">
        <v>673</v>
      </c>
      <c r="F13680" t="s">
        <v>42389</v>
      </c>
      <c r="G13680" s="2" t="str">
        <f>HYPERLINK("https://probpalata.gov.ru/files/ИП500100445500065.jpeg","Скачать индивидуальный QR-код магазина")</f>
        <v>Скачать индивидуальный QR-код магазина</v>
      </c>
    </row>
    <row r="13681" spans="1:7" x14ac:dyDescent="0.25">
      <c r="A13681" t="s">
        <v>41653</v>
      </c>
      <c r="B13681" t="s">
        <v>42388</v>
      </c>
      <c r="C13681" t="s">
        <v>671</v>
      </c>
      <c r="D13681" t="s">
        <v>672</v>
      </c>
      <c r="E13681" t="s">
        <v>673</v>
      </c>
      <c r="F13681" t="s">
        <v>42390</v>
      </c>
      <c r="G13681" s="2" t="str">
        <f>HYPERLINK("https://probpalata.gov.ru/files/ИП500100445500066.jpeg","Скачать индивидуальный QR-код магазина")</f>
        <v>Скачать индивидуальный QR-код магазина</v>
      </c>
    </row>
    <row r="13682" spans="1:7" x14ac:dyDescent="0.25">
      <c r="A13682" t="s">
        <v>41653</v>
      </c>
      <c r="B13682" t="s">
        <v>42391</v>
      </c>
      <c r="C13682" t="s">
        <v>671</v>
      </c>
      <c r="D13682" t="s">
        <v>672</v>
      </c>
      <c r="E13682" t="s">
        <v>673</v>
      </c>
      <c r="F13682" t="s">
        <v>42392</v>
      </c>
      <c r="G13682" s="2" t="str">
        <f>HYPERLINK("https://probpalata.gov.ru/files/ИП500100445500097.jpeg","Скачать индивидуальный QR-код магазина")</f>
        <v>Скачать индивидуальный QR-код магазина</v>
      </c>
    </row>
    <row r="13683" spans="1:7" x14ac:dyDescent="0.25">
      <c r="A13683" t="s">
        <v>41653</v>
      </c>
      <c r="B13683" t="s">
        <v>42393</v>
      </c>
      <c r="C13683" t="s">
        <v>671</v>
      </c>
      <c r="D13683" t="s">
        <v>672</v>
      </c>
      <c r="E13683" t="s">
        <v>673</v>
      </c>
      <c r="F13683" t="s">
        <v>42394</v>
      </c>
      <c r="G13683" s="2" t="str">
        <f>HYPERLINK("https://probpalata.gov.ru/files/ИП500100445500099.jpeg","Скачать индивидуальный QR-код магазина")</f>
        <v>Скачать индивидуальный QR-код магазина</v>
      </c>
    </row>
    <row r="13684" spans="1:7" x14ac:dyDescent="0.25">
      <c r="A13684" t="s">
        <v>41653</v>
      </c>
      <c r="B13684" t="s">
        <v>42395</v>
      </c>
      <c r="C13684" t="s">
        <v>671</v>
      </c>
      <c r="D13684" t="s">
        <v>672</v>
      </c>
      <c r="E13684" t="s">
        <v>673</v>
      </c>
      <c r="F13684" t="s">
        <v>42396</v>
      </c>
      <c r="G13684" s="2" t="str">
        <f>HYPERLINK("https://probpalata.gov.ru/files/ИП500100445500114.jpeg","Скачать индивидуальный QR-код магазина")</f>
        <v>Скачать индивидуальный QR-код магазина</v>
      </c>
    </row>
    <row r="13685" spans="1:7" x14ac:dyDescent="0.25">
      <c r="A13685" t="s">
        <v>41653</v>
      </c>
      <c r="B13685" t="s">
        <v>42397</v>
      </c>
      <c r="C13685" t="s">
        <v>1385</v>
      </c>
      <c r="D13685" t="s">
        <v>1386</v>
      </c>
      <c r="E13685" t="s">
        <v>1387</v>
      </c>
      <c r="F13685" t="s">
        <v>42398</v>
      </c>
      <c r="G13685" s="2" t="str">
        <f>HYPERLINK("https://probpalata.gov.ru/files/ИП500101774600007.jpeg","Скачать индивидуальный QR-код магазина")</f>
        <v>Скачать индивидуальный QR-код магазина</v>
      </c>
    </row>
    <row r="13686" spans="1:7" x14ac:dyDescent="0.25">
      <c r="A13686" t="s">
        <v>41653</v>
      </c>
      <c r="B13686" t="s">
        <v>41923</v>
      </c>
      <c r="C13686" t="s">
        <v>1385</v>
      </c>
      <c r="D13686" t="s">
        <v>1386</v>
      </c>
      <c r="E13686" t="s">
        <v>1387</v>
      </c>
      <c r="F13686" t="s">
        <v>42399</v>
      </c>
      <c r="G13686" s="2" t="str">
        <f>HYPERLINK("https://probpalata.gov.ru/files/ИП500101774600009.jpeg","Скачать индивидуальный QR-код магазина")</f>
        <v>Скачать индивидуальный QR-код магазина</v>
      </c>
    </row>
    <row r="13687" spans="1:7" x14ac:dyDescent="0.25">
      <c r="A13687" t="s">
        <v>41653</v>
      </c>
      <c r="B13687" t="s">
        <v>42400</v>
      </c>
      <c r="C13687" t="s">
        <v>10732</v>
      </c>
      <c r="D13687" t="s">
        <v>10733</v>
      </c>
      <c r="E13687" t="s">
        <v>10734</v>
      </c>
      <c r="F13687" t="s">
        <v>42401</v>
      </c>
      <c r="G13687" s="2" t="str">
        <f>HYPERLINK("https://probpalata.gov.ru/files/ИП440200426400000.jpeg","Скачать индивидуальный QR-код магазина")</f>
        <v>Скачать индивидуальный QR-код магазина</v>
      </c>
    </row>
    <row r="13688" spans="1:7" x14ac:dyDescent="0.25">
      <c r="A13688" t="s">
        <v>41653</v>
      </c>
      <c r="B13688" t="s">
        <v>42402</v>
      </c>
      <c r="C13688" t="s">
        <v>10732</v>
      </c>
      <c r="D13688" t="s">
        <v>10733</v>
      </c>
      <c r="E13688" t="s">
        <v>10734</v>
      </c>
      <c r="F13688" t="s">
        <v>42403</v>
      </c>
      <c r="G13688" s="2" t="str">
        <f>HYPERLINK("https://probpalata.gov.ru/files/ИП440200426400019.jpeg","Скачать индивидуальный QR-код магазина")</f>
        <v>Скачать индивидуальный QR-код магазина</v>
      </c>
    </row>
    <row r="13689" spans="1:7" x14ac:dyDescent="0.25">
      <c r="A13689" t="s">
        <v>41653</v>
      </c>
      <c r="B13689" t="s">
        <v>42404</v>
      </c>
      <c r="C13689" t="s">
        <v>10732</v>
      </c>
      <c r="D13689" t="s">
        <v>10733</v>
      </c>
      <c r="E13689" t="s">
        <v>10734</v>
      </c>
      <c r="F13689" t="s">
        <v>42405</v>
      </c>
      <c r="G13689" s="2" t="str">
        <f>HYPERLINK("https://probpalata.gov.ru/files/ИП440200426400020.jpeg","Скачать индивидуальный QR-код магазина")</f>
        <v>Скачать индивидуальный QR-код магазина</v>
      </c>
    </row>
    <row r="13690" spans="1:7" x14ac:dyDescent="0.25">
      <c r="A13690" t="s">
        <v>41653</v>
      </c>
      <c r="B13690" t="s">
        <v>42406</v>
      </c>
      <c r="C13690" t="s">
        <v>10732</v>
      </c>
      <c r="D13690" t="s">
        <v>10733</v>
      </c>
      <c r="E13690" t="s">
        <v>10734</v>
      </c>
      <c r="F13690" t="s">
        <v>42407</v>
      </c>
      <c r="G13690" s="2" t="str">
        <f>HYPERLINK("https://probpalata.gov.ru/files/ИП440200426400026.jpeg","Скачать индивидуальный QR-код магазина")</f>
        <v>Скачать индивидуальный QR-код магазина</v>
      </c>
    </row>
    <row r="13691" spans="1:7" x14ac:dyDescent="0.25">
      <c r="A13691" t="s">
        <v>41653</v>
      </c>
      <c r="B13691" t="s">
        <v>42408</v>
      </c>
      <c r="C13691" t="s">
        <v>1735</v>
      </c>
      <c r="D13691" t="s">
        <v>1736</v>
      </c>
      <c r="E13691" t="s">
        <v>1737</v>
      </c>
      <c r="F13691" t="s">
        <v>42409</v>
      </c>
      <c r="G13691" s="2" t="str">
        <f>HYPERLINK("https://probpalata.gov.ru/files/ЮЛ520603376600023.jpeg","Скачать индивидуальный QR-код магазина")</f>
        <v>Скачать индивидуальный QR-код магазина</v>
      </c>
    </row>
    <row r="13692" spans="1:7" x14ac:dyDescent="0.25">
      <c r="A13692" t="s">
        <v>41653</v>
      </c>
      <c r="B13692" t="s">
        <v>42410</v>
      </c>
      <c r="C13692" t="s">
        <v>1735</v>
      </c>
      <c r="D13692" t="s">
        <v>1736</v>
      </c>
      <c r="E13692" t="s">
        <v>1737</v>
      </c>
      <c r="F13692" t="s">
        <v>42411</v>
      </c>
      <c r="G13692" s="2" t="str">
        <f>HYPERLINK("https://probpalata.gov.ru/files/ЮЛ520603376600087.jpeg","Скачать индивидуальный QR-код магазина")</f>
        <v>Скачать индивидуальный QR-код магазина</v>
      </c>
    </row>
    <row r="13693" spans="1:7" x14ac:dyDescent="0.25">
      <c r="A13693" t="s">
        <v>41653</v>
      </c>
      <c r="B13693" t="s">
        <v>42412</v>
      </c>
      <c r="C13693" t="s">
        <v>1735</v>
      </c>
      <c r="D13693" t="s">
        <v>1736</v>
      </c>
      <c r="E13693" t="s">
        <v>1737</v>
      </c>
      <c r="F13693" t="s">
        <v>42413</v>
      </c>
      <c r="G13693" s="2" t="str">
        <f>HYPERLINK("https://probpalata.gov.ru/files/ЮЛ520603376600095.jpeg","Скачать индивидуальный QR-код магазина")</f>
        <v>Скачать индивидуальный QR-код магазина</v>
      </c>
    </row>
    <row r="13694" spans="1:7" x14ac:dyDescent="0.25">
      <c r="A13694" t="s">
        <v>41653</v>
      </c>
      <c r="B13694" t="s">
        <v>42414</v>
      </c>
      <c r="C13694" t="s">
        <v>42415</v>
      </c>
      <c r="D13694" t="s">
        <v>42416</v>
      </c>
      <c r="E13694" t="s">
        <v>42417</v>
      </c>
      <c r="F13694" t="s">
        <v>42418</v>
      </c>
      <c r="G13694" s="2" t="str">
        <f>HYPERLINK("https://probpalata.gov.ru/files/ИП540803814600000.jpeg","Скачать индивидуальный QR-код магазина")</f>
        <v>Скачать индивидуальный QR-код магазина</v>
      </c>
    </row>
    <row r="13695" spans="1:7" x14ac:dyDescent="0.25">
      <c r="A13695" t="s">
        <v>41653</v>
      </c>
      <c r="B13695" t="s">
        <v>42419</v>
      </c>
      <c r="C13695" t="s">
        <v>33490</v>
      </c>
      <c r="D13695" t="s">
        <v>33491</v>
      </c>
      <c r="E13695" t="s">
        <v>33492</v>
      </c>
      <c r="F13695" t="s">
        <v>42420</v>
      </c>
      <c r="G13695" s="2" t="str">
        <f>HYPERLINK("https://probpalata.gov.ru/files/ИП560600681900003.jpeg","Скачать индивидуальный QR-код магазина")</f>
        <v>Скачать индивидуальный QR-код магазина</v>
      </c>
    </row>
    <row r="13696" spans="1:7" x14ac:dyDescent="0.25">
      <c r="A13696" t="s">
        <v>41653</v>
      </c>
      <c r="B13696" t="s">
        <v>42421</v>
      </c>
      <c r="C13696" t="s">
        <v>42422</v>
      </c>
      <c r="D13696" t="s">
        <v>42423</v>
      </c>
      <c r="E13696" t="s">
        <v>42424</v>
      </c>
      <c r="F13696" t="s">
        <v>42425</v>
      </c>
      <c r="G13696" s="2" t="str">
        <f>HYPERLINK("https://probpalata.gov.ru/files/ИП630601115500004.jpeg","Скачать индивидуальный QR-код магазина")</f>
        <v>Скачать индивидуальный QR-код магазина</v>
      </c>
    </row>
    <row r="13697" spans="1:7" x14ac:dyDescent="0.25">
      <c r="A13697" t="s">
        <v>41653</v>
      </c>
      <c r="B13697" t="s">
        <v>42426</v>
      </c>
      <c r="C13697" t="s">
        <v>16736</v>
      </c>
      <c r="D13697" t="s">
        <v>16737</v>
      </c>
      <c r="E13697" t="s">
        <v>16738</v>
      </c>
      <c r="F13697" t="s">
        <v>42427</v>
      </c>
      <c r="G13697" s="2" t="str">
        <f>HYPERLINK("https://probpalata.gov.ru/files/ЮЛ630600259300002.jpeg","Скачать индивидуальный QR-код магазина")</f>
        <v>Скачать индивидуальный QR-код магазина</v>
      </c>
    </row>
    <row r="13698" spans="1:7" x14ac:dyDescent="0.25">
      <c r="A13698" t="s">
        <v>41653</v>
      </c>
      <c r="B13698" t="s">
        <v>42428</v>
      </c>
      <c r="C13698" t="s">
        <v>16736</v>
      </c>
      <c r="D13698" t="s">
        <v>16737</v>
      </c>
      <c r="E13698" t="s">
        <v>16738</v>
      </c>
      <c r="F13698" t="s">
        <v>42429</v>
      </c>
      <c r="G13698" s="2" t="str">
        <f>HYPERLINK("https://probpalata.gov.ru/files/ЮЛ630600259300008.jpeg","Скачать индивидуальный QR-код магазина")</f>
        <v>Скачать индивидуальный QR-код магазина</v>
      </c>
    </row>
    <row r="13699" spans="1:7" x14ac:dyDescent="0.25">
      <c r="A13699" t="s">
        <v>41653</v>
      </c>
      <c r="B13699" t="s">
        <v>42430</v>
      </c>
      <c r="C13699" t="s">
        <v>2197</v>
      </c>
      <c r="D13699" t="s">
        <v>2198</v>
      </c>
      <c r="E13699" t="s">
        <v>2199</v>
      </c>
      <c r="F13699" t="s">
        <v>42431</v>
      </c>
      <c r="G13699" s="2" t="str">
        <f>HYPERLINK("https://probpalata.gov.ru/files/ИП630601425400001.jpeg","Скачать индивидуальный QR-код магазина")</f>
        <v>Скачать индивидуальный QR-код магазина</v>
      </c>
    </row>
    <row r="13700" spans="1:7" x14ac:dyDescent="0.25">
      <c r="A13700" t="s">
        <v>41653</v>
      </c>
      <c r="B13700" t="s">
        <v>42432</v>
      </c>
      <c r="C13700" t="s">
        <v>2197</v>
      </c>
      <c r="D13700" t="s">
        <v>2198</v>
      </c>
      <c r="E13700" t="s">
        <v>2199</v>
      </c>
      <c r="F13700" t="s">
        <v>42433</v>
      </c>
      <c r="G13700" s="2" t="str">
        <f>HYPERLINK("https://probpalata.gov.ru/files/ИП630601425400024.jpeg","Скачать индивидуальный QR-код магазина")</f>
        <v>Скачать индивидуальный QR-код магазина</v>
      </c>
    </row>
    <row r="13701" spans="1:7" x14ac:dyDescent="0.25">
      <c r="A13701" t="s">
        <v>41653</v>
      </c>
      <c r="B13701" t="s">
        <v>42434</v>
      </c>
      <c r="C13701" t="s">
        <v>2197</v>
      </c>
      <c r="D13701" t="s">
        <v>2198</v>
      </c>
      <c r="E13701" t="s">
        <v>2199</v>
      </c>
      <c r="F13701" t="s">
        <v>42435</v>
      </c>
      <c r="G13701" s="2" t="str">
        <f>HYPERLINK("https://probpalata.gov.ru/files/ИП630601425400055.jpeg","Скачать индивидуальный QR-код магазина")</f>
        <v>Скачать индивидуальный QR-код магазина</v>
      </c>
    </row>
    <row r="13702" spans="1:7" x14ac:dyDescent="0.25">
      <c r="A13702" t="s">
        <v>41653</v>
      </c>
      <c r="B13702" t="s">
        <v>42436</v>
      </c>
      <c r="C13702" t="s">
        <v>2197</v>
      </c>
      <c r="D13702" t="s">
        <v>2198</v>
      </c>
      <c r="E13702" t="s">
        <v>2199</v>
      </c>
      <c r="F13702" t="s">
        <v>42437</v>
      </c>
      <c r="G13702" s="2" t="str">
        <f>HYPERLINK("https://probpalata.gov.ru/files/ИП630601425400061.jpeg","Скачать индивидуальный QR-код магазина")</f>
        <v>Скачать индивидуальный QR-код магазина</v>
      </c>
    </row>
    <row r="13703" spans="1:7" x14ac:dyDescent="0.25">
      <c r="A13703" t="s">
        <v>41653</v>
      </c>
      <c r="B13703" t="s">
        <v>42438</v>
      </c>
      <c r="C13703" t="s">
        <v>2197</v>
      </c>
      <c r="D13703" t="s">
        <v>2198</v>
      </c>
      <c r="E13703" t="s">
        <v>2199</v>
      </c>
      <c r="F13703" t="s">
        <v>42439</v>
      </c>
      <c r="G13703" s="2" t="str">
        <f>HYPERLINK("https://probpalata.gov.ru/files/ИП630601425400077.jpeg","Скачать индивидуальный QR-код магазина")</f>
        <v>Скачать индивидуальный QR-код магазина</v>
      </c>
    </row>
    <row r="13704" spans="1:7" x14ac:dyDescent="0.25">
      <c r="A13704" t="s">
        <v>41653</v>
      </c>
      <c r="B13704" t="s">
        <v>42440</v>
      </c>
      <c r="C13704" t="s">
        <v>2197</v>
      </c>
      <c r="D13704" t="s">
        <v>2198</v>
      </c>
      <c r="E13704" t="s">
        <v>2199</v>
      </c>
      <c r="F13704" t="s">
        <v>42441</v>
      </c>
      <c r="G13704" s="2" t="str">
        <f>HYPERLINK("https://probpalata.gov.ru/files/ИП630601425400082.jpeg","Скачать индивидуальный QR-код магазина")</f>
        <v>Скачать индивидуальный QR-код магазина</v>
      </c>
    </row>
    <row r="13705" spans="1:7" x14ac:dyDescent="0.25">
      <c r="A13705" t="s">
        <v>41653</v>
      </c>
      <c r="B13705" t="s">
        <v>42419</v>
      </c>
      <c r="C13705" t="s">
        <v>2197</v>
      </c>
      <c r="D13705" t="s">
        <v>2198</v>
      </c>
      <c r="E13705" t="s">
        <v>2199</v>
      </c>
      <c r="F13705" t="s">
        <v>42442</v>
      </c>
      <c r="G13705" s="2" t="str">
        <f>HYPERLINK("https://probpalata.gov.ru/files/ИП630601425400086.jpeg","Скачать индивидуальный QR-код магазина")</f>
        <v>Скачать индивидуальный QR-код магазина</v>
      </c>
    </row>
    <row r="13706" spans="1:7" x14ac:dyDescent="0.25">
      <c r="A13706" t="s">
        <v>41653</v>
      </c>
      <c r="B13706" t="s">
        <v>42443</v>
      </c>
      <c r="C13706" t="s">
        <v>2197</v>
      </c>
      <c r="D13706" t="s">
        <v>2198</v>
      </c>
      <c r="E13706" t="s">
        <v>2199</v>
      </c>
      <c r="F13706" t="s">
        <v>42444</v>
      </c>
      <c r="G13706" s="2" t="str">
        <f>HYPERLINK("https://probpalata.gov.ru/files/ИП630601425400101.jpeg","Скачать индивидуальный QR-код магазина")</f>
        <v>Скачать индивидуальный QR-код магазина</v>
      </c>
    </row>
    <row r="13707" spans="1:7" x14ac:dyDescent="0.25">
      <c r="A13707" t="s">
        <v>41653</v>
      </c>
      <c r="B13707" t="s">
        <v>42436</v>
      </c>
      <c r="C13707" t="s">
        <v>2197</v>
      </c>
      <c r="D13707" t="s">
        <v>2198</v>
      </c>
      <c r="E13707" t="s">
        <v>2199</v>
      </c>
      <c r="F13707" t="s">
        <v>42445</v>
      </c>
      <c r="G13707" s="2" t="str">
        <f>HYPERLINK("https://probpalata.gov.ru/files/ИП630601425400124.jpeg","Скачать индивидуальный QR-код магазина")</f>
        <v>Скачать индивидуальный QR-код магазина</v>
      </c>
    </row>
    <row r="13708" spans="1:7" x14ac:dyDescent="0.25">
      <c r="A13708" t="s">
        <v>41653</v>
      </c>
      <c r="B13708" t="s">
        <v>42446</v>
      </c>
      <c r="C13708" t="s">
        <v>37693</v>
      </c>
      <c r="D13708" t="s">
        <v>37694</v>
      </c>
      <c r="E13708" t="s">
        <v>37695</v>
      </c>
      <c r="F13708" t="s">
        <v>42447</v>
      </c>
      <c r="G13708" s="2" t="str">
        <f>HYPERLINK("https://probpalata.gov.ru/files/ИП630600717400000.jpeg","Скачать индивидуальный QR-код магазина")</f>
        <v>Скачать индивидуальный QR-код магазина</v>
      </c>
    </row>
    <row r="13709" spans="1:7" x14ac:dyDescent="0.25">
      <c r="A13709" t="s">
        <v>41653</v>
      </c>
      <c r="B13709" t="s">
        <v>42448</v>
      </c>
      <c r="C13709" t="s">
        <v>42449</v>
      </c>
      <c r="D13709" t="s">
        <v>42450</v>
      </c>
      <c r="E13709" t="s">
        <v>42451</v>
      </c>
      <c r="F13709" t="s">
        <v>42452</v>
      </c>
      <c r="G13709" s="2" t="str">
        <f>HYPERLINK("https://probpalata.gov.ru/files/ЮЛ630600249200003.jpeg","Скачать индивидуальный QR-код магазина")</f>
        <v>Скачать индивидуальный QR-код магазина</v>
      </c>
    </row>
    <row r="13710" spans="1:7" x14ac:dyDescent="0.25">
      <c r="A13710" t="s">
        <v>41653</v>
      </c>
      <c r="B13710" t="s">
        <v>42453</v>
      </c>
      <c r="C13710" t="s">
        <v>42449</v>
      </c>
      <c r="D13710" t="s">
        <v>42450</v>
      </c>
      <c r="E13710" t="s">
        <v>42451</v>
      </c>
      <c r="F13710" t="s">
        <v>42454</v>
      </c>
      <c r="G13710" s="2" t="str">
        <f>HYPERLINK("https://probpalata.gov.ru/files/ЮЛ630600249200005.jpeg","Скачать индивидуальный QR-код магазина")</f>
        <v>Скачать индивидуальный QR-код магазина</v>
      </c>
    </row>
    <row r="13711" spans="1:7" x14ac:dyDescent="0.25">
      <c r="A13711" t="s">
        <v>41653</v>
      </c>
      <c r="B13711" t="s">
        <v>42455</v>
      </c>
      <c r="C13711" t="s">
        <v>42449</v>
      </c>
      <c r="D13711" t="s">
        <v>42450</v>
      </c>
      <c r="E13711" t="s">
        <v>42451</v>
      </c>
      <c r="F13711" t="s">
        <v>42456</v>
      </c>
      <c r="G13711" s="2" t="str">
        <f>HYPERLINK("https://probpalata.gov.ru/files/ЮЛ630600249200007.jpeg","Скачать индивидуальный QR-код магазина")</f>
        <v>Скачать индивидуальный QR-код магазина</v>
      </c>
    </row>
    <row r="13712" spans="1:7" x14ac:dyDescent="0.25">
      <c r="A13712" t="s">
        <v>41653</v>
      </c>
      <c r="B13712" t="s">
        <v>42457</v>
      </c>
      <c r="C13712" t="s">
        <v>42449</v>
      </c>
      <c r="D13712" t="s">
        <v>42450</v>
      </c>
      <c r="E13712" t="s">
        <v>42451</v>
      </c>
      <c r="F13712" t="s">
        <v>42458</v>
      </c>
      <c r="G13712" s="2" t="str">
        <f>HYPERLINK("https://probpalata.gov.ru/files/ЮЛ630600249200011.jpeg","Скачать индивидуальный QR-код магазина")</f>
        <v>Скачать индивидуальный QR-код магазина</v>
      </c>
    </row>
    <row r="13713" spans="1:7" x14ac:dyDescent="0.25">
      <c r="A13713" t="s">
        <v>41653</v>
      </c>
      <c r="B13713" t="s">
        <v>42459</v>
      </c>
      <c r="C13713" t="s">
        <v>42449</v>
      </c>
      <c r="D13713" t="s">
        <v>42450</v>
      </c>
      <c r="E13713" t="s">
        <v>42451</v>
      </c>
      <c r="F13713" t="s">
        <v>42460</v>
      </c>
      <c r="G13713" s="2" t="str">
        <f>HYPERLINK("https://probpalata.gov.ru/files/ЮЛ630600249200013.jpeg","Скачать индивидуальный QR-код магазина")</f>
        <v>Скачать индивидуальный QR-код магазина</v>
      </c>
    </row>
    <row r="13714" spans="1:7" x14ac:dyDescent="0.25">
      <c r="A13714" t="s">
        <v>41653</v>
      </c>
      <c r="B13714" t="s">
        <v>42461</v>
      </c>
      <c r="C13714" t="s">
        <v>42449</v>
      </c>
      <c r="D13714" t="s">
        <v>42450</v>
      </c>
      <c r="E13714" t="s">
        <v>42451</v>
      </c>
      <c r="F13714" t="s">
        <v>42462</v>
      </c>
      <c r="G13714" s="2" t="str">
        <f>HYPERLINK("https://probpalata.gov.ru/files/ЮЛ630600249200014.jpeg","Скачать индивидуальный QR-код магазина")</f>
        <v>Скачать индивидуальный QR-код магазина</v>
      </c>
    </row>
    <row r="13715" spans="1:7" x14ac:dyDescent="0.25">
      <c r="A13715" t="s">
        <v>41653</v>
      </c>
      <c r="B13715" t="s">
        <v>42463</v>
      </c>
      <c r="C13715" t="s">
        <v>42449</v>
      </c>
      <c r="D13715" t="s">
        <v>42450</v>
      </c>
      <c r="E13715" t="s">
        <v>42451</v>
      </c>
      <c r="F13715" t="s">
        <v>42464</v>
      </c>
      <c r="G13715" s="2" t="str">
        <f>HYPERLINK("https://probpalata.gov.ru/files/ЮЛ630600249200016.jpeg","Скачать индивидуальный QR-код магазина")</f>
        <v>Скачать индивидуальный QR-код магазина</v>
      </c>
    </row>
    <row r="13716" spans="1:7" x14ac:dyDescent="0.25">
      <c r="A13716" t="s">
        <v>41653</v>
      </c>
      <c r="B13716" t="s">
        <v>42465</v>
      </c>
      <c r="C13716" t="s">
        <v>42449</v>
      </c>
      <c r="D13716" t="s">
        <v>42450</v>
      </c>
      <c r="E13716" t="s">
        <v>42451</v>
      </c>
      <c r="F13716" t="s">
        <v>42466</v>
      </c>
      <c r="G13716" s="2" t="str">
        <f>HYPERLINK("https://probpalata.gov.ru/files/ЮЛ630600249200017.jpeg","Скачать индивидуальный QR-код магазина")</f>
        <v>Скачать индивидуальный QR-код магазина</v>
      </c>
    </row>
    <row r="13717" spans="1:7" x14ac:dyDescent="0.25">
      <c r="A13717" t="s">
        <v>41653</v>
      </c>
      <c r="B13717" t="s">
        <v>42467</v>
      </c>
      <c r="C13717" t="s">
        <v>42449</v>
      </c>
      <c r="D13717" t="s">
        <v>42450</v>
      </c>
      <c r="E13717" t="s">
        <v>42451</v>
      </c>
      <c r="F13717" t="s">
        <v>42468</v>
      </c>
      <c r="G13717" s="2" t="str">
        <f>HYPERLINK("https://probpalata.gov.ru/files/ЮЛ630600249200018.jpeg","Скачать индивидуальный QR-код магазина")</f>
        <v>Скачать индивидуальный QR-код магазина</v>
      </c>
    </row>
    <row r="13718" spans="1:7" x14ac:dyDescent="0.25">
      <c r="A13718" t="s">
        <v>41653</v>
      </c>
      <c r="B13718" t="s">
        <v>42469</v>
      </c>
      <c r="C13718" t="s">
        <v>42449</v>
      </c>
      <c r="D13718" t="s">
        <v>42450</v>
      </c>
      <c r="E13718" t="s">
        <v>42451</v>
      </c>
      <c r="F13718" t="s">
        <v>42470</v>
      </c>
      <c r="G13718" s="2" t="str">
        <f>HYPERLINK("https://probpalata.gov.ru/files/ЮЛ630600249200019.jpeg","Скачать индивидуальный QR-код магазина")</f>
        <v>Скачать индивидуальный QR-код магазина</v>
      </c>
    </row>
    <row r="13719" spans="1:7" x14ac:dyDescent="0.25">
      <c r="A13719" t="s">
        <v>41653</v>
      </c>
      <c r="B13719" t="s">
        <v>42471</v>
      </c>
      <c r="C13719" t="s">
        <v>42449</v>
      </c>
      <c r="D13719" t="s">
        <v>42450</v>
      </c>
      <c r="E13719" t="s">
        <v>42451</v>
      </c>
      <c r="F13719" t="s">
        <v>42472</v>
      </c>
      <c r="G13719" s="2" t="str">
        <f>HYPERLINK("https://probpalata.gov.ru/files/ЮЛ630600249200020.jpeg","Скачать индивидуальный QR-код магазина")</f>
        <v>Скачать индивидуальный QR-код магазина</v>
      </c>
    </row>
    <row r="13720" spans="1:7" x14ac:dyDescent="0.25">
      <c r="A13720" t="s">
        <v>41653</v>
      </c>
      <c r="B13720" t="s">
        <v>42473</v>
      </c>
      <c r="C13720" t="s">
        <v>42449</v>
      </c>
      <c r="D13720" t="s">
        <v>42450</v>
      </c>
      <c r="E13720" t="s">
        <v>42451</v>
      </c>
      <c r="F13720" t="s">
        <v>42474</v>
      </c>
      <c r="G13720" s="2" t="str">
        <f>HYPERLINK("https://probpalata.gov.ru/files/ЮЛ630600249200021.jpeg","Скачать индивидуальный QR-код магазина")</f>
        <v>Скачать индивидуальный QR-код магазина</v>
      </c>
    </row>
    <row r="13721" spans="1:7" x14ac:dyDescent="0.25">
      <c r="A13721" t="s">
        <v>41653</v>
      </c>
      <c r="B13721" t="s">
        <v>42475</v>
      </c>
      <c r="C13721" t="s">
        <v>42449</v>
      </c>
      <c r="D13721" t="s">
        <v>42450</v>
      </c>
      <c r="E13721" t="s">
        <v>42451</v>
      </c>
      <c r="F13721" t="s">
        <v>42476</v>
      </c>
      <c r="G13721" s="2" t="str">
        <f>HYPERLINK("https://probpalata.gov.ru/files/ЮЛ630600249200022.jpeg","Скачать индивидуальный QR-код магазина")</f>
        <v>Скачать индивидуальный QR-код магазина</v>
      </c>
    </row>
    <row r="13722" spans="1:7" x14ac:dyDescent="0.25">
      <c r="A13722" t="s">
        <v>41653</v>
      </c>
      <c r="B13722" t="s">
        <v>42477</v>
      </c>
      <c r="C13722" t="s">
        <v>42449</v>
      </c>
      <c r="D13722" t="s">
        <v>42450</v>
      </c>
      <c r="E13722" t="s">
        <v>42451</v>
      </c>
      <c r="F13722" t="s">
        <v>42478</v>
      </c>
      <c r="G13722" s="2" t="str">
        <f>HYPERLINK("https://probpalata.gov.ru/files/ЮЛ630600249200023.jpeg","Скачать индивидуальный QR-код магазина")</f>
        <v>Скачать индивидуальный QR-код магазина</v>
      </c>
    </row>
    <row r="13723" spans="1:7" x14ac:dyDescent="0.25">
      <c r="A13723" t="s">
        <v>41653</v>
      </c>
      <c r="B13723" t="s">
        <v>42479</v>
      </c>
      <c r="C13723" t="s">
        <v>42449</v>
      </c>
      <c r="D13723" t="s">
        <v>42450</v>
      </c>
      <c r="E13723" t="s">
        <v>42451</v>
      </c>
      <c r="F13723" t="s">
        <v>42480</v>
      </c>
      <c r="G13723" s="2" t="str">
        <f>HYPERLINK("https://probpalata.gov.ru/files/ЮЛ630600249200025.jpeg","Скачать индивидуальный QR-код магазина")</f>
        <v>Скачать индивидуальный QR-код магазина</v>
      </c>
    </row>
    <row r="13724" spans="1:7" x14ac:dyDescent="0.25">
      <c r="A13724" t="s">
        <v>41653</v>
      </c>
      <c r="B13724" t="s">
        <v>42481</v>
      </c>
      <c r="C13724" t="s">
        <v>42449</v>
      </c>
      <c r="D13724" t="s">
        <v>42450</v>
      </c>
      <c r="E13724" t="s">
        <v>42451</v>
      </c>
      <c r="F13724" t="s">
        <v>42482</v>
      </c>
      <c r="G13724" s="2" t="str">
        <f>HYPERLINK("https://probpalata.gov.ru/files/ЮЛ630600249200027.jpeg","Скачать индивидуальный QR-код магазина")</f>
        <v>Скачать индивидуальный QR-код магазина</v>
      </c>
    </row>
    <row r="13725" spans="1:7" x14ac:dyDescent="0.25">
      <c r="A13725" t="s">
        <v>41653</v>
      </c>
      <c r="B13725" t="s">
        <v>42483</v>
      </c>
      <c r="C13725" t="s">
        <v>42449</v>
      </c>
      <c r="D13725" t="s">
        <v>42450</v>
      </c>
      <c r="E13725" t="s">
        <v>42451</v>
      </c>
      <c r="F13725" t="s">
        <v>42484</v>
      </c>
      <c r="G13725" s="2" t="str">
        <f>HYPERLINK("https://probpalata.gov.ru/files/ЮЛ630600249200028.jpeg","Скачать индивидуальный QR-код магазина")</f>
        <v>Скачать индивидуальный QR-код магазина</v>
      </c>
    </row>
    <row r="13726" spans="1:7" x14ac:dyDescent="0.25">
      <c r="A13726" t="s">
        <v>41653</v>
      </c>
      <c r="B13726" t="s">
        <v>42485</v>
      </c>
      <c r="C13726" t="s">
        <v>42449</v>
      </c>
      <c r="D13726" t="s">
        <v>42450</v>
      </c>
      <c r="E13726" t="s">
        <v>42451</v>
      </c>
      <c r="F13726" t="s">
        <v>42486</v>
      </c>
      <c r="G13726" s="2" t="str">
        <f>HYPERLINK("https://probpalata.gov.ru/files/ЮЛ630600249200031.jpeg","Скачать индивидуальный QR-код магазина")</f>
        <v>Скачать индивидуальный QR-код магазина</v>
      </c>
    </row>
    <row r="13727" spans="1:7" x14ac:dyDescent="0.25">
      <c r="A13727" t="s">
        <v>41653</v>
      </c>
      <c r="B13727" t="s">
        <v>42487</v>
      </c>
      <c r="C13727" t="s">
        <v>42449</v>
      </c>
      <c r="D13727" t="s">
        <v>42450</v>
      </c>
      <c r="E13727" t="s">
        <v>42451</v>
      </c>
      <c r="F13727" t="s">
        <v>42488</v>
      </c>
      <c r="G13727" s="2" t="str">
        <f>HYPERLINK("https://probpalata.gov.ru/files/ЮЛ630600249200032.jpeg","Скачать индивидуальный QR-код магазина")</f>
        <v>Скачать индивидуальный QR-код магазина</v>
      </c>
    </row>
    <row r="13728" spans="1:7" x14ac:dyDescent="0.25">
      <c r="A13728" t="s">
        <v>41653</v>
      </c>
      <c r="B13728" t="s">
        <v>42489</v>
      </c>
      <c r="C13728" t="s">
        <v>42449</v>
      </c>
      <c r="D13728" t="s">
        <v>42450</v>
      </c>
      <c r="E13728" t="s">
        <v>42451</v>
      </c>
      <c r="F13728" t="s">
        <v>42490</v>
      </c>
      <c r="G13728" s="2" t="str">
        <f>HYPERLINK("https://probpalata.gov.ru/files/ЮЛ630600249200033.jpeg","Скачать индивидуальный QR-код магазина")</f>
        <v>Скачать индивидуальный QR-код магазина</v>
      </c>
    </row>
    <row r="13729" spans="1:7" x14ac:dyDescent="0.25">
      <c r="A13729" t="s">
        <v>41653</v>
      </c>
      <c r="B13729" t="s">
        <v>42491</v>
      </c>
      <c r="C13729" t="s">
        <v>42492</v>
      </c>
      <c r="D13729" t="s">
        <v>42493</v>
      </c>
      <c r="E13729" t="s">
        <v>42494</v>
      </c>
      <c r="F13729" t="s">
        <v>42495</v>
      </c>
      <c r="G13729" s="2" t="str">
        <f>HYPERLINK("https://probpalata.gov.ru/files/ЮЛ630603246700000.jpeg","Скачать индивидуальный QR-код магазина")</f>
        <v>Скачать индивидуальный QR-код магазина</v>
      </c>
    </row>
    <row r="13730" spans="1:7" x14ac:dyDescent="0.25">
      <c r="A13730" t="s">
        <v>41653</v>
      </c>
      <c r="B13730" t="s">
        <v>42496</v>
      </c>
      <c r="C13730" t="s">
        <v>42492</v>
      </c>
      <c r="D13730" t="s">
        <v>42493</v>
      </c>
      <c r="E13730" t="s">
        <v>42494</v>
      </c>
      <c r="F13730" t="s">
        <v>42497</v>
      </c>
      <c r="G13730" s="2" t="str">
        <f>HYPERLINK("https://probpalata.gov.ru/files/ЮЛ630603246700004.jpeg","Скачать индивидуальный QR-код магазина")</f>
        <v>Скачать индивидуальный QR-код магазина</v>
      </c>
    </row>
    <row r="13731" spans="1:7" x14ac:dyDescent="0.25">
      <c r="A13731" t="s">
        <v>41653</v>
      </c>
      <c r="B13731" t="s">
        <v>42498</v>
      </c>
      <c r="C13731" t="s">
        <v>42492</v>
      </c>
      <c r="D13731" t="s">
        <v>42493</v>
      </c>
      <c r="E13731" t="s">
        <v>42494</v>
      </c>
      <c r="F13731" t="s">
        <v>42499</v>
      </c>
      <c r="G13731" s="2" t="str">
        <f>HYPERLINK("https://probpalata.gov.ru/files/ЮЛ630603246700005.jpeg","Скачать индивидуальный QR-код магазина")</f>
        <v>Скачать индивидуальный QR-код магазина</v>
      </c>
    </row>
    <row r="13732" spans="1:7" x14ac:dyDescent="0.25">
      <c r="A13732" t="s">
        <v>41653</v>
      </c>
      <c r="B13732" t="s">
        <v>42500</v>
      </c>
      <c r="C13732" t="s">
        <v>42492</v>
      </c>
      <c r="D13732" t="s">
        <v>42493</v>
      </c>
      <c r="E13732" t="s">
        <v>42494</v>
      </c>
      <c r="F13732" t="s">
        <v>42501</v>
      </c>
      <c r="G13732" s="2" t="str">
        <f>HYPERLINK("https://probpalata.gov.ru/files/ЮЛ630603246700006.jpeg","Скачать индивидуальный QR-код магазина")</f>
        <v>Скачать индивидуальный QR-код магазина</v>
      </c>
    </row>
    <row r="13733" spans="1:7" x14ac:dyDescent="0.25">
      <c r="A13733" t="s">
        <v>41653</v>
      </c>
      <c r="B13733" t="s">
        <v>42502</v>
      </c>
      <c r="C13733" t="s">
        <v>42492</v>
      </c>
      <c r="D13733" t="s">
        <v>42493</v>
      </c>
      <c r="E13733" t="s">
        <v>42494</v>
      </c>
      <c r="F13733" t="s">
        <v>42503</v>
      </c>
      <c r="G13733" s="2" t="str">
        <f>HYPERLINK("https://probpalata.gov.ru/files/ЮЛ630603246700020.jpeg","Скачать индивидуальный QR-код магазина")</f>
        <v>Скачать индивидуальный QR-код магазина</v>
      </c>
    </row>
    <row r="13734" spans="1:7" x14ac:dyDescent="0.25">
      <c r="A13734" t="s">
        <v>41653</v>
      </c>
      <c r="B13734" t="s">
        <v>42504</v>
      </c>
      <c r="C13734" t="s">
        <v>14967</v>
      </c>
      <c r="D13734" t="s">
        <v>14968</v>
      </c>
      <c r="E13734" t="s">
        <v>14969</v>
      </c>
      <c r="F13734" t="s">
        <v>42505</v>
      </c>
      <c r="G13734" s="2" t="str">
        <f>HYPERLINK("https://probpalata.gov.ru/files/ЮЛ660701304200001.jpeg","Скачать индивидуальный QR-код магазина")</f>
        <v>Скачать индивидуальный QR-код магазина</v>
      </c>
    </row>
    <row r="13735" spans="1:7" x14ac:dyDescent="0.25">
      <c r="A13735" t="s">
        <v>41653</v>
      </c>
      <c r="B13735" t="s">
        <v>42506</v>
      </c>
      <c r="C13735" t="s">
        <v>42507</v>
      </c>
      <c r="D13735" t="s">
        <v>42508</v>
      </c>
      <c r="E13735" t="s">
        <v>42509</v>
      </c>
      <c r="F13735" t="s">
        <v>42510</v>
      </c>
      <c r="G13735" s="2" t="str">
        <f>HYPERLINK("https://probpalata.gov.ru/files/ИП730600488200002.jpeg","Скачать индивидуальный QR-код магазина")</f>
        <v>Скачать индивидуальный QR-код магазина</v>
      </c>
    </row>
    <row r="13736" spans="1:7" x14ac:dyDescent="0.25">
      <c r="A13736" t="s">
        <v>41653</v>
      </c>
      <c r="B13736" t="s">
        <v>42511</v>
      </c>
      <c r="C13736" t="s">
        <v>42512</v>
      </c>
      <c r="D13736" t="s">
        <v>42513</v>
      </c>
      <c r="E13736" t="s">
        <v>42514</v>
      </c>
      <c r="F13736" t="s">
        <v>42515</v>
      </c>
      <c r="G13736" s="2" t="str">
        <f>HYPERLINK("https://probpalata.gov.ru/files/ИП160603432900000.jpeg","Скачать индивидуальный QR-код магазина")</f>
        <v>Скачать индивидуальный QR-код магазина</v>
      </c>
    </row>
    <row r="13737" spans="1:7" x14ac:dyDescent="0.25">
      <c r="A13737" t="s">
        <v>41653</v>
      </c>
      <c r="B13737" t="s">
        <v>42516</v>
      </c>
      <c r="C13737" t="s">
        <v>42512</v>
      </c>
      <c r="D13737" t="s">
        <v>42513</v>
      </c>
      <c r="E13737" t="s">
        <v>42514</v>
      </c>
      <c r="F13737" t="s">
        <v>42517</v>
      </c>
      <c r="G13737" s="2" t="str">
        <f>HYPERLINK("https://probpalata.gov.ru/files/ИП160603432900002.jpeg","Скачать индивидуальный QR-код магазина")</f>
        <v>Скачать индивидуальный QR-код магазина</v>
      </c>
    </row>
    <row r="13738" spans="1:7" x14ac:dyDescent="0.25">
      <c r="A13738" t="s">
        <v>41653</v>
      </c>
      <c r="B13738" t="s">
        <v>42518</v>
      </c>
      <c r="C13738" t="s">
        <v>42512</v>
      </c>
      <c r="D13738" t="s">
        <v>42513</v>
      </c>
      <c r="E13738" t="s">
        <v>42514</v>
      </c>
      <c r="F13738" t="s">
        <v>42519</v>
      </c>
      <c r="G13738" s="2" t="str">
        <f>HYPERLINK("https://probpalata.gov.ru/files/ИП160603432900003.jpeg","Скачать индивидуальный QR-код магазина")</f>
        <v>Скачать индивидуальный QR-код магазина</v>
      </c>
    </row>
    <row r="13739" spans="1:7" x14ac:dyDescent="0.25">
      <c r="A13739" t="s">
        <v>41653</v>
      </c>
      <c r="B13739" t="s">
        <v>42520</v>
      </c>
      <c r="C13739" t="s">
        <v>42512</v>
      </c>
      <c r="D13739" t="s">
        <v>42513</v>
      </c>
      <c r="E13739" t="s">
        <v>42514</v>
      </c>
      <c r="F13739" t="s">
        <v>42521</v>
      </c>
      <c r="G13739" s="2" t="str">
        <f>HYPERLINK("https://probpalata.gov.ru/files/ИП160603432900004.jpeg","Скачать индивидуальный QR-код магазина")</f>
        <v>Скачать индивидуальный QR-код магазина</v>
      </c>
    </row>
    <row r="13740" spans="1:7" x14ac:dyDescent="0.25">
      <c r="A13740" t="s">
        <v>41653</v>
      </c>
      <c r="B13740" t="s">
        <v>42522</v>
      </c>
      <c r="C13740" t="s">
        <v>42512</v>
      </c>
      <c r="D13740" t="s">
        <v>42513</v>
      </c>
      <c r="E13740" t="s">
        <v>42514</v>
      </c>
      <c r="F13740" t="s">
        <v>42523</v>
      </c>
      <c r="G13740" s="2" t="str">
        <f>HYPERLINK("https://probpalata.gov.ru/files/ИП160603432900005.jpeg","Скачать индивидуальный QR-код магазина")</f>
        <v>Скачать индивидуальный QR-код магазина</v>
      </c>
    </row>
    <row r="13741" spans="1:7" x14ac:dyDescent="0.25">
      <c r="A13741" t="s">
        <v>41653</v>
      </c>
      <c r="B13741" t="s">
        <v>42524</v>
      </c>
      <c r="C13741" t="s">
        <v>42512</v>
      </c>
      <c r="D13741" t="s">
        <v>42513</v>
      </c>
      <c r="E13741" t="s">
        <v>42514</v>
      </c>
      <c r="F13741" t="s">
        <v>42525</v>
      </c>
      <c r="G13741" s="2" t="str">
        <f>HYPERLINK("https://probpalata.gov.ru/files/ИП160603432900006.jpeg","Скачать индивидуальный QR-код магазина")</f>
        <v>Скачать индивидуальный QR-код магазина</v>
      </c>
    </row>
    <row r="13742" spans="1:7" x14ac:dyDescent="0.25">
      <c r="A13742" t="s">
        <v>41653</v>
      </c>
      <c r="B13742" t="s">
        <v>42526</v>
      </c>
      <c r="C13742" t="s">
        <v>42512</v>
      </c>
      <c r="D13742" t="s">
        <v>42513</v>
      </c>
      <c r="E13742" t="s">
        <v>42514</v>
      </c>
      <c r="F13742" t="s">
        <v>42527</v>
      </c>
      <c r="G13742" s="2" t="str">
        <f>HYPERLINK("https://probpalata.gov.ru/files/ИП160603432900007.jpeg","Скачать индивидуальный QR-код магазина")</f>
        <v>Скачать индивидуальный QR-код магазина</v>
      </c>
    </row>
    <row r="13743" spans="1:7" x14ac:dyDescent="0.25">
      <c r="A13743" t="s">
        <v>41653</v>
      </c>
      <c r="B13743" t="s">
        <v>42528</v>
      </c>
      <c r="C13743" t="s">
        <v>42512</v>
      </c>
      <c r="D13743" t="s">
        <v>42513</v>
      </c>
      <c r="E13743" t="s">
        <v>42514</v>
      </c>
      <c r="F13743" t="s">
        <v>42529</v>
      </c>
      <c r="G13743" s="2" t="str">
        <f>HYPERLINK("https://probpalata.gov.ru/files/ИП160603432900008.jpeg","Скачать индивидуальный QR-код магазина")</f>
        <v>Скачать индивидуальный QR-код магазина</v>
      </c>
    </row>
    <row r="13744" spans="1:7" x14ac:dyDescent="0.25">
      <c r="A13744" t="s">
        <v>41653</v>
      </c>
      <c r="B13744" t="s">
        <v>42530</v>
      </c>
      <c r="C13744" t="s">
        <v>42512</v>
      </c>
      <c r="D13744" t="s">
        <v>42513</v>
      </c>
      <c r="E13744" t="s">
        <v>42514</v>
      </c>
      <c r="F13744" t="s">
        <v>42531</v>
      </c>
      <c r="G13744" s="2" t="str">
        <f>HYPERLINK("https://probpalata.gov.ru/files/ИП160603432900009.jpeg","Скачать индивидуальный QR-код магазина")</f>
        <v>Скачать индивидуальный QR-код магазина</v>
      </c>
    </row>
    <row r="13745" spans="1:7" x14ac:dyDescent="0.25">
      <c r="A13745" t="s">
        <v>41653</v>
      </c>
      <c r="B13745" t="s">
        <v>42532</v>
      </c>
      <c r="C13745" t="s">
        <v>42512</v>
      </c>
      <c r="D13745" t="s">
        <v>42513</v>
      </c>
      <c r="E13745" t="s">
        <v>42514</v>
      </c>
      <c r="F13745" t="s">
        <v>42533</v>
      </c>
      <c r="G13745" s="2" t="str">
        <f>HYPERLINK("https://probpalata.gov.ru/files/ИП160603432900010.jpeg","Скачать индивидуальный QR-код магазина")</f>
        <v>Скачать индивидуальный QR-код магазина</v>
      </c>
    </row>
    <row r="13746" spans="1:7" x14ac:dyDescent="0.25">
      <c r="A13746" t="s">
        <v>41653</v>
      </c>
      <c r="B13746" t="s">
        <v>42534</v>
      </c>
      <c r="C13746" t="s">
        <v>42535</v>
      </c>
      <c r="D13746" t="s">
        <v>42536</v>
      </c>
      <c r="E13746" t="s">
        <v>42537</v>
      </c>
      <c r="F13746" t="s">
        <v>42538</v>
      </c>
      <c r="G13746" s="2" t="str">
        <f>HYPERLINK("https://probpalata.gov.ru/files/ИП160601262300000.jpeg","Скачать индивидуальный QR-код магазина")</f>
        <v>Скачать индивидуальный QR-код магазина</v>
      </c>
    </row>
    <row r="13747" spans="1:7" x14ac:dyDescent="0.25">
      <c r="A13747" t="s">
        <v>41653</v>
      </c>
      <c r="B13747" t="s">
        <v>42539</v>
      </c>
      <c r="C13747" t="s">
        <v>14993</v>
      </c>
      <c r="D13747" t="s">
        <v>14994</v>
      </c>
      <c r="E13747" t="s">
        <v>14995</v>
      </c>
      <c r="F13747" t="s">
        <v>42540</v>
      </c>
      <c r="G13747" s="2" t="str">
        <f>HYPERLINK("https://probpalata.gov.ru/files/ЮЛ770100278900008.jpeg","Скачать индивидуальный QR-код магазина")</f>
        <v>Скачать индивидуальный QR-код магазина</v>
      </c>
    </row>
    <row r="13748" spans="1:7" x14ac:dyDescent="0.25">
      <c r="A13748" t="s">
        <v>41653</v>
      </c>
      <c r="B13748" t="s">
        <v>42541</v>
      </c>
      <c r="C13748" t="s">
        <v>15012</v>
      </c>
      <c r="D13748" t="s">
        <v>15013</v>
      </c>
      <c r="E13748" t="s">
        <v>15014</v>
      </c>
      <c r="F13748" t="s">
        <v>42542</v>
      </c>
      <c r="G13748" s="2" t="str">
        <f>HYPERLINK("https://probpalata.gov.ru/files/ЮЛ770100301000004.jpeg","Скачать индивидуальный QR-код магазина")</f>
        <v>Скачать индивидуальный QR-код магазина</v>
      </c>
    </row>
    <row r="13749" spans="1:7" x14ac:dyDescent="0.25">
      <c r="A13749" t="s">
        <v>41653</v>
      </c>
      <c r="B13749" t="s">
        <v>42543</v>
      </c>
      <c r="C13749" t="s">
        <v>3157</v>
      </c>
      <c r="D13749" t="s">
        <v>3158</v>
      </c>
      <c r="E13749" t="s">
        <v>3159</v>
      </c>
      <c r="F13749" t="s">
        <v>42544</v>
      </c>
      <c r="G13749" s="2" t="str">
        <f>HYPERLINK("https://probpalata.gov.ru/files/ИП770100417900019.jpeg","Скачать индивидуальный QR-код магазина")</f>
        <v>Скачать индивидуальный QR-код магазина</v>
      </c>
    </row>
    <row r="13750" spans="1:7" x14ac:dyDescent="0.25">
      <c r="A13750" t="s">
        <v>41653</v>
      </c>
      <c r="B13750" t="s">
        <v>42545</v>
      </c>
      <c r="C13750" t="s">
        <v>3157</v>
      </c>
      <c r="D13750" t="s">
        <v>3158</v>
      </c>
      <c r="E13750" t="s">
        <v>3159</v>
      </c>
      <c r="F13750" t="s">
        <v>42546</v>
      </c>
      <c r="G13750" s="2" t="str">
        <f>HYPERLINK("https://probpalata.gov.ru/files/ИП770100417900021.jpeg","Скачать индивидуальный QR-код магазина")</f>
        <v>Скачать индивидуальный QR-код магазина</v>
      </c>
    </row>
    <row r="13751" spans="1:7" x14ac:dyDescent="0.25">
      <c r="A13751" t="s">
        <v>41653</v>
      </c>
      <c r="B13751" t="s">
        <v>42547</v>
      </c>
      <c r="C13751" t="s">
        <v>713</v>
      </c>
      <c r="D13751" t="s">
        <v>714</v>
      </c>
      <c r="E13751" t="s">
        <v>715</v>
      </c>
      <c r="F13751" t="s">
        <v>42548</v>
      </c>
      <c r="G13751" s="2" t="str">
        <f>HYPERLINK("https://probpalata.gov.ru/files/ЮЛ770101216600077.jpeg","Скачать индивидуальный QR-код магазина")</f>
        <v>Скачать индивидуальный QR-код магазина</v>
      </c>
    </row>
    <row r="13752" spans="1:7" x14ac:dyDescent="0.25">
      <c r="A13752" t="s">
        <v>41653</v>
      </c>
      <c r="B13752" t="s">
        <v>42549</v>
      </c>
      <c r="C13752" t="s">
        <v>713</v>
      </c>
      <c r="D13752" t="s">
        <v>714</v>
      </c>
      <c r="E13752" t="s">
        <v>715</v>
      </c>
      <c r="F13752" t="s">
        <v>42550</v>
      </c>
      <c r="G13752" s="2" t="str">
        <f>HYPERLINK("https://probpalata.gov.ru/files/ЮЛ770101216600135.jpeg","Скачать индивидуальный QR-код магазина")</f>
        <v>Скачать индивидуальный QR-код магазина</v>
      </c>
    </row>
    <row r="13753" spans="1:7" x14ac:dyDescent="0.25">
      <c r="A13753" t="s">
        <v>41653</v>
      </c>
      <c r="B13753" t="s">
        <v>42551</v>
      </c>
      <c r="C13753" t="s">
        <v>713</v>
      </c>
      <c r="D13753" t="s">
        <v>714</v>
      </c>
      <c r="E13753" t="s">
        <v>715</v>
      </c>
      <c r="F13753" t="s">
        <v>42552</v>
      </c>
      <c r="G13753" s="2" t="str">
        <f>HYPERLINK("https://probpalata.gov.ru/files/ЮЛ770101216600140.jpeg","Скачать индивидуальный QR-код магазина")</f>
        <v>Скачать индивидуальный QR-код магазина</v>
      </c>
    </row>
    <row r="13754" spans="1:7" x14ac:dyDescent="0.25">
      <c r="A13754" t="s">
        <v>41653</v>
      </c>
      <c r="B13754" t="s">
        <v>42553</v>
      </c>
      <c r="C13754" t="s">
        <v>713</v>
      </c>
      <c r="D13754" t="s">
        <v>714</v>
      </c>
      <c r="E13754" t="s">
        <v>715</v>
      </c>
      <c r="F13754" t="s">
        <v>42554</v>
      </c>
      <c r="G13754" s="2" t="str">
        <f>HYPERLINK("https://probpalata.gov.ru/files/ЮЛ770101216600161.jpeg","Скачать индивидуальный QR-код магазина")</f>
        <v>Скачать индивидуальный QR-код магазина</v>
      </c>
    </row>
    <row r="13755" spans="1:7" x14ac:dyDescent="0.25">
      <c r="A13755" t="s">
        <v>41653</v>
      </c>
      <c r="B13755" t="s">
        <v>42555</v>
      </c>
      <c r="C13755" t="s">
        <v>713</v>
      </c>
      <c r="D13755" t="s">
        <v>714</v>
      </c>
      <c r="E13755" t="s">
        <v>715</v>
      </c>
      <c r="F13755" t="s">
        <v>42556</v>
      </c>
      <c r="G13755" s="2" t="str">
        <f>HYPERLINK("https://probpalata.gov.ru/files/ЮЛ770101216600190.jpeg","Скачать индивидуальный QR-код магазина")</f>
        <v>Скачать индивидуальный QR-код магазина</v>
      </c>
    </row>
    <row r="13756" spans="1:7" x14ac:dyDescent="0.25">
      <c r="A13756" t="s">
        <v>41653</v>
      </c>
      <c r="B13756" t="s">
        <v>42557</v>
      </c>
      <c r="C13756" t="s">
        <v>713</v>
      </c>
      <c r="D13756" t="s">
        <v>714</v>
      </c>
      <c r="E13756" t="s">
        <v>715</v>
      </c>
      <c r="F13756" t="s">
        <v>42558</v>
      </c>
      <c r="G13756" s="2" t="str">
        <f>HYPERLINK("https://probpalata.gov.ru/files/ЮЛ770101216600296.jpeg","Скачать индивидуальный QR-код магазина")</f>
        <v>Скачать индивидуальный QR-код магазина</v>
      </c>
    </row>
    <row r="13757" spans="1:7" x14ac:dyDescent="0.25">
      <c r="A13757" t="s">
        <v>41653</v>
      </c>
      <c r="B13757" t="s">
        <v>42559</v>
      </c>
      <c r="C13757" t="s">
        <v>713</v>
      </c>
      <c r="D13757" t="s">
        <v>714</v>
      </c>
      <c r="E13757" t="s">
        <v>715</v>
      </c>
      <c r="F13757" t="s">
        <v>42560</v>
      </c>
      <c r="G13757" s="2" t="str">
        <f>HYPERLINK("https://probpalata.gov.ru/files/ЮЛ770101216600336.jpeg","Скачать индивидуальный QR-код магазина")</f>
        <v>Скачать индивидуальный QR-код магазина</v>
      </c>
    </row>
    <row r="13758" spans="1:7" x14ac:dyDescent="0.25">
      <c r="A13758" t="s">
        <v>41653</v>
      </c>
      <c r="B13758" t="s">
        <v>42561</v>
      </c>
      <c r="C13758" t="s">
        <v>713</v>
      </c>
      <c r="D13758" t="s">
        <v>714</v>
      </c>
      <c r="E13758" t="s">
        <v>715</v>
      </c>
      <c r="F13758" t="s">
        <v>42562</v>
      </c>
      <c r="G13758" s="2" t="str">
        <f>HYPERLINK("https://probpalata.gov.ru/files/ЮЛ770101216600401.jpeg","Скачать индивидуальный QR-код магазина")</f>
        <v>Скачать индивидуальный QR-код магазина</v>
      </c>
    </row>
    <row r="13759" spans="1:7" x14ac:dyDescent="0.25">
      <c r="A13759" t="s">
        <v>41653</v>
      </c>
      <c r="B13759" t="s">
        <v>42563</v>
      </c>
      <c r="C13759" t="s">
        <v>713</v>
      </c>
      <c r="D13759" t="s">
        <v>714</v>
      </c>
      <c r="E13759" t="s">
        <v>715</v>
      </c>
      <c r="F13759" t="s">
        <v>42564</v>
      </c>
      <c r="G13759" s="2" t="str">
        <f>HYPERLINK("https://probpalata.gov.ru/files/ЮЛ770101216600476.jpeg","Скачать индивидуальный QR-код магазина")</f>
        <v>Скачать индивидуальный QR-код магазина</v>
      </c>
    </row>
    <row r="13760" spans="1:7" x14ac:dyDescent="0.25">
      <c r="A13760" t="s">
        <v>41653</v>
      </c>
      <c r="B13760" t="s">
        <v>42565</v>
      </c>
      <c r="C13760" t="s">
        <v>713</v>
      </c>
      <c r="D13760" t="s">
        <v>714</v>
      </c>
      <c r="E13760" t="s">
        <v>715</v>
      </c>
      <c r="F13760" t="s">
        <v>42566</v>
      </c>
      <c r="G13760" s="2" t="str">
        <f>HYPERLINK("https://probpalata.gov.ru/files/ЮЛ770101216600508.jpeg","Скачать индивидуальный QR-код магазина")</f>
        <v>Скачать индивидуальный QR-код магазина</v>
      </c>
    </row>
    <row r="13761" spans="1:7" x14ac:dyDescent="0.25">
      <c r="A13761" t="s">
        <v>41653</v>
      </c>
      <c r="B13761" t="s">
        <v>42567</v>
      </c>
      <c r="C13761" t="s">
        <v>713</v>
      </c>
      <c r="D13761" t="s">
        <v>714</v>
      </c>
      <c r="E13761" t="s">
        <v>715</v>
      </c>
      <c r="F13761" t="s">
        <v>42568</v>
      </c>
      <c r="G13761" s="2" t="str">
        <f>HYPERLINK("https://probpalata.gov.ru/files/ЮЛ770101216600509.jpeg","Скачать индивидуальный QR-код магазина")</f>
        <v>Скачать индивидуальный QR-код магазина</v>
      </c>
    </row>
    <row r="13762" spans="1:7" x14ac:dyDescent="0.25">
      <c r="A13762" t="s">
        <v>41653</v>
      </c>
      <c r="B13762" t="s">
        <v>42569</v>
      </c>
      <c r="C13762" t="s">
        <v>713</v>
      </c>
      <c r="D13762" t="s">
        <v>714</v>
      </c>
      <c r="E13762" t="s">
        <v>715</v>
      </c>
      <c r="F13762" t="s">
        <v>42570</v>
      </c>
      <c r="G13762" s="2" t="str">
        <f>HYPERLINK("https://probpalata.gov.ru/files/ЮЛ770101216600535.jpeg","Скачать индивидуальный QR-код магазина")</f>
        <v>Скачать индивидуальный QR-код магазина</v>
      </c>
    </row>
    <row r="13763" spans="1:7" x14ac:dyDescent="0.25">
      <c r="A13763" t="s">
        <v>41653</v>
      </c>
      <c r="B13763" t="s">
        <v>42571</v>
      </c>
      <c r="C13763" t="s">
        <v>713</v>
      </c>
      <c r="D13763" t="s">
        <v>714</v>
      </c>
      <c r="E13763" t="s">
        <v>715</v>
      </c>
      <c r="F13763" t="s">
        <v>42572</v>
      </c>
      <c r="G13763" s="2" t="str">
        <f>HYPERLINK("https://probpalata.gov.ru/files/ЮЛ770101216600577.jpeg","Скачать индивидуальный QR-код магазина")</f>
        <v>Скачать индивидуальный QR-код магазина</v>
      </c>
    </row>
    <row r="13764" spans="1:7" x14ac:dyDescent="0.25">
      <c r="A13764" t="s">
        <v>41653</v>
      </c>
      <c r="B13764" t="s">
        <v>42573</v>
      </c>
      <c r="C13764" t="s">
        <v>713</v>
      </c>
      <c r="D13764" t="s">
        <v>714</v>
      </c>
      <c r="E13764" t="s">
        <v>715</v>
      </c>
      <c r="F13764" t="s">
        <v>42574</v>
      </c>
      <c r="G13764" s="2" t="str">
        <f>HYPERLINK("https://probpalata.gov.ru/files/ЮЛ770101216600602.jpeg","Скачать индивидуальный QR-код магазина")</f>
        <v>Скачать индивидуальный QR-код магазина</v>
      </c>
    </row>
    <row r="13765" spans="1:7" x14ac:dyDescent="0.25">
      <c r="A13765" t="s">
        <v>41653</v>
      </c>
      <c r="B13765" t="s">
        <v>42575</v>
      </c>
      <c r="C13765" t="s">
        <v>713</v>
      </c>
      <c r="D13765" t="s">
        <v>714</v>
      </c>
      <c r="E13765" t="s">
        <v>715</v>
      </c>
      <c r="F13765" t="s">
        <v>42576</v>
      </c>
      <c r="G13765" s="2" t="str">
        <f>HYPERLINK("https://probpalata.gov.ru/files/ЮЛ770101216600621.jpeg","Скачать индивидуальный QR-код магазина")</f>
        <v>Скачать индивидуальный QR-код магазина</v>
      </c>
    </row>
    <row r="13766" spans="1:7" x14ac:dyDescent="0.25">
      <c r="A13766" t="s">
        <v>41653</v>
      </c>
      <c r="B13766" t="s">
        <v>42577</v>
      </c>
      <c r="C13766" t="s">
        <v>713</v>
      </c>
      <c r="D13766" t="s">
        <v>714</v>
      </c>
      <c r="E13766" t="s">
        <v>715</v>
      </c>
      <c r="F13766" t="s">
        <v>42578</v>
      </c>
      <c r="G13766" s="2" t="str">
        <f>HYPERLINK("https://probpalata.gov.ru/files/ЮЛ770101216600622.jpeg","Скачать индивидуальный QR-код магазина")</f>
        <v>Скачать индивидуальный QR-код магазина</v>
      </c>
    </row>
    <row r="13767" spans="1:7" x14ac:dyDescent="0.25">
      <c r="A13767" t="s">
        <v>41653</v>
      </c>
      <c r="B13767" t="s">
        <v>42579</v>
      </c>
      <c r="C13767" t="s">
        <v>713</v>
      </c>
      <c r="D13767" t="s">
        <v>714</v>
      </c>
      <c r="E13767" t="s">
        <v>715</v>
      </c>
      <c r="F13767" t="s">
        <v>42580</v>
      </c>
      <c r="G13767" s="2" t="str">
        <f>HYPERLINK("https://probpalata.gov.ru/files/ЮЛ770101216600628.jpeg","Скачать индивидуальный QR-код магазина")</f>
        <v>Скачать индивидуальный QR-код магазина</v>
      </c>
    </row>
    <row r="13768" spans="1:7" x14ac:dyDescent="0.25">
      <c r="A13768" t="s">
        <v>41653</v>
      </c>
      <c r="B13768" t="s">
        <v>42581</v>
      </c>
      <c r="C13768" t="s">
        <v>713</v>
      </c>
      <c r="D13768" t="s">
        <v>714</v>
      </c>
      <c r="E13768" t="s">
        <v>715</v>
      </c>
      <c r="F13768" t="s">
        <v>42582</v>
      </c>
      <c r="G13768" s="2" t="str">
        <f>HYPERLINK("https://probpalata.gov.ru/files/ЮЛ770101216600652.jpeg","Скачать индивидуальный QR-код магазина")</f>
        <v>Скачать индивидуальный QR-код магазина</v>
      </c>
    </row>
    <row r="13769" spans="1:7" x14ac:dyDescent="0.25">
      <c r="A13769" t="s">
        <v>41653</v>
      </c>
      <c r="B13769" t="s">
        <v>42583</v>
      </c>
      <c r="C13769" t="s">
        <v>713</v>
      </c>
      <c r="D13769" t="s">
        <v>714</v>
      </c>
      <c r="E13769" t="s">
        <v>715</v>
      </c>
      <c r="F13769" t="s">
        <v>42584</v>
      </c>
      <c r="G13769" s="2" t="str">
        <f>HYPERLINK("https://probpalata.gov.ru/files/ЮЛ770101216600709.jpeg","Скачать индивидуальный QR-код магазина")</f>
        <v>Скачать индивидуальный QR-код магазина</v>
      </c>
    </row>
    <row r="13770" spans="1:7" x14ac:dyDescent="0.25">
      <c r="A13770" t="s">
        <v>41653</v>
      </c>
      <c r="B13770" t="s">
        <v>42585</v>
      </c>
      <c r="C13770" t="s">
        <v>713</v>
      </c>
      <c r="D13770" t="s">
        <v>714</v>
      </c>
      <c r="E13770" t="s">
        <v>715</v>
      </c>
      <c r="F13770" t="s">
        <v>42586</v>
      </c>
      <c r="G13770" s="2" t="str">
        <f>HYPERLINK("https://probpalata.gov.ru/files/ЮЛ770101216600756.jpeg","Скачать индивидуальный QR-код магазина")</f>
        <v>Скачать индивидуальный QR-код магазина</v>
      </c>
    </row>
    <row r="13771" spans="1:7" x14ac:dyDescent="0.25">
      <c r="A13771" t="s">
        <v>41653</v>
      </c>
      <c r="B13771" t="s">
        <v>42587</v>
      </c>
      <c r="C13771" t="s">
        <v>713</v>
      </c>
      <c r="D13771" t="s">
        <v>714</v>
      </c>
      <c r="E13771" t="s">
        <v>715</v>
      </c>
      <c r="F13771" t="s">
        <v>42588</v>
      </c>
      <c r="G13771" s="2" t="str">
        <f>HYPERLINK("https://probpalata.gov.ru/files/ЮЛ770101216600757.jpeg","Скачать индивидуальный QR-код магазина")</f>
        <v>Скачать индивидуальный QR-код магазина</v>
      </c>
    </row>
    <row r="13772" spans="1:7" x14ac:dyDescent="0.25">
      <c r="A13772" t="s">
        <v>41653</v>
      </c>
      <c r="B13772" t="s">
        <v>42589</v>
      </c>
      <c r="C13772" t="s">
        <v>713</v>
      </c>
      <c r="D13772" t="s">
        <v>714</v>
      </c>
      <c r="E13772" t="s">
        <v>715</v>
      </c>
      <c r="F13772" t="s">
        <v>42590</v>
      </c>
      <c r="G13772" s="2" t="str">
        <f>HYPERLINK("https://probpalata.gov.ru/files/ЮЛ770101216600761.jpeg","Скачать индивидуальный QR-код магазина")</f>
        <v>Скачать индивидуальный QR-код магазина</v>
      </c>
    </row>
    <row r="13773" spans="1:7" x14ac:dyDescent="0.25">
      <c r="A13773" t="s">
        <v>41653</v>
      </c>
      <c r="B13773" t="s">
        <v>42591</v>
      </c>
      <c r="C13773" t="s">
        <v>713</v>
      </c>
      <c r="D13773" t="s">
        <v>714</v>
      </c>
      <c r="E13773" t="s">
        <v>715</v>
      </c>
      <c r="F13773" t="s">
        <v>42592</v>
      </c>
      <c r="G13773" s="2" t="str">
        <f>HYPERLINK("https://probpalata.gov.ru/files/ЮЛ770101216600766.jpeg","Скачать индивидуальный QR-код магазина")</f>
        <v>Скачать индивидуальный QR-код магазина</v>
      </c>
    </row>
    <row r="13774" spans="1:7" x14ac:dyDescent="0.25">
      <c r="A13774" t="s">
        <v>41653</v>
      </c>
      <c r="B13774" t="s">
        <v>42593</v>
      </c>
      <c r="C13774" t="s">
        <v>713</v>
      </c>
      <c r="D13774" t="s">
        <v>714</v>
      </c>
      <c r="E13774" t="s">
        <v>715</v>
      </c>
      <c r="F13774" t="s">
        <v>42594</v>
      </c>
      <c r="G13774" s="2" t="str">
        <f>HYPERLINK("https://probpalata.gov.ru/files/ЮЛ770101216600768.jpeg","Скачать индивидуальный QR-код магазина")</f>
        <v>Скачать индивидуальный QR-код магазина</v>
      </c>
    </row>
    <row r="13775" spans="1:7" x14ac:dyDescent="0.25">
      <c r="A13775" t="s">
        <v>41653</v>
      </c>
      <c r="B13775" t="s">
        <v>42595</v>
      </c>
      <c r="C13775" t="s">
        <v>713</v>
      </c>
      <c r="D13775" t="s">
        <v>714</v>
      </c>
      <c r="E13775" t="s">
        <v>715</v>
      </c>
      <c r="F13775" t="s">
        <v>42596</v>
      </c>
      <c r="G13775" s="2" t="str">
        <f>HYPERLINK("https://probpalata.gov.ru/files/ЮЛ770101216600784.jpeg","Скачать индивидуальный QR-код магазина")</f>
        <v>Скачать индивидуальный QR-код магазина</v>
      </c>
    </row>
    <row r="13776" spans="1:7" x14ac:dyDescent="0.25">
      <c r="A13776" t="s">
        <v>41653</v>
      </c>
      <c r="B13776" t="s">
        <v>42597</v>
      </c>
      <c r="C13776" t="s">
        <v>713</v>
      </c>
      <c r="D13776" t="s">
        <v>714</v>
      </c>
      <c r="E13776" t="s">
        <v>715</v>
      </c>
      <c r="F13776" t="s">
        <v>42598</v>
      </c>
      <c r="G13776" s="2" t="str">
        <f>HYPERLINK("https://probpalata.gov.ru/files/ЮЛ770101216600838.jpeg","Скачать индивидуальный QR-код магазина")</f>
        <v>Скачать индивидуальный QR-код магазина</v>
      </c>
    </row>
    <row r="13777" spans="1:7" x14ac:dyDescent="0.25">
      <c r="A13777" t="s">
        <v>41653</v>
      </c>
      <c r="B13777" t="s">
        <v>42599</v>
      </c>
      <c r="C13777" t="s">
        <v>713</v>
      </c>
      <c r="D13777" t="s">
        <v>714</v>
      </c>
      <c r="E13777" t="s">
        <v>715</v>
      </c>
      <c r="F13777" t="s">
        <v>42600</v>
      </c>
      <c r="G13777" s="2" t="str">
        <f>HYPERLINK("https://probpalata.gov.ru/files/ЮЛ770101216600894.jpeg","Скачать индивидуальный QR-код магазина")</f>
        <v>Скачать индивидуальный QR-код магазина</v>
      </c>
    </row>
    <row r="13778" spans="1:7" x14ac:dyDescent="0.25">
      <c r="A13778" t="s">
        <v>41653</v>
      </c>
      <c r="B13778" t="s">
        <v>42601</v>
      </c>
      <c r="C13778" t="s">
        <v>713</v>
      </c>
      <c r="D13778" t="s">
        <v>714</v>
      </c>
      <c r="E13778" t="s">
        <v>715</v>
      </c>
      <c r="F13778" t="s">
        <v>42602</v>
      </c>
      <c r="G13778" s="2" t="str">
        <f>HYPERLINK("https://probpalata.gov.ru/files/ЮЛ770101216600916.jpeg","Скачать индивидуальный QR-код магазина")</f>
        <v>Скачать индивидуальный QR-код магазина</v>
      </c>
    </row>
    <row r="13779" spans="1:7" x14ac:dyDescent="0.25">
      <c r="A13779" t="s">
        <v>41653</v>
      </c>
      <c r="B13779" t="s">
        <v>42603</v>
      </c>
      <c r="C13779" t="s">
        <v>713</v>
      </c>
      <c r="D13779" t="s">
        <v>714</v>
      </c>
      <c r="E13779" t="s">
        <v>715</v>
      </c>
      <c r="F13779" t="s">
        <v>42604</v>
      </c>
      <c r="G13779" s="2" t="str">
        <f>HYPERLINK("https://probpalata.gov.ru/files/ЮЛ770101216600965.jpeg","Скачать индивидуальный QR-код магазина")</f>
        <v>Скачать индивидуальный QR-код магазина</v>
      </c>
    </row>
    <row r="13780" spans="1:7" x14ac:dyDescent="0.25">
      <c r="A13780" t="s">
        <v>41653</v>
      </c>
      <c r="B13780" t="s">
        <v>42605</v>
      </c>
      <c r="C13780" t="s">
        <v>713</v>
      </c>
      <c r="D13780" t="s">
        <v>714</v>
      </c>
      <c r="E13780" t="s">
        <v>715</v>
      </c>
      <c r="F13780" t="s">
        <v>42606</v>
      </c>
      <c r="G13780" s="2" t="str">
        <f>HYPERLINK("https://probpalata.gov.ru/files/ЮЛ770101216600969.jpeg","Скачать индивидуальный QR-код магазина")</f>
        <v>Скачать индивидуальный QR-код магазина</v>
      </c>
    </row>
    <row r="13781" spans="1:7" x14ac:dyDescent="0.25">
      <c r="A13781" t="s">
        <v>41653</v>
      </c>
      <c r="B13781" t="s">
        <v>42052</v>
      </c>
      <c r="C13781" t="s">
        <v>42607</v>
      </c>
      <c r="D13781" t="s">
        <v>42608</v>
      </c>
      <c r="E13781" t="s">
        <v>42609</v>
      </c>
      <c r="F13781" t="s">
        <v>42610</v>
      </c>
      <c r="G13781" s="2" t="str">
        <f>HYPERLINK("https://probpalata.gov.ru/files/ИП770100559100000.jpeg","Скачать индивидуальный QR-код магазина")</f>
        <v>Скачать индивидуальный QR-код магазина</v>
      </c>
    </row>
    <row r="13782" spans="1:7" x14ac:dyDescent="0.25">
      <c r="A13782" t="s">
        <v>41653</v>
      </c>
      <c r="B13782" t="s">
        <v>42611</v>
      </c>
      <c r="C13782" t="s">
        <v>42607</v>
      </c>
      <c r="D13782" t="s">
        <v>42608</v>
      </c>
      <c r="E13782" t="s">
        <v>42609</v>
      </c>
      <c r="F13782" t="s">
        <v>42612</v>
      </c>
      <c r="G13782" s="2" t="str">
        <f>HYPERLINK("https://probpalata.gov.ru/files/ИП770100559100001.jpeg","Скачать индивидуальный QR-код магазина")</f>
        <v>Скачать индивидуальный QR-код магазина</v>
      </c>
    </row>
    <row r="13783" spans="1:7" x14ac:dyDescent="0.25">
      <c r="A13783" t="s">
        <v>41653</v>
      </c>
      <c r="B13783" t="s">
        <v>42613</v>
      </c>
      <c r="C13783" t="s">
        <v>42614</v>
      </c>
      <c r="D13783" t="s">
        <v>42615</v>
      </c>
      <c r="E13783" t="s">
        <v>42616</v>
      </c>
      <c r="F13783" t="s">
        <v>42617</v>
      </c>
      <c r="G13783" s="2" t="str">
        <f>HYPERLINK("https://probpalata.gov.ru/files/ИП770100198800000.jpeg","Скачать индивидуальный QR-код магазина")</f>
        <v>Скачать индивидуальный QR-код магазина</v>
      </c>
    </row>
    <row r="13784" spans="1:7" x14ac:dyDescent="0.25">
      <c r="A13784" t="s">
        <v>41653</v>
      </c>
      <c r="B13784" t="s">
        <v>42618</v>
      </c>
      <c r="C13784" t="s">
        <v>1416</v>
      </c>
      <c r="D13784" t="s">
        <v>1417</v>
      </c>
      <c r="E13784" t="s">
        <v>1418</v>
      </c>
      <c r="F13784" t="s">
        <v>42619</v>
      </c>
      <c r="G13784" s="2" t="str">
        <f>HYPERLINK("https://probpalata.gov.ru/files/ЮЛ770100419400065.jpeg","Скачать индивидуальный QR-код магазина")</f>
        <v>Скачать индивидуальный QR-код магазина</v>
      </c>
    </row>
    <row r="13785" spans="1:7" x14ac:dyDescent="0.25">
      <c r="A13785" t="s">
        <v>41653</v>
      </c>
      <c r="B13785" t="s">
        <v>42620</v>
      </c>
      <c r="C13785" t="s">
        <v>1416</v>
      </c>
      <c r="D13785" t="s">
        <v>1417</v>
      </c>
      <c r="E13785" t="s">
        <v>1418</v>
      </c>
      <c r="F13785" t="s">
        <v>42621</v>
      </c>
      <c r="G13785" s="2" t="str">
        <f>HYPERLINK("https://probpalata.gov.ru/files/ЮЛ770100419400066.jpeg","Скачать индивидуальный QR-код магазина")</f>
        <v>Скачать индивидуальный QR-код магазина</v>
      </c>
    </row>
    <row r="13786" spans="1:7" x14ac:dyDescent="0.25">
      <c r="A13786" t="s">
        <v>41653</v>
      </c>
      <c r="B13786" t="s">
        <v>42388</v>
      </c>
      <c r="C13786" t="s">
        <v>1416</v>
      </c>
      <c r="D13786" t="s">
        <v>1417</v>
      </c>
      <c r="E13786" t="s">
        <v>1418</v>
      </c>
      <c r="F13786" t="s">
        <v>42622</v>
      </c>
      <c r="G13786" s="2" t="str">
        <f>HYPERLINK("https://probpalata.gov.ru/files/ЮЛ770100419400068.jpeg","Скачать индивидуальный QR-код магазина")</f>
        <v>Скачать индивидуальный QR-код магазина</v>
      </c>
    </row>
    <row r="13787" spans="1:7" x14ac:dyDescent="0.25">
      <c r="A13787" t="s">
        <v>41653</v>
      </c>
      <c r="B13787" t="s">
        <v>42194</v>
      </c>
      <c r="C13787" t="s">
        <v>1416</v>
      </c>
      <c r="D13787" t="s">
        <v>1417</v>
      </c>
      <c r="E13787" t="s">
        <v>1418</v>
      </c>
      <c r="F13787" t="s">
        <v>42623</v>
      </c>
      <c r="G13787" s="2" t="str">
        <f>HYPERLINK("https://probpalata.gov.ru/files/ЮЛ770100419400070.jpeg","Скачать индивидуальный QR-код магазина")</f>
        <v>Скачать индивидуальный QR-код магазина</v>
      </c>
    </row>
    <row r="13788" spans="1:7" x14ac:dyDescent="0.25">
      <c r="A13788" t="s">
        <v>41653</v>
      </c>
      <c r="B13788" t="s">
        <v>42436</v>
      </c>
      <c r="C13788" t="s">
        <v>1416</v>
      </c>
      <c r="D13788" t="s">
        <v>1417</v>
      </c>
      <c r="E13788" t="s">
        <v>1418</v>
      </c>
      <c r="F13788" t="s">
        <v>42624</v>
      </c>
      <c r="G13788" s="2" t="str">
        <f>HYPERLINK("https://probpalata.gov.ru/files/ЮЛ770100419400179.jpeg","Скачать индивидуальный QR-код магазина")</f>
        <v>Скачать индивидуальный QR-код магазина</v>
      </c>
    </row>
    <row r="13789" spans="1:7" x14ac:dyDescent="0.25">
      <c r="A13789" t="s">
        <v>41653</v>
      </c>
      <c r="B13789" t="s">
        <v>42625</v>
      </c>
      <c r="C13789" t="s">
        <v>1416</v>
      </c>
      <c r="D13789" t="s">
        <v>1417</v>
      </c>
      <c r="E13789" t="s">
        <v>1418</v>
      </c>
      <c r="F13789" t="s">
        <v>42626</v>
      </c>
      <c r="G13789" s="2" t="str">
        <f>HYPERLINK("https://probpalata.gov.ru/files/ЮЛ770100419400218.jpeg","Скачать индивидуальный QR-код магазина")</f>
        <v>Скачать индивидуальный QR-код магазина</v>
      </c>
    </row>
    <row r="13790" spans="1:7" x14ac:dyDescent="0.25">
      <c r="A13790" t="s">
        <v>41653</v>
      </c>
      <c r="B13790" t="s">
        <v>42627</v>
      </c>
      <c r="C13790" t="s">
        <v>748</v>
      </c>
      <c r="D13790" t="s">
        <v>749</v>
      </c>
      <c r="E13790" t="s">
        <v>750</v>
      </c>
      <c r="F13790" t="s">
        <v>42628</v>
      </c>
      <c r="G13790" s="2" t="str">
        <f>HYPERLINK("https://probpalata.gov.ru/files/ЮЛ770100193500294.jpeg","Скачать индивидуальный QR-код магазина")</f>
        <v>Скачать индивидуальный QR-код магазина</v>
      </c>
    </row>
    <row r="13791" spans="1:7" x14ac:dyDescent="0.25">
      <c r="A13791" t="s">
        <v>41653</v>
      </c>
      <c r="B13791" t="s">
        <v>42629</v>
      </c>
      <c r="C13791" t="s">
        <v>748</v>
      </c>
      <c r="D13791" t="s">
        <v>749</v>
      </c>
      <c r="E13791" t="s">
        <v>750</v>
      </c>
      <c r="F13791" t="s">
        <v>42630</v>
      </c>
      <c r="G13791" s="2" t="str">
        <f>HYPERLINK("https://probpalata.gov.ru/files/ЮЛ770100193500296.jpeg","Скачать индивидуальный QR-код магазина")</f>
        <v>Скачать индивидуальный QR-код магазина</v>
      </c>
    </row>
    <row r="13792" spans="1:7" x14ac:dyDescent="0.25">
      <c r="A13792" t="s">
        <v>41653</v>
      </c>
      <c r="B13792" t="s">
        <v>42631</v>
      </c>
      <c r="C13792" t="s">
        <v>748</v>
      </c>
      <c r="D13792" t="s">
        <v>749</v>
      </c>
      <c r="E13792" t="s">
        <v>750</v>
      </c>
      <c r="F13792" t="s">
        <v>42632</v>
      </c>
      <c r="G13792" s="2" t="str">
        <f>HYPERLINK("https://probpalata.gov.ru/files/ЮЛ770100193500297.jpeg","Скачать индивидуальный QR-код магазина")</f>
        <v>Скачать индивидуальный QR-код магазина</v>
      </c>
    </row>
    <row r="13793" spans="1:7" x14ac:dyDescent="0.25">
      <c r="A13793" t="s">
        <v>41653</v>
      </c>
      <c r="B13793" t="s">
        <v>42633</v>
      </c>
      <c r="C13793" t="s">
        <v>748</v>
      </c>
      <c r="D13793" t="s">
        <v>749</v>
      </c>
      <c r="E13793" t="s">
        <v>750</v>
      </c>
      <c r="F13793" t="s">
        <v>42634</v>
      </c>
      <c r="G13793" s="2" t="str">
        <f>HYPERLINK("https://probpalata.gov.ru/files/ЮЛ770100193500298.jpeg","Скачать индивидуальный QR-код магазина")</f>
        <v>Скачать индивидуальный QR-код магазина</v>
      </c>
    </row>
    <row r="13794" spans="1:7" x14ac:dyDescent="0.25">
      <c r="A13794" t="s">
        <v>41653</v>
      </c>
      <c r="B13794" t="s">
        <v>42635</v>
      </c>
      <c r="C13794" t="s">
        <v>748</v>
      </c>
      <c r="D13794" t="s">
        <v>749</v>
      </c>
      <c r="E13794" t="s">
        <v>750</v>
      </c>
      <c r="F13794" t="s">
        <v>42636</v>
      </c>
      <c r="G13794" s="2" t="str">
        <f>HYPERLINK("https://probpalata.gov.ru/files/ЮЛ770100193500299.jpeg","Скачать индивидуальный QR-код магазина")</f>
        <v>Скачать индивидуальный QR-код магазина</v>
      </c>
    </row>
    <row r="13795" spans="1:7" x14ac:dyDescent="0.25">
      <c r="A13795" t="s">
        <v>41653</v>
      </c>
      <c r="B13795" t="s">
        <v>42637</v>
      </c>
      <c r="C13795" t="s">
        <v>748</v>
      </c>
      <c r="D13795" t="s">
        <v>749</v>
      </c>
      <c r="E13795" t="s">
        <v>750</v>
      </c>
      <c r="F13795" t="s">
        <v>42638</v>
      </c>
      <c r="G13795" s="2" t="str">
        <f>HYPERLINK("https://probpalata.gov.ru/files/ЮЛ770100193500300.jpeg","Скачать индивидуальный QR-код магазина")</f>
        <v>Скачать индивидуальный QR-код магазина</v>
      </c>
    </row>
    <row r="13796" spans="1:7" x14ac:dyDescent="0.25">
      <c r="A13796" t="s">
        <v>41653</v>
      </c>
      <c r="B13796" t="s">
        <v>42639</v>
      </c>
      <c r="C13796" t="s">
        <v>748</v>
      </c>
      <c r="D13796" t="s">
        <v>749</v>
      </c>
      <c r="E13796" t="s">
        <v>750</v>
      </c>
      <c r="F13796" t="s">
        <v>42640</v>
      </c>
      <c r="G13796" s="2" t="str">
        <f>HYPERLINK("https://probpalata.gov.ru/files/ЮЛ770100193500488.jpeg","Скачать индивидуальный QR-код магазина")</f>
        <v>Скачать индивидуальный QR-код магазина</v>
      </c>
    </row>
    <row r="13797" spans="1:7" x14ac:dyDescent="0.25">
      <c r="A13797" t="s">
        <v>41653</v>
      </c>
      <c r="B13797" t="s">
        <v>42641</v>
      </c>
      <c r="C13797" t="s">
        <v>748</v>
      </c>
      <c r="D13797" t="s">
        <v>749</v>
      </c>
      <c r="E13797" t="s">
        <v>750</v>
      </c>
      <c r="F13797" t="s">
        <v>42642</v>
      </c>
      <c r="G13797" s="2" t="str">
        <f>HYPERLINK("https://probpalata.gov.ru/files/ЮЛ770100193500567.jpeg","Скачать индивидуальный QR-код магазина")</f>
        <v>Скачать индивидуальный QR-код магазина</v>
      </c>
    </row>
    <row r="13798" spans="1:7" x14ac:dyDescent="0.25">
      <c r="A13798" t="s">
        <v>41653</v>
      </c>
      <c r="B13798" t="s">
        <v>42643</v>
      </c>
      <c r="C13798" t="s">
        <v>748</v>
      </c>
      <c r="D13798" t="s">
        <v>749</v>
      </c>
      <c r="E13798" t="s">
        <v>750</v>
      </c>
      <c r="F13798" t="s">
        <v>42644</v>
      </c>
      <c r="G13798" s="2" t="str">
        <f>HYPERLINK("https://probpalata.gov.ru/files/ЮЛ770100193500639.jpeg","Скачать индивидуальный QR-код магазина")</f>
        <v>Скачать индивидуальный QR-код магазина</v>
      </c>
    </row>
    <row r="13799" spans="1:7" x14ac:dyDescent="0.25">
      <c r="A13799" t="s">
        <v>41653</v>
      </c>
      <c r="B13799" t="s">
        <v>42645</v>
      </c>
      <c r="C13799" t="s">
        <v>748</v>
      </c>
      <c r="D13799" t="s">
        <v>749</v>
      </c>
      <c r="E13799" t="s">
        <v>750</v>
      </c>
      <c r="F13799" t="s">
        <v>42646</v>
      </c>
      <c r="G13799" s="2" t="str">
        <f>HYPERLINK("https://probpalata.gov.ru/files/ЮЛ770100193500679.jpeg","Скачать индивидуальный QR-код магазина")</f>
        <v>Скачать индивидуальный QR-код магазина</v>
      </c>
    </row>
    <row r="13800" spans="1:7" x14ac:dyDescent="0.25">
      <c r="A13800" t="s">
        <v>41653</v>
      </c>
      <c r="B13800" t="s">
        <v>42647</v>
      </c>
      <c r="C13800" t="s">
        <v>748</v>
      </c>
      <c r="D13800" t="s">
        <v>749</v>
      </c>
      <c r="E13800" t="s">
        <v>750</v>
      </c>
      <c r="F13800" t="s">
        <v>42648</v>
      </c>
      <c r="G13800" s="2" t="str">
        <f>HYPERLINK("https://probpalata.gov.ru/files/ЮЛ770100193500791.jpeg","Скачать индивидуальный QR-код магазина")</f>
        <v>Скачать индивидуальный QR-код магазина</v>
      </c>
    </row>
    <row r="13801" spans="1:7" x14ac:dyDescent="0.25">
      <c r="A13801" t="s">
        <v>41653</v>
      </c>
      <c r="B13801" t="s">
        <v>42649</v>
      </c>
      <c r="C13801" t="s">
        <v>748</v>
      </c>
      <c r="D13801" t="s">
        <v>749</v>
      </c>
      <c r="E13801" t="s">
        <v>750</v>
      </c>
      <c r="F13801" t="s">
        <v>42650</v>
      </c>
      <c r="G13801" s="2" t="str">
        <f>HYPERLINK("https://probpalata.gov.ru/files/ЮЛ770100193500874.jpeg","Скачать индивидуальный QR-код магазина")</f>
        <v>Скачать индивидуальный QR-код магазина</v>
      </c>
    </row>
    <row r="13802" spans="1:7" x14ac:dyDescent="0.25">
      <c r="A13802" t="s">
        <v>41653</v>
      </c>
      <c r="B13802" t="s">
        <v>42651</v>
      </c>
      <c r="C13802" t="s">
        <v>748</v>
      </c>
      <c r="D13802" t="s">
        <v>749</v>
      </c>
      <c r="E13802" t="s">
        <v>750</v>
      </c>
      <c r="F13802" t="s">
        <v>42652</v>
      </c>
      <c r="G13802" s="2" t="str">
        <f>HYPERLINK("https://probpalata.gov.ru/files/ЮЛ770100193501019.jpeg","Скачать индивидуальный QR-код магазина")</f>
        <v>Скачать индивидуальный QR-код магазина</v>
      </c>
    </row>
    <row r="13803" spans="1:7" x14ac:dyDescent="0.25">
      <c r="A13803" t="s">
        <v>41653</v>
      </c>
      <c r="B13803" t="s">
        <v>42653</v>
      </c>
      <c r="C13803" t="s">
        <v>748</v>
      </c>
      <c r="D13803" t="s">
        <v>749</v>
      </c>
      <c r="E13803" t="s">
        <v>750</v>
      </c>
      <c r="F13803" t="s">
        <v>42654</v>
      </c>
      <c r="G13803" s="2" t="str">
        <f>HYPERLINK("https://probpalata.gov.ru/files/ЮЛ770100193501037.jpeg","Скачать индивидуальный QR-код магазина")</f>
        <v>Скачать индивидуальный QR-код магазина</v>
      </c>
    </row>
    <row r="13804" spans="1:7" x14ac:dyDescent="0.25">
      <c r="A13804" t="s">
        <v>41653</v>
      </c>
      <c r="B13804" t="s">
        <v>42655</v>
      </c>
      <c r="C13804" t="s">
        <v>15265</v>
      </c>
      <c r="D13804" t="s">
        <v>15266</v>
      </c>
      <c r="E13804" t="s">
        <v>15267</v>
      </c>
      <c r="F13804" t="s">
        <v>42656</v>
      </c>
      <c r="G13804" s="2" t="str">
        <f>HYPERLINK("https://probpalata.gov.ru/files/ЮЛ160600373100006.jpeg","Скачать индивидуальный QR-код магазина")</f>
        <v>Скачать индивидуальный QR-код магазина</v>
      </c>
    </row>
    <row r="13805" spans="1:7" x14ac:dyDescent="0.25">
      <c r="A13805" t="s">
        <v>41653</v>
      </c>
      <c r="B13805" t="s">
        <v>42657</v>
      </c>
      <c r="C13805" t="s">
        <v>15265</v>
      </c>
      <c r="D13805" t="s">
        <v>15266</v>
      </c>
      <c r="E13805" t="s">
        <v>15267</v>
      </c>
      <c r="F13805" t="s">
        <v>42658</v>
      </c>
      <c r="G13805" s="2" t="str">
        <f>HYPERLINK("https://probpalata.gov.ru/files/ЮЛ160600373100008.jpeg","Скачать индивидуальный QR-код магазина")</f>
        <v>Скачать индивидуальный QR-код магазина</v>
      </c>
    </row>
    <row r="13806" spans="1:7" x14ac:dyDescent="0.25">
      <c r="A13806" t="s">
        <v>41653</v>
      </c>
      <c r="B13806" t="s">
        <v>42659</v>
      </c>
      <c r="C13806" t="s">
        <v>15265</v>
      </c>
      <c r="D13806" t="s">
        <v>15266</v>
      </c>
      <c r="E13806" t="s">
        <v>15267</v>
      </c>
      <c r="F13806" t="s">
        <v>42660</v>
      </c>
      <c r="G13806" s="2" t="str">
        <f>HYPERLINK("https://probpalata.gov.ru/files/ЮЛ160600373100015.jpeg","Скачать индивидуальный QR-код магазина")</f>
        <v>Скачать индивидуальный QR-код магазина</v>
      </c>
    </row>
    <row r="13807" spans="1:7" x14ac:dyDescent="0.25">
      <c r="A13807" t="s">
        <v>41653</v>
      </c>
      <c r="B13807" t="s">
        <v>42661</v>
      </c>
      <c r="C13807" t="s">
        <v>15265</v>
      </c>
      <c r="D13807" t="s">
        <v>15266</v>
      </c>
      <c r="E13807" t="s">
        <v>15267</v>
      </c>
      <c r="F13807" t="s">
        <v>42662</v>
      </c>
      <c r="G13807" s="2" t="str">
        <f>HYPERLINK("https://probpalata.gov.ru/files/ЮЛ160600373100018.jpeg","Скачать индивидуальный QR-код магазина")</f>
        <v>Скачать индивидуальный QR-код магазина</v>
      </c>
    </row>
    <row r="13808" spans="1:7" x14ac:dyDescent="0.25">
      <c r="A13808" t="s">
        <v>41653</v>
      </c>
      <c r="B13808" t="s">
        <v>42663</v>
      </c>
      <c r="C13808" t="s">
        <v>6290</v>
      </c>
      <c r="D13808" t="s">
        <v>16830</v>
      </c>
      <c r="E13808" t="s">
        <v>16831</v>
      </c>
      <c r="F13808" t="s">
        <v>42664</v>
      </c>
      <c r="G13808" s="2" t="str">
        <f>HYPERLINK("https://probpalata.gov.ru/files/ЮЛ770103181900001.jpeg","Скачать индивидуальный QR-код магазина")</f>
        <v>Скачать индивидуальный QR-код магазина</v>
      </c>
    </row>
    <row r="13809" spans="1:7" x14ac:dyDescent="0.25">
      <c r="A13809" t="s">
        <v>41653</v>
      </c>
      <c r="B13809" t="s">
        <v>42428</v>
      </c>
      <c r="C13809" t="s">
        <v>6290</v>
      </c>
      <c r="D13809" t="s">
        <v>16830</v>
      </c>
      <c r="E13809" t="s">
        <v>16831</v>
      </c>
      <c r="F13809" t="s">
        <v>42665</v>
      </c>
      <c r="G13809" s="2" t="str">
        <f>HYPERLINK("https://probpalata.gov.ru/files/ЮЛ770103181900006.jpeg","Скачать индивидуальный QR-код магазина")</f>
        <v>Скачать индивидуальный QR-код магазина</v>
      </c>
    </row>
    <row r="13810" spans="1:7" x14ac:dyDescent="0.25">
      <c r="A13810" t="s">
        <v>41653</v>
      </c>
      <c r="B13810" t="s">
        <v>42666</v>
      </c>
      <c r="C13810" t="s">
        <v>773</v>
      </c>
      <c r="D13810" t="s">
        <v>774</v>
      </c>
      <c r="E13810" t="s">
        <v>775</v>
      </c>
      <c r="F13810" t="s">
        <v>42667</v>
      </c>
      <c r="G13810" s="2" t="str">
        <f>HYPERLINK("https://probpalata.gov.ru/files/ЮЛ780300131300255.jpeg","Скачать индивидуальный QR-код магазина")</f>
        <v>Скачать индивидуальный QR-код магазина</v>
      </c>
    </row>
    <row r="13811" spans="1:7" x14ac:dyDescent="0.25">
      <c r="A13811" t="s">
        <v>41653</v>
      </c>
      <c r="B13811" t="s">
        <v>42668</v>
      </c>
      <c r="C13811" t="s">
        <v>773</v>
      </c>
      <c r="D13811" t="s">
        <v>774</v>
      </c>
      <c r="E13811" t="s">
        <v>775</v>
      </c>
      <c r="F13811" t="s">
        <v>42669</v>
      </c>
      <c r="G13811" s="2" t="str">
        <f>HYPERLINK("https://probpalata.gov.ru/files/ЮЛ780300131300256.jpeg","Скачать индивидуальный QR-код магазина")</f>
        <v>Скачать индивидуальный QR-код магазина</v>
      </c>
    </row>
    <row r="13812" spans="1:7" x14ac:dyDescent="0.25">
      <c r="A13812" t="s">
        <v>41653</v>
      </c>
      <c r="B13812" t="s">
        <v>42670</v>
      </c>
      <c r="C13812" t="s">
        <v>787</v>
      </c>
      <c r="D13812" t="s">
        <v>788</v>
      </c>
      <c r="E13812" t="s">
        <v>789</v>
      </c>
      <c r="F13812" t="s">
        <v>42671</v>
      </c>
      <c r="G13812" s="2" t="str">
        <f>HYPERLINK("https://probpalata.gov.ru/files/ЮЛ780300328000227.jpeg","Скачать индивидуальный QR-код магазина")</f>
        <v>Скачать индивидуальный QR-код магазина</v>
      </c>
    </row>
    <row r="13813" spans="1:7" x14ac:dyDescent="0.25">
      <c r="A13813" t="s">
        <v>41653</v>
      </c>
      <c r="B13813" t="s">
        <v>42672</v>
      </c>
      <c r="C13813" t="s">
        <v>787</v>
      </c>
      <c r="D13813" t="s">
        <v>788</v>
      </c>
      <c r="E13813" t="s">
        <v>789</v>
      </c>
      <c r="F13813" t="s">
        <v>42673</v>
      </c>
      <c r="G13813" s="2" t="str">
        <f>HYPERLINK("https://probpalata.gov.ru/files/ЮЛ780300328000228.jpeg","Скачать индивидуальный QR-код магазина")</f>
        <v>Скачать индивидуальный QR-код магазина</v>
      </c>
    </row>
    <row r="13814" spans="1:7" x14ac:dyDescent="0.25">
      <c r="A13814" t="s">
        <v>41653</v>
      </c>
      <c r="B13814" t="s">
        <v>42674</v>
      </c>
      <c r="C13814" t="s">
        <v>791</v>
      </c>
      <c r="D13814" t="s">
        <v>792</v>
      </c>
      <c r="E13814" t="s">
        <v>793</v>
      </c>
      <c r="F13814" t="s">
        <v>42675</v>
      </c>
      <c r="G13814" s="2" t="str">
        <f>HYPERLINK("https://probpalata.gov.ru/files/ЮЛ780300323500006.jpeg","Скачать индивидуальный QR-код магазина")</f>
        <v>Скачать индивидуальный QR-код магазина</v>
      </c>
    </row>
    <row r="13815" spans="1:7" x14ac:dyDescent="0.25">
      <c r="A13815" t="s">
        <v>41653</v>
      </c>
      <c r="B13815" t="s">
        <v>42676</v>
      </c>
      <c r="C13815" t="s">
        <v>791</v>
      </c>
      <c r="D13815" t="s">
        <v>792</v>
      </c>
      <c r="E13815" t="s">
        <v>793</v>
      </c>
      <c r="F13815" t="s">
        <v>42677</v>
      </c>
      <c r="G13815" s="2" t="str">
        <f>HYPERLINK("https://probpalata.gov.ru/files/ЮЛ780300323500008.jpeg","Скачать индивидуальный QR-код магазина")</f>
        <v>Скачать индивидуальный QR-код магазина</v>
      </c>
    </row>
    <row r="13816" spans="1:7" x14ac:dyDescent="0.25">
      <c r="A13816" t="s">
        <v>41653</v>
      </c>
      <c r="B13816" t="s">
        <v>42678</v>
      </c>
      <c r="C13816" t="s">
        <v>791</v>
      </c>
      <c r="D13816" t="s">
        <v>792</v>
      </c>
      <c r="E13816" t="s">
        <v>793</v>
      </c>
      <c r="F13816" t="s">
        <v>42679</v>
      </c>
      <c r="G13816" s="2" t="str">
        <f>HYPERLINK("https://probpalata.gov.ru/files/ЮЛ780300323500010.jpeg","Скачать индивидуальный QR-код магазина")</f>
        <v>Скачать индивидуальный QR-код магазина</v>
      </c>
    </row>
    <row r="13817" spans="1:7" x14ac:dyDescent="0.25">
      <c r="A13817" t="s">
        <v>41653</v>
      </c>
      <c r="B13817" t="s">
        <v>42680</v>
      </c>
      <c r="C13817" t="s">
        <v>791</v>
      </c>
      <c r="D13817" t="s">
        <v>792</v>
      </c>
      <c r="E13817" t="s">
        <v>793</v>
      </c>
      <c r="F13817" t="s">
        <v>42681</v>
      </c>
      <c r="G13817" s="2" t="str">
        <f>HYPERLINK("https://probpalata.gov.ru/files/ЮЛ780300323500089.jpeg","Скачать индивидуальный QR-код магазина")</f>
        <v>Скачать индивидуальный QR-код магазина</v>
      </c>
    </row>
    <row r="13818" spans="1:7" x14ac:dyDescent="0.25">
      <c r="A13818" t="s">
        <v>41653</v>
      </c>
      <c r="B13818" t="s">
        <v>42682</v>
      </c>
      <c r="C13818" t="s">
        <v>791</v>
      </c>
      <c r="D13818" t="s">
        <v>792</v>
      </c>
      <c r="E13818" t="s">
        <v>793</v>
      </c>
      <c r="F13818" t="s">
        <v>42683</v>
      </c>
      <c r="G13818" s="2" t="str">
        <f>HYPERLINK("https://probpalata.gov.ru/files/ЮЛ780300323500090.jpeg","Скачать индивидуальный QR-код магазина")</f>
        <v>Скачать индивидуальный QR-код магазина</v>
      </c>
    </row>
    <row r="13819" spans="1:7" x14ac:dyDescent="0.25">
      <c r="A13819" t="s">
        <v>41653</v>
      </c>
      <c r="B13819" t="s">
        <v>42684</v>
      </c>
      <c r="C13819" t="s">
        <v>791</v>
      </c>
      <c r="D13819" t="s">
        <v>792</v>
      </c>
      <c r="E13819" t="s">
        <v>793</v>
      </c>
      <c r="F13819" t="s">
        <v>42685</v>
      </c>
      <c r="G13819" s="2" t="str">
        <f>HYPERLINK("https://probpalata.gov.ru/files/ЮЛ780300323500091.jpeg","Скачать индивидуальный QR-код магазина")</f>
        <v>Скачать индивидуальный QR-код магазина</v>
      </c>
    </row>
    <row r="13820" spans="1:7" x14ac:dyDescent="0.25">
      <c r="A13820" t="s">
        <v>41653</v>
      </c>
      <c r="B13820" t="s">
        <v>42686</v>
      </c>
      <c r="C13820" t="s">
        <v>791</v>
      </c>
      <c r="D13820" t="s">
        <v>792</v>
      </c>
      <c r="E13820" t="s">
        <v>793</v>
      </c>
      <c r="F13820" t="s">
        <v>42687</v>
      </c>
      <c r="G13820" s="2" t="str">
        <f>HYPERLINK("https://probpalata.gov.ru/files/ЮЛ780300323500104.jpeg","Скачать индивидуальный QR-код магазина")</f>
        <v>Скачать индивидуальный QR-код магазина</v>
      </c>
    </row>
    <row r="13821" spans="1:7" x14ac:dyDescent="0.25">
      <c r="A13821" t="s">
        <v>41653</v>
      </c>
      <c r="B13821" t="s">
        <v>41921</v>
      </c>
      <c r="C13821" t="s">
        <v>791</v>
      </c>
      <c r="D13821" t="s">
        <v>792</v>
      </c>
      <c r="E13821" t="s">
        <v>793</v>
      </c>
      <c r="F13821" t="s">
        <v>42688</v>
      </c>
      <c r="G13821" s="2" t="str">
        <f>HYPERLINK("https://probpalata.gov.ru/files/ЮЛ780300323500105.jpeg","Скачать индивидуальный QR-код магазина")</f>
        <v>Скачать индивидуальный QR-код магазина</v>
      </c>
    </row>
    <row r="13822" spans="1:7" x14ac:dyDescent="0.25">
      <c r="A13822" t="s">
        <v>41653</v>
      </c>
      <c r="B13822" t="s">
        <v>42689</v>
      </c>
      <c r="C13822" t="s">
        <v>791</v>
      </c>
      <c r="D13822" t="s">
        <v>792</v>
      </c>
      <c r="E13822" t="s">
        <v>793</v>
      </c>
      <c r="F13822" t="s">
        <v>42690</v>
      </c>
      <c r="G13822" s="2" t="str">
        <f>HYPERLINK("https://probpalata.gov.ru/files/ЮЛ780300323500116.jpeg","Скачать индивидуальный QR-код магазина")</f>
        <v>Скачать индивидуальный QR-код магазина</v>
      </c>
    </row>
    <row r="13823" spans="1:7" x14ac:dyDescent="0.25">
      <c r="A13823" t="s">
        <v>41653</v>
      </c>
      <c r="B13823" t="s">
        <v>42691</v>
      </c>
      <c r="C13823" t="s">
        <v>798</v>
      </c>
      <c r="D13823" t="s">
        <v>799</v>
      </c>
      <c r="E13823" t="s">
        <v>800</v>
      </c>
      <c r="F13823" t="s">
        <v>42692</v>
      </c>
      <c r="G13823" s="2" t="str">
        <f>HYPERLINK("https://probpalata.gov.ru/files/ЮЛ780300308200228.jpeg","Скачать индивидуальный QR-код магазина")</f>
        <v>Скачать индивидуальный QR-код магазина</v>
      </c>
    </row>
    <row r="13824" spans="1:7" x14ac:dyDescent="0.25">
      <c r="A13824" t="s">
        <v>41653</v>
      </c>
      <c r="B13824" t="s">
        <v>42693</v>
      </c>
      <c r="C13824" t="s">
        <v>798</v>
      </c>
      <c r="D13824" t="s">
        <v>799</v>
      </c>
      <c r="E13824" t="s">
        <v>800</v>
      </c>
      <c r="F13824" t="s">
        <v>42694</v>
      </c>
      <c r="G13824" s="2" t="str">
        <f>HYPERLINK("https://probpalata.gov.ru/files/ЮЛ780300308200229.jpeg","Скачать индивидуальный QR-код магазина")</f>
        <v>Скачать индивидуальный QR-код магазина</v>
      </c>
    </row>
    <row r="13825" spans="1:7" x14ac:dyDescent="0.25">
      <c r="A13825" t="s">
        <v>41653</v>
      </c>
      <c r="B13825" t="s">
        <v>42695</v>
      </c>
      <c r="C13825" t="s">
        <v>798</v>
      </c>
      <c r="D13825" t="s">
        <v>799</v>
      </c>
      <c r="E13825" t="s">
        <v>800</v>
      </c>
      <c r="F13825" t="s">
        <v>42696</v>
      </c>
      <c r="G13825" s="2" t="str">
        <f>HYPERLINK("https://probpalata.gov.ru/files/ЮЛ780300308200410.jpeg","Скачать индивидуальный QR-код магазина")</f>
        <v>Скачать индивидуальный QR-код магазина</v>
      </c>
    </row>
    <row r="13826" spans="1:7" x14ac:dyDescent="0.25">
      <c r="A13826" t="s">
        <v>41653</v>
      </c>
      <c r="B13826" t="s">
        <v>42697</v>
      </c>
      <c r="C13826" t="s">
        <v>798</v>
      </c>
      <c r="D13826" t="s">
        <v>799</v>
      </c>
      <c r="E13826" t="s">
        <v>800</v>
      </c>
      <c r="F13826" t="s">
        <v>42698</v>
      </c>
      <c r="G13826" s="2" t="str">
        <f>HYPERLINK("https://probpalata.gov.ru/files/ЮЛ780300308200411.jpeg","Скачать индивидуальный QR-код магазина")</f>
        <v>Скачать индивидуальный QR-код магазина</v>
      </c>
    </row>
    <row r="13827" spans="1:7" x14ac:dyDescent="0.25">
      <c r="A13827" t="s">
        <v>41653</v>
      </c>
      <c r="B13827" t="s">
        <v>42699</v>
      </c>
      <c r="C13827" t="s">
        <v>798</v>
      </c>
      <c r="D13827" t="s">
        <v>799</v>
      </c>
      <c r="E13827" t="s">
        <v>800</v>
      </c>
      <c r="F13827" t="s">
        <v>42700</v>
      </c>
      <c r="G13827" s="2" t="str">
        <f>HYPERLINK("https://probpalata.gov.ru/files/ЮЛ780300308200548.jpeg","Скачать индивидуальный QR-код магазина")</f>
        <v>Скачать индивидуальный QR-код магазина</v>
      </c>
    </row>
    <row r="13828" spans="1:7" x14ac:dyDescent="0.25">
      <c r="A13828" t="s">
        <v>41653</v>
      </c>
      <c r="B13828" t="s">
        <v>42701</v>
      </c>
      <c r="C13828" t="s">
        <v>798</v>
      </c>
      <c r="D13828" t="s">
        <v>799</v>
      </c>
      <c r="E13828" t="s">
        <v>800</v>
      </c>
      <c r="F13828" t="s">
        <v>42702</v>
      </c>
      <c r="G13828" s="2" t="str">
        <f>HYPERLINK("https://probpalata.gov.ru/files/ЮЛ780300308200549.jpeg","Скачать индивидуальный QR-код магазина")</f>
        <v>Скачать индивидуальный QR-код магазина</v>
      </c>
    </row>
    <row r="13829" spans="1:7" x14ac:dyDescent="0.25">
      <c r="A13829" t="s">
        <v>41653</v>
      </c>
      <c r="B13829" t="s">
        <v>42703</v>
      </c>
      <c r="C13829" t="s">
        <v>798</v>
      </c>
      <c r="D13829" t="s">
        <v>799</v>
      </c>
      <c r="E13829" t="s">
        <v>800</v>
      </c>
      <c r="F13829" t="s">
        <v>42704</v>
      </c>
      <c r="G13829" s="2" t="str">
        <f>HYPERLINK("https://probpalata.gov.ru/files/ЮЛ780300308200550.jpeg","Скачать индивидуальный QR-код магазина")</f>
        <v>Скачать индивидуальный QR-код магазина</v>
      </c>
    </row>
    <row r="13830" spans="1:7" x14ac:dyDescent="0.25">
      <c r="A13830" t="s">
        <v>41653</v>
      </c>
      <c r="B13830" t="s">
        <v>42705</v>
      </c>
      <c r="C13830" t="s">
        <v>798</v>
      </c>
      <c r="D13830" t="s">
        <v>799</v>
      </c>
      <c r="E13830" t="s">
        <v>800</v>
      </c>
      <c r="F13830" t="s">
        <v>42706</v>
      </c>
      <c r="G13830" s="2" t="str">
        <f>HYPERLINK("https://probpalata.gov.ru/files/ЮЛ780300308200558.jpeg","Скачать индивидуальный QR-код магазина")</f>
        <v>Скачать индивидуальный QR-код магазина</v>
      </c>
    </row>
    <row r="13831" spans="1:7" x14ac:dyDescent="0.25">
      <c r="A13831" t="s">
        <v>41653</v>
      </c>
      <c r="B13831" t="s">
        <v>42707</v>
      </c>
      <c r="C13831" t="s">
        <v>798</v>
      </c>
      <c r="D13831" t="s">
        <v>799</v>
      </c>
      <c r="E13831" t="s">
        <v>800</v>
      </c>
      <c r="F13831" t="s">
        <v>42708</v>
      </c>
      <c r="G13831" s="2" t="str">
        <f>HYPERLINK("https://probpalata.gov.ru/files/ЮЛ780300308200560.jpeg","Скачать индивидуальный QR-код магазина")</f>
        <v>Скачать индивидуальный QR-код магазина</v>
      </c>
    </row>
    <row r="13832" spans="1:7" x14ac:dyDescent="0.25">
      <c r="A13832" t="s">
        <v>41653</v>
      </c>
      <c r="B13832" t="s">
        <v>42171</v>
      </c>
      <c r="C13832" t="s">
        <v>798</v>
      </c>
      <c r="D13832" t="s">
        <v>799</v>
      </c>
      <c r="E13832" t="s">
        <v>800</v>
      </c>
      <c r="F13832" t="s">
        <v>42709</v>
      </c>
      <c r="G13832" s="2" t="str">
        <f>HYPERLINK("https://probpalata.gov.ru/files/ЮЛ780300308200561.jpeg","Скачать индивидуальный QR-код магазина")</f>
        <v>Скачать индивидуальный QR-код магазина</v>
      </c>
    </row>
    <row r="13833" spans="1:7" x14ac:dyDescent="0.25">
      <c r="A13833" t="s">
        <v>41653</v>
      </c>
      <c r="B13833" t="s">
        <v>42710</v>
      </c>
      <c r="C13833" t="s">
        <v>798</v>
      </c>
      <c r="D13833" t="s">
        <v>799</v>
      </c>
      <c r="E13833" t="s">
        <v>800</v>
      </c>
      <c r="F13833" t="s">
        <v>42711</v>
      </c>
      <c r="G13833" s="2" t="str">
        <f>HYPERLINK("https://probpalata.gov.ru/files/ЮЛ780300308200580.jpeg","Скачать индивидуальный QR-код магазина")</f>
        <v>Скачать индивидуальный QR-код магазина</v>
      </c>
    </row>
    <row r="13834" spans="1:7" x14ac:dyDescent="0.25">
      <c r="A13834" t="s">
        <v>41653</v>
      </c>
      <c r="B13834" t="s">
        <v>42712</v>
      </c>
      <c r="C13834" t="s">
        <v>798</v>
      </c>
      <c r="D13834" t="s">
        <v>799</v>
      </c>
      <c r="E13834" t="s">
        <v>800</v>
      </c>
      <c r="F13834" t="s">
        <v>42713</v>
      </c>
      <c r="G13834" s="2" t="str">
        <f>HYPERLINK("https://probpalata.gov.ru/files/ЮЛ780300308200880.jpeg","Скачать индивидуальный QR-код магазина")</f>
        <v>Скачать индивидуальный QR-код магазина</v>
      </c>
    </row>
    <row r="13835" spans="1:7" x14ac:dyDescent="0.25">
      <c r="A13835" t="s">
        <v>41653</v>
      </c>
      <c r="B13835" t="s">
        <v>42714</v>
      </c>
      <c r="C13835" t="s">
        <v>798</v>
      </c>
      <c r="D13835" t="s">
        <v>799</v>
      </c>
      <c r="E13835" t="s">
        <v>800</v>
      </c>
      <c r="F13835" t="s">
        <v>42715</v>
      </c>
      <c r="G13835" s="2" t="str">
        <f>HYPERLINK("https://probpalata.gov.ru/files/ЮЛ780300308200886.jpeg","Скачать индивидуальный QR-код магазина")</f>
        <v>Скачать индивидуальный QR-код магазина</v>
      </c>
    </row>
    <row r="13836" spans="1:7" x14ac:dyDescent="0.25">
      <c r="A13836" t="s">
        <v>41653</v>
      </c>
      <c r="B13836" t="s">
        <v>42716</v>
      </c>
      <c r="C13836" t="s">
        <v>798</v>
      </c>
      <c r="D13836" t="s">
        <v>799</v>
      </c>
      <c r="E13836" t="s">
        <v>800</v>
      </c>
      <c r="F13836" t="s">
        <v>42717</v>
      </c>
      <c r="G13836" s="2" t="str">
        <f>HYPERLINK("https://probpalata.gov.ru/files/ЮЛ780300308200995.jpeg","Скачать индивидуальный QR-код магазина")</f>
        <v>Скачать индивидуальный QR-код магазина</v>
      </c>
    </row>
    <row r="13837" spans="1:7" x14ac:dyDescent="0.25">
      <c r="A13837" t="s">
        <v>41653</v>
      </c>
      <c r="B13837" t="s">
        <v>42718</v>
      </c>
      <c r="C13837" t="s">
        <v>798</v>
      </c>
      <c r="D13837" t="s">
        <v>799</v>
      </c>
      <c r="E13837" t="s">
        <v>800</v>
      </c>
      <c r="F13837" t="s">
        <v>42719</v>
      </c>
      <c r="G13837" s="2" t="str">
        <f>HYPERLINK("https://probpalata.gov.ru/files/ЮЛ780300308201030.jpeg","Скачать индивидуальный QR-код магазина")</f>
        <v>Скачать индивидуальный QR-код магазина</v>
      </c>
    </row>
    <row r="13838" spans="1:7" x14ac:dyDescent="0.25">
      <c r="A13838" t="s">
        <v>41653</v>
      </c>
      <c r="B13838" t="s">
        <v>42720</v>
      </c>
      <c r="C13838" t="s">
        <v>798</v>
      </c>
      <c r="D13838" t="s">
        <v>799</v>
      </c>
      <c r="E13838" t="s">
        <v>800</v>
      </c>
      <c r="F13838" t="s">
        <v>42721</v>
      </c>
      <c r="G13838" s="2" t="str">
        <f>HYPERLINK("https://probpalata.gov.ru/files/ЮЛ780300308201164.jpeg","Скачать индивидуальный QR-код магазина")</f>
        <v>Скачать индивидуальный QR-код магазина</v>
      </c>
    </row>
    <row r="13839" spans="1:7" x14ac:dyDescent="0.25">
      <c r="A13839" t="s">
        <v>41653</v>
      </c>
      <c r="B13839" t="s">
        <v>42722</v>
      </c>
      <c r="C13839" t="s">
        <v>798</v>
      </c>
      <c r="D13839" t="s">
        <v>799</v>
      </c>
      <c r="E13839" t="s">
        <v>800</v>
      </c>
      <c r="F13839" t="s">
        <v>42723</v>
      </c>
      <c r="G13839" s="2" t="str">
        <f>HYPERLINK("https://probpalata.gov.ru/files/ЮЛ780300308201230.jpeg","Скачать индивидуальный QR-код магазина")</f>
        <v>Скачать индивидуальный QR-код магазина</v>
      </c>
    </row>
    <row r="13840" spans="1:7" x14ac:dyDescent="0.25">
      <c r="A13840" t="s">
        <v>41653</v>
      </c>
      <c r="B13840" t="s">
        <v>42678</v>
      </c>
      <c r="C13840" t="s">
        <v>823</v>
      </c>
      <c r="D13840" t="s">
        <v>824</v>
      </c>
      <c r="E13840" t="s">
        <v>825</v>
      </c>
      <c r="F13840" t="s">
        <v>42724</v>
      </c>
      <c r="G13840" s="2" t="str">
        <f>HYPERLINK("https://probpalata.gov.ru/files/ЮЛ780300363500001.jpeg","Скачать индивидуальный QR-код магазина")</f>
        <v>Скачать индивидуальный QR-код магазина</v>
      </c>
    </row>
    <row r="13841" spans="1:7" x14ac:dyDescent="0.25">
      <c r="A13841" t="s">
        <v>41653</v>
      </c>
      <c r="B13841" t="s">
        <v>42725</v>
      </c>
      <c r="C13841" t="s">
        <v>823</v>
      </c>
      <c r="D13841" t="s">
        <v>824</v>
      </c>
      <c r="E13841" t="s">
        <v>825</v>
      </c>
      <c r="F13841" t="s">
        <v>42726</v>
      </c>
      <c r="G13841" s="2" t="str">
        <f>HYPERLINK("https://probpalata.gov.ru/files/ЮЛ780300363500109.jpeg","Скачать индивидуальный QR-код магазина")</f>
        <v>Скачать индивидуальный QR-код магазина</v>
      </c>
    </row>
    <row r="13842" spans="1:7" x14ac:dyDescent="0.25">
      <c r="A13842" t="s">
        <v>41653</v>
      </c>
      <c r="B13842" t="s">
        <v>42680</v>
      </c>
      <c r="C13842" t="s">
        <v>823</v>
      </c>
      <c r="D13842" t="s">
        <v>824</v>
      </c>
      <c r="E13842" t="s">
        <v>825</v>
      </c>
      <c r="F13842" t="s">
        <v>42727</v>
      </c>
      <c r="G13842" s="2" t="str">
        <f>HYPERLINK("https://probpalata.gov.ru/files/ЮЛ780300363500110.jpeg","Скачать индивидуальный QR-код магазина")</f>
        <v>Скачать индивидуальный QR-код магазина</v>
      </c>
    </row>
    <row r="13843" spans="1:7" x14ac:dyDescent="0.25">
      <c r="A13843" t="s">
        <v>41653</v>
      </c>
      <c r="B13843" t="s">
        <v>42728</v>
      </c>
      <c r="C13843" t="s">
        <v>823</v>
      </c>
      <c r="D13843" t="s">
        <v>824</v>
      </c>
      <c r="E13843" t="s">
        <v>825</v>
      </c>
      <c r="F13843" t="s">
        <v>42729</v>
      </c>
      <c r="G13843" s="2" t="str">
        <f>HYPERLINK("https://probpalata.gov.ru/files/ЮЛ780300363500112.jpeg","Скачать индивидуальный QR-код магазина")</f>
        <v>Скачать индивидуальный QR-код магазина</v>
      </c>
    </row>
    <row r="13844" spans="1:7" x14ac:dyDescent="0.25">
      <c r="A13844" t="s">
        <v>41653</v>
      </c>
      <c r="B13844" t="s">
        <v>42730</v>
      </c>
      <c r="C13844" t="s">
        <v>823</v>
      </c>
      <c r="D13844" t="s">
        <v>824</v>
      </c>
      <c r="E13844" t="s">
        <v>825</v>
      </c>
      <c r="F13844" t="s">
        <v>42731</v>
      </c>
      <c r="G13844" s="2" t="str">
        <f>HYPERLINK("https://probpalata.gov.ru/files/ЮЛ780300363500113.jpeg","Скачать индивидуальный QR-код магазина")</f>
        <v>Скачать индивидуальный QR-код магазина</v>
      </c>
    </row>
    <row r="13845" spans="1:7" x14ac:dyDescent="0.25">
      <c r="A13845" t="s">
        <v>41653</v>
      </c>
      <c r="B13845" t="s">
        <v>42674</v>
      </c>
      <c r="C13845" t="s">
        <v>823</v>
      </c>
      <c r="D13845" t="s">
        <v>824</v>
      </c>
      <c r="E13845" t="s">
        <v>825</v>
      </c>
      <c r="F13845" t="s">
        <v>42732</v>
      </c>
      <c r="G13845" s="2" t="str">
        <f>HYPERLINK("https://probpalata.gov.ru/files/ЮЛ780300363500114.jpeg","Скачать индивидуальный QR-код магазина")</f>
        <v>Скачать индивидуальный QR-код магазина</v>
      </c>
    </row>
    <row r="13846" spans="1:7" x14ac:dyDescent="0.25">
      <c r="A13846" t="s">
        <v>41653</v>
      </c>
      <c r="B13846" t="s">
        <v>42733</v>
      </c>
      <c r="C13846" t="s">
        <v>823</v>
      </c>
      <c r="D13846" t="s">
        <v>824</v>
      </c>
      <c r="E13846" t="s">
        <v>825</v>
      </c>
      <c r="F13846" t="s">
        <v>42734</v>
      </c>
      <c r="G13846" s="2" t="str">
        <f>HYPERLINK("https://probpalata.gov.ru/files/ЮЛ780300363500115.jpeg","Скачать индивидуальный QR-код магазина")</f>
        <v>Скачать индивидуальный QR-код магазина</v>
      </c>
    </row>
    <row r="13847" spans="1:7" x14ac:dyDescent="0.25">
      <c r="A13847" t="s">
        <v>41653</v>
      </c>
      <c r="B13847" t="s">
        <v>42686</v>
      </c>
      <c r="C13847" t="s">
        <v>823</v>
      </c>
      <c r="D13847" t="s">
        <v>824</v>
      </c>
      <c r="E13847" t="s">
        <v>825</v>
      </c>
      <c r="F13847" t="s">
        <v>42735</v>
      </c>
      <c r="G13847" s="2" t="str">
        <f>HYPERLINK("https://probpalata.gov.ru/files/ЮЛ780300363500144.jpeg","Скачать индивидуальный QR-код магазина")</f>
        <v>Скачать индивидуальный QR-код магазина</v>
      </c>
    </row>
    <row r="13848" spans="1:7" x14ac:dyDescent="0.25">
      <c r="A13848" t="s">
        <v>41653</v>
      </c>
      <c r="B13848" t="s">
        <v>41921</v>
      </c>
      <c r="C13848" t="s">
        <v>823</v>
      </c>
      <c r="D13848" t="s">
        <v>824</v>
      </c>
      <c r="E13848" t="s">
        <v>825</v>
      </c>
      <c r="F13848" t="s">
        <v>42736</v>
      </c>
      <c r="G13848" s="2" t="str">
        <f>HYPERLINK("https://probpalata.gov.ru/files/ЮЛ780300363500145.jpeg","Скачать индивидуальный QR-код магазина")</f>
        <v>Скачать индивидуальный QR-код магазина</v>
      </c>
    </row>
    <row r="13849" spans="1:7" x14ac:dyDescent="0.25">
      <c r="A13849" t="s">
        <v>41653</v>
      </c>
      <c r="B13849" t="s">
        <v>42737</v>
      </c>
      <c r="C13849" t="s">
        <v>823</v>
      </c>
      <c r="D13849" t="s">
        <v>824</v>
      </c>
      <c r="E13849" t="s">
        <v>825</v>
      </c>
      <c r="F13849" t="s">
        <v>42738</v>
      </c>
      <c r="G13849" s="2" t="str">
        <f>HYPERLINK("https://probpalata.gov.ru/files/ЮЛ780300363500287.jpeg","Скачать индивидуальный QR-код магазина")</f>
        <v>Скачать индивидуальный QR-код магазина</v>
      </c>
    </row>
    <row r="13850" spans="1:7" x14ac:dyDescent="0.25">
      <c r="A13850" t="s">
        <v>41653</v>
      </c>
      <c r="B13850" t="s">
        <v>42739</v>
      </c>
      <c r="C13850" t="s">
        <v>823</v>
      </c>
      <c r="D13850" t="s">
        <v>824</v>
      </c>
      <c r="E13850" t="s">
        <v>825</v>
      </c>
      <c r="F13850" t="s">
        <v>42740</v>
      </c>
      <c r="G13850" s="2" t="str">
        <f>HYPERLINK("https://probpalata.gov.ru/files/ЮЛ780300363500332.jpeg","Скачать индивидуальный QR-код магазина")</f>
        <v>Скачать индивидуальный QR-код магазина</v>
      </c>
    </row>
    <row r="13851" spans="1:7" x14ac:dyDescent="0.25">
      <c r="A13851" t="s">
        <v>41653</v>
      </c>
      <c r="B13851" t="s">
        <v>42741</v>
      </c>
      <c r="C13851" t="s">
        <v>19069</v>
      </c>
      <c r="D13851" t="s">
        <v>42742</v>
      </c>
      <c r="E13851" t="s">
        <v>42743</v>
      </c>
      <c r="F13851" t="s">
        <v>42744</v>
      </c>
      <c r="G13851" s="2" t="str">
        <f>HYPERLINK("https://probpalata.gov.ru/files/ЮЛ770103579200001.jpeg","Скачать индивидуальный QR-код магазина")</f>
        <v>Скачать индивидуальный QR-код магазина</v>
      </c>
    </row>
    <row r="13852" spans="1:7" x14ac:dyDescent="0.25">
      <c r="A13852" t="s">
        <v>41653</v>
      </c>
      <c r="B13852" t="s">
        <v>42745</v>
      </c>
      <c r="C13852" t="s">
        <v>1501</v>
      </c>
      <c r="D13852" t="s">
        <v>1502</v>
      </c>
      <c r="E13852" t="s">
        <v>1503</v>
      </c>
      <c r="F13852" t="s">
        <v>42746</v>
      </c>
      <c r="G13852" s="2" t="str">
        <f>HYPERLINK("https://probpalata.gov.ru/files/ЮЛ770100439200175.jpeg","Скачать индивидуальный QR-код магазина")</f>
        <v>Скачать индивидуальный QR-код магазина</v>
      </c>
    </row>
    <row r="13853" spans="1:7" x14ac:dyDescent="0.25">
      <c r="A13853" t="s">
        <v>41653</v>
      </c>
      <c r="B13853" t="s">
        <v>42747</v>
      </c>
      <c r="C13853" t="s">
        <v>7852</v>
      </c>
      <c r="D13853" t="s">
        <v>7853</v>
      </c>
      <c r="E13853" t="s">
        <v>7854</v>
      </c>
      <c r="F13853" t="s">
        <v>42748</v>
      </c>
      <c r="G13853" s="2" t="str">
        <f>HYPERLINK("https://probpalata.gov.ru/files/ЮЛ770100029500009.jpeg","Скачать индивидуальный QR-код магазина")</f>
        <v>Скачать индивидуальный QR-код магазина</v>
      </c>
    </row>
    <row r="13854" spans="1:7" x14ac:dyDescent="0.25">
      <c r="A13854" t="s">
        <v>42749</v>
      </c>
      <c r="B13854" t="s">
        <v>42750</v>
      </c>
      <c r="C13854" t="s">
        <v>42751</v>
      </c>
      <c r="D13854" t="s">
        <v>42752</v>
      </c>
      <c r="E13854" t="s">
        <v>42753</v>
      </c>
      <c r="F13854" t="s">
        <v>42754</v>
      </c>
      <c r="G13854" s="2" t="str">
        <f>HYPERLINK("https://probpalata.gov.ru/files/ЮЛ170803846400000.jpeg","Скачать индивидуальный QR-код магазина")</f>
        <v>Скачать индивидуальный QR-код магазина</v>
      </c>
    </row>
    <row r="13855" spans="1:7" x14ac:dyDescent="0.25">
      <c r="A13855" t="s">
        <v>42749</v>
      </c>
      <c r="B13855" t="s">
        <v>42755</v>
      </c>
      <c r="C13855" t="s">
        <v>42756</v>
      </c>
      <c r="D13855" t="s">
        <v>42757</v>
      </c>
      <c r="E13855" t="s">
        <v>42758</v>
      </c>
      <c r="F13855" t="s">
        <v>42759</v>
      </c>
      <c r="G13855" s="2" t="str">
        <f>HYPERLINK("https://probpalata.gov.ru/files/ИП170801216200000.jpeg","Скачать индивидуальный QR-код магазина")</f>
        <v>Скачать индивидуальный QR-код магазина</v>
      </c>
    </row>
    <row r="13856" spans="1:7" x14ac:dyDescent="0.25">
      <c r="A13856" t="s">
        <v>42749</v>
      </c>
      <c r="B13856" t="s">
        <v>42760</v>
      </c>
      <c r="C13856" t="s">
        <v>42761</v>
      </c>
      <c r="D13856" t="s">
        <v>42762</v>
      </c>
      <c r="E13856" t="s">
        <v>42763</v>
      </c>
      <c r="F13856" t="s">
        <v>42764</v>
      </c>
      <c r="G13856" s="2" t="str">
        <f>HYPERLINK("https://probpalata.gov.ru/files/ИП170801633900000.jpeg","Скачать индивидуальный QR-код магазина")</f>
        <v>Скачать индивидуальный QR-код магазина</v>
      </c>
    </row>
    <row r="13857" spans="1:7" x14ac:dyDescent="0.25">
      <c r="A13857" t="s">
        <v>42749</v>
      </c>
      <c r="B13857" t="s">
        <v>42765</v>
      </c>
      <c r="C13857" t="s">
        <v>42766</v>
      </c>
      <c r="D13857" t="s">
        <v>42767</v>
      </c>
      <c r="E13857" t="s">
        <v>42768</v>
      </c>
      <c r="F13857" t="s">
        <v>42769</v>
      </c>
      <c r="G13857" s="2" t="str">
        <f>HYPERLINK("https://probpalata.gov.ru/files/ИП170800056300000.jpeg","Скачать индивидуальный QR-код магазина")</f>
        <v>Скачать индивидуальный QR-код магазина</v>
      </c>
    </row>
    <row r="13858" spans="1:7" x14ac:dyDescent="0.25">
      <c r="A13858" t="s">
        <v>42749</v>
      </c>
      <c r="B13858" t="s">
        <v>42770</v>
      </c>
      <c r="C13858" t="s">
        <v>42771</v>
      </c>
      <c r="D13858" t="s">
        <v>42772</v>
      </c>
      <c r="E13858" t="s">
        <v>42773</v>
      </c>
      <c r="F13858" t="s">
        <v>42774</v>
      </c>
      <c r="G13858" s="2" t="str">
        <f>HYPERLINK("https://probpalata.gov.ru/files/ИП170803391300000.jpeg","Скачать индивидуальный QR-код магазина")</f>
        <v>Скачать индивидуальный QR-код магазина</v>
      </c>
    </row>
    <row r="13859" spans="1:7" x14ac:dyDescent="0.25">
      <c r="A13859" t="s">
        <v>42749</v>
      </c>
      <c r="B13859" t="s">
        <v>42775</v>
      </c>
      <c r="C13859" t="s">
        <v>42776</v>
      </c>
      <c r="D13859" t="s">
        <v>42777</v>
      </c>
      <c r="E13859" t="s">
        <v>42778</v>
      </c>
      <c r="F13859" t="s">
        <v>42779</v>
      </c>
      <c r="G13859" s="2" t="str">
        <f>HYPERLINK("https://probpalata.gov.ru/files/ИП240803134300000.jpeg","Скачать индивидуальный QR-код магазина")</f>
        <v>Скачать индивидуальный QR-код магазина</v>
      </c>
    </row>
    <row r="13860" spans="1:7" x14ac:dyDescent="0.25">
      <c r="A13860" t="s">
        <v>42749</v>
      </c>
      <c r="B13860" t="s">
        <v>42780</v>
      </c>
      <c r="C13860" t="s">
        <v>42781</v>
      </c>
      <c r="D13860" t="s">
        <v>42782</v>
      </c>
      <c r="E13860" t="s">
        <v>42783</v>
      </c>
      <c r="F13860" t="s">
        <v>42784</v>
      </c>
      <c r="G13860" s="2" t="str">
        <f>HYPERLINK("https://probpalata.gov.ru/files/ИП170801300500000.jpeg","Скачать индивидуальный QR-код магазина")</f>
        <v>Скачать индивидуальный QR-код магазина</v>
      </c>
    </row>
    <row r="13861" spans="1:7" x14ac:dyDescent="0.25">
      <c r="A13861" t="s">
        <v>42749</v>
      </c>
      <c r="B13861" t="s">
        <v>42785</v>
      </c>
      <c r="C13861" t="s">
        <v>42786</v>
      </c>
      <c r="D13861" t="s">
        <v>42787</v>
      </c>
      <c r="E13861" t="s">
        <v>42788</v>
      </c>
      <c r="F13861" t="s">
        <v>42789</v>
      </c>
      <c r="G13861" s="2" t="str">
        <f>HYPERLINK("https://probpalata.gov.ru/files/ИП170801023100000.jpeg","Скачать индивидуальный QR-код магазина")</f>
        <v>Скачать индивидуальный QR-код магазина</v>
      </c>
    </row>
    <row r="13862" spans="1:7" x14ac:dyDescent="0.25">
      <c r="A13862" t="s">
        <v>42749</v>
      </c>
      <c r="B13862" t="s">
        <v>42790</v>
      </c>
      <c r="C13862" t="s">
        <v>42791</v>
      </c>
      <c r="D13862" t="s">
        <v>42792</v>
      </c>
      <c r="E13862" t="s">
        <v>42793</v>
      </c>
      <c r="F13862" t="s">
        <v>42794</v>
      </c>
      <c r="G13862" s="2" t="str">
        <f>HYPERLINK("https://probpalata.gov.ru/files/ИП170801344900000.jpeg","Скачать индивидуальный QR-код магазина")</f>
        <v>Скачать индивидуальный QR-код магазина</v>
      </c>
    </row>
    <row r="13863" spans="1:7" x14ac:dyDescent="0.25">
      <c r="A13863" t="s">
        <v>42749</v>
      </c>
      <c r="B13863" t="s">
        <v>42795</v>
      </c>
      <c r="C13863" t="s">
        <v>42791</v>
      </c>
      <c r="D13863" t="s">
        <v>42792</v>
      </c>
      <c r="E13863" t="s">
        <v>42793</v>
      </c>
      <c r="F13863" t="s">
        <v>42796</v>
      </c>
      <c r="G13863" s="2" t="str">
        <f>HYPERLINK("https://probpalata.gov.ru/files/ИП170801344900002.jpeg","Скачать индивидуальный QR-код магазина")</f>
        <v>Скачать индивидуальный QR-код магазина</v>
      </c>
    </row>
    <row r="13864" spans="1:7" x14ac:dyDescent="0.25">
      <c r="A13864" t="s">
        <v>42749</v>
      </c>
      <c r="B13864" t="s">
        <v>42797</v>
      </c>
      <c r="C13864" t="s">
        <v>42798</v>
      </c>
      <c r="D13864" t="s">
        <v>42799</v>
      </c>
      <c r="E13864" t="s">
        <v>42800</v>
      </c>
      <c r="F13864" t="s">
        <v>42801</v>
      </c>
      <c r="G13864" s="2" t="str">
        <f>HYPERLINK("https://probpalata.gov.ru/files/ИП170800210800000.jpeg","Скачать индивидуальный QR-код магазина")</f>
        <v>Скачать индивидуальный QR-код магазина</v>
      </c>
    </row>
    <row r="13865" spans="1:7" x14ac:dyDescent="0.25">
      <c r="A13865" t="s">
        <v>42749</v>
      </c>
      <c r="B13865" t="s">
        <v>42802</v>
      </c>
      <c r="C13865" t="s">
        <v>42803</v>
      </c>
      <c r="D13865" t="s">
        <v>42804</v>
      </c>
      <c r="E13865" t="s">
        <v>42805</v>
      </c>
      <c r="F13865" t="s">
        <v>42806</v>
      </c>
      <c r="G13865" s="2" t="str">
        <f>HYPERLINK("https://probpalata.gov.ru/files/ИП170803389700000.jpeg","Скачать индивидуальный QR-код магазина")</f>
        <v>Скачать индивидуальный QR-код магазина</v>
      </c>
    </row>
    <row r="13866" spans="1:7" x14ac:dyDescent="0.25">
      <c r="A13866" t="s">
        <v>42749</v>
      </c>
      <c r="B13866" t="s">
        <v>42807</v>
      </c>
      <c r="C13866" t="s">
        <v>42808</v>
      </c>
      <c r="D13866" t="s">
        <v>42809</v>
      </c>
      <c r="E13866" t="s">
        <v>42810</v>
      </c>
      <c r="F13866" t="s">
        <v>42811</v>
      </c>
      <c r="G13866" s="2" t="str">
        <f>HYPERLINK("https://probpalata.gov.ru/files/ИП170801469000000.jpeg","Скачать индивидуальный QR-код магазина")</f>
        <v>Скачать индивидуальный QR-код магазина</v>
      </c>
    </row>
    <row r="13867" spans="1:7" x14ac:dyDescent="0.25">
      <c r="A13867" t="s">
        <v>42749</v>
      </c>
      <c r="B13867" t="s">
        <v>42812</v>
      </c>
      <c r="C13867" t="s">
        <v>42808</v>
      </c>
      <c r="D13867" t="s">
        <v>42809</v>
      </c>
      <c r="E13867" t="s">
        <v>42810</v>
      </c>
      <c r="F13867" t="s">
        <v>42813</v>
      </c>
      <c r="G13867" s="2" t="str">
        <f>HYPERLINK("https://probpalata.gov.ru/files/ИП170801469000001.jpeg","Скачать индивидуальный QR-код магазина")</f>
        <v>Скачать индивидуальный QR-код магазина</v>
      </c>
    </row>
    <row r="13868" spans="1:7" x14ac:dyDescent="0.25">
      <c r="A13868" t="s">
        <v>42749</v>
      </c>
      <c r="B13868" t="s">
        <v>42814</v>
      </c>
      <c r="C13868" t="s">
        <v>42815</v>
      </c>
      <c r="D13868" t="s">
        <v>42816</v>
      </c>
      <c r="E13868" t="s">
        <v>42817</v>
      </c>
      <c r="F13868" t="s">
        <v>42818</v>
      </c>
      <c r="G13868" s="2" t="str">
        <f>HYPERLINK("https://probpalata.gov.ru/files/ИП170801964700000.jpeg","Скачать индивидуальный QR-код магазина")</f>
        <v>Скачать индивидуальный QR-код магазина</v>
      </c>
    </row>
    <row r="13869" spans="1:7" x14ac:dyDescent="0.25">
      <c r="A13869" t="s">
        <v>42749</v>
      </c>
      <c r="B13869" t="s">
        <v>42819</v>
      </c>
      <c r="C13869" t="s">
        <v>42820</v>
      </c>
      <c r="D13869" t="s">
        <v>42821</v>
      </c>
      <c r="E13869" t="s">
        <v>42822</v>
      </c>
      <c r="F13869" t="s">
        <v>42823</v>
      </c>
      <c r="G13869" s="2" t="str">
        <f>HYPERLINK("https://probpalata.gov.ru/files/ИП170801021200000.jpeg","Скачать индивидуальный QR-код магазина")</f>
        <v>Скачать индивидуальный QR-код магазина</v>
      </c>
    </row>
    <row r="13870" spans="1:7" x14ac:dyDescent="0.25">
      <c r="A13870" t="s">
        <v>42749</v>
      </c>
      <c r="B13870" t="s">
        <v>42824</v>
      </c>
      <c r="C13870" t="s">
        <v>42825</v>
      </c>
      <c r="D13870" t="s">
        <v>42826</v>
      </c>
      <c r="E13870" t="s">
        <v>42827</v>
      </c>
      <c r="F13870" t="s">
        <v>42828</v>
      </c>
      <c r="G13870" s="2" t="str">
        <f>HYPERLINK("https://probpalata.gov.ru/files/ИП170803573500000.jpeg","Скачать индивидуальный QR-код магазина")</f>
        <v>Скачать индивидуальный QR-код магазина</v>
      </c>
    </row>
    <row r="13871" spans="1:7" x14ac:dyDescent="0.25">
      <c r="A13871" t="s">
        <v>42749</v>
      </c>
      <c r="B13871" t="s">
        <v>42829</v>
      </c>
      <c r="C13871" t="s">
        <v>42830</v>
      </c>
      <c r="D13871" t="s">
        <v>42831</v>
      </c>
      <c r="E13871" t="s">
        <v>42832</v>
      </c>
      <c r="F13871" t="s">
        <v>42833</v>
      </c>
      <c r="G13871" s="2" t="str">
        <f>HYPERLINK("https://probpalata.gov.ru/files/ИП170803853800000.jpeg","Скачать индивидуальный QR-код магазина")</f>
        <v>Скачать индивидуальный QR-код магазина</v>
      </c>
    </row>
    <row r="13872" spans="1:7" x14ac:dyDescent="0.25">
      <c r="A13872" t="s">
        <v>42749</v>
      </c>
      <c r="B13872" t="s">
        <v>42834</v>
      </c>
      <c r="C13872" t="s">
        <v>42835</v>
      </c>
      <c r="D13872" t="s">
        <v>42836</v>
      </c>
      <c r="E13872" t="s">
        <v>42837</v>
      </c>
      <c r="F13872" t="s">
        <v>42838</v>
      </c>
      <c r="G13872" s="2" t="str">
        <f>HYPERLINK("https://probpalata.gov.ru/files/ИП170803598400000.jpeg","Скачать индивидуальный QR-код магазина")</f>
        <v>Скачать индивидуальный QR-код магазина</v>
      </c>
    </row>
    <row r="13873" spans="1:7" x14ac:dyDescent="0.25">
      <c r="A13873" t="s">
        <v>42749</v>
      </c>
      <c r="B13873" t="s">
        <v>42839</v>
      </c>
      <c r="C13873" t="s">
        <v>42840</v>
      </c>
      <c r="D13873" t="s">
        <v>42841</v>
      </c>
      <c r="E13873" t="s">
        <v>42842</v>
      </c>
      <c r="F13873" t="s">
        <v>42843</v>
      </c>
      <c r="G13873" s="2" t="str">
        <f>HYPERLINK("https://probpalata.gov.ru/files/ИП170803445600000.jpeg","Скачать индивидуальный QR-код магазина")</f>
        <v>Скачать индивидуальный QR-код магазина</v>
      </c>
    </row>
    <row r="13874" spans="1:7" x14ac:dyDescent="0.25">
      <c r="A13874" t="s">
        <v>42749</v>
      </c>
      <c r="B13874" t="s">
        <v>42844</v>
      </c>
      <c r="C13874" t="s">
        <v>42845</v>
      </c>
      <c r="D13874" t="s">
        <v>42846</v>
      </c>
      <c r="E13874" t="s">
        <v>42847</v>
      </c>
      <c r="F13874" t="s">
        <v>42848</v>
      </c>
      <c r="G13874" s="2" t="str">
        <f>HYPERLINK("https://probpalata.gov.ru/files/ИП170801645500000.jpeg","Скачать индивидуальный QR-код магазина")</f>
        <v>Скачать индивидуальный QR-код магазина</v>
      </c>
    </row>
    <row r="13875" spans="1:7" x14ac:dyDescent="0.25">
      <c r="A13875" t="s">
        <v>42749</v>
      </c>
      <c r="B13875" t="s">
        <v>42849</v>
      </c>
      <c r="C13875" t="s">
        <v>42845</v>
      </c>
      <c r="D13875" t="s">
        <v>42846</v>
      </c>
      <c r="E13875" t="s">
        <v>42847</v>
      </c>
      <c r="F13875" t="s">
        <v>42850</v>
      </c>
      <c r="G13875" s="2" t="str">
        <f>HYPERLINK("https://probpalata.gov.ru/files/ИП170801645500001.jpeg","Скачать индивидуальный QR-код магазина")</f>
        <v>Скачать индивидуальный QR-код магазина</v>
      </c>
    </row>
    <row r="13876" spans="1:7" x14ac:dyDescent="0.25">
      <c r="A13876" t="s">
        <v>42749</v>
      </c>
      <c r="B13876" t="s">
        <v>42851</v>
      </c>
      <c r="C13876" t="s">
        <v>42845</v>
      </c>
      <c r="D13876" t="s">
        <v>42846</v>
      </c>
      <c r="E13876" t="s">
        <v>42847</v>
      </c>
      <c r="F13876" t="s">
        <v>42852</v>
      </c>
      <c r="G13876" s="2" t="str">
        <f>HYPERLINK("https://probpalata.gov.ru/files/ИП170801645500002.jpeg","Скачать индивидуальный QR-код магазина")</f>
        <v>Скачать индивидуальный QR-код магазина</v>
      </c>
    </row>
    <row r="13877" spans="1:7" x14ac:dyDescent="0.25">
      <c r="A13877" t="s">
        <v>42749</v>
      </c>
      <c r="B13877" t="s">
        <v>42853</v>
      </c>
      <c r="C13877" t="s">
        <v>42845</v>
      </c>
      <c r="D13877" t="s">
        <v>42846</v>
      </c>
      <c r="E13877" t="s">
        <v>42847</v>
      </c>
      <c r="F13877" t="s">
        <v>42854</v>
      </c>
      <c r="G13877" s="2" t="str">
        <f>HYPERLINK("https://probpalata.gov.ru/files/ИП170801645500003.jpeg","Скачать индивидуальный QR-код магазина")</f>
        <v>Скачать индивидуальный QR-код магазина</v>
      </c>
    </row>
    <row r="13878" spans="1:7" x14ac:dyDescent="0.25">
      <c r="A13878" t="s">
        <v>42749</v>
      </c>
      <c r="B13878" t="s">
        <v>42855</v>
      </c>
      <c r="C13878" t="s">
        <v>42856</v>
      </c>
      <c r="D13878" t="s">
        <v>42857</v>
      </c>
      <c r="E13878" t="s">
        <v>42858</v>
      </c>
      <c r="F13878" t="s">
        <v>42859</v>
      </c>
      <c r="G13878" s="2" t="str">
        <f>HYPERLINK("https://probpalata.gov.ru/files/ИП170804019000000.jpeg","Скачать индивидуальный QR-код магазина")</f>
        <v>Скачать индивидуальный QR-код магазина</v>
      </c>
    </row>
    <row r="13879" spans="1:7" x14ac:dyDescent="0.25">
      <c r="A13879" t="s">
        <v>42749</v>
      </c>
      <c r="B13879" t="s">
        <v>42860</v>
      </c>
      <c r="C13879" t="s">
        <v>42861</v>
      </c>
      <c r="D13879" t="s">
        <v>42862</v>
      </c>
      <c r="E13879" t="s">
        <v>42863</v>
      </c>
      <c r="F13879" t="s">
        <v>42864</v>
      </c>
      <c r="G13879" s="2" t="str">
        <f>HYPERLINK("https://probpalata.gov.ru/files/ИП170801866700000.jpeg","Скачать индивидуальный QR-код магазина")</f>
        <v>Скачать индивидуальный QR-код магазина</v>
      </c>
    </row>
    <row r="13880" spans="1:7" x14ac:dyDescent="0.25">
      <c r="A13880" t="s">
        <v>42749</v>
      </c>
      <c r="B13880" t="s">
        <v>42865</v>
      </c>
      <c r="C13880" t="s">
        <v>16622</v>
      </c>
      <c r="D13880" t="s">
        <v>16623</v>
      </c>
      <c r="E13880" t="s">
        <v>16624</v>
      </c>
      <c r="F13880" t="s">
        <v>42866</v>
      </c>
      <c r="G13880" s="2" t="str">
        <f>HYPERLINK("https://probpalata.gov.ru/files/ИП170801529100001.jpeg","Скачать индивидуальный QR-код магазина")</f>
        <v>Скачать индивидуальный QR-код магазина</v>
      </c>
    </row>
    <row r="13881" spans="1:7" x14ac:dyDescent="0.25">
      <c r="A13881" t="s">
        <v>42749</v>
      </c>
      <c r="B13881" t="s">
        <v>42867</v>
      </c>
      <c r="C13881" t="s">
        <v>42868</v>
      </c>
      <c r="D13881" t="s">
        <v>42869</v>
      </c>
      <c r="E13881" t="s">
        <v>42870</v>
      </c>
      <c r="F13881" t="s">
        <v>42871</v>
      </c>
      <c r="G13881" s="2" t="str">
        <f>HYPERLINK("https://probpalata.gov.ru/files/ИП170800002800000.jpeg","Скачать индивидуальный QR-код магазина")</f>
        <v>Скачать индивидуальный QR-код магазина</v>
      </c>
    </row>
    <row r="13882" spans="1:7" x14ac:dyDescent="0.25">
      <c r="A13882" t="s">
        <v>42749</v>
      </c>
      <c r="B13882" t="s">
        <v>42872</v>
      </c>
      <c r="C13882" t="s">
        <v>748</v>
      </c>
      <c r="D13882" t="s">
        <v>749</v>
      </c>
      <c r="E13882" t="s">
        <v>750</v>
      </c>
      <c r="F13882" t="s">
        <v>42873</v>
      </c>
      <c r="G13882" s="2" t="str">
        <f>HYPERLINK("https://probpalata.gov.ru/files/ЮЛ770100193500716.jpeg","Скачать индивидуальный QR-код магазина")</f>
        <v>Скачать индивидуальный QR-код магазина</v>
      </c>
    </row>
    <row r="13883" spans="1:7" x14ac:dyDescent="0.25">
      <c r="A13883" t="s">
        <v>42749</v>
      </c>
      <c r="B13883" t="s">
        <v>42874</v>
      </c>
      <c r="C13883" t="s">
        <v>773</v>
      </c>
      <c r="D13883" t="s">
        <v>774</v>
      </c>
      <c r="E13883" t="s">
        <v>775</v>
      </c>
      <c r="F13883" t="s">
        <v>42875</v>
      </c>
      <c r="G13883" s="2" t="str">
        <f>HYPERLINK("https://probpalata.gov.ru/files/ЮЛ780300131300454.jpeg","Скачать индивидуальный QR-код магазина")</f>
        <v>Скачать индивидуальный QR-код магазина</v>
      </c>
    </row>
    <row r="13884" spans="1:7" x14ac:dyDescent="0.25">
      <c r="A13884" t="s">
        <v>42749</v>
      </c>
      <c r="B13884" t="s">
        <v>42874</v>
      </c>
      <c r="C13884" t="s">
        <v>798</v>
      </c>
      <c r="D13884" t="s">
        <v>799</v>
      </c>
      <c r="E13884" t="s">
        <v>800</v>
      </c>
      <c r="F13884" t="s">
        <v>42876</v>
      </c>
      <c r="G13884" s="2" t="str">
        <f>HYPERLINK("https://probpalata.gov.ru/files/ЮЛ780300308200930.jpeg","Скачать индивидуальный QR-код магазина")</f>
        <v>Скачать индивидуальный QR-код магазина</v>
      </c>
    </row>
    <row r="13885" spans="1:7" x14ac:dyDescent="0.25">
      <c r="A13885" t="s">
        <v>42877</v>
      </c>
      <c r="B13885" t="s">
        <v>42878</v>
      </c>
      <c r="C13885" t="s">
        <v>15629</v>
      </c>
      <c r="D13885" t="s">
        <v>15630</v>
      </c>
      <c r="E13885" t="s">
        <v>15631</v>
      </c>
      <c r="F13885" t="s">
        <v>42879</v>
      </c>
      <c r="G13885" s="2" t="str">
        <f>HYPERLINK("https://probpalata.gov.ru/files/ИП190800848400005.jpeg","Скачать индивидуальный QR-код магазина")</f>
        <v>Скачать индивидуальный QR-код магазина</v>
      </c>
    </row>
    <row r="13886" spans="1:7" x14ac:dyDescent="0.25">
      <c r="A13886" t="s">
        <v>42877</v>
      </c>
      <c r="B13886" t="s">
        <v>42880</v>
      </c>
      <c r="C13886" t="s">
        <v>15629</v>
      </c>
      <c r="D13886" t="s">
        <v>15630</v>
      </c>
      <c r="E13886" t="s">
        <v>15631</v>
      </c>
      <c r="F13886" t="s">
        <v>42881</v>
      </c>
      <c r="G13886" s="2" t="str">
        <f>HYPERLINK("https://probpalata.gov.ru/files/ИП190800848400006.jpeg","Скачать индивидуальный QR-код магазина")</f>
        <v>Скачать индивидуальный QR-код магазина</v>
      </c>
    </row>
    <row r="13887" spans="1:7" x14ac:dyDescent="0.25">
      <c r="A13887" t="s">
        <v>42877</v>
      </c>
      <c r="B13887" t="s">
        <v>42882</v>
      </c>
      <c r="C13887" t="s">
        <v>42883</v>
      </c>
      <c r="D13887" t="s">
        <v>42884</v>
      </c>
      <c r="E13887" t="s">
        <v>42885</v>
      </c>
      <c r="F13887" t="s">
        <v>42886</v>
      </c>
      <c r="G13887" s="2" t="str">
        <f>HYPERLINK("https://probpalata.gov.ru/files/ИП190800787800003.jpeg","Скачать индивидуальный QR-код магазина")</f>
        <v>Скачать индивидуальный QR-код магазина</v>
      </c>
    </row>
    <row r="13888" spans="1:7" x14ac:dyDescent="0.25">
      <c r="A13888" t="s">
        <v>42877</v>
      </c>
      <c r="B13888" t="s">
        <v>42887</v>
      </c>
      <c r="C13888" t="s">
        <v>42883</v>
      </c>
      <c r="D13888" t="s">
        <v>42884</v>
      </c>
      <c r="E13888" t="s">
        <v>42885</v>
      </c>
      <c r="F13888" t="s">
        <v>42888</v>
      </c>
      <c r="G13888" s="2" t="str">
        <f>HYPERLINK("https://probpalata.gov.ru/files/ИП190800787800004.jpeg","Скачать индивидуальный QR-код магазина")</f>
        <v>Скачать индивидуальный QR-код магазина</v>
      </c>
    </row>
    <row r="13889" spans="1:7" x14ac:dyDescent="0.25">
      <c r="A13889" t="s">
        <v>42877</v>
      </c>
      <c r="B13889" t="s">
        <v>42889</v>
      </c>
      <c r="C13889" t="s">
        <v>42883</v>
      </c>
      <c r="D13889" t="s">
        <v>42884</v>
      </c>
      <c r="E13889" t="s">
        <v>42885</v>
      </c>
      <c r="F13889" t="s">
        <v>42890</v>
      </c>
      <c r="G13889" s="2" t="str">
        <f>HYPERLINK("https://probpalata.gov.ru/files/ИП190800787800006.jpeg","Скачать индивидуальный QR-код магазина")</f>
        <v>Скачать индивидуальный QR-код магазина</v>
      </c>
    </row>
    <row r="13890" spans="1:7" x14ac:dyDescent="0.25">
      <c r="A13890" t="s">
        <v>42877</v>
      </c>
      <c r="B13890" t="s">
        <v>42891</v>
      </c>
      <c r="C13890" t="s">
        <v>42883</v>
      </c>
      <c r="D13890" t="s">
        <v>42884</v>
      </c>
      <c r="E13890" t="s">
        <v>42885</v>
      </c>
      <c r="F13890" t="s">
        <v>42892</v>
      </c>
      <c r="G13890" s="2" t="str">
        <f>HYPERLINK("https://probpalata.gov.ru/files/ИП190800787800007.jpeg","Скачать индивидуальный QR-код магазина")</f>
        <v>Скачать индивидуальный QR-код магазина</v>
      </c>
    </row>
    <row r="13891" spans="1:7" x14ac:dyDescent="0.25">
      <c r="A13891" t="s">
        <v>42877</v>
      </c>
      <c r="B13891" t="s">
        <v>42893</v>
      </c>
      <c r="C13891" t="s">
        <v>42894</v>
      </c>
      <c r="D13891" t="s">
        <v>42895</v>
      </c>
      <c r="E13891" t="s">
        <v>42896</v>
      </c>
      <c r="F13891" t="s">
        <v>42897</v>
      </c>
      <c r="G13891" s="2" t="str">
        <f>HYPERLINK("https://probpalata.gov.ru/files/ЮЛ190803846300000.jpeg","Скачать индивидуальный QR-код магазина")</f>
        <v>Скачать индивидуальный QR-код магазина</v>
      </c>
    </row>
    <row r="13892" spans="1:7" x14ac:dyDescent="0.25">
      <c r="A13892" t="s">
        <v>42877</v>
      </c>
      <c r="B13892" t="s">
        <v>42898</v>
      </c>
      <c r="C13892" t="s">
        <v>2073</v>
      </c>
      <c r="D13892" t="s">
        <v>42899</v>
      </c>
      <c r="E13892" t="s">
        <v>42900</v>
      </c>
      <c r="F13892" t="s">
        <v>42901</v>
      </c>
      <c r="G13892" s="2" t="str">
        <f>HYPERLINK("https://probpalata.gov.ru/files/ЮЛ190800847100000.jpeg","Скачать индивидуальный QR-код магазина")</f>
        <v>Скачать индивидуальный QR-код магазина</v>
      </c>
    </row>
    <row r="13893" spans="1:7" x14ac:dyDescent="0.25">
      <c r="A13893" t="s">
        <v>42877</v>
      </c>
      <c r="B13893" t="s">
        <v>42902</v>
      </c>
      <c r="C13893" t="s">
        <v>42903</v>
      </c>
      <c r="D13893" t="s">
        <v>42904</v>
      </c>
      <c r="E13893" t="s">
        <v>42905</v>
      </c>
      <c r="F13893" t="s">
        <v>42906</v>
      </c>
      <c r="G13893" s="2" t="str">
        <f>HYPERLINK("https://probpalata.gov.ru/files/ИП190803221100000.jpeg","Скачать индивидуальный QR-код магазина")</f>
        <v>Скачать индивидуальный QR-код магазина</v>
      </c>
    </row>
    <row r="13894" spans="1:7" x14ac:dyDescent="0.25">
      <c r="A13894" t="s">
        <v>42877</v>
      </c>
      <c r="B13894" t="s">
        <v>42907</v>
      </c>
      <c r="C13894" t="s">
        <v>42903</v>
      </c>
      <c r="D13894" t="s">
        <v>42904</v>
      </c>
      <c r="E13894" t="s">
        <v>42905</v>
      </c>
      <c r="F13894" t="s">
        <v>42908</v>
      </c>
      <c r="G13894" s="2" t="str">
        <f>HYPERLINK("https://probpalata.gov.ru/files/ИП190803221100001.jpeg","Скачать индивидуальный QR-код магазина")</f>
        <v>Скачать индивидуальный QR-код магазина</v>
      </c>
    </row>
    <row r="13895" spans="1:7" x14ac:dyDescent="0.25">
      <c r="A13895" t="s">
        <v>42877</v>
      </c>
      <c r="B13895" t="s">
        <v>42909</v>
      </c>
      <c r="C13895" t="s">
        <v>42903</v>
      </c>
      <c r="D13895" t="s">
        <v>42904</v>
      </c>
      <c r="E13895" t="s">
        <v>42905</v>
      </c>
      <c r="F13895" t="s">
        <v>42910</v>
      </c>
      <c r="G13895" s="2" t="str">
        <f>HYPERLINK("https://probpalata.gov.ru/files/ИП190803221100002.jpeg","Скачать индивидуальный QR-код магазина")</f>
        <v>Скачать индивидуальный QR-код магазина</v>
      </c>
    </row>
    <row r="13896" spans="1:7" x14ac:dyDescent="0.25">
      <c r="A13896" t="s">
        <v>42877</v>
      </c>
      <c r="B13896" t="s">
        <v>42911</v>
      </c>
      <c r="C13896" t="s">
        <v>42912</v>
      </c>
      <c r="D13896" t="s">
        <v>42913</v>
      </c>
      <c r="E13896" t="s">
        <v>42914</v>
      </c>
      <c r="F13896" t="s">
        <v>42915</v>
      </c>
      <c r="G13896" s="2" t="str">
        <f>HYPERLINK("https://probpalata.gov.ru/files/ЮЛ190801356300004.jpeg","Скачать индивидуальный QR-код магазина")</f>
        <v>Скачать индивидуальный QR-код магазина</v>
      </c>
    </row>
    <row r="13897" spans="1:7" x14ac:dyDescent="0.25">
      <c r="A13897" t="s">
        <v>42877</v>
      </c>
      <c r="B13897" t="s">
        <v>42916</v>
      </c>
      <c r="C13897" t="s">
        <v>15639</v>
      </c>
      <c r="D13897" t="s">
        <v>15640</v>
      </c>
      <c r="E13897" t="s">
        <v>15641</v>
      </c>
      <c r="F13897" t="s">
        <v>42917</v>
      </c>
      <c r="G13897" s="2" t="str">
        <f>HYPERLINK("https://probpalata.gov.ru/files/ИП190800258300002.jpeg","Скачать индивидуальный QR-код магазина")</f>
        <v>Скачать индивидуальный QR-код магазина</v>
      </c>
    </row>
    <row r="13898" spans="1:7" x14ac:dyDescent="0.25">
      <c r="A13898" t="s">
        <v>42877</v>
      </c>
      <c r="B13898" t="s">
        <v>42918</v>
      </c>
      <c r="C13898" t="s">
        <v>42919</v>
      </c>
      <c r="D13898" t="s">
        <v>42920</v>
      </c>
      <c r="E13898" t="s">
        <v>42921</v>
      </c>
      <c r="F13898" t="s">
        <v>42922</v>
      </c>
      <c r="G13898" s="2" t="str">
        <f>HYPERLINK("https://probpalata.gov.ru/files/ИП190801452500000.jpeg","Скачать индивидуальный QR-код магазина")</f>
        <v>Скачать индивидуальный QR-код магазина</v>
      </c>
    </row>
    <row r="13899" spans="1:7" x14ac:dyDescent="0.25">
      <c r="A13899" t="s">
        <v>42877</v>
      </c>
      <c r="B13899" t="s">
        <v>42923</v>
      </c>
      <c r="C13899" t="s">
        <v>15644</v>
      </c>
      <c r="D13899" t="s">
        <v>15645</v>
      </c>
      <c r="E13899" t="s">
        <v>15646</v>
      </c>
      <c r="F13899" t="s">
        <v>42924</v>
      </c>
      <c r="G13899" s="2" t="str">
        <f>HYPERLINK("https://probpalata.gov.ru/files/ИП190803730900000.jpeg","Скачать индивидуальный QR-код магазина")</f>
        <v>Скачать индивидуальный QR-код магазина</v>
      </c>
    </row>
    <row r="13900" spans="1:7" x14ac:dyDescent="0.25">
      <c r="A13900" t="s">
        <v>42877</v>
      </c>
      <c r="B13900" t="s">
        <v>42925</v>
      </c>
      <c r="C13900" t="s">
        <v>42926</v>
      </c>
      <c r="D13900" t="s">
        <v>42927</v>
      </c>
      <c r="E13900" t="s">
        <v>42928</v>
      </c>
      <c r="F13900" t="s">
        <v>42929</v>
      </c>
      <c r="G13900" s="2" t="str">
        <f>HYPERLINK("https://probpalata.gov.ru/files/ИП190800923700000.jpeg","Скачать индивидуальный QR-код магазина")</f>
        <v>Скачать индивидуальный QR-код магазина</v>
      </c>
    </row>
    <row r="13901" spans="1:7" x14ac:dyDescent="0.25">
      <c r="A13901" t="s">
        <v>42877</v>
      </c>
      <c r="B13901" t="s">
        <v>42930</v>
      </c>
      <c r="C13901" t="s">
        <v>15649</v>
      </c>
      <c r="D13901" t="s">
        <v>15650</v>
      </c>
      <c r="E13901" t="s">
        <v>15651</v>
      </c>
      <c r="F13901" t="s">
        <v>42931</v>
      </c>
      <c r="G13901" s="2" t="str">
        <f>HYPERLINK("https://probpalata.gov.ru/files/ИП190800842600000.jpeg","Скачать индивидуальный QR-код магазина")</f>
        <v>Скачать индивидуальный QR-код магазина</v>
      </c>
    </row>
    <row r="13902" spans="1:7" x14ac:dyDescent="0.25">
      <c r="A13902" t="s">
        <v>42877</v>
      </c>
      <c r="B13902" t="s">
        <v>42932</v>
      </c>
      <c r="C13902" t="s">
        <v>15649</v>
      </c>
      <c r="D13902" t="s">
        <v>15650</v>
      </c>
      <c r="E13902" t="s">
        <v>15651</v>
      </c>
      <c r="F13902" t="s">
        <v>42933</v>
      </c>
      <c r="G13902" s="2" t="str">
        <f>HYPERLINK("https://probpalata.gov.ru/files/ИП190800842600002.jpeg","Скачать индивидуальный QR-код магазина")</f>
        <v>Скачать индивидуальный QR-код магазина</v>
      </c>
    </row>
    <row r="13903" spans="1:7" x14ac:dyDescent="0.25">
      <c r="A13903" t="s">
        <v>42877</v>
      </c>
      <c r="B13903" t="s">
        <v>42934</v>
      </c>
      <c r="C13903" t="s">
        <v>15649</v>
      </c>
      <c r="D13903" t="s">
        <v>15650</v>
      </c>
      <c r="E13903" t="s">
        <v>15651</v>
      </c>
      <c r="F13903" t="s">
        <v>42935</v>
      </c>
      <c r="G13903" s="2" t="str">
        <f>HYPERLINK("https://probpalata.gov.ru/files/ИП190800842600003.jpeg","Скачать индивидуальный QR-код магазина")</f>
        <v>Скачать индивидуальный QR-код магазина</v>
      </c>
    </row>
    <row r="13904" spans="1:7" x14ac:dyDescent="0.25">
      <c r="A13904" t="s">
        <v>42877</v>
      </c>
      <c r="B13904" t="s">
        <v>42936</v>
      </c>
      <c r="C13904" t="s">
        <v>15649</v>
      </c>
      <c r="D13904" t="s">
        <v>15650</v>
      </c>
      <c r="E13904" t="s">
        <v>15651</v>
      </c>
      <c r="F13904" t="s">
        <v>42937</v>
      </c>
      <c r="G13904" s="2" t="str">
        <f>HYPERLINK("https://probpalata.gov.ru/files/ИП190800842600005.jpeg","Скачать индивидуальный QR-код магазина")</f>
        <v>Скачать индивидуальный QR-код магазина</v>
      </c>
    </row>
    <row r="13905" spans="1:7" x14ac:dyDescent="0.25">
      <c r="A13905" t="s">
        <v>42877</v>
      </c>
      <c r="B13905" t="s">
        <v>42938</v>
      </c>
      <c r="C13905" t="s">
        <v>42939</v>
      </c>
      <c r="D13905" t="s">
        <v>42940</v>
      </c>
      <c r="E13905" t="s">
        <v>42941</v>
      </c>
      <c r="F13905" t="s">
        <v>42942</v>
      </c>
      <c r="G13905" s="2" t="str">
        <f>HYPERLINK("https://probpalata.gov.ru/files/ИП190801472600000.jpeg","Скачать индивидуальный QR-код магазина")</f>
        <v>Скачать индивидуальный QR-код магазина</v>
      </c>
    </row>
    <row r="13906" spans="1:7" x14ac:dyDescent="0.25">
      <c r="A13906" t="s">
        <v>42877</v>
      </c>
      <c r="B13906" t="s">
        <v>42943</v>
      </c>
      <c r="C13906" t="s">
        <v>42944</v>
      </c>
      <c r="D13906" t="s">
        <v>42945</v>
      </c>
      <c r="E13906" t="s">
        <v>42946</v>
      </c>
      <c r="F13906" t="s">
        <v>42947</v>
      </c>
      <c r="G13906" s="2" t="str">
        <f>HYPERLINK("https://probpalata.gov.ru/files/ИП190801553900000.jpeg","Скачать индивидуальный QR-код магазина")</f>
        <v>Скачать индивидуальный QR-код магазина</v>
      </c>
    </row>
    <row r="13907" spans="1:7" x14ac:dyDescent="0.25">
      <c r="A13907" t="s">
        <v>42877</v>
      </c>
      <c r="B13907" t="s">
        <v>42948</v>
      </c>
      <c r="C13907" t="s">
        <v>2073</v>
      </c>
      <c r="D13907" t="s">
        <v>42949</v>
      </c>
      <c r="E13907" t="s">
        <v>42950</v>
      </c>
      <c r="F13907" t="s">
        <v>42951</v>
      </c>
      <c r="G13907" s="2" t="str">
        <f>HYPERLINK("https://probpalata.gov.ru/files/ЮЛ190801226400000.jpeg","Скачать индивидуальный QR-код магазина")</f>
        <v>Скачать индивидуальный QR-код магазина</v>
      </c>
    </row>
    <row r="13908" spans="1:7" x14ac:dyDescent="0.25">
      <c r="A13908" t="s">
        <v>42877</v>
      </c>
      <c r="B13908" t="s">
        <v>42952</v>
      </c>
      <c r="C13908" t="s">
        <v>42953</v>
      </c>
      <c r="D13908" t="s">
        <v>42954</v>
      </c>
      <c r="E13908" t="s">
        <v>42955</v>
      </c>
      <c r="F13908" t="s">
        <v>42956</v>
      </c>
      <c r="G13908" s="2" t="str">
        <f>HYPERLINK("https://probpalata.gov.ru/files/ИП190801214600000.jpeg","Скачать индивидуальный QR-код магазина")</f>
        <v>Скачать индивидуальный QR-код магазина</v>
      </c>
    </row>
    <row r="13909" spans="1:7" x14ac:dyDescent="0.25">
      <c r="A13909" t="s">
        <v>42877</v>
      </c>
      <c r="B13909" t="s">
        <v>42957</v>
      </c>
      <c r="C13909" t="s">
        <v>42958</v>
      </c>
      <c r="D13909" t="s">
        <v>42959</v>
      </c>
      <c r="E13909" t="s">
        <v>42960</v>
      </c>
      <c r="F13909" t="s">
        <v>42961</v>
      </c>
      <c r="G13909" s="2" t="str">
        <f>HYPERLINK("https://probpalata.gov.ru/files/ИП190801547800000.jpeg","Скачать индивидуальный QR-код магазина")</f>
        <v>Скачать индивидуальный QR-код магазина</v>
      </c>
    </row>
    <row r="13910" spans="1:7" x14ac:dyDescent="0.25">
      <c r="A13910" t="s">
        <v>42877</v>
      </c>
      <c r="B13910" t="s">
        <v>42962</v>
      </c>
      <c r="C13910" t="s">
        <v>42963</v>
      </c>
      <c r="D13910" t="s">
        <v>42964</v>
      </c>
      <c r="E13910" t="s">
        <v>42965</v>
      </c>
      <c r="F13910" t="s">
        <v>42966</v>
      </c>
      <c r="G13910" s="2" t="str">
        <f>HYPERLINK("https://probpalata.gov.ru/files/ИП190801035900000.jpeg","Скачать индивидуальный QR-код магазина")</f>
        <v>Скачать индивидуальный QR-код магазина</v>
      </c>
    </row>
    <row r="13911" spans="1:7" x14ac:dyDescent="0.25">
      <c r="A13911" t="s">
        <v>42877</v>
      </c>
      <c r="B13911" t="s">
        <v>42967</v>
      </c>
      <c r="C13911" t="s">
        <v>42968</v>
      </c>
      <c r="D13911" t="s">
        <v>42969</v>
      </c>
      <c r="E13911" t="s">
        <v>42970</v>
      </c>
      <c r="F13911" t="s">
        <v>42971</v>
      </c>
      <c r="G13911" s="2" t="str">
        <f>HYPERLINK("https://probpalata.gov.ru/files/ЮЛ190801009900000.jpeg","Скачать индивидуальный QR-код магазина")</f>
        <v>Скачать индивидуальный QR-код магазина</v>
      </c>
    </row>
    <row r="13912" spans="1:7" x14ac:dyDescent="0.25">
      <c r="A13912" t="s">
        <v>42877</v>
      </c>
      <c r="B13912" t="s">
        <v>42972</v>
      </c>
      <c r="C13912" t="s">
        <v>16004</v>
      </c>
      <c r="D13912" t="s">
        <v>16005</v>
      </c>
      <c r="E13912" t="s">
        <v>16006</v>
      </c>
      <c r="F13912" t="s">
        <v>42973</v>
      </c>
      <c r="G13912" s="2" t="str">
        <f>HYPERLINK("https://probpalata.gov.ru/files/ИП240800069600005.jpeg","Скачать индивидуальный QR-код магазина")</f>
        <v>Скачать индивидуальный QR-код магазина</v>
      </c>
    </row>
    <row r="13913" spans="1:7" x14ac:dyDescent="0.25">
      <c r="A13913" t="s">
        <v>42877</v>
      </c>
      <c r="B13913" t="s">
        <v>42974</v>
      </c>
      <c r="C13913" t="s">
        <v>16004</v>
      </c>
      <c r="D13913" t="s">
        <v>16005</v>
      </c>
      <c r="E13913" t="s">
        <v>16006</v>
      </c>
      <c r="F13913" t="s">
        <v>42975</v>
      </c>
      <c r="G13913" s="2" t="str">
        <f>HYPERLINK("https://probpalata.gov.ru/files/ИП240800069600006.jpeg","Скачать индивидуальный QR-код магазина")</f>
        <v>Скачать индивидуальный QR-код магазина</v>
      </c>
    </row>
    <row r="13914" spans="1:7" x14ac:dyDescent="0.25">
      <c r="A13914" t="s">
        <v>42877</v>
      </c>
      <c r="B13914" t="s">
        <v>42976</v>
      </c>
      <c r="C13914" t="s">
        <v>16004</v>
      </c>
      <c r="D13914" t="s">
        <v>16005</v>
      </c>
      <c r="E13914" t="s">
        <v>16006</v>
      </c>
      <c r="F13914" t="s">
        <v>42977</v>
      </c>
      <c r="G13914" s="2" t="str">
        <f>HYPERLINK("https://probpalata.gov.ru/files/ИП240800069600007.jpeg","Скачать индивидуальный QR-код магазина")</f>
        <v>Скачать индивидуальный QR-код магазина</v>
      </c>
    </row>
    <row r="13915" spans="1:7" x14ac:dyDescent="0.25">
      <c r="A13915" t="s">
        <v>42877</v>
      </c>
      <c r="B13915" t="s">
        <v>42978</v>
      </c>
      <c r="C13915" t="s">
        <v>16015</v>
      </c>
      <c r="D13915" t="s">
        <v>16016</v>
      </c>
      <c r="E13915" t="s">
        <v>16017</v>
      </c>
      <c r="F13915" t="s">
        <v>42979</v>
      </c>
      <c r="G13915" s="2" t="str">
        <f>HYPERLINK("https://probpalata.gov.ru/files/ИП190800918500001.jpeg","Скачать индивидуальный QR-код магазина")</f>
        <v>Скачать индивидуальный QR-код магазина</v>
      </c>
    </row>
    <row r="13916" spans="1:7" x14ac:dyDescent="0.25">
      <c r="A13916" t="s">
        <v>42877</v>
      </c>
      <c r="B13916" t="s">
        <v>42980</v>
      </c>
      <c r="C13916" t="s">
        <v>16015</v>
      </c>
      <c r="D13916" t="s">
        <v>16016</v>
      </c>
      <c r="E13916" t="s">
        <v>16017</v>
      </c>
      <c r="F13916" t="s">
        <v>42981</v>
      </c>
      <c r="G13916" s="2" t="str">
        <f>HYPERLINK("https://probpalata.gov.ru/files/ИП190800918500002.jpeg","Скачать индивидуальный QR-код магазина")</f>
        <v>Скачать индивидуальный QR-код магазина</v>
      </c>
    </row>
    <row r="13917" spans="1:7" x14ac:dyDescent="0.25">
      <c r="A13917" t="s">
        <v>42877</v>
      </c>
      <c r="B13917" t="s">
        <v>42982</v>
      </c>
      <c r="C13917" t="s">
        <v>16015</v>
      </c>
      <c r="D13917" t="s">
        <v>16016</v>
      </c>
      <c r="E13917" t="s">
        <v>16017</v>
      </c>
      <c r="F13917" t="s">
        <v>42983</v>
      </c>
      <c r="G13917" s="2" t="str">
        <f>HYPERLINK("https://probpalata.gov.ru/files/ИП190800918500003.jpeg","Скачать индивидуальный QR-код магазина")</f>
        <v>Скачать индивидуальный QR-код магазина</v>
      </c>
    </row>
    <row r="13918" spans="1:7" x14ac:dyDescent="0.25">
      <c r="A13918" t="s">
        <v>42877</v>
      </c>
      <c r="B13918" t="s">
        <v>42984</v>
      </c>
      <c r="C13918" t="s">
        <v>16115</v>
      </c>
      <c r="D13918" t="s">
        <v>16116</v>
      </c>
      <c r="E13918" t="s">
        <v>16117</v>
      </c>
      <c r="F13918" t="s">
        <v>42985</v>
      </c>
      <c r="G13918" s="2" t="str">
        <f>HYPERLINK("https://probpalata.gov.ru/files/ЮЛ240800578400002.jpeg","Скачать индивидуальный QR-код магазина")</f>
        <v>Скачать индивидуальный QR-код магазина</v>
      </c>
    </row>
    <row r="13919" spans="1:7" x14ac:dyDescent="0.25">
      <c r="A13919" t="s">
        <v>42877</v>
      </c>
      <c r="B13919" t="s">
        <v>42986</v>
      </c>
      <c r="C13919" t="s">
        <v>16622</v>
      </c>
      <c r="D13919" t="s">
        <v>16623</v>
      </c>
      <c r="E13919" t="s">
        <v>16624</v>
      </c>
      <c r="F13919" t="s">
        <v>42987</v>
      </c>
      <c r="G13919" s="2" t="str">
        <f>HYPERLINK("https://probpalata.gov.ru/files/ИП170801529100000.jpeg","Скачать индивидуальный QR-код магазина")</f>
        <v>Скачать индивидуальный QR-код магазина</v>
      </c>
    </row>
    <row r="13920" spans="1:7" x14ac:dyDescent="0.25">
      <c r="A13920" t="s">
        <v>42877</v>
      </c>
      <c r="B13920" t="s">
        <v>42988</v>
      </c>
      <c r="C13920" t="s">
        <v>16622</v>
      </c>
      <c r="D13920" t="s">
        <v>16623</v>
      </c>
      <c r="E13920" t="s">
        <v>16624</v>
      </c>
      <c r="F13920" t="s">
        <v>42989</v>
      </c>
      <c r="G13920" s="2" t="str">
        <f>HYPERLINK("https://probpalata.gov.ru/files/ИП170801529100006.jpeg","Скачать индивидуальный QR-код магазина")</f>
        <v>Скачать индивидуальный QR-код магазина</v>
      </c>
    </row>
    <row r="13921" spans="1:7" x14ac:dyDescent="0.25">
      <c r="A13921" t="s">
        <v>42877</v>
      </c>
      <c r="B13921" t="s">
        <v>42990</v>
      </c>
      <c r="C13921" t="s">
        <v>713</v>
      </c>
      <c r="D13921" t="s">
        <v>714</v>
      </c>
      <c r="E13921" t="s">
        <v>715</v>
      </c>
      <c r="F13921" t="s">
        <v>42991</v>
      </c>
      <c r="G13921" s="2" t="str">
        <f>HYPERLINK("https://probpalata.gov.ru/files/ЮЛ770101216600305.jpeg","Скачать индивидуальный QR-код магазина")</f>
        <v>Скачать индивидуальный QR-код магазина</v>
      </c>
    </row>
    <row r="13922" spans="1:7" x14ac:dyDescent="0.25">
      <c r="A13922" t="s">
        <v>42877</v>
      </c>
      <c r="B13922" t="s">
        <v>42992</v>
      </c>
      <c r="C13922" t="s">
        <v>713</v>
      </c>
      <c r="D13922" t="s">
        <v>714</v>
      </c>
      <c r="E13922" t="s">
        <v>715</v>
      </c>
      <c r="F13922" t="s">
        <v>42993</v>
      </c>
      <c r="G13922" s="2" t="str">
        <f>HYPERLINK("https://probpalata.gov.ru/files/ЮЛ770101216600631.jpeg","Скачать индивидуальный QR-код магазина")</f>
        <v>Скачать индивидуальный QR-код магазина</v>
      </c>
    </row>
    <row r="13923" spans="1:7" x14ac:dyDescent="0.25">
      <c r="A13923" t="s">
        <v>42877</v>
      </c>
      <c r="B13923" t="s">
        <v>42994</v>
      </c>
      <c r="C13923" t="s">
        <v>748</v>
      </c>
      <c r="D13923" t="s">
        <v>749</v>
      </c>
      <c r="E13923" t="s">
        <v>750</v>
      </c>
      <c r="F13923" t="s">
        <v>42995</v>
      </c>
      <c r="G13923" s="2" t="str">
        <f>HYPERLINK("https://probpalata.gov.ru/files/ЮЛ770100193500304.jpeg","Скачать индивидуальный QR-код магазина")</f>
        <v>Скачать индивидуальный QR-код магазина</v>
      </c>
    </row>
    <row r="13924" spans="1:7" x14ac:dyDescent="0.25">
      <c r="A13924" t="s">
        <v>42877</v>
      </c>
      <c r="B13924" t="s">
        <v>42996</v>
      </c>
      <c r="C13924" t="s">
        <v>748</v>
      </c>
      <c r="D13924" t="s">
        <v>749</v>
      </c>
      <c r="E13924" t="s">
        <v>750</v>
      </c>
      <c r="F13924" t="s">
        <v>42997</v>
      </c>
      <c r="G13924" s="2" t="str">
        <f>HYPERLINK("https://probpalata.gov.ru/files/ЮЛ770100193500624.jpeg","Скачать индивидуальный QR-код магазина")</f>
        <v>Скачать индивидуальный QR-код магазина</v>
      </c>
    </row>
    <row r="13925" spans="1:7" x14ac:dyDescent="0.25">
      <c r="A13925" t="s">
        <v>42877</v>
      </c>
      <c r="B13925" t="s">
        <v>42998</v>
      </c>
      <c r="C13925" t="s">
        <v>748</v>
      </c>
      <c r="D13925" t="s">
        <v>749</v>
      </c>
      <c r="E13925" t="s">
        <v>750</v>
      </c>
      <c r="F13925" t="s">
        <v>42999</v>
      </c>
      <c r="G13925" s="2" t="str">
        <f>HYPERLINK("https://probpalata.gov.ru/files/ЮЛ770100193500691.jpeg","Скачать индивидуальный QR-код магазина")</f>
        <v>Скачать индивидуальный QR-код магазина</v>
      </c>
    </row>
    <row r="13926" spans="1:7" x14ac:dyDescent="0.25">
      <c r="A13926" t="s">
        <v>42877</v>
      </c>
      <c r="B13926" t="s">
        <v>42990</v>
      </c>
      <c r="C13926" t="s">
        <v>748</v>
      </c>
      <c r="D13926" t="s">
        <v>749</v>
      </c>
      <c r="E13926" t="s">
        <v>750</v>
      </c>
      <c r="F13926" t="s">
        <v>43000</v>
      </c>
      <c r="G13926" s="2" t="str">
        <f>HYPERLINK("https://probpalata.gov.ru/files/ЮЛ770100193501143.jpeg","Скачать индивидуальный QR-код магазина")</f>
        <v>Скачать индивидуальный QR-код магазина</v>
      </c>
    </row>
    <row r="13927" spans="1:7" x14ac:dyDescent="0.25">
      <c r="A13927" t="s">
        <v>42877</v>
      </c>
      <c r="B13927" t="s">
        <v>43001</v>
      </c>
      <c r="C13927" t="s">
        <v>773</v>
      </c>
      <c r="D13927" t="s">
        <v>774</v>
      </c>
      <c r="E13927" t="s">
        <v>775</v>
      </c>
      <c r="F13927" t="s">
        <v>43002</v>
      </c>
      <c r="G13927" s="2" t="str">
        <f>HYPERLINK("https://probpalata.gov.ru/files/ЮЛ780300131300095.jpeg","Скачать индивидуальный QR-код магазина")</f>
        <v>Скачать индивидуальный QR-код магазина</v>
      </c>
    </row>
    <row r="13928" spans="1:7" x14ac:dyDescent="0.25">
      <c r="A13928" t="s">
        <v>42877</v>
      </c>
      <c r="B13928" t="s">
        <v>43003</v>
      </c>
      <c r="C13928" t="s">
        <v>773</v>
      </c>
      <c r="D13928" t="s">
        <v>774</v>
      </c>
      <c r="E13928" t="s">
        <v>775</v>
      </c>
      <c r="F13928" t="s">
        <v>43004</v>
      </c>
      <c r="G13928" s="2" t="str">
        <f>HYPERLINK("https://probpalata.gov.ru/files/ЮЛ780300131300216.jpeg","Скачать индивидуальный QR-код магазина")</f>
        <v>Скачать индивидуальный QR-код магазина</v>
      </c>
    </row>
    <row r="13929" spans="1:7" x14ac:dyDescent="0.25">
      <c r="A13929" t="s">
        <v>42877</v>
      </c>
      <c r="B13929" t="s">
        <v>43005</v>
      </c>
      <c r="C13929" t="s">
        <v>798</v>
      </c>
      <c r="D13929" t="s">
        <v>799</v>
      </c>
      <c r="E13929" t="s">
        <v>800</v>
      </c>
      <c r="F13929" t="s">
        <v>43006</v>
      </c>
      <c r="G13929" s="2" t="str">
        <f>HYPERLINK("https://probpalata.gov.ru/files/ЮЛ780300308200023.jpeg","Скачать индивидуальный QR-код магазина")</f>
        <v>Скачать индивидуальный QR-код магазина</v>
      </c>
    </row>
    <row r="13930" spans="1:7" x14ac:dyDescent="0.25">
      <c r="A13930" t="s">
        <v>42877</v>
      </c>
      <c r="B13930" t="s">
        <v>43007</v>
      </c>
      <c r="C13930" t="s">
        <v>798</v>
      </c>
      <c r="D13930" t="s">
        <v>799</v>
      </c>
      <c r="E13930" t="s">
        <v>800</v>
      </c>
      <c r="F13930" t="s">
        <v>43008</v>
      </c>
      <c r="G13930" s="2" t="str">
        <f>HYPERLINK("https://probpalata.gov.ru/files/ЮЛ780300308200355.jpeg","Скачать индивидуальный QR-код магазина")</f>
        <v>Скачать индивидуальный QR-код магазина</v>
      </c>
    </row>
    <row r="13931" spans="1:7" x14ac:dyDescent="0.25">
      <c r="A13931" t="s">
        <v>42877</v>
      </c>
      <c r="B13931" t="s">
        <v>43009</v>
      </c>
      <c r="C13931" t="s">
        <v>798</v>
      </c>
      <c r="D13931" t="s">
        <v>799</v>
      </c>
      <c r="E13931" t="s">
        <v>800</v>
      </c>
      <c r="F13931" t="s">
        <v>43010</v>
      </c>
      <c r="G13931" s="2" t="str">
        <f>HYPERLINK("https://probpalata.gov.ru/files/ЮЛ780300308200904.jpeg","Скачать индивидуальный QR-код магазина")</f>
        <v>Скачать индивидуальный QR-код магазина</v>
      </c>
    </row>
    <row r="13932" spans="1:7" x14ac:dyDescent="0.25">
      <c r="A13932" t="s">
        <v>42877</v>
      </c>
      <c r="B13932" t="s">
        <v>43011</v>
      </c>
      <c r="C13932" t="s">
        <v>798</v>
      </c>
      <c r="D13932" t="s">
        <v>799</v>
      </c>
      <c r="E13932" t="s">
        <v>800</v>
      </c>
      <c r="F13932" t="s">
        <v>43012</v>
      </c>
      <c r="G13932" s="2" t="str">
        <f>HYPERLINK("https://probpalata.gov.ru/files/ЮЛ780300308201065.jpeg","Скачать индивидуальный QR-код магазина")</f>
        <v>Скачать индивидуальный QR-код магазина</v>
      </c>
    </row>
    <row r="13933" spans="1:7" x14ac:dyDescent="0.25">
      <c r="A13933" t="s">
        <v>43013</v>
      </c>
      <c r="B13933" t="s">
        <v>43014</v>
      </c>
      <c r="C13933" t="s">
        <v>3236</v>
      </c>
      <c r="D13933" t="s">
        <v>3237</v>
      </c>
      <c r="E13933" t="s">
        <v>3238</v>
      </c>
      <c r="F13933" t="s">
        <v>43015</v>
      </c>
      <c r="G13933" s="2" t="str">
        <f>HYPERLINK("https://probpalata.gov.ru/files/ИП020603403600001.jpeg","Скачать индивидуальный QR-код магазина")</f>
        <v>Скачать индивидуальный QR-код магазина</v>
      </c>
    </row>
    <row r="13934" spans="1:7" x14ac:dyDescent="0.25">
      <c r="A13934" t="s">
        <v>43013</v>
      </c>
      <c r="B13934" t="s">
        <v>43016</v>
      </c>
      <c r="C13934" t="s">
        <v>3236</v>
      </c>
      <c r="D13934" t="s">
        <v>3237</v>
      </c>
      <c r="E13934" t="s">
        <v>3238</v>
      </c>
      <c r="F13934" t="s">
        <v>43017</v>
      </c>
      <c r="G13934" s="2" t="str">
        <f>HYPERLINK("https://probpalata.gov.ru/files/ИП020603403600006.jpeg","Скачать индивидуальный QR-код магазина")</f>
        <v>Скачать индивидуальный QR-код магазина</v>
      </c>
    </row>
    <row r="13935" spans="1:7" x14ac:dyDescent="0.25">
      <c r="A13935" t="s">
        <v>43013</v>
      </c>
      <c r="B13935" t="s">
        <v>43018</v>
      </c>
      <c r="C13935" t="s">
        <v>3236</v>
      </c>
      <c r="D13935" t="s">
        <v>3237</v>
      </c>
      <c r="E13935" t="s">
        <v>3238</v>
      </c>
      <c r="F13935" t="s">
        <v>43019</v>
      </c>
      <c r="G13935" s="2" t="str">
        <f>HYPERLINK("https://probpalata.gov.ru/files/ИП020603403600007.jpeg","Скачать индивидуальный QR-код магазина")</f>
        <v>Скачать индивидуальный QR-код магазина</v>
      </c>
    </row>
    <row r="13936" spans="1:7" x14ac:dyDescent="0.25">
      <c r="A13936" t="s">
        <v>43013</v>
      </c>
      <c r="B13936" t="s">
        <v>43020</v>
      </c>
      <c r="C13936" t="s">
        <v>2647</v>
      </c>
      <c r="D13936" t="s">
        <v>2648</v>
      </c>
      <c r="E13936" t="s">
        <v>2649</v>
      </c>
      <c r="F13936" t="s">
        <v>43021</v>
      </c>
      <c r="G13936" s="2" t="str">
        <f>HYPERLINK("https://probpalata.gov.ru/files/ИП610400007100034.jpeg","Скачать индивидуальный QR-код магазина")</f>
        <v>Скачать индивидуальный QR-код магазина</v>
      </c>
    </row>
    <row r="13937" spans="1:7" x14ac:dyDescent="0.25">
      <c r="A13937" t="s">
        <v>43013</v>
      </c>
      <c r="B13937" t="s">
        <v>43022</v>
      </c>
      <c r="C13937" t="s">
        <v>3246</v>
      </c>
      <c r="D13937" t="s">
        <v>3247</v>
      </c>
      <c r="E13937" t="s">
        <v>3248</v>
      </c>
      <c r="F13937" t="s">
        <v>43023</v>
      </c>
      <c r="G13937" s="2" t="str">
        <f>HYPERLINK("https://probpalata.gov.ru/files/ИП230400618900045.jpeg","Скачать индивидуальный QR-код магазина")</f>
        <v>Скачать индивидуальный QR-код магазина</v>
      </c>
    </row>
    <row r="13938" spans="1:7" x14ac:dyDescent="0.25">
      <c r="A13938" t="s">
        <v>43013</v>
      </c>
      <c r="B13938" t="s">
        <v>43024</v>
      </c>
      <c r="C13938" t="s">
        <v>3246</v>
      </c>
      <c r="D13938" t="s">
        <v>3247</v>
      </c>
      <c r="E13938" t="s">
        <v>3248</v>
      </c>
      <c r="F13938" t="s">
        <v>43025</v>
      </c>
      <c r="G13938" s="2" t="str">
        <f>HYPERLINK("https://probpalata.gov.ru/files/ИП230400618900056.jpeg","Скачать индивидуальный QR-код магазина")</f>
        <v>Скачать индивидуальный QR-код магазина</v>
      </c>
    </row>
    <row r="13939" spans="1:7" x14ac:dyDescent="0.25">
      <c r="A13939" t="s">
        <v>43013</v>
      </c>
      <c r="B13939" t="s">
        <v>43026</v>
      </c>
      <c r="C13939" t="s">
        <v>43027</v>
      </c>
      <c r="D13939" t="s">
        <v>43028</v>
      </c>
      <c r="E13939" t="s">
        <v>43029</v>
      </c>
      <c r="F13939" t="s">
        <v>43030</v>
      </c>
      <c r="G13939" s="2" t="str">
        <f>HYPERLINK("https://probpalata.gov.ru/files/ИП610400320500000.jpeg","Скачать индивидуальный QR-код магазина")</f>
        <v>Скачать индивидуальный QR-код магазина</v>
      </c>
    </row>
    <row r="13940" spans="1:7" x14ac:dyDescent="0.25">
      <c r="A13940" t="s">
        <v>43013</v>
      </c>
      <c r="B13940" t="s">
        <v>43031</v>
      </c>
      <c r="C13940" t="s">
        <v>43032</v>
      </c>
      <c r="D13940" t="s">
        <v>43033</v>
      </c>
      <c r="E13940" t="s">
        <v>43034</v>
      </c>
      <c r="F13940" t="s">
        <v>43035</v>
      </c>
      <c r="G13940" s="2" t="str">
        <f>HYPERLINK("https://probpalata.gov.ru/files/ИП230400479100000.jpeg","Скачать индивидуальный QR-код магазина")</f>
        <v>Скачать индивидуальный QR-код магазина</v>
      </c>
    </row>
    <row r="13941" spans="1:7" x14ac:dyDescent="0.25">
      <c r="A13941" t="s">
        <v>43013</v>
      </c>
      <c r="B13941" t="s">
        <v>43036</v>
      </c>
      <c r="C13941" t="s">
        <v>43037</v>
      </c>
      <c r="D13941" t="s">
        <v>43038</v>
      </c>
      <c r="E13941" t="s">
        <v>43039</v>
      </c>
      <c r="F13941" t="s">
        <v>43040</v>
      </c>
      <c r="G13941" s="2" t="str">
        <f>HYPERLINK("https://probpalata.gov.ru/files/ИП610404002900000.jpeg","Скачать индивидуальный QR-код магазина")</f>
        <v>Скачать индивидуальный QR-код магазина</v>
      </c>
    </row>
    <row r="13942" spans="1:7" x14ac:dyDescent="0.25">
      <c r="A13942" t="s">
        <v>43013</v>
      </c>
      <c r="B13942" t="s">
        <v>43041</v>
      </c>
      <c r="C13942" t="s">
        <v>43042</v>
      </c>
      <c r="D13942" t="s">
        <v>43043</v>
      </c>
      <c r="E13942" t="s">
        <v>43044</v>
      </c>
      <c r="F13942" t="s">
        <v>43045</v>
      </c>
      <c r="G13942" s="2" t="str">
        <f>HYPERLINK("https://probpalata.gov.ru/files/ИП260500406300005.jpeg","Скачать индивидуальный QR-код магазина")</f>
        <v>Скачать индивидуальный QR-код магазина</v>
      </c>
    </row>
    <row r="13943" spans="1:7" x14ac:dyDescent="0.25">
      <c r="A13943" t="s">
        <v>43013</v>
      </c>
      <c r="B13943" t="s">
        <v>43046</v>
      </c>
      <c r="C13943" t="s">
        <v>4686</v>
      </c>
      <c r="D13943" t="s">
        <v>4687</v>
      </c>
      <c r="E13943" t="s">
        <v>4688</v>
      </c>
      <c r="F13943" t="s">
        <v>43047</v>
      </c>
      <c r="G13943" s="2" t="str">
        <f>HYPERLINK("https://probpalata.gov.ru/files/ИП500101205300002.jpeg","Скачать индивидуальный QR-код магазина")</f>
        <v>Скачать индивидуальный QR-код магазина</v>
      </c>
    </row>
    <row r="13944" spans="1:7" x14ac:dyDescent="0.25">
      <c r="A13944" t="s">
        <v>43013</v>
      </c>
      <c r="B13944" t="s">
        <v>43048</v>
      </c>
      <c r="C13944" t="s">
        <v>1721</v>
      </c>
      <c r="D13944" t="s">
        <v>1722</v>
      </c>
      <c r="E13944" t="s">
        <v>1723</v>
      </c>
      <c r="F13944" t="s">
        <v>43049</v>
      </c>
      <c r="G13944" s="2" t="str">
        <f>HYPERLINK("https://probpalata.gov.ru/files/ИП340400993200015.jpeg","Скачать индивидуальный QR-код магазина")</f>
        <v>Скачать индивидуальный QR-код магазина</v>
      </c>
    </row>
    <row r="13945" spans="1:7" x14ac:dyDescent="0.25">
      <c r="A13945" t="s">
        <v>43013</v>
      </c>
      <c r="B13945" t="s">
        <v>43050</v>
      </c>
      <c r="C13945" t="s">
        <v>1721</v>
      </c>
      <c r="D13945" t="s">
        <v>1722</v>
      </c>
      <c r="E13945" t="s">
        <v>1723</v>
      </c>
      <c r="F13945" t="s">
        <v>43051</v>
      </c>
      <c r="G13945" s="2" t="str">
        <f>HYPERLINK("https://probpalata.gov.ru/files/ИП340400993200016.jpeg","Скачать индивидуальный QR-код магазина")</f>
        <v>Скачать индивидуальный QR-код магазина</v>
      </c>
    </row>
    <row r="13946" spans="1:7" x14ac:dyDescent="0.25">
      <c r="A13946" t="s">
        <v>43013</v>
      </c>
      <c r="B13946" t="s">
        <v>43052</v>
      </c>
      <c r="C13946" t="s">
        <v>1721</v>
      </c>
      <c r="D13946" t="s">
        <v>1722</v>
      </c>
      <c r="E13946" t="s">
        <v>1723</v>
      </c>
      <c r="F13946" t="s">
        <v>43053</v>
      </c>
      <c r="G13946" s="2" t="str">
        <f>HYPERLINK("https://probpalata.gov.ru/files/ИП340400993200017.jpeg","Скачать индивидуальный QR-код магазина")</f>
        <v>Скачать индивидуальный QR-код магазина</v>
      </c>
    </row>
    <row r="13947" spans="1:7" x14ac:dyDescent="0.25">
      <c r="A13947" t="s">
        <v>43013</v>
      </c>
      <c r="B13947" t="s">
        <v>43054</v>
      </c>
      <c r="C13947" t="s">
        <v>3432</v>
      </c>
      <c r="D13947" t="s">
        <v>3433</v>
      </c>
      <c r="E13947" t="s">
        <v>3434</v>
      </c>
      <c r="F13947" t="s">
        <v>43055</v>
      </c>
      <c r="G13947" s="2" t="str">
        <f>HYPERLINK("https://probpalata.gov.ru/files/ИП780301493800000.jpeg","Скачать индивидуальный QR-код магазина")</f>
        <v>Скачать индивидуальный QR-код магазина</v>
      </c>
    </row>
    <row r="13948" spans="1:7" x14ac:dyDescent="0.25">
      <c r="A13948" t="s">
        <v>43013</v>
      </c>
      <c r="B13948" t="s">
        <v>43056</v>
      </c>
      <c r="C13948" t="s">
        <v>3432</v>
      </c>
      <c r="D13948" t="s">
        <v>3433</v>
      </c>
      <c r="E13948" t="s">
        <v>3434</v>
      </c>
      <c r="F13948" t="s">
        <v>43057</v>
      </c>
      <c r="G13948" s="2" t="str">
        <f>HYPERLINK("https://probpalata.gov.ru/files/ИП780301493800005.jpeg","Скачать индивидуальный QR-код магазина")</f>
        <v>Скачать индивидуальный QR-код магазина</v>
      </c>
    </row>
    <row r="13949" spans="1:7" x14ac:dyDescent="0.25">
      <c r="A13949" t="s">
        <v>43013</v>
      </c>
      <c r="B13949" t="s">
        <v>43048</v>
      </c>
      <c r="C13949" t="s">
        <v>1727</v>
      </c>
      <c r="D13949" t="s">
        <v>1728</v>
      </c>
      <c r="E13949" t="s">
        <v>1729</v>
      </c>
      <c r="F13949" t="s">
        <v>43058</v>
      </c>
      <c r="G13949" s="2" t="str">
        <f>HYPERLINK("https://probpalata.gov.ru/files/ЮЛ340400964300009.jpeg","Скачать индивидуальный QR-код магазина")</f>
        <v>Скачать индивидуальный QR-код магазина</v>
      </c>
    </row>
    <row r="13950" spans="1:7" x14ac:dyDescent="0.25">
      <c r="A13950" t="s">
        <v>43013</v>
      </c>
      <c r="B13950" t="s">
        <v>43050</v>
      </c>
      <c r="C13950" t="s">
        <v>1727</v>
      </c>
      <c r="D13950" t="s">
        <v>1728</v>
      </c>
      <c r="E13950" t="s">
        <v>1729</v>
      </c>
      <c r="F13950" t="s">
        <v>43059</v>
      </c>
      <c r="G13950" s="2" t="str">
        <f>HYPERLINK("https://probpalata.gov.ru/files/ЮЛ340400964300013.jpeg","Скачать индивидуальный QR-код магазина")</f>
        <v>Скачать индивидуальный QR-код магазина</v>
      </c>
    </row>
    <row r="13951" spans="1:7" x14ac:dyDescent="0.25">
      <c r="A13951" t="s">
        <v>43013</v>
      </c>
      <c r="B13951" t="s">
        <v>43052</v>
      </c>
      <c r="C13951" t="s">
        <v>1727</v>
      </c>
      <c r="D13951" t="s">
        <v>1728</v>
      </c>
      <c r="E13951" t="s">
        <v>1729</v>
      </c>
      <c r="F13951" t="s">
        <v>43060</v>
      </c>
      <c r="G13951" s="2" t="str">
        <f>HYPERLINK("https://probpalata.gov.ru/files/ЮЛ340400964300014.jpeg","Скачать индивидуальный QR-код магазина")</f>
        <v>Скачать индивидуальный QR-код магазина</v>
      </c>
    </row>
    <row r="13952" spans="1:7" x14ac:dyDescent="0.25">
      <c r="A13952" t="s">
        <v>43013</v>
      </c>
      <c r="B13952" t="s">
        <v>43061</v>
      </c>
      <c r="C13952" t="s">
        <v>3742</v>
      </c>
      <c r="D13952" t="s">
        <v>3743</v>
      </c>
      <c r="E13952" t="s">
        <v>3744</v>
      </c>
      <c r="F13952" t="s">
        <v>43062</v>
      </c>
      <c r="G13952" s="2" t="str">
        <f>HYPERLINK("https://probpalata.gov.ru/files/ЮЛ340400976100008.jpeg","Скачать индивидуальный QR-код магазина")</f>
        <v>Скачать индивидуальный QR-код магазина</v>
      </c>
    </row>
    <row r="13953" spans="1:7" x14ac:dyDescent="0.25">
      <c r="A13953" t="s">
        <v>43013</v>
      </c>
      <c r="B13953" t="s">
        <v>43063</v>
      </c>
      <c r="C13953" t="s">
        <v>43064</v>
      </c>
      <c r="D13953" t="s">
        <v>43065</v>
      </c>
      <c r="E13953" t="s">
        <v>43066</v>
      </c>
      <c r="F13953" t="s">
        <v>43067</v>
      </c>
      <c r="G13953" s="2" t="str">
        <f>HYPERLINK("https://probpalata.gov.ru/files/ИП610401916900000.jpeg","Скачать индивидуальный QR-код магазина")</f>
        <v>Скачать индивидуальный QR-код магазина</v>
      </c>
    </row>
    <row r="13954" spans="1:7" x14ac:dyDescent="0.25">
      <c r="A13954" t="s">
        <v>43013</v>
      </c>
      <c r="B13954" t="s">
        <v>43068</v>
      </c>
      <c r="C13954" t="s">
        <v>2185</v>
      </c>
      <c r="D13954" t="s">
        <v>2186</v>
      </c>
      <c r="E13954" t="s">
        <v>2187</v>
      </c>
      <c r="F13954" t="s">
        <v>43069</v>
      </c>
      <c r="G13954" s="2" t="str">
        <f>HYPERLINK("https://probpalata.gov.ru/files/ЮЛ480100215000018.jpeg","Скачать индивидуальный QR-код магазина")</f>
        <v>Скачать индивидуальный QR-код магазина</v>
      </c>
    </row>
    <row r="13955" spans="1:7" x14ac:dyDescent="0.25">
      <c r="A13955" t="s">
        <v>43013</v>
      </c>
      <c r="B13955" t="s">
        <v>43070</v>
      </c>
      <c r="C13955" t="s">
        <v>2185</v>
      </c>
      <c r="D13955" t="s">
        <v>2186</v>
      </c>
      <c r="E13955" t="s">
        <v>2187</v>
      </c>
      <c r="F13955" t="s">
        <v>43071</v>
      </c>
      <c r="G13955" s="2" t="str">
        <f>HYPERLINK("https://probpalata.gov.ru/files/ЮЛ480100215000041.jpeg","Скачать индивидуальный QR-код магазина")</f>
        <v>Скачать индивидуальный QR-код магазина</v>
      </c>
    </row>
    <row r="13956" spans="1:7" x14ac:dyDescent="0.25">
      <c r="A13956" t="s">
        <v>43013</v>
      </c>
      <c r="B13956" t="s">
        <v>43072</v>
      </c>
      <c r="C13956" t="s">
        <v>14736</v>
      </c>
      <c r="D13956" t="s">
        <v>14737</v>
      </c>
      <c r="E13956" t="s">
        <v>14738</v>
      </c>
      <c r="F13956" t="s">
        <v>43073</v>
      </c>
      <c r="G13956" s="2" t="str">
        <f>HYPERLINK("https://probpalata.gov.ru/files/ЮЛ500100649400007.jpeg","Скачать индивидуальный QR-код магазина")</f>
        <v>Скачать индивидуальный QR-код магазина</v>
      </c>
    </row>
    <row r="13957" spans="1:7" x14ac:dyDescent="0.25">
      <c r="A13957" t="s">
        <v>43013</v>
      </c>
      <c r="B13957" t="s">
        <v>43074</v>
      </c>
      <c r="C13957" t="s">
        <v>14736</v>
      </c>
      <c r="D13957" t="s">
        <v>14737</v>
      </c>
      <c r="E13957" t="s">
        <v>14738</v>
      </c>
      <c r="F13957" t="s">
        <v>43075</v>
      </c>
      <c r="G13957" s="2" t="str">
        <f>HYPERLINK("https://probpalata.gov.ru/files/ЮЛ500100649400023.jpeg","Скачать индивидуальный QR-код магазина")</f>
        <v>Скачать индивидуальный QR-код магазина</v>
      </c>
    </row>
    <row r="13958" spans="1:7" x14ac:dyDescent="0.25">
      <c r="A13958" t="s">
        <v>43013</v>
      </c>
      <c r="B13958" t="s">
        <v>43076</v>
      </c>
      <c r="C13958" t="s">
        <v>14736</v>
      </c>
      <c r="D13958" t="s">
        <v>14737</v>
      </c>
      <c r="E13958" t="s">
        <v>14738</v>
      </c>
      <c r="F13958" t="s">
        <v>43077</v>
      </c>
      <c r="G13958" s="2" t="str">
        <f>HYPERLINK("https://probpalata.gov.ru/files/ЮЛ500100649400031.jpeg","Скачать индивидуальный QR-код магазина")</f>
        <v>Скачать индивидуальный QR-код магазина</v>
      </c>
    </row>
    <row r="13959" spans="1:7" x14ac:dyDescent="0.25">
      <c r="A13959" t="s">
        <v>43013</v>
      </c>
      <c r="B13959" t="s">
        <v>43078</v>
      </c>
      <c r="C13959" t="s">
        <v>14736</v>
      </c>
      <c r="D13959" t="s">
        <v>14737</v>
      </c>
      <c r="E13959" t="s">
        <v>14738</v>
      </c>
      <c r="F13959" t="s">
        <v>43079</v>
      </c>
      <c r="G13959" s="2" t="str">
        <f>HYPERLINK("https://probpalata.gov.ru/files/ЮЛ500100649400038.jpeg","Скачать индивидуальный QR-код магазина")</f>
        <v>Скачать индивидуальный QR-код магазина</v>
      </c>
    </row>
    <row r="13960" spans="1:7" x14ac:dyDescent="0.25">
      <c r="A13960" t="s">
        <v>43013</v>
      </c>
      <c r="B13960" t="s">
        <v>43080</v>
      </c>
      <c r="C13960" t="s">
        <v>671</v>
      </c>
      <c r="D13960" t="s">
        <v>672</v>
      </c>
      <c r="E13960" t="s">
        <v>673</v>
      </c>
      <c r="F13960" t="s">
        <v>43081</v>
      </c>
      <c r="G13960" s="2" t="str">
        <f>HYPERLINK("https://probpalata.gov.ru/files/ИП500100445500018.jpeg","Скачать индивидуальный QR-код магазина")</f>
        <v>Скачать индивидуальный QR-код магазина</v>
      </c>
    </row>
    <row r="13961" spans="1:7" x14ac:dyDescent="0.25">
      <c r="A13961" t="s">
        <v>43013</v>
      </c>
      <c r="B13961" t="s">
        <v>43082</v>
      </c>
      <c r="C13961" t="s">
        <v>671</v>
      </c>
      <c r="D13961" t="s">
        <v>672</v>
      </c>
      <c r="E13961" t="s">
        <v>673</v>
      </c>
      <c r="F13961" t="s">
        <v>43083</v>
      </c>
      <c r="G13961" s="2" t="str">
        <f>HYPERLINK("https://probpalata.gov.ru/files/ИП500100445500055.jpeg","Скачать индивидуальный QR-код магазина")</f>
        <v>Скачать индивидуальный QR-код магазина</v>
      </c>
    </row>
    <row r="13962" spans="1:7" x14ac:dyDescent="0.25">
      <c r="A13962" t="s">
        <v>43013</v>
      </c>
      <c r="B13962" t="s">
        <v>43084</v>
      </c>
      <c r="C13962" t="s">
        <v>671</v>
      </c>
      <c r="D13962" t="s">
        <v>672</v>
      </c>
      <c r="E13962" t="s">
        <v>673</v>
      </c>
      <c r="F13962" t="s">
        <v>43085</v>
      </c>
      <c r="G13962" s="2" t="str">
        <f>HYPERLINK("https://probpalata.gov.ru/files/ИП500100445500104.jpeg","Скачать индивидуальный QR-код магазина")</f>
        <v>Скачать индивидуальный QR-код магазина</v>
      </c>
    </row>
    <row r="13963" spans="1:7" x14ac:dyDescent="0.25">
      <c r="A13963" t="s">
        <v>43013</v>
      </c>
      <c r="B13963" t="s">
        <v>43036</v>
      </c>
      <c r="C13963" t="s">
        <v>681</v>
      </c>
      <c r="D13963" t="s">
        <v>682</v>
      </c>
      <c r="E13963" t="s">
        <v>683</v>
      </c>
      <c r="F13963" t="s">
        <v>43086</v>
      </c>
      <c r="G13963" s="2" t="str">
        <f>HYPERLINK("https://probpalata.gov.ru/files/ИП520600807800007.jpeg","Скачать индивидуальный QR-код магазина")</f>
        <v>Скачать индивидуальный QR-код магазина</v>
      </c>
    </row>
    <row r="13964" spans="1:7" x14ac:dyDescent="0.25">
      <c r="A13964" t="s">
        <v>43013</v>
      </c>
      <c r="B13964" t="s">
        <v>43087</v>
      </c>
      <c r="C13964" t="s">
        <v>681</v>
      </c>
      <c r="D13964" t="s">
        <v>682</v>
      </c>
      <c r="E13964" t="s">
        <v>683</v>
      </c>
      <c r="F13964" t="s">
        <v>43088</v>
      </c>
      <c r="G13964" s="2" t="str">
        <f>HYPERLINK("https://probpalata.gov.ru/files/ИП520600807800024.jpeg","Скачать индивидуальный QR-код магазина")</f>
        <v>Скачать индивидуальный QR-код магазина</v>
      </c>
    </row>
    <row r="13965" spans="1:7" x14ac:dyDescent="0.25">
      <c r="A13965" t="s">
        <v>43013</v>
      </c>
      <c r="B13965" t="s">
        <v>43089</v>
      </c>
      <c r="C13965" t="s">
        <v>681</v>
      </c>
      <c r="D13965" t="s">
        <v>682</v>
      </c>
      <c r="E13965" t="s">
        <v>683</v>
      </c>
      <c r="F13965" t="s">
        <v>43090</v>
      </c>
      <c r="G13965" s="2" t="str">
        <f>HYPERLINK("https://probpalata.gov.ru/files/ИП520600807800026.jpeg","Скачать индивидуальный QR-код магазина")</f>
        <v>Скачать индивидуальный QR-код магазина</v>
      </c>
    </row>
    <row r="13966" spans="1:7" x14ac:dyDescent="0.25">
      <c r="A13966" t="s">
        <v>43013</v>
      </c>
      <c r="B13966" t="s">
        <v>43091</v>
      </c>
      <c r="C13966" t="s">
        <v>1735</v>
      </c>
      <c r="D13966" t="s">
        <v>1736</v>
      </c>
      <c r="E13966" t="s">
        <v>1737</v>
      </c>
      <c r="F13966" t="s">
        <v>43092</v>
      </c>
      <c r="G13966" s="2" t="str">
        <f>HYPERLINK("https://probpalata.gov.ru/files/ЮЛ520603376600049.jpeg","Скачать индивидуальный QR-код магазина")</f>
        <v>Скачать индивидуальный QR-код магазина</v>
      </c>
    </row>
    <row r="13967" spans="1:7" x14ac:dyDescent="0.25">
      <c r="A13967" t="s">
        <v>43013</v>
      </c>
      <c r="B13967" t="s">
        <v>43093</v>
      </c>
      <c r="C13967" t="s">
        <v>43094</v>
      </c>
      <c r="D13967" t="s">
        <v>43095</v>
      </c>
      <c r="E13967" t="s">
        <v>43096</v>
      </c>
      <c r="F13967" t="s">
        <v>43097</v>
      </c>
      <c r="G13967" s="2" t="str">
        <f>HYPERLINK("https://probpalata.gov.ru/files/ИП610403220200000.jpeg","Скачать индивидуальный QR-код магазина")</f>
        <v>Скачать индивидуальный QR-код магазина</v>
      </c>
    </row>
    <row r="13968" spans="1:7" x14ac:dyDescent="0.25">
      <c r="A13968" t="s">
        <v>43013</v>
      </c>
      <c r="B13968" t="s">
        <v>43098</v>
      </c>
      <c r="C13968" t="s">
        <v>43099</v>
      </c>
      <c r="D13968" t="s">
        <v>43100</v>
      </c>
      <c r="E13968" t="s">
        <v>43101</v>
      </c>
      <c r="F13968" t="s">
        <v>43102</v>
      </c>
      <c r="G13968" s="2" t="str">
        <f>HYPERLINK("https://probpalata.gov.ru/files/ИП610400412800000.jpeg","Скачать индивидуальный QR-код магазина")</f>
        <v>Скачать индивидуальный QR-код магазина</v>
      </c>
    </row>
    <row r="13969" spans="1:7" x14ac:dyDescent="0.25">
      <c r="A13969" t="s">
        <v>43013</v>
      </c>
      <c r="B13969" t="s">
        <v>43103</v>
      </c>
      <c r="C13969" t="s">
        <v>43099</v>
      </c>
      <c r="D13969" t="s">
        <v>43100</v>
      </c>
      <c r="E13969" t="s">
        <v>43101</v>
      </c>
      <c r="F13969" t="s">
        <v>43104</v>
      </c>
      <c r="G13969" s="2" t="str">
        <f>HYPERLINK("https://probpalata.gov.ru/files/ИП610400412800002.jpeg","Скачать индивидуальный QR-код магазина")</f>
        <v>Скачать индивидуальный QR-код магазина</v>
      </c>
    </row>
    <row r="13970" spans="1:7" x14ac:dyDescent="0.25">
      <c r="A13970" t="s">
        <v>43013</v>
      </c>
      <c r="B13970" t="s">
        <v>43105</v>
      </c>
      <c r="C13970" t="s">
        <v>43106</v>
      </c>
      <c r="D13970" t="s">
        <v>43107</v>
      </c>
      <c r="E13970" t="s">
        <v>43108</v>
      </c>
      <c r="F13970" t="s">
        <v>43109</v>
      </c>
      <c r="G13970" s="2" t="str">
        <f>HYPERLINK("https://probpalata.gov.ru/files/ИП610404034400000.jpeg","Скачать индивидуальный QR-код магазина")</f>
        <v>Скачать индивидуальный QR-код магазина</v>
      </c>
    </row>
    <row r="13971" spans="1:7" x14ac:dyDescent="0.25">
      <c r="A13971" t="s">
        <v>43013</v>
      </c>
      <c r="B13971" t="s">
        <v>43110</v>
      </c>
      <c r="C13971" t="s">
        <v>43111</v>
      </c>
      <c r="D13971" t="s">
        <v>43112</v>
      </c>
      <c r="E13971" t="s">
        <v>43113</v>
      </c>
      <c r="F13971" t="s">
        <v>43114</v>
      </c>
      <c r="G13971" s="2" t="str">
        <f>HYPERLINK("https://probpalata.gov.ru/files/ИП610403613500000.jpeg","Скачать индивидуальный QR-код магазина")</f>
        <v>Скачать индивидуальный QR-код магазина</v>
      </c>
    </row>
    <row r="13972" spans="1:7" x14ac:dyDescent="0.25">
      <c r="A13972" t="s">
        <v>43013</v>
      </c>
      <c r="B13972" t="s">
        <v>43115</v>
      </c>
      <c r="C13972" t="s">
        <v>43116</v>
      </c>
      <c r="D13972" t="s">
        <v>43117</v>
      </c>
      <c r="E13972" t="s">
        <v>43118</v>
      </c>
      <c r="F13972" t="s">
        <v>43119</v>
      </c>
      <c r="G13972" s="2" t="str">
        <f>HYPERLINK("https://probpalata.gov.ru/files/ИП610403967100000.jpeg","Скачать индивидуальный QR-код магазина")</f>
        <v>Скачать индивидуальный QR-код магазина</v>
      </c>
    </row>
    <row r="13973" spans="1:7" x14ac:dyDescent="0.25">
      <c r="A13973" t="s">
        <v>43013</v>
      </c>
      <c r="B13973" t="s">
        <v>43120</v>
      </c>
      <c r="C13973" t="s">
        <v>43121</v>
      </c>
      <c r="D13973" t="s">
        <v>43122</v>
      </c>
      <c r="E13973" t="s">
        <v>43123</v>
      </c>
      <c r="F13973" t="s">
        <v>43124</v>
      </c>
      <c r="G13973" s="2" t="str">
        <f>HYPERLINK("https://probpalata.gov.ru/files/ИП610400857300000.jpeg","Скачать индивидуальный QR-код магазина")</f>
        <v>Скачать индивидуальный QR-код магазина</v>
      </c>
    </row>
    <row r="13974" spans="1:7" x14ac:dyDescent="0.25">
      <c r="A13974" t="s">
        <v>43013</v>
      </c>
      <c r="B13974" t="s">
        <v>43125</v>
      </c>
      <c r="C13974" t="s">
        <v>43126</v>
      </c>
      <c r="D13974" t="s">
        <v>43127</v>
      </c>
      <c r="E13974" t="s">
        <v>43128</v>
      </c>
      <c r="F13974" t="s">
        <v>43129</v>
      </c>
      <c r="G13974" s="2" t="str">
        <f>HYPERLINK("https://probpalata.gov.ru/files/ИП610400147900001.jpeg","Скачать индивидуальный QR-код магазина")</f>
        <v>Скачать индивидуальный QR-код магазина</v>
      </c>
    </row>
    <row r="13975" spans="1:7" x14ac:dyDescent="0.25">
      <c r="A13975" t="s">
        <v>43013</v>
      </c>
      <c r="B13975" t="s">
        <v>43130</v>
      </c>
      <c r="C13975" t="s">
        <v>43126</v>
      </c>
      <c r="D13975" t="s">
        <v>43127</v>
      </c>
      <c r="E13975" t="s">
        <v>43128</v>
      </c>
      <c r="F13975" t="s">
        <v>43131</v>
      </c>
      <c r="G13975" s="2" t="str">
        <f>HYPERLINK("https://probpalata.gov.ru/files/ИП610400147900003.jpeg","Скачать индивидуальный QR-код магазина")</f>
        <v>Скачать индивидуальный QR-код магазина</v>
      </c>
    </row>
    <row r="13976" spans="1:7" x14ac:dyDescent="0.25">
      <c r="A13976" t="s">
        <v>43013</v>
      </c>
      <c r="B13976" t="s">
        <v>43132</v>
      </c>
      <c r="C13976" t="s">
        <v>43126</v>
      </c>
      <c r="D13976" t="s">
        <v>43127</v>
      </c>
      <c r="E13976" t="s">
        <v>43128</v>
      </c>
      <c r="F13976" t="s">
        <v>43133</v>
      </c>
      <c r="G13976" s="2" t="str">
        <f>HYPERLINK("https://probpalata.gov.ru/files/ИП610400147900004.jpeg","Скачать индивидуальный QR-код магазина")</f>
        <v>Скачать индивидуальный QR-код магазина</v>
      </c>
    </row>
    <row r="13977" spans="1:7" x14ac:dyDescent="0.25">
      <c r="A13977" t="s">
        <v>43013</v>
      </c>
      <c r="B13977" t="s">
        <v>43134</v>
      </c>
      <c r="C13977" t="s">
        <v>43126</v>
      </c>
      <c r="D13977" t="s">
        <v>43127</v>
      </c>
      <c r="E13977" t="s">
        <v>43128</v>
      </c>
      <c r="F13977" t="s">
        <v>43135</v>
      </c>
      <c r="G13977" s="2" t="str">
        <f>HYPERLINK("https://probpalata.gov.ru/files/ИП610400147900005.jpeg","Скачать индивидуальный QR-код магазина")</f>
        <v>Скачать индивидуальный QR-код магазина</v>
      </c>
    </row>
    <row r="13978" spans="1:7" x14ac:dyDescent="0.25">
      <c r="A13978" t="s">
        <v>43013</v>
      </c>
      <c r="B13978" t="s">
        <v>43136</v>
      </c>
      <c r="C13978" t="s">
        <v>43126</v>
      </c>
      <c r="D13978" t="s">
        <v>43127</v>
      </c>
      <c r="E13978" t="s">
        <v>43128</v>
      </c>
      <c r="F13978" t="s">
        <v>43137</v>
      </c>
      <c r="G13978" s="2" t="str">
        <f>HYPERLINK("https://probpalata.gov.ru/files/ИП610400147900007.jpeg","Скачать индивидуальный QR-код магазина")</f>
        <v>Скачать индивидуальный QR-код магазина</v>
      </c>
    </row>
    <row r="13979" spans="1:7" x14ac:dyDescent="0.25">
      <c r="A13979" t="s">
        <v>43013</v>
      </c>
      <c r="B13979" t="s">
        <v>43138</v>
      </c>
      <c r="C13979" t="s">
        <v>43126</v>
      </c>
      <c r="D13979" t="s">
        <v>43127</v>
      </c>
      <c r="E13979" t="s">
        <v>43128</v>
      </c>
      <c r="F13979" t="s">
        <v>43139</v>
      </c>
      <c r="G13979" s="2" t="str">
        <f>HYPERLINK("https://probpalata.gov.ru/files/ИП610400147900008.jpeg","Скачать индивидуальный QR-код магазина")</f>
        <v>Скачать индивидуальный QR-код магазина</v>
      </c>
    </row>
    <row r="13980" spans="1:7" x14ac:dyDescent="0.25">
      <c r="A13980" t="s">
        <v>43013</v>
      </c>
      <c r="B13980" t="s">
        <v>43140</v>
      </c>
      <c r="C13980" t="s">
        <v>43141</v>
      </c>
      <c r="D13980" t="s">
        <v>43142</v>
      </c>
      <c r="E13980" t="s">
        <v>43143</v>
      </c>
      <c r="F13980" t="s">
        <v>43144</v>
      </c>
      <c r="G13980" s="2" t="str">
        <f>HYPERLINK("https://probpalata.gov.ru/files/ИП610400268800000.jpeg","Скачать индивидуальный QR-код магазина")</f>
        <v>Скачать индивидуальный QR-код магазина</v>
      </c>
    </row>
    <row r="13981" spans="1:7" x14ac:dyDescent="0.25">
      <c r="A13981" t="s">
        <v>43013</v>
      </c>
      <c r="B13981" t="s">
        <v>43145</v>
      </c>
      <c r="C13981" t="s">
        <v>43146</v>
      </c>
      <c r="D13981" t="s">
        <v>43147</v>
      </c>
      <c r="E13981" t="s">
        <v>43148</v>
      </c>
      <c r="F13981" t="s">
        <v>43149</v>
      </c>
      <c r="G13981" s="2" t="str">
        <f>HYPERLINK("https://probpalata.gov.ru/files/ИП610400079500000.jpeg","Скачать индивидуальный QR-код магазина")</f>
        <v>Скачать индивидуальный QR-код магазина</v>
      </c>
    </row>
    <row r="13982" spans="1:7" x14ac:dyDescent="0.25">
      <c r="A13982" t="s">
        <v>43013</v>
      </c>
      <c r="B13982" t="s">
        <v>43150</v>
      </c>
      <c r="C13982" t="s">
        <v>43151</v>
      </c>
      <c r="D13982" t="s">
        <v>43152</v>
      </c>
      <c r="E13982" t="s">
        <v>43153</v>
      </c>
      <c r="F13982" t="s">
        <v>43154</v>
      </c>
      <c r="G13982" s="2" t="str">
        <f>HYPERLINK("https://probpalata.gov.ru/files/ИП610403711100000.jpeg","Скачать индивидуальный QR-код магазина")</f>
        <v>Скачать индивидуальный QR-код магазина</v>
      </c>
    </row>
    <row r="13983" spans="1:7" x14ac:dyDescent="0.25">
      <c r="A13983" t="s">
        <v>43013</v>
      </c>
      <c r="B13983" t="s">
        <v>43155</v>
      </c>
      <c r="C13983" t="s">
        <v>43156</v>
      </c>
      <c r="D13983" t="s">
        <v>43157</v>
      </c>
      <c r="E13983" t="s">
        <v>43158</v>
      </c>
      <c r="F13983" t="s">
        <v>43159</v>
      </c>
      <c r="G13983" s="2" t="str">
        <f>HYPERLINK("https://probpalata.gov.ru/files/ИП610401899200000.jpeg","Скачать индивидуальный QR-код магазина")</f>
        <v>Скачать индивидуальный QR-код магазина</v>
      </c>
    </row>
    <row r="13984" spans="1:7" x14ac:dyDescent="0.25">
      <c r="A13984" t="s">
        <v>43013</v>
      </c>
      <c r="B13984" t="s">
        <v>43160</v>
      </c>
      <c r="C13984" t="s">
        <v>43156</v>
      </c>
      <c r="D13984" t="s">
        <v>43157</v>
      </c>
      <c r="E13984" t="s">
        <v>43158</v>
      </c>
      <c r="F13984" t="s">
        <v>43161</v>
      </c>
      <c r="G13984" s="2" t="str">
        <f>HYPERLINK("https://probpalata.gov.ru/files/ИП610401899200002.jpeg","Скачать индивидуальный QR-код магазина")</f>
        <v>Скачать индивидуальный QR-код магазина</v>
      </c>
    </row>
    <row r="13985" spans="1:7" x14ac:dyDescent="0.25">
      <c r="A13985" t="s">
        <v>43013</v>
      </c>
      <c r="B13985" t="s">
        <v>43162</v>
      </c>
      <c r="C13985" t="s">
        <v>43156</v>
      </c>
      <c r="D13985" t="s">
        <v>43157</v>
      </c>
      <c r="E13985" t="s">
        <v>43158</v>
      </c>
      <c r="F13985" t="s">
        <v>43163</v>
      </c>
      <c r="G13985" s="2" t="str">
        <f>HYPERLINK("https://probpalata.gov.ru/files/ИП610401899200003.jpeg","Скачать индивидуальный QR-код магазина")</f>
        <v>Скачать индивидуальный QR-код магазина</v>
      </c>
    </row>
    <row r="13986" spans="1:7" x14ac:dyDescent="0.25">
      <c r="A13986" t="s">
        <v>43013</v>
      </c>
      <c r="B13986" t="s">
        <v>43164</v>
      </c>
      <c r="C13986" t="s">
        <v>43165</v>
      </c>
      <c r="D13986" t="s">
        <v>43166</v>
      </c>
      <c r="E13986" t="s">
        <v>43167</v>
      </c>
      <c r="F13986" t="s">
        <v>43168</v>
      </c>
      <c r="G13986" s="2" t="str">
        <f>HYPERLINK("https://probpalata.gov.ru/files/ИП610400565200000.jpeg","Скачать индивидуальный QR-код магазина")</f>
        <v>Скачать индивидуальный QR-код магазина</v>
      </c>
    </row>
    <row r="13987" spans="1:7" x14ac:dyDescent="0.25">
      <c r="A13987" t="s">
        <v>43013</v>
      </c>
      <c r="B13987" t="s">
        <v>43169</v>
      </c>
      <c r="C13987" t="s">
        <v>43170</v>
      </c>
      <c r="D13987" t="s">
        <v>43171</v>
      </c>
      <c r="E13987" t="s">
        <v>43172</v>
      </c>
      <c r="F13987" t="s">
        <v>43173</v>
      </c>
      <c r="G13987" s="2" t="str">
        <f>HYPERLINK("https://probpalata.gov.ru/files/ИП610403240900000.jpeg","Скачать индивидуальный QR-код магазина")</f>
        <v>Скачать индивидуальный QR-код магазина</v>
      </c>
    </row>
    <row r="13988" spans="1:7" x14ac:dyDescent="0.25">
      <c r="A13988" t="s">
        <v>43013</v>
      </c>
      <c r="B13988" t="s">
        <v>43174</v>
      </c>
      <c r="C13988" t="s">
        <v>43175</v>
      </c>
      <c r="D13988" t="s">
        <v>43176</v>
      </c>
      <c r="E13988" t="s">
        <v>43177</v>
      </c>
      <c r="F13988" t="s">
        <v>43178</v>
      </c>
      <c r="G13988" s="2" t="str">
        <f>HYPERLINK("https://probpalata.gov.ru/files/ИП610400773500000.jpeg","Скачать индивидуальный QR-код магазина")</f>
        <v>Скачать индивидуальный QR-код магазина</v>
      </c>
    </row>
    <row r="13989" spans="1:7" x14ac:dyDescent="0.25">
      <c r="A13989" t="s">
        <v>43013</v>
      </c>
      <c r="B13989" t="s">
        <v>43179</v>
      </c>
      <c r="C13989" t="s">
        <v>43180</v>
      </c>
      <c r="D13989" t="s">
        <v>43181</v>
      </c>
      <c r="E13989" t="s">
        <v>43182</v>
      </c>
      <c r="F13989" t="s">
        <v>43183</v>
      </c>
      <c r="G13989" s="2" t="str">
        <f>HYPERLINK("https://probpalata.gov.ru/files/ИП610400830100000.jpeg","Скачать индивидуальный QR-код магазина")</f>
        <v>Скачать индивидуальный QR-код магазина</v>
      </c>
    </row>
    <row r="13990" spans="1:7" x14ac:dyDescent="0.25">
      <c r="A13990" t="s">
        <v>43013</v>
      </c>
      <c r="B13990" t="s">
        <v>43184</v>
      </c>
      <c r="C13990" t="s">
        <v>43185</v>
      </c>
      <c r="D13990" t="s">
        <v>43186</v>
      </c>
      <c r="E13990" t="s">
        <v>43187</v>
      </c>
      <c r="F13990" t="s">
        <v>43188</v>
      </c>
      <c r="G13990" s="2" t="str">
        <f>HYPERLINK("https://probpalata.gov.ru/files/ИП610400002100000.jpeg","Скачать индивидуальный QR-код магазина")</f>
        <v>Скачать индивидуальный QR-код магазина</v>
      </c>
    </row>
    <row r="13991" spans="1:7" x14ac:dyDescent="0.25">
      <c r="A13991" t="s">
        <v>43013</v>
      </c>
      <c r="B13991" t="s">
        <v>43189</v>
      </c>
      <c r="C13991" t="s">
        <v>43190</v>
      </c>
      <c r="D13991" t="s">
        <v>43191</v>
      </c>
      <c r="E13991" t="s">
        <v>43192</v>
      </c>
      <c r="F13991" t="s">
        <v>43193</v>
      </c>
      <c r="G13991" s="2" t="str">
        <f>HYPERLINK("https://probpalata.gov.ru/files/ИП610404093400000.jpeg","Скачать индивидуальный QR-код магазина")</f>
        <v>Скачать индивидуальный QR-код магазина</v>
      </c>
    </row>
    <row r="13992" spans="1:7" x14ac:dyDescent="0.25">
      <c r="A13992" t="s">
        <v>43013</v>
      </c>
      <c r="B13992" t="s">
        <v>43194</v>
      </c>
      <c r="C13992" t="s">
        <v>43195</v>
      </c>
      <c r="D13992" t="s">
        <v>43196</v>
      </c>
      <c r="E13992" t="s">
        <v>43197</v>
      </c>
      <c r="F13992" t="s">
        <v>43198</v>
      </c>
      <c r="G13992" s="2" t="str">
        <f>HYPERLINK("https://probpalata.gov.ru/files/ИП610400954200000.jpeg","Скачать индивидуальный QR-код магазина")</f>
        <v>Скачать индивидуальный QR-код магазина</v>
      </c>
    </row>
    <row r="13993" spans="1:7" x14ac:dyDescent="0.25">
      <c r="A13993" t="s">
        <v>43013</v>
      </c>
      <c r="B13993" t="s">
        <v>43199</v>
      </c>
      <c r="C13993" t="s">
        <v>43195</v>
      </c>
      <c r="D13993" t="s">
        <v>43196</v>
      </c>
      <c r="E13993" t="s">
        <v>43197</v>
      </c>
      <c r="F13993" t="s">
        <v>43200</v>
      </c>
      <c r="G13993" s="2" t="str">
        <f>HYPERLINK("https://probpalata.gov.ru/files/ИП610400954200001.jpeg","Скачать индивидуальный QR-код магазина")</f>
        <v>Скачать индивидуальный QR-код магазина</v>
      </c>
    </row>
    <row r="13994" spans="1:7" x14ac:dyDescent="0.25">
      <c r="A13994" t="s">
        <v>43013</v>
      </c>
      <c r="B13994" t="s">
        <v>43201</v>
      </c>
      <c r="C13994" t="s">
        <v>43195</v>
      </c>
      <c r="D13994" t="s">
        <v>43196</v>
      </c>
      <c r="E13994" t="s">
        <v>43197</v>
      </c>
      <c r="F13994" t="s">
        <v>43202</v>
      </c>
      <c r="G13994" s="2" t="str">
        <f>HYPERLINK("https://probpalata.gov.ru/files/ИП610400954200002.jpeg","Скачать индивидуальный QR-код магазина")</f>
        <v>Скачать индивидуальный QR-код магазина</v>
      </c>
    </row>
    <row r="13995" spans="1:7" x14ac:dyDescent="0.25">
      <c r="A13995" t="s">
        <v>43013</v>
      </c>
      <c r="B13995" t="s">
        <v>43203</v>
      </c>
      <c r="C13995" t="s">
        <v>3783</v>
      </c>
      <c r="D13995" t="s">
        <v>3784</v>
      </c>
      <c r="E13995" t="s">
        <v>3785</v>
      </c>
      <c r="F13995" t="s">
        <v>43204</v>
      </c>
      <c r="G13995" s="2" t="str">
        <f>HYPERLINK("https://probpalata.gov.ru/files/ИП610400829500000.jpeg","Скачать индивидуальный QR-код магазина")</f>
        <v>Скачать индивидуальный QR-код магазина</v>
      </c>
    </row>
    <row r="13996" spans="1:7" x14ac:dyDescent="0.25">
      <c r="A13996" t="s">
        <v>43013</v>
      </c>
      <c r="B13996" t="s">
        <v>43205</v>
      </c>
      <c r="C13996" t="s">
        <v>3783</v>
      </c>
      <c r="D13996" t="s">
        <v>3784</v>
      </c>
      <c r="E13996" t="s">
        <v>3785</v>
      </c>
      <c r="F13996" t="s">
        <v>43206</v>
      </c>
      <c r="G13996" s="2" t="str">
        <f>HYPERLINK("https://probpalata.gov.ru/files/ИП610400829500001.jpeg","Скачать индивидуальный QR-код магазина")</f>
        <v>Скачать индивидуальный QR-код магазина</v>
      </c>
    </row>
    <row r="13997" spans="1:7" x14ac:dyDescent="0.25">
      <c r="A13997" t="s">
        <v>43013</v>
      </c>
      <c r="B13997" t="s">
        <v>43207</v>
      </c>
      <c r="C13997" t="s">
        <v>3783</v>
      </c>
      <c r="D13997" t="s">
        <v>3784</v>
      </c>
      <c r="E13997" t="s">
        <v>3785</v>
      </c>
      <c r="F13997" t="s">
        <v>43208</v>
      </c>
      <c r="G13997" s="2" t="str">
        <f>HYPERLINK("https://probpalata.gov.ru/files/ИП610400829500004.jpeg","Скачать индивидуальный QR-код магазина")</f>
        <v>Скачать индивидуальный QR-код магазина</v>
      </c>
    </row>
    <row r="13998" spans="1:7" x14ac:dyDescent="0.25">
      <c r="A13998" t="s">
        <v>43013</v>
      </c>
      <c r="B13998" t="s">
        <v>43209</v>
      </c>
      <c r="C13998" t="s">
        <v>3783</v>
      </c>
      <c r="D13998" t="s">
        <v>3784</v>
      </c>
      <c r="E13998" t="s">
        <v>3785</v>
      </c>
      <c r="F13998" t="s">
        <v>43210</v>
      </c>
      <c r="G13998" s="2" t="str">
        <f>HYPERLINK("https://probpalata.gov.ru/files/ИП610400829500007.jpeg","Скачать индивидуальный QR-код магазина")</f>
        <v>Скачать индивидуальный QR-код магазина</v>
      </c>
    </row>
    <row r="13999" spans="1:7" x14ac:dyDescent="0.25">
      <c r="A13999" t="s">
        <v>43013</v>
      </c>
      <c r="B13999" t="s">
        <v>43211</v>
      </c>
      <c r="C13999" t="s">
        <v>3783</v>
      </c>
      <c r="D13999" t="s">
        <v>3784</v>
      </c>
      <c r="E13999" t="s">
        <v>3785</v>
      </c>
      <c r="F13999" t="s">
        <v>43212</v>
      </c>
      <c r="G13999" s="2" t="str">
        <f>HYPERLINK("https://probpalata.gov.ru/files/ИП610400829500008.jpeg","Скачать индивидуальный QR-код магазина")</f>
        <v>Скачать индивидуальный QR-код магазина</v>
      </c>
    </row>
    <row r="14000" spans="1:7" x14ac:dyDescent="0.25">
      <c r="A14000" t="s">
        <v>43013</v>
      </c>
      <c r="B14000" t="s">
        <v>43213</v>
      </c>
      <c r="C14000" t="s">
        <v>3783</v>
      </c>
      <c r="D14000" t="s">
        <v>3784</v>
      </c>
      <c r="E14000" t="s">
        <v>3785</v>
      </c>
      <c r="F14000" t="s">
        <v>43214</v>
      </c>
      <c r="G14000" s="2" t="str">
        <f>HYPERLINK("https://probpalata.gov.ru/files/ИП610400829500009.jpeg","Скачать индивидуальный QR-код магазина")</f>
        <v>Скачать индивидуальный QR-код магазина</v>
      </c>
    </row>
    <row r="14001" spans="1:7" x14ac:dyDescent="0.25">
      <c r="A14001" t="s">
        <v>43013</v>
      </c>
      <c r="B14001" t="s">
        <v>43215</v>
      </c>
      <c r="C14001" t="s">
        <v>3783</v>
      </c>
      <c r="D14001" t="s">
        <v>3784</v>
      </c>
      <c r="E14001" t="s">
        <v>3785</v>
      </c>
      <c r="F14001" t="s">
        <v>43216</v>
      </c>
      <c r="G14001" s="2" t="str">
        <f>HYPERLINK("https://probpalata.gov.ru/files/ИП610400829500011.jpeg","Скачать индивидуальный QR-код магазина")</f>
        <v>Скачать индивидуальный QR-код магазина</v>
      </c>
    </row>
    <row r="14002" spans="1:7" x14ac:dyDescent="0.25">
      <c r="A14002" t="s">
        <v>43013</v>
      </c>
      <c r="B14002" t="s">
        <v>43217</v>
      </c>
      <c r="C14002" t="s">
        <v>43218</v>
      </c>
      <c r="D14002" t="s">
        <v>43219</v>
      </c>
      <c r="E14002" t="s">
        <v>43220</v>
      </c>
      <c r="F14002" t="s">
        <v>43221</v>
      </c>
      <c r="G14002" s="2" t="str">
        <f>HYPERLINK("https://probpalata.gov.ru/files/ИП610400267500000.jpeg","Скачать индивидуальный QR-код магазина")</f>
        <v>Скачать индивидуальный QR-код магазина</v>
      </c>
    </row>
    <row r="14003" spans="1:7" x14ac:dyDescent="0.25">
      <c r="A14003" t="s">
        <v>43013</v>
      </c>
      <c r="B14003" t="s">
        <v>43222</v>
      </c>
      <c r="C14003" t="s">
        <v>43218</v>
      </c>
      <c r="D14003" t="s">
        <v>43219</v>
      </c>
      <c r="E14003" t="s">
        <v>43220</v>
      </c>
      <c r="F14003" t="s">
        <v>43223</v>
      </c>
      <c r="G14003" s="2" t="str">
        <f>HYPERLINK("https://probpalata.gov.ru/files/ИП610400267500001.jpeg","Скачать индивидуальный QR-код магазина")</f>
        <v>Скачать индивидуальный QR-код магазина</v>
      </c>
    </row>
    <row r="14004" spans="1:7" x14ac:dyDescent="0.25">
      <c r="A14004" t="s">
        <v>43013</v>
      </c>
      <c r="B14004" t="s">
        <v>43224</v>
      </c>
      <c r="C14004" t="s">
        <v>43225</v>
      </c>
      <c r="D14004" t="s">
        <v>43226</v>
      </c>
      <c r="E14004" t="s">
        <v>43227</v>
      </c>
      <c r="F14004" t="s">
        <v>43228</v>
      </c>
      <c r="G14004" s="2" t="str">
        <f>HYPERLINK("https://probpalata.gov.ru/files/ИП610400857400000.jpeg","Скачать индивидуальный QR-код магазина")</f>
        <v>Скачать индивидуальный QR-код магазина</v>
      </c>
    </row>
    <row r="14005" spans="1:7" x14ac:dyDescent="0.25">
      <c r="A14005" t="s">
        <v>43013</v>
      </c>
      <c r="B14005" t="s">
        <v>43229</v>
      </c>
      <c r="C14005" t="s">
        <v>43225</v>
      </c>
      <c r="D14005" t="s">
        <v>43226</v>
      </c>
      <c r="E14005" t="s">
        <v>43227</v>
      </c>
      <c r="F14005" t="s">
        <v>43230</v>
      </c>
      <c r="G14005" s="2" t="str">
        <f>HYPERLINK("https://probpalata.gov.ru/files/ИП610400857400003.jpeg","Скачать индивидуальный QR-код магазина")</f>
        <v>Скачать индивидуальный QR-код магазина</v>
      </c>
    </row>
    <row r="14006" spans="1:7" x14ac:dyDescent="0.25">
      <c r="A14006" t="s">
        <v>43013</v>
      </c>
      <c r="B14006" t="s">
        <v>43231</v>
      </c>
      <c r="C14006" t="s">
        <v>43225</v>
      </c>
      <c r="D14006" t="s">
        <v>43226</v>
      </c>
      <c r="E14006" t="s">
        <v>43227</v>
      </c>
      <c r="F14006" t="s">
        <v>43232</v>
      </c>
      <c r="G14006" s="2" t="str">
        <f>HYPERLINK("https://probpalata.gov.ru/files/ИП610400857400004.jpeg","Скачать индивидуальный QR-код магазина")</f>
        <v>Скачать индивидуальный QR-код магазина</v>
      </c>
    </row>
    <row r="14007" spans="1:7" x14ac:dyDescent="0.25">
      <c r="A14007" t="s">
        <v>43013</v>
      </c>
      <c r="B14007" t="s">
        <v>43233</v>
      </c>
      <c r="C14007" t="s">
        <v>43225</v>
      </c>
      <c r="D14007" t="s">
        <v>43226</v>
      </c>
      <c r="E14007" t="s">
        <v>43227</v>
      </c>
      <c r="F14007" t="s">
        <v>43234</v>
      </c>
      <c r="G14007" s="2" t="str">
        <f>HYPERLINK("https://probpalata.gov.ru/files/ИП610400857400005.jpeg","Скачать индивидуальный QR-код магазина")</f>
        <v>Скачать индивидуальный QR-код магазина</v>
      </c>
    </row>
    <row r="14008" spans="1:7" x14ac:dyDescent="0.25">
      <c r="A14008" t="s">
        <v>43013</v>
      </c>
      <c r="B14008" t="s">
        <v>43194</v>
      </c>
      <c r="C14008" t="s">
        <v>43235</v>
      </c>
      <c r="D14008" t="s">
        <v>43236</v>
      </c>
      <c r="E14008" t="s">
        <v>43237</v>
      </c>
      <c r="F14008" t="s">
        <v>43238</v>
      </c>
      <c r="G14008" s="2" t="str">
        <f>HYPERLINK("https://probpalata.gov.ru/files/ИП610403482100000.jpeg","Скачать индивидуальный QR-код магазина")</f>
        <v>Скачать индивидуальный QR-код магазина</v>
      </c>
    </row>
    <row r="14009" spans="1:7" x14ac:dyDescent="0.25">
      <c r="A14009" t="s">
        <v>43013</v>
      </c>
      <c r="B14009" t="s">
        <v>43239</v>
      </c>
      <c r="C14009" t="s">
        <v>43240</v>
      </c>
      <c r="D14009" t="s">
        <v>43241</v>
      </c>
      <c r="E14009" t="s">
        <v>43242</v>
      </c>
      <c r="F14009" t="s">
        <v>43243</v>
      </c>
      <c r="G14009" s="2" t="str">
        <f>HYPERLINK("https://probpalata.gov.ru/files/ИП610400672200000.jpeg","Скачать индивидуальный QR-код магазина")</f>
        <v>Скачать индивидуальный QR-код магазина</v>
      </c>
    </row>
    <row r="14010" spans="1:7" x14ac:dyDescent="0.25">
      <c r="A14010" t="s">
        <v>43013</v>
      </c>
      <c r="B14010" t="s">
        <v>43244</v>
      </c>
      <c r="C14010" t="s">
        <v>43245</v>
      </c>
      <c r="D14010" t="s">
        <v>43246</v>
      </c>
      <c r="E14010" t="s">
        <v>43247</v>
      </c>
      <c r="F14010" t="s">
        <v>43248</v>
      </c>
      <c r="G14010" s="2" t="str">
        <f>HYPERLINK("https://probpalata.gov.ru/files/ИП610400094200000.jpeg","Скачать индивидуальный QR-код магазина")</f>
        <v>Скачать индивидуальный QR-код магазина</v>
      </c>
    </row>
    <row r="14011" spans="1:7" x14ac:dyDescent="0.25">
      <c r="A14011" t="s">
        <v>43013</v>
      </c>
      <c r="B14011" t="s">
        <v>43249</v>
      </c>
      <c r="C14011" t="s">
        <v>43250</v>
      </c>
      <c r="D14011" t="s">
        <v>43251</v>
      </c>
      <c r="E14011" t="s">
        <v>43252</v>
      </c>
      <c r="F14011" t="s">
        <v>43253</v>
      </c>
      <c r="G14011" s="2" t="str">
        <f>HYPERLINK("https://probpalata.gov.ru/files/ИП610403165600000.jpeg","Скачать индивидуальный QR-код магазина")</f>
        <v>Скачать индивидуальный QR-код магазина</v>
      </c>
    </row>
    <row r="14012" spans="1:7" x14ac:dyDescent="0.25">
      <c r="A14012" t="s">
        <v>43013</v>
      </c>
      <c r="B14012" t="s">
        <v>43254</v>
      </c>
      <c r="C14012" t="s">
        <v>43255</v>
      </c>
      <c r="D14012" t="s">
        <v>43256</v>
      </c>
      <c r="E14012" t="s">
        <v>43257</v>
      </c>
      <c r="F14012" t="s">
        <v>43258</v>
      </c>
      <c r="G14012" s="2" t="str">
        <f>HYPERLINK("https://probpalata.gov.ru/files/ИП610401276500000.jpeg","Скачать индивидуальный QR-код магазина")</f>
        <v>Скачать индивидуальный QR-код магазина</v>
      </c>
    </row>
    <row r="14013" spans="1:7" x14ac:dyDescent="0.25">
      <c r="A14013" t="s">
        <v>43013</v>
      </c>
      <c r="B14013" t="s">
        <v>43259</v>
      </c>
      <c r="C14013" t="s">
        <v>43260</v>
      </c>
      <c r="D14013" t="s">
        <v>43261</v>
      </c>
      <c r="E14013" t="s">
        <v>43262</v>
      </c>
      <c r="F14013" t="s">
        <v>43263</v>
      </c>
      <c r="G14013" s="2" t="str">
        <f>HYPERLINK("https://probpalata.gov.ru/files/ИП610401126300000.jpeg","Скачать индивидуальный QR-код магазина")</f>
        <v>Скачать индивидуальный QR-код магазина</v>
      </c>
    </row>
    <row r="14014" spans="1:7" x14ac:dyDescent="0.25">
      <c r="A14014" t="s">
        <v>43013</v>
      </c>
      <c r="B14014" t="s">
        <v>43264</v>
      </c>
      <c r="C14014" t="s">
        <v>43265</v>
      </c>
      <c r="D14014" t="s">
        <v>43266</v>
      </c>
      <c r="E14014" t="s">
        <v>43267</v>
      </c>
      <c r="F14014" t="s">
        <v>43268</v>
      </c>
      <c r="G14014" s="2" t="str">
        <f>HYPERLINK("https://probpalata.gov.ru/files/ИП610401477200000.jpeg","Скачать индивидуальный QR-код магазина")</f>
        <v>Скачать индивидуальный QR-код магазина</v>
      </c>
    </row>
    <row r="14015" spans="1:7" x14ac:dyDescent="0.25">
      <c r="A14015" t="s">
        <v>43013</v>
      </c>
      <c r="B14015" t="s">
        <v>43269</v>
      </c>
      <c r="C14015" t="s">
        <v>43270</v>
      </c>
      <c r="D14015" t="s">
        <v>43271</v>
      </c>
      <c r="E14015" t="s">
        <v>43272</v>
      </c>
      <c r="F14015" t="s">
        <v>43273</v>
      </c>
      <c r="G14015" s="2" t="str">
        <f>HYPERLINK("https://probpalata.gov.ru/files/ИП610401431800000.jpeg","Скачать индивидуальный QR-код магазина")</f>
        <v>Скачать индивидуальный QR-код магазина</v>
      </c>
    </row>
    <row r="14016" spans="1:7" x14ac:dyDescent="0.25">
      <c r="A14016" t="s">
        <v>43013</v>
      </c>
      <c r="B14016" t="s">
        <v>43274</v>
      </c>
      <c r="C14016" t="s">
        <v>43275</v>
      </c>
      <c r="D14016" t="s">
        <v>43276</v>
      </c>
      <c r="E14016" t="s">
        <v>43277</v>
      </c>
      <c r="F14016" t="s">
        <v>43278</v>
      </c>
      <c r="G14016" s="2" t="str">
        <f>HYPERLINK("https://probpalata.gov.ru/files/ИП610403873600000.jpeg","Скачать индивидуальный QR-код магазина")</f>
        <v>Скачать индивидуальный QR-код магазина</v>
      </c>
    </row>
    <row r="14017" spans="1:7" x14ac:dyDescent="0.25">
      <c r="A14017" t="s">
        <v>43013</v>
      </c>
      <c r="B14017" t="s">
        <v>43279</v>
      </c>
      <c r="C14017" t="s">
        <v>43280</v>
      </c>
      <c r="D14017" t="s">
        <v>43281</v>
      </c>
      <c r="E14017" t="s">
        <v>43282</v>
      </c>
      <c r="F14017" t="s">
        <v>43283</v>
      </c>
      <c r="G14017" s="2" t="str">
        <f>HYPERLINK("https://probpalata.gov.ru/files/ИП610400284000000.jpeg","Скачать индивидуальный QR-код магазина")</f>
        <v>Скачать индивидуальный QR-код магазина</v>
      </c>
    </row>
    <row r="14018" spans="1:7" x14ac:dyDescent="0.25">
      <c r="A14018" t="s">
        <v>43013</v>
      </c>
      <c r="B14018" t="s">
        <v>43284</v>
      </c>
      <c r="C14018" t="s">
        <v>43280</v>
      </c>
      <c r="D14018" t="s">
        <v>43281</v>
      </c>
      <c r="E14018" t="s">
        <v>43282</v>
      </c>
      <c r="F14018" t="s">
        <v>43285</v>
      </c>
      <c r="G14018" s="2" t="str">
        <f>HYPERLINK("https://probpalata.gov.ru/files/ИП610400284000001.jpeg","Скачать индивидуальный QR-код магазина")</f>
        <v>Скачать индивидуальный QR-код магазина</v>
      </c>
    </row>
    <row r="14019" spans="1:7" x14ac:dyDescent="0.25">
      <c r="A14019" t="s">
        <v>43013</v>
      </c>
      <c r="B14019" t="s">
        <v>43286</v>
      </c>
      <c r="C14019" t="s">
        <v>43287</v>
      </c>
      <c r="D14019" t="s">
        <v>43288</v>
      </c>
      <c r="E14019" t="s">
        <v>43289</v>
      </c>
      <c r="F14019" t="s">
        <v>43290</v>
      </c>
      <c r="G14019" s="2" t="str">
        <f>HYPERLINK("https://probpalata.gov.ru/files/ИП610400954600000.jpeg","Скачать индивидуальный QR-код магазина")</f>
        <v>Скачать индивидуальный QR-код магазина</v>
      </c>
    </row>
    <row r="14020" spans="1:7" x14ac:dyDescent="0.25">
      <c r="A14020" t="s">
        <v>43013</v>
      </c>
      <c r="B14020" t="s">
        <v>43291</v>
      </c>
      <c r="C14020" t="s">
        <v>43292</v>
      </c>
      <c r="D14020" t="s">
        <v>43293</v>
      </c>
      <c r="E14020" t="s">
        <v>43294</v>
      </c>
      <c r="F14020" t="s">
        <v>43295</v>
      </c>
      <c r="G14020" s="2" t="str">
        <f>HYPERLINK("https://probpalata.gov.ru/files/ИП610400669800000.jpeg","Скачать индивидуальный QR-код магазина")</f>
        <v>Скачать индивидуальный QR-код магазина</v>
      </c>
    </row>
    <row r="14021" spans="1:7" x14ac:dyDescent="0.25">
      <c r="A14021" t="s">
        <v>43013</v>
      </c>
      <c r="B14021" t="s">
        <v>43296</v>
      </c>
      <c r="C14021" t="s">
        <v>43297</v>
      </c>
      <c r="D14021" t="s">
        <v>43298</v>
      </c>
      <c r="E14021" t="s">
        <v>43299</v>
      </c>
      <c r="F14021" t="s">
        <v>43300</v>
      </c>
      <c r="G14021" s="2" t="str">
        <f>HYPERLINK("https://probpalata.gov.ru/files/ИП610400166800000.jpeg","Скачать индивидуальный QR-код магазина")</f>
        <v>Скачать индивидуальный QR-код магазина</v>
      </c>
    </row>
    <row r="14022" spans="1:7" x14ac:dyDescent="0.25">
      <c r="A14022" t="s">
        <v>43013</v>
      </c>
      <c r="B14022" t="s">
        <v>43301</v>
      </c>
      <c r="C14022" t="s">
        <v>43302</v>
      </c>
      <c r="D14022" t="s">
        <v>43303</v>
      </c>
      <c r="E14022" t="s">
        <v>43304</v>
      </c>
      <c r="F14022" t="s">
        <v>43305</v>
      </c>
      <c r="G14022" s="2" t="str">
        <f>HYPERLINK("https://probpalata.gov.ru/files/ИП610400936200000.jpeg","Скачать индивидуальный QR-код магазина")</f>
        <v>Скачать индивидуальный QR-код магазина</v>
      </c>
    </row>
    <row r="14023" spans="1:7" x14ac:dyDescent="0.25">
      <c r="A14023" t="s">
        <v>43013</v>
      </c>
      <c r="B14023" t="s">
        <v>43306</v>
      </c>
      <c r="C14023" t="s">
        <v>43307</v>
      </c>
      <c r="D14023" t="s">
        <v>43308</v>
      </c>
      <c r="E14023" t="s">
        <v>43309</v>
      </c>
      <c r="F14023" t="s">
        <v>43310</v>
      </c>
      <c r="G14023" s="2" t="str">
        <f>HYPERLINK("https://probpalata.gov.ru/files/ЮЛ610400875300000.jpeg","Скачать индивидуальный QR-код магазина")</f>
        <v>Скачать индивидуальный QR-код магазина</v>
      </c>
    </row>
    <row r="14024" spans="1:7" x14ac:dyDescent="0.25">
      <c r="A14024" t="s">
        <v>43013</v>
      </c>
      <c r="B14024" t="s">
        <v>43311</v>
      </c>
      <c r="C14024" t="s">
        <v>43312</v>
      </c>
      <c r="D14024" t="s">
        <v>43313</v>
      </c>
      <c r="E14024" t="s">
        <v>43314</v>
      </c>
      <c r="F14024" t="s">
        <v>43315</v>
      </c>
      <c r="G14024" s="2" t="str">
        <f>HYPERLINK("https://probpalata.gov.ru/files/ИП610400973400000.jpeg","Скачать индивидуальный QR-код магазина")</f>
        <v>Скачать индивидуальный QR-код магазина</v>
      </c>
    </row>
    <row r="14025" spans="1:7" x14ac:dyDescent="0.25">
      <c r="A14025" t="s">
        <v>43013</v>
      </c>
      <c r="B14025" t="s">
        <v>43316</v>
      </c>
      <c r="C14025" t="s">
        <v>43317</v>
      </c>
      <c r="D14025" t="s">
        <v>43318</v>
      </c>
      <c r="E14025" t="s">
        <v>43319</v>
      </c>
      <c r="F14025" t="s">
        <v>43320</v>
      </c>
      <c r="G14025" s="2" t="str">
        <f>HYPERLINK("https://probpalata.gov.ru/files/ИП610400132400000.jpeg","Скачать индивидуальный QR-код магазина")</f>
        <v>Скачать индивидуальный QR-код магазина</v>
      </c>
    </row>
    <row r="14026" spans="1:7" x14ac:dyDescent="0.25">
      <c r="A14026" t="s">
        <v>43013</v>
      </c>
      <c r="B14026" t="s">
        <v>43321</v>
      </c>
      <c r="C14026" t="s">
        <v>43322</v>
      </c>
      <c r="D14026" t="s">
        <v>43323</v>
      </c>
      <c r="E14026" t="s">
        <v>43324</v>
      </c>
      <c r="F14026" t="s">
        <v>43325</v>
      </c>
      <c r="G14026" s="2" t="str">
        <f>HYPERLINK("https://probpalata.gov.ru/files/ИП610400008300000.jpeg","Скачать индивидуальный QR-код магазина")</f>
        <v>Скачать индивидуальный QR-код магазина</v>
      </c>
    </row>
    <row r="14027" spans="1:7" x14ac:dyDescent="0.25">
      <c r="A14027" t="s">
        <v>43013</v>
      </c>
      <c r="B14027" t="s">
        <v>43326</v>
      </c>
      <c r="C14027" t="s">
        <v>43327</v>
      </c>
      <c r="D14027" t="s">
        <v>43328</v>
      </c>
      <c r="E14027" t="s">
        <v>43329</v>
      </c>
      <c r="F14027" t="s">
        <v>43330</v>
      </c>
      <c r="G14027" s="2" t="str">
        <f>HYPERLINK("https://probpalata.gov.ru/files/ИП610400540200000.jpeg","Скачать индивидуальный QR-код магазина")</f>
        <v>Скачать индивидуальный QR-код магазина</v>
      </c>
    </row>
    <row r="14028" spans="1:7" x14ac:dyDescent="0.25">
      <c r="A14028" t="s">
        <v>43013</v>
      </c>
      <c r="B14028" t="s">
        <v>43331</v>
      </c>
      <c r="C14028" t="s">
        <v>43332</v>
      </c>
      <c r="D14028" t="s">
        <v>43333</v>
      </c>
      <c r="E14028" t="s">
        <v>43334</v>
      </c>
      <c r="F14028" t="s">
        <v>43335</v>
      </c>
      <c r="G14028" s="2" t="str">
        <f>HYPERLINK("https://probpalata.gov.ru/files/ИП610400539300000.jpeg","Скачать индивидуальный QR-код магазина")</f>
        <v>Скачать индивидуальный QR-код магазина</v>
      </c>
    </row>
    <row r="14029" spans="1:7" x14ac:dyDescent="0.25">
      <c r="A14029" t="s">
        <v>43013</v>
      </c>
      <c r="B14029" t="s">
        <v>43336</v>
      </c>
      <c r="C14029" t="s">
        <v>43337</v>
      </c>
      <c r="D14029" t="s">
        <v>43338</v>
      </c>
      <c r="E14029" t="s">
        <v>43339</v>
      </c>
      <c r="F14029" t="s">
        <v>43340</v>
      </c>
      <c r="G14029" s="2" t="str">
        <f>HYPERLINK("https://probpalata.gov.ru/files/ИП610400733700000.jpeg","Скачать индивидуальный QR-код магазина")</f>
        <v>Скачать индивидуальный QR-код магазина</v>
      </c>
    </row>
    <row r="14030" spans="1:7" x14ac:dyDescent="0.25">
      <c r="A14030" t="s">
        <v>43013</v>
      </c>
      <c r="B14030" t="s">
        <v>43341</v>
      </c>
      <c r="C14030" t="s">
        <v>43342</v>
      </c>
      <c r="D14030" t="s">
        <v>43343</v>
      </c>
      <c r="E14030" t="s">
        <v>43344</v>
      </c>
      <c r="F14030" t="s">
        <v>43345</v>
      </c>
      <c r="G14030" s="2" t="str">
        <f>HYPERLINK("https://probpalata.gov.ru/files/ИП610401765900000.jpeg","Скачать индивидуальный QR-код магазина")</f>
        <v>Скачать индивидуальный QR-код магазина</v>
      </c>
    </row>
    <row r="14031" spans="1:7" x14ac:dyDescent="0.25">
      <c r="A14031" t="s">
        <v>43013</v>
      </c>
      <c r="B14031" t="s">
        <v>43346</v>
      </c>
      <c r="C14031" t="s">
        <v>43347</v>
      </c>
      <c r="D14031" t="s">
        <v>43348</v>
      </c>
      <c r="E14031" t="s">
        <v>43349</v>
      </c>
      <c r="F14031" t="s">
        <v>43350</v>
      </c>
      <c r="G14031" s="2" t="str">
        <f>HYPERLINK("https://probpalata.gov.ru/files/ИП610403872800000.jpeg","Скачать индивидуальный QR-код магазина")</f>
        <v>Скачать индивидуальный QR-код магазина</v>
      </c>
    </row>
    <row r="14032" spans="1:7" x14ac:dyDescent="0.25">
      <c r="A14032" t="s">
        <v>43013</v>
      </c>
      <c r="B14032" t="s">
        <v>43351</v>
      </c>
      <c r="C14032" t="s">
        <v>43352</v>
      </c>
      <c r="D14032" t="s">
        <v>43353</v>
      </c>
      <c r="E14032" t="s">
        <v>43354</v>
      </c>
      <c r="F14032" t="s">
        <v>43355</v>
      </c>
      <c r="G14032" s="2" t="str">
        <f>HYPERLINK("https://probpalata.gov.ru/files/ИП610401225700000.jpeg","Скачать индивидуальный QR-код магазина")</f>
        <v>Скачать индивидуальный QR-код магазина</v>
      </c>
    </row>
    <row r="14033" spans="1:7" x14ac:dyDescent="0.25">
      <c r="A14033" t="s">
        <v>43013</v>
      </c>
      <c r="B14033" t="s">
        <v>43356</v>
      </c>
      <c r="C14033" t="s">
        <v>43357</v>
      </c>
      <c r="D14033" t="s">
        <v>43358</v>
      </c>
      <c r="E14033" t="s">
        <v>43359</v>
      </c>
      <c r="F14033" t="s">
        <v>43360</v>
      </c>
      <c r="G14033" s="2" t="str">
        <f>HYPERLINK("https://probpalata.gov.ru/files/ЮЛ610400033200000.jpeg","Скачать индивидуальный QR-код магазина")</f>
        <v>Скачать индивидуальный QR-код магазина</v>
      </c>
    </row>
    <row r="14034" spans="1:7" x14ac:dyDescent="0.25">
      <c r="A14034" t="s">
        <v>43013</v>
      </c>
      <c r="B14034" t="s">
        <v>43361</v>
      </c>
      <c r="C14034" t="s">
        <v>43362</v>
      </c>
      <c r="D14034" t="s">
        <v>43363</v>
      </c>
      <c r="E14034" t="s">
        <v>43364</v>
      </c>
      <c r="F14034" t="s">
        <v>43365</v>
      </c>
      <c r="G14034" s="2" t="str">
        <f>HYPERLINK("https://probpalata.gov.ru/files/ИП610400276100000.jpeg","Скачать индивидуальный QR-код магазина")</f>
        <v>Скачать индивидуальный QR-код магазина</v>
      </c>
    </row>
    <row r="14035" spans="1:7" x14ac:dyDescent="0.25">
      <c r="A14035" t="s">
        <v>43013</v>
      </c>
      <c r="B14035" t="s">
        <v>43366</v>
      </c>
      <c r="C14035" t="s">
        <v>43362</v>
      </c>
      <c r="D14035" t="s">
        <v>43363</v>
      </c>
      <c r="E14035" t="s">
        <v>43364</v>
      </c>
      <c r="F14035" t="s">
        <v>43367</v>
      </c>
      <c r="G14035" s="2" t="str">
        <f>HYPERLINK("https://probpalata.gov.ru/files/ИП610400276100002.jpeg","Скачать индивидуальный QR-код магазина")</f>
        <v>Скачать индивидуальный QR-код магазина</v>
      </c>
    </row>
    <row r="14036" spans="1:7" x14ac:dyDescent="0.25">
      <c r="A14036" t="s">
        <v>43013</v>
      </c>
      <c r="B14036" t="s">
        <v>43368</v>
      </c>
      <c r="C14036" t="s">
        <v>43369</v>
      </c>
      <c r="D14036" t="s">
        <v>43370</v>
      </c>
      <c r="E14036" t="s">
        <v>43371</v>
      </c>
      <c r="F14036" t="s">
        <v>43372</v>
      </c>
      <c r="G14036" s="2" t="str">
        <f>HYPERLINK("https://probpalata.gov.ru/files/ИП610400186600000.jpeg","Скачать индивидуальный QR-код магазина")</f>
        <v>Скачать индивидуальный QR-код магазина</v>
      </c>
    </row>
    <row r="14037" spans="1:7" x14ac:dyDescent="0.25">
      <c r="A14037" t="s">
        <v>43013</v>
      </c>
      <c r="B14037" t="s">
        <v>43373</v>
      </c>
      <c r="C14037" t="s">
        <v>3133</v>
      </c>
      <c r="D14037" t="s">
        <v>3134</v>
      </c>
      <c r="E14037" t="s">
        <v>3135</v>
      </c>
      <c r="F14037" t="s">
        <v>43374</v>
      </c>
      <c r="G14037" s="2" t="str">
        <f>HYPERLINK("https://probpalata.gov.ru/files/ИП610401294100000.jpeg","Скачать индивидуальный QR-код магазина")</f>
        <v>Скачать индивидуальный QR-код магазина</v>
      </c>
    </row>
    <row r="14038" spans="1:7" x14ac:dyDescent="0.25">
      <c r="A14038" t="s">
        <v>43013</v>
      </c>
      <c r="B14038" t="s">
        <v>43375</v>
      </c>
      <c r="C14038" t="s">
        <v>43376</v>
      </c>
      <c r="D14038" t="s">
        <v>43377</v>
      </c>
      <c r="E14038" t="s">
        <v>43378</v>
      </c>
      <c r="F14038" t="s">
        <v>43379</v>
      </c>
      <c r="G14038" s="2" t="str">
        <f>HYPERLINK("https://probpalata.gov.ru/files/ИП610403898500000.jpeg","Скачать индивидуальный QR-код магазина")</f>
        <v>Скачать индивидуальный QR-код магазина</v>
      </c>
    </row>
    <row r="14039" spans="1:7" x14ac:dyDescent="0.25">
      <c r="A14039" t="s">
        <v>43013</v>
      </c>
      <c r="B14039" t="s">
        <v>43380</v>
      </c>
      <c r="C14039" t="s">
        <v>43381</v>
      </c>
      <c r="D14039" t="s">
        <v>43382</v>
      </c>
      <c r="E14039" t="s">
        <v>43383</v>
      </c>
      <c r="F14039" t="s">
        <v>43384</v>
      </c>
      <c r="G14039" s="2" t="str">
        <f>HYPERLINK("https://probpalata.gov.ru/files/ИП610400967600000.jpeg","Скачать индивидуальный QR-код магазина")</f>
        <v>Скачать индивидуальный QR-код магазина</v>
      </c>
    </row>
    <row r="14040" spans="1:7" x14ac:dyDescent="0.25">
      <c r="A14040" t="s">
        <v>43013</v>
      </c>
      <c r="B14040" t="s">
        <v>43385</v>
      </c>
      <c r="C14040" t="s">
        <v>43386</v>
      </c>
      <c r="D14040" t="s">
        <v>43387</v>
      </c>
      <c r="E14040" t="s">
        <v>43388</v>
      </c>
      <c r="F14040" t="s">
        <v>43389</v>
      </c>
      <c r="G14040" s="2" t="str">
        <f>HYPERLINK("https://probpalata.gov.ru/files/ИП610400647400000.jpeg","Скачать индивидуальный QR-код магазина")</f>
        <v>Скачать индивидуальный QR-код магазина</v>
      </c>
    </row>
    <row r="14041" spans="1:7" x14ac:dyDescent="0.25">
      <c r="A14041" t="s">
        <v>43013</v>
      </c>
      <c r="B14041" t="s">
        <v>43390</v>
      </c>
      <c r="C14041" t="s">
        <v>43386</v>
      </c>
      <c r="D14041" t="s">
        <v>43387</v>
      </c>
      <c r="E14041" t="s">
        <v>43388</v>
      </c>
      <c r="F14041" t="s">
        <v>43391</v>
      </c>
      <c r="G14041" s="2" t="str">
        <f>HYPERLINK("https://probpalata.gov.ru/files/ИП610400647400001.jpeg","Скачать индивидуальный QR-код магазина")</f>
        <v>Скачать индивидуальный QR-код магазина</v>
      </c>
    </row>
    <row r="14042" spans="1:7" x14ac:dyDescent="0.25">
      <c r="A14042" t="s">
        <v>43013</v>
      </c>
      <c r="B14042" t="s">
        <v>43392</v>
      </c>
      <c r="C14042" t="s">
        <v>43386</v>
      </c>
      <c r="D14042" t="s">
        <v>43387</v>
      </c>
      <c r="E14042" t="s">
        <v>43388</v>
      </c>
      <c r="F14042" t="s">
        <v>43393</v>
      </c>
      <c r="G14042" s="2" t="str">
        <f>HYPERLINK("https://probpalata.gov.ru/files/ИП610400647400002.jpeg","Скачать индивидуальный QR-код магазина")</f>
        <v>Скачать индивидуальный QR-код магазина</v>
      </c>
    </row>
    <row r="14043" spans="1:7" x14ac:dyDescent="0.25">
      <c r="A14043" t="s">
        <v>43013</v>
      </c>
      <c r="B14043" t="s">
        <v>43394</v>
      </c>
      <c r="C14043" t="s">
        <v>43395</v>
      </c>
      <c r="D14043" t="s">
        <v>43396</v>
      </c>
      <c r="E14043" t="s">
        <v>43397</v>
      </c>
      <c r="F14043" t="s">
        <v>43398</v>
      </c>
      <c r="G14043" s="2" t="str">
        <f>HYPERLINK("https://probpalata.gov.ru/files/ЮЛ610400086900000.jpeg","Скачать индивидуальный QR-код магазина")</f>
        <v>Скачать индивидуальный QR-код магазина</v>
      </c>
    </row>
    <row r="14044" spans="1:7" x14ac:dyDescent="0.25">
      <c r="A14044" t="s">
        <v>43013</v>
      </c>
      <c r="B14044" t="s">
        <v>43399</v>
      </c>
      <c r="C14044" t="s">
        <v>43395</v>
      </c>
      <c r="D14044" t="s">
        <v>43396</v>
      </c>
      <c r="E14044" t="s">
        <v>43397</v>
      </c>
      <c r="F14044" t="s">
        <v>43400</v>
      </c>
      <c r="G14044" s="2" t="str">
        <f>HYPERLINK("https://probpalata.gov.ru/files/ЮЛ610400086900001.jpeg","Скачать индивидуальный QR-код магазина")</f>
        <v>Скачать индивидуальный QR-код магазина</v>
      </c>
    </row>
    <row r="14045" spans="1:7" x14ac:dyDescent="0.25">
      <c r="A14045" t="s">
        <v>43013</v>
      </c>
      <c r="B14045" t="s">
        <v>43401</v>
      </c>
      <c r="C14045" t="s">
        <v>43395</v>
      </c>
      <c r="D14045" t="s">
        <v>43396</v>
      </c>
      <c r="E14045" t="s">
        <v>43397</v>
      </c>
      <c r="F14045" t="s">
        <v>43402</v>
      </c>
      <c r="G14045" s="2" t="str">
        <f>HYPERLINK("https://probpalata.gov.ru/files/ЮЛ610400086900002.jpeg","Скачать индивидуальный QR-код магазина")</f>
        <v>Скачать индивидуальный QR-код магазина</v>
      </c>
    </row>
    <row r="14046" spans="1:7" x14ac:dyDescent="0.25">
      <c r="A14046" t="s">
        <v>43013</v>
      </c>
      <c r="B14046" t="s">
        <v>43403</v>
      </c>
      <c r="C14046" t="s">
        <v>43395</v>
      </c>
      <c r="D14046" t="s">
        <v>43396</v>
      </c>
      <c r="E14046" t="s">
        <v>43397</v>
      </c>
      <c r="F14046" t="s">
        <v>43404</v>
      </c>
      <c r="G14046" s="2" t="str">
        <f>HYPERLINK("https://probpalata.gov.ru/files/ЮЛ610400086900003.jpeg","Скачать индивидуальный QR-код магазина")</f>
        <v>Скачать индивидуальный QR-код магазина</v>
      </c>
    </row>
    <row r="14047" spans="1:7" x14ac:dyDescent="0.25">
      <c r="A14047" t="s">
        <v>43013</v>
      </c>
      <c r="B14047" t="s">
        <v>43405</v>
      </c>
      <c r="C14047" t="s">
        <v>43395</v>
      </c>
      <c r="D14047" t="s">
        <v>43396</v>
      </c>
      <c r="E14047" t="s">
        <v>43397</v>
      </c>
      <c r="F14047" t="s">
        <v>43406</v>
      </c>
      <c r="G14047" s="2" t="str">
        <f>HYPERLINK("https://probpalata.gov.ru/files/ЮЛ610400086900004.jpeg","Скачать индивидуальный QR-код магазина")</f>
        <v>Скачать индивидуальный QR-код магазина</v>
      </c>
    </row>
    <row r="14048" spans="1:7" x14ac:dyDescent="0.25">
      <c r="A14048" t="s">
        <v>43013</v>
      </c>
      <c r="B14048" t="s">
        <v>43407</v>
      </c>
      <c r="C14048" t="s">
        <v>43395</v>
      </c>
      <c r="D14048" t="s">
        <v>43396</v>
      </c>
      <c r="E14048" t="s">
        <v>43397</v>
      </c>
      <c r="F14048" t="s">
        <v>43408</v>
      </c>
      <c r="G14048" s="2" t="str">
        <f>HYPERLINK("https://probpalata.gov.ru/files/ЮЛ610400086900005.jpeg","Скачать индивидуальный QR-код магазина")</f>
        <v>Скачать индивидуальный QR-код магазина</v>
      </c>
    </row>
    <row r="14049" spans="1:7" x14ac:dyDescent="0.25">
      <c r="A14049" t="s">
        <v>43013</v>
      </c>
      <c r="B14049" t="s">
        <v>43409</v>
      </c>
      <c r="C14049" t="s">
        <v>43395</v>
      </c>
      <c r="D14049" t="s">
        <v>43396</v>
      </c>
      <c r="E14049" t="s">
        <v>43397</v>
      </c>
      <c r="F14049" t="s">
        <v>43410</v>
      </c>
      <c r="G14049" s="2" t="str">
        <f>HYPERLINK("https://probpalata.gov.ru/files/ЮЛ610400086900006.jpeg","Скачать индивидуальный QR-код магазина")</f>
        <v>Скачать индивидуальный QR-код магазина</v>
      </c>
    </row>
    <row r="14050" spans="1:7" x14ac:dyDescent="0.25">
      <c r="A14050" t="s">
        <v>43013</v>
      </c>
      <c r="B14050" t="s">
        <v>43411</v>
      </c>
      <c r="C14050" t="s">
        <v>43395</v>
      </c>
      <c r="D14050" t="s">
        <v>43396</v>
      </c>
      <c r="E14050" t="s">
        <v>43397</v>
      </c>
      <c r="F14050" t="s">
        <v>43412</v>
      </c>
      <c r="G14050" s="2" t="str">
        <f>HYPERLINK("https://probpalata.gov.ru/files/ЮЛ610400086900007.jpeg","Скачать индивидуальный QR-код магазина")</f>
        <v>Скачать индивидуальный QR-код магазина</v>
      </c>
    </row>
    <row r="14051" spans="1:7" x14ac:dyDescent="0.25">
      <c r="A14051" t="s">
        <v>43013</v>
      </c>
      <c r="B14051" t="s">
        <v>43394</v>
      </c>
      <c r="C14051" t="s">
        <v>43413</v>
      </c>
      <c r="D14051" t="s">
        <v>43414</v>
      </c>
      <c r="E14051" t="s">
        <v>43415</v>
      </c>
      <c r="F14051" t="s">
        <v>43416</v>
      </c>
      <c r="G14051" s="2" t="str">
        <f>HYPERLINK("https://probpalata.gov.ru/files/ЮЛ610400086700000.jpeg","Скачать индивидуальный QR-код магазина")</f>
        <v>Скачать индивидуальный QR-код магазина</v>
      </c>
    </row>
    <row r="14052" spans="1:7" x14ac:dyDescent="0.25">
      <c r="A14052" t="s">
        <v>43013</v>
      </c>
      <c r="B14052" t="s">
        <v>43417</v>
      </c>
      <c r="C14052" t="s">
        <v>43413</v>
      </c>
      <c r="D14052" t="s">
        <v>43414</v>
      </c>
      <c r="E14052" t="s">
        <v>43415</v>
      </c>
      <c r="F14052" t="s">
        <v>43418</v>
      </c>
      <c r="G14052" s="2" t="str">
        <f>HYPERLINK("https://probpalata.gov.ru/files/ЮЛ610400086700001.jpeg","Скачать индивидуальный QR-код магазина")</f>
        <v>Скачать индивидуальный QR-код магазина</v>
      </c>
    </row>
    <row r="14053" spans="1:7" x14ac:dyDescent="0.25">
      <c r="A14053" t="s">
        <v>43013</v>
      </c>
      <c r="B14053" t="s">
        <v>43419</v>
      </c>
      <c r="C14053" t="s">
        <v>43420</v>
      </c>
      <c r="D14053" t="s">
        <v>43421</v>
      </c>
      <c r="E14053" t="s">
        <v>43422</v>
      </c>
      <c r="F14053" t="s">
        <v>43423</v>
      </c>
      <c r="G14053" s="2" t="str">
        <f>HYPERLINK("https://probpalata.gov.ru/files/ИП610401806100000.jpeg","Скачать индивидуальный QR-код магазина")</f>
        <v>Скачать индивидуальный QR-код магазина</v>
      </c>
    </row>
    <row r="14054" spans="1:7" x14ac:dyDescent="0.25">
      <c r="A14054" t="s">
        <v>43013</v>
      </c>
      <c r="B14054" t="s">
        <v>43424</v>
      </c>
      <c r="C14054" t="s">
        <v>43425</v>
      </c>
      <c r="D14054" t="s">
        <v>43426</v>
      </c>
      <c r="E14054" t="s">
        <v>43427</v>
      </c>
      <c r="F14054" t="s">
        <v>43428</v>
      </c>
      <c r="G14054" s="2" t="str">
        <f>HYPERLINK("https://probpalata.gov.ru/files/ИП610403554700000.jpeg","Скачать индивидуальный QR-код магазина")</f>
        <v>Скачать индивидуальный QR-код магазина</v>
      </c>
    </row>
    <row r="14055" spans="1:7" x14ac:dyDescent="0.25">
      <c r="A14055" t="s">
        <v>43013</v>
      </c>
      <c r="B14055" t="s">
        <v>43399</v>
      </c>
      <c r="C14055" t="s">
        <v>43429</v>
      </c>
      <c r="D14055" t="s">
        <v>43430</v>
      </c>
      <c r="E14055" t="s">
        <v>43431</v>
      </c>
      <c r="F14055" t="s">
        <v>43432</v>
      </c>
      <c r="G14055" s="2" t="str">
        <f>HYPERLINK("https://probpalata.gov.ru/files/ИП610403117900000.jpeg","Скачать индивидуальный QR-код магазина")</f>
        <v>Скачать индивидуальный QR-код магазина</v>
      </c>
    </row>
    <row r="14056" spans="1:7" x14ac:dyDescent="0.25">
      <c r="A14056" t="s">
        <v>43013</v>
      </c>
      <c r="B14056" t="s">
        <v>43399</v>
      </c>
      <c r="C14056" t="s">
        <v>43433</v>
      </c>
      <c r="D14056" t="s">
        <v>43434</v>
      </c>
      <c r="E14056" t="s">
        <v>43435</v>
      </c>
      <c r="F14056" t="s">
        <v>43436</v>
      </c>
      <c r="G14056" s="2" t="str">
        <f>HYPERLINK("https://probpalata.gov.ru/files/ИП610403242300000.jpeg","Скачать индивидуальный QR-код магазина")</f>
        <v>Скачать индивидуальный QR-код магазина</v>
      </c>
    </row>
    <row r="14057" spans="1:7" x14ac:dyDescent="0.25">
      <c r="A14057" t="s">
        <v>43013</v>
      </c>
      <c r="B14057" t="s">
        <v>43437</v>
      </c>
      <c r="C14057" t="s">
        <v>43438</v>
      </c>
      <c r="D14057" t="s">
        <v>43439</v>
      </c>
      <c r="E14057" t="s">
        <v>43440</v>
      </c>
      <c r="F14057" t="s">
        <v>43441</v>
      </c>
      <c r="G14057" s="2" t="str">
        <f>HYPERLINK("https://probpalata.gov.ru/files/ИП610400002300000.jpeg","Скачать индивидуальный QR-код магазина")</f>
        <v>Скачать индивидуальный QR-код магазина</v>
      </c>
    </row>
    <row r="14058" spans="1:7" x14ac:dyDescent="0.25">
      <c r="A14058" t="s">
        <v>43013</v>
      </c>
      <c r="B14058" t="s">
        <v>43442</v>
      </c>
      <c r="C14058" t="s">
        <v>43443</v>
      </c>
      <c r="D14058" t="s">
        <v>43444</v>
      </c>
      <c r="E14058" t="s">
        <v>43445</v>
      </c>
      <c r="F14058" t="s">
        <v>43446</v>
      </c>
      <c r="G14058" s="2" t="str">
        <f>HYPERLINK("https://probpalata.gov.ru/files/ЮЛ610400670400000.jpeg","Скачать индивидуальный QR-код магазина")</f>
        <v>Скачать индивидуальный QR-код магазина</v>
      </c>
    </row>
    <row r="14059" spans="1:7" x14ac:dyDescent="0.25">
      <c r="A14059" t="s">
        <v>43013</v>
      </c>
      <c r="B14059" t="s">
        <v>43447</v>
      </c>
      <c r="C14059" t="s">
        <v>43448</v>
      </c>
      <c r="D14059" t="s">
        <v>43449</v>
      </c>
      <c r="E14059" t="s">
        <v>43450</v>
      </c>
      <c r="F14059" t="s">
        <v>43451</v>
      </c>
      <c r="G14059" s="2" t="str">
        <f>HYPERLINK("https://probpalata.gov.ru/files/ИП610400903900000.jpeg","Скачать индивидуальный QR-код магазина")</f>
        <v>Скачать индивидуальный QR-код магазина</v>
      </c>
    </row>
    <row r="14060" spans="1:7" x14ac:dyDescent="0.25">
      <c r="A14060" t="s">
        <v>43013</v>
      </c>
      <c r="B14060" t="s">
        <v>43452</v>
      </c>
      <c r="C14060" t="s">
        <v>43453</v>
      </c>
      <c r="D14060" t="s">
        <v>43454</v>
      </c>
      <c r="E14060" t="s">
        <v>43455</v>
      </c>
      <c r="F14060" t="s">
        <v>43456</v>
      </c>
      <c r="G14060" s="2" t="str">
        <f>HYPERLINK("https://probpalata.gov.ru/files/ИП610400013500000.jpeg","Скачать индивидуальный QR-код магазина")</f>
        <v>Скачать индивидуальный QR-код магазина</v>
      </c>
    </row>
    <row r="14061" spans="1:7" x14ac:dyDescent="0.25">
      <c r="A14061" t="s">
        <v>43013</v>
      </c>
      <c r="B14061" t="s">
        <v>43457</v>
      </c>
      <c r="C14061" t="s">
        <v>43458</v>
      </c>
      <c r="D14061" t="s">
        <v>43459</v>
      </c>
      <c r="E14061" t="s">
        <v>43460</v>
      </c>
      <c r="F14061" t="s">
        <v>43461</v>
      </c>
      <c r="G14061" s="2" t="str">
        <f>HYPERLINK("https://probpalata.gov.ru/files/ЮЛ610403159300000.jpeg","Скачать индивидуальный QR-код магазина")</f>
        <v>Скачать индивидуальный QR-код магазина</v>
      </c>
    </row>
    <row r="14062" spans="1:7" x14ac:dyDescent="0.25">
      <c r="A14062" t="s">
        <v>43013</v>
      </c>
      <c r="B14062" t="s">
        <v>43462</v>
      </c>
      <c r="C14062" t="s">
        <v>43463</v>
      </c>
      <c r="D14062" t="s">
        <v>43464</v>
      </c>
      <c r="E14062" t="s">
        <v>43465</v>
      </c>
      <c r="F14062" t="s">
        <v>43466</v>
      </c>
      <c r="G14062" s="2" t="str">
        <f>HYPERLINK("https://probpalata.gov.ru/files/ИП610403002900000.jpeg","Скачать индивидуальный QR-код магазина")</f>
        <v>Скачать индивидуальный QR-код магазина</v>
      </c>
    </row>
    <row r="14063" spans="1:7" x14ac:dyDescent="0.25">
      <c r="A14063" t="s">
        <v>43013</v>
      </c>
      <c r="B14063" t="s">
        <v>43467</v>
      </c>
      <c r="C14063" t="s">
        <v>2073</v>
      </c>
      <c r="D14063" t="s">
        <v>43468</v>
      </c>
      <c r="E14063" t="s">
        <v>43469</v>
      </c>
      <c r="F14063" t="s">
        <v>43470</v>
      </c>
      <c r="G14063" s="2" t="str">
        <f>HYPERLINK("https://probpalata.gov.ru/files/ЮЛ610400188900000.jpeg","Скачать индивидуальный QR-код магазина")</f>
        <v>Скачать индивидуальный QR-код магазина</v>
      </c>
    </row>
    <row r="14064" spans="1:7" x14ac:dyDescent="0.25">
      <c r="A14064" t="s">
        <v>43013</v>
      </c>
      <c r="B14064" t="s">
        <v>43471</v>
      </c>
      <c r="C14064" t="s">
        <v>2073</v>
      </c>
      <c r="D14064" t="s">
        <v>43468</v>
      </c>
      <c r="E14064" t="s">
        <v>43469</v>
      </c>
      <c r="F14064" t="s">
        <v>43472</v>
      </c>
      <c r="G14064" s="2" t="str">
        <f>HYPERLINK("https://probpalata.gov.ru/files/ЮЛ610400188900001.jpeg","Скачать индивидуальный QR-код магазина")</f>
        <v>Скачать индивидуальный QR-код магазина</v>
      </c>
    </row>
    <row r="14065" spans="1:7" x14ac:dyDescent="0.25">
      <c r="A14065" t="s">
        <v>43013</v>
      </c>
      <c r="B14065" t="s">
        <v>43473</v>
      </c>
      <c r="C14065" t="s">
        <v>43474</v>
      </c>
      <c r="D14065" t="s">
        <v>43475</v>
      </c>
      <c r="E14065" t="s">
        <v>43476</v>
      </c>
      <c r="F14065" t="s">
        <v>43477</v>
      </c>
      <c r="G14065" s="2" t="str">
        <f>HYPERLINK("https://probpalata.gov.ru/files/ИП610401377700000.jpeg","Скачать индивидуальный QR-код магазина")</f>
        <v>Скачать индивидуальный QR-код магазина</v>
      </c>
    </row>
    <row r="14066" spans="1:7" x14ac:dyDescent="0.25">
      <c r="A14066" t="s">
        <v>43013</v>
      </c>
      <c r="B14066" t="s">
        <v>43478</v>
      </c>
      <c r="C14066" t="s">
        <v>43479</v>
      </c>
      <c r="D14066" t="s">
        <v>43480</v>
      </c>
      <c r="E14066" t="s">
        <v>43481</v>
      </c>
      <c r="F14066" t="s">
        <v>43482</v>
      </c>
      <c r="G14066" s="2" t="str">
        <f>HYPERLINK("https://probpalata.gov.ru/files/ИП610400318900000.jpeg","Скачать индивидуальный QR-код магазина")</f>
        <v>Скачать индивидуальный QR-код магазина</v>
      </c>
    </row>
    <row r="14067" spans="1:7" x14ac:dyDescent="0.25">
      <c r="A14067" t="s">
        <v>43013</v>
      </c>
      <c r="B14067" t="s">
        <v>43483</v>
      </c>
      <c r="C14067" t="s">
        <v>43484</v>
      </c>
      <c r="D14067" t="s">
        <v>43485</v>
      </c>
      <c r="E14067" t="s">
        <v>43486</v>
      </c>
      <c r="F14067" t="s">
        <v>43487</v>
      </c>
      <c r="G14067" s="2" t="str">
        <f>HYPERLINK("https://probpalata.gov.ru/files/ЮЛ610403696200000.jpeg","Скачать индивидуальный QR-код магазина")</f>
        <v>Скачать индивидуальный QR-код магазина</v>
      </c>
    </row>
    <row r="14068" spans="1:7" x14ac:dyDescent="0.25">
      <c r="A14068" t="s">
        <v>43013</v>
      </c>
      <c r="B14068" t="s">
        <v>43488</v>
      </c>
      <c r="C14068" t="s">
        <v>43489</v>
      </c>
      <c r="D14068" t="s">
        <v>43490</v>
      </c>
      <c r="E14068" t="s">
        <v>43491</v>
      </c>
      <c r="F14068" t="s">
        <v>43492</v>
      </c>
      <c r="G14068" s="2" t="str">
        <f>HYPERLINK("https://probpalata.gov.ru/files/ИП610400991200000.jpeg","Скачать индивидуальный QR-код магазина")</f>
        <v>Скачать индивидуальный QR-код магазина</v>
      </c>
    </row>
    <row r="14069" spans="1:7" x14ac:dyDescent="0.25">
      <c r="A14069" t="s">
        <v>43013</v>
      </c>
      <c r="B14069" t="s">
        <v>43493</v>
      </c>
      <c r="C14069" t="s">
        <v>20498</v>
      </c>
      <c r="D14069" t="s">
        <v>20499</v>
      </c>
      <c r="E14069" t="s">
        <v>20500</v>
      </c>
      <c r="F14069" t="s">
        <v>43494</v>
      </c>
      <c r="G14069" s="2" t="str">
        <f>HYPERLINK("https://probpalata.gov.ru/files/ИП610400976300003.jpeg","Скачать индивидуальный QR-код магазина")</f>
        <v>Скачать индивидуальный QR-код магазина</v>
      </c>
    </row>
    <row r="14070" spans="1:7" x14ac:dyDescent="0.25">
      <c r="A14070" t="s">
        <v>43013</v>
      </c>
      <c r="B14070" t="s">
        <v>43495</v>
      </c>
      <c r="C14070" t="s">
        <v>20498</v>
      </c>
      <c r="D14070" t="s">
        <v>20499</v>
      </c>
      <c r="E14070" t="s">
        <v>20500</v>
      </c>
      <c r="F14070" t="s">
        <v>43496</v>
      </c>
      <c r="G14070" s="2" t="str">
        <f>HYPERLINK("https://probpalata.gov.ru/files/ИП610400976300006.jpeg","Скачать индивидуальный QR-код магазина")</f>
        <v>Скачать индивидуальный QR-код магазина</v>
      </c>
    </row>
    <row r="14071" spans="1:7" x14ac:dyDescent="0.25">
      <c r="A14071" t="s">
        <v>43013</v>
      </c>
      <c r="B14071" t="s">
        <v>43497</v>
      </c>
      <c r="C14071" t="s">
        <v>20498</v>
      </c>
      <c r="D14071" t="s">
        <v>20499</v>
      </c>
      <c r="E14071" t="s">
        <v>20500</v>
      </c>
      <c r="F14071" t="s">
        <v>43498</v>
      </c>
      <c r="G14071" s="2" t="str">
        <f>HYPERLINK("https://probpalata.gov.ru/files/ИП610400976300007.jpeg","Скачать индивидуальный QR-код магазина")</f>
        <v>Скачать индивидуальный QR-код магазина</v>
      </c>
    </row>
    <row r="14072" spans="1:7" x14ac:dyDescent="0.25">
      <c r="A14072" t="s">
        <v>43013</v>
      </c>
      <c r="B14072" t="s">
        <v>43499</v>
      </c>
      <c r="C14072" t="s">
        <v>20498</v>
      </c>
      <c r="D14072" t="s">
        <v>20499</v>
      </c>
      <c r="E14072" t="s">
        <v>20500</v>
      </c>
      <c r="F14072" t="s">
        <v>43500</v>
      </c>
      <c r="G14072" s="2" t="str">
        <f>HYPERLINK("https://probpalata.gov.ru/files/ИП610400976300008.jpeg","Скачать индивидуальный QR-код магазина")</f>
        <v>Скачать индивидуальный QR-код магазина</v>
      </c>
    </row>
    <row r="14073" spans="1:7" x14ac:dyDescent="0.25">
      <c r="A14073" t="s">
        <v>43013</v>
      </c>
      <c r="B14073" t="s">
        <v>43501</v>
      </c>
      <c r="C14073" t="s">
        <v>20498</v>
      </c>
      <c r="D14073" t="s">
        <v>20499</v>
      </c>
      <c r="E14073" t="s">
        <v>20500</v>
      </c>
      <c r="F14073" t="s">
        <v>43502</v>
      </c>
      <c r="G14073" s="2" t="str">
        <f>HYPERLINK("https://probpalata.gov.ru/files/ИП610400976300009.jpeg","Скачать индивидуальный QR-код магазина")</f>
        <v>Скачать индивидуальный QR-код магазина</v>
      </c>
    </row>
    <row r="14074" spans="1:7" x14ac:dyDescent="0.25">
      <c r="A14074" t="s">
        <v>43013</v>
      </c>
      <c r="B14074" t="s">
        <v>43503</v>
      </c>
      <c r="C14074" t="s">
        <v>43504</v>
      </c>
      <c r="D14074" t="s">
        <v>43505</v>
      </c>
      <c r="E14074" t="s">
        <v>43506</v>
      </c>
      <c r="F14074" t="s">
        <v>43507</v>
      </c>
      <c r="G14074" s="2" t="str">
        <f>HYPERLINK("https://probpalata.gov.ru/files/ИП610401272800000.jpeg","Скачать индивидуальный QR-код магазина")</f>
        <v>Скачать индивидуальный QR-код магазина</v>
      </c>
    </row>
    <row r="14075" spans="1:7" x14ac:dyDescent="0.25">
      <c r="A14075" t="s">
        <v>43013</v>
      </c>
      <c r="B14075" t="s">
        <v>43508</v>
      </c>
      <c r="C14075" t="s">
        <v>43509</v>
      </c>
      <c r="D14075" t="s">
        <v>43510</v>
      </c>
      <c r="E14075" t="s">
        <v>43511</v>
      </c>
      <c r="F14075" t="s">
        <v>43512</v>
      </c>
      <c r="G14075" s="2" t="str">
        <f>HYPERLINK("https://probpalata.gov.ru/files/ИП610401986700000.jpeg","Скачать индивидуальный QR-код магазина")</f>
        <v>Скачать индивидуальный QR-код магазина</v>
      </c>
    </row>
    <row r="14076" spans="1:7" x14ac:dyDescent="0.25">
      <c r="A14076" t="s">
        <v>43013</v>
      </c>
      <c r="B14076" t="s">
        <v>43513</v>
      </c>
      <c r="C14076" t="s">
        <v>43514</v>
      </c>
      <c r="D14076" t="s">
        <v>43515</v>
      </c>
      <c r="E14076" t="s">
        <v>43516</v>
      </c>
      <c r="F14076" t="s">
        <v>43517</v>
      </c>
      <c r="G14076" s="2" t="str">
        <f>HYPERLINK("https://probpalata.gov.ru/files/ИП610400320000000.jpeg","Скачать индивидуальный QR-код магазина")</f>
        <v>Скачать индивидуальный QR-код магазина</v>
      </c>
    </row>
    <row r="14077" spans="1:7" x14ac:dyDescent="0.25">
      <c r="A14077" t="s">
        <v>43013</v>
      </c>
      <c r="B14077" t="s">
        <v>43518</v>
      </c>
      <c r="C14077" t="s">
        <v>43519</v>
      </c>
      <c r="D14077" t="s">
        <v>43520</v>
      </c>
      <c r="E14077" t="s">
        <v>43521</v>
      </c>
      <c r="F14077" t="s">
        <v>43522</v>
      </c>
      <c r="G14077" s="2" t="str">
        <f>HYPERLINK("https://probpalata.gov.ru/files/ИП610400827900000.jpeg","Скачать индивидуальный QR-код магазина")</f>
        <v>Скачать индивидуальный QR-код магазина</v>
      </c>
    </row>
    <row r="14078" spans="1:7" x14ac:dyDescent="0.25">
      <c r="A14078" t="s">
        <v>43013</v>
      </c>
      <c r="B14078" t="s">
        <v>43523</v>
      </c>
      <c r="C14078" t="s">
        <v>43524</v>
      </c>
      <c r="D14078" t="s">
        <v>43525</v>
      </c>
      <c r="E14078" t="s">
        <v>43526</v>
      </c>
      <c r="F14078" t="s">
        <v>43527</v>
      </c>
      <c r="G14078" s="2" t="str">
        <f>HYPERLINK("https://probpalata.gov.ru/files/ИП610401377400000.jpeg","Скачать индивидуальный QR-код магазина")</f>
        <v>Скачать индивидуальный QR-код магазина</v>
      </c>
    </row>
    <row r="14079" spans="1:7" x14ac:dyDescent="0.25">
      <c r="A14079" t="s">
        <v>43013</v>
      </c>
      <c r="B14079" t="s">
        <v>43528</v>
      </c>
      <c r="C14079" t="s">
        <v>43529</v>
      </c>
      <c r="D14079" t="s">
        <v>43530</v>
      </c>
      <c r="E14079" t="s">
        <v>43531</v>
      </c>
      <c r="F14079" t="s">
        <v>43532</v>
      </c>
      <c r="G14079" s="2" t="str">
        <f>HYPERLINK("https://probpalata.gov.ru/files/ИП610400667300000.jpeg","Скачать индивидуальный QR-код магазина")</f>
        <v>Скачать индивидуальный QR-код магазина</v>
      </c>
    </row>
    <row r="14080" spans="1:7" x14ac:dyDescent="0.25">
      <c r="A14080" t="s">
        <v>43013</v>
      </c>
      <c r="B14080" t="s">
        <v>43533</v>
      </c>
      <c r="C14080" t="s">
        <v>26040</v>
      </c>
      <c r="D14080" t="s">
        <v>43534</v>
      </c>
      <c r="E14080" t="s">
        <v>43535</v>
      </c>
      <c r="F14080" t="s">
        <v>43536</v>
      </c>
      <c r="G14080" s="2" t="str">
        <f>HYPERLINK("https://probpalata.gov.ru/files/ЮЛ610401737500000.jpeg","Скачать индивидуальный QR-код магазина")</f>
        <v>Скачать индивидуальный QR-код магазина</v>
      </c>
    </row>
    <row r="14081" spans="1:7" x14ac:dyDescent="0.25">
      <c r="A14081" t="s">
        <v>43013</v>
      </c>
      <c r="B14081" t="s">
        <v>43537</v>
      </c>
      <c r="C14081" t="s">
        <v>43538</v>
      </c>
      <c r="D14081" t="s">
        <v>43539</v>
      </c>
      <c r="E14081" t="s">
        <v>43540</v>
      </c>
      <c r="F14081" t="s">
        <v>43541</v>
      </c>
      <c r="G14081" s="2" t="str">
        <f>HYPERLINK("https://probpalata.gov.ru/files/ИП610400653600000.jpeg","Скачать индивидуальный QR-код магазина")</f>
        <v>Скачать индивидуальный QR-код магазина</v>
      </c>
    </row>
    <row r="14082" spans="1:7" x14ac:dyDescent="0.25">
      <c r="A14082" t="s">
        <v>43013</v>
      </c>
      <c r="B14082" t="s">
        <v>43542</v>
      </c>
      <c r="C14082" t="s">
        <v>43538</v>
      </c>
      <c r="D14082" t="s">
        <v>43539</v>
      </c>
      <c r="E14082" t="s">
        <v>43540</v>
      </c>
      <c r="F14082" t="s">
        <v>43543</v>
      </c>
      <c r="G14082" s="2" t="str">
        <f>HYPERLINK("https://probpalata.gov.ru/files/ИП610400653600001.jpeg","Скачать индивидуальный QR-код магазина")</f>
        <v>Скачать индивидуальный QR-код магазина</v>
      </c>
    </row>
    <row r="14083" spans="1:7" x14ac:dyDescent="0.25">
      <c r="A14083" t="s">
        <v>43013</v>
      </c>
      <c r="B14083" t="s">
        <v>43544</v>
      </c>
      <c r="C14083" t="s">
        <v>43545</v>
      </c>
      <c r="D14083" t="s">
        <v>43546</v>
      </c>
      <c r="E14083" t="s">
        <v>43547</v>
      </c>
      <c r="F14083" t="s">
        <v>43548</v>
      </c>
      <c r="G14083" s="2" t="str">
        <f>HYPERLINK("https://probpalata.gov.ru/files/ИП610401132200000.jpeg","Скачать индивидуальный QR-код магазина")</f>
        <v>Скачать индивидуальный QR-код магазина</v>
      </c>
    </row>
    <row r="14084" spans="1:7" x14ac:dyDescent="0.25">
      <c r="A14084" t="s">
        <v>43013</v>
      </c>
      <c r="B14084" t="s">
        <v>43549</v>
      </c>
      <c r="C14084" t="s">
        <v>43550</v>
      </c>
      <c r="D14084" t="s">
        <v>43551</v>
      </c>
      <c r="E14084" t="s">
        <v>43552</v>
      </c>
      <c r="F14084" t="s">
        <v>43553</v>
      </c>
      <c r="G14084" s="2" t="str">
        <f>HYPERLINK("https://probpalata.gov.ru/files/ИП610403335900000.jpeg","Скачать индивидуальный QR-код магазина")</f>
        <v>Скачать индивидуальный QR-код магазина</v>
      </c>
    </row>
    <row r="14085" spans="1:7" x14ac:dyDescent="0.25">
      <c r="A14085" t="s">
        <v>43013</v>
      </c>
      <c r="B14085" t="s">
        <v>43554</v>
      </c>
      <c r="C14085" t="s">
        <v>43555</v>
      </c>
      <c r="D14085" t="s">
        <v>43556</v>
      </c>
      <c r="E14085" t="s">
        <v>43557</v>
      </c>
      <c r="F14085" t="s">
        <v>43558</v>
      </c>
      <c r="G14085" s="2" t="str">
        <f>HYPERLINK("https://probpalata.gov.ru/files/ИП610403106300000.jpeg","Скачать индивидуальный QR-код магазина")</f>
        <v>Скачать индивидуальный QR-код магазина</v>
      </c>
    </row>
    <row r="14086" spans="1:7" x14ac:dyDescent="0.25">
      <c r="A14086" t="s">
        <v>43013</v>
      </c>
      <c r="B14086" t="s">
        <v>43559</v>
      </c>
      <c r="C14086" t="s">
        <v>43560</v>
      </c>
      <c r="D14086" t="s">
        <v>43561</v>
      </c>
      <c r="E14086" t="s">
        <v>43562</v>
      </c>
      <c r="F14086" t="s">
        <v>43563</v>
      </c>
      <c r="G14086" s="2" t="str">
        <f>HYPERLINK("https://probpalata.gov.ru/files/ИП610400778500000.jpeg","Скачать индивидуальный QR-код магазина")</f>
        <v>Скачать индивидуальный QR-код магазина</v>
      </c>
    </row>
    <row r="14087" spans="1:7" x14ac:dyDescent="0.25">
      <c r="A14087" t="s">
        <v>43013</v>
      </c>
      <c r="B14087" t="s">
        <v>43564</v>
      </c>
      <c r="C14087" t="s">
        <v>43565</v>
      </c>
      <c r="D14087" t="s">
        <v>43566</v>
      </c>
      <c r="E14087" t="s">
        <v>43567</v>
      </c>
      <c r="F14087" t="s">
        <v>43568</v>
      </c>
      <c r="G14087" s="2" t="str">
        <f>HYPERLINK("https://probpalata.gov.ru/files/ИП610400989600000.jpeg","Скачать индивидуальный QR-код магазина")</f>
        <v>Скачать индивидуальный QR-код магазина</v>
      </c>
    </row>
    <row r="14088" spans="1:7" x14ac:dyDescent="0.25">
      <c r="A14088" t="s">
        <v>43013</v>
      </c>
      <c r="B14088" t="s">
        <v>43569</v>
      </c>
      <c r="C14088" t="s">
        <v>43565</v>
      </c>
      <c r="D14088" t="s">
        <v>43566</v>
      </c>
      <c r="E14088" t="s">
        <v>43567</v>
      </c>
      <c r="F14088" t="s">
        <v>43570</v>
      </c>
      <c r="G14088" s="2" t="str">
        <f>HYPERLINK("https://probpalata.gov.ru/files/ИП610400989600001.jpeg","Скачать индивидуальный QR-код магазина")</f>
        <v>Скачать индивидуальный QR-код магазина</v>
      </c>
    </row>
    <row r="14089" spans="1:7" x14ac:dyDescent="0.25">
      <c r="A14089" t="s">
        <v>43013</v>
      </c>
      <c r="B14089" t="s">
        <v>43571</v>
      </c>
      <c r="C14089" t="s">
        <v>43565</v>
      </c>
      <c r="D14089" t="s">
        <v>43566</v>
      </c>
      <c r="E14089" t="s">
        <v>43567</v>
      </c>
      <c r="F14089" t="s">
        <v>43572</v>
      </c>
      <c r="G14089" s="2" t="str">
        <f>HYPERLINK("https://probpalata.gov.ru/files/ИП610400989600003.jpeg","Скачать индивидуальный QR-код магазина")</f>
        <v>Скачать индивидуальный QR-код магазина</v>
      </c>
    </row>
    <row r="14090" spans="1:7" x14ac:dyDescent="0.25">
      <c r="A14090" t="s">
        <v>43013</v>
      </c>
      <c r="B14090" t="s">
        <v>43573</v>
      </c>
      <c r="C14090" t="s">
        <v>43574</v>
      </c>
      <c r="D14090" t="s">
        <v>43575</v>
      </c>
      <c r="E14090" t="s">
        <v>43576</v>
      </c>
      <c r="F14090" t="s">
        <v>43577</v>
      </c>
      <c r="G14090" s="2" t="str">
        <f>HYPERLINK("https://probpalata.gov.ru/files/ИП610400481400000.jpeg","Скачать индивидуальный QR-код магазина")</f>
        <v>Скачать индивидуальный QR-код магазина</v>
      </c>
    </row>
    <row r="14091" spans="1:7" x14ac:dyDescent="0.25">
      <c r="A14091" t="s">
        <v>43013</v>
      </c>
      <c r="B14091" t="s">
        <v>43578</v>
      </c>
      <c r="C14091" t="s">
        <v>43579</v>
      </c>
      <c r="D14091" t="s">
        <v>43580</v>
      </c>
      <c r="E14091" t="s">
        <v>43581</v>
      </c>
      <c r="F14091" t="s">
        <v>43582</v>
      </c>
      <c r="G14091" s="2" t="str">
        <f>HYPERLINK("https://probpalata.gov.ru/files/ИП610400137300000.jpeg","Скачать индивидуальный QR-код магазина")</f>
        <v>Скачать индивидуальный QR-код магазина</v>
      </c>
    </row>
    <row r="14092" spans="1:7" x14ac:dyDescent="0.25">
      <c r="A14092" t="s">
        <v>43013</v>
      </c>
      <c r="B14092" t="s">
        <v>43583</v>
      </c>
      <c r="C14092" t="s">
        <v>43584</v>
      </c>
      <c r="D14092" t="s">
        <v>43585</v>
      </c>
      <c r="E14092" t="s">
        <v>43586</v>
      </c>
      <c r="F14092" t="s">
        <v>43587</v>
      </c>
      <c r="G14092" s="2" t="str">
        <f>HYPERLINK("https://probpalata.gov.ru/files/ИП610400165300000.jpeg","Скачать индивидуальный QR-код магазина")</f>
        <v>Скачать индивидуальный QR-код магазина</v>
      </c>
    </row>
    <row r="14093" spans="1:7" x14ac:dyDescent="0.25">
      <c r="A14093" t="s">
        <v>43013</v>
      </c>
      <c r="B14093" t="s">
        <v>43588</v>
      </c>
      <c r="C14093" t="s">
        <v>43589</v>
      </c>
      <c r="D14093" t="s">
        <v>43590</v>
      </c>
      <c r="E14093" t="s">
        <v>43591</v>
      </c>
      <c r="F14093" t="s">
        <v>43592</v>
      </c>
      <c r="G14093" s="2" t="str">
        <f>HYPERLINK("https://probpalata.gov.ru/files/ИП610401418900000.jpeg","Скачать индивидуальный QR-код магазина")</f>
        <v>Скачать индивидуальный QR-код магазина</v>
      </c>
    </row>
    <row r="14094" spans="1:7" x14ac:dyDescent="0.25">
      <c r="A14094" t="s">
        <v>43013</v>
      </c>
      <c r="B14094" t="s">
        <v>43593</v>
      </c>
      <c r="C14094" t="s">
        <v>43594</v>
      </c>
      <c r="D14094" t="s">
        <v>43595</v>
      </c>
      <c r="E14094" t="s">
        <v>43596</v>
      </c>
      <c r="F14094" t="s">
        <v>43597</v>
      </c>
      <c r="G14094" s="2" t="str">
        <f>HYPERLINK("https://probpalata.gov.ru/files/ИП610400952400000.jpeg","Скачать индивидуальный QR-код магазина")</f>
        <v>Скачать индивидуальный QR-код магазина</v>
      </c>
    </row>
    <row r="14095" spans="1:7" x14ac:dyDescent="0.25">
      <c r="A14095" t="s">
        <v>43013</v>
      </c>
      <c r="B14095" t="s">
        <v>43598</v>
      </c>
      <c r="C14095" t="s">
        <v>43599</v>
      </c>
      <c r="D14095" t="s">
        <v>43600</v>
      </c>
      <c r="E14095" t="s">
        <v>43601</v>
      </c>
      <c r="F14095" t="s">
        <v>43602</v>
      </c>
      <c r="G14095" s="2" t="str">
        <f>HYPERLINK("https://probpalata.gov.ru/files/ИП610400370100000.jpeg","Скачать индивидуальный QR-код магазина")</f>
        <v>Скачать индивидуальный QR-код магазина</v>
      </c>
    </row>
    <row r="14096" spans="1:7" x14ac:dyDescent="0.25">
      <c r="A14096" t="s">
        <v>43013</v>
      </c>
      <c r="B14096" t="s">
        <v>43603</v>
      </c>
      <c r="C14096" t="s">
        <v>43604</v>
      </c>
      <c r="D14096" t="s">
        <v>43605</v>
      </c>
      <c r="E14096" t="s">
        <v>43606</v>
      </c>
      <c r="F14096" t="s">
        <v>43607</v>
      </c>
      <c r="G14096" s="2" t="str">
        <f>HYPERLINK("https://probpalata.gov.ru/files/ИП610400656300000.jpeg","Скачать индивидуальный QR-код магазина")</f>
        <v>Скачать индивидуальный QR-код магазина</v>
      </c>
    </row>
    <row r="14097" spans="1:7" x14ac:dyDescent="0.25">
      <c r="A14097" t="s">
        <v>43013</v>
      </c>
      <c r="B14097" t="s">
        <v>43608</v>
      </c>
      <c r="C14097" t="s">
        <v>43609</v>
      </c>
      <c r="D14097" t="s">
        <v>43610</v>
      </c>
      <c r="E14097" t="s">
        <v>43611</v>
      </c>
      <c r="F14097" t="s">
        <v>43612</v>
      </c>
      <c r="G14097" s="2" t="str">
        <f>HYPERLINK("https://probpalata.gov.ru/files/ИП610400367700000.jpeg","Скачать индивидуальный QR-код магазина")</f>
        <v>Скачать индивидуальный QR-код магазина</v>
      </c>
    </row>
    <row r="14098" spans="1:7" x14ac:dyDescent="0.25">
      <c r="A14098" t="s">
        <v>43013</v>
      </c>
      <c r="B14098" t="s">
        <v>43613</v>
      </c>
      <c r="C14098" t="s">
        <v>43609</v>
      </c>
      <c r="D14098" t="s">
        <v>43610</v>
      </c>
      <c r="E14098" t="s">
        <v>43611</v>
      </c>
      <c r="F14098" t="s">
        <v>43614</v>
      </c>
      <c r="G14098" s="2" t="str">
        <f>HYPERLINK("https://probpalata.gov.ru/files/ИП610400367700001.jpeg","Скачать индивидуальный QR-код магазина")</f>
        <v>Скачать индивидуальный QR-код магазина</v>
      </c>
    </row>
    <row r="14099" spans="1:7" x14ac:dyDescent="0.25">
      <c r="A14099" t="s">
        <v>43013</v>
      </c>
      <c r="B14099" t="s">
        <v>43615</v>
      </c>
      <c r="C14099" t="s">
        <v>39190</v>
      </c>
      <c r="D14099" t="s">
        <v>39191</v>
      </c>
      <c r="E14099" t="s">
        <v>39192</v>
      </c>
      <c r="F14099" t="s">
        <v>43616</v>
      </c>
      <c r="G14099" s="2" t="str">
        <f>HYPERLINK("https://probpalata.gov.ru/files/ИП610400021700000.jpeg","Скачать индивидуальный QR-код магазина")</f>
        <v>Скачать индивидуальный QR-код магазина</v>
      </c>
    </row>
    <row r="14100" spans="1:7" x14ac:dyDescent="0.25">
      <c r="A14100" t="s">
        <v>43013</v>
      </c>
      <c r="B14100" t="s">
        <v>43617</v>
      </c>
      <c r="C14100" t="s">
        <v>43618</v>
      </c>
      <c r="D14100" t="s">
        <v>43619</v>
      </c>
      <c r="E14100" t="s">
        <v>43620</v>
      </c>
      <c r="F14100" t="s">
        <v>43621</v>
      </c>
      <c r="G14100" s="2" t="str">
        <f>HYPERLINK("https://probpalata.gov.ru/files/ИП610400663000001.jpeg","Скачать индивидуальный QR-код магазина")</f>
        <v>Скачать индивидуальный QR-код магазина</v>
      </c>
    </row>
    <row r="14101" spans="1:7" x14ac:dyDescent="0.25">
      <c r="A14101" t="s">
        <v>43013</v>
      </c>
      <c r="B14101" t="s">
        <v>43622</v>
      </c>
      <c r="C14101" t="s">
        <v>43618</v>
      </c>
      <c r="D14101" t="s">
        <v>43619</v>
      </c>
      <c r="E14101" t="s">
        <v>43620</v>
      </c>
      <c r="F14101" t="s">
        <v>43623</v>
      </c>
      <c r="G14101" s="2" t="str">
        <f>HYPERLINK("https://probpalata.gov.ru/files/ИП610400663000003.jpeg","Скачать индивидуальный QR-код магазина")</f>
        <v>Скачать индивидуальный QR-код магазина</v>
      </c>
    </row>
    <row r="14102" spans="1:7" x14ac:dyDescent="0.25">
      <c r="A14102" t="s">
        <v>43013</v>
      </c>
      <c r="B14102" t="s">
        <v>43624</v>
      </c>
      <c r="C14102" t="s">
        <v>43618</v>
      </c>
      <c r="D14102" t="s">
        <v>43619</v>
      </c>
      <c r="E14102" t="s">
        <v>43620</v>
      </c>
      <c r="F14102" t="s">
        <v>43625</v>
      </c>
      <c r="G14102" s="2" t="str">
        <f>HYPERLINK("https://probpalata.gov.ru/files/ИП610400663000004.jpeg","Скачать индивидуальный QR-код магазина")</f>
        <v>Скачать индивидуальный QR-код магазина</v>
      </c>
    </row>
    <row r="14103" spans="1:7" x14ac:dyDescent="0.25">
      <c r="A14103" t="s">
        <v>43013</v>
      </c>
      <c r="B14103" t="s">
        <v>43626</v>
      </c>
      <c r="C14103" t="s">
        <v>43618</v>
      </c>
      <c r="D14103" t="s">
        <v>43619</v>
      </c>
      <c r="E14103" t="s">
        <v>43620</v>
      </c>
      <c r="F14103" t="s">
        <v>43627</v>
      </c>
      <c r="G14103" s="2" t="str">
        <f>HYPERLINK("https://probpalata.gov.ru/files/ИП610400663000005.jpeg","Скачать индивидуальный QR-код магазина")</f>
        <v>Скачать индивидуальный QR-код магазина</v>
      </c>
    </row>
    <row r="14104" spans="1:7" x14ac:dyDescent="0.25">
      <c r="A14104" t="s">
        <v>43013</v>
      </c>
      <c r="B14104" t="s">
        <v>43628</v>
      </c>
      <c r="C14104" t="s">
        <v>43618</v>
      </c>
      <c r="D14104" t="s">
        <v>43619</v>
      </c>
      <c r="E14104" t="s">
        <v>43620</v>
      </c>
      <c r="F14104" t="s">
        <v>43629</v>
      </c>
      <c r="G14104" s="2" t="str">
        <f>HYPERLINK("https://probpalata.gov.ru/files/ИП610400663000006.jpeg","Скачать индивидуальный QR-код магазина")</f>
        <v>Скачать индивидуальный QR-код магазина</v>
      </c>
    </row>
    <row r="14105" spans="1:7" x14ac:dyDescent="0.25">
      <c r="A14105" t="s">
        <v>43013</v>
      </c>
      <c r="B14105" t="s">
        <v>43630</v>
      </c>
      <c r="C14105" t="s">
        <v>43618</v>
      </c>
      <c r="D14105" t="s">
        <v>43619</v>
      </c>
      <c r="E14105" t="s">
        <v>43620</v>
      </c>
      <c r="F14105" t="s">
        <v>43631</v>
      </c>
      <c r="G14105" s="2" t="str">
        <f>HYPERLINK("https://probpalata.gov.ru/files/ИП610400663000007.jpeg","Скачать индивидуальный QR-код магазина")</f>
        <v>Скачать индивидуальный QR-код магазина</v>
      </c>
    </row>
    <row r="14106" spans="1:7" x14ac:dyDescent="0.25">
      <c r="A14106" t="s">
        <v>43013</v>
      </c>
      <c r="B14106" t="s">
        <v>43632</v>
      </c>
      <c r="C14106" t="s">
        <v>43618</v>
      </c>
      <c r="D14106" t="s">
        <v>43619</v>
      </c>
      <c r="E14106" t="s">
        <v>43620</v>
      </c>
      <c r="F14106" t="s">
        <v>43633</v>
      </c>
      <c r="G14106" s="2" t="str">
        <f>HYPERLINK("https://probpalata.gov.ru/files/ИП610400663000008.jpeg","Скачать индивидуальный QR-код магазина")</f>
        <v>Скачать индивидуальный QR-код магазина</v>
      </c>
    </row>
    <row r="14107" spans="1:7" x14ac:dyDescent="0.25">
      <c r="A14107" t="s">
        <v>43013</v>
      </c>
      <c r="B14107" t="s">
        <v>43634</v>
      </c>
      <c r="C14107" t="s">
        <v>43618</v>
      </c>
      <c r="D14107" t="s">
        <v>43619</v>
      </c>
      <c r="E14107" t="s">
        <v>43620</v>
      </c>
      <c r="F14107" t="s">
        <v>43635</v>
      </c>
      <c r="G14107" s="2" t="str">
        <f>HYPERLINK("https://probpalata.gov.ru/files/ИП610400663000009.jpeg","Скачать индивидуальный QR-код магазина")</f>
        <v>Скачать индивидуальный QR-код магазина</v>
      </c>
    </row>
    <row r="14108" spans="1:7" x14ac:dyDescent="0.25">
      <c r="A14108" t="s">
        <v>43013</v>
      </c>
      <c r="B14108" t="s">
        <v>43636</v>
      </c>
      <c r="C14108" t="s">
        <v>43637</v>
      </c>
      <c r="D14108" t="s">
        <v>43638</v>
      </c>
      <c r="E14108" t="s">
        <v>43639</v>
      </c>
      <c r="F14108" t="s">
        <v>43640</v>
      </c>
      <c r="G14108" s="2" t="str">
        <f>HYPERLINK("https://probpalata.gov.ru/files/ИП610400729300000.jpeg","Скачать индивидуальный QR-код магазина")</f>
        <v>Скачать индивидуальный QR-код магазина</v>
      </c>
    </row>
    <row r="14109" spans="1:7" x14ac:dyDescent="0.25">
      <c r="A14109" t="s">
        <v>43013</v>
      </c>
      <c r="B14109" t="s">
        <v>43641</v>
      </c>
      <c r="C14109" t="s">
        <v>43642</v>
      </c>
      <c r="D14109" t="s">
        <v>43643</v>
      </c>
      <c r="E14109" t="s">
        <v>43644</v>
      </c>
      <c r="F14109" t="s">
        <v>43645</v>
      </c>
      <c r="G14109" s="2" t="str">
        <f>HYPERLINK("https://probpalata.gov.ru/files/ИП610400624800000.jpeg","Скачать индивидуальный QR-код магазина")</f>
        <v>Скачать индивидуальный QR-код магазина</v>
      </c>
    </row>
    <row r="14110" spans="1:7" x14ac:dyDescent="0.25">
      <c r="A14110" t="s">
        <v>43013</v>
      </c>
      <c r="B14110" t="s">
        <v>43646</v>
      </c>
      <c r="C14110" t="s">
        <v>43642</v>
      </c>
      <c r="D14110" t="s">
        <v>43643</v>
      </c>
      <c r="E14110" t="s">
        <v>43644</v>
      </c>
      <c r="F14110" t="s">
        <v>43647</v>
      </c>
      <c r="G14110" s="2" t="str">
        <f>HYPERLINK("https://probpalata.gov.ru/files/ИП610400624800001.jpeg","Скачать индивидуальный QR-код магазина")</f>
        <v>Скачать индивидуальный QR-код магазина</v>
      </c>
    </row>
    <row r="14111" spans="1:7" x14ac:dyDescent="0.25">
      <c r="A14111" t="s">
        <v>43013</v>
      </c>
      <c r="B14111" t="s">
        <v>43648</v>
      </c>
      <c r="C14111" t="s">
        <v>20503</v>
      </c>
      <c r="D14111" t="s">
        <v>20504</v>
      </c>
      <c r="E14111" t="s">
        <v>20505</v>
      </c>
      <c r="F14111" t="s">
        <v>43649</v>
      </c>
      <c r="G14111" s="2" t="str">
        <f>HYPERLINK("https://probpalata.gov.ru/files/ИП610400070400000.jpeg","Скачать индивидуальный QR-код магазина")</f>
        <v>Скачать индивидуальный QR-код магазина</v>
      </c>
    </row>
    <row r="14112" spans="1:7" x14ac:dyDescent="0.25">
      <c r="A14112" t="s">
        <v>43013</v>
      </c>
      <c r="B14112" t="s">
        <v>43650</v>
      </c>
      <c r="C14112" t="s">
        <v>43651</v>
      </c>
      <c r="D14112" t="s">
        <v>43652</v>
      </c>
      <c r="E14112" t="s">
        <v>43653</v>
      </c>
      <c r="F14112" t="s">
        <v>43654</v>
      </c>
      <c r="G14112" s="2" t="str">
        <f>HYPERLINK("https://probpalata.gov.ru/files/ЮЛ610400666000000.jpeg","Скачать индивидуальный QR-код магазина")</f>
        <v>Скачать индивидуальный QR-код магазина</v>
      </c>
    </row>
    <row r="14113" spans="1:7" x14ac:dyDescent="0.25">
      <c r="A14113" t="s">
        <v>43013</v>
      </c>
      <c r="B14113" t="s">
        <v>43655</v>
      </c>
      <c r="C14113" t="s">
        <v>43651</v>
      </c>
      <c r="D14113" t="s">
        <v>43652</v>
      </c>
      <c r="E14113" t="s">
        <v>43653</v>
      </c>
      <c r="F14113" t="s">
        <v>43656</v>
      </c>
      <c r="G14113" s="2" t="str">
        <f>HYPERLINK("https://probpalata.gov.ru/files/ЮЛ610400666000007.jpeg","Скачать индивидуальный QR-код магазина")</f>
        <v>Скачать индивидуальный QR-код магазина</v>
      </c>
    </row>
    <row r="14114" spans="1:7" x14ac:dyDescent="0.25">
      <c r="A14114" t="s">
        <v>43013</v>
      </c>
      <c r="B14114" t="s">
        <v>43657</v>
      </c>
      <c r="C14114" t="s">
        <v>43651</v>
      </c>
      <c r="D14114" t="s">
        <v>43652</v>
      </c>
      <c r="E14114" t="s">
        <v>43653</v>
      </c>
      <c r="F14114" t="s">
        <v>43658</v>
      </c>
      <c r="G14114" s="2" t="str">
        <f>HYPERLINK("https://probpalata.gov.ru/files/ЮЛ610400666000014.jpeg","Скачать индивидуальный QR-код магазина")</f>
        <v>Скачать индивидуальный QR-код магазина</v>
      </c>
    </row>
    <row r="14115" spans="1:7" x14ac:dyDescent="0.25">
      <c r="A14115" t="s">
        <v>43013</v>
      </c>
      <c r="B14115" t="s">
        <v>43659</v>
      </c>
      <c r="C14115" t="s">
        <v>43660</v>
      </c>
      <c r="D14115" t="s">
        <v>43661</v>
      </c>
      <c r="E14115" t="s">
        <v>43662</v>
      </c>
      <c r="F14115" t="s">
        <v>43663</v>
      </c>
      <c r="G14115" s="2" t="str">
        <f>HYPERLINK("https://probpalata.gov.ru/files/ЮЛ610400834000000.jpeg","Скачать индивидуальный QR-код магазина")</f>
        <v>Скачать индивидуальный QR-код магазина</v>
      </c>
    </row>
    <row r="14116" spans="1:7" x14ac:dyDescent="0.25">
      <c r="A14116" t="s">
        <v>43013</v>
      </c>
      <c r="B14116" t="s">
        <v>43664</v>
      </c>
      <c r="C14116" t="s">
        <v>43665</v>
      </c>
      <c r="D14116" t="s">
        <v>43666</v>
      </c>
      <c r="E14116" t="s">
        <v>43667</v>
      </c>
      <c r="F14116" t="s">
        <v>43668</v>
      </c>
      <c r="G14116" s="2" t="str">
        <f>HYPERLINK("https://probpalata.gov.ru/files/ИП610400830600000.jpeg","Скачать индивидуальный QR-код магазина")</f>
        <v>Скачать индивидуальный QR-код магазина</v>
      </c>
    </row>
    <row r="14117" spans="1:7" x14ac:dyDescent="0.25">
      <c r="A14117" t="s">
        <v>43013</v>
      </c>
      <c r="B14117" t="s">
        <v>43669</v>
      </c>
      <c r="C14117" t="s">
        <v>43670</v>
      </c>
      <c r="D14117" t="s">
        <v>43671</v>
      </c>
      <c r="E14117" t="s">
        <v>43672</v>
      </c>
      <c r="F14117" t="s">
        <v>43673</v>
      </c>
      <c r="G14117" s="2" t="str">
        <f>HYPERLINK("https://probpalata.gov.ru/files/ЮЛ610400975000000.jpeg","Скачать индивидуальный QR-код магазина")</f>
        <v>Скачать индивидуальный QR-код магазина</v>
      </c>
    </row>
    <row r="14118" spans="1:7" x14ac:dyDescent="0.25">
      <c r="A14118" t="s">
        <v>43013</v>
      </c>
      <c r="B14118" t="s">
        <v>43674</v>
      </c>
      <c r="C14118" t="s">
        <v>43675</v>
      </c>
      <c r="D14118" t="s">
        <v>43676</v>
      </c>
      <c r="E14118" t="s">
        <v>43677</v>
      </c>
      <c r="F14118" t="s">
        <v>43678</v>
      </c>
      <c r="G14118" s="2" t="str">
        <f>HYPERLINK("https://probpalata.gov.ru/files/ЮЛ610400013300000.jpeg","Скачать индивидуальный QR-код магазина")</f>
        <v>Скачать индивидуальный QR-код магазина</v>
      </c>
    </row>
    <row r="14119" spans="1:7" x14ac:dyDescent="0.25">
      <c r="A14119" t="s">
        <v>43013</v>
      </c>
      <c r="B14119" t="s">
        <v>43669</v>
      </c>
      <c r="C14119" t="s">
        <v>31103</v>
      </c>
      <c r="D14119" t="s">
        <v>43679</v>
      </c>
      <c r="E14119" t="s">
        <v>43680</v>
      </c>
      <c r="F14119" t="s">
        <v>43681</v>
      </c>
      <c r="G14119" s="2" t="str">
        <f>HYPERLINK("https://probpalata.gov.ru/files/ЮЛ610400959300000.jpeg","Скачать индивидуальный QR-код магазина")</f>
        <v>Скачать индивидуальный QR-код магазина</v>
      </c>
    </row>
    <row r="14120" spans="1:7" x14ac:dyDescent="0.25">
      <c r="A14120" t="s">
        <v>43013</v>
      </c>
      <c r="B14120" t="s">
        <v>43682</v>
      </c>
      <c r="C14120" t="s">
        <v>43683</v>
      </c>
      <c r="D14120" t="s">
        <v>43684</v>
      </c>
      <c r="E14120" t="s">
        <v>43685</v>
      </c>
      <c r="F14120" t="s">
        <v>43686</v>
      </c>
      <c r="G14120" s="2" t="str">
        <f>HYPERLINK("https://probpalata.gov.ru/files/ЮЛ610400389000000.jpeg","Скачать индивидуальный QR-код магазина")</f>
        <v>Скачать индивидуальный QR-код магазина</v>
      </c>
    </row>
    <row r="14121" spans="1:7" x14ac:dyDescent="0.25">
      <c r="A14121" t="s">
        <v>43013</v>
      </c>
      <c r="B14121" t="s">
        <v>43687</v>
      </c>
      <c r="C14121" t="s">
        <v>43688</v>
      </c>
      <c r="D14121" t="s">
        <v>43689</v>
      </c>
      <c r="E14121" t="s">
        <v>43690</v>
      </c>
      <c r="F14121" t="s">
        <v>43691</v>
      </c>
      <c r="G14121" s="2" t="str">
        <f>HYPERLINK("https://probpalata.gov.ru/files/ЮЛ610400099100000.jpeg","Скачать индивидуальный QR-код магазина")</f>
        <v>Скачать индивидуальный QR-код магазина</v>
      </c>
    </row>
    <row r="14122" spans="1:7" x14ac:dyDescent="0.25">
      <c r="A14122" t="s">
        <v>43013</v>
      </c>
      <c r="B14122" t="s">
        <v>43692</v>
      </c>
      <c r="C14122" t="s">
        <v>43693</v>
      </c>
      <c r="D14122" t="s">
        <v>43694</v>
      </c>
      <c r="E14122" t="s">
        <v>43695</v>
      </c>
      <c r="F14122" t="s">
        <v>43696</v>
      </c>
      <c r="G14122" s="2" t="str">
        <f>HYPERLINK("https://probpalata.gov.ru/files/ИП610403291600000.jpeg","Скачать индивидуальный QR-код магазина")</f>
        <v>Скачать индивидуальный QR-код магазина</v>
      </c>
    </row>
    <row r="14123" spans="1:7" x14ac:dyDescent="0.25">
      <c r="A14123" t="s">
        <v>43013</v>
      </c>
      <c r="B14123" t="s">
        <v>43697</v>
      </c>
      <c r="C14123" t="s">
        <v>43698</v>
      </c>
      <c r="D14123" t="s">
        <v>43699</v>
      </c>
      <c r="E14123" t="s">
        <v>43700</v>
      </c>
      <c r="F14123" t="s">
        <v>43701</v>
      </c>
      <c r="G14123" s="2" t="str">
        <f>HYPERLINK("https://probpalata.gov.ru/files/ИП610401236100000.jpeg","Скачать индивидуальный QR-код магазина")</f>
        <v>Скачать индивидуальный QR-код магазина</v>
      </c>
    </row>
    <row r="14124" spans="1:7" x14ac:dyDescent="0.25">
      <c r="A14124" t="s">
        <v>43013</v>
      </c>
      <c r="B14124" t="s">
        <v>43702</v>
      </c>
      <c r="C14124" t="s">
        <v>43703</v>
      </c>
      <c r="D14124" t="s">
        <v>43704</v>
      </c>
      <c r="E14124" t="s">
        <v>43705</v>
      </c>
      <c r="F14124" t="s">
        <v>43706</v>
      </c>
      <c r="G14124" s="2" t="str">
        <f>HYPERLINK("https://probpalata.gov.ru/files/ИП610400539200000.jpeg","Скачать индивидуальный QR-код магазина")</f>
        <v>Скачать индивидуальный QR-код магазина</v>
      </c>
    </row>
    <row r="14125" spans="1:7" x14ac:dyDescent="0.25">
      <c r="A14125" t="s">
        <v>43013</v>
      </c>
      <c r="B14125" t="s">
        <v>43707</v>
      </c>
      <c r="C14125" t="s">
        <v>43708</v>
      </c>
      <c r="D14125" t="s">
        <v>43709</v>
      </c>
      <c r="E14125" t="s">
        <v>43710</v>
      </c>
      <c r="F14125" t="s">
        <v>43711</v>
      </c>
      <c r="G14125" s="2" t="str">
        <f>HYPERLINK("https://probpalata.gov.ru/files/ИП610401782200000.jpeg","Скачать индивидуальный QR-код магазина")</f>
        <v>Скачать индивидуальный QR-код магазина</v>
      </c>
    </row>
    <row r="14126" spans="1:7" x14ac:dyDescent="0.25">
      <c r="A14126" t="s">
        <v>43013</v>
      </c>
      <c r="B14126" t="s">
        <v>43712</v>
      </c>
      <c r="C14126" t="s">
        <v>43713</v>
      </c>
      <c r="D14126" t="s">
        <v>43714</v>
      </c>
      <c r="E14126" t="s">
        <v>43715</v>
      </c>
      <c r="F14126" t="s">
        <v>43716</v>
      </c>
      <c r="G14126" s="2" t="str">
        <f>HYPERLINK("https://probpalata.gov.ru/files/ИП610400079000000.jpeg","Скачать индивидуальный QR-код магазина")</f>
        <v>Скачать индивидуальный QR-код магазина</v>
      </c>
    </row>
    <row r="14127" spans="1:7" x14ac:dyDescent="0.25">
      <c r="A14127" t="s">
        <v>43013</v>
      </c>
      <c r="B14127" t="s">
        <v>43669</v>
      </c>
      <c r="C14127" t="s">
        <v>43717</v>
      </c>
      <c r="D14127" t="s">
        <v>43718</v>
      </c>
      <c r="E14127" t="s">
        <v>43719</v>
      </c>
      <c r="F14127" t="s">
        <v>43720</v>
      </c>
      <c r="G14127" s="2" t="str">
        <f>HYPERLINK("https://probpalata.gov.ru/files/ЮЛ610400829900000.jpeg","Скачать индивидуальный QR-код магазина")</f>
        <v>Скачать индивидуальный QR-код магазина</v>
      </c>
    </row>
    <row r="14128" spans="1:7" x14ac:dyDescent="0.25">
      <c r="A14128" t="s">
        <v>43013</v>
      </c>
      <c r="B14128" t="s">
        <v>43721</v>
      </c>
      <c r="C14128" t="s">
        <v>43722</v>
      </c>
      <c r="D14128" t="s">
        <v>43723</v>
      </c>
      <c r="E14128" t="s">
        <v>43724</v>
      </c>
      <c r="F14128" t="s">
        <v>43725</v>
      </c>
      <c r="G14128" s="2" t="str">
        <f>HYPERLINK("https://probpalata.gov.ru/files/ИП770103172400000.jpeg","Скачать индивидуальный QR-код магазина")</f>
        <v>Скачать индивидуальный QR-код магазина</v>
      </c>
    </row>
    <row r="14129" spans="1:7" x14ac:dyDescent="0.25">
      <c r="A14129" t="s">
        <v>43013</v>
      </c>
      <c r="B14129" t="s">
        <v>43726</v>
      </c>
      <c r="C14129" t="s">
        <v>43722</v>
      </c>
      <c r="D14129" t="s">
        <v>43723</v>
      </c>
      <c r="E14129" t="s">
        <v>43724</v>
      </c>
      <c r="F14129" t="s">
        <v>43727</v>
      </c>
      <c r="G14129" s="2" t="str">
        <f>HYPERLINK("https://probpalata.gov.ru/files/ИП770103172400001.jpeg","Скачать индивидуальный QR-код магазина")</f>
        <v>Скачать индивидуальный QR-код магазина</v>
      </c>
    </row>
    <row r="14130" spans="1:7" x14ac:dyDescent="0.25">
      <c r="A14130" t="s">
        <v>43013</v>
      </c>
      <c r="B14130" t="s">
        <v>43728</v>
      </c>
      <c r="C14130" t="s">
        <v>43729</v>
      </c>
      <c r="D14130" t="s">
        <v>43730</v>
      </c>
      <c r="E14130" t="s">
        <v>43731</v>
      </c>
      <c r="F14130" t="s">
        <v>43732</v>
      </c>
      <c r="G14130" s="2" t="str">
        <f>HYPERLINK("https://probpalata.gov.ru/files/ИП610403398400000.jpeg","Скачать индивидуальный QR-код магазина")</f>
        <v>Скачать индивидуальный QR-код магазина</v>
      </c>
    </row>
    <row r="14131" spans="1:7" x14ac:dyDescent="0.25">
      <c r="A14131" t="s">
        <v>43013</v>
      </c>
      <c r="B14131" t="s">
        <v>43733</v>
      </c>
      <c r="C14131" t="s">
        <v>43734</v>
      </c>
      <c r="D14131" t="s">
        <v>43735</v>
      </c>
      <c r="E14131" t="s">
        <v>43736</v>
      </c>
      <c r="F14131" t="s">
        <v>43737</v>
      </c>
      <c r="G14131" s="2" t="str">
        <f>HYPERLINK("https://probpalata.gov.ru/files/ИП610400836900000.jpeg","Скачать индивидуальный QR-код магазина")</f>
        <v>Скачать индивидуальный QR-код магазина</v>
      </c>
    </row>
    <row r="14132" spans="1:7" x14ac:dyDescent="0.25">
      <c r="A14132" t="s">
        <v>43013</v>
      </c>
      <c r="B14132" t="s">
        <v>43738</v>
      </c>
      <c r="C14132" t="s">
        <v>20515</v>
      </c>
      <c r="D14132" t="s">
        <v>20516</v>
      </c>
      <c r="E14132" t="s">
        <v>20517</v>
      </c>
      <c r="F14132" t="s">
        <v>43739</v>
      </c>
      <c r="G14132" s="2" t="str">
        <f>HYPERLINK("https://probpalata.gov.ru/files/ИП610400043700000.jpeg","Скачать индивидуальный QR-код магазина")</f>
        <v>Скачать индивидуальный QR-код магазина</v>
      </c>
    </row>
    <row r="14133" spans="1:7" x14ac:dyDescent="0.25">
      <c r="A14133" t="s">
        <v>43013</v>
      </c>
      <c r="B14133" t="s">
        <v>43740</v>
      </c>
      <c r="C14133" t="s">
        <v>43741</v>
      </c>
      <c r="D14133" t="s">
        <v>43742</v>
      </c>
      <c r="E14133" t="s">
        <v>43743</v>
      </c>
      <c r="F14133" t="s">
        <v>43744</v>
      </c>
      <c r="G14133" s="2" t="str">
        <f>HYPERLINK("https://probpalata.gov.ru/files/ИП610400049000000.jpeg","Скачать индивидуальный QR-код магазина")</f>
        <v>Скачать индивидуальный QR-код магазина</v>
      </c>
    </row>
    <row r="14134" spans="1:7" x14ac:dyDescent="0.25">
      <c r="A14134" t="s">
        <v>43013</v>
      </c>
      <c r="B14134" t="s">
        <v>43745</v>
      </c>
      <c r="C14134" t="s">
        <v>43746</v>
      </c>
      <c r="D14134" t="s">
        <v>43747</v>
      </c>
      <c r="E14134" t="s">
        <v>43748</v>
      </c>
      <c r="F14134" t="s">
        <v>43749</v>
      </c>
      <c r="G14134" s="2" t="str">
        <f>HYPERLINK("https://probpalata.gov.ru/files/ИП610403273800000.jpeg","Скачать индивидуальный QR-код магазина")</f>
        <v>Скачать индивидуальный QR-код магазина</v>
      </c>
    </row>
    <row r="14135" spans="1:7" x14ac:dyDescent="0.25">
      <c r="A14135" t="s">
        <v>43013</v>
      </c>
      <c r="B14135" t="s">
        <v>43750</v>
      </c>
      <c r="C14135" t="s">
        <v>43751</v>
      </c>
      <c r="D14135" t="s">
        <v>43752</v>
      </c>
      <c r="E14135" t="s">
        <v>43753</v>
      </c>
      <c r="F14135" t="s">
        <v>43754</v>
      </c>
      <c r="G14135" s="2" t="str">
        <f>HYPERLINK("https://probpalata.gov.ru/files/ИП610400708900000.jpeg","Скачать индивидуальный QR-код магазина")</f>
        <v>Скачать индивидуальный QR-код магазина</v>
      </c>
    </row>
    <row r="14136" spans="1:7" x14ac:dyDescent="0.25">
      <c r="A14136" t="s">
        <v>43013</v>
      </c>
      <c r="B14136" t="s">
        <v>43755</v>
      </c>
      <c r="C14136" t="s">
        <v>43756</v>
      </c>
      <c r="D14136" t="s">
        <v>43757</v>
      </c>
      <c r="E14136" t="s">
        <v>43758</v>
      </c>
      <c r="F14136" t="s">
        <v>43759</v>
      </c>
      <c r="G14136" s="2" t="str">
        <f>HYPERLINK("https://probpalata.gov.ru/files/ИП610401224600000.jpeg","Скачать индивидуальный QR-код магазина")</f>
        <v>Скачать индивидуальный QR-код магазина</v>
      </c>
    </row>
    <row r="14137" spans="1:7" x14ac:dyDescent="0.25">
      <c r="A14137" t="s">
        <v>43013</v>
      </c>
      <c r="B14137" t="s">
        <v>43760</v>
      </c>
      <c r="C14137" t="s">
        <v>43761</v>
      </c>
      <c r="D14137" t="s">
        <v>43762</v>
      </c>
      <c r="E14137" t="s">
        <v>43763</v>
      </c>
      <c r="F14137" t="s">
        <v>43764</v>
      </c>
      <c r="G14137" s="2" t="str">
        <f>HYPERLINK("https://probpalata.gov.ru/files/ИП610400238300000.jpeg","Скачать индивидуальный QR-код магазина")</f>
        <v>Скачать индивидуальный QR-код магазина</v>
      </c>
    </row>
    <row r="14138" spans="1:7" x14ac:dyDescent="0.25">
      <c r="A14138" t="s">
        <v>43013</v>
      </c>
      <c r="B14138" t="s">
        <v>43765</v>
      </c>
      <c r="C14138" t="s">
        <v>14869</v>
      </c>
      <c r="D14138" t="s">
        <v>14870</v>
      </c>
      <c r="E14138" t="s">
        <v>14871</v>
      </c>
      <c r="F14138" t="s">
        <v>43766</v>
      </c>
      <c r="G14138" s="2" t="str">
        <f>HYPERLINK("https://probpalata.gov.ru/files/ИП610403242200000.jpeg","Скачать индивидуальный QR-код магазина")</f>
        <v>Скачать индивидуальный QR-код магазина</v>
      </c>
    </row>
    <row r="14139" spans="1:7" x14ac:dyDescent="0.25">
      <c r="A14139" t="s">
        <v>43013</v>
      </c>
      <c r="B14139" t="s">
        <v>43767</v>
      </c>
      <c r="C14139" t="s">
        <v>43768</v>
      </c>
      <c r="D14139" t="s">
        <v>43769</v>
      </c>
      <c r="E14139" t="s">
        <v>43770</v>
      </c>
      <c r="F14139" t="s">
        <v>43771</v>
      </c>
      <c r="G14139" s="2" t="str">
        <f>HYPERLINK("https://probpalata.gov.ru/files/ИП610400947200001.jpeg","Скачать индивидуальный QR-код магазина")</f>
        <v>Скачать индивидуальный QR-код магазина</v>
      </c>
    </row>
    <row r="14140" spans="1:7" x14ac:dyDescent="0.25">
      <c r="A14140" t="s">
        <v>43013</v>
      </c>
      <c r="B14140" t="s">
        <v>43772</v>
      </c>
      <c r="C14140" t="s">
        <v>43773</v>
      </c>
      <c r="D14140" t="s">
        <v>43774</v>
      </c>
      <c r="E14140" t="s">
        <v>43775</v>
      </c>
      <c r="F14140" t="s">
        <v>43776</v>
      </c>
      <c r="G14140" s="2" t="str">
        <f>HYPERLINK("https://probpalata.gov.ru/files/ИП610400381300000.jpeg","Скачать индивидуальный QR-код магазина")</f>
        <v>Скачать индивидуальный QR-код магазина</v>
      </c>
    </row>
    <row r="14141" spans="1:7" x14ac:dyDescent="0.25">
      <c r="A14141" t="s">
        <v>43013</v>
      </c>
      <c r="B14141" t="s">
        <v>43777</v>
      </c>
      <c r="C14141" t="s">
        <v>43778</v>
      </c>
      <c r="D14141" t="s">
        <v>43779</v>
      </c>
      <c r="E14141" t="s">
        <v>43780</v>
      </c>
      <c r="F14141" t="s">
        <v>43781</v>
      </c>
      <c r="G14141" s="2" t="str">
        <f>HYPERLINK("https://probpalata.gov.ru/files/ИП610403994300000.jpeg","Скачать индивидуальный QR-код магазина")</f>
        <v>Скачать индивидуальный QR-код магазина</v>
      </c>
    </row>
    <row r="14142" spans="1:7" x14ac:dyDescent="0.25">
      <c r="A14142" t="s">
        <v>43013</v>
      </c>
      <c r="B14142" t="s">
        <v>43782</v>
      </c>
      <c r="C14142" t="s">
        <v>43778</v>
      </c>
      <c r="D14142" t="s">
        <v>43779</v>
      </c>
      <c r="E14142" t="s">
        <v>43780</v>
      </c>
      <c r="F14142" t="s">
        <v>43783</v>
      </c>
      <c r="G14142" s="2" t="str">
        <f>HYPERLINK("https://probpalata.gov.ru/files/ИП610403994300001.jpeg","Скачать индивидуальный QR-код магазина")</f>
        <v>Скачать индивидуальный QR-код магазина</v>
      </c>
    </row>
    <row r="14143" spans="1:7" x14ac:dyDescent="0.25">
      <c r="A14143" t="s">
        <v>43013</v>
      </c>
      <c r="B14143" t="s">
        <v>43784</v>
      </c>
      <c r="C14143" t="s">
        <v>43778</v>
      </c>
      <c r="D14143" t="s">
        <v>43779</v>
      </c>
      <c r="E14143" t="s">
        <v>43780</v>
      </c>
      <c r="F14143" t="s">
        <v>43785</v>
      </c>
      <c r="G14143" s="2" t="str">
        <f>HYPERLINK("https://probpalata.gov.ru/files/ИП610403994300002.jpeg","Скачать индивидуальный QR-код магазина")</f>
        <v>Скачать индивидуальный QR-код магазина</v>
      </c>
    </row>
    <row r="14144" spans="1:7" x14ac:dyDescent="0.25">
      <c r="A14144" t="s">
        <v>43013</v>
      </c>
      <c r="B14144" t="s">
        <v>43366</v>
      </c>
      <c r="C14144" t="s">
        <v>43786</v>
      </c>
      <c r="D14144" t="s">
        <v>43787</v>
      </c>
      <c r="E14144" t="s">
        <v>43788</v>
      </c>
      <c r="F14144" t="s">
        <v>43789</v>
      </c>
      <c r="G14144" s="2" t="str">
        <f>HYPERLINK("https://probpalata.gov.ru/files/ЮЛ610400536800000.jpeg","Скачать индивидуальный QR-код магазина")</f>
        <v>Скачать индивидуальный QR-код магазина</v>
      </c>
    </row>
    <row r="14145" spans="1:7" x14ac:dyDescent="0.25">
      <c r="A14145" t="s">
        <v>43013</v>
      </c>
      <c r="B14145" t="s">
        <v>43790</v>
      </c>
      <c r="C14145" t="s">
        <v>43791</v>
      </c>
      <c r="D14145" t="s">
        <v>43792</v>
      </c>
      <c r="E14145" t="s">
        <v>43793</v>
      </c>
      <c r="F14145" t="s">
        <v>43794</v>
      </c>
      <c r="G14145" s="2" t="str">
        <f>HYPERLINK("https://probpalata.gov.ru/files/ЮЛ610400334600001.jpeg","Скачать индивидуальный QR-код магазина")</f>
        <v>Скачать индивидуальный QR-код магазина</v>
      </c>
    </row>
    <row r="14146" spans="1:7" x14ac:dyDescent="0.25">
      <c r="A14146" t="s">
        <v>43013</v>
      </c>
      <c r="B14146" t="s">
        <v>43795</v>
      </c>
      <c r="C14146" t="s">
        <v>16153</v>
      </c>
      <c r="D14146" t="s">
        <v>43796</v>
      </c>
      <c r="E14146" t="s">
        <v>43797</v>
      </c>
      <c r="F14146" t="s">
        <v>43798</v>
      </c>
      <c r="G14146" s="2" t="str">
        <f>HYPERLINK("https://probpalata.gov.ru/files/ЮЛ610400227500000.jpeg","Скачать индивидуальный QR-код магазина")</f>
        <v>Скачать индивидуальный QR-код магазина</v>
      </c>
    </row>
    <row r="14147" spans="1:7" x14ac:dyDescent="0.25">
      <c r="A14147" t="s">
        <v>43013</v>
      </c>
      <c r="B14147" t="s">
        <v>43799</v>
      </c>
      <c r="C14147" t="s">
        <v>43800</v>
      </c>
      <c r="D14147" t="s">
        <v>43801</v>
      </c>
      <c r="E14147" t="s">
        <v>43802</v>
      </c>
      <c r="F14147" t="s">
        <v>43803</v>
      </c>
      <c r="G14147" s="2" t="str">
        <f>HYPERLINK("https://probpalata.gov.ru/files/ИП610400094100000.jpeg","Скачать индивидуальный QR-код магазина")</f>
        <v>Скачать индивидуальный QR-код магазина</v>
      </c>
    </row>
    <row r="14148" spans="1:7" x14ac:dyDescent="0.25">
      <c r="A14148" t="s">
        <v>43013</v>
      </c>
      <c r="B14148" t="s">
        <v>43804</v>
      </c>
      <c r="C14148" t="s">
        <v>43805</v>
      </c>
      <c r="D14148" t="s">
        <v>43806</v>
      </c>
      <c r="E14148" t="s">
        <v>43807</v>
      </c>
      <c r="F14148" t="s">
        <v>43808</v>
      </c>
      <c r="G14148" s="2" t="str">
        <f>HYPERLINK("https://probpalata.gov.ru/files/ИП610400020200000.jpeg","Скачать индивидуальный QR-код магазина")</f>
        <v>Скачать индивидуальный QR-код магазина</v>
      </c>
    </row>
    <row r="14149" spans="1:7" x14ac:dyDescent="0.25">
      <c r="A14149" t="s">
        <v>43013</v>
      </c>
      <c r="B14149" t="s">
        <v>43809</v>
      </c>
      <c r="C14149" t="s">
        <v>43810</v>
      </c>
      <c r="D14149" t="s">
        <v>43811</v>
      </c>
      <c r="E14149" t="s">
        <v>43812</v>
      </c>
      <c r="F14149" t="s">
        <v>43813</v>
      </c>
      <c r="G14149" s="2" t="str">
        <f>HYPERLINK("https://probpalata.gov.ru/files/ИП610403758000000.jpeg","Скачать индивидуальный QR-код магазина")</f>
        <v>Скачать индивидуальный QR-код магазина</v>
      </c>
    </row>
    <row r="14150" spans="1:7" x14ac:dyDescent="0.25">
      <c r="A14150" t="s">
        <v>43013</v>
      </c>
      <c r="B14150" t="s">
        <v>43814</v>
      </c>
      <c r="C14150" t="s">
        <v>43815</v>
      </c>
      <c r="D14150" t="s">
        <v>43816</v>
      </c>
      <c r="E14150" t="s">
        <v>43817</v>
      </c>
      <c r="F14150" t="s">
        <v>43818</v>
      </c>
      <c r="G14150" s="2" t="str">
        <f>HYPERLINK("https://probpalata.gov.ru/files/ИП610403835700000.jpeg","Скачать индивидуальный QR-код магазина")</f>
        <v>Скачать индивидуальный QR-код магазина</v>
      </c>
    </row>
    <row r="14151" spans="1:7" x14ac:dyDescent="0.25">
      <c r="A14151" t="s">
        <v>43013</v>
      </c>
      <c r="B14151" t="s">
        <v>43819</v>
      </c>
      <c r="C14151" t="s">
        <v>43820</v>
      </c>
      <c r="D14151" t="s">
        <v>43821</v>
      </c>
      <c r="E14151" t="s">
        <v>43822</v>
      </c>
      <c r="F14151" t="s">
        <v>43823</v>
      </c>
      <c r="G14151" s="2" t="str">
        <f>HYPERLINK("https://probpalata.gov.ru/files/ИП610400537800000.jpeg","Скачать индивидуальный QR-код магазина")</f>
        <v>Скачать индивидуальный QR-код магазина</v>
      </c>
    </row>
    <row r="14152" spans="1:7" x14ac:dyDescent="0.25">
      <c r="A14152" t="s">
        <v>43013</v>
      </c>
      <c r="B14152" t="s">
        <v>43824</v>
      </c>
      <c r="C14152" t="s">
        <v>43825</v>
      </c>
      <c r="D14152" t="s">
        <v>43826</v>
      </c>
      <c r="E14152" t="s">
        <v>43827</v>
      </c>
      <c r="F14152" t="s">
        <v>43828</v>
      </c>
      <c r="G14152" s="2" t="str">
        <f>HYPERLINK("https://probpalata.gov.ru/files/ИП610400369800000.jpeg","Скачать индивидуальный QR-код магазина")</f>
        <v>Скачать индивидуальный QR-код магазина</v>
      </c>
    </row>
    <row r="14153" spans="1:7" x14ac:dyDescent="0.25">
      <c r="A14153" t="s">
        <v>43013</v>
      </c>
      <c r="B14153" t="s">
        <v>43829</v>
      </c>
      <c r="C14153" t="s">
        <v>43830</v>
      </c>
      <c r="D14153" t="s">
        <v>43831</v>
      </c>
      <c r="E14153" t="s">
        <v>43832</v>
      </c>
      <c r="F14153" t="s">
        <v>43833</v>
      </c>
      <c r="G14153" s="2" t="str">
        <f>HYPERLINK("https://probpalata.gov.ru/files/ИП610400166600000.jpeg","Скачать индивидуальный QR-код магазина")</f>
        <v>Скачать индивидуальный QR-код магазина</v>
      </c>
    </row>
    <row r="14154" spans="1:7" x14ac:dyDescent="0.25">
      <c r="A14154" t="s">
        <v>43013</v>
      </c>
      <c r="B14154" t="s">
        <v>43834</v>
      </c>
      <c r="C14154" t="s">
        <v>43835</v>
      </c>
      <c r="D14154" t="s">
        <v>43836</v>
      </c>
      <c r="E14154" t="s">
        <v>43837</v>
      </c>
      <c r="F14154" t="s">
        <v>43838</v>
      </c>
      <c r="G14154" s="2" t="str">
        <f>HYPERLINK("https://probpalata.gov.ru/files/ИП610400325200000.jpeg","Скачать индивидуальный QR-код магазина")</f>
        <v>Скачать индивидуальный QR-код магазина</v>
      </c>
    </row>
    <row r="14155" spans="1:7" x14ac:dyDescent="0.25">
      <c r="A14155" t="s">
        <v>43013</v>
      </c>
      <c r="B14155" t="s">
        <v>43839</v>
      </c>
      <c r="C14155" t="s">
        <v>43840</v>
      </c>
      <c r="D14155" t="s">
        <v>43841</v>
      </c>
      <c r="E14155" t="s">
        <v>43842</v>
      </c>
      <c r="F14155" t="s">
        <v>43843</v>
      </c>
      <c r="G14155" s="2" t="str">
        <f>HYPERLINK("https://probpalata.gov.ru/files/ИП610403989300000.jpeg","Скачать индивидуальный QR-код магазина")</f>
        <v>Скачать индивидуальный QR-код магазина</v>
      </c>
    </row>
    <row r="14156" spans="1:7" x14ac:dyDescent="0.25">
      <c r="A14156" t="s">
        <v>43013</v>
      </c>
      <c r="B14156" t="s">
        <v>43844</v>
      </c>
      <c r="C14156" t="s">
        <v>43845</v>
      </c>
      <c r="D14156" t="s">
        <v>43846</v>
      </c>
      <c r="E14156" t="s">
        <v>43847</v>
      </c>
      <c r="F14156" t="s">
        <v>43848</v>
      </c>
      <c r="G14156" s="2" t="str">
        <f>HYPERLINK("https://probpalata.gov.ru/files/ИП610400935100000.jpeg","Скачать индивидуальный QR-код магазина")</f>
        <v>Скачать индивидуальный QR-код магазина</v>
      </c>
    </row>
    <row r="14157" spans="1:7" x14ac:dyDescent="0.25">
      <c r="A14157" t="s">
        <v>43013</v>
      </c>
      <c r="B14157" t="s">
        <v>43849</v>
      </c>
      <c r="C14157" t="s">
        <v>43850</v>
      </c>
      <c r="D14157" t="s">
        <v>43851</v>
      </c>
      <c r="E14157" t="s">
        <v>43852</v>
      </c>
      <c r="F14157" t="s">
        <v>43853</v>
      </c>
      <c r="G14157" s="2" t="str">
        <f>HYPERLINK("https://probpalata.gov.ru/files/ИП610400041700000.jpeg","Скачать индивидуальный QR-код магазина")</f>
        <v>Скачать индивидуальный QR-код магазина</v>
      </c>
    </row>
    <row r="14158" spans="1:7" x14ac:dyDescent="0.25">
      <c r="A14158" t="s">
        <v>43013</v>
      </c>
      <c r="B14158" t="s">
        <v>43854</v>
      </c>
      <c r="C14158" t="s">
        <v>43850</v>
      </c>
      <c r="D14158" t="s">
        <v>43851</v>
      </c>
      <c r="E14158" t="s">
        <v>43852</v>
      </c>
      <c r="F14158" t="s">
        <v>43855</v>
      </c>
      <c r="G14158" s="2" t="str">
        <f>HYPERLINK("https://probpalata.gov.ru/files/ИП610400041700001.jpeg","Скачать индивидуальный QR-код магазина")</f>
        <v>Скачать индивидуальный QR-код магазина</v>
      </c>
    </row>
    <row r="14159" spans="1:7" x14ac:dyDescent="0.25">
      <c r="A14159" t="s">
        <v>43013</v>
      </c>
      <c r="B14159" t="s">
        <v>43856</v>
      </c>
      <c r="C14159" t="s">
        <v>43850</v>
      </c>
      <c r="D14159" t="s">
        <v>43851</v>
      </c>
      <c r="E14159" t="s">
        <v>43852</v>
      </c>
      <c r="F14159" t="s">
        <v>43857</v>
      </c>
      <c r="G14159" s="2" t="str">
        <f>HYPERLINK("https://probpalata.gov.ru/files/ИП610400041700003.jpeg","Скачать индивидуальный QR-код магазина")</f>
        <v>Скачать индивидуальный QR-код магазина</v>
      </c>
    </row>
    <row r="14160" spans="1:7" x14ac:dyDescent="0.25">
      <c r="A14160" t="s">
        <v>43013</v>
      </c>
      <c r="B14160" t="s">
        <v>43858</v>
      </c>
      <c r="C14160" t="s">
        <v>43859</v>
      </c>
      <c r="D14160" t="s">
        <v>43860</v>
      </c>
      <c r="E14160" t="s">
        <v>43861</v>
      </c>
      <c r="F14160" t="s">
        <v>43862</v>
      </c>
      <c r="G14160" s="2" t="str">
        <f>HYPERLINK("https://probpalata.gov.ru/files/ИП610403042700000.jpeg","Скачать индивидуальный QR-код магазина")</f>
        <v>Скачать индивидуальный QR-код магазина</v>
      </c>
    </row>
    <row r="14161" spans="1:7" x14ac:dyDescent="0.25">
      <c r="A14161" t="s">
        <v>43013</v>
      </c>
      <c r="B14161" t="s">
        <v>43863</v>
      </c>
      <c r="C14161" t="s">
        <v>43864</v>
      </c>
      <c r="D14161" t="s">
        <v>43865</v>
      </c>
      <c r="E14161" t="s">
        <v>43866</v>
      </c>
      <c r="F14161" t="s">
        <v>43867</v>
      </c>
      <c r="G14161" s="2" t="str">
        <f>HYPERLINK("https://probpalata.gov.ru/files/ИП610400935600000.jpeg","Скачать индивидуальный QR-код магазина")</f>
        <v>Скачать индивидуальный QR-код магазина</v>
      </c>
    </row>
    <row r="14162" spans="1:7" x14ac:dyDescent="0.25">
      <c r="A14162" t="s">
        <v>43013</v>
      </c>
      <c r="B14162" t="s">
        <v>43868</v>
      </c>
      <c r="C14162" t="s">
        <v>43869</v>
      </c>
      <c r="D14162" t="s">
        <v>43870</v>
      </c>
      <c r="E14162" t="s">
        <v>43871</v>
      </c>
      <c r="F14162" t="s">
        <v>43872</v>
      </c>
      <c r="G14162" s="2" t="str">
        <f>HYPERLINK("https://probpalata.gov.ru/files/ЮЛ610400738100000.jpeg","Скачать индивидуальный QR-код магазина")</f>
        <v>Скачать индивидуальный QR-код магазина</v>
      </c>
    </row>
    <row r="14163" spans="1:7" x14ac:dyDescent="0.25">
      <c r="A14163" t="s">
        <v>43013</v>
      </c>
      <c r="B14163" t="s">
        <v>43873</v>
      </c>
      <c r="C14163" t="s">
        <v>43869</v>
      </c>
      <c r="D14163" t="s">
        <v>43870</v>
      </c>
      <c r="E14163" t="s">
        <v>43871</v>
      </c>
      <c r="F14163" t="s">
        <v>43874</v>
      </c>
      <c r="G14163" s="2" t="str">
        <f>HYPERLINK("https://probpalata.gov.ru/files/ЮЛ610400738100001.jpeg","Скачать индивидуальный QR-код магазина")</f>
        <v>Скачать индивидуальный QR-код магазина</v>
      </c>
    </row>
    <row r="14164" spans="1:7" x14ac:dyDescent="0.25">
      <c r="A14164" t="s">
        <v>43013</v>
      </c>
      <c r="B14164" t="s">
        <v>43875</v>
      </c>
      <c r="C14164" t="s">
        <v>43869</v>
      </c>
      <c r="D14164" t="s">
        <v>43870</v>
      </c>
      <c r="E14164" t="s">
        <v>43871</v>
      </c>
      <c r="F14164" t="s">
        <v>43876</v>
      </c>
      <c r="G14164" s="2" t="str">
        <f>HYPERLINK("https://probpalata.gov.ru/files/ЮЛ610400738100003.jpeg","Скачать индивидуальный QR-код магазина")</f>
        <v>Скачать индивидуальный QR-код магазина</v>
      </c>
    </row>
    <row r="14165" spans="1:7" x14ac:dyDescent="0.25">
      <c r="A14165" t="s">
        <v>43013</v>
      </c>
      <c r="B14165" t="s">
        <v>43877</v>
      </c>
      <c r="C14165" t="s">
        <v>43878</v>
      </c>
      <c r="D14165" t="s">
        <v>43879</v>
      </c>
      <c r="E14165" t="s">
        <v>43880</v>
      </c>
      <c r="F14165" t="s">
        <v>43881</v>
      </c>
      <c r="G14165" s="2" t="str">
        <f>HYPERLINK("https://probpalata.gov.ru/files/ЮЛ610400000100000.jpeg","Скачать индивидуальный QR-код магазина")</f>
        <v>Скачать индивидуальный QR-код магазина</v>
      </c>
    </row>
    <row r="14166" spans="1:7" x14ac:dyDescent="0.25">
      <c r="A14166" t="s">
        <v>43013</v>
      </c>
      <c r="B14166" t="s">
        <v>43882</v>
      </c>
      <c r="C14166" t="s">
        <v>43883</v>
      </c>
      <c r="D14166" t="s">
        <v>43884</v>
      </c>
      <c r="E14166" t="s">
        <v>43885</v>
      </c>
      <c r="F14166" t="s">
        <v>43886</v>
      </c>
      <c r="G14166" s="2" t="str">
        <f>HYPERLINK("https://probpalata.gov.ru/files/ЮЛ610403945300000.jpeg","Скачать индивидуальный QR-код магазина")</f>
        <v>Скачать индивидуальный QR-код магазина</v>
      </c>
    </row>
    <row r="14167" spans="1:7" x14ac:dyDescent="0.25">
      <c r="A14167" t="s">
        <v>43013</v>
      </c>
      <c r="B14167" t="s">
        <v>43887</v>
      </c>
      <c r="C14167" t="s">
        <v>43888</v>
      </c>
      <c r="D14167" t="s">
        <v>43889</v>
      </c>
      <c r="E14167" t="s">
        <v>43890</v>
      </c>
      <c r="F14167" t="s">
        <v>43891</v>
      </c>
      <c r="G14167" s="2" t="str">
        <f>HYPERLINK("https://probpalata.gov.ru/files/ИП610400955600000.jpeg","Скачать индивидуальный QR-код магазина")</f>
        <v>Скачать индивидуальный QR-код магазина</v>
      </c>
    </row>
    <row r="14168" spans="1:7" x14ac:dyDescent="0.25">
      <c r="A14168" t="s">
        <v>43013</v>
      </c>
      <c r="B14168" t="s">
        <v>43892</v>
      </c>
      <c r="C14168" t="s">
        <v>43888</v>
      </c>
      <c r="D14168" t="s">
        <v>43889</v>
      </c>
      <c r="E14168" t="s">
        <v>43890</v>
      </c>
      <c r="F14168" t="s">
        <v>43893</v>
      </c>
      <c r="G14168" s="2" t="str">
        <f>HYPERLINK("https://probpalata.gov.ru/files/ИП610400955600001.jpeg","Скачать индивидуальный QR-код магазина")</f>
        <v>Скачать индивидуальный QR-код магазина</v>
      </c>
    </row>
    <row r="14169" spans="1:7" x14ac:dyDescent="0.25">
      <c r="A14169" t="s">
        <v>43013</v>
      </c>
      <c r="B14169" t="s">
        <v>43894</v>
      </c>
      <c r="C14169" t="s">
        <v>43895</v>
      </c>
      <c r="D14169" t="s">
        <v>43896</v>
      </c>
      <c r="E14169" t="s">
        <v>43897</v>
      </c>
      <c r="F14169" t="s">
        <v>43898</v>
      </c>
      <c r="G14169" s="2" t="str">
        <f>HYPERLINK("https://probpalata.gov.ru/files/ИП610400149600000.jpeg","Скачать индивидуальный QR-код магазина")</f>
        <v>Скачать индивидуальный QR-код магазина</v>
      </c>
    </row>
    <row r="14170" spans="1:7" x14ac:dyDescent="0.25">
      <c r="A14170" t="s">
        <v>43013</v>
      </c>
      <c r="B14170" t="s">
        <v>43899</v>
      </c>
      <c r="C14170" t="s">
        <v>43900</v>
      </c>
      <c r="D14170" t="s">
        <v>43901</v>
      </c>
      <c r="E14170" t="s">
        <v>43902</v>
      </c>
      <c r="F14170" t="s">
        <v>43903</v>
      </c>
      <c r="G14170" s="2" t="str">
        <f>HYPERLINK("https://probpalata.gov.ru/files/ЮЛ610400004200000.jpeg","Скачать индивидуальный QR-код магазина")</f>
        <v>Скачать индивидуальный QR-код магазина</v>
      </c>
    </row>
    <row r="14171" spans="1:7" x14ac:dyDescent="0.25">
      <c r="A14171" t="s">
        <v>43013</v>
      </c>
      <c r="B14171" t="s">
        <v>43904</v>
      </c>
      <c r="C14171" t="s">
        <v>43905</v>
      </c>
      <c r="D14171" t="s">
        <v>43906</v>
      </c>
      <c r="E14171" t="s">
        <v>43907</v>
      </c>
      <c r="F14171" t="s">
        <v>43908</v>
      </c>
      <c r="G14171" s="2" t="str">
        <f>HYPERLINK("https://probpalata.gov.ru/files/ЮЛ610400737800000.jpeg","Скачать индивидуальный QR-код магазина")</f>
        <v>Скачать индивидуальный QR-код магазина</v>
      </c>
    </row>
    <row r="14172" spans="1:7" x14ac:dyDescent="0.25">
      <c r="A14172" t="s">
        <v>43013</v>
      </c>
      <c r="B14172" t="s">
        <v>43909</v>
      </c>
      <c r="C14172" t="s">
        <v>14907</v>
      </c>
      <c r="D14172" t="s">
        <v>14908</v>
      </c>
      <c r="E14172" t="s">
        <v>14909</v>
      </c>
      <c r="F14172" t="s">
        <v>43910</v>
      </c>
      <c r="G14172" s="2" t="str">
        <f>HYPERLINK("https://probpalata.gov.ru/files/ЮЛ610400155100002.jpeg","Скачать индивидуальный QR-код магазина")</f>
        <v>Скачать индивидуальный QR-код магазина</v>
      </c>
    </row>
    <row r="14173" spans="1:7" x14ac:dyDescent="0.25">
      <c r="A14173" t="s">
        <v>43013</v>
      </c>
      <c r="B14173" t="s">
        <v>43911</v>
      </c>
      <c r="C14173" t="s">
        <v>14907</v>
      </c>
      <c r="D14173" t="s">
        <v>14908</v>
      </c>
      <c r="E14173" t="s">
        <v>14909</v>
      </c>
      <c r="F14173" t="s">
        <v>43912</v>
      </c>
      <c r="G14173" s="2" t="str">
        <f>HYPERLINK("https://probpalata.gov.ru/files/ЮЛ610400155100004.jpeg","Скачать индивидуальный QR-код магазина")</f>
        <v>Скачать индивидуальный QR-код магазина</v>
      </c>
    </row>
    <row r="14174" spans="1:7" x14ac:dyDescent="0.25">
      <c r="A14174" t="s">
        <v>43013</v>
      </c>
      <c r="B14174" t="s">
        <v>43913</v>
      </c>
      <c r="C14174" t="s">
        <v>14907</v>
      </c>
      <c r="D14174" t="s">
        <v>14908</v>
      </c>
      <c r="E14174" t="s">
        <v>14909</v>
      </c>
      <c r="F14174" t="s">
        <v>43914</v>
      </c>
      <c r="G14174" s="2" t="str">
        <f>HYPERLINK("https://probpalata.gov.ru/files/ЮЛ610400155100006.jpeg","Скачать индивидуальный QR-код магазина")</f>
        <v>Скачать индивидуальный QR-код магазина</v>
      </c>
    </row>
    <row r="14175" spans="1:7" x14ac:dyDescent="0.25">
      <c r="A14175" t="s">
        <v>43013</v>
      </c>
      <c r="B14175" t="s">
        <v>43915</v>
      </c>
      <c r="C14175" t="s">
        <v>43916</v>
      </c>
      <c r="D14175" t="s">
        <v>43917</v>
      </c>
      <c r="E14175" t="s">
        <v>43918</v>
      </c>
      <c r="F14175" t="s">
        <v>43919</v>
      </c>
      <c r="G14175" s="2" t="str">
        <f>HYPERLINK("https://probpalata.gov.ru/files/ИП610401208900000.jpeg","Скачать индивидуальный QR-код магазина")</f>
        <v>Скачать индивидуальный QR-код магазина</v>
      </c>
    </row>
    <row r="14176" spans="1:7" x14ac:dyDescent="0.25">
      <c r="A14176" t="s">
        <v>43013</v>
      </c>
      <c r="B14176" t="s">
        <v>43920</v>
      </c>
      <c r="C14176" t="s">
        <v>43921</v>
      </c>
      <c r="D14176" t="s">
        <v>43922</v>
      </c>
      <c r="E14176" t="s">
        <v>43923</v>
      </c>
      <c r="F14176" t="s">
        <v>43924</v>
      </c>
      <c r="G14176" s="2" t="str">
        <f>HYPERLINK("https://probpalata.gov.ru/files/ЮЛ610400701900001.jpeg","Скачать индивидуальный QR-код магазина")</f>
        <v>Скачать индивидуальный QR-код магазина</v>
      </c>
    </row>
    <row r="14177" spans="1:7" x14ac:dyDescent="0.25">
      <c r="A14177" t="s">
        <v>43013</v>
      </c>
      <c r="B14177" t="s">
        <v>43925</v>
      </c>
      <c r="C14177" t="s">
        <v>43921</v>
      </c>
      <c r="D14177" t="s">
        <v>43922</v>
      </c>
      <c r="E14177" t="s">
        <v>43923</v>
      </c>
      <c r="F14177" t="s">
        <v>43926</v>
      </c>
      <c r="G14177" s="2" t="str">
        <f>HYPERLINK("https://probpalata.gov.ru/files/ЮЛ610400701900003.jpeg","Скачать индивидуальный QR-код магазина")</f>
        <v>Скачать индивидуальный QR-код магазина</v>
      </c>
    </row>
    <row r="14178" spans="1:7" x14ac:dyDescent="0.25">
      <c r="A14178" t="s">
        <v>43013</v>
      </c>
      <c r="B14178" t="s">
        <v>43927</v>
      </c>
      <c r="C14178" t="s">
        <v>43928</v>
      </c>
      <c r="D14178" t="s">
        <v>43929</v>
      </c>
      <c r="E14178" t="s">
        <v>43930</v>
      </c>
      <c r="F14178" t="s">
        <v>43931</v>
      </c>
      <c r="G14178" s="2" t="str">
        <f>HYPERLINK("https://probpalata.gov.ru/files/ЮЛ610400359700000.jpeg","Скачать индивидуальный QR-код магазина")</f>
        <v>Скачать индивидуальный QR-код магазина</v>
      </c>
    </row>
    <row r="14179" spans="1:7" x14ac:dyDescent="0.25">
      <c r="A14179" t="s">
        <v>43013</v>
      </c>
      <c r="B14179" t="s">
        <v>43932</v>
      </c>
      <c r="C14179" t="s">
        <v>43928</v>
      </c>
      <c r="D14179" t="s">
        <v>43929</v>
      </c>
      <c r="E14179" t="s">
        <v>43930</v>
      </c>
      <c r="F14179" t="s">
        <v>43933</v>
      </c>
      <c r="G14179" s="2" t="str">
        <f>HYPERLINK("https://probpalata.gov.ru/files/ЮЛ610400359700002.jpeg","Скачать индивидуальный QR-код магазина")</f>
        <v>Скачать индивидуальный QR-код магазина</v>
      </c>
    </row>
    <row r="14180" spans="1:7" x14ac:dyDescent="0.25">
      <c r="A14180" t="s">
        <v>43013</v>
      </c>
      <c r="B14180" t="s">
        <v>43934</v>
      </c>
      <c r="C14180" t="s">
        <v>43928</v>
      </c>
      <c r="D14180" t="s">
        <v>43929</v>
      </c>
      <c r="E14180" t="s">
        <v>43930</v>
      </c>
      <c r="F14180" t="s">
        <v>43935</v>
      </c>
      <c r="G14180" s="2" t="str">
        <f>HYPERLINK("https://probpalata.gov.ru/files/ЮЛ610400359700003.jpeg","Скачать индивидуальный QR-код магазина")</f>
        <v>Скачать индивидуальный QR-код магазина</v>
      </c>
    </row>
    <row r="14181" spans="1:7" x14ac:dyDescent="0.25">
      <c r="A14181" t="s">
        <v>43013</v>
      </c>
      <c r="B14181" t="s">
        <v>43936</v>
      </c>
      <c r="C14181" t="s">
        <v>43928</v>
      </c>
      <c r="D14181" t="s">
        <v>43929</v>
      </c>
      <c r="E14181" t="s">
        <v>43930</v>
      </c>
      <c r="F14181" t="s">
        <v>43937</v>
      </c>
      <c r="G14181" s="2" t="str">
        <f>HYPERLINK("https://probpalata.gov.ru/files/ЮЛ610400359700004.jpeg","Скачать индивидуальный QR-код магазина")</f>
        <v>Скачать индивидуальный QR-код магазина</v>
      </c>
    </row>
    <row r="14182" spans="1:7" x14ac:dyDescent="0.25">
      <c r="A14182" t="s">
        <v>43013</v>
      </c>
      <c r="B14182" t="s">
        <v>43938</v>
      </c>
      <c r="C14182" t="s">
        <v>43928</v>
      </c>
      <c r="D14182" t="s">
        <v>43929</v>
      </c>
      <c r="E14182" t="s">
        <v>43930</v>
      </c>
      <c r="F14182" t="s">
        <v>43939</v>
      </c>
      <c r="G14182" s="2" t="str">
        <f>HYPERLINK("https://probpalata.gov.ru/files/ЮЛ610400359700005.jpeg","Скачать индивидуальный QR-код магазина")</f>
        <v>Скачать индивидуальный QR-код магазина</v>
      </c>
    </row>
    <row r="14183" spans="1:7" x14ac:dyDescent="0.25">
      <c r="A14183" t="s">
        <v>43013</v>
      </c>
      <c r="B14183" t="s">
        <v>43940</v>
      </c>
      <c r="C14183" t="s">
        <v>43928</v>
      </c>
      <c r="D14183" t="s">
        <v>43929</v>
      </c>
      <c r="E14183" t="s">
        <v>43930</v>
      </c>
      <c r="F14183" t="s">
        <v>43941</v>
      </c>
      <c r="G14183" s="2" t="str">
        <f>HYPERLINK("https://probpalata.gov.ru/files/ЮЛ610400359700006.jpeg","Скачать индивидуальный QR-код магазина")</f>
        <v>Скачать индивидуальный QR-код магазина</v>
      </c>
    </row>
    <row r="14184" spans="1:7" x14ac:dyDescent="0.25">
      <c r="A14184" t="s">
        <v>43013</v>
      </c>
      <c r="B14184" t="s">
        <v>43942</v>
      </c>
      <c r="C14184" t="s">
        <v>43928</v>
      </c>
      <c r="D14184" t="s">
        <v>43929</v>
      </c>
      <c r="E14184" t="s">
        <v>43930</v>
      </c>
      <c r="F14184" t="s">
        <v>43943</v>
      </c>
      <c r="G14184" s="2" t="str">
        <f>HYPERLINK("https://probpalata.gov.ru/files/ЮЛ610400359700007.jpeg","Скачать индивидуальный QR-код магазина")</f>
        <v>Скачать индивидуальный QR-код магазина</v>
      </c>
    </row>
    <row r="14185" spans="1:7" x14ac:dyDescent="0.25">
      <c r="A14185" t="s">
        <v>43013</v>
      </c>
      <c r="B14185" t="s">
        <v>43944</v>
      </c>
      <c r="C14185" t="s">
        <v>43928</v>
      </c>
      <c r="D14185" t="s">
        <v>43929</v>
      </c>
      <c r="E14185" t="s">
        <v>43930</v>
      </c>
      <c r="F14185" t="s">
        <v>43945</v>
      </c>
      <c r="G14185" s="2" t="str">
        <f>HYPERLINK("https://probpalata.gov.ru/files/ЮЛ610400359700008.jpeg","Скачать индивидуальный QR-код магазина")</f>
        <v>Скачать индивидуальный QR-код магазина</v>
      </c>
    </row>
    <row r="14186" spans="1:7" x14ac:dyDescent="0.25">
      <c r="A14186" t="s">
        <v>43013</v>
      </c>
      <c r="B14186" t="s">
        <v>43946</v>
      </c>
      <c r="C14186" t="s">
        <v>43928</v>
      </c>
      <c r="D14186" t="s">
        <v>43929</v>
      </c>
      <c r="E14186" t="s">
        <v>43930</v>
      </c>
      <c r="F14186" t="s">
        <v>43947</v>
      </c>
      <c r="G14186" s="2" t="str">
        <f>HYPERLINK("https://probpalata.gov.ru/files/ЮЛ610400359700009.jpeg","Скачать индивидуальный QR-код магазина")</f>
        <v>Скачать индивидуальный QR-код магазина</v>
      </c>
    </row>
    <row r="14187" spans="1:7" x14ac:dyDescent="0.25">
      <c r="A14187" t="s">
        <v>43013</v>
      </c>
      <c r="B14187" t="s">
        <v>43948</v>
      </c>
      <c r="C14187" t="s">
        <v>43928</v>
      </c>
      <c r="D14187" t="s">
        <v>43929</v>
      </c>
      <c r="E14187" t="s">
        <v>43930</v>
      </c>
      <c r="F14187" t="s">
        <v>43949</v>
      </c>
      <c r="G14187" s="2" t="str">
        <f>HYPERLINK("https://probpalata.gov.ru/files/ЮЛ610400359700011.jpeg","Скачать индивидуальный QR-код магазина")</f>
        <v>Скачать индивидуальный QR-код магазина</v>
      </c>
    </row>
    <row r="14188" spans="1:7" x14ac:dyDescent="0.25">
      <c r="A14188" t="s">
        <v>43013</v>
      </c>
      <c r="B14188" t="s">
        <v>43950</v>
      </c>
      <c r="C14188" t="s">
        <v>43928</v>
      </c>
      <c r="D14188" t="s">
        <v>43929</v>
      </c>
      <c r="E14188" t="s">
        <v>43930</v>
      </c>
      <c r="F14188" t="s">
        <v>43951</v>
      </c>
      <c r="G14188" s="2" t="str">
        <f>HYPERLINK("https://probpalata.gov.ru/files/ЮЛ610400359700012.jpeg","Скачать индивидуальный QR-код магазина")</f>
        <v>Скачать индивидуальный QR-код магазина</v>
      </c>
    </row>
    <row r="14189" spans="1:7" x14ac:dyDescent="0.25">
      <c r="A14189" t="s">
        <v>43013</v>
      </c>
      <c r="B14189" t="s">
        <v>43952</v>
      </c>
      <c r="C14189" t="s">
        <v>43928</v>
      </c>
      <c r="D14189" t="s">
        <v>43929</v>
      </c>
      <c r="E14189" t="s">
        <v>43930</v>
      </c>
      <c r="F14189" t="s">
        <v>43953</v>
      </c>
      <c r="G14189" s="2" t="str">
        <f>HYPERLINK("https://probpalata.gov.ru/files/ЮЛ610400359700013.jpeg","Скачать индивидуальный QR-код магазина")</f>
        <v>Скачать индивидуальный QR-код магазина</v>
      </c>
    </row>
    <row r="14190" spans="1:7" x14ac:dyDescent="0.25">
      <c r="A14190" t="s">
        <v>43013</v>
      </c>
      <c r="B14190" t="s">
        <v>43954</v>
      </c>
      <c r="C14190" t="s">
        <v>43928</v>
      </c>
      <c r="D14190" t="s">
        <v>43929</v>
      </c>
      <c r="E14190" t="s">
        <v>43930</v>
      </c>
      <c r="F14190" t="s">
        <v>43955</v>
      </c>
      <c r="G14190" s="2" t="str">
        <f>HYPERLINK("https://probpalata.gov.ru/files/ЮЛ610400359700014.jpeg","Скачать индивидуальный QR-код магазина")</f>
        <v>Скачать индивидуальный QR-код магазина</v>
      </c>
    </row>
    <row r="14191" spans="1:7" x14ac:dyDescent="0.25">
      <c r="A14191" t="s">
        <v>43013</v>
      </c>
      <c r="B14191" t="s">
        <v>43956</v>
      </c>
      <c r="C14191" t="s">
        <v>43928</v>
      </c>
      <c r="D14191" t="s">
        <v>43929</v>
      </c>
      <c r="E14191" t="s">
        <v>43930</v>
      </c>
      <c r="F14191" t="s">
        <v>43957</v>
      </c>
      <c r="G14191" s="2" t="str">
        <f>HYPERLINK("https://probpalata.gov.ru/files/ЮЛ610400359700015.jpeg","Скачать индивидуальный QR-код магазина")</f>
        <v>Скачать индивидуальный QR-код магазина</v>
      </c>
    </row>
    <row r="14192" spans="1:7" x14ac:dyDescent="0.25">
      <c r="A14192" t="s">
        <v>43013</v>
      </c>
      <c r="B14192" t="s">
        <v>43958</v>
      </c>
      <c r="C14192" t="s">
        <v>43928</v>
      </c>
      <c r="D14192" t="s">
        <v>43929</v>
      </c>
      <c r="E14192" t="s">
        <v>43930</v>
      </c>
      <c r="F14192" t="s">
        <v>43959</v>
      </c>
      <c r="G14192" s="2" t="str">
        <f>HYPERLINK("https://probpalata.gov.ru/files/ЮЛ610400359700016.jpeg","Скачать индивидуальный QR-код магазина")</f>
        <v>Скачать индивидуальный QR-код магазина</v>
      </c>
    </row>
    <row r="14193" spans="1:7" x14ac:dyDescent="0.25">
      <c r="A14193" t="s">
        <v>43013</v>
      </c>
      <c r="B14193" t="s">
        <v>43960</v>
      </c>
      <c r="C14193" t="s">
        <v>43928</v>
      </c>
      <c r="D14193" t="s">
        <v>43929</v>
      </c>
      <c r="E14193" t="s">
        <v>43930</v>
      </c>
      <c r="F14193" t="s">
        <v>43961</v>
      </c>
      <c r="G14193" s="2" t="str">
        <f>HYPERLINK("https://probpalata.gov.ru/files/ЮЛ610400359700017.jpeg","Скачать индивидуальный QR-код магазина")</f>
        <v>Скачать индивидуальный QR-код магазина</v>
      </c>
    </row>
    <row r="14194" spans="1:7" x14ac:dyDescent="0.25">
      <c r="A14194" t="s">
        <v>43013</v>
      </c>
      <c r="B14194" t="s">
        <v>43962</v>
      </c>
      <c r="C14194" t="s">
        <v>43928</v>
      </c>
      <c r="D14194" t="s">
        <v>43929</v>
      </c>
      <c r="E14194" t="s">
        <v>43930</v>
      </c>
      <c r="F14194" t="s">
        <v>43963</v>
      </c>
      <c r="G14194" s="2" t="str">
        <f>HYPERLINK("https://probpalata.gov.ru/files/ЮЛ610400359700018.jpeg","Скачать индивидуальный QR-код магазина")</f>
        <v>Скачать индивидуальный QR-код магазина</v>
      </c>
    </row>
    <row r="14195" spans="1:7" x14ac:dyDescent="0.25">
      <c r="A14195" t="s">
        <v>43013</v>
      </c>
      <c r="B14195" t="s">
        <v>43964</v>
      </c>
      <c r="C14195" t="s">
        <v>43928</v>
      </c>
      <c r="D14195" t="s">
        <v>43929</v>
      </c>
      <c r="E14195" t="s">
        <v>43930</v>
      </c>
      <c r="F14195" t="s">
        <v>43965</v>
      </c>
      <c r="G14195" s="2" t="str">
        <f>HYPERLINK("https://probpalata.gov.ru/files/ЮЛ610400359700019.jpeg","Скачать индивидуальный QR-код магазина")</f>
        <v>Скачать индивидуальный QR-код магазина</v>
      </c>
    </row>
    <row r="14196" spans="1:7" x14ac:dyDescent="0.25">
      <c r="A14196" t="s">
        <v>43013</v>
      </c>
      <c r="B14196" t="s">
        <v>43966</v>
      </c>
      <c r="C14196" t="s">
        <v>43928</v>
      </c>
      <c r="D14196" t="s">
        <v>43929</v>
      </c>
      <c r="E14196" t="s">
        <v>43930</v>
      </c>
      <c r="F14196" t="s">
        <v>43967</v>
      </c>
      <c r="G14196" s="2" t="str">
        <f>HYPERLINK("https://probpalata.gov.ru/files/ЮЛ610400359700020.jpeg","Скачать индивидуальный QR-код магазина")</f>
        <v>Скачать индивидуальный QR-код магазина</v>
      </c>
    </row>
    <row r="14197" spans="1:7" x14ac:dyDescent="0.25">
      <c r="A14197" t="s">
        <v>43013</v>
      </c>
      <c r="B14197" t="s">
        <v>43968</v>
      </c>
      <c r="C14197" t="s">
        <v>43969</v>
      </c>
      <c r="D14197" t="s">
        <v>43970</v>
      </c>
      <c r="E14197" t="s">
        <v>43971</v>
      </c>
      <c r="F14197" t="s">
        <v>43972</v>
      </c>
      <c r="G14197" s="2" t="str">
        <f>HYPERLINK("https://probpalata.gov.ru/files/ЮЛ610400708300000.jpeg","Скачать индивидуальный QR-код магазина")</f>
        <v>Скачать индивидуальный QR-код магазина</v>
      </c>
    </row>
    <row r="14198" spans="1:7" x14ac:dyDescent="0.25">
      <c r="A14198" t="s">
        <v>43013</v>
      </c>
      <c r="B14198" t="s">
        <v>43973</v>
      </c>
      <c r="C14198" t="s">
        <v>43974</v>
      </c>
      <c r="D14198" t="s">
        <v>43975</v>
      </c>
      <c r="E14198" t="s">
        <v>43976</v>
      </c>
      <c r="F14198" t="s">
        <v>43977</v>
      </c>
      <c r="G14198" s="2" t="str">
        <f>HYPERLINK("https://probpalata.gov.ru/files/ЮЛ610401611300000.jpeg","Скачать индивидуальный QR-код магазина")</f>
        <v>Скачать индивидуальный QR-код магазина</v>
      </c>
    </row>
    <row r="14199" spans="1:7" x14ac:dyDescent="0.25">
      <c r="A14199" t="s">
        <v>43013</v>
      </c>
      <c r="B14199" t="s">
        <v>43978</v>
      </c>
      <c r="C14199" t="s">
        <v>43974</v>
      </c>
      <c r="D14199" t="s">
        <v>43975</v>
      </c>
      <c r="E14199" t="s">
        <v>43976</v>
      </c>
      <c r="F14199" t="s">
        <v>43979</v>
      </c>
      <c r="G14199" s="2" t="str">
        <f>HYPERLINK("https://probpalata.gov.ru/files/ЮЛ610401611300001.jpeg","Скачать индивидуальный QR-код магазина")</f>
        <v>Скачать индивидуальный QR-код магазина</v>
      </c>
    </row>
    <row r="14200" spans="1:7" x14ac:dyDescent="0.25">
      <c r="A14200" t="s">
        <v>43013</v>
      </c>
      <c r="B14200" t="s">
        <v>43980</v>
      </c>
      <c r="C14200" t="s">
        <v>43974</v>
      </c>
      <c r="D14200" t="s">
        <v>43975</v>
      </c>
      <c r="E14200" t="s">
        <v>43976</v>
      </c>
      <c r="F14200" t="s">
        <v>43981</v>
      </c>
      <c r="G14200" s="2" t="str">
        <f>HYPERLINK("https://probpalata.gov.ru/files/ЮЛ610401611300003.jpeg","Скачать индивидуальный QR-код магазина")</f>
        <v>Скачать индивидуальный QR-код магазина</v>
      </c>
    </row>
    <row r="14201" spans="1:7" x14ac:dyDescent="0.25">
      <c r="A14201" t="s">
        <v>43013</v>
      </c>
      <c r="B14201" t="s">
        <v>43982</v>
      </c>
      <c r="C14201" t="s">
        <v>43974</v>
      </c>
      <c r="D14201" t="s">
        <v>43975</v>
      </c>
      <c r="E14201" t="s">
        <v>43976</v>
      </c>
      <c r="F14201" t="s">
        <v>43983</v>
      </c>
      <c r="G14201" s="2" t="str">
        <f>HYPERLINK("https://probpalata.gov.ru/files/ЮЛ610401611300004.jpeg","Скачать индивидуальный QR-код магазина")</f>
        <v>Скачать индивидуальный QR-код магазина</v>
      </c>
    </row>
    <row r="14202" spans="1:7" x14ac:dyDescent="0.25">
      <c r="A14202" t="s">
        <v>43013</v>
      </c>
      <c r="B14202" t="s">
        <v>43984</v>
      </c>
      <c r="C14202" t="s">
        <v>43974</v>
      </c>
      <c r="D14202" t="s">
        <v>43975</v>
      </c>
      <c r="E14202" t="s">
        <v>43976</v>
      </c>
      <c r="F14202" t="s">
        <v>43985</v>
      </c>
      <c r="G14202" s="2" t="str">
        <f>HYPERLINK("https://probpalata.gov.ru/files/ЮЛ610401611300005.jpeg","Скачать индивидуальный QR-код магазина")</f>
        <v>Скачать индивидуальный QR-код магазина</v>
      </c>
    </row>
    <row r="14203" spans="1:7" x14ac:dyDescent="0.25">
      <c r="A14203" t="s">
        <v>43013</v>
      </c>
      <c r="B14203" t="s">
        <v>43986</v>
      </c>
      <c r="C14203" t="s">
        <v>43987</v>
      </c>
      <c r="D14203" t="s">
        <v>43988</v>
      </c>
      <c r="E14203" t="s">
        <v>43989</v>
      </c>
      <c r="F14203" t="s">
        <v>43990</v>
      </c>
      <c r="G14203" s="2" t="str">
        <f>HYPERLINK("https://probpalata.gov.ru/files/ЮЛ610403412700001.jpeg","Скачать индивидуальный QR-код магазина")</f>
        <v>Скачать индивидуальный QR-код магазина</v>
      </c>
    </row>
    <row r="14204" spans="1:7" x14ac:dyDescent="0.25">
      <c r="A14204" t="s">
        <v>43013</v>
      </c>
      <c r="B14204" t="s">
        <v>43991</v>
      </c>
      <c r="C14204" t="s">
        <v>43992</v>
      </c>
      <c r="D14204" t="s">
        <v>43993</v>
      </c>
      <c r="E14204" t="s">
        <v>43994</v>
      </c>
      <c r="F14204" t="s">
        <v>43995</v>
      </c>
      <c r="G14204" s="2" t="str">
        <f>HYPERLINK("https://probpalata.gov.ru/files/ЮЛ610403560000000.jpeg","Скачать индивидуальный QR-код магазина")</f>
        <v>Скачать индивидуальный QR-код магазина</v>
      </c>
    </row>
    <row r="14205" spans="1:7" x14ac:dyDescent="0.25">
      <c r="A14205" t="s">
        <v>43013</v>
      </c>
      <c r="B14205" t="s">
        <v>43996</v>
      </c>
      <c r="C14205" t="s">
        <v>43992</v>
      </c>
      <c r="D14205" t="s">
        <v>43993</v>
      </c>
      <c r="E14205" t="s">
        <v>43994</v>
      </c>
      <c r="F14205" t="s">
        <v>43997</v>
      </c>
      <c r="G14205" s="2" t="str">
        <f>HYPERLINK("https://probpalata.gov.ru/files/ЮЛ610403560000001.jpeg","Скачать индивидуальный QR-код магазина")</f>
        <v>Скачать индивидуальный QR-код магазина</v>
      </c>
    </row>
    <row r="14206" spans="1:7" x14ac:dyDescent="0.25">
      <c r="A14206" t="s">
        <v>43013</v>
      </c>
      <c r="B14206" t="s">
        <v>43998</v>
      </c>
      <c r="C14206" t="s">
        <v>43992</v>
      </c>
      <c r="D14206" t="s">
        <v>43993</v>
      </c>
      <c r="E14206" t="s">
        <v>43994</v>
      </c>
      <c r="F14206" t="s">
        <v>43999</v>
      </c>
      <c r="G14206" s="2" t="str">
        <f>HYPERLINK("https://probpalata.gov.ru/files/ЮЛ610403560000002.jpeg","Скачать индивидуальный QR-код магазина")</f>
        <v>Скачать индивидуальный QR-код магазина</v>
      </c>
    </row>
    <row r="14207" spans="1:7" x14ac:dyDescent="0.25">
      <c r="A14207" t="s">
        <v>43013</v>
      </c>
      <c r="B14207" t="s">
        <v>44000</v>
      </c>
      <c r="C14207" t="s">
        <v>43992</v>
      </c>
      <c r="D14207" t="s">
        <v>43993</v>
      </c>
      <c r="E14207" t="s">
        <v>43994</v>
      </c>
      <c r="F14207" t="s">
        <v>44001</v>
      </c>
      <c r="G14207" s="2" t="str">
        <f>HYPERLINK("https://probpalata.gov.ru/files/ЮЛ610403560000003.jpeg","Скачать индивидуальный QR-код магазина")</f>
        <v>Скачать индивидуальный QR-код магазина</v>
      </c>
    </row>
    <row r="14208" spans="1:7" x14ac:dyDescent="0.25">
      <c r="A14208" t="s">
        <v>43013</v>
      </c>
      <c r="B14208" t="s">
        <v>44002</v>
      </c>
      <c r="C14208" t="s">
        <v>43992</v>
      </c>
      <c r="D14208" t="s">
        <v>43993</v>
      </c>
      <c r="E14208" t="s">
        <v>43994</v>
      </c>
      <c r="F14208" t="s">
        <v>44003</v>
      </c>
      <c r="G14208" s="2" t="str">
        <f>HYPERLINK("https://probpalata.gov.ru/files/ЮЛ610403560000004.jpeg","Скачать индивидуальный QR-код магазина")</f>
        <v>Скачать индивидуальный QR-код магазина</v>
      </c>
    </row>
    <row r="14209" spans="1:7" x14ac:dyDescent="0.25">
      <c r="A14209" t="s">
        <v>43013</v>
      </c>
      <c r="B14209" t="s">
        <v>44004</v>
      </c>
      <c r="C14209" t="s">
        <v>44005</v>
      </c>
      <c r="D14209" t="s">
        <v>44006</v>
      </c>
      <c r="E14209" t="s">
        <v>44007</v>
      </c>
      <c r="F14209" t="s">
        <v>44008</v>
      </c>
      <c r="G14209" s="2" t="str">
        <f>HYPERLINK("https://probpalata.gov.ru/files/ЮЛ610401305700001.jpeg","Скачать индивидуальный QR-код магазина")</f>
        <v>Скачать индивидуальный QR-код магазина</v>
      </c>
    </row>
    <row r="14210" spans="1:7" x14ac:dyDescent="0.25">
      <c r="A14210" t="s">
        <v>43013</v>
      </c>
      <c r="B14210" t="s">
        <v>44009</v>
      </c>
      <c r="C14210" t="s">
        <v>44005</v>
      </c>
      <c r="D14210" t="s">
        <v>44006</v>
      </c>
      <c r="E14210" t="s">
        <v>44007</v>
      </c>
      <c r="F14210" t="s">
        <v>44010</v>
      </c>
      <c r="G14210" s="2" t="str">
        <f>HYPERLINK("https://probpalata.gov.ru/files/ЮЛ610401305700002.jpeg","Скачать индивидуальный QR-код магазина")</f>
        <v>Скачать индивидуальный QR-код магазина</v>
      </c>
    </row>
    <row r="14211" spans="1:7" x14ac:dyDescent="0.25">
      <c r="A14211" t="s">
        <v>43013</v>
      </c>
      <c r="B14211" t="s">
        <v>44011</v>
      </c>
      <c r="C14211" t="s">
        <v>44012</v>
      </c>
      <c r="D14211" t="s">
        <v>44013</v>
      </c>
      <c r="E14211" t="s">
        <v>44014</v>
      </c>
      <c r="F14211" t="s">
        <v>44015</v>
      </c>
      <c r="G14211" s="2" t="str">
        <f>HYPERLINK("https://probpalata.gov.ru/files/ЮЛ610400832300000.jpeg","Скачать индивидуальный QR-код магазина")</f>
        <v>Скачать индивидуальный QR-код магазина</v>
      </c>
    </row>
    <row r="14212" spans="1:7" x14ac:dyDescent="0.25">
      <c r="A14212" t="s">
        <v>43013</v>
      </c>
      <c r="B14212" t="s">
        <v>44016</v>
      </c>
      <c r="C14212" t="s">
        <v>44012</v>
      </c>
      <c r="D14212" t="s">
        <v>44013</v>
      </c>
      <c r="E14212" t="s">
        <v>44014</v>
      </c>
      <c r="F14212" t="s">
        <v>44017</v>
      </c>
      <c r="G14212" s="2" t="str">
        <f>HYPERLINK("https://probpalata.gov.ru/files/ЮЛ610400832300002.jpeg","Скачать индивидуальный QR-код магазина")</f>
        <v>Скачать индивидуальный QR-код магазина</v>
      </c>
    </row>
    <row r="14213" spans="1:7" x14ac:dyDescent="0.25">
      <c r="A14213" t="s">
        <v>43013</v>
      </c>
      <c r="B14213" t="s">
        <v>44018</v>
      </c>
      <c r="C14213" t="s">
        <v>44012</v>
      </c>
      <c r="D14213" t="s">
        <v>44013</v>
      </c>
      <c r="E14213" t="s">
        <v>44014</v>
      </c>
      <c r="F14213" t="s">
        <v>44019</v>
      </c>
      <c r="G14213" s="2" t="str">
        <f>HYPERLINK("https://probpalata.gov.ru/files/ЮЛ610400832300003.jpeg","Скачать индивидуальный QR-код магазина")</f>
        <v>Скачать индивидуальный QR-код магазина</v>
      </c>
    </row>
    <row r="14214" spans="1:7" x14ac:dyDescent="0.25">
      <c r="A14214" t="s">
        <v>43013</v>
      </c>
      <c r="B14214" t="s">
        <v>44020</v>
      </c>
      <c r="C14214" t="s">
        <v>44012</v>
      </c>
      <c r="D14214" t="s">
        <v>44013</v>
      </c>
      <c r="E14214" t="s">
        <v>44014</v>
      </c>
      <c r="F14214" t="s">
        <v>44021</v>
      </c>
      <c r="G14214" s="2" t="str">
        <f>HYPERLINK("https://probpalata.gov.ru/files/ЮЛ610400832300004.jpeg","Скачать индивидуальный QR-код магазина")</f>
        <v>Скачать индивидуальный QR-код магазина</v>
      </c>
    </row>
    <row r="14215" spans="1:7" x14ac:dyDescent="0.25">
      <c r="A14215" t="s">
        <v>43013</v>
      </c>
      <c r="B14215" t="s">
        <v>44022</v>
      </c>
      <c r="C14215" t="s">
        <v>44012</v>
      </c>
      <c r="D14215" t="s">
        <v>44013</v>
      </c>
      <c r="E14215" t="s">
        <v>44014</v>
      </c>
      <c r="F14215" t="s">
        <v>44023</v>
      </c>
      <c r="G14215" s="2" t="str">
        <f>HYPERLINK("https://probpalata.gov.ru/files/ЮЛ610400832300005.jpeg","Скачать индивидуальный QR-код магазина")</f>
        <v>Скачать индивидуальный QR-код магазина</v>
      </c>
    </row>
    <row r="14216" spans="1:7" x14ac:dyDescent="0.25">
      <c r="A14216" t="s">
        <v>43013</v>
      </c>
      <c r="B14216" t="s">
        <v>44024</v>
      </c>
      <c r="C14216" t="s">
        <v>44012</v>
      </c>
      <c r="D14216" t="s">
        <v>44013</v>
      </c>
      <c r="E14216" t="s">
        <v>44014</v>
      </c>
      <c r="F14216" t="s">
        <v>44025</v>
      </c>
      <c r="G14216" s="2" t="str">
        <f>HYPERLINK("https://probpalata.gov.ru/files/ЮЛ610400832300006.jpeg","Скачать индивидуальный QR-код магазина")</f>
        <v>Скачать индивидуальный QR-код магазина</v>
      </c>
    </row>
    <row r="14217" spans="1:7" x14ac:dyDescent="0.25">
      <c r="A14217" t="s">
        <v>43013</v>
      </c>
      <c r="B14217" t="s">
        <v>44026</v>
      </c>
      <c r="C14217" t="s">
        <v>44012</v>
      </c>
      <c r="D14217" t="s">
        <v>44013</v>
      </c>
      <c r="E14217" t="s">
        <v>44014</v>
      </c>
      <c r="F14217" t="s">
        <v>44027</v>
      </c>
      <c r="G14217" s="2" t="str">
        <f>HYPERLINK("https://probpalata.gov.ru/files/ЮЛ610400832300007.jpeg","Скачать индивидуальный QR-код магазина")</f>
        <v>Скачать индивидуальный QR-код магазина</v>
      </c>
    </row>
    <row r="14218" spans="1:7" x14ac:dyDescent="0.25">
      <c r="A14218" t="s">
        <v>43013</v>
      </c>
      <c r="B14218" t="s">
        <v>43938</v>
      </c>
      <c r="C14218" t="s">
        <v>44012</v>
      </c>
      <c r="D14218" t="s">
        <v>44013</v>
      </c>
      <c r="E14218" t="s">
        <v>44014</v>
      </c>
      <c r="F14218" t="s">
        <v>44028</v>
      </c>
      <c r="G14218" s="2" t="str">
        <f>HYPERLINK("https://probpalata.gov.ru/files/ЮЛ610400832300008.jpeg","Скачать индивидуальный QR-код магазина")</f>
        <v>Скачать индивидуальный QR-код магазина</v>
      </c>
    </row>
    <row r="14219" spans="1:7" x14ac:dyDescent="0.25">
      <c r="A14219" t="s">
        <v>43013</v>
      </c>
      <c r="B14219" t="s">
        <v>44029</v>
      </c>
      <c r="C14219" t="s">
        <v>44012</v>
      </c>
      <c r="D14219" t="s">
        <v>44013</v>
      </c>
      <c r="E14219" t="s">
        <v>44014</v>
      </c>
      <c r="F14219" t="s">
        <v>44030</v>
      </c>
      <c r="G14219" s="2" t="str">
        <f>HYPERLINK("https://probpalata.gov.ru/files/ЮЛ610400832300009.jpeg","Скачать индивидуальный QR-код магазина")</f>
        <v>Скачать индивидуальный QR-код магазина</v>
      </c>
    </row>
    <row r="14220" spans="1:7" x14ac:dyDescent="0.25">
      <c r="A14220" t="s">
        <v>43013</v>
      </c>
      <c r="B14220" t="s">
        <v>44031</v>
      </c>
      <c r="C14220" t="s">
        <v>44012</v>
      </c>
      <c r="D14220" t="s">
        <v>44013</v>
      </c>
      <c r="E14220" t="s">
        <v>44014</v>
      </c>
      <c r="F14220" t="s">
        <v>44032</v>
      </c>
      <c r="G14220" s="2" t="str">
        <f>HYPERLINK("https://probpalata.gov.ru/files/ЮЛ610400832300010.jpeg","Скачать индивидуальный QR-код магазина")</f>
        <v>Скачать индивидуальный QR-код магазина</v>
      </c>
    </row>
    <row r="14221" spans="1:7" x14ac:dyDescent="0.25">
      <c r="A14221" t="s">
        <v>43013</v>
      </c>
      <c r="B14221" t="s">
        <v>43950</v>
      </c>
      <c r="C14221" t="s">
        <v>44012</v>
      </c>
      <c r="D14221" t="s">
        <v>44013</v>
      </c>
      <c r="E14221" t="s">
        <v>44014</v>
      </c>
      <c r="F14221" t="s">
        <v>44033</v>
      </c>
      <c r="G14221" s="2" t="str">
        <f>HYPERLINK("https://probpalata.gov.ru/files/ЮЛ610400832300011.jpeg","Скачать индивидуальный QR-код магазина")</f>
        <v>Скачать индивидуальный QR-код магазина</v>
      </c>
    </row>
    <row r="14222" spans="1:7" x14ac:dyDescent="0.25">
      <c r="A14222" t="s">
        <v>43013</v>
      </c>
      <c r="B14222" t="s">
        <v>44034</v>
      </c>
      <c r="C14222" t="s">
        <v>44012</v>
      </c>
      <c r="D14222" t="s">
        <v>44013</v>
      </c>
      <c r="E14222" t="s">
        <v>44014</v>
      </c>
      <c r="F14222" t="s">
        <v>44035</v>
      </c>
      <c r="G14222" s="2" t="str">
        <f>HYPERLINK("https://probpalata.gov.ru/files/ЮЛ610400832300012.jpeg","Скачать индивидуальный QR-код магазина")</f>
        <v>Скачать индивидуальный QR-код магазина</v>
      </c>
    </row>
    <row r="14223" spans="1:7" x14ac:dyDescent="0.25">
      <c r="A14223" t="s">
        <v>43013</v>
      </c>
      <c r="B14223" t="s">
        <v>44036</v>
      </c>
      <c r="C14223" t="s">
        <v>44012</v>
      </c>
      <c r="D14223" t="s">
        <v>44013</v>
      </c>
      <c r="E14223" t="s">
        <v>44014</v>
      </c>
      <c r="F14223" t="s">
        <v>44037</v>
      </c>
      <c r="G14223" s="2" t="str">
        <f>HYPERLINK("https://probpalata.gov.ru/files/ЮЛ610400832300013.jpeg","Скачать индивидуальный QR-код магазина")</f>
        <v>Скачать индивидуальный QR-код магазина</v>
      </c>
    </row>
    <row r="14224" spans="1:7" x14ac:dyDescent="0.25">
      <c r="A14224" t="s">
        <v>43013</v>
      </c>
      <c r="B14224" t="s">
        <v>44038</v>
      </c>
      <c r="C14224" t="s">
        <v>44012</v>
      </c>
      <c r="D14224" t="s">
        <v>44013</v>
      </c>
      <c r="E14224" t="s">
        <v>44014</v>
      </c>
      <c r="F14224" t="s">
        <v>44039</v>
      </c>
      <c r="G14224" s="2" t="str">
        <f>HYPERLINK("https://probpalata.gov.ru/files/ЮЛ610400832300014.jpeg","Скачать индивидуальный QR-код магазина")</f>
        <v>Скачать индивидуальный QR-код магазина</v>
      </c>
    </row>
    <row r="14225" spans="1:7" x14ac:dyDescent="0.25">
      <c r="A14225" t="s">
        <v>43013</v>
      </c>
      <c r="B14225" t="s">
        <v>44040</v>
      </c>
      <c r="C14225" t="s">
        <v>44012</v>
      </c>
      <c r="D14225" t="s">
        <v>44013</v>
      </c>
      <c r="E14225" t="s">
        <v>44014</v>
      </c>
      <c r="F14225" t="s">
        <v>44041</v>
      </c>
      <c r="G14225" s="2" t="str">
        <f>HYPERLINK("https://probpalata.gov.ru/files/ЮЛ610400832300015.jpeg","Скачать индивидуальный QR-код магазина")</f>
        <v>Скачать индивидуальный QR-код магазина</v>
      </c>
    </row>
    <row r="14226" spans="1:7" x14ac:dyDescent="0.25">
      <c r="A14226" t="s">
        <v>43013</v>
      </c>
      <c r="B14226" t="s">
        <v>43960</v>
      </c>
      <c r="C14226" t="s">
        <v>44012</v>
      </c>
      <c r="D14226" t="s">
        <v>44013</v>
      </c>
      <c r="E14226" t="s">
        <v>44014</v>
      </c>
      <c r="F14226" t="s">
        <v>44042</v>
      </c>
      <c r="G14226" s="2" t="str">
        <f>HYPERLINK("https://probpalata.gov.ru/files/ЮЛ610400832300016.jpeg","Скачать индивидуальный QR-код магазина")</f>
        <v>Скачать индивидуальный QR-код магазина</v>
      </c>
    </row>
    <row r="14227" spans="1:7" x14ac:dyDescent="0.25">
      <c r="A14227" t="s">
        <v>43013</v>
      </c>
      <c r="B14227" t="s">
        <v>44043</v>
      </c>
      <c r="C14227" t="s">
        <v>44012</v>
      </c>
      <c r="D14227" t="s">
        <v>44013</v>
      </c>
      <c r="E14227" t="s">
        <v>44014</v>
      </c>
      <c r="F14227" t="s">
        <v>44044</v>
      </c>
      <c r="G14227" s="2" t="str">
        <f>HYPERLINK("https://probpalata.gov.ru/files/ЮЛ610400832300017.jpeg","Скачать индивидуальный QR-код магазина")</f>
        <v>Скачать индивидуальный QR-код магазина</v>
      </c>
    </row>
    <row r="14228" spans="1:7" x14ac:dyDescent="0.25">
      <c r="A14228" t="s">
        <v>43013</v>
      </c>
      <c r="B14228" t="s">
        <v>44045</v>
      </c>
      <c r="C14228" t="s">
        <v>44012</v>
      </c>
      <c r="D14228" t="s">
        <v>44013</v>
      </c>
      <c r="E14228" t="s">
        <v>44014</v>
      </c>
      <c r="F14228" t="s">
        <v>44046</v>
      </c>
      <c r="G14228" s="2" t="str">
        <f>HYPERLINK("https://probpalata.gov.ru/files/ЮЛ610400832300018.jpeg","Скачать индивидуальный QR-код магазина")</f>
        <v>Скачать индивидуальный QR-код магазина</v>
      </c>
    </row>
    <row r="14229" spans="1:7" x14ac:dyDescent="0.25">
      <c r="A14229" t="s">
        <v>43013</v>
      </c>
      <c r="B14229" t="s">
        <v>44047</v>
      </c>
      <c r="C14229" t="s">
        <v>44012</v>
      </c>
      <c r="D14229" t="s">
        <v>44013</v>
      </c>
      <c r="E14229" t="s">
        <v>44014</v>
      </c>
      <c r="F14229" t="s">
        <v>44048</v>
      </c>
      <c r="G14229" s="2" t="str">
        <f>HYPERLINK("https://probpalata.gov.ru/files/ЮЛ610400832300019.jpeg","Скачать индивидуальный QR-код магазина")</f>
        <v>Скачать индивидуальный QR-код магазина</v>
      </c>
    </row>
    <row r="14230" spans="1:7" x14ac:dyDescent="0.25">
      <c r="A14230" t="s">
        <v>43013</v>
      </c>
      <c r="B14230" t="s">
        <v>44049</v>
      </c>
      <c r="C14230" t="s">
        <v>44050</v>
      </c>
      <c r="D14230" t="s">
        <v>44051</v>
      </c>
      <c r="E14230" t="s">
        <v>44052</v>
      </c>
      <c r="F14230" t="s">
        <v>44053</v>
      </c>
      <c r="G14230" s="2" t="str">
        <f>HYPERLINK("https://probpalata.gov.ru/files/ЮЛ610400993000002.jpeg","Скачать индивидуальный QR-код магазина")</f>
        <v>Скачать индивидуальный QR-код магазина</v>
      </c>
    </row>
    <row r="14231" spans="1:7" x14ac:dyDescent="0.25">
      <c r="A14231" t="s">
        <v>43013</v>
      </c>
      <c r="B14231" t="s">
        <v>44054</v>
      </c>
      <c r="C14231" t="s">
        <v>44050</v>
      </c>
      <c r="D14231" t="s">
        <v>44051</v>
      </c>
      <c r="E14231" t="s">
        <v>44052</v>
      </c>
      <c r="F14231" t="s">
        <v>44055</v>
      </c>
      <c r="G14231" s="2" t="str">
        <f>HYPERLINK("https://probpalata.gov.ru/files/ЮЛ610400993000003.jpeg","Скачать индивидуальный QR-код магазина")</f>
        <v>Скачать индивидуальный QR-код магазина</v>
      </c>
    </row>
    <row r="14232" spans="1:7" x14ac:dyDescent="0.25">
      <c r="A14232" t="s">
        <v>43013</v>
      </c>
      <c r="B14232" t="s">
        <v>44056</v>
      </c>
      <c r="C14232" t="s">
        <v>44050</v>
      </c>
      <c r="D14232" t="s">
        <v>44051</v>
      </c>
      <c r="E14232" t="s">
        <v>44052</v>
      </c>
      <c r="F14232" t="s">
        <v>44057</v>
      </c>
      <c r="G14232" s="2" t="str">
        <f>HYPERLINK("https://probpalata.gov.ru/files/ЮЛ610400993000005.jpeg","Скачать индивидуальный QR-код магазина")</f>
        <v>Скачать индивидуальный QR-код магазина</v>
      </c>
    </row>
    <row r="14233" spans="1:7" x14ac:dyDescent="0.25">
      <c r="A14233" t="s">
        <v>43013</v>
      </c>
      <c r="B14233" t="s">
        <v>44058</v>
      </c>
      <c r="C14233" t="s">
        <v>44050</v>
      </c>
      <c r="D14233" t="s">
        <v>44051</v>
      </c>
      <c r="E14233" t="s">
        <v>44052</v>
      </c>
      <c r="F14233" t="s">
        <v>44059</v>
      </c>
      <c r="G14233" s="2" t="str">
        <f>HYPERLINK("https://probpalata.gov.ru/files/ЮЛ610400993000007.jpeg","Скачать индивидуальный QR-код магазина")</f>
        <v>Скачать индивидуальный QR-код магазина</v>
      </c>
    </row>
    <row r="14234" spans="1:7" x14ac:dyDescent="0.25">
      <c r="A14234" t="s">
        <v>43013</v>
      </c>
      <c r="B14234" t="s">
        <v>44060</v>
      </c>
      <c r="C14234" t="s">
        <v>21232</v>
      </c>
      <c r="D14234" t="s">
        <v>44061</v>
      </c>
      <c r="E14234" t="s">
        <v>44062</v>
      </c>
      <c r="F14234" t="s">
        <v>44063</v>
      </c>
      <c r="G14234" s="2" t="str">
        <f>HYPERLINK("https://probpalata.gov.ru/files/ЮЛ610401250000000.jpeg","Скачать индивидуальный QR-код магазина")</f>
        <v>Скачать индивидуальный QR-код магазина</v>
      </c>
    </row>
    <row r="14235" spans="1:7" x14ac:dyDescent="0.25">
      <c r="A14235" t="s">
        <v>43013</v>
      </c>
      <c r="B14235" t="s">
        <v>44064</v>
      </c>
      <c r="C14235" t="s">
        <v>44065</v>
      </c>
      <c r="D14235" t="s">
        <v>44066</v>
      </c>
      <c r="E14235" t="s">
        <v>44067</v>
      </c>
      <c r="F14235" t="s">
        <v>44068</v>
      </c>
      <c r="G14235" s="2" t="str">
        <f>HYPERLINK("https://probpalata.gov.ru/files/ИП610403410600000.jpeg","Скачать индивидуальный QR-код магазина")</f>
        <v>Скачать индивидуальный QR-код магазина</v>
      </c>
    </row>
    <row r="14236" spans="1:7" x14ac:dyDescent="0.25">
      <c r="A14236" t="s">
        <v>43013</v>
      </c>
      <c r="B14236" t="s">
        <v>44069</v>
      </c>
      <c r="C14236" t="s">
        <v>44070</v>
      </c>
      <c r="D14236" t="s">
        <v>44071</v>
      </c>
      <c r="E14236" t="s">
        <v>44072</v>
      </c>
      <c r="F14236" t="s">
        <v>44073</v>
      </c>
      <c r="G14236" s="2" t="str">
        <f>HYPERLINK("https://probpalata.gov.ru/files/ИП610400935500000.jpeg","Скачать индивидуальный QR-код магазина")</f>
        <v>Скачать индивидуальный QR-код магазина</v>
      </c>
    </row>
    <row r="14237" spans="1:7" x14ac:dyDescent="0.25">
      <c r="A14237" t="s">
        <v>43013</v>
      </c>
      <c r="B14237" t="s">
        <v>44074</v>
      </c>
      <c r="C14237" t="s">
        <v>44075</v>
      </c>
      <c r="D14237" t="s">
        <v>44076</v>
      </c>
      <c r="E14237" t="s">
        <v>44077</v>
      </c>
      <c r="F14237" t="s">
        <v>44078</v>
      </c>
      <c r="G14237" s="2" t="str">
        <f>HYPERLINK("https://probpalata.gov.ru/files/ИП610400078000000.jpeg","Скачать индивидуальный QR-код магазина")</f>
        <v>Скачать индивидуальный QR-код магазина</v>
      </c>
    </row>
    <row r="14238" spans="1:7" x14ac:dyDescent="0.25">
      <c r="A14238" t="s">
        <v>43013</v>
      </c>
      <c r="B14238" t="s">
        <v>44079</v>
      </c>
      <c r="C14238" t="s">
        <v>44075</v>
      </c>
      <c r="D14238" t="s">
        <v>44076</v>
      </c>
      <c r="E14238" t="s">
        <v>44077</v>
      </c>
      <c r="F14238" t="s">
        <v>44080</v>
      </c>
      <c r="G14238" s="2" t="str">
        <f>HYPERLINK("https://probpalata.gov.ru/files/ИП610400078000001.jpeg","Скачать индивидуальный QR-код магазина")</f>
        <v>Скачать индивидуальный QR-код магазина</v>
      </c>
    </row>
    <row r="14239" spans="1:7" x14ac:dyDescent="0.25">
      <c r="A14239" t="s">
        <v>43013</v>
      </c>
      <c r="B14239" t="s">
        <v>44081</v>
      </c>
      <c r="C14239" t="s">
        <v>44082</v>
      </c>
      <c r="D14239" t="s">
        <v>44083</v>
      </c>
      <c r="E14239" t="s">
        <v>44084</v>
      </c>
      <c r="F14239" t="s">
        <v>44085</v>
      </c>
      <c r="G14239" s="2" t="str">
        <f>HYPERLINK("https://probpalata.gov.ru/files/ИП610403585000000.jpeg","Скачать индивидуальный QR-код магазина")</f>
        <v>Скачать индивидуальный QR-код магазина</v>
      </c>
    </row>
    <row r="14240" spans="1:7" x14ac:dyDescent="0.25">
      <c r="A14240" t="s">
        <v>43013</v>
      </c>
      <c r="B14240" t="s">
        <v>44086</v>
      </c>
      <c r="C14240" t="s">
        <v>44087</v>
      </c>
      <c r="D14240" t="s">
        <v>44088</v>
      </c>
      <c r="E14240" t="s">
        <v>44089</v>
      </c>
      <c r="F14240" t="s">
        <v>44090</v>
      </c>
      <c r="G14240" s="2" t="str">
        <f>HYPERLINK("https://probpalata.gov.ru/files/ИП610400836000000.jpeg","Скачать индивидуальный QR-код магазина")</f>
        <v>Скачать индивидуальный QR-код магазина</v>
      </c>
    </row>
    <row r="14241" spans="1:7" x14ac:dyDescent="0.25">
      <c r="A14241" t="s">
        <v>43013</v>
      </c>
      <c r="B14241" t="s">
        <v>44091</v>
      </c>
      <c r="C14241" t="s">
        <v>44092</v>
      </c>
      <c r="D14241" t="s">
        <v>44093</v>
      </c>
      <c r="E14241" t="s">
        <v>44094</v>
      </c>
      <c r="F14241" t="s">
        <v>44095</v>
      </c>
      <c r="G14241" s="2" t="str">
        <f>HYPERLINK("https://probpalata.gov.ru/files/ИП610400030200000.jpeg","Скачать индивидуальный QR-код магазина")</f>
        <v>Скачать индивидуальный QR-код магазина</v>
      </c>
    </row>
    <row r="14242" spans="1:7" x14ac:dyDescent="0.25">
      <c r="A14242" t="s">
        <v>43013</v>
      </c>
      <c r="B14242" t="s">
        <v>44096</v>
      </c>
      <c r="C14242" t="s">
        <v>44097</v>
      </c>
      <c r="D14242" t="s">
        <v>44098</v>
      </c>
      <c r="E14242" t="s">
        <v>44099</v>
      </c>
      <c r="F14242" t="s">
        <v>44100</v>
      </c>
      <c r="G14242" s="2" t="str">
        <f>HYPERLINK("https://probpalata.gov.ru/files/ИП610400699800000.jpeg","Скачать индивидуальный QR-код магазина")</f>
        <v>Скачать индивидуальный QR-код магазина</v>
      </c>
    </row>
    <row r="14243" spans="1:7" x14ac:dyDescent="0.25">
      <c r="A14243" t="s">
        <v>43013</v>
      </c>
      <c r="B14243" t="s">
        <v>44101</v>
      </c>
      <c r="C14243" t="s">
        <v>44102</v>
      </c>
      <c r="D14243" t="s">
        <v>44103</v>
      </c>
      <c r="E14243" t="s">
        <v>44104</v>
      </c>
      <c r="F14243" t="s">
        <v>44105</v>
      </c>
      <c r="G14243" s="2" t="str">
        <f>HYPERLINK("https://probpalata.gov.ru/files/ИП610400660700000.jpeg","Скачать индивидуальный QR-код магазина")</f>
        <v>Скачать индивидуальный QR-код магазина</v>
      </c>
    </row>
    <row r="14244" spans="1:7" x14ac:dyDescent="0.25">
      <c r="A14244" t="s">
        <v>43013</v>
      </c>
      <c r="B14244" t="s">
        <v>44106</v>
      </c>
      <c r="C14244" t="s">
        <v>44102</v>
      </c>
      <c r="D14244" t="s">
        <v>44103</v>
      </c>
      <c r="E14244" t="s">
        <v>44104</v>
      </c>
      <c r="F14244" t="s">
        <v>44107</v>
      </c>
      <c r="G14244" s="2" t="str">
        <f>HYPERLINK("https://probpalata.gov.ru/files/ИП610400660700001.jpeg","Скачать индивидуальный QR-код магазина")</f>
        <v>Скачать индивидуальный QR-код магазина</v>
      </c>
    </row>
    <row r="14245" spans="1:7" x14ac:dyDescent="0.25">
      <c r="A14245" t="s">
        <v>43013</v>
      </c>
      <c r="B14245" t="s">
        <v>44108</v>
      </c>
      <c r="C14245" t="s">
        <v>44109</v>
      </c>
      <c r="D14245" t="s">
        <v>44110</v>
      </c>
      <c r="E14245" t="s">
        <v>44111</v>
      </c>
      <c r="F14245" t="s">
        <v>44112</v>
      </c>
      <c r="G14245" s="2" t="str">
        <f>HYPERLINK("https://probpalata.gov.ru/files/ИП610403015300000.jpeg","Скачать индивидуальный QR-код магазина")</f>
        <v>Скачать индивидуальный QR-код магазина</v>
      </c>
    </row>
    <row r="14246" spans="1:7" x14ac:dyDescent="0.25">
      <c r="A14246" t="s">
        <v>43013</v>
      </c>
      <c r="B14246" t="s">
        <v>44113</v>
      </c>
      <c r="C14246" t="s">
        <v>44114</v>
      </c>
      <c r="D14246" t="s">
        <v>44115</v>
      </c>
      <c r="E14246" t="s">
        <v>44116</v>
      </c>
      <c r="F14246" t="s">
        <v>44117</v>
      </c>
      <c r="G14246" s="2" t="str">
        <f>HYPERLINK("https://probpalata.gov.ru/files/ИП610400357200000.jpeg","Скачать индивидуальный QR-код магазина")</f>
        <v>Скачать индивидуальный QR-код магазина</v>
      </c>
    </row>
    <row r="14247" spans="1:7" x14ac:dyDescent="0.25">
      <c r="A14247" t="s">
        <v>43013</v>
      </c>
      <c r="B14247" t="s">
        <v>44118</v>
      </c>
      <c r="C14247" t="s">
        <v>44119</v>
      </c>
      <c r="D14247" t="s">
        <v>44120</v>
      </c>
      <c r="E14247" t="s">
        <v>44121</v>
      </c>
      <c r="F14247" t="s">
        <v>44122</v>
      </c>
      <c r="G14247" s="2" t="str">
        <f>HYPERLINK("https://probpalata.gov.ru/files/ИП610400002200000.jpeg","Скачать индивидуальный QR-код магазина")</f>
        <v>Скачать индивидуальный QR-код магазина</v>
      </c>
    </row>
    <row r="14248" spans="1:7" x14ac:dyDescent="0.25">
      <c r="A14248" t="s">
        <v>43013</v>
      </c>
      <c r="B14248" t="s">
        <v>44123</v>
      </c>
      <c r="C14248" t="s">
        <v>44124</v>
      </c>
      <c r="D14248" t="s">
        <v>44125</v>
      </c>
      <c r="E14248" t="s">
        <v>44126</v>
      </c>
      <c r="F14248" t="s">
        <v>44127</v>
      </c>
      <c r="G14248" s="2" t="str">
        <f>HYPERLINK("https://probpalata.gov.ru/files/ИП610400076700000.jpeg","Скачать индивидуальный QR-код магазина")</f>
        <v>Скачать индивидуальный QR-код магазина</v>
      </c>
    </row>
    <row r="14249" spans="1:7" x14ac:dyDescent="0.25">
      <c r="A14249" t="s">
        <v>43013</v>
      </c>
      <c r="B14249" t="s">
        <v>44128</v>
      </c>
      <c r="C14249" t="s">
        <v>44124</v>
      </c>
      <c r="D14249" t="s">
        <v>44125</v>
      </c>
      <c r="E14249" t="s">
        <v>44126</v>
      </c>
      <c r="F14249" t="s">
        <v>44129</v>
      </c>
      <c r="G14249" s="2" t="str">
        <f>HYPERLINK("https://probpalata.gov.ru/files/ИП610400076700003.jpeg","Скачать индивидуальный QR-код магазина")</f>
        <v>Скачать индивидуальный QR-код магазина</v>
      </c>
    </row>
    <row r="14250" spans="1:7" x14ac:dyDescent="0.25">
      <c r="A14250" t="s">
        <v>43013</v>
      </c>
      <c r="B14250" t="s">
        <v>44130</v>
      </c>
      <c r="C14250" t="s">
        <v>44124</v>
      </c>
      <c r="D14250" t="s">
        <v>44125</v>
      </c>
      <c r="E14250" t="s">
        <v>44126</v>
      </c>
      <c r="F14250" t="s">
        <v>44131</v>
      </c>
      <c r="G14250" s="2" t="str">
        <f>HYPERLINK("https://probpalata.gov.ru/files/ИП610400076700004.jpeg","Скачать индивидуальный QR-код магазина")</f>
        <v>Скачать индивидуальный QR-код магазина</v>
      </c>
    </row>
    <row r="14251" spans="1:7" x14ac:dyDescent="0.25">
      <c r="A14251" t="s">
        <v>43013</v>
      </c>
      <c r="B14251" t="s">
        <v>44132</v>
      </c>
      <c r="C14251" t="s">
        <v>44124</v>
      </c>
      <c r="D14251" t="s">
        <v>44125</v>
      </c>
      <c r="E14251" t="s">
        <v>44126</v>
      </c>
      <c r="F14251" t="s">
        <v>44133</v>
      </c>
      <c r="G14251" s="2" t="str">
        <f>HYPERLINK("https://probpalata.gov.ru/files/ИП610400076700005.jpeg","Скачать индивидуальный QR-код магазина")</f>
        <v>Скачать индивидуальный QR-код магазина</v>
      </c>
    </row>
    <row r="14252" spans="1:7" x14ac:dyDescent="0.25">
      <c r="A14252" t="s">
        <v>43013</v>
      </c>
      <c r="B14252" t="s">
        <v>44134</v>
      </c>
      <c r="C14252" t="s">
        <v>44124</v>
      </c>
      <c r="D14252" t="s">
        <v>44125</v>
      </c>
      <c r="E14252" t="s">
        <v>44126</v>
      </c>
      <c r="F14252" t="s">
        <v>44135</v>
      </c>
      <c r="G14252" s="2" t="str">
        <f>HYPERLINK("https://probpalata.gov.ru/files/ИП610400076700008.jpeg","Скачать индивидуальный QR-код магазина")</f>
        <v>Скачать индивидуальный QR-код магазина</v>
      </c>
    </row>
    <row r="14253" spans="1:7" x14ac:dyDescent="0.25">
      <c r="A14253" t="s">
        <v>43013</v>
      </c>
      <c r="B14253" t="s">
        <v>44136</v>
      </c>
      <c r="C14253" t="s">
        <v>44124</v>
      </c>
      <c r="D14253" t="s">
        <v>44125</v>
      </c>
      <c r="E14253" t="s">
        <v>44126</v>
      </c>
      <c r="F14253" t="s">
        <v>44137</v>
      </c>
      <c r="G14253" s="2" t="str">
        <f>HYPERLINK("https://probpalata.gov.ru/files/ИП610400076700010.jpeg","Скачать индивидуальный QR-код магазина")</f>
        <v>Скачать индивидуальный QR-код магазина</v>
      </c>
    </row>
    <row r="14254" spans="1:7" x14ac:dyDescent="0.25">
      <c r="A14254" t="s">
        <v>43013</v>
      </c>
      <c r="B14254" t="s">
        <v>44138</v>
      </c>
      <c r="C14254" t="s">
        <v>44124</v>
      </c>
      <c r="D14254" t="s">
        <v>44125</v>
      </c>
      <c r="E14254" t="s">
        <v>44126</v>
      </c>
      <c r="F14254" t="s">
        <v>44139</v>
      </c>
      <c r="G14254" s="2" t="str">
        <f>HYPERLINK("https://probpalata.gov.ru/files/ИП610400076700011.jpeg","Скачать индивидуальный QR-код магазина")</f>
        <v>Скачать индивидуальный QR-код магазина</v>
      </c>
    </row>
    <row r="14255" spans="1:7" x14ac:dyDescent="0.25">
      <c r="A14255" t="s">
        <v>43013</v>
      </c>
      <c r="B14255" t="s">
        <v>44140</v>
      </c>
      <c r="C14255" t="s">
        <v>14912</v>
      </c>
      <c r="D14255" t="s">
        <v>14913</v>
      </c>
      <c r="E14255" t="s">
        <v>14914</v>
      </c>
      <c r="F14255" t="s">
        <v>44141</v>
      </c>
      <c r="G14255" s="2" t="str">
        <f>HYPERLINK("https://probpalata.gov.ru/files/ИП610400962100000.jpeg","Скачать индивидуальный QR-код магазина")</f>
        <v>Скачать индивидуальный QR-код магазина</v>
      </c>
    </row>
    <row r="14256" spans="1:7" x14ac:dyDescent="0.25">
      <c r="A14256" t="s">
        <v>43013</v>
      </c>
      <c r="B14256" t="s">
        <v>44142</v>
      </c>
      <c r="C14256" t="s">
        <v>14912</v>
      </c>
      <c r="D14256" t="s">
        <v>14913</v>
      </c>
      <c r="E14256" t="s">
        <v>14914</v>
      </c>
      <c r="F14256" t="s">
        <v>44143</v>
      </c>
      <c r="G14256" s="2" t="str">
        <f>HYPERLINK("https://probpalata.gov.ru/files/ИП610400962100001.jpeg","Скачать индивидуальный QR-код магазина")</f>
        <v>Скачать индивидуальный QR-код магазина</v>
      </c>
    </row>
    <row r="14257" spans="1:7" x14ac:dyDescent="0.25">
      <c r="A14257" t="s">
        <v>43013</v>
      </c>
      <c r="B14257" t="s">
        <v>44144</v>
      </c>
      <c r="C14257" t="s">
        <v>14912</v>
      </c>
      <c r="D14257" t="s">
        <v>14913</v>
      </c>
      <c r="E14257" t="s">
        <v>14914</v>
      </c>
      <c r="F14257" t="s">
        <v>44145</v>
      </c>
      <c r="G14257" s="2" t="str">
        <f>HYPERLINK("https://probpalata.gov.ru/files/ИП610400962100008.jpeg","Скачать индивидуальный QR-код магазина")</f>
        <v>Скачать индивидуальный QR-код магазина</v>
      </c>
    </row>
    <row r="14258" spans="1:7" x14ac:dyDescent="0.25">
      <c r="A14258" t="s">
        <v>43013</v>
      </c>
      <c r="B14258" t="s">
        <v>44146</v>
      </c>
      <c r="C14258" t="s">
        <v>14912</v>
      </c>
      <c r="D14258" t="s">
        <v>14913</v>
      </c>
      <c r="E14258" t="s">
        <v>14914</v>
      </c>
      <c r="F14258" t="s">
        <v>44147</v>
      </c>
      <c r="G14258" s="2" t="str">
        <f>HYPERLINK("https://probpalata.gov.ru/files/ИП610400962100012.jpeg","Скачать индивидуальный QR-код магазина")</f>
        <v>Скачать индивидуальный QR-код магазина</v>
      </c>
    </row>
    <row r="14259" spans="1:7" x14ac:dyDescent="0.25">
      <c r="A14259" t="s">
        <v>43013</v>
      </c>
      <c r="B14259" t="s">
        <v>44148</v>
      </c>
      <c r="C14259" t="s">
        <v>14912</v>
      </c>
      <c r="D14259" t="s">
        <v>14913</v>
      </c>
      <c r="E14259" t="s">
        <v>14914</v>
      </c>
      <c r="F14259" t="s">
        <v>44149</v>
      </c>
      <c r="G14259" s="2" t="str">
        <f>HYPERLINK("https://probpalata.gov.ru/files/ИП610400962100014.jpeg","Скачать индивидуальный QR-код магазина")</f>
        <v>Скачать индивидуальный QR-код магазина</v>
      </c>
    </row>
    <row r="14260" spans="1:7" x14ac:dyDescent="0.25">
      <c r="A14260" t="s">
        <v>43013</v>
      </c>
      <c r="B14260" t="s">
        <v>44150</v>
      </c>
      <c r="C14260" t="s">
        <v>44151</v>
      </c>
      <c r="D14260" t="s">
        <v>44152</v>
      </c>
      <c r="E14260" t="s">
        <v>44153</v>
      </c>
      <c r="F14260" t="s">
        <v>44154</v>
      </c>
      <c r="G14260" s="2" t="str">
        <f>HYPERLINK("https://probpalata.gov.ru/files/ИП610403074100000.jpeg","Скачать индивидуальный QR-код магазина")</f>
        <v>Скачать индивидуальный QR-код магазина</v>
      </c>
    </row>
    <row r="14261" spans="1:7" x14ac:dyDescent="0.25">
      <c r="A14261" t="s">
        <v>43013</v>
      </c>
      <c r="B14261" t="s">
        <v>44155</v>
      </c>
      <c r="C14261" t="s">
        <v>44156</v>
      </c>
      <c r="D14261" t="s">
        <v>44157</v>
      </c>
      <c r="E14261" t="s">
        <v>44158</v>
      </c>
      <c r="F14261" t="s">
        <v>44159</v>
      </c>
      <c r="G14261" s="2" t="str">
        <f>HYPERLINK("https://probpalata.gov.ru/files/ИП610401030900000.jpeg","Скачать индивидуальный QR-код магазина")</f>
        <v>Скачать индивидуальный QR-код магазина</v>
      </c>
    </row>
    <row r="14262" spans="1:7" x14ac:dyDescent="0.25">
      <c r="A14262" t="s">
        <v>43013</v>
      </c>
      <c r="B14262" t="s">
        <v>44160</v>
      </c>
      <c r="C14262" t="s">
        <v>44161</v>
      </c>
      <c r="D14262" t="s">
        <v>44162</v>
      </c>
      <c r="E14262" t="s">
        <v>44163</v>
      </c>
      <c r="F14262" t="s">
        <v>44164</v>
      </c>
      <c r="G14262" s="2" t="str">
        <f>HYPERLINK("https://probpalata.gov.ru/files/ИП610400651000000.jpeg","Скачать индивидуальный QR-код магазина")</f>
        <v>Скачать индивидуальный QR-код магазина</v>
      </c>
    </row>
    <row r="14263" spans="1:7" x14ac:dyDescent="0.25">
      <c r="A14263" t="s">
        <v>43013</v>
      </c>
      <c r="B14263" t="s">
        <v>44165</v>
      </c>
      <c r="C14263" t="s">
        <v>44166</v>
      </c>
      <c r="D14263" t="s">
        <v>44167</v>
      </c>
      <c r="E14263" t="s">
        <v>44168</v>
      </c>
      <c r="F14263" t="s">
        <v>44169</v>
      </c>
      <c r="G14263" s="2" t="str">
        <f>HYPERLINK("https://probpalata.gov.ru/files/ИП610400158600000.jpeg","Скачать индивидуальный QR-код магазина")</f>
        <v>Скачать индивидуальный QR-код магазина</v>
      </c>
    </row>
    <row r="14264" spans="1:7" x14ac:dyDescent="0.25">
      <c r="A14264" t="s">
        <v>43013</v>
      </c>
      <c r="B14264" t="s">
        <v>44170</v>
      </c>
      <c r="C14264" t="s">
        <v>44171</v>
      </c>
      <c r="D14264" t="s">
        <v>44172</v>
      </c>
      <c r="E14264" t="s">
        <v>44173</v>
      </c>
      <c r="F14264" t="s">
        <v>44174</v>
      </c>
      <c r="G14264" s="2" t="str">
        <f>HYPERLINK("https://probpalata.gov.ru/files/ИП610400742900000.jpeg","Скачать индивидуальный QR-код магазина")</f>
        <v>Скачать индивидуальный QR-код магазина</v>
      </c>
    </row>
    <row r="14265" spans="1:7" x14ac:dyDescent="0.25">
      <c r="A14265" t="s">
        <v>43013</v>
      </c>
      <c r="B14265" t="s">
        <v>44144</v>
      </c>
      <c r="C14265" t="s">
        <v>44171</v>
      </c>
      <c r="D14265" t="s">
        <v>44172</v>
      </c>
      <c r="E14265" t="s">
        <v>44173</v>
      </c>
      <c r="F14265" t="s">
        <v>44175</v>
      </c>
      <c r="G14265" s="2" t="str">
        <f>HYPERLINK("https://probpalata.gov.ru/files/ИП610400742900001.jpeg","Скачать индивидуальный QR-код магазина")</f>
        <v>Скачать индивидуальный QR-код магазина</v>
      </c>
    </row>
    <row r="14266" spans="1:7" x14ac:dyDescent="0.25">
      <c r="A14266" t="s">
        <v>43013</v>
      </c>
      <c r="B14266" t="s">
        <v>44176</v>
      </c>
      <c r="C14266" t="s">
        <v>44171</v>
      </c>
      <c r="D14266" t="s">
        <v>44172</v>
      </c>
      <c r="E14266" t="s">
        <v>44173</v>
      </c>
      <c r="F14266" t="s">
        <v>44177</v>
      </c>
      <c r="G14266" s="2" t="str">
        <f>HYPERLINK("https://probpalata.gov.ru/files/ИП610400742900002.jpeg","Скачать индивидуальный QR-код магазина")</f>
        <v>Скачать индивидуальный QR-код магазина</v>
      </c>
    </row>
    <row r="14267" spans="1:7" x14ac:dyDescent="0.25">
      <c r="A14267" t="s">
        <v>43013</v>
      </c>
      <c r="B14267" t="s">
        <v>44178</v>
      </c>
      <c r="C14267" t="s">
        <v>44171</v>
      </c>
      <c r="D14267" t="s">
        <v>44172</v>
      </c>
      <c r="E14267" t="s">
        <v>44173</v>
      </c>
      <c r="F14267" t="s">
        <v>44179</v>
      </c>
      <c r="G14267" s="2" t="str">
        <f>HYPERLINK("https://probpalata.gov.ru/files/ИП610400742900003.jpeg","Скачать индивидуальный QR-код магазина")</f>
        <v>Скачать индивидуальный QR-код магазина</v>
      </c>
    </row>
    <row r="14268" spans="1:7" x14ac:dyDescent="0.25">
      <c r="A14268" t="s">
        <v>43013</v>
      </c>
      <c r="B14268" t="s">
        <v>44180</v>
      </c>
      <c r="C14268" t="s">
        <v>44171</v>
      </c>
      <c r="D14268" t="s">
        <v>44172</v>
      </c>
      <c r="E14268" t="s">
        <v>44173</v>
      </c>
      <c r="F14268" t="s">
        <v>44181</v>
      </c>
      <c r="G14268" s="2" t="str">
        <f>HYPERLINK("https://probpalata.gov.ru/files/ИП610400742900004.jpeg","Скачать индивидуальный QR-код магазина")</f>
        <v>Скачать индивидуальный QR-код магазина</v>
      </c>
    </row>
    <row r="14269" spans="1:7" x14ac:dyDescent="0.25">
      <c r="A14269" t="s">
        <v>43013</v>
      </c>
      <c r="B14269" t="s">
        <v>44182</v>
      </c>
      <c r="C14269" t="s">
        <v>44171</v>
      </c>
      <c r="D14269" t="s">
        <v>44172</v>
      </c>
      <c r="E14269" t="s">
        <v>44173</v>
      </c>
      <c r="F14269" t="s">
        <v>44183</v>
      </c>
      <c r="G14269" s="2" t="str">
        <f>HYPERLINK("https://probpalata.gov.ru/files/ИП610400742900005.jpeg","Скачать индивидуальный QR-код магазина")</f>
        <v>Скачать индивидуальный QR-код магазина</v>
      </c>
    </row>
    <row r="14270" spans="1:7" x14ac:dyDescent="0.25">
      <c r="A14270" t="s">
        <v>43013</v>
      </c>
      <c r="B14270" t="s">
        <v>44184</v>
      </c>
      <c r="C14270" t="s">
        <v>44185</v>
      </c>
      <c r="D14270" t="s">
        <v>44186</v>
      </c>
      <c r="E14270" t="s">
        <v>44187</v>
      </c>
      <c r="F14270" t="s">
        <v>44188</v>
      </c>
      <c r="G14270" s="2" t="str">
        <f>HYPERLINK("https://probpalata.gov.ru/files/ЮЛ610400040600000.jpeg","Скачать индивидуальный QR-код магазина")</f>
        <v>Скачать индивидуальный QR-код магазина</v>
      </c>
    </row>
    <row r="14271" spans="1:7" x14ac:dyDescent="0.25">
      <c r="A14271" t="s">
        <v>43013</v>
      </c>
      <c r="B14271" t="s">
        <v>44189</v>
      </c>
      <c r="C14271" t="s">
        <v>44190</v>
      </c>
      <c r="D14271" t="s">
        <v>44191</v>
      </c>
      <c r="E14271" t="s">
        <v>44192</v>
      </c>
      <c r="F14271" t="s">
        <v>44193</v>
      </c>
      <c r="G14271" s="2" t="str">
        <f>HYPERLINK("https://probpalata.gov.ru/files/ЮЛ610403469000002.jpeg","Скачать индивидуальный QR-код магазина")</f>
        <v>Скачать индивидуальный QR-код магазина</v>
      </c>
    </row>
    <row r="14272" spans="1:7" x14ac:dyDescent="0.25">
      <c r="A14272" t="s">
        <v>43013</v>
      </c>
      <c r="B14272" t="s">
        <v>44194</v>
      </c>
      <c r="C14272" t="s">
        <v>44195</v>
      </c>
      <c r="D14272" t="s">
        <v>44196</v>
      </c>
      <c r="E14272" t="s">
        <v>44197</v>
      </c>
      <c r="F14272" t="s">
        <v>44198</v>
      </c>
      <c r="G14272" s="2" t="str">
        <f>HYPERLINK("https://probpalata.gov.ru/files/ЮЛ610403992400000.jpeg","Скачать индивидуальный QR-код магазина")</f>
        <v>Скачать индивидуальный QR-код магазина</v>
      </c>
    </row>
    <row r="14273" spans="1:7" x14ac:dyDescent="0.25">
      <c r="A14273" t="s">
        <v>43013</v>
      </c>
      <c r="B14273" t="s">
        <v>44199</v>
      </c>
      <c r="C14273" t="s">
        <v>44200</v>
      </c>
      <c r="D14273" t="s">
        <v>44201</v>
      </c>
      <c r="E14273" t="s">
        <v>44202</v>
      </c>
      <c r="F14273" t="s">
        <v>44203</v>
      </c>
      <c r="G14273" s="2" t="str">
        <f>HYPERLINK("https://probpalata.gov.ru/files/ЮЛ610404002600000.jpeg","Скачать индивидуальный QR-код магазина")</f>
        <v>Скачать индивидуальный QR-код магазина</v>
      </c>
    </row>
    <row r="14274" spans="1:7" x14ac:dyDescent="0.25">
      <c r="A14274" t="s">
        <v>43013</v>
      </c>
      <c r="B14274" t="s">
        <v>44204</v>
      </c>
      <c r="C14274" t="s">
        <v>44205</v>
      </c>
      <c r="D14274" t="s">
        <v>44206</v>
      </c>
      <c r="E14274" t="s">
        <v>44207</v>
      </c>
      <c r="F14274" t="s">
        <v>44208</v>
      </c>
      <c r="G14274" s="2" t="str">
        <f>HYPERLINK("https://probpalata.gov.ru/files/ИП610403050300000.jpeg","Скачать индивидуальный QR-код магазина")</f>
        <v>Скачать индивидуальный QR-код магазина</v>
      </c>
    </row>
    <row r="14275" spans="1:7" x14ac:dyDescent="0.25">
      <c r="A14275" t="s">
        <v>43013</v>
      </c>
      <c r="B14275" t="s">
        <v>44209</v>
      </c>
      <c r="C14275" t="s">
        <v>44205</v>
      </c>
      <c r="D14275" t="s">
        <v>44206</v>
      </c>
      <c r="E14275" t="s">
        <v>44207</v>
      </c>
      <c r="F14275" t="s">
        <v>44210</v>
      </c>
      <c r="G14275" s="2" t="str">
        <f>HYPERLINK("https://probpalata.gov.ru/files/ИП610403050300001.jpeg","Скачать индивидуальный QR-код магазина")</f>
        <v>Скачать индивидуальный QR-код магазина</v>
      </c>
    </row>
    <row r="14276" spans="1:7" x14ac:dyDescent="0.25">
      <c r="A14276" t="s">
        <v>43013</v>
      </c>
      <c r="B14276" t="s">
        <v>44211</v>
      </c>
      <c r="C14276" t="s">
        <v>44205</v>
      </c>
      <c r="D14276" t="s">
        <v>44206</v>
      </c>
      <c r="E14276" t="s">
        <v>44207</v>
      </c>
      <c r="F14276" t="s">
        <v>44212</v>
      </c>
      <c r="G14276" s="2" t="str">
        <f>HYPERLINK("https://probpalata.gov.ru/files/ИП610403050300002.jpeg","Скачать индивидуальный QR-код магазина")</f>
        <v>Скачать индивидуальный QR-код магазина</v>
      </c>
    </row>
    <row r="14277" spans="1:7" x14ac:dyDescent="0.25">
      <c r="A14277" t="s">
        <v>43013</v>
      </c>
      <c r="B14277" t="s">
        <v>44213</v>
      </c>
      <c r="C14277" t="s">
        <v>44205</v>
      </c>
      <c r="D14277" t="s">
        <v>44206</v>
      </c>
      <c r="E14277" t="s">
        <v>44207</v>
      </c>
      <c r="F14277" t="s">
        <v>44214</v>
      </c>
      <c r="G14277" s="2" t="str">
        <f>HYPERLINK("https://probpalata.gov.ru/files/ИП610403050300003.jpeg","Скачать индивидуальный QR-код магазина")</f>
        <v>Скачать индивидуальный QR-код магазина</v>
      </c>
    </row>
    <row r="14278" spans="1:7" x14ac:dyDescent="0.25">
      <c r="A14278" t="s">
        <v>43013</v>
      </c>
      <c r="B14278" t="s">
        <v>44215</v>
      </c>
      <c r="C14278" t="s">
        <v>44205</v>
      </c>
      <c r="D14278" t="s">
        <v>44206</v>
      </c>
      <c r="E14278" t="s">
        <v>44207</v>
      </c>
      <c r="F14278" t="s">
        <v>44216</v>
      </c>
      <c r="G14278" s="2" t="str">
        <f>HYPERLINK("https://probpalata.gov.ru/files/ИП610403050300004.jpeg","Скачать индивидуальный QR-код магазина")</f>
        <v>Скачать индивидуальный QR-код магазина</v>
      </c>
    </row>
    <row r="14279" spans="1:7" x14ac:dyDescent="0.25">
      <c r="A14279" t="s">
        <v>43013</v>
      </c>
      <c r="B14279" t="s">
        <v>43014</v>
      </c>
      <c r="C14279" t="s">
        <v>44205</v>
      </c>
      <c r="D14279" t="s">
        <v>44206</v>
      </c>
      <c r="E14279" t="s">
        <v>44207</v>
      </c>
      <c r="F14279" t="s">
        <v>44217</v>
      </c>
      <c r="G14279" s="2" t="str">
        <f>HYPERLINK("https://probpalata.gov.ru/files/ИП610403050300005.jpeg","Скачать индивидуальный QR-код магазина")</f>
        <v>Скачать индивидуальный QR-код магазина</v>
      </c>
    </row>
    <row r="14280" spans="1:7" x14ac:dyDescent="0.25">
      <c r="A14280" t="s">
        <v>43013</v>
      </c>
      <c r="B14280" t="s">
        <v>44218</v>
      </c>
      <c r="C14280" t="s">
        <v>44205</v>
      </c>
      <c r="D14280" t="s">
        <v>44206</v>
      </c>
      <c r="E14280" t="s">
        <v>44207</v>
      </c>
      <c r="F14280" t="s">
        <v>44219</v>
      </c>
      <c r="G14280" s="2" t="str">
        <f>HYPERLINK("https://probpalata.gov.ru/files/ИП610403050300006.jpeg","Скачать индивидуальный QR-код магазина")</f>
        <v>Скачать индивидуальный QR-код магазина</v>
      </c>
    </row>
    <row r="14281" spans="1:7" x14ac:dyDescent="0.25">
      <c r="A14281" t="s">
        <v>43013</v>
      </c>
      <c r="B14281" t="s">
        <v>44220</v>
      </c>
      <c r="C14281" t="s">
        <v>44205</v>
      </c>
      <c r="D14281" t="s">
        <v>44206</v>
      </c>
      <c r="E14281" t="s">
        <v>44207</v>
      </c>
      <c r="F14281" t="s">
        <v>44221</v>
      </c>
      <c r="G14281" s="2" t="str">
        <f>HYPERLINK("https://probpalata.gov.ru/files/ИП610403050300007.jpeg","Скачать индивидуальный QR-код магазина")</f>
        <v>Скачать индивидуальный QR-код магазина</v>
      </c>
    </row>
    <row r="14282" spans="1:7" x14ac:dyDescent="0.25">
      <c r="A14282" t="s">
        <v>43013</v>
      </c>
      <c r="B14282" t="s">
        <v>44222</v>
      </c>
      <c r="C14282" t="s">
        <v>44205</v>
      </c>
      <c r="D14282" t="s">
        <v>44206</v>
      </c>
      <c r="E14282" t="s">
        <v>44207</v>
      </c>
      <c r="F14282" t="s">
        <v>44223</v>
      </c>
      <c r="G14282" s="2" t="str">
        <f>HYPERLINK("https://probpalata.gov.ru/files/ИП610403050300008.jpeg","Скачать индивидуальный QR-код магазина")</f>
        <v>Скачать индивидуальный QR-код магазина</v>
      </c>
    </row>
    <row r="14283" spans="1:7" x14ac:dyDescent="0.25">
      <c r="A14283" t="s">
        <v>43013</v>
      </c>
      <c r="B14283" t="s">
        <v>44224</v>
      </c>
      <c r="C14283" t="s">
        <v>44205</v>
      </c>
      <c r="D14283" t="s">
        <v>44206</v>
      </c>
      <c r="E14283" t="s">
        <v>44207</v>
      </c>
      <c r="F14283" t="s">
        <v>44225</v>
      </c>
      <c r="G14283" s="2" t="str">
        <f>HYPERLINK("https://probpalata.gov.ru/files/ИП610403050300009.jpeg","Скачать индивидуальный QR-код магазина")</f>
        <v>Скачать индивидуальный QR-код магазина</v>
      </c>
    </row>
    <row r="14284" spans="1:7" x14ac:dyDescent="0.25">
      <c r="A14284" t="s">
        <v>43013</v>
      </c>
      <c r="B14284" t="s">
        <v>44226</v>
      </c>
      <c r="C14284" t="s">
        <v>44227</v>
      </c>
      <c r="D14284" t="s">
        <v>44228</v>
      </c>
      <c r="E14284" t="s">
        <v>44229</v>
      </c>
      <c r="F14284" t="s">
        <v>44230</v>
      </c>
      <c r="G14284" s="2" t="str">
        <f>HYPERLINK("https://probpalata.gov.ru/files/ИП610400616500000.jpeg","Скачать индивидуальный QR-код магазина")</f>
        <v>Скачать индивидуальный QR-код магазина</v>
      </c>
    </row>
    <row r="14285" spans="1:7" x14ac:dyDescent="0.25">
      <c r="A14285" t="s">
        <v>43013</v>
      </c>
      <c r="B14285" t="s">
        <v>43799</v>
      </c>
      <c r="C14285" t="s">
        <v>44231</v>
      </c>
      <c r="D14285" t="s">
        <v>44232</v>
      </c>
      <c r="E14285" t="s">
        <v>44233</v>
      </c>
      <c r="F14285" t="s">
        <v>44234</v>
      </c>
      <c r="G14285" s="2" t="str">
        <f>HYPERLINK("https://probpalata.gov.ru/files/ИП610400079800000.jpeg","Скачать индивидуальный QR-код магазина")</f>
        <v>Скачать индивидуальный QR-код магазина</v>
      </c>
    </row>
    <row r="14286" spans="1:7" x14ac:dyDescent="0.25">
      <c r="A14286" t="s">
        <v>43013</v>
      </c>
      <c r="B14286" t="s">
        <v>44235</v>
      </c>
      <c r="C14286" t="s">
        <v>44236</v>
      </c>
      <c r="D14286" t="s">
        <v>44237</v>
      </c>
      <c r="E14286" t="s">
        <v>44238</v>
      </c>
      <c r="F14286" t="s">
        <v>44239</v>
      </c>
      <c r="G14286" s="2" t="str">
        <f>HYPERLINK("https://probpalata.gov.ru/files/ИП610400767000000.jpeg","Скачать индивидуальный QR-код магазина")</f>
        <v>Скачать индивидуальный QR-код магазина</v>
      </c>
    </row>
    <row r="14287" spans="1:7" x14ac:dyDescent="0.25">
      <c r="A14287" t="s">
        <v>43013</v>
      </c>
      <c r="B14287" t="s">
        <v>44240</v>
      </c>
      <c r="C14287" t="s">
        <v>44236</v>
      </c>
      <c r="D14287" t="s">
        <v>44237</v>
      </c>
      <c r="E14287" t="s">
        <v>44238</v>
      </c>
      <c r="F14287" t="s">
        <v>44241</v>
      </c>
      <c r="G14287" s="2" t="str">
        <f>HYPERLINK("https://probpalata.gov.ru/files/ИП610400767000002.jpeg","Скачать индивидуальный QR-код магазина")</f>
        <v>Скачать индивидуальный QR-код магазина</v>
      </c>
    </row>
    <row r="14288" spans="1:7" x14ac:dyDescent="0.25">
      <c r="A14288" t="s">
        <v>43013</v>
      </c>
      <c r="B14288" t="s">
        <v>44242</v>
      </c>
      <c r="C14288" t="s">
        <v>44243</v>
      </c>
      <c r="D14288" t="s">
        <v>44244</v>
      </c>
      <c r="E14288" t="s">
        <v>44245</v>
      </c>
      <c r="F14288" t="s">
        <v>44246</v>
      </c>
      <c r="G14288" s="2" t="str">
        <f>HYPERLINK("https://probpalata.gov.ru/files/ИП610400014400000.jpeg","Скачать индивидуальный QR-код магазина")</f>
        <v>Скачать индивидуальный QR-код магазина</v>
      </c>
    </row>
    <row r="14289" spans="1:7" x14ac:dyDescent="0.25">
      <c r="A14289" t="s">
        <v>43013</v>
      </c>
      <c r="B14289" t="s">
        <v>44247</v>
      </c>
      <c r="C14289" t="s">
        <v>44248</v>
      </c>
      <c r="D14289" t="s">
        <v>44249</v>
      </c>
      <c r="E14289" t="s">
        <v>44250</v>
      </c>
      <c r="F14289" t="s">
        <v>44251</v>
      </c>
      <c r="G14289" s="2" t="str">
        <f>HYPERLINK("https://probpalata.gov.ru/files/ИП610400539800000.jpeg","Скачать индивидуальный QR-код магазина")</f>
        <v>Скачать индивидуальный QR-код магазина</v>
      </c>
    </row>
    <row r="14290" spans="1:7" x14ac:dyDescent="0.25">
      <c r="A14290" t="s">
        <v>43013</v>
      </c>
      <c r="B14290" t="s">
        <v>44252</v>
      </c>
      <c r="C14290" t="s">
        <v>44253</v>
      </c>
      <c r="D14290" t="s">
        <v>44254</v>
      </c>
      <c r="E14290" t="s">
        <v>44255</v>
      </c>
      <c r="F14290" t="s">
        <v>44256</v>
      </c>
      <c r="G14290" s="2" t="str">
        <f>HYPERLINK("https://probpalata.gov.ru/files/ИП610400828000000.jpeg","Скачать индивидуальный QR-код магазина")</f>
        <v>Скачать индивидуальный QR-код магазина</v>
      </c>
    </row>
    <row r="14291" spans="1:7" x14ac:dyDescent="0.25">
      <c r="A14291" t="s">
        <v>43013</v>
      </c>
      <c r="B14291" t="s">
        <v>44257</v>
      </c>
      <c r="C14291" t="s">
        <v>44253</v>
      </c>
      <c r="D14291" t="s">
        <v>44254</v>
      </c>
      <c r="E14291" t="s">
        <v>44255</v>
      </c>
      <c r="F14291" t="s">
        <v>44258</v>
      </c>
      <c r="G14291" s="2" t="str">
        <f>HYPERLINK("https://probpalata.gov.ru/files/ИП610400828000001.jpeg","Скачать индивидуальный QR-код магазина")</f>
        <v>Скачать индивидуальный QR-код магазина</v>
      </c>
    </row>
    <row r="14292" spans="1:7" x14ac:dyDescent="0.25">
      <c r="A14292" t="s">
        <v>43013</v>
      </c>
      <c r="B14292" t="s">
        <v>44259</v>
      </c>
      <c r="C14292" t="s">
        <v>44253</v>
      </c>
      <c r="D14292" t="s">
        <v>44254</v>
      </c>
      <c r="E14292" t="s">
        <v>44255</v>
      </c>
      <c r="F14292" t="s">
        <v>44260</v>
      </c>
      <c r="G14292" s="2" t="str">
        <f>HYPERLINK("https://probpalata.gov.ru/files/ИП610400828000003.jpeg","Скачать индивидуальный QR-код магазина")</f>
        <v>Скачать индивидуальный QR-код магазина</v>
      </c>
    </row>
    <row r="14293" spans="1:7" x14ac:dyDescent="0.25">
      <c r="A14293" t="s">
        <v>43013</v>
      </c>
      <c r="B14293" t="s">
        <v>44261</v>
      </c>
      <c r="C14293" t="s">
        <v>44262</v>
      </c>
      <c r="D14293" t="s">
        <v>44263</v>
      </c>
      <c r="E14293" t="s">
        <v>44264</v>
      </c>
      <c r="F14293" t="s">
        <v>44265</v>
      </c>
      <c r="G14293" s="2" t="str">
        <f>HYPERLINK("https://probpalata.gov.ru/files/ИП610403791000000.jpeg","Скачать индивидуальный QR-код магазина")</f>
        <v>Скачать индивидуальный QR-код магазина</v>
      </c>
    </row>
    <row r="14294" spans="1:7" x14ac:dyDescent="0.25">
      <c r="A14294" t="s">
        <v>43013</v>
      </c>
      <c r="B14294" t="s">
        <v>44266</v>
      </c>
      <c r="C14294" t="s">
        <v>44267</v>
      </c>
      <c r="D14294" t="s">
        <v>44268</v>
      </c>
      <c r="E14294" t="s">
        <v>44269</v>
      </c>
      <c r="F14294" t="s">
        <v>44270</v>
      </c>
      <c r="G14294" s="2" t="str">
        <f>HYPERLINK("https://probpalata.gov.ru/files/ИП610401316800000.jpeg","Скачать индивидуальный QR-код магазина")</f>
        <v>Скачать индивидуальный QR-код магазина</v>
      </c>
    </row>
    <row r="14295" spans="1:7" x14ac:dyDescent="0.25">
      <c r="A14295" t="s">
        <v>43013</v>
      </c>
      <c r="B14295" t="s">
        <v>44271</v>
      </c>
      <c r="C14295" t="s">
        <v>44272</v>
      </c>
      <c r="D14295" t="s">
        <v>44273</v>
      </c>
      <c r="E14295" t="s">
        <v>44274</v>
      </c>
      <c r="F14295" t="s">
        <v>44275</v>
      </c>
      <c r="G14295" s="2" t="str">
        <f>HYPERLINK("https://probpalata.gov.ru/files/ИП610400990800000.jpeg","Скачать индивидуальный QR-код магазина")</f>
        <v>Скачать индивидуальный QR-код магазина</v>
      </c>
    </row>
    <row r="14296" spans="1:7" x14ac:dyDescent="0.25">
      <c r="A14296" t="s">
        <v>43013</v>
      </c>
      <c r="B14296" t="s">
        <v>44276</v>
      </c>
      <c r="C14296" t="s">
        <v>44277</v>
      </c>
      <c r="D14296" t="s">
        <v>44278</v>
      </c>
      <c r="E14296" t="s">
        <v>44279</v>
      </c>
      <c r="F14296" t="s">
        <v>44280</v>
      </c>
      <c r="G14296" s="2" t="str">
        <f>HYPERLINK("https://probpalata.gov.ru/files/ИП610400270200000.jpeg","Скачать индивидуальный QR-код магазина")</f>
        <v>Скачать индивидуальный QR-код магазина</v>
      </c>
    </row>
    <row r="14297" spans="1:7" x14ac:dyDescent="0.25">
      <c r="A14297" t="s">
        <v>43013</v>
      </c>
      <c r="B14297" t="s">
        <v>44281</v>
      </c>
      <c r="C14297" t="s">
        <v>44282</v>
      </c>
      <c r="D14297" t="s">
        <v>44283</v>
      </c>
      <c r="E14297" t="s">
        <v>44284</v>
      </c>
      <c r="F14297" t="s">
        <v>44285</v>
      </c>
      <c r="G14297" s="2" t="str">
        <f>HYPERLINK("https://probpalata.gov.ru/files/ИП610401424600000.jpeg","Скачать индивидуальный QR-код магазина")</f>
        <v>Скачать индивидуальный QR-код магазина</v>
      </c>
    </row>
    <row r="14298" spans="1:7" x14ac:dyDescent="0.25">
      <c r="A14298" t="s">
        <v>43013</v>
      </c>
      <c r="B14298" t="s">
        <v>44286</v>
      </c>
      <c r="C14298" t="s">
        <v>44287</v>
      </c>
      <c r="D14298" t="s">
        <v>44288</v>
      </c>
      <c r="E14298" t="s">
        <v>44289</v>
      </c>
      <c r="F14298" t="s">
        <v>44290</v>
      </c>
      <c r="G14298" s="2" t="str">
        <f>HYPERLINK("https://probpalata.gov.ru/files/ЮЛ610400857200000.jpeg","Скачать индивидуальный QR-код магазина")</f>
        <v>Скачать индивидуальный QR-код магазина</v>
      </c>
    </row>
    <row r="14299" spans="1:7" x14ac:dyDescent="0.25">
      <c r="A14299" t="s">
        <v>43013</v>
      </c>
      <c r="B14299" t="s">
        <v>44291</v>
      </c>
      <c r="C14299" t="s">
        <v>44292</v>
      </c>
      <c r="D14299" t="s">
        <v>44293</v>
      </c>
      <c r="E14299" t="s">
        <v>44294</v>
      </c>
      <c r="F14299" t="s">
        <v>44295</v>
      </c>
      <c r="G14299" s="2" t="str">
        <f>HYPERLINK("https://probpalata.gov.ru/files/ИП610401242600000.jpeg","Скачать индивидуальный QR-код магазина")</f>
        <v>Скачать индивидуальный QR-код магазина</v>
      </c>
    </row>
    <row r="14300" spans="1:7" x14ac:dyDescent="0.25">
      <c r="A14300" t="s">
        <v>43013</v>
      </c>
      <c r="B14300" t="s">
        <v>44296</v>
      </c>
      <c r="C14300" t="s">
        <v>44292</v>
      </c>
      <c r="D14300" t="s">
        <v>44293</v>
      </c>
      <c r="E14300" t="s">
        <v>44294</v>
      </c>
      <c r="F14300" t="s">
        <v>44297</v>
      </c>
      <c r="G14300" s="2" t="str">
        <f>HYPERLINK("https://probpalata.gov.ru/files/ИП610401242600001.jpeg","Скачать индивидуальный QR-код магазина")</f>
        <v>Скачать индивидуальный QR-код магазина</v>
      </c>
    </row>
    <row r="14301" spans="1:7" x14ac:dyDescent="0.25">
      <c r="A14301" t="s">
        <v>43013</v>
      </c>
      <c r="B14301" t="s">
        <v>44298</v>
      </c>
      <c r="C14301" t="s">
        <v>44299</v>
      </c>
      <c r="D14301" t="s">
        <v>44300</v>
      </c>
      <c r="E14301" t="s">
        <v>44301</v>
      </c>
      <c r="F14301" t="s">
        <v>44302</v>
      </c>
      <c r="G14301" s="2" t="str">
        <f>HYPERLINK("https://probpalata.gov.ru/files/ИП610400030700000.jpeg","Скачать индивидуальный QR-код магазина")</f>
        <v>Скачать индивидуальный QR-код магазина</v>
      </c>
    </row>
    <row r="14302" spans="1:7" x14ac:dyDescent="0.25">
      <c r="A14302" t="s">
        <v>43013</v>
      </c>
      <c r="B14302" t="s">
        <v>44303</v>
      </c>
      <c r="C14302" t="s">
        <v>44304</v>
      </c>
      <c r="D14302" t="s">
        <v>44305</v>
      </c>
      <c r="E14302" t="s">
        <v>44306</v>
      </c>
      <c r="F14302" t="s">
        <v>44307</v>
      </c>
      <c r="G14302" s="2" t="str">
        <f>HYPERLINK("https://probpalata.gov.ru/files/ИП610403788200000.jpeg","Скачать индивидуальный QR-код магазина")</f>
        <v>Скачать индивидуальный QR-код магазина</v>
      </c>
    </row>
    <row r="14303" spans="1:7" x14ac:dyDescent="0.25">
      <c r="A14303" t="s">
        <v>43013</v>
      </c>
      <c r="B14303" t="s">
        <v>44308</v>
      </c>
      <c r="C14303" t="s">
        <v>44304</v>
      </c>
      <c r="D14303" t="s">
        <v>44305</v>
      </c>
      <c r="E14303" t="s">
        <v>44306</v>
      </c>
      <c r="F14303" t="s">
        <v>44309</v>
      </c>
      <c r="G14303" s="2" t="str">
        <f>HYPERLINK("https://probpalata.gov.ru/files/ИП610403788200001.jpeg","Скачать индивидуальный QR-код магазина")</f>
        <v>Скачать индивидуальный QR-код магазина</v>
      </c>
    </row>
    <row r="14304" spans="1:7" x14ac:dyDescent="0.25">
      <c r="A14304" t="s">
        <v>43013</v>
      </c>
      <c r="B14304" t="s">
        <v>44310</v>
      </c>
      <c r="C14304" t="s">
        <v>44311</v>
      </c>
      <c r="D14304" t="s">
        <v>44312</v>
      </c>
      <c r="E14304" t="s">
        <v>44313</v>
      </c>
      <c r="F14304" t="s">
        <v>44314</v>
      </c>
      <c r="G14304" s="2" t="str">
        <f>HYPERLINK("https://probpalata.gov.ru/files/ИП610400002000000.jpeg","Скачать индивидуальный QR-код магазина")</f>
        <v>Скачать индивидуальный QR-код магазина</v>
      </c>
    </row>
    <row r="14305" spans="1:7" x14ac:dyDescent="0.25">
      <c r="A14305" t="s">
        <v>43013</v>
      </c>
      <c r="B14305" t="s">
        <v>44315</v>
      </c>
      <c r="C14305" t="s">
        <v>44316</v>
      </c>
      <c r="D14305" t="s">
        <v>44317</v>
      </c>
      <c r="E14305" t="s">
        <v>44318</v>
      </c>
      <c r="F14305" t="s">
        <v>44319</v>
      </c>
      <c r="G14305" s="2" t="str">
        <f>HYPERLINK("https://probpalata.gov.ru/files/ИП610403384000000.jpeg","Скачать индивидуальный QR-код магазина")</f>
        <v>Скачать индивидуальный QR-код магазина</v>
      </c>
    </row>
    <row r="14306" spans="1:7" x14ac:dyDescent="0.25">
      <c r="A14306" t="s">
        <v>43013</v>
      </c>
      <c r="B14306" t="s">
        <v>44320</v>
      </c>
      <c r="C14306" t="s">
        <v>44321</v>
      </c>
      <c r="D14306" t="s">
        <v>44322</v>
      </c>
      <c r="E14306" t="s">
        <v>44323</v>
      </c>
      <c r="F14306" t="s">
        <v>44324</v>
      </c>
      <c r="G14306" s="2" t="str">
        <f>HYPERLINK("https://probpalata.gov.ru/files/ИП610400034600000.jpeg","Скачать индивидуальный QR-код магазина")</f>
        <v>Скачать индивидуальный QR-код магазина</v>
      </c>
    </row>
    <row r="14307" spans="1:7" x14ac:dyDescent="0.25">
      <c r="A14307" t="s">
        <v>43013</v>
      </c>
      <c r="B14307" t="s">
        <v>44325</v>
      </c>
      <c r="C14307" t="s">
        <v>44321</v>
      </c>
      <c r="D14307" t="s">
        <v>44322</v>
      </c>
      <c r="E14307" t="s">
        <v>44323</v>
      </c>
      <c r="F14307" t="s">
        <v>44326</v>
      </c>
      <c r="G14307" s="2" t="str">
        <f>HYPERLINK("https://probpalata.gov.ru/files/ИП610400034600001.jpeg","Скачать индивидуальный QR-код магазина")</f>
        <v>Скачать индивидуальный QR-код магазина</v>
      </c>
    </row>
    <row r="14308" spans="1:7" x14ac:dyDescent="0.25">
      <c r="A14308" t="s">
        <v>43013</v>
      </c>
      <c r="B14308" t="s">
        <v>44327</v>
      </c>
      <c r="C14308" t="s">
        <v>44328</v>
      </c>
      <c r="D14308" t="s">
        <v>44329</v>
      </c>
      <c r="E14308" t="s">
        <v>44330</v>
      </c>
      <c r="F14308" t="s">
        <v>44331</v>
      </c>
      <c r="G14308" s="2" t="str">
        <f>HYPERLINK("https://probpalata.gov.ru/files/ИП610400077700000.jpeg","Скачать индивидуальный QR-код магазина")</f>
        <v>Скачать индивидуальный QR-код магазина</v>
      </c>
    </row>
    <row r="14309" spans="1:7" x14ac:dyDescent="0.25">
      <c r="A14309" t="s">
        <v>43013</v>
      </c>
      <c r="B14309" t="s">
        <v>44332</v>
      </c>
      <c r="C14309" t="s">
        <v>44333</v>
      </c>
      <c r="D14309" t="s">
        <v>44334</v>
      </c>
      <c r="E14309" t="s">
        <v>44335</v>
      </c>
      <c r="F14309" t="s">
        <v>44336</v>
      </c>
      <c r="G14309" s="2" t="str">
        <f>HYPERLINK("https://probpalata.gov.ru/files/ИП610400668000000.jpeg","Скачать индивидуальный QR-код магазина")</f>
        <v>Скачать индивидуальный QR-код магазина</v>
      </c>
    </row>
    <row r="14310" spans="1:7" x14ac:dyDescent="0.25">
      <c r="A14310" t="s">
        <v>43013</v>
      </c>
      <c r="B14310" t="s">
        <v>43634</v>
      </c>
      <c r="C14310" t="s">
        <v>2197</v>
      </c>
      <c r="D14310" t="s">
        <v>2198</v>
      </c>
      <c r="E14310" t="s">
        <v>2199</v>
      </c>
      <c r="F14310" t="s">
        <v>44337</v>
      </c>
      <c r="G14310" s="2" t="str">
        <f>HYPERLINK("https://probpalata.gov.ru/files/ИП630601425400067.jpeg","Скачать индивидуальный QR-код магазина")</f>
        <v>Скачать индивидуальный QR-код магазина</v>
      </c>
    </row>
    <row r="14311" spans="1:7" x14ac:dyDescent="0.25">
      <c r="A14311" t="s">
        <v>43013</v>
      </c>
      <c r="B14311" t="s">
        <v>44338</v>
      </c>
      <c r="C14311" t="s">
        <v>2197</v>
      </c>
      <c r="D14311" t="s">
        <v>2198</v>
      </c>
      <c r="E14311" t="s">
        <v>2199</v>
      </c>
      <c r="F14311" t="s">
        <v>44339</v>
      </c>
      <c r="G14311" s="2" t="str">
        <f>HYPERLINK("https://probpalata.gov.ru/files/ИП630601425400095.jpeg","Скачать индивидуальный QR-код магазина")</f>
        <v>Скачать индивидуальный QR-код магазина</v>
      </c>
    </row>
    <row r="14312" spans="1:7" x14ac:dyDescent="0.25">
      <c r="A14312" t="s">
        <v>43013</v>
      </c>
      <c r="B14312" t="s">
        <v>44144</v>
      </c>
      <c r="C14312" t="s">
        <v>2197</v>
      </c>
      <c r="D14312" t="s">
        <v>2198</v>
      </c>
      <c r="E14312" t="s">
        <v>2199</v>
      </c>
      <c r="F14312" t="s">
        <v>44340</v>
      </c>
      <c r="G14312" s="2" t="str">
        <f>HYPERLINK("https://probpalata.gov.ru/files/ИП630601425400102.jpeg","Скачать индивидуальный QR-код магазина")</f>
        <v>Скачать индивидуальный QR-код магазина</v>
      </c>
    </row>
    <row r="14313" spans="1:7" x14ac:dyDescent="0.25">
      <c r="A14313" t="s">
        <v>43013</v>
      </c>
      <c r="B14313" t="s">
        <v>44341</v>
      </c>
      <c r="C14313" t="s">
        <v>3828</v>
      </c>
      <c r="D14313" t="s">
        <v>3829</v>
      </c>
      <c r="E14313" t="s">
        <v>3830</v>
      </c>
      <c r="F14313" t="s">
        <v>44342</v>
      </c>
      <c r="G14313" s="2" t="str">
        <f>HYPERLINK("https://probpalata.gov.ru/files/ЮЛ630603373600031.jpeg","Скачать индивидуальный QR-код магазина")</f>
        <v>Скачать индивидуальный QR-код магазина</v>
      </c>
    </row>
    <row r="14314" spans="1:7" x14ac:dyDescent="0.25">
      <c r="A14314" t="s">
        <v>43013</v>
      </c>
      <c r="B14314" t="s">
        <v>44343</v>
      </c>
      <c r="C14314" t="s">
        <v>3828</v>
      </c>
      <c r="D14314" t="s">
        <v>3829</v>
      </c>
      <c r="E14314" t="s">
        <v>3830</v>
      </c>
      <c r="F14314" t="s">
        <v>44344</v>
      </c>
      <c r="G14314" s="2" t="str">
        <f>HYPERLINK("https://probpalata.gov.ru/files/ЮЛ630603373600039.jpeg","Скачать индивидуальный QR-код магазина")</f>
        <v>Скачать индивидуальный QR-код магазина</v>
      </c>
    </row>
    <row r="14315" spans="1:7" x14ac:dyDescent="0.25">
      <c r="A14315" t="s">
        <v>43013</v>
      </c>
      <c r="B14315" t="s">
        <v>44345</v>
      </c>
      <c r="C14315" t="s">
        <v>3828</v>
      </c>
      <c r="D14315" t="s">
        <v>3829</v>
      </c>
      <c r="E14315" t="s">
        <v>3830</v>
      </c>
      <c r="F14315" t="s">
        <v>44346</v>
      </c>
      <c r="G14315" s="2" t="str">
        <f>HYPERLINK("https://probpalata.gov.ru/files/ЮЛ630603373600041.jpeg","Скачать индивидуальный QR-код магазина")</f>
        <v>Скачать индивидуальный QR-код магазина</v>
      </c>
    </row>
    <row r="14316" spans="1:7" x14ac:dyDescent="0.25">
      <c r="A14316" t="s">
        <v>43013</v>
      </c>
      <c r="B14316" t="s">
        <v>44347</v>
      </c>
      <c r="C14316" t="s">
        <v>3828</v>
      </c>
      <c r="D14316" t="s">
        <v>3829</v>
      </c>
      <c r="E14316" t="s">
        <v>3830</v>
      </c>
      <c r="F14316" t="s">
        <v>44348</v>
      </c>
      <c r="G14316" s="2" t="str">
        <f>HYPERLINK("https://probpalata.gov.ru/files/ЮЛ630603373600043.jpeg","Скачать индивидуальный QR-код магазина")</f>
        <v>Скачать индивидуальный QR-код магазина</v>
      </c>
    </row>
    <row r="14317" spans="1:7" x14ac:dyDescent="0.25">
      <c r="A14317" t="s">
        <v>43013</v>
      </c>
      <c r="B14317" t="s">
        <v>44349</v>
      </c>
      <c r="C14317" t="s">
        <v>3828</v>
      </c>
      <c r="D14317" t="s">
        <v>3829</v>
      </c>
      <c r="E14317" t="s">
        <v>3830</v>
      </c>
      <c r="F14317" t="s">
        <v>44350</v>
      </c>
      <c r="G14317" s="2" t="str">
        <f>HYPERLINK("https://probpalata.gov.ru/files/ЮЛ630603373600044.jpeg","Скачать индивидуальный QR-код магазина")</f>
        <v>Скачать индивидуальный QR-код магазина</v>
      </c>
    </row>
    <row r="14318" spans="1:7" x14ac:dyDescent="0.25">
      <c r="A14318" t="s">
        <v>43013</v>
      </c>
      <c r="B14318" t="s">
        <v>44351</v>
      </c>
      <c r="C14318" t="s">
        <v>3828</v>
      </c>
      <c r="D14318" t="s">
        <v>3829</v>
      </c>
      <c r="E14318" t="s">
        <v>3830</v>
      </c>
      <c r="F14318" t="s">
        <v>44352</v>
      </c>
      <c r="G14318" s="2" t="str">
        <f>HYPERLINK("https://probpalata.gov.ru/files/ЮЛ630603373600051.jpeg","Скачать индивидуальный QR-код магазина")</f>
        <v>Скачать индивидуальный QR-код магазина</v>
      </c>
    </row>
    <row r="14319" spans="1:7" x14ac:dyDescent="0.25">
      <c r="A14319" t="s">
        <v>43013</v>
      </c>
      <c r="B14319" t="s">
        <v>44353</v>
      </c>
      <c r="C14319" t="s">
        <v>3828</v>
      </c>
      <c r="D14319" t="s">
        <v>3829</v>
      </c>
      <c r="E14319" t="s">
        <v>3830</v>
      </c>
      <c r="F14319" t="s">
        <v>44354</v>
      </c>
      <c r="G14319" s="2" t="str">
        <f>HYPERLINK("https://probpalata.gov.ru/files/ЮЛ630603373600055.jpeg","Скачать индивидуальный QR-код магазина")</f>
        <v>Скачать индивидуальный QR-код магазина</v>
      </c>
    </row>
    <row r="14320" spans="1:7" x14ac:dyDescent="0.25">
      <c r="A14320" t="s">
        <v>43013</v>
      </c>
      <c r="B14320" t="s">
        <v>44355</v>
      </c>
      <c r="C14320" t="s">
        <v>3828</v>
      </c>
      <c r="D14320" t="s">
        <v>3829</v>
      </c>
      <c r="E14320" t="s">
        <v>3830</v>
      </c>
      <c r="F14320" t="s">
        <v>44356</v>
      </c>
      <c r="G14320" s="2" t="str">
        <f>HYPERLINK("https://probpalata.gov.ru/files/ЮЛ630603373600062.jpeg","Скачать индивидуальный QR-код магазина")</f>
        <v>Скачать индивидуальный QR-код магазина</v>
      </c>
    </row>
    <row r="14321" spans="1:7" x14ac:dyDescent="0.25">
      <c r="A14321" t="s">
        <v>43013</v>
      </c>
      <c r="B14321" t="s">
        <v>44357</v>
      </c>
      <c r="C14321" t="s">
        <v>3828</v>
      </c>
      <c r="D14321" t="s">
        <v>3829</v>
      </c>
      <c r="E14321" t="s">
        <v>3830</v>
      </c>
      <c r="F14321" t="s">
        <v>44358</v>
      </c>
      <c r="G14321" s="2" t="str">
        <f>HYPERLINK("https://probpalata.gov.ru/files/ЮЛ630603373600063.jpeg","Скачать индивидуальный QR-код магазина")</f>
        <v>Скачать индивидуальный QR-код магазина</v>
      </c>
    </row>
    <row r="14322" spans="1:7" x14ac:dyDescent="0.25">
      <c r="A14322" t="s">
        <v>43013</v>
      </c>
      <c r="B14322" t="s">
        <v>44359</v>
      </c>
      <c r="C14322" t="s">
        <v>3828</v>
      </c>
      <c r="D14322" t="s">
        <v>3829</v>
      </c>
      <c r="E14322" t="s">
        <v>3830</v>
      </c>
      <c r="F14322" t="s">
        <v>44360</v>
      </c>
      <c r="G14322" s="2" t="str">
        <f>HYPERLINK("https://probpalata.gov.ru/files/ЮЛ630603373600069.jpeg","Скачать индивидуальный QR-код магазина")</f>
        <v>Скачать индивидуальный QR-код магазина</v>
      </c>
    </row>
    <row r="14323" spans="1:7" x14ac:dyDescent="0.25">
      <c r="A14323" t="s">
        <v>43013</v>
      </c>
      <c r="B14323" t="s">
        <v>44361</v>
      </c>
      <c r="C14323" t="s">
        <v>3828</v>
      </c>
      <c r="D14323" t="s">
        <v>3829</v>
      </c>
      <c r="E14323" t="s">
        <v>3830</v>
      </c>
      <c r="F14323" t="s">
        <v>44362</v>
      </c>
      <c r="G14323" s="2" t="str">
        <f>HYPERLINK("https://probpalata.gov.ru/files/ЮЛ630603373600076.jpeg","Скачать индивидуальный QR-код магазина")</f>
        <v>Скачать индивидуальный QR-код магазина</v>
      </c>
    </row>
    <row r="14324" spans="1:7" x14ac:dyDescent="0.25">
      <c r="A14324" t="s">
        <v>43013</v>
      </c>
      <c r="B14324" t="s">
        <v>44363</v>
      </c>
      <c r="C14324" t="s">
        <v>2204</v>
      </c>
      <c r="D14324" t="s">
        <v>2205</v>
      </c>
      <c r="E14324" t="s">
        <v>2206</v>
      </c>
      <c r="F14324" t="s">
        <v>44364</v>
      </c>
      <c r="G14324" s="2" t="str">
        <f>HYPERLINK("https://probpalata.gov.ru/files/ЮЛ630603037200081.jpeg","Скачать индивидуальный QR-код магазина")</f>
        <v>Скачать индивидуальный QR-код магазина</v>
      </c>
    </row>
    <row r="14325" spans="1:7" x14ac:dyDescent="0.25">
      <c r="A14325" t="s">
        <v>43013</v>
      </c>
      <c r="B14325" t="s">
        <v>44365</v>
      </c>
      <c r="C14325" t="s">
        <v>2204</v>
      </c>
      <c r="D14325" t="s">
        <v>2205</v>
      </c>
      <c r="E14325" t="s">
        <v>2206</v>
      </c>
      <c r="F14325" t="s">
        <v>44366</v>
      </c>
      <c r="G14325" s="2" t="str">
        <f>HYPERLINK("https://probpalata.gov.ru/files/ЮЛ630603037200083.jpeg","Скачать индивидуальный QR-код магазина")</f>
        <v>Скачать индивидуальный QR-код магазина</v>
      </c>
    </row>
    <row r="14326" spans="1:7" x14ac:dyDescent="0.25">
      <c r="A14326" t="s">
        <v>43013</v>
      </c>
      <c r="B14326" t="s">
        <v>44367</v>
      </c>
      <c r="C14326" t="s">
        <v>44368</v>
      </c>
      <c r="D14326" t="s">
        <v>44369</v>
      </c>
      <c r="E14326" t="s">
        <v>44370</v>
      </c>
      <c r="F14326" t="s">
        <v>44371</v>
      </c>
      <c r="G14326" s="2" t="str">
        <f>HYPERLINK("https://probpalata.gov.ru/files/ИП610400625800000.jpeg","Скачать индивидуальный QR-код магазина")</f>
        <v>Скачать индивидуальный QR-код магазина</v>
      </c>
    </row>
    <row r="14327" spans="1:7" x14ac:dyDescent="0.25">
      <c r="A14327" t="s">
        <v>43013</v>
      </c>
      <c r="B14327" t="s">
        <v>44372</v>
      </c>
      <c r="C14327" t="s">
        <v>14967</v>
      </c>
      <c r="D14327" t="s">
        <v>14968</v>
      </c>
      <c r="E14327" t="s">
        <v>14969</v>
      </c>
      <c r="F14327" t="s">
        <v>44373</v>
      </c>
      <c r="G14327" s="2" t="str">
        <f>HYPERLINK("https://probpalata.gov.ru/files/ЮЛ660701304200012.jpeg","Скачать индивидуальный QR-код магазина")</f>
        <v>Скачать индивидуальный QR-код магазина</v>
      </c>
    </row>
    <row r="14328" spans="1:7" x14ac:dyDescent="0.25">
      <c r="A14328" t="s">
        <v>43013</v>
      </c>
      <c r="B14328" t="s">
        <v>44374</v>
      </c>
      <c r="C14328" t="s">
        <v>44375</v>
      </c>
      <c r="D14328" t="s">
        <v>44376</v>
      </c>
      <c r="E14328" t="s">
        <v>44377</v>
      </c>
      <c r="F14328" t="s">
        <v>44378</v>
      </c>
      <c r="G14328" s="2" t="str">
        <f>HYPERLINK("https://probpalata.gov.ru/files/ИП610400950100000.jpeg","Скачать индивидуальный QR-код магазина")</f>
        <v>Скачать индивидуальный QR-код магазина</v>
      </c>
    </row>
    <row r="14329" spans="1:7" x14ac:dyDescent="0.25">
      <c r="A14329" t="s">
        <v>43013</v>
      </c>
      <c r="B14329" t="s">
        <v>44379</v>
      </c>
      <c r="C14329" t="s">
        <v>44375</v>
      </c>
      <c r="D14329" t="s">
        <v>44376</v>
      </c>
      <c r="E14329" t="s">
        <v>44377</v>
      </c>
      <c r="F14329" t="s">
        <v>44380</v>
      </c>
      <c r="G14329" s="2" t="str">
        <f>HYPERLINK("https://probpalata.gov.ru/files/ИП610400950100001.jpeg","Скачать индивидуальный QR-код магазина")</f>
        <v>Скачать индивидуальный QR-код магазина</v>
      </c>
    </row>
    <row r="14330" spans="1:7" x14ac:dyDescent="0.25">
      <c r="A14330" t="s">
        <v>43013</v>
      </c>
      <c r="B14330" t="s">
        <v>44381</v>
      </c>
      <c r="C14330" t="s">
        <v>44375</v>
      </c>
      <c r="D14330" t="s">
        <v>44376</v>
      </c>
      <c r="E14330" t="s">
        <v>44377</v>
      </c>
      <c r="F14330" t="s">
        <v>44382</v>
      </c>
      <c r="G14330" s="2" t="str">
        <f>HYPERLINK("https://probpalata.gov.ru/files/ИП610400950100002.jpeg","Скачать индивидуальный QR-код магазина")</f>
        <v>Скачать индивидуальный QR-код магазина</v>
      </c>
    </row>
    <row r="14331" spans="1:7" x14ac:dyDescent="0.25">
      <c r="A14331" t="s">
        <v>43013</v>
      </c>
      <c r="B14331" t="s">
        <v>44383</v>
      </c>
      <c r="C14331" t="s">
        <v>44384</v>
      </c>
      <c r="D14331" t="s">
        <v>44385</v>
      </c>
      <c r="E14331" t="s">
        <v>44386</v>
      </c>
      <c r="F14331" t="s">
        <v>44387</v>
      </c>
      <c r="G14331" s="2" t="str">
        <f>HYPERLINK("https://probpalata.gov.ru/files/ИП610401239500000.jpeg","Скачать индивидуальный QR-код магазина")</f>
        <v>Скачать индивидуальный QR-код магазина</v>
      </c>
    </row>
    <row r="14332" spans="1:7" x14ac:dyDescent="0.25">
      <c r="A14332" t="s">
        <v>43013</v>
      </c>
      <c r="B14332" t="s">
        <v>44388</v>
      </c>
      <c r="C14332" t="s">
        <v>20897</v>
      </c>
      <c r="D14332" t="s">
        <v>20898</v>
      </c>
      <c r="E14332" t="s">
        <v>20899</v>
      </c>
      <c r="F14332" t="s">
        <v>44389</v>
      </c>
      <c r="G14332" s="2" t="str">
        <f>HYPERLINK("https://probpalata.gov.ru/files/ИП770103671300004.jpeg","Скачать индивидуальный QR-код магазина")</f>
        <v>Скачать индивидуальный QR-код магазина</v>
      </c>
    </row>
    <row r="14333" spans="1:7" x14ac:dyDescent="0.25">
      <c r="A14333" t="s">
        <v>43013</v>
      </c>
      <c r="B14333" t="s">
        <v>44390</v>
      </c>
      <c r="C14333" t="s">
        <v>1740</v>
      </c>
      <c r="D14333" t="s">
        <v>1741</v>
      </c>
      <c r="E14333" t="s">
        <v>1742</v>
      </c>
      <c r="F14333" t="s">
        <v>44391</v>
      </c>
      <c r="G14333" s="2" t="str">
        <f>HYPERLINK("https://probpalata.gov.ru/files/ЮЛ760201190700049.jpeg","Скачать индивидуальный QR-код магазина")</f>
        <v>Скачать индивидуальный QR-код магазина</v>
      </c>
    </row>
    <row r="14334" spans="1:7" x14ac:dyDescent="0.25">
      <c r="A14334" t="s">
        <v>43013</v>
      </c>
      <c r="B14334" t="s">
        <v>44392</v>
      </c>
      <c r="C14334" t="s">
        <v>1740</v>
      </c>
      <c r="D14334" t="s">
        <v>1741</v>
      </c>
      <c r="E14334" t="s">
        <v>1742</v>
      </c>
      <c r="F14334" t="s">
        <v>44393</v>
      </c>
      <c r="G14334" s="2" t="str">
        <f>HYPERLINK("https://probpalata.gov.ru/files/ЮЛ760201190700080.jpeg","Скачать индивидуальный QR-код магазина")</f>
        <v>Скачать индивидуальный QR-код магазина</v>
      </c>
    </row>
    <row r="14335" spans="1:7" x14ac:dyDescent="0.25">
      <c r="A14335" t="s">
        <v>43013</v>
      </c>
      <c r="B14335" t="s">
        <v>44394</v>
      </c>
      <c r="C14335" t="s">
        <v>1745</v>
      </c>
      <c r="D14335" t="s">
        <v>1746</v>
      </c>
      <c r="E14335" t="s">
        <v>1747</v>
      </c>
      <c r="F14335" t="s">
        <v>44395</v>
      </c>
      <c r="G14335" s="2" t="str">
        <f>HYPERLINK("https://probpalata.gov.ru/files/ЮЛ770100201500464.jpeg","Скачать индивидуальный QR-код магазина")</f>
        <v>Скачать индивидуальный QR-код магазина</v>
      </c>
    </row>
    <row r="14336" spans="1:7" x14ac:dyDescent="0.25">
      <c r="A14336" t="s">
        <v>43013</v>
      </c>
      <c r="B14336" t="s">
        <v>44396</v>
      </c>
      <c r="C14336" t="s">
        <v>1745</v>
      </c>
      <c r="D14336" t="s">
        <v>1746</v>
      </c>
      <c r="E14336" t="s">
        <v>1747</v>
      </c>
      <c r="F14336" t="s">
        <v>44397</v>
      </c>
      <c r="G14336" s="2" t="str">
        <f>HYPERLINK("https://probpalata.gov.ru/files/ЮЛ770100201500519.jpeg","Скачать индивидуальный QR-код магазина")</f>
        <v>Скачать индивидуальный QR-код магазина</v>
      </c>
    </row>
    <row r="14337" spans="1:7" x14ac:dyDescent="0.25">
      <c r="A14337" t="s">
        <v>43013</v>
      </c>
      <c r="B14337" t="s">
        <v>44398</v>
      </c>
      <c r="C14337" t="s">
        <v>1745</v>
      </c>
      <c r="D14337" t="s">
        <v>1746</v>
      </c>
      <c r="E14337" t="s">
        <v>1747</v>
      </c>
      <c r="F14337" t="s">
        <v>44399</v>
      </c>
      <c r="G14337" s="2" t="str">
        <f>HYPERLINK("https://probpalata.gov.ru/files/ЮЛ770100201500528.jpeg","Скачать индивидуальный QR-код магазина")</f>
        <v>Скачать индивидуальный QR-код магазина</v>
      </c>
    </row>
    <row r="14338" spans="1:7" x14ac:dyDescent="0.25">
      <c r="A14338" t="s">
        <v>43013</v>
      </c>
      <c r="B14338" t="s">
        <v>44400</v>
      </c>
      <c r="C14338" t="s">
        <v>1745</v>
      </c>
      <c r="D14338" t="s">
        <v>1746</v>
      </c>
      <c r="E14338" t="s">
        <v>1747</v>
      </c>
      <c r="F14338" t="s">
        <v>44401</v>
      </c>
      <c r="G14338" s="2" t="str">
        <f>HYPERLINK("https://probpalata.gov.ru/files/ЮЛ770100201500569.jpeg","Скачать индивидуальный QR-код магазина")</f>
        <v>Скачать индивидуальный QR-код магазина</v>
      </c>
    </row>
    <row r="14339" spans="1:7" x14ac:dyDescent="0.25">
      <c r="A14339" t="s">
        <v>43013</v>
      </c>
      <c r="B14339" t="s">
        <v>44402</v>
      </c>
      <c r="C14339" t="s">
        <v>1745</v>
      </c>
      <c r="D14339" t="s">
        <v>1746</v>
      </c>
      <c r="E14339" t="s">
        <v>1747</v>
      </c>
      <c r="F14339" t="s">
        <v>44403</v>
      </c>
      <c r="G14339" s="2" t="str">
        <f>HYPERLINK("https://probpalata.gov.ru/files/ЮЛ770100201500571.jpeg","Скачать индивидуальный QR-код магазина")</f>
        <v>Скачать индивидуальный QR-код магазина</v>
      </c>
    </row>
    <row r="14340" spans="1:7" x14ac:dyDescent="0.25">
      <c r="A14340" t="s">
        <v>43013</v>
      </c>
      <c r="B14340" t="s">
        <v>44404</v>
      </c>
      <c r="C14340" t="s">
        <v>1745</v>
      </c>
      <c r="D14340" t="s">
        <v>1746</v>
      </c>
      <c r="E14340" t="s">
        <v>1747</v>
      </c>
      <c r="F14340" t="s">
        <v>44405</v>
      </c>
      <c r="G14340" s="2" t="str">
        <f>HYPERLINK("https://probpalata.gov.ru/files/ЮЛ770100201500574.jpeg","Скачать индивидуальный QR-код магазина")</f>
        <v>Скачать индивидуальный QR-код магазина</v>
      </c>
    </row>
    <row r="14341" spans="1:7" x14ac:dyDescent="0.25">
      <c r="A14341" t="s">
        <v>43013</v>
      </c>
      <c r="B14341" t="s">
        <v>44406</v>
      </c>
      <c r="C14341" t="s">
        <v>1745</v>
      </c>
      <c r="D14341" t="s">
        <v>1746</v>
      </c>
      <c r="E14341" t="s">
        <v>1747</v>
      </c>
      <c r="F14341" t="s">
        <v>44407</v>
      </c>
      <c r="G14341" s="2" t="str">
        <f>HYPERLINK("https://probpalata.gov.ru/files/ЮЛ770100201500575.jpeg","Скачать индивидуальный QR-код магазина")</f>
        <v>Скачать индивидуальный QR-код магазина</v>
      </c>
    </row>
    <row r="14342" spans="1:7" x14ac:dyDescent="0.25">
      <c r="A14342" t="s">
        <v>43013</v>
      </c>
      <c r="B14342" t="s">
        <v>44408</v>
      </c>
      <c r="C14342" t="s">
        <v>1745</v>
      </c>
      <c r="D14342" t="s">
        <v>1746</v>
      </c>
      <c r="E14342" t="s">
        <v>1747</v>
      </c>
      <c r="F14342" t="s">
        <v>44409</v>
      </c>
      <c r="G14342" s="2" t="str">
        <f>HYPERLINK("https://probpalata.gov.ru/files/ЮЛ770100201500578.jpeg","Скачать индивидуальный QR-код магазина")</f>
        <v>Скачать индивидуальный QR-код магазина</v>
      </c>
    </row>
    <row r="14343" spans="1:7" x14ac:dyDescent="0.25">
      <c r="A14343" t="s">
        <v>43013</v>
      </c>
      <c r="B14343" t="s">
        <v>44410</v>
      </c>
      <c r="C14343" t="s">
        <v>1745</v>
      </c>
      <c r="D14343" t="s">
        <v>1746</v>
      </c>
      <c r="E14343" t="s">
        <v>1747</v>
      </c>
      <c r="F14343" t="s">
        <v>44411</v>
      </c>
      <c r="G14343" s="2" t="str">
        <f>HYPERLINK("https://probpalata.gov.ru/files/ЮЛ770100201500586.jpeg","Скачать индивидуальный QR-код магазина")</f>
        <v>Скачать индивидуальный QR-код магазина</v>
      </c>
    </row>
    <row r="14344" spans="1:7" x14ac:dyDescent="0.25">
      <c r="A14344" t="s">
        <v>43013</v>
      </c>
      <c r="B14344" t="s">
        <v>44412</v>
      </c>
      <c r="C14344" t="s">
        <v>1745</v>
      </c>
      <c r="D14344" t="s">
        <v>1746</v>
      </c>
      <c r="E14344" t="s">
        <v>1747</v>
      </c>
      <c r="F14344" t="s">
        <v>44413</v>
      </c>
      <c r="G14344" s="2" t="str">
        <f>HYPERLINK("https://probpalata.gov.ru/files/ЮЛ770100201500591.jpeg","Скачать индивидуальный QR-код магазина")</f>
        <v>Скачать индивидуальный QR-код магазина</v>
      </c>
    </row>
    <row r="14345" spans="1:7" x14ac:dyDescent="0.25">
      <c r="A14345" t="s">
        <v>43013</v>
      </c>
      <c r="B14345" t="s">
        <v>44414</v>
      </c>
      <c r="C14345" t="s">
        <v>1745</v>
      </c>
      <c r="D14345" t="s">
        <v>1746</v>
      </c>
      <c r="E14345" t="s">
        <v>1747</v>
      </c>
      <c r="F14345" t="s">
        <v>44415</v>
      </c>
      <c r="G14345" s="2" t="str">
        <f>HYPERLINK("https://probpalata.gov.ru/files/ЮЛ770100201500705.jpeg","Скачать индивидуальный QR-код магазина")</f>
        <v>Скачать индивидуальный QR-код магазина</v>
      </c>
    </row>
    <row r="14346" spans="1:7" x14ac:dyDescent="0.25">
      <c r="A14346" t="s">
        <v>43013</v>
      </c>
      <c r="B14346" t="s">
        <v>44416</v>
      </c>
      <c r="C14346" t="s">
        <v>1745</v>
      </c>
      <c r="D14346" t="s">
        <v>1746</v>
      </c>
      <c r="E14346" t="s">
        <v>1747</v>
      </c>
      <c r="F14346" t="s">
        <v>44417</v>
      </c>
      <c r="G14346" s="2" t="str">
        <f>HYPERLINK("https://probpalata.gov.ru/files/ЮЛ770100201500710.jpeg","Скачать индивидуальный QR-код магазина")</f>
        <v>Скачать индивидуальный QR-код магазина</v>
      </c>
    </row>
    <row r="14347" spans="1:7" x14ac:dyDescent="0.25">
      <c r="A14347" t="s">
        <v>43013</v>
      </c>
      <c r="B14347" t="s">
        <v>44418</v>
      </c>
      <c r="C14347" t="s">
        <v>14998</v>
      </c>
      <c r="D14347" t="s">
        <v>14999</v>
      </c>
      <c r="E14347" t="s">
        <v>15000</v>
      </c>
      <c r="F14347" t="s">
        <v>44419</v>
      </c>
      <c r="G14347" s="2" t="str">
        <f>HYPERLINK("https://probpalata.gov.ru/files/ЮЛ770100623000003.jpeg","Скачать индивидуальный QR-код магазина")</f>
        <v>Скачать индивидуальный QR-код магазина</v>
      </c>
    </row>
    <row r="14348" spans="1:7" x14ac:dyDescent="0.25">
      <c r="A14348" t="s">
        <v>43013</v>
      </c>
      <c r="B14348" t="s">
        <v>44420</v>
      </c>
      <c r="C14348" t="s">
        <v>15003</v>
      </c>
      <c r="D14348" t="s">
        <v>15004</v>
      </c>
      <c r="E14348" t="s">
        <v>15005</v>
      </c>
      <c r="F14348" t="s">
        <v>44421</v>
      </c>
      <c r="G14348" s="2" t="str">
        <f>HYPERLINK("https://probpalata.gov.ru/files/ЮЛ770100264000031.jpeg","Скачать индивидуальный QR-код магазина")</f>
        <v>Скачать индивидуальный QR-код магазина</v>
      </c>
    </row>
    <row r="14349" spans="1:7" x14ac:dyDescent="0.25">
      <c r="A14349" t="s">
        <v>43013</v>
      </c>
      <c r="B14349" t="s">
        <v>44422</v>
      </c>
      <c r="C14349" t="s">
        <v>713</v>
      </c>
      <c r="D14349" t="s">
        <v>714</v>
      </c>
      <c r="E14349" t="s">
        <v>715</v>
      </c>
      <c r="F14349" t="s">
        <v>44423</v>
      </c>
      <c r="G14349" s="2" t="str">
        <f>HYPERLINK("https://probpalata.gov.ru/files/ЮЛ770101216600183.jpeg","Скачать индивидуальный QR-код магазина")</f>
        <v>Скачать индивидуальный QR-код магазина</v>
      </c>
    </row>
    <row r="14350" spans="1:7" x14ac:dyDescent="0.25">
      <c r="A14350" t="s">
        <v>43013</v>
      </c>
      <c r="B14350" t="s">
        <v>44424</v>
      </c>
      <c r="C14350" t="s">
        <v>713</v>
      </c>
      <c r="D14350" t="s">
        <v>714</v>
      </c>
      <c r="E14350" t="s">
        <v>715</v>
      </c>
      <c r="F14350" t="s">
        <v>44425</v>
      </c>
      <c r="G14350" s="2" t="str">
        <f>HYPERLINK("https://probpalata.gov.ru/files/ЮЛ770101216600252.jpeg","Скачать индивидуальный QR-код магазина")</f>
        <v>Скачать индивидуальный QR-код магазина</v>
      </c>
    </row>
    <row r="14351" spans="1:7" x14ac:dyDescent="0.25">
      <c r="A14351" t="s">
        <v>43013</v>
      </c>
      <c r="B14351" t="s">
        <v>44426</v>
      </c>
      <c r="C14351" t="s">
        <v>713</v>
      </c>
      <c r="D14351" t="s">
        <v>714</v>
      </c>
      <c r="E14351" t="s">
        <v>715</v>
      </c>
      <c r="F14351" t="s">
        <v>44427</v>
      </c>
      <c r="G14351" s="2" t="str">
        <f>HYPERLINK("https://probpalata.gov.ru/files/ЮЛ770101216600253.jpeg","Скачать индивидуальный QR-код магазина")</f>
        <v>Скачать индивидуальный QR-код магазина</v>
      </c>
    </row>
    <row r="14352" spans="1:7" x14ac:dyDescent="0.25">
      <c r="A14352" t="s">
        <v>43013</v>
      </c>
      <c r="B14352" t="s">
        <v>44428</v>
      </c>
      <c r="C14352" t="s">
        <v>713</v>
      </c>
      <c r="D14352" t="s">
        <v>714</v>
      </c>
      <c r="E14352" t="s">
        <v>715</v>
      </c>
      <c r="F14352" t="s">
        <v>44429</v>
      </c>
      <c r="G14352" s="2" t="str">
        <f>HYPERLINK("https://probpalata.gov.ru/files/ЮЛ770101216600254.jpeg","Скачать индивидуальный QR-код магазина")</f>
        <v>Скачать индивидуальный QR-код магазина</v>
      </c>
    </row>
    <row r="14353" spans="1:7" x14ac:dyDescent="0.25">
      <c r="A14353" t="s">
        <v>43013</v>
      </c>
      <c r="B14353" t="s">
        <v>44430</v>
      </c>
      <c r="C14353" t="s">
        <v>713</v>
      </c>
      <c r="D14353" t="s">
        <v>714</v>
      </c>
      <c r="E14353" t="s">
        <v>715</v>
      </c>
      <c r="F14353" t="s">
        <v>44431</v>
      </c>
      <c r="G14353" s="2" t="str">
        <f>HYPERLINK("https://probpalata.gov.ru/files/ЮЛ770101216600261.jpeg","Скачать индивидуальный QR-код магазина")</f>
        <v>Скачать индивидуальный QR-код магазина</v>
      </c>
    </row>
    <row r="14354" spans="1:7" x14ac:dyDescent="0.25">
      <c r="A14354" t="s">
        <v>43013</v>
      </c>
      <c r="B14354" t="s">
        <v>44432</v>
      </c>
      <c r="C14354" t="s">
        <v>713</v>
      </c>
      <c r="D14354" t="s">
        <v>714</v>
      </c>
      <c r="E14354" t="s">
        <v>715</v>
      </c>
      <c r="F14354" t="s">
        <v>44433</v>
      </c>
      <c r="G14354" s="2" t="str">
        <f>HYPERLINK("https://probpalata.gov.ru/files/ЮЛ770101216600297.jpeg","Скачать индивидуальный QR-код магазина")</f>
        <v>Скачать индивидуальный QR-код магазина</v>
      </c>
    </row>
    <row r="14355" spans="1:7" x14ac:dyDescent="0.25">
      <c r="A14355" t="s">
        <v>43013</v>
      </c>
      <c r="B14355" t="s">
        <v>44434</v>
      </c>
      <c r="C14355" t="s">
        <v>713</v>
      </c>
      <c r="D14355" t="s">
        <v>714</v>
      </c>
      <c r="E14355" t="s">
        <v>715</v>
      </c>
      <c r="F14355" t="s">
        <v>44435</v>
      </c>
      <c r="G14355" s="2" t="str">
        <f>HYPERLINK("https://probpalata.gov.ru/files/ЮЛ770101216600322.jpeg","Скачать индивидуальный QR-код магазина")</f>
        <v>Скачать индивидуальный QR-код магазина</v>
      </c>
    </row>
    <row r="14356" spans="1:7" x14ac:dyDescent="0.25">
      <c r="A14356" t="s">
        <v>43013</v>
      </c>
      <c r="B14356" t="s">
        <v>44436</v>
      </c>
      <c r="C14356" t="s">
        <v>713</v>
      </c>
      <c r="D14356" t="s">
        <v>714</v>
      </c>
      <c r="E14356" t="s">
        <v>715</v>
      </c>
      <c r="F14356" t="s">
        <v>44437</v>
      </c>
      <c r="G14356" s="2" t="str">
        <f>HYPERLINK("https://probpalata.gov.ru/files/ЮЛ770101216600429.jpeg","Скачать индивидуальный QR-код магазина")</f>
        <v>Скачать индивидуальный QR-код магазина</v>
      </c>
    </row>
    <row r="14357" spans="1:7" x14ac:dyDescent="0.25">
      <c r="A14357" t="s">
        <v>43013</v>
      </c>
      <c r="B14357" t="s">
        <v>44438</v>
      </c>
      <c r="C14357" t="s">
        <v>713</v>
      </c>
      <c r="D14357" t="s">
        <v>714</v>
      </c>
      <c r="E14357" t="s">
        <v>715</v>
      </c>
      <c r="F14357" t="s">
        <v>44439</v>
      </c>
      <c r="G14357" s="2" t="str">
        <f>HYPERLINK("https://probpalata.gov.ru/files/ЮЛ770101216600431.jpeg","Скачать индивидуальный QR-код магазина")</f>
        <v>Скачать индивидуальный QR-код магазина</v>
      </c>
    </row>
    <row r="14358" spans="1:7" x14ac:dyDescent="0.25">
      <c r="A14358" t="s">
        <v>43013</v>
      </c>
      <c r="B14358" t="s">
        <v>44440</v>
      </c>
      <c r="C14358" t="s">
        <v>713</v>
      </c>
      <c r="D14358" t="s">
        <v>714</v>
      </c>
      <c r="E14358" t="s">
        <v>715</v>
      </c>
      <c r="F14358" t="s">
        <v>44441</v>
      </c>
      <c r="G14358" s="2" t="str">
        <f>HYPERLINK("https://probpalata.gov.ru/files/ЮЛ770101216600432.jpeg","Скачать индивидуальный QR-код магазина")</f>
        <v>Скачать индивидуальный QR-код магазина</v>
      </c>
    </row>
    <row r="14359" spans="1:7" x14ac:dyDescent="0.25">
      <c r="A14359" t="s">
        <v>43013</v>
      </c>
      <c r="B14359" t="s">
        <v>44442</v>
      </c>
      <c r="C14359" t="s">
        <v>713</v>
      </c>
      <c r="D14359" t="s">
        <v>714</v>
      </c>
      <c r="E14359" t="s">
        <v>715</v>
      </c>
      <c r="F14359" t="s">
        <v>44443</v>
      </c>
      <c r="G14359" s="2" t="str">
        <f>HYPERLINK("https://probpalata.gov.ru/files/ЮЛ770101216600526.jpeg","Скачать индивидуальный QR-код магазина")</f>
        <v>Скачать индивидуальный QR-код магазина</v>
      </c>
    </row>
    <row r="14360" spans="1:7" x14ac:dyDescent="0.25">
      <c r="A14360" t="s">
        <v>43013</v>
      </c>
      <c r="B14360" t="s">
        <v>44444</v>
      </c>
      <c r="C14360" t="s">
        <v>713</v>
      </c>
      <c r="D14360" t="s">
        <v>714</v>
      </c>
      <c r="E14360" t="s">
        <v>715</v>
      </c>
      <c r="F14360" t="s">
        <v>44445</v>
      </c>
      <c r="G14360" s="2" t="str">
        <f>HYPERLINK("https://probpalata.gov.ru/files/ЮЛ770101216600629.jpeg","Скачать индивидуальный QR-код магазина")</f>
        <v>Скачать индивидуальный QR-код магазина</v>
      </c>
    </row>
    <row r="14361" spans="1:7" x14ac:dyDescent="0.25">
      <c r="A14361" t="s">
        <v>43013</v>
      </c>
      <c r="B14361" t="s">
        <v>44446</v>
      </c>
      <c r="C14361" t="s">
        <v>713</v>
      </c>
      <c r="D14361" t="s">
        <v>714</v>
      </c>
      <c r="E14361" t="s">
        <v>715</v>
      </c>
      <c r="F14361" t="s">
        <v>44447</v>
      </c>
      <c r="G14361" s="2" t="str">
        <f>HYPERLINK("https://probpalata.gov.ru/files/ЮЛ770101216600673.jpeg","Скачать индивидуальный QR-код магазина")</f>
        <v>Скачать индивидуальный QR-код магазина</v>
      </c>
    </row>
    <row r="14362" spans="1:7" x14ac:dyDescent="0.25">
      <c r="A14362" t="s">
        <v>43013</v>
      </c>
      <c r="B14362" t="s">
        <v>44448</v>
      </c>
      <c r="C14362" t="s">
        <v>713</v>
      </c>
      <c r="D14362" t="s">
        <v>714</v>
      </c>
      <c r="E14362" t="s">
        <v>715</v>
      </c>
      <c r="F14362" t="s">
        <v>44449</v>
      </c>
      <c r="G14362" s="2" t="str">
        <f>HYPERLINK("https://probpalata.gov.ru/files/ЮЛ770101216600674.jpeg","Скачать индивидуальный QR-код магазина")</f>
        <v>Скачать индивидуальный QR-код магазина</v>
      </c>
    </row>
    <row r="14363" spans="1:7" x14ac:dyDescent="0.25">
      <c r="A14363" t="s">
        <v>43013</v>
      </c>
      <c r="B14363" t="s">
        <v>44450</v>
      </c>
      <c r="C14363" t="s">
        <v>713</v>
      </c>
      <c r="D14363" t="s">
        <v>714</v>
      </c>
      <c r="E14363" t="s">
        <v>715</v>
      </c>
      <c r="F14363" t="s">
        <v>44451</v>
      </c>
      <c r="G14363" s="2" t="str">
        <f>HYPERLINK("https://probpalata.gov.ru/files/ЮЛ770101216600710.jpeg","Скачать индивидуальный QR-код магазина")</f>
        <v>Скачать индивидуальный QR-код магазина</v>
      </c>
    </row>
    <row r="14364" spans="1:7" x14ac:dyDescent="0.25">
      <c r="A14364" t="s">
        <v>43013</v>
      </c>
      <c r="B14364" t="s">
        <v>44452</v>
      </c>
      <c r="C14364" t="s">
        <v>713</v>
      </c>
      <c r="D14364" t="s">
        <v>714</v>
      </c>
      <c r="E14364" t="s">
        <v>715</v>
      </c>
      <c r="F14364" t="s">
        <v>44453</v>
      </c>
      <c r="G14364" s="2" t="str">
        <f>HYPERLINK("https://probpalata.gov.ru/files/ЮЛ770101216600733.jpeg","Скачать индивидуальный QR-код магазина")</f>
        <v>Скачать индивидуальный QR-код магазина</v>
      </c>
    </row>
    <row r="14365" spans="1:7" x14ac:dyDescent="0.25">
      <c r="A14365" t="s">
        <v>43013</v>
      </c>
      <c r="B14365" t="s">
        <v>44454</v>
      </c>
      <c r="C14365" t="s">
        <v>713</v>
      </c>
      <c r="D14365" t="s">
        <v>714</v>
      </c>
      <c r="E14365" t="s">
        <v>715</v>
      </c>
      <c r="F14365" t="s">
        <v>44455</v>
      </c>
      <c r="G14365" s="2" t="str">
        <f>HYPERLINK("https://probpalata.gov.ru/files/ЮЛ770101216600749.jpeg","Скачать индивидуальный QR-код магазина")</f>
        <v>Скачать индивидуальный QR-код магазина</v>
      </c>
    </row>
    <row r="14366" spans="1:7" x14ac:dyDescent="0.25">
      <c r="A14366" t="s">
        <v>43013</v>
      </c>
      <c r="B14366" t="s">
        <v>44456</v>
      </c>
      <c r="C14366" t="s">
        <v>713</v>
      </c>
      <c r="D14366" t="s">
        <v>714</v>
      </c>
      <c r="E14366" t="s">
        <v>715</v>
      </c>
      <c r="F14366" t="s">
        <v>44457</v>
      </c>
      <c r="G14366" s="2" t="str">
        <f>HYPERLINK("https://probpalata.gov.ru/files/ЮЛ770101216600799.jpeg","Скачать индивидуальный QR-код магазина")</f>
        <v>Скачать индивидуальный QR-код магазина</v>
      </c>
    </row>
    <row r="14367" spans="1:7" x14ac:dyDescent="0.25">
      <c r="A14367" t="s">
        <v>43013</v>
      </c>
      <c r="B14367" t="s">
        <v>44458</v>
      </c>
      <c r="C14367" t="s">
        <v>713</v>
      </c>
      <c r="D14367" t="s">
        <v>714</v>
      </c>
      <c r="E14367" t="s">
        <v>715</v>
      </c>
      <c r="F14367" t="s">
        <v>44459</v>
      </c>
      <c r="G14367" s="2" t="str">
        <f>HYPERLINK("https://probpalata.gov.ru/files/ЮЛ770101216600800.jpeg","Скачать индивидуальный QR-код магазина")</f>
        <v>Скачать индивидуальный QR-код магазина</v>
      </c>
    </row>
    <row r="14368" spans="1:7" x14ac:dyDescent="0.25">
      <c r="A14368" t="s">
        <v>43013</v>
      </c>
      <c r="B14368" t="s">
        <v>44460</v>
      </c>
      <c r="C14368" t="s">
        <v>713</v>
      </c>
      <c r="D14368" t="s">
        <v>714</v>
      </c>
      <c r="E14368" t="s">
        <v>715</v>
      </c>
      <c r="F14368" t="s">
        <v>44461</v>
      </c>
      <c r="G14368" s="2" t="str">
        <f>HYPERLINK("https://probpalata.gov.ru/files/ЮЛ770101216600858.jpeg","Скачать индивидуальный QR-код магазина")</f>
        <v>Скачать индивидуальный QR-код магазина</v>
      </c>
    </row>
    <row r="14369" spans="1:7" x14ac:dyDescent="0.25">
      <c r="A14369" t="s">
        <v>43013</v>
      </c>
      <c r="B14369" t="s">
        <v>44462</v>
      </c>
      <c r="C14369" t="s">
        <v>713</v>
      </c>
      <c r="D14369" t="s">
        <v>714</v>
      </c>
      <c r="E14369" t="s">
        <v>715</v>
      </c>
      <c r="F14369" t="s">
        <v>44463</v>
      </c>
      <c r="G14369" s="2" t="str">
        <f>HYPERLINK("https://probpalata.gov.ru/files/ЮЛ770101216600866.jpeg","Скачать индивидуальный QR-код магазина")</f>
        <v>Скачать индивидуальный QR-код магазина</v>
      </c>
    </row>
    <row r="14370" spans="1:7" x14ac:dyDescent="0.25">
      <c r="A14370" t="s">
        <v>43013</v>
      </c>
      <c r="B14370" t="s">
        <v>44464</v>
      </c>
      <c r="C14370" t="s">
        <v>713</v>
      </c>
      <c r="D14370" t="s">
        <v>714</v>
      </c>
      <c r="E14370" t="s">
        <v>715</v>
      </c>
      <c r="F14370" t="s">
        <v>44465</v>
      </c>
      <c r="G14370" s="2" t="str">
        <f>HYPERLINK("https://probpalata.gov.ru/files/ЮЛ770101216600886.jpeg","Скачать индивидуальный QR-код магазина")</f>
        <v>Скачать индивидуальный QR-код магазина</v>
      </c>
    </row>
    <row r="14371" spans="1:7" x14ac:dyDescent="0.25">
      <c r="A14371" t="s">
        <v>43013</v>
      </c>
      <c r="B14371" t="s">
        <v>44466</v>
      </c>
      <c r="C14371" t="s">
        <v>713</v>
      </c>
      <c r="D14371" t="s">
        <v>714</v>
      </c>
      <c r="E14371" t="s">
        <v>715</v>
      </c>
      <c r="F14371" t="s">
        <v>44467</v>
      </c>
      <c r="G14371" s="2" t="str">
        <f>HYPERLINK("https://probpalata.gov.ru/files/ЮЛ770101216600911.jpeg","Скачать индивидуальный QR-код магазина")</f>
        <v>Скачать индивидуальный QR-код магазина</v>
      </c>
    </row>
    <row r="14372" spans="1:7" x14ac:dyDescent="0.25">
      <c r="A14372" t="s">
        <v>43013</v>
      </c>
      <c r="B14372" t="s">
        <v>44468</v>
      </c>
      <c r="C14372" t="s">
        <v>713</v>
      </c>
      <c r="D14372" t="s">
        <v>714</v>
      </c>
      <c r="E14372" t="s">
        <v>715</v>
      </c>
      <c r="F14372" t="s">
        <v>44469</v>
      </c>
      <c r="G14372" s="2" t="str">
        <f>HYPERLINK("https://probpalata.gov.ru/files/ЮЛ770101216600934.jpeg","Скачать индивидуальный QR-код магазина")</f>
        <v>Скачать индивидуальный QR-код магазина</v>
      </c>
    </row>
    <row r="14373" spans="1:7" x14ac:dyDescent="0.25">
      <c r="A14373" t="s">
        <v>43013</v>
      </c>
      <c r="B14373" t="s">
        <v>44470</v>
      </c>
      <c r="C14373" t="s">
        <v>713</v>
      </c>
      <c r="D14373" t="s">
        <v>714</v>
      </c>
      <c r="E14373" t="s">
        <v>715</v>
      </c>
      <c r="F14373" t="s">
        <v>44471</v>
      </c>
      <c r="G14373" s="2" t="str">
        <f>HYPERLINK("https://probpalata.gov.ru/files/ЮЛ770101216600952.jpeg","Скачать индивидуальный QR-код магазина")</f>
        <v>Скачать индивидуальный QR-код магазина</v>
      </c>
    </row>
    <row r="14374" spans="1:7" x14ac:dyDescent="0.25">
      <c r="A14374" t="s">
        <v>43013</v>
      </c>
      <c r="B14374" t="s">
        <v>44472</v>
      </c>
      <c r="C14374" t="s">
        <v>713</v>
      </c>
      <c r="D14374" t="s">
        <v>714</v>
      </c>
      <c r="E14374" t="s">
        <v>715</v>
      </c>
      <c r="F14374" t="s">
        <v>44473</v>
      </c>
      <c r="G14374" s="2" t="str">
        <f>HYPERLINK("https://probpalata.gov.ru/files/ЮЛ770101216600963.jpeg","Скачать индивидуальный QR-код магазина")</f>
        <v>Скачать индивидуальный QR-код магазина</v>
      </c>
    </row>
    <row r="14375" spans="1:7" x14ac:dyDescent="0.25">
      <c r="A14375" t="s">
        <v>43013</v>
      </c>
      <c r="B14375" t="s">
        <v>44474</v>
      </c>
      <c r="C14375" t="s">
        <v>7727</v>
      </c>
      <c r="D14375" t="s">
        <v>7728</v>
      </c>
      <c r="E14375" t="s">
        <v>7729</v>
      </c>
      <c r="F14375" t="s">
        <v>44475</v>
      </c>
      <c r="G14375" s="2" t="str">
        <f>HYPERLINK("https://probpalata.gov.ru/files/ЮЛ770100167700009.jpeg","Скачать индивидуальный QR-код магазина")</f>
        <v>Скачать индивидуальный QR-код магазина</v>
      </c>
    </row>
    <row r="14376" spans="1:7" x14ac:dyDescent="0.25">
      <c r="A14376" t="s">
        <v>43013</v>
      </c>
      <c r="B14376" t="s">
        <v>44476</v>
      </c>
      <c r="C14376" t="s">
        <v>3916</v>
      </c>
      <c r="D14376" t="s">
        <v>3917</v>
      </c>
      <c r="E14376" t="s">
        <v>3918</v>
      </c>
      <c r="F14376" t="s">
        <v>44477</v>
      </c>
      <c r="G14376" s="2" t="str">
        <f>HYPERLINK("https://probpalata.gov.ru/files/ЮЛ770103164400070.jpeg","Скачать индивидуальный QR-код магазина")</f>
        <v>Скачать индивидуальный QR-код магазина</v>
      </c>
    </row>
    <row r="14377" spans="1:7" x14ac:dyDescent="0.25">
      <c r="A14377" t="s">
        <v>43013</v>
      </c>
      <c r="B14377" t="s">
        <v>44478</v>
      </c>
      <c r="C14377" t="s">
        <v>15102</v>
      </c>
      <c r="D14377" t="s">
        <v>15103</v>
      </c>
      <c r="E14377" t="s">
        <v>15104</v>
      </c>
      <c r="F14377" t="s">
        <v>44479</v>
      </c>
      <c r="G14377" s="2" t="str">
        <f>HYPERLINK("https://probpalata.gov.ru/files/ИП770101587900000.jpeg","Скачать индивидуальный QR-код магазина")</f>
        <v>Скачать индивидуальный QR-код магазина</v>
      </c>
    </row>
    <row r="14378" spans="1:7" x14ac:dyDescent="0.25">
      <c r="A14378" t="s">
        <v>43013</v>
      </c>
      <c r="B14378" t="s">
        <v>44480</v>
      </c>
      <c r="C14378" t="s">
        <v>15121</v>
      </c>
      <c r="D14378" t="s">
        <v>15122</v>
      </c>
      <c r="E14378" t="s">
        <v>15123</v>
      </c>
      <c r="F14378" t="s">
        <v>44481</v>
      </c>
      <c r="G14378" s="2" t="str">
        <f>HYPERLINK("https://probpalata.gov.ru/files/ЮЛ770101324600032.jpeg","Скачать индивидуальный QR-код магазина")</f>
        <v>Скачать индивидуальный QR-код магазина</v>
      </c>
    </row>
    <row r="14379" spans="1:7" x14ac:dyDescent="0.25">
      <c r="A14379" t="s">
        <v>43013</v>
      </c>
      <c r="B14379" t="s">
        <v>44482</v>
      </c>
      <c r="C14379" t="s">
        <v>15121</v>
      </c>
      <c r="D14379" t="s">
        <v>15122</v>
      </c>
      <c r="E14379" t="s">
        <v>15123</v>
      </c>
      <c r="F14379" t="s">
        <v>44483</v>
      </c>
      <c r="G14379" s="2" t="str">
        <f>HYPERLINK("https://probpalata.gov.ru/files/ЮЛ770101324600033.jpeg","Скачать индивидуальный QR-код магазина")</f>
        <v>Скачать индивидуальный QR-код магазина</v>
      </c>
    </row>
    <row r="14380" spans="1:7" x14ac:dyDescent="0.25">
      <c r="A14380" t="s">
        <v>43013</v>
      </c>
      <c r="B14380" t="s">
        <v>44484</v>
      </c>
      <c r="C14380" t="s">
        <v>15121</v>
      </c>
      <c r="D14380" t="s">
        <v>15122</v>
      </c>
      <c r="E14380" t="s">
        <v>15123</v>
      </c>
      <c r="F14380" t="s">
        <v>44485</v>
      </c>
      <c r="G14380" s="2" t="str">
        <f>HYPERLINK("https://probpalata.gov.ru/files/ЮЛ770101324600040.jpeg","Скачать индивидуальный QR-код магазина")</f>
        <v>Скачать индивидуальный QR-код магазина</v>
      </c>
    </row>
    <row r="14381" spans="1:7" x14ac:dyDescent="0.25">
      <c r="A14381" t="s">
        <v>43013</v>
      </c>
      <c r="B14381" t="s">
        <v>44486</v>
      </c>
      <c r="C14381" t="s">
        <v>15121</v>
      </c>
      <c r="D14381" t="s">
        <v>15122</v>
      </c>
      <c r="E14381" t="s">
        <v>15123</v>
      </c>
      <c r="F14381" t="s">
        <v>44487</v>
      </c>
      <c r="G14381" s="2" t="str">
        <f>HYPERLINK("https://probpalata.gov.ru/files/ЮЛ770101324600047.jpeg","Скачать индивидуальный QR-код магазина")</f>
        <v>Скачать индивидуальный QR-код магазина</v>
      </c>
    </row>
    <row r="14382" spans="1:7" x14ac:dyDescent="0.25">
      <c r="A14382" t="s">
        <v>43013</v>
      </c>
      <c r="B14382" t="s">
        <v>44488</v>
      </c>
      <c r="C14382" t="s">
        <v>1416</v>
      </c>
      <c r="D14382" t="s">
        <v>1417</v>
      </c>
      <c r="E14382" t="s">
        <v>1418</v>
      </c>
      <c r="F14382" t="s">
        <v>44489</v>
      </c>
      <c r="G14382" s="2" t="str">
        <f>HYPERLINK("https://probpalata.gov.ru/files/ЮЛ770100419400075.jpeg","Скачать индивидуальный QR-код магазина")</f>
        <v>Скачать индивидуальный QR-код магазина</v>
      </c>
    </row>
    <row r="14383" spans="1:7" x14ac:dyDescent="0.25">
      <c r="A14383" t="s">
        <v>43013</v>
      </c>
      <c r="B14383" t="s">
        <v>44490</v>
      </c>
      <c r="C14383" t="s">
        <v>1416</v>
      </c>
      <c r="D14383" t="s">
        <v>1417</v>
      </c>
      <c r="E14383" t="s">
        <v>1418</v>
      </c>
      <c r="F14383" t="s">
        <v>44491</v>
      </c>
      <c r="G14383" s="2" t="str">
        <f>HYPERLINK("https://probpalata.gov.ru/files/ЮЛ770100419400078.jpeg","Скачать индивидуальный QR-код магазина")</f>
        <v>Скачать индивидуальный QR-код магазина</v>
      </c>
    </row>
    <row r="14384" spans="1:7" x14ac:dyDescent="0.25">
      <c r="A14384" t="s">
        <v>43013</v>
      </c>
      <c r="B14384" t="s">
        <v>44492</v>
      </c>
      <c r="C14384" t="s">
        <v>1416</v>
      </c>
      <c r="D14384" t="s">
        <v>1417</v>
      </c>
      <c r="E14384" t="s">
        <v>1418</v>
      </c>
      <c r="F14384" t="s">
        <v>44493</v>
      </c>
      <c r="G14384" s="2" t="str">
        <f>HYPERLINK("https://probpalata.gov.ru/files/ЮЛ770100419400181.jpeg","Скачать индивидуальный QR-код магазина")</f>
        <v>Скачать индивидуальный QR-код магазина</v>
      </c>
    </row>
    <row r="14385" spans="1:7" x14ac:dyDescent="0.25">
      <c r="A14385" t="s">
        <v>43013</v>
      </c>
      <c r="B14385" t="s">
        <v>44178</v>
      </c>
      <c r="C14385" t="s">
        <v>1416</v>
      </c>
      <c r="D14385" t="s">
        <v>1417</v>
      </c>
      <c r="E14385" t="s">
        <v>1418</v>
      </c>
      <c r="F14385" t="s">
        <v>44494</v>
      </c>
      <c r="G14385" s="2" t="str">
        <f>HYPERLINK("https://probpalata.gov.ru/files/ЮЛ770100419400186.jpeg","Скачать индивидуальный QR-код магазина")</f>
        <v>Скачать индивидуальный QR-код магазина</v>
      </c>
    </row>
    <row r="14386" spans="1:7" x14ac:dyDescent="0.25">
      <c r="A14386" t="s">
        <v>43013</v>
      </c>
      <c r="B14386" t="s">
        <v>44495</v>
      </c>
      <c r="C14386" t="s">
        <v>1416</v>
      </c>
      <c r="D14386" t="s">
        <v>1417</v>
      </c>
      <c r="E14386" t="s">
        <v>1418</v>
      </c>
      <c r="F14386" t="s">
        <v>44496</v>
      </c>
      <c r="G14386" s="2" t="str">
        <f>HYPERLINK("https://probpalata.gov.ru/files/ЮЛ770100419400195.jpeg","Скачать индивидуальный QR-код магазина")</f>
        <v>Скачать индивидуальный QR-код магазина</v>
      </c>
    </row>
    <row r="14387" spans="1:7" x14ac:dyDescent="0.25">
      <c r="A14387" t="s">
        <v>43013</v>
      </c>
      <c r="B14387" t="s">
        <v>44497</v>
      </c>
      <c r="C14387" t="s">
        <v>23503</v>
      </c>
      <c r="D14387" t="s">
        <v>23504</v>
      </c>
      <c r="E14387" t="s">
        <v>23505</v>
      </c>
      <c r="F14387" t="s">
        <v>44498</v>
      </c>
      <c r="G14387" s="2" t="str">
        <f>HYPERLINK("https://probpalata.gov.ru/files/ЮЛ770100219100003.jpeg","Скачать индивидуальный QR-код магазина")</f>
        <v>Скачать индивидуальный QR-код магазина</v>
      </c>
    </row>
    <row r="14388" spans="1:7" x14ac:dyDescent="0.25">
      <c r="A14388" t="s">
        <v>43013</v>
      </c>
      <c r="B14388" t="s">
        <v>44499</v>
      </c>
      <c r="C14388" t="s">
        <v>15143</v>
      </c>
      <c r="D14388" t="s">
        <v>15144</v>
      </c>
      <c r="E14388" t="s">
        <v>15145</v>
      </c>
      <c r="F14388" t="s">
        <v>44500</v>
      </c>
      <c r="G14388" s="2" t="str">
        <f>HYPERLINK("https://probpalata.gov.ru/files/ЮЛ770101248500025.jpeg","Скачать индивидуальный QR-код магазина")</f>
        <v>Скачать индивидуальный QR-код магазина</v>
      </c>
    </row>
    <row r="14389" spans="1:7" x14ac:dyDescent="0.25">
      <c r="A14389" t="s">
        <v>43013</v>
      </c>
      <c r="B14389" t="s">
        <v>44501</v>
      </c>
      <c r="C14389" t="s">
        <v>15143</v>
      </c>
      <c r="D14389" t="s">
        <v>15144</v>
      </c>
      <c r="E14389" t="s">
        <v>15145</v>
      </c>
      <c r="F14389" t="s">
        <v>44502</v>
      </c>
      <c r="G14389" s="2" t="str">
        <f>HYPERLINK("https://probpalata.gov.ru/files/ЮЛ770101248500069.jpeg","Скачать индивидуальный QR-код магазина")</f>
        <v>Скачать индивидуальный QR-код магазина</v>
      </c>
    </row>
    <row r="14390" spans="1:7" x14ac:dyDescent="0.25">
      <c r="A14390" t="s">
        <v>43013</v>
      </c>
      <c r="B14390" t="s">
        <v>44503</v>
      </c>
      <c r="C14390" t="s">
        <v>15143</v>
      </c>
      <c r="D14390" t="s">
        <v>15144</v>
      </c>
      <c r="E14390" t="s">
        <v>15145</v>
      </c>
      <c r="F14390" t="s">
        <v>44504</v>
      </c>
      <c r="G14390" s="2" t="str">
        <f>HYPERLINK("https://probpalata.gov.ru/files/ЮЛ770101248500075.jpeg","Скачать индивидуальный QR-код магазина")</f>
        <v>Скачать индивидуальный QR-код магазина</v>
      </c>
    </row>
    <row r="14391" spans="1:7" x14ac:dyDescent="0.25">
      <c r="A14391" t="s">
        <v>43013</v>
      </c>
      <c r="B14391" t="s">
        <v>44505</v>
      </c>
      <c r="C14391" t="s">
        <v>748</v>
      </c>
      <c r="D14391" t="s">
        <v>749</v>
      </c>
      <c r="E14391" t="s">
        <v>750</v>
      </c>
      <c r="F14391" t="s">
        <v>44506</v>
      </c>
      <c r="G14391" s="2" t="str">
        <f>HYPERLINK("https://probpalata.gov.ru/files/ЮЛ770100193500227.jpeg","Скачать индивидуальный QR-код магазина")</f>
        <v>Скачать индивидуальный QR-код магазина</v>
      </c>
    </row>
    <row r="14392" spans="1:7" x14ac:dyDescent="0.25">
      <c r="A14392" t="s">
        <v>43013</v>
      </c>
      <c r="B14392" t="s">
        <v>44507</v>
      </c>
      <c r="C14392" t="s">
        <v>748</v>
      </c>
      <c r="D14392" t="s">
        <v>749</v>
      </c>
      <c r="E14392" t="s">
        <v>750</v>
      </c>
      <c r="F14392" t="s">
        <v>44508</v>
      </c>
      <c r="G14392" s="2" t="str">
        <f>HYPERLINK("https://probpalata.gov.ru/files/ЮЛ770100193500228.jpeg","Скачать индивидуальный QR-код магазина")</f>
        <v>Скачать индивидуальный QR-код магазина</v>
      </c>
    </row>
    <row r="14393" spans="1:7" x14ac:dyDescent="0.25">
      <c r="A14393" t="s">
        <v>43013</v>
      </c>
      <c r="B14393" t="s">
        <v>44509</v>
      </c>
      <c r="C14393" t="s">
        <v>748</v>
      </c>
      <c r="D14393" t="s">
        <v>749</v>
      </c>
      <c r="E14393" t="s">
        <v>750</v>
      </c>
      <c r="F14393" t="s">
        <v>44510</v>
      </c>
      <c r="G14393" s="2" t="str">
        <f>HYPERLINK("https://probpalata.gov.ru/files/ЮЛ770100193500229.jpeg","Скачать индивидуальный QR-код магазина")</f>
        <v>Скачать индивидуальный QR-код магазина</v>
      </c>
    </row>
    <row r="14394" spans="1:7" x14ac:dyDescent="0.25">
      <c r="A14394" t="s">
        <v>43013</v>
      </c>
      <c r="B14394" t="s">
        <v>44511</v>
      </c>
      <c r="C14394" t="s">
        <v>748</v>
      </c>
      <c r="D14394" t="s">
        <v>749</v>
      </c>
      <c r="E14394" t="s">
        <v>750</v>
      </c>
      <c r="F14394" t="s">
        <v>44512</v>
      </c>
      <c r="G14394" s="2" t="str">
        <f>HYPERLINK("https://probpalata.gov.ru/files/ЮЛ770100193500230.jpeg","Скачать индивидуальный QR-код магазина")</f>
        <v>Скачать индивидуальный QR-код магазина</v>
      </c>
    </row>
    <row r="14395" spans="1:7" x14ac:dyDescent="0.25">
      <c r="A14395" t="s">
        <v>43013</v>
      </c>
      <c r="B14395" t="s">
        <v>44513</v>
      </c>
      <c r="C14395" t="s">
        <v>748</v>
      </c>
      <c r="D14395" t="s">
        <v>749</v>
      </c>
      <c r="E14395" t="s">
        <v>750</v>
      </c>
      <c r="F14395" t="s">
        <v>44514</v>
      </c>
      <c r="G14395" s="2" t="str">
        <f>HYPERLINK("https://probpalata.gov.ru/files/ЮЛ770100193500231.jpeg","Скачать индивидуальный QR-код магазина")</f>
        <v>Скачать индивидуальный QR-код магазина</v>
      </c>
    </row>
    <row r="14396" spans="1:7" x14ac:dyDescent="0.25">
      <c r="A14396" t="s">
        <v>43013</v>
      </c>
      <c r="B14396" t="s">
        <v>44515</v>
      </c>
      <c r="C14396" t="s">
        <v>748</v>
      </c>
      <c r="D14396" t="s">
        <v>749</v>
      </c>
      <c r="E14396" t="s">
        <v>750</v>
      </c>
      <c r="F14396" t="s">
        <v>44516</v>
      </c>
      <c r="G14396" s="2" t="str">
        <f>HYPERLINK("https://probpalata.gov.ru/files/ЮЛ770100193500232.jpeg","Скачать индивидуальный QR-код магазина")</f>
        <v>Скачать индивидуальный QR-код магазина</v>
      </c>
    </row>
    <row r="14397" spans="1:7" x14ac:dyDescent="0.25">
      <c r="A14397" t="s">
        <v>43013</v>
      </c>
      <c r="B14397" t="s">
        <v>44517</v>
      </c>
      <c r="C14397" t="s">
        <v>748</v>
      </c>
      <c r="D14397" t="s">
        <v>749</v>
      </c>
      <c r="E14397" t="s">
        <v>750</v>
      </c>
      <c r="F14397" t="s">
        <v>44518</v>
      </c>
      <c r="G14397" s="2" t="str">
        <f>HYPERLINK("https://probpalata.gov.ru/files/ЮЛ770100193500233.jpeg","Скачать индивидуальный QR-код магазина")</f>
        <v>Скачать индивидуальный QR-код магазина</v>
      </c>
    </row>
    <row r="14398" spans="1:7" x14ac:dyDescent="0.25">
      <c r="A14398" t="s">
        <v>43013</v>
      </c>
      <c r="B14398" t="s">
        <v>44519</v>
      </c>
      <c r="C14398" t="s">
        <v>748</v>
      </c>
      <c r="D14398" t="s">
        <v>749</v>
      </c>
      <c r="E14398" t="s">
        <v>750</v>
      </c>
      <c r="F14398" t="s">
        <v>44520</v>
      </c>
      <c r="G14398" s="2" t="str">
        <f>HYPERLINK("https://probpalata.gov.ru/files/ЮЛ770100193500234.jpeg","Скачать индивидуальный QR-код магазина")</f>
        <v>Скачать индивидуальный QR-код магазина</v>
      </c>
    </row>
    <row r="14399" spans="1:7" x14ac:dyDescent="0.25">
      <c r="A14399" t="s">
        <v>43013</v>
      </c>
      <c r="B14399" t="s">
        <v>44521</v>
      </c>
      <c r="C14399" t="s">
        <v>748</v>
      </c>
      <c r="D14399" t="s">
        <v>749</v>
      </c>
      <c r="E14399" t="s">
        <v>750</v>
      </c>
      <c r="F14399" t="s">
        <v>44522</v>
      </c>
      <c r="G14399" s="2" t="str">
        <f>HYPERLINK("https://probpalata.gov.ru/files/ЮЛ770100193500235.jpeg","Скачать индивидуальный QR-код магазина")</f>
        <v>Скачать индивидуальный QR-код магазина</v>
      </c>
    </row>
    <row r="14400" spans="1:7" x14ac:dyDescent="0.25">
      <c r="A14400" t="s">
        <v>43013</v>
      </c>
      <c r="B14400" t="s">
        <v>44523</v>
      </c>
      <c r="C14400" t="s">
        <v>748</v>
      </c>
      <c r="D14400" t="s">
        <v>749</v>
      </c>
      <c r="E14400" t="s">
        <v>750</v>
      </c>
      <c r="F14400" t="s">
        <v>44524</v>
      </c>
      <c r="G14400" s="2" t="str">
        <f>HYPERLINK("https://probpalata.gov.ru/files/ЮЛ770100193500236.jpeg","Скачать индивидуальный QR-код магазина")</f>
        <v>Скачать индивидуальный QR-код магазина</v>
      </c>
    </row>
    <row r="14401" spans="1:7" x14ac:dyDescent="0.25">
      <c r="A14401" t="s">
        <v>43013</v>
      </c>
      <c r="B14401" t="s">
        <v>44525</v>
      </c>
      <c r="C14401" t="s">
        <v>748</v>
      </c>
      <c r="D14401" t="s">
        <v>749</v>
      </c>
      <c r="E14401" t="s">
        <v>750</v>
      </c>
      <c r="F14401" t="s">
        <v>44526</v>
      </c>
      <c r="G14401" s="2" t="str">
        <f>HYPERLINK("https://probpalata.gov.ru/files/ЮЛ770100193500237.jpeg","Скачать индивидуальный QR-код магазина")</f>
        <v>Скачать индивидуальный QR-код магазина</v>
      </c>
    </row>
    <row r="14402" spans="1:7" x14ac:dyDescent="0.25">
      <c r="A14402" t="s">
        <v>43013</v>
      </c>
      <c r="B14402" t="s">
        <v>44527</v>
      </c>
      <c r="C14402" t="s">
        <v>748</v>
      </c>
      <c r="D14402" t="s">
        <v>749</v>
      </c>
      <c r="E14402" t="s">
        <v>750</v>
      </c>
      <c r="F14402" t="s">
        <v>44528</v>
      </c>
      <c r="G14402" s="2" t="str">
        <f>HYPERLINK("https://probpalata.gov.ru/files/ЮЛ770100193500491.jpeg","Скачать индивидуальный QR-код магазина")</f>
        <v>Скачать индивидуальный QR-код магазина</v>
      </c>
    </row>
    <row r="14403" spans="1:7" x14ac:dyDescent="0.25">
      <c r="A14403" t="s">
        <v>43013</v>
      </c>
      <c r="B14403" t="s">
        <v>44529</v>
      </c>
      <c r="C14403" t="s">
        <v>748</v>
      </c>
      <c r="D14403" t="s">
        <v>749</v>
      </c>
      <c r="E14403" t="s">
        <v>750</v>
      </c>
      <c r="F14403" t="s">
        <v>44530</v>
      </c>
      <c r="G14403" s="2" t="str">
        <f>HYPERLINK("https://probpalata.gov.ru/files/ЮЛ770100193500547.jpeg","Скачать индивидуальный QR-код магазина")</f>
        <v>Скачать индивидуальный QR-код магазина</v>
      </c>
    </row>
    <row r="14404" spans="1:7" x14ac:dyDescent="0.25">
      <c r="A14404" t="s">
        <v>43013</v>
      </c>
      <c r="B14404" t="s">
        <v>44531</v>
      </c>
      <c r="C14404" t="s">
        <v>748</v>
      </c>
      <c r="D14404" t="s">
        <v>749</v>
      </c>
      <c r="E14404" t="s">
        <v>750</v>
      </c>
      <c r="F14404" t="s">
        <v>44532</v>
      </c>
      <c r="G14404" s="2" t="str">
        <f>HYPERLINK("https://probpalata.gov.ru/files/ЮЛ770100193500573.jpeg","Скачать индивидуальный QR-код магазина")</f>
        <v>Скачать индивидуальный QR-код магазина</v>
      </c>
    </row>
    <row r="14405" spans="1:7" x14ac:dyDescent="0.25">
      <c r="A14405" t="s">
        <v>43013</v>
      </c>
      <c r="B14405" t="s">
        <v>44533</v>
      </c>
      <c r="C14405" t="s">
        <v>748</v>
      </c>
      <c r="D14405" t="s">
        <v>749</v>
      </c>
      <c r="E14405" t="s">
        <v>750</v>
      </c>
      <c r="F14405" t="s">
        <v>44534</v>
      </c>
      <c r="G14405" s="2" t="str">
        <f>HYPERLINK("https://probpalata.gov.ru/files/ЮЛ770100193500625.jpeg","Скачать индивидуальный QR-код магазина")</f>
        <v>Скачать индивидуальный QR-код магазина</v>
      </c>
    </row>
    <row r="14406" spans="1:7" x14ac:dyDescent="0.25">
      <c r="A14406" t="s">
        <v>43013</v>
      </c>
      <c r="B14406" t="s">
        <v>44535</v>
      </c>
      <c r="C14406" t="s">
        <v>748</v>
      </c>
      <c r="D14406" t="s">
        <v>749</v>
      </c>
      <c r="E14406" t="s">
        <v>750</v>
      </c>
      <c r="F14406" t="s">
        <v>44536</v>
      </c>
      <c r="G14406" s="2" t="str">
        <f>HYPERLINK("https://probpalata.gov.ru/files/ЮЛ770100193500636.jpeg","Скачать индивидуальный QR-код магазина")</f>
        <v>Скачать индивидуальный QR-код магазина</v>
      </c>
    </row>
    <row r="14407" spans="1:7" x14ac:dyDescent="0.25">
      <c r="A14407" t="s">
        <v>43013</v>
      </c>
      <c r="B14407" t="s">
        <v>44537</v>
      </c>
      <c r="C14407" t="s">
        <v>748</v>
      </c>
      <c r="D14407" t="s">
        <v>749</v>
      </c>
      <c r="E14407" t="s">
        <v>750</v>
      </c>
      <c r="F14407" t="s">
        <v>44538</v>
      </c>
      <c r="G14407" s="2" t="str">
        <f>HYPERLINK("https://probpalata.gov.ru/files/ЮЛ770100193500674.jpeg","Скачать индивидуальный QR-код магазина")</f>
        <v>Скачать индивидуальный QR-код магазина</v>
      </c>
    </row>
    <row r="14408" spans="1:7" x14ac:dyDescent="0.25">
      <c r="A14408" t="s">
        <v>43013</v>
      </c>
      <c r="B14408" t="s">
        <v>44539</v>
      </c>
      <c r="C14408" t="s">
        <v>748</v>
      </c>
      <c r="D14408" t="s">
        <v>749</v>
      </c>
      <c r="E14408" t="s">
        <v>750</v>
      </c>
      <c r="F14408" t="s">
        <v>44540</v>
      </c>
      <c r="G14408" s="2" t="str">
        <f>HYPERLINK("https://probpalata.gov.ru/files/ЮЛ770100193500689.jpeg","Скачать индивидуальный QR-код магазина")</f>
        <v>Скачать индивидуальный QR-код магазина</v>
      </c>
    </row>
    <row r="14409" spans="1:7" x14ac:dyDescent="0.25">
      <c r="A14409" t="s">
        <v>43013</v>
      </c>
      <c r="B14409" t="s">
        <v>44541</v>
      </c>
      <c r="C14409" t="s">
        <v>748</v>
      </c>
      <c r="D14409" t="s">
        <v>749</v>
      </c>
      <c r="E14409" t="s">
        <v>750</v>
      </c>
      <c r="F14409" t="s">
        <v>44542</v>
      </c>
      <c r="G14409" s="2" t="str">
        <f>HYPERLINK("https://probpalata.gov.ru/files/ЮЛ770100193500700.jpeg","Скачать индивидуальный QR-код магазина")</f>
        <v>Скачать индивидуальный QR-код магазина</v>
      </c>
    </row>
    <row r="14410" spans="1:7" x14ac:dyDescent="0.25">
      <c r="A14410" t="s">
        <v>43013</v>
      </c>
      <c r="B14410" t="s">
        <v>44543</v>
      </c>
      <c r="C14410" t="s">
        <v>748</v>
      </c>
      <c r="D14410" t="s">
        <v>749</v>
      </c>
      <c r="E14410" t="s">
        <v>750</v>
      </c>
      <c r="F14410" t="s">
        <v>44544</v>
      </c>
      <c r="G14410" s="2" t="str">
        <f>HYPERLINK("https://probpalata.gov.ru/files/ЮЛ770100193500708.jpeg","Скачать индивидуальный QR-код магазина")</f>
        <v>Скачать индивидуальный QR-код магазина</v>
      </c>
    </row>
    <row r="14411" spans="1:7" x14ac:dyDescent="0.25">
      <c r="A14411" t="s">
        <v>43013</v>
      </c>
      <c r="B14411" t="s">
        <v>44545</v>
      </c>
      <c r="C14411" t="s">
        <v>748</v>
      </c>
      <c r="D14411" t="s">
        <v>749</v>
      </c>
      <c r="E14411" t="s">
        <v>750</v>
      </c>
      <c r="F14411" t="s">
        <v>44546</v>
      </c>
      <c r="G14411" s="2" t="str">
        <f>HYPERLINK("https://probpalata.gov.ru/files/ЮЛ770100193500729.jpeg","Скачать индивидуальный QR-код магазина")</f>
        <v>Скачать индивидуальный QR-код магазина</v>
      </c>
    </row>
    <row r="14412" spans="1:7" x14ac:dyDescent="0.25">
      <c r="A14412" t="s">
        <v>43013</v>
      </c>
      <c r="B14412" t="s">
        <v>44547</v>
      </c>
      <c r="C14412" t="s">
        <v>748</v>
      </c>
      <c r="D14412" t="s">
        <v>749</v>
      </c>
      <c r="E14412" t="s">
        <v>750</v>
      </c>
      <c r="F14412" t="s">
        <v>44548</v>
      </c>
      <c r="G14412" s="2" t="str">
        <f>HYPERLINK("https://probpalata.gov.ru/files/ЮЛ770100193500846.jpeg","Скачать индивидуальный QR-код магазина")</f>
        <v>Скачать индивидуальный QR-код магазина</v>
      </c>
    </row>
    <row r="14413" spans="1:7" x14ac:dyDescent="0.25">
      <c r="A14413" t="s">
        <v>43013</v>
      </c>
      <c r="B14413" t="s">
        <v>44549</v>
      </c>
      <c r="C14413" t="s">
        <v>748</v>
      </c>
      <c r="D14413" t="s">
        <v>749</v>
      </c>
      <c r="E14413" t="s">
        <v>750</v>
      </c>
      <c r="F14413" t="s">
        <v>44550</v>
      </c>
      <c r="G14413" s="2" t="str">
        <f>HYPERLINK("https://probpalata.gov.ru/files/ЮЛ770100193500863.jpeg","Скачать индивидуальный QR-код магазина")</f>
        <v>Скачать индивидуальный QR-код магазина</v>
      </c>
    </row>
    <row r="14414" spans="1:7" x14ac:dyDescent="0.25">
      <c r="A14414" t="s">
        <v>43013</v>
      </c>
      <c r="B14414" t="s">
        <v>44551</v>
      </c>
      <c r="C14414" t="s">
        <v>748</v>
      </c>
      <c r="D14414" t="s">
        <v>749</v>
      </c>
      <c r="E14414" t="s">
        <v>750</v>
      </c>
      <c r="F14414" t="s">
        <v>44552</v>
      </c>
      <c r="G14414" s="2" t="str">
        <f>HYPERLINK("https://probpalata.gov.ru/files/ЮЛ770100193500878.jpeg","Скачать индивидуальный QR-код магазина")</f>
        <v>Скачать индивидуальный QR-код магазина</v>
      </c>
    </row>
    <row r="14415" spans="1:7" x14ac:dyDescent="0.25">
      <c r="A14415" t="s">
        <v>43013</v>
      </c>
      <c r="B14415" t="s">
        <v>44553</v>
      </c>
      <c r="C14415" t="s">
        <v>748</v>
      </c>
      <c r="D14415" t="s">
        <v>749</v>
      </c>
      <c r="E14415" t="s">
        <v>750</v>
      </c>
      <c r="F14415" t="s">
        <v>44554</v>
      </c>
      <c r="G14415" s="2" t="str">
        <f>HYPERLINK("https://probpalata.gov.ru/files/ЮЛ770100193500880.jpeg","Скачать индивидуальный QR-код магазина")</f>
        <v>Скачать индивидуальный QR-код магазина</v>
      </c>
    </row>
    <row r="14416" spans="1:7" x14ac:dyDescent="0.25">
      <c r="A14416" t="s">
        <v>43013</v>
      </c>
      <c r="B14416" t="s">
        <v>44016</v>
      </c>
      <c r="C14416" t="s">
        <v>748</v>
      </c>
      <c r="D14416" t="s">
        <v>749</v>
      </c>
      <c r="E14416" t="s">
        <v>750</v>
      </c>
      <c r="F14416" t="s">
        <v>44555</v>
      </c>
      <c r="G14416" s="2" t="str">
        <f>HYPERLINK("https://probpalata.gov.ru/files/ЮЛ770100193500897.jpeg","Скачать индивидуальный QR-код магазина")</f>
        <v>Скачать индивидуальный QR-код магазина</v>
      </c>
    </row>
    <row r="14417" spans="1:7" x14ac:dyDescent="0.25">
      <c r="A14417" t="s">
        <v>43013</v>
      </c>
      <c r="B14417" t="s">
        <v>44556</v>
      </c>
      <c r="C14417" t="s">
        <v>748</v>
      </c>
      <c r="D14417" t="s">
        <v>749</v>
      </c>
      <c r="E14417" t="s">
        <v>750</v>
      </c>
      <c r="F14417" t="s">
        <v>44557</v>
      </c>
      <c r="G14417" s="2" t="str">
        <f>HYPERLINK("https://probpalata.gov.ru/files/ЮЛ770100193500913.jpeg","Скачать индивидуальный QR-код магазина")</f>
        <v>Скачать индивидуальный QR-код магазина</v>
      </c>
    </row>
    <row r="14418" spans="1:7" x14ac:dyDescent="0.25">
      <c r="A14418" t="s">
        <v>43013</v>
      </c>
      <c r="B14418" t="s">
        <v>44402</v>
      </c>
      <c r="C14418" t="s">
        <v>748</v>
      </c>
      <c r="D14418" t="s">
        <v>749</v>
      </c>
      <c r="E14418" t="s">
        <v>750</v>
      </c>
      <c r="F14418" t="s">
        <v>44558</v>
      </c>
      <c r="G14418" s="2" t="str">
        <f>HYPERLINK("https://probpalata.gov.ru/files/ЮЛ770100193500915.jpeg","Скачать индивидуальный QR-код магазина")</f>
        <v>Скачать индивидуальный QR-код магазина</v>
      </c>
    </row>
    <row r="14419" spans="1:7" x14ac:dyDescent="0.25">
      <c r="A14419" t="s">
        <v>43013</v>
      </c>
      <c r="B14419" t="s">
        <v>44559</v>
      </c>
      <c r="C14419" t="s">
        <v>748</v>
      </c>
      <c r="D14419" t="s">
        <v>749</v>
      </c>
      <c r="E14419" t="s">
        <v>750</v>
      </c>
      <c r="F14419" t="s">
        <v>44560</v>
      </c>
      <c r="G14419" s="2" t="str">
        <f>HYPERLINK("https://probpalata.gov.ru/files/ЮЛ770100193500929.jpeg","Скачать индивидуальный QR-код магазина")</f>
        <v>Скачать индивидуальный QR-код магазина</v>
      </c>
    </row>
    <row r="14420" spans="1:7" x14ac:dyDescent="0.25">
      <c r="A14420" t="s">
        <v>43013</v>
      </c>
      <c r="B14420" t="s">
        <v>44406</v>
      </c>
      <c r="C14420" t="s">
        <v>748</v>
      </c>
      <c r="D14420" t="s">
        <v>749</v>
      </c>
      <c r="E14420" t="s">
        <v>750</v>
      </c>
      <c r="F14420" t="s">
        <v>44561</v>
      </c>
      <c r="G14420" s="2" t="str">
        <f>HYPERLINK("https://probpalata.gov.ru/files/ЮЛ770100193500933.jpeg","Скачать индивидуальный QR-код магазина")</f>
        <v>Скачать индивидуальный QR-код магазина</v>
      </c>
    </row>
    <row r="14421" spans="1:7" x14ac:dyDescent="0.25">
      <c r="A14421" t="s">
        <v>43013</v>
      </c>
      <c r="B14421" t="s">
        <v>44562</v>
      </c>
      <c r="C14421" t="s">
        <v>748</v>
      </c>
      <c r="D14421" t="s">
        <v>749</v>
      </c>
      <c r="E14421" t="s">
        <v>750</v>
      </c>
      <c r="F14421" t="s">
        <v>44563</v>
      </c>
      <c r="G14421" s="2" t="str">
        <f>HYPERLINK("https://probpalata.gov.ru/files/ЮЛ770100193500934.jpeg","Скачать индивидуальный QR-код магазина")</f>
        <v>Скачать индивидуальный QR-код магазина</v>
      </c>
    </row>
    <row r="14422" spans="1:7" x14ac:dyDescent="0.25">
      <c r="A14422" t="s">
        <v>43013</v>
      </c>
      <c r="B14422" t="s">
        <v>44412</v>
      </c>
      <c r="C14422" t="s">
        <v>748</v>
      </c>
      <c r="D14422" t="s">
        <v>749</v>
      </c>
      <c r="E14422" t="s">
        <v>750</v>
      </c>
      <c r="F14422" t="s">
        <v>44564</v>
      </c>
      <c r="G14422" s="2" t="str">
        <f>HYPERLINK("https://probpalata.gov.ru/files/ЮЛ770100193500940.jpeg","Скачать индивидуальный QR-код магазина")</f>
        <v>Скачать индивидуальный QR-код магазина</v>
      </c>
    </row>
    <row r="14423" spans="1:7" x14ac:dyDescent="0.25">
      <c r="A14423" t="s">
        <v>43013</v>
      </c>
      <c r="B14423" t="s">
        <v>44565</v>
      </c>
      <c r="C14423" t="s">
        <v>748</v>
      </c>
      <c r="D14423" t="s">
        <v>749</v>
      </c>
      <c r="E14423" t="s">
        <v>750</v>
      </c>
      <c r="F14423" t="s">
        <v>44566</v>
      </c>
      <c r="G14423" s="2" t="str">
        <f>HYPERLINK("https://probpalata.gov.ru/files/ЮЛ770100193500952.jpeg","Скачать индивидуальный QR-код магазина")</f>
        <v>Скачать индивидуальный QR-код магазина</v>
      </c>
    </row>
    <row r="14424" spans="1:7" x14ac:dyDescent="0.25">
      <c r="A14424" t="s">
        <v>43013</v>
      </c>
      <c r="B14424" t="s">
        <v>44567</v>
      </c>
      <c r="C14424" t="s">
        <v>748</v>
      </c>
      <c r="D14424" t="s">
        <v>749</v>
      </c>
      <c r="E14424" t="s">
        <v>750</v>
      </c>
      <c r="F14424" t="s">
        <v>44568</v>
      </c>
      <c r="G14424" s="2" t="str">
        <f>HYPERLINK("https://probpalata.gov.ru/files/ЮЛ770100193500953.jpeg","Скачать индивидуальный QR-код магазина")</f>
        <v>Скачать индивидуальный QR-код магазина</v>
      </c>
    </row>
    <row r="14425" spans="1:7" x14ac:dyDescent="0.25">
      <c r="A14425" t="s">
        <v>43013</v>
      </c>
      <c r="B14425" t="s">
        <v>44569</v>
      </c>
      <c r="C14425" t="s">
        <v>748</v>
      </c>
      <c r="D14425" t="s">
        <v>749</v>
      </c>
      <c r="E14425" t="s">
        <v>750</v>
      </c>
      <c r="F14425" t="s">
        <v>44570</v>
      </c>
      <c r="G14425" s="2" t="str">
        <f>HYPERLINK("https://probpalata.gov.ru/files/ЮЛ770100193500960.jpeg","Скачать индивидуальный QR-код магазина")</f>
        <v>Скачать индивидуальный QR-код магазина</v>
      </c>
    </row>
    <row r="14426" spans="1:7" x14ac:dyDescent="0.25">
      <c r="A14426" t="s">
        <v>43013</v>
      </c>
      <c r="B14426" t="s">
        <v>44408</v>
      </c>
      <c r="C14426" t="s">
        <v>748</v>
      </c>
      <c r="D14426" t="s">
        <v>749</v>
      </c>
      <c r="E14426" t="s">
        <v>750</v>
      </c>
      <c r="F14426" t="s">
        <v>44571</v>
      </c>
      <c r="G14426" s="2" t="str">
        <f>HYPERLINK("https://probpalata.gov.ru/files/ЮЛ770100193500975.jpeg","Скачать индивидуальный QR-код магазина")</f>
        <v>Скачать индивидуальный QR-код магазина</v>
      </c>
    </row>
    <row r="14427" spans="1:7" x14ac:dyDescent="0.25">
      <c r="A14427" t="s">
        <v>43013</v>
      </c>
      <c r="B14427" t="s">
        <v>44398</v>
      </c>
      <c r="C14427" t="s">
        <v>748</v>
      </c>
      <c r="D14427" t="s">
        <v>749</v>
      </c>
      <c r="E14427" t="s">
        <v>750</v>
      </c>
      <c r="F14427" t="s">
        <v>44572</v>
      </c>
      <c r="G14427" s="2" t="str">
        <f>HYPERLINK("https://probpalata.gov.ru/files/ЮЛ770100193500977.jpeg","Скачать индивидуальный QR-код магазина")</f>
        <v>Скачать индивидуальный QR-код магазина</v>
      </c>
    </row>
    <row r="14428" spans="1:7" x14ac:dyDescent="0.25">
      <c r="A14428" t="s">
        <v>43013</v>
      </c>
      <c r="B14428" t="s">
        <v>44573</v>
      </c>
      <c r="C14428" t="s">
        <v>748</v>
      </c>
      <c r="D14428" t="s">
        <v>749</v>
      </c>
      <c r="E14428" t="s">
        <v>750</v>
      </c>
      <c r="F14428" t="s">
        <v>44574</v>
      </c>
      <c r="G14428" s="2" t="str">
        <f>HYPERLINK("https://probpalata.gov.ru/files/ЮЛ770100193500981.jpeg","Скачать индивидуальный QR-код магазина")</f>
        <v>Скачать индивидуальный QR-код магазина</v>
      </c>
    </row>
    <row r="14429" spans="1:7" x14ac:dyDescent="0.25">
      <c r="A14429" t="s">
        <v>43013</v>
      </c>
      <c r="B14429" t="s">
        <v>44400</v>
      </c>
      <c r="C14429" t="s">
        <v>748</v>
      </c>
      <c r="D14429" t="s">
        <v>749</v>
      </c>
      <c r="E14429" t="s">
        <v>750</v>
      </c>
      <c r="F14429" t="s">
        <v>44575</v>
      </c>
      <c r="G14429" s="2" t="str">
        <f>HYPERLINK("https://probpalata.gov.ru/files/ЮЛ770100193500987.jpeg","Скачать индивидуальный QR-код магазина")</f>
        <v>Скачать индивидуальный QR-код магазина</v>
      </c>
    </row>
    <row r="14430" spans="1:7" x14ac:dyDescent="0.25">
      <c r="A14430" t="s">
        <v>43013</v>
      </c>
      <c r="B14430" t="s">
        <v>44410</v>
      </c>
      <c r="C14430" t="s">
        <v>748</v>
      </c>
      <c r="D14430" t="s">
        <v>749</v>
      </c>
      <c r="E14430" t="s">
        <v>750</v>
      </c>
      <c r="F14430" t="s">
        <v>44576</v>
      </c>
      <c r="G14430" s="2" t="str">
        <f>HYPERLINK("https://probpalata.gov.ru/files/ЮЛ770100193500990.jpeg","Скачать индивидуальный QR-код магазина")</f>
        <v>Скачать индивидуальный QR-код магазина</v>
      </c>
    </row>
    <row r="14431" spans="1:7" x14ac:dyDescent="0.25">
      <c r="A14431" t="s">
        <v>43013</v>
      </c>
      <c r="B14431" t="s">
        <v>44577</v>
      </c>
      <c r="C14431" t="s">
        <v>748</v>
      </c>
      <c r="D14431" t="s">
        <v>749</v>
      </c>
      <c r="E14431" t="s">
        <v>750</v>
      </c>
      <c r="F14431" t="s">
        <v>44578</v>
      </c>
      <c r="G14431" s="2" t="str">
        <f>HYPERLINK("https://probpalata.gov.ru/files/ЮЛ770100193500993.jpeg","Скачать индивидуальный QR-код магазина")</f>
        <v>Скачать индивидуальный QR-код магазина</v>
      </c>
    </row>
    <row r="14432" spans="1:7" x14ac:dyDescent="0.25">
      <c r="A14432" t="s">
        <v>43013</v>
      </c>
      <c r="B14432" t="s">
        <v>44579</v>
      </c>
      <c r="C14432" t="s">
        <v>748</v>
      </c>
      <c r="D14432" t="s">
        <v>749</v>
      </c>
      <c r="E14432" t="s">
        <v>750</v>
      </c>
      <c r="F14432" t="s">
        <v>44580</v>
      </c>
      <c r="G14432" s="2" t="str">
        <f>HYPERLINK("https://probpalata.gov.ru/files/ЮЛ770100193500997.jpeg","Скачать индивидуальный QR-код магазина")</f>
        <v>Скачать индивидуальный QR-код магазина</v>
      </c>
    </row>
    <row r="14433" spans="1:7" x14ac:dyDescent="0.25">
      <c r="A14433" t="s">
        <v>43013</v>
      </c>
      <c r="B14433" t="s">
        <v>44581</v>
      </c>
      <c r="C14433" t="s">
        <v>748</v>
      </c>
      <c r="D14433" t="s">
        <v>749</v>
      </c>
      <c r="E14433" t="s">
        <v>750</v>
      </c>
      <c r="F14433" t="s">
        <v>44582</v>
      </c>
      <c r="G14433" s="2" t="str">
        <f>HYPERLINK("https://probpalata.gov.ru/files/ЮЛ770100193501009.jpeg","Скачать индивидуальный QR-код магазина")</f>
        <v>Скачать индивидуальный QR-код магазина</v>
      </c>
    </row>
    <row r="14434" spans="1:7" x14ac:dyDescent="0.25">
      <c r="A14434" t="s">
        <v>43013</v>
      </c>
      <c r="B14434" t="s">
        <v>44583</v>
      </c>
      <c r="C14434" t="s">
        <v>748</v>
      </c>
      <c r="D14434" t="s">
        <v>749</v>
      </c>
      <c r="E14434" t="s">
        <v>750</v>
      </c>
      <c r="F14434" t="s">
        <v>44584</v>
      </c>
      <c r="G14434" s="2" t="str">
        <f>HYPERLINK("https://probpalata.gov.ru/files/ЮЛ770100193501052.jpeg","Скачать индивидуальный QR-код магазина")</f>
        <v>Скачать индивидуальный QR-код магазина</v>
      </c>
    </row>
    <row r="14435" spans="1:7" x14ac:dyDescent="0.25">
      <c r="A14435" t="s">
        <v>43013</v>
      </c>
      <c r="B14435" t="s">
        <v>44585</v>
      </c>
      <c r="C14435" t="s">
        <v>748</v>
      </c>
      <c r="D14435" t="s">
        <v>749</v>
      </c>
      <c r="E14435" t="s">
        <v>750</v>
      </c>
      <c r="F14435" t="s">
        <v>44586</v>
      </c>
      <c r="G14435" s="2" t="str">
        <f>HYPERLINK("https://probpalata.gov.ru/files/ЮЛ770100193501054.jpeg","Скачать индивидуальный QR-код магазина")</f>
        <v>Скачать индивидуальный QR-код магазина</v>
      </c>
    </row>
    <row r="14436" spans="1:7" x14ac:dyDescent="0.25">
      <c r="A14436" t="s">
        <v>43013</v>
      </c>
      <c r="B14436" t="s">
        <v>44587</v>
      </c>
      <c r="C14436" t="s">
        <v>748</v>
      </c>
      <c r="D14436" t="s">
        <v>749</v>
      </c>
      <c r="E14436" t="s">
        <v>750</v>
      </c>
      <c r="F14436" t="s">
        <v>44588</v>
      </c>
      <c r="G14436" s="2" t="str">
        <f>HYPERLINK("https://probpalata.gov.ru/files/ЮЛ770100193501057.jpeg","Скачать индивидуальный QR-код магазина")</f>
        <v>Скачать индивидуальный QR-код магазина</v>
      </c>
    </row>
    <row r="14437" spans="1:7" x14ac:dyDescent="0.25">
      <c r="A14437" t="s">
        <v>43013</v>
      </c>
      <c r="B14437" t="s">
        <v>44589</v>
      </c>
      <c r="C14437" t="s">
        <v>748</v>
      </c>
      <c r="D14437" t="s">
        <v>749</v>
      </c>
      <c r="E14437" t="s">
        <v>750</v>
      </c>
      <c r="F14437" t="s">
        <v>44590</v>
      </c>
      <c r="G14437" s="2" t="str">
        <f>HYPERLINK("https://probpalata.gov.ru/files/ЮЛ770100193501060.jpeg","Скачать индивидуальный QR-код магазина")</f>
        <v>Скачать индивидуальный QR-код магазина</v>
      </c>
    </row>
    <row r="14438" spans="1:7" x14ac:dyDescent="0.25">
      <c r="A14438" t="s">
        <v>43013</v>
      </c>
      <c r="B14438" t="s">
        <v>44591</v>
      </c>
      <c r="C14438" t="s">
        <v>748</v>
      </c>
      <c r="D14438" t="s">
        <v>749</v>
      </c>
      <c r="E14438" t="s">
        <v>750</v>
      </c>
      <c r="F14438" t="s">
        <v>44592</v>
      </c>
      <c r="G14438" s="2" t="str">
        <f>HYPERLINK("https://probpalata.gov.ru/files/ЮЛ770100193501091.jpeg","Скачать индивидуальный QR-код магазина")</f>
        <v>Скачать индивидуальный QR-код магазина</v>
      </c>
    </row>
    <row r="14439" spans="1:7" x14ac:dyDescent="0.25">
      <c r="A14439" t="s">
        <v>43013</v>
      </c>
      <c r="B14439" t="s">
        <v>44593</v>
      </c>
      <c r="C14439" t="s">
        <v>748</v>
      </c>
      <c r="D14439" t="s">
        <v>749</v>
      </c>
      <c r="E14439" t="s">
        <v>750</v>
      </c>
      <c r="F14439" t="s">
        <v>44594</v>
      </c>
      <c r="G14439" s="2" t="str">
        <f>HYPERLINK("https://probpalata.gov.ru/files/ЮЛ770100193501094.jpeg","Скачать индивидуальный QR-код магазина")</f>
        <v>Скачать индивидуальный QR-код магазина</v>
      </c>
    </row>
    <row r="14440" spans="1:7" x14ac:dyDescent="0.25">
      <c r="A14440" t="s">
        <v>43013</v>
      </c>
      <c r="B14440" t="s">
        <v>44595</v>
      </c>
      <c r="C14440" t="s">
        <v>748</v>
      </c>
      <c r="D14440" t="s">
        <v>749</v>
      </c>
      <c r="E14440" t="s">
        <v>750</v>
      </c>
      <c r="F14440" t="s">
        <v>44596</v>
      </c>
      <c r="G14440" s="2" t="str">
        <f>HYPERLINK("https://probpalata.gov.ru/files/ЮЛ770100193501112.jpeg","Скачать индивидуальный QR-код магазина")</f>
        <v>Скачать индивидуальный QR-код магазина</v>
      </c>
    </row>
    <row r="14441" spans="1:7" x14ac:dyDescent="0.25">
      <c r="A14441" t="s">
        <v>43013</v>
      </c>
      <c r="B14441" t="s">
        <v>44597</v>
      </c>
      <c r="C14441" t="s">
        <v>748</v>
      </c>
      <c r="D14441" t="s">
        <v>749</v>
      </c>
      <c r="E14441" t="s">
        <v>750</v>
      </c>
      <c r="F14441" t="s">
        <v>44598</v>
      </c>
      <c r="G14441" s="2" t="str">
        <f>HYPERLINK("https://probpalata.gov.ru/files/ЮЛ770100193501113.jpeg","Скачать индивидуальный QR-код магазина")</f>
        <v>Скачать индивидуальный QR-код магазина</v>
      </c>
    </row>
    <row r="14442" spans="1:7" x14ac:dyDescent="0.25">
      <c r="A14442" t="s">
        <v>43013</v>
      </c>
      <c r="B14442" t="s">
        <v>44599</v>
      </c>
      <c r="C14442" t="s">
        <v>773</v>
      </c>
      <c r="D14442" t="s">
        <v>774</v>
      </c>
      <c r="E14442" t="s">
        <v>775</v>
      </c>
      <c r="F14442" t="s">
        <v>44600</v>
      </c>
      <c r="G14442" s="2" t="str">
        <f>HYPERLINK("https://probpalata.gov.ru/files/ЮЛ780300131300024.jpeg","Скачать индивидуальный QR-код магазина")</f>
        <v>Скачать индивидуальный QR-код магазина</v>
      </c>
    </row>
    <row r="14443" spans="1:7" x14ac:dyDescent="0.25">
      <c r="A14443" t="s">
        <v>43013</v>
      </c>
      <c r="B14443" t="s">
        <v>44601</v>
      </c>
      <c r="C14443" t="s">
        <v>773</v>
      </c>
      <c r="D14443" t="s">
        <v>774</v>
      </c>
      <c r="E14443" t="s">
        <v>775</v>
      </c>
      <c r="F14443" t="s">
        <v>44602</v>
      </c>
      <c r="G14443" s="2" t="str">
        <f>HYPERLINK("https://probpalata.gov.ru/files/ЮЛ780300131300027.jpeg","Скачать индивидуальный QR-код магазина")</f>
        <v>Скачать индивидуальный QR-код магазина</v>
      </c>
    </row>
    <row r="14444" spans="1:7" x14ac:dyDescent="0.25">
      <c r="A14444" t="s">
        <v>43013</v>
      </c>
      <c r="B14444" t="s">
        <v>44603</v>
      </c>
      <c r="C14444" t="s">
        <v>773</v>
      </c>
      <c r="D14444" t="s">
        <v>774</v>
      </c>
      <c r="E14444" t="s">
        <v>775</v>
      </c>
      <c r="F14444" t="s">
        <v>44604</v>
      </c>
      <c r="G14444" s="2" t="str">
        <f>HYPERLINK("https://probpalata.gov.ru/files/ЮЛ780300131300040.jpeg","Скачать индивидуальный QR-код магазина")</f>
        <v>Скачать индивидуальный QR-код магазина</v>
      </c>
    </row>
    <row r="14445" spans="1:7" x14ac:dyDescent="0.25">
      <c r="A14445" t="s">
        <v>43013</v>
      </c>
      <c r="B14445" t="s">
        <v>44605</v>
      </c>
      <c r="C14445" t="s">
        <v>773</v>
      </c>
      <c r="D14445" t="s">
        <v>774</v>
      </c>
      <c r="E14445" t="s">
        <v>775</v>
      </c>
      <c r="F14445" t="s">
        <v>44606</v>
      </c>
      <c r="G14445" s="2" t="str">
        <f>HYPERLINK("https://probpalata.gov.ru/files/ЮЛ780300131300041.jpeg","Скачать индивидуальный QR-код магазина")</f>
        <v>Скачать индивидуальный QR-код магазина</v>
      </c>
    </row>
    <row r="14446" spans="1:7" x14ac:dyDescent="0.25">
      <c r="A14446" t="s">
        <v>43013</v>
      </c>
      <c r="B14446" t="s">
        <v>44607</v>
      </c>
      <c r="C14446" t="s">
        <v>773</v>
      </c>
      <c r="D14446" t="s">
        <v>774</v>
      </c>
      <c r="E14446" t="s">
        <v>775</v>
      </c>
      <c r="F14446" t="s">
        <v>44608</v>
      </c>
      <c r="G14446" s="2" t="str">
        <f>HYPERLINK("https://probpalata.gov.ru/files/ЮЛ780300131300334.jpeg","Скачать индивидуальный QR-код магазина")</f>
        <v>Скачать индивидуальный QR-код магазина</v>
      </c>
    </row>
    <row r="14447" spans="1:7" x14ac:dyDescent="0.25">
      <c r="A14447" t="s">
        <v>43013</v>
      </c>
      <c r="B14447" t="s">
        <v>44609</v>
      </c>
      <c r="C14447" t="s">
        <v>773</v>
      </c>
      <c r="D14447" t="s">
        <v>774</v>
      </c>
      <c r="E14447" t="s">
        <v>775</v>
      </c>
      <c r="F14447" t="s">
        <v>44610</v>
      </c>
      <c r="G14447" s="2" t="str">
        <f>HYPERLINK("https://probpalata.gov.ru/files/ЮЛ780300131300337.jpeg","Скачать индивидуальный QR-код магазина")</f>
        <v>Скачать индивидуальный QR-код магазина</v>
      </c>
    </row>
    <row r="14448" spans="1:7" x14ac:dyDescent="0.25">
      <c r="A14448" t="s">
        <v>43013</v>
      </c>
      <c r="B14448" t="s">
        <v>44611</v>
      </c>
      <c r="C14448" t="s">
        <v>773</v>
      </c>
      <c r="D14448" t="s">
        <v>774</v>
      </c>
      <c r="E14448" t="s">
        <v>775</v>
      </c>
      <c r="F14448" t="s">
        <v>44612</v>
      </c>
      <c r="G14448" s="2" t="str">
        <f>HYPERLINK("https://probpalata.gov.ru/files/ЮЛ780300131300339.jpeg","Скачать индивидуальный QR-код магазина")</f>
        <v>Скачать индивидуальный QR-код магазина</v>
      </c>
    </row>
    <row r="14449" spans="1:7" x14ac:dyDescent="0.25">
      <c r="A14449" t="s">
        <v>43013</v>
      </c>
      <c r="B14449" t="s">
        <v>44613</v>
      </c>
      <c r="C14449" t="s">
        <v>773</v>
      </c>
      <c r="D14449" t="s">
        <v>774</v>
      </c>
      <c r="E14449" t="s">
        <v>775</v>
      </c>
      <c r="F14449" t="s">
        <v>44614</v>
      </c>
      <c r="G14449" s="2" t="str">
        <f>HYPERLINK("https://probpalata.gov.ru/files/ЮЛ780300131300340.jpeg","Скачать индивидуальный QR-код магазина")</f>
        <v>Скачать индивидуальный QR-код магазина</v>
      </c>
    </row>
    <row r="14450" spans="1:7" x14ac:dyDescent="0.25">
      <c r="A14450" t="s">
        <v>43013</v>
      </c>
      <c r="B14450" t="s">
        <v>44615</v>
      </c>
      <c r="C14450" t="s">
        <v>773</v>
      </c>
      <c r="D14450" t="s">
        <v>774</v>
      </c>
      <c r="E14450" t="s">
        <v>775</v>
      </c>
      <c r="F14450" t="s">
        <v>44616</v>
      </c>
      <c r="G14450" s="2" t="str">
        <f>HYPERLINK("https://probpalata.gov.ru/files/ЮЛ780300131300341.jpeg","Скачать индивидуальный QR-код магазина")</f>
        <v>Скачать индивидуальный QR-код магазина</v>
      </c>
    </row>
    <row r="14451" spans="1:7" x14ac:dyDescent="0.25">
      <c r="A14451" t="s">
        <v>43013</v>
      </c>
      <c r="B14451" t="s">
        <v>44617</v>
      </c>
      <c r="C14451" t="s">
        <v>773</v>
      </c>
      <c r="D14451" t="s">
        <v>774</v>
      </c>
      <c r="E14451" t="s">
        <v>775</v>
      </c>
      <c r="F14451" t="s">
        <v>44618</v>
      </c>
      <c r="G14451" s="2" t="str">
        <f>HYPERLINK("https://probpalata.gov.ru/files/ЮЛ780300131300345.jpeg","Скачать индивидуальный QR-код магазина")</f>
        <v>Скачать индивидуальный QR-код магазина</v>
      </c>
    </row>
    <row r="14452" spans="1:7" x14ac:dyDescent="0.25">
      <c r="A14452" t="s">
        <v>43013</v>
      </c>
      <c r="B14452" t="s">
        <v>44619</v>
      </c>
      <c r="C14452" t="s">
        <v>773</v>
      </c>
      <c r="D14452" t="s">
        <v>774</v>
      </c>
      <c r="E14452" t="s">
        <v>775</v>
      </c>
      <c r="F14452" t="s">
        <v>44620</v>
      </c>
      <c r="G14452" s="2" t="str">
        <f>HYPERLINK("https://probpalata.gov.ru/files/ЮЛ780300131300346.jpeg","Скачать индивидуальный QR-код магазина")</f>
        <v>Скачать индивидуальный QR-код магазина</v>
      </c>
    </row>
    <row r="14453" spans="1:7" x14ac:dyDescent="0.25">
      <c r="A14453" t="s">
        <v>43013</v>
      </c>
      <c r="B14453" t="s">
        <v>44621</v>
      </c>
      <c r="C14453" t="s">
        <v>773</v>
      </c>
      <c r="D14453" t="s">
        <v>774</v>
      </c>
      <c r="E14453" t="s">
        <v>775</v>
      </c>
      <c r="F14453" t="s">
        <v>44622</v>
      </c>
      <c r="G14453" s="2" t="str">
        <f>HYPERLINK("https://probpalata.gov.ru/files/ЮЛ780300131300347.jpeg","Скачать индивидуальный QR-код магазина")</f>
        <v>Скачать индивидуальный QR-код магазина</v>
      </c>
    </row>
    <row r="14454" spans="1:7" x14ac:dyDescent="0.25">
      <c r="A14454" t="s">
        <v>43013</v>
      </c>
      <c r="B14454" t="s">
        <v>44623</v>
      </c>
      <c r="C14454" t="s">
        <v>773</v>
      </c>
      <c r="D14454" t="s">
        <v>774</v>
      </c>
      <c r="E14454" t="s">
        <v>775</v>
      </c>
      <c r="F14454" t="s">
        <v>44624</v>
      </c>
      <c r="G14454" s="2" t="str">
        <f>HYPERLINK("https://probpalata.gov.ru/files/ЮЛ780300131300366.jpeg","Скачать индивидуальный QR-код магазина")</f>
        <v>Скачать индивидуальный QR-код магазина</v>
      </c>
    </row>
    <row r="14455" spans="1:7" x14ac:dyDescent="0.25">
      <c r="A14455" t="s">
        <v>43013</v>
      </c>
      <c r="B14455" t="s">
        <v>44625</v>
      </c>
      <c r="C14455" t="s">
        <v>773</v>
      </c>
      <c r="D14455" t="s">
        <v>774</v>
      </c>
      <c r="E14455" t="s">
        <v>775</v>
      </c>
      <c r="F14455" t="s">
        <v>44626</v>
      </c>
      <c r="G14455" s="2" t="str">
        <f>HYPERLINK("https://probpalata.gov.ru/files/ЮЛ780300131300367.jpeg","Скачать индивидуальный QR-код магазина")</f>
        <v>Скачать индивидуальный QR-код магазина</v>
      </c>
    </row>
    <row r="14456" spans="1:7" x14ac:dyDescent="0.25">
      <c r="A14456" t="s">
        <v>43013</v>
      </c>
      <c r="B14456" t="s">
        <v>44627</v>
      </c>
      <c r="C14456" t="s">
        <v>773</v>
      </c>
      <c r="D14456" t="s">
        <v>774</v>
      </c>
      <c r="E14456" t="s">
        <v>775</v>
      </c>
      <c r="F14456" t="s">
        <v>44628</v>
      </c>
      <c r="G14456" s="2" t="str">
        <f>HYPERLINK("https://probpalata.gov.ru/files/ЮЛ780300131300370.jpeg","Скачать индивидуальный QR-код магазина")</f>
        <v>Скачать индивидуальный QR-код магазина</v>
      </c>
    </row>
    <row r="14457" spans="1:7" x14ac:dyDescent="0.25">
      <c r="A14457" t="s">
        <v>43013</v>
      </c>
      <c r="B14457" t="s">
        <v>44629</v>
      </c>
      <c r="C14457" t="s">
        <v>773</v>
      </c>
      <c r="D14457" t="s">
        <v>774</v>
      </c>
      <c r="E14457" t="s">
        <v>775</v>
      </c>
      <c r="F14457" t="s">
        <v>44630</v>
      </c>
      <c r="G14457" s="2" t="str">
        <f>HYPERLINK("https://probpalata.gov.ru/files/ЮЛ780300131300374.jpeg","Скачать индивидуальный QR-код магазина")</f>
        <v>Скачать индивидуальный QR-код магазина</v>
      </c>
    </row>
    <row r="14458" spans="1:7" x14ac:dyDescent="0.25">
      <c r="A14458" t="s">
        <v>43013</v>
      </c>
      <c r="B14458" t="s">
        <v>44631</v>
      </c>
      <c r="C14458" t="s">
        <v>773</v>
      </c>
      <c r="D14458" t="s">
        <v>774</v>
      </c>
      <c r="E14458" t="s">
        <v>775</v>
      </c>
      <c r="F14458" t="s">
        <v>44632</v>
      </c>
      <c r="G14458" s="2" t="str">
        <f>HYPERLINK("https://probpalata.gov.ru/files/ЮЛ780300131300376.jpeg","Скачать индивидуальный QR-код магазина")</f>
        <v>Скачать индивидуальный QR-код магазина</v>
      </c>
    </row>
    <row r="14459" spans="1:7" x14ac:dyDescent="0.25">
      <c r="A14459" t="s">
        <v>43013</v>
      </c>
      <c r="B14459" t="s">
        <v>44633</v>
      </c>
      <c r="C14459" t="s">
        <v>773</v>
      </c>
      <c r="D14459" t="s">
        <v>774</v>
      </c>
      <c r="E14459" t="s">
        <v>775</v>
      </c>
      <c r="F14459" t="s">
        <v>44634</v>
      </c>
      <c r="G14459" s="2" t="str">
        <f>HYPERLINK("https://probpalata.gov.ru/files/ЮЛ780300131300627.jpeg","Скачать индивидуальный QR-код магазина")</f>
        <v>Скачать индивидуальный QR-код магазина</v>
      </c>
    </row>
    <row r="14460" spans="1:7" x14ac:dyDescent="0.25">
      <c r="A14460" t="s">
        <v>43013</v>
      </c>
      <c r="B14460" t="s">
        <v>44635</v>
      </c>
      <c r="C14460" t="s">
        <v>44636</v>
      </c>
      <c r="D14460" t="s">
        <v>44637</v>
      </c>
      <c r="E14460" t="s">
        <v>44638</v>
      </c>
      <c r="F14460" t="s">
        <v>44639</v>
      </c>
      <c r="G14460" s="2" t="str">
        <f>HYPERLINK("https://probpalata.gov.ru/files/ИП610400972800000.jpeg","Скачать индивидуальный QR-код магазина")</f>
        <v>Скачать индивидуальный QR-код магазина</v>
      </c>
    </row>
    <row r="14461" spans="1:7" x14ac:dyDescent="0.25">
      <c r="A14461" t="s">
        <v>43013</v>
      </c>
      <c r="B14461" t="s">
        <v>44640</v>
      </c>
      <c r="C14461" t="s">
        <v>44636</v>
      </c>
      <c r="D14461" t="s">
        <v>44637</v>
      </c>
      <c r="E14461" t="s">
        <v>44638</v>
      </c>
      <c r="F14461" t="s">
        <v>44641</v>
      </c>
      <c r="G14461" s="2" t="str">
        <f>HYPERLINK("https://probpalata.gov.ru/files/ИП610400972800002.jpeg","Скачать индивидуальный QR-код магазина")</f>
        <v>Скачать индивидуальный QR-код магазина</v>
      </c>
    </row>
    <row r="14462" spans="1:7" x14ac:dyDescent="0.25">
      <c r="A14462" t="s">
        <v>43013</v>
      </c>
      <c r="B14462" t="s">
        <v>44642</v>
      </c>
      <c r="C14462" t="s">
        <v>44636</v>
      </c>
      <c r="D14462" t="s">
        <v>44637</v>
      </c>
      <c r="E14462" t="s">
        <v>44638</v>
      </c>
      <c r="F14462" t="s">
        <v>44643</v>
      </c>
      <c r="G14462" s="2" t="str">
        <f>HYPERLINK("https://probpalata.gov.ru/files/ИП610400972800003.jpeg","Скачать индивидуальный QR-код магазина")</f>
        <v>Скачать индивидуальный QR-код магазина</v>
      </c>
    </row>
    <row r="14463" spans="1:7" x14ac:dyDescent="0.25">
      <c r="A14463" t="s">
        <v>43013</v>
      </c>
      <c r="B14463" t="s">
        <v>44644</v>
      </c>
      <c r="C14463" t="s">
        <v>44636</v>
      </c>
      <c r="D14463" t="s">
        <v>44637</v>
      </c>
      <c r="E14463" t="s">
        <v>44638</v>
      </c>
      <c r="F14463" t="s">
        <v>44645</v>
      </c>
      <c r="G14463" s="2" t="str">
        <f>HYPERLINK("https://probpalata.gov.ru/files/ИП610400972800004.jpeg","Скачать индивидуальный QR-код магазина")</f>
        <v>Скачать индивидуальный QR-код магазина</v>
      </c>
    </row>
    <row r="14464" spans="1:7" x14ac:dyDescent="0.25">
      <c r="A14464" t="s">
        <v>43013</v>
      </c>
      <c r="B14464" t="s">
        <v>44646</v>
      </c>
      <c r="C14464" t="s">
        <v>44636</v>
      </c>
      <c r="D14464" t="s">
        <v>44637</v>
      </c>
      <c r="E14464" t="s">
        <v>44638</v>
      </c>
      <c r="F14464" t="s">
        <v>44647</v>
      </c>
      <c r="G14464" s="2" t="str">
        <f>HYPERLINK("https://probpalata.gov.ru/files/ИП610400972800006.jpeg","Скачать индивидуальный QR-код магазина")</f>
        <v>Скачать индивидуальный QR-код магазина</v>
      </c>
    </row>
    <row r="14465" spans="1:7" x14ac:dyDescent="0.25">
      <c r="A14465" t="s">
        <v>43013</v>
      </c>
      <c r="B14465" t="s">
        <v>44648</v>
      </c>
      <c r="C14465" t="s">
        <v>787</v>
      </c>
      <c r="D14465" t="s">
        <v>788</v>
      </c>
      <c r="E14465" t="s">
        <v>789</v>
      </c>
      <c r="F14465" t="s">
        <v>44649</v>
      </c>
      <c r="G14465" s="2" t="str">
        <f>HYPERLINK("https://probpalata.gov.ru/files/ЮЛ780300328000185.jpeg","Скачать индивидуальный QR-код магазина")</f>
        <v>Скачать индивидуальный QR-код магазина</v>
      </c>
    </row>
    <row r="14466" spans="1:7" x14ac:dyDescent="0.25">
      <c r="A14466" t="s">
        <v>43013</v>
      </c>
      <c r="B14466" t="s">
        <v>44650</v>
      </c>
      <c r="C14466" t="s">
        <v>787</v>
      </c>
      <c r="D14466" t="s">
        <v>788</v>
      </c>
      <c r="E14466" t="s">
        <v>789</v>
      </c>
      <c r="F14466" t="s">
        <v>44651</v>
      </c>
      <c r="G14466" s="2" t="str">
        <f>HYPERLINK("https://probpalata.gov.ru/files/ЮЛ780300328000186.jpeg","Скачать индивидуальный QR-код магазина")</f>
        <v>Скачать индивидуальный QR-код магазина</v>
      </c>
    </row>
    <row r="14467" spans="1:7" x14ac:dyDescent="0.25">
      <c r="A14467" t="s">
        <v>43013</v>
      </c>
      <c r="B14467" t="s">
        <v>44652</v>
      </c>
      <c r="C14467" t="s">
        <v>4077</v>
      </c>
      <c r="D14467" t="s">
        <v>4078</v>
      </c>
      <c r="E14467" t="s">
        <v>4079</v>
      </c>
      <c r="F14467" t="s">
        <v>44653</v>
      </c>
      <c r="G14467" s="2" t="str">
        <f>HYPERLINK("https://probpalata.gov.ru/files/ЮЛ780300331800020.jpeg","Скачать индивидуальный QR-код магазина")</f>
        <v>Скачать индивидуальный QR-код магазина</v>
      </c>
    </row>
    <row r="14468" spans="1:7" x14ac:dyDescent="0.25">
      <c r="A14468" t="s">
        <v>43013</v>
      </c>
      <c r="B14468" t="s">
        <v>44654</v>
      </c>
      <c r="C14468" t="s">
        <v>44655</v>
      </c>
      <c r="D14468" t="s">
        <v>44656</v>
      </c>
      <c r="E14468" t="s">
        <v>44657</v>
      </c>
      <c r="F14468" t="s">
        <v>44658</v>
      </c>
      <c r="G14468" s="2" t="str">
        <f>HYPERLINK("https://probpalata.gov.ru/files/ИП780303305300001.jpeg","Скачать индивидуальный QR-код магазина")</f>
        <v>Скачать индивидуальный QR-код магазина</v>
      </c>
    </row>
    <row r="14469" spans="1:7" x14ac:dyDescent="0.25">
      <c r="A14469" t="s">
        <v>43013</v>
      </c>
      <c r="B14469" t="s">
        <v>44659</v>
      </c>
      <c r="C14469" t="s">
        <v>44655</v>
      </c>
      <c r="D14469" t="s">
        <v>44656</v>
      </c>
      <c r="E14469" t="s">
        <v>44657</v>
      </c>
      <c r="F14469" t="s">
        <v>44660</v>
      </c>
      <c r="G14469" s="2" t="str">
        <f>HYPERLINK("https://probpalata.gov.ru/files/ИП780303305300002.jpeg","Скачать индивидуальный QR-код магазина")</f>
        <v>Скачать индивидуальный QR-код магазина</v>
      </c>
    </row>
    <row r="14470" spans="1:7" x14ac:dyDescent="0.25">
      <c r="A14470" t="s">
        <v>43013</v>
      </c>
      <c r="B14470" t="s">
        <v>44661</v>
      </c>
      <c r="C14470" t="s">
        <v>798</v>
      </c>
      <c r="D14470" t="s">
        <v>799</v>
      </c>
      <c r="E14470" t="s">
        <v>800</v>
      </c>
      <c r="F14470" t="s">
        <v>44662</v>
      </c>
      <c r="G14470" s="2" t="str">
        <f>HYPERLINK("https://probpalata.gov.ru/files/ЮЛ780300308200093.jpeg","Скачать индивидуальный QR-код магазина")</f>
        <v>Скачать индивидуальный QR-код магазина</v>
      </c>
    </row>
    <row r="14471" spans="1:7" x14ac:dyDescent="0.25">
      <c r="A14471" t="s">
        <v>43013</v>
      </c>
      <c r="B14471" t="s">
        <v>44663</v>
      </c>
      <c r="C14471" t="s">
        <v>798</v>
      </c>
      <c r="D14471" t="s">
        <v>799</v>
      </c>
      <c r="E14471" t="s">
        <v>800</v>
      </c>
      <c r="F14471" t="s">
        <v>44664</v>
      </c>
      <c r="G14471" s="2" t="str">
        <f>HYPERLINK("https://probpalata.gov.ru/files/ЮЛ780300308200121.jpeg","Скачать индивидуальный QR-код магазина")</f>
        <v>Скачать индивидуальный QR-код магазина</v>
      </c>
    </row>
    <row r="14472" spans="1:7" x14ac:dyDescent="0.25">
      <c r="A14472" t="s">
        <v>43013</v>
      </c>
      <c r="B14472" t="s">
        <v>44665</v>
      </c>
      <c r="C14472" t="s">
        <v>798</v>
      </c>
      <c r="D14472" t="s">
        <v>799</v>
      </c>
      <c r="E14472" t="s">
        <v>800</v>
      </c>
      <c r="F14472" t="s">
        <v>44666</v>
      </c>
      <c r="G14472" s="2" t="str">
        <f>HYPERLINK("https://probpalata.gov.ru/files/ЮЛ780300308200128.jpeg","Скачать индивидуальный QR-код магазина")</f>
        <v>Скачать индивидуальный QR-код магазина</v>
      </c>
    </row>
    <row r="14473" spans="1:7" x14ac:dyDescent="0.25">
      <c r="A14473" t="s">
        <v>43013</v>
      </c>
      <c r="B14473" t="s">
        <v>44667</v>
      </c>
      <c r="C14473" t="s">
        <v>798</v>
      </c>
      <c r="D14473" t="s">
        <v>799</v>
      </c>
      <c r="E14473" t="s">
        <v>800</v>
      </c>
      <c r="F14473" t="s">
        <v>44668</v>
      </c>
      <c r="G14473" s="2" t="str">
        <f>HYPERLINK("https://probpalata.gov.ru/files/ЮЛ780300308200193.jpeg","Скачать индивидуальный QR-код магазина")</f>
        <v>Скачать индивидуальный QR-код магазина</v>
      </c>
    </row>
    <row r="14474" spans="1:7" x14ac:dyDescent="0.25">
      <c r="A14474" t="s">
        <v>43013</v>
      </c>
      <c r="B14474" t="s">
        <v>44669</v>
      </c>
      <c r="C14474" t="s">
        <v>798</v>
      </c>
      <c r="D14474" t="s">
        <v>799</v>
      </c>
      <c r="E14474" t="s">
        <v>800</v>
      </c>
      <c r="F14474" t="s">
        <v>44670</v>
      </c>
      <c r="G14474" s="2" t="str">
        <f>HYPERLINK("https://probpalata.gov.ru/files/ЮЛ780300308200197.jpeg","Скачать индивидуальный QR-код магазина")</f>
        <v>Скачать индивидуальный QR-код магазина</v>
      </c>
    </row>
    <row r="14475" spans="1:7" x14ac:dyDescent="0.25">
      <c r="A14475" t="s">
        <v>43013</v>
      </c>
      <c r="B14475" t="s">
        <v>43634</v>
      </c>
      <c r="C14475" t="s">
        <v>798</v>
      </c>
      <c r="D14475" t="s">
        <v>799</v>
      </c>
      <c r="E14475" t="s">
        <v>800</v>
      </c>
      <c r="F14475" t="s">
        <v>44671</v>
      </c>
      <c r="G14475" s="2" t="str">
        <f>HYPERLINK("https://probpalata.gov.ru/files/ЮЛ780300308200258.jpeg","Скачать индивидуальный QR-код магазина")</f>
        <v>Скачать индивидуальный QR-код магазина</v>
      </c>
    </row>
    <row r="14476" spans="1:7" x14ac:dyDescent="0.25">
      <c r="A14476" t="s">
        <v>43013</v>
      </c>
      <c r="B14476" t="s">
        <v>44672</v>
      </c>
      <c r="C14476" t="s">
        <v>798</v>
      </c>
      <c r="D14476" t="s">
        <v>799</v>
      </c>
      <c r="E14476" t="s">
        <v>800</v>
      </c>
      <c r="F14476" t="s">
        <v>44673</v>
      </c>
      <c r="G14476" s="2" t="str">
        <f>HYPERLINK("https://probpalata.gov.ru/files/ЮЛ780300308200268.jpeg","Скачать индивидуальный QR-код магазина")</f>
        <v>Скачать индивидуальный QR-код магазина</v>
      </c>
    </row>
    <row r="14477" spans="1:7" x14ac:dyDescent="0.25">
      <c r="A14477" t="s">
        <v>43013</v>
      </c>
      <c r="B14477" t="s">
        <v>44674</v>
      </c>
      <c r="C14477" t="s">
        <v>798</v>
      </c>
      <c r="D14477" t="s">
        <v>799</v>
      </c>
      <c r="E14477" t="s">
        <v>800</v>
      </c>
      <c r="F14477" t="s">
        <v>44675</v>
      </c>
      <c r="G14477" s="2" t="str">
        <f>HYPERLINK("https://probpalata.gov.ru/files/ЮЛ780300308200318.jpeg","Скачать индивидуальный QR-код магазина")</f>
        <v>Скачать индивидуальный QR-код магазина</v>
      </c>
    </row>
    <row r="14478" spans="1:7" x14ac:dyDescent="0.25">
      <c r="A14478" t="s">
        <v>43013</v>
      </c>
      <c r="B14478" t="s">
        <v>44676</v>
      </c>
      <c r="C14478" t="s">
        <v>798</v>
      </c>
      <c r="D14478" t="s">
        <v>799</v>
      </c>
      <c r="E14478" t="s">
        <v>800</v>
      </c>
      <c r="F14478" t="s">
        <v>44677</v>
      </c>
      <c r="G14478" s="2" t="str">
        <f>HYPERLINK("https://probpalata.gov.ru/files/ЮЛ780300308200523.jpeg","Скачать индивидуальный QR-код магазина")</f>
        <v>Скачать индивидуальный QR-код магазина</v>
      </c>
    </row>
    <row r="14479" spans="1:7" x14ac:dyDescent="0.25">
      <c r="A14479" t="s">
        <v>43013</v>
      </c>
      <c r="B14479" t="s">
        <v>44678</v>
      </c>
      <c r="C14479" t="s">
        <v>798</v>
      </c>
      <c r="D14479" t="s">
        <v>799</v>
      </c>
      <c r="E14479" t="s">
        <v>800</v>
      </c>
      <c r="F14479" t="s">
        <v>44679</v>
      </c>
      <c r="G14479" s="2" t="str">
        <f>HYPERLINK("https://probpalata.gov.ru/files/ЮЛ780300308200527.jpeg","Скачать индивидуальный QR-код магазина")</f>
        <v>Скачать индивидуальный QR-код магазина</v>
      </c>
    </row>
    <row r="14480" spans="1:7" x14ac:dyDescent="0.25">
      <c r="A14480" t="s">
        <v>43013</v>
      </c>
      <c r="B14480" t="s">
        <v>44680</v>
      </c>
      <c r="C14480" t="s">
        <v>798</v>
      </c>
      <c r="D14480" t="s">
        <v>799</v>
      </c>
      <c r="E14480" t="s">
        <v>800</v>
      </c>
      <c r="F14480" t="s">
        <v>44681</v>
      </c>
      <c r="G14480" s="2" t="str">
        <f>HYPERLINK("https://probpalata.gov.ru/files/ЮЛ780300308200531.jpeg","Скачать индивидуальный QR-код магазина")</f>
        <v>Скачать индивидуальный QR-код магазина</v>
      </c>
    </row>
    <row r="14481" spans="1:7" x14ac:dyDescent="0.25">
      <c r="A14481" t="s">
        <v>43013</v>
      </c>
      <c r="B14481" t="s">
        <v>44682</v>
      </c>
      <c r="C14481" t="s">
        <v>798</v>
      </c>
      <c r="D14481" t="s">
        <v>799</v>
      </c>
      <c r="E14481" t="s">
        <v>800</v>
      </c>
      <c r="F14481" t="s">
        <v>44683</v>
      </c>
      <c r="G14481" s="2" t="str">
        <f>HYPERLINK("https://probpalata.gov.ru/files/ЮЛ780300308200532.jpeg","Скачать индивидуальный QR-код магазина")</f>
        <v>Скачать индивидуальный QR-код магазина</v>
      </c>
    </row>
    <row r="14482" spans="1:7" x14ac:dyDescent="0.25">
      <c r="A14482" t="s">
        <v>43013</v>
      </c>
      <c r="B14482" t="s">
        <v>44684</v>
      </c>
      <c r="C14482" t="s">
        <v>798</v>
      </c>
      <c r="D14482" t="s">
        <v>799</v>
      </c>
      <c r="E14482" t="s">
        <v>800</v>
      </c>
      <c r="F14482" t="s">
        <v>44685</v>
      </c>
      <c r="G14482" s="2" t="str">
        <f>HYPERLINK("https://probpalata.gov.ru/files/ЮЛ780300308200534.jpeg","Скачать индивидуальный QR-код магазина")</f>
        <v>Скачать индивидуальный QR-код магазина</v>
      </c>
    </row>
    <row r="14483" spans="1:7" x14ac:dyDescent="0.25">
      <c r="A14483" t="s">
        <v>43013</v>
      </c>
      <c r="B14483" t="s">
        <v>44686</v>
      </c>
      <c r="C14483" t="s">
        <v>798</v>
      </c>
      <c r="D14483" t="s">
        <v>799</v>
      </c>
      <c r="E14483" t="s">
        <v>800</v>
      </c>
      <c r="F14483" t="s">
        <v>44687</v>
      </c>
      <c r="G14483" s="2" t="str">
        <f>HYPERLINK("https://probpalata.gov.ru/files/ЮЛ780300308200535.jpeg","Скачать индивидуальный QR-код магазина")</f>
        <v>Скачать индивидуальный QR-код магазина</v>
      </c>
    </row>
    <row r="14484" spans="1:7" x14ac:dyDescent="0.25">
      <c r="A14484" t="s">
        <v>43013</v>
      </c>
      <c r="B14484" t="s">
        <v>44688</v>
      </c>
      <c r="C14484" t="s">
        <v>798</v>
      </c>
      <c r="D14484" t="s">
        <v>799</v>
      </c>
      <c r="E14484" t="s">
        <v>800</v>
      </c>
      <c r="F14484" t="s">
        <v>44689</v>
      </c>
      <c r="G14484" s="2" t="str">
        <f>HYPERLINK("https://probpalata.gov.ru/files/ЮЛ780300308200537.jpeg","Скачать индивидуальный QR-код магазина")</f>
        <v>Скачать индивидуальный QR-код магазина</v>
      </c>
    </row>
    <row r="14485" spans="1:7" x14ac:dyDescent="0.25">
      <c r="A14485" t="s">
        <v>43013</v>
      </c>
      <c r="B14485" t="s">
        <v>44690</v>
      </c>
      <c r="C14485" t="s">
        <v>798</v>
      </c>
      <c r="D14485" t="s">
        <v>799</v>
      </c>
      <c r="E14485" t="s">
        <v>800</v>
      </c>
      <c r="F14485" t="s">
        <v>44691</v>
      </c>
      <c r="G14485" s="2" t="str">
        <f>HYPERLINK("https://probpalata.gov.ru/files/ЮЛ780300308200540.jpeg","Скачать индивидуальный QR-код магазина")</f>
        <v>Скачать индивидуальный QR-код магазина</v>
      </c>
    </row>
    <row r="14486" spans="1:7" x14ac:dyDescent="0.25">
      <c r="A14486" t="s">
        <v>43013</v>
      </c>
      <c r="B14486" t="s">
        <v>44692</v>
      </c>
      <c r="C14486" t="s">
        <v>798</v>
      </c>
      <c r="D14486" t="s">
        <v>799</v>
      </c>
      <c r="E14486" t="s">
        <v>800</v>
      </c>
      <c r="F14486" t="s">
        <v>44693</v>
      </c>
      <c r="G14486" s="2" t="str">
        <f>HYPERLINK("https://probpalata.gov.ru/files/ЮЛ780300308200546.jpeg","Скачать индивидуальный QR-код магазина")</f>
        <v>Скачать индивидуальный QR-код магазина</v>
      </c>
    </row>
    <row r="14487" spans="1:7" x14ac:dyDescent="0.25">
      <c r="A14487" t="s">
        <v>43013</v>
      </c>
      <c r="B14487" t="s">
        <v>44694</v>
      </c>
      <c r="C14487" t="s">
        <v>798</v>
      </c>
      <c r="D14487" t="s">
        <v>799</v>
      </c>
      <c r="E14487" t="s">
        <v>800</v>
      </c>
      <c r="F14487" t="s">
        <v>44695</v>
      </c>
      <c r="G14487" s="2" t="str">
        <f>HYPERLINK("https://probpalata.gov.ru/files/ЮЛ780300308200591.jpeg","Скачать индивидуальный QR-код магазина")</f>
        <v>Скачать индивидуальный QR-код магазина</v>
      </c>
    </row>
    <row r="14488" spans="1:7" x14ac:dyDescent="0.25">
      <c r="A14488" t="s">
        <v>43013</v>
      </c>
      <c r="B14488" t="s">
        <v>44696</v>
      </c>
      <c r="C14488" t="s">
        <v>798</v>
      </c>
      <c r="D14488" t="s">
        <v>799</v>
      </c>
      <c r="E14488" t="s">
        <v>800</v>
      </c>
      <c r="F14488" t="s">
        <v>44697</v>
      </c>
      <c r="G14488" s="2" t="str">
        <f>HYPERLINK("https://probpalata.gov.ru/files/ЮЛ780300308200655.jpeg","Скачать индивидуальный QR-код магазина")</f>
        <v>Скачать индивидуальный QR-код магазина</v>
      </c>
    </row>
    <row r="14489" spans="1:7" x14ac:dyDescent="0.25">
      <c r="A14489" t="s">
        <v>43013</v>
      </c>
      <c r="B14489" t="s">
        <v>44698</v>
      </c>
      <c r="C14489" t="s">
        <v>798</v>
      </c>
      <c r="D14489" t="s">
        <v>799</v>
      </c>
      <c r="E14489" t="s">
        <v>800</v>
      </c>
      <c r="F14489" t="s">
        <v>44699</v>
      </c>
      <c r="G14489" s="2" t="str">
        <f>HYPERLINK("https://probpalata.gov.ru/files/ЮЛ780300308200659.jpeg","Скачать индивидуальный QR-код магазина")</f>
        <v>Скачать индивидуальный QR-код магазина</v>
      </c>
    </row>
    <row r="14490" spans="1:7" x14ac:dyDescent="0.25">
      <c r="A14490" t="s">
        <v>43013</v>
      </c>
      <c r="B14490" t="s">
        <v>44410</v>
      </c>
      <c r="C14490" t="s">
        <v>798</v>
      </c>
      <c r="D14490" t="s">
        <v>799</v>
      </c>
      <c r="E14490" t="s">
        <v>800</v>
      </c>
      <c r="F14490" t="s">
        <v>44700</v>
      </c>
      <c r="G14490" s="2" t="str">
        <f>HYPERLINK("https://probpalata.gov.ru/files/ЮЛ780300308200730.jpeg","Скачать индивидуальный QR-код магазина")</f>
        <v>Скачать индивидуальный QR-код магазина</v>
      </c>
    </row>
    <row r="14491" spans="1:7" x14ac:dyDescent="0.25">
      <c r="A14491" t="s">
        <v>43013</v>
      </c>
      <c r="B14491" t="s">
        <v>44701</v>
      </c>
      <c r="C14491" t="s">
        <v>798</v>
      </c>
      <c r="D14491" t="s">
        <v>799</v>
      </c>
      <c r="E14491" t="s">
        <v>800</v>
      </c>
      <c r="F14491" t="s">
        <v>44702</v>
      </c>
      <c r="G14491" s="2" t="str">
        <f>HYPERLINK("https://probpalata.gov.ru/files/ЮЛ780300308200741.jpeg","Скачать индивидуальный QR-код магазина")</f>
        <v>Скачать индивидуальный QR-код магазина</v>
      </c>
    </row>
    <row r="14492" spans="1:7" x14ac:dyDescent="0.25">
      <c r="A14492" t="s">
        <v>43013</v>
      </c>
      <c r="B14492" t="s">
        <v>44703</v>
      </c>
      <c r="C14492" t="s">
        <v>798</v>
      </c>
      <c r="D14492" t="s">
        <v>799</v>
      </c>
      <c r="E14492" t="s">
        <v>800</v>
      </c>
      <c r="F14492" t="s">
        <v>44704</v>
      </c>
      <c r="G14492" s="2" t="str">
        <f>HYPERLINK("https://probpalata.gov.ru/files/ЮЛ780300308200749.jpeg","Скачать индивидуальный QR-код магазина")</f>
        <v>Скачать индивидуальный QR-код магазина</v>
      </c>
    </row>
    <row r="14493" spans="1:7" x14ac:dyDescent="0.25">
      <c r="A14493" t="s">
        <v>43013</v>
      </c>
      <c r="B14493" t="s">
        <v>44705</v>
      </c>
      <c r="C14493" t="s">
        <v>798</v>
      </c>
      <c r="D14493" t="s">
        <v>799</v>
      </c>
      <c r="E14493" t="s">
        <v>800</v>
      </c>
      <c r="F14493" t="s">
        <v>44706</v>
      </c>
      <c r="G14493" s="2" t="str">
        <f>HYPERLINK("https://probpalata.gov.ru/files/ЮЛ780300308200785.jpeg","Скачать индивидуальный QR-код магазина")</f>
        <v>Скачать индивидуальный QR-код магазина</v>
      </c>
    </row>
    <row r="14494" spans="1:7" x14ac:dyDescent="0.25">
      <c r="A14494" t="s">
        <v>43013</v>
      </c>
      <c r="B14494" t="s">
        <v>44707</v>
      </c>
      <c r="C14494" t="s">
        <v>798</v>
      </c>
      <c r="D14494" t="s">
        <v>799</v>
      </c>
      <c r="E14494" t="s">
        <v>800</v>
      </c>
      <c r="F14494" t="s">
        <v>44708</v>
      </c>
      <c r="G14494" s="2" t="str">
        <f>HYPERLINK("https://probpalata.gov.ru/files/ЮЛ780300308200818.jpeg","Скачать индивидуальный QR-код магазина")</f>
        <v>Скачать индивидуальный QR-код магазина</v>
      </c>
    </row>
    <row r="14495" spans="1:7" x14ac:dyDescent="0.25">
      <c r="A14495" t="s">
        <v>43013</v>
      </c>
      <c r="B14495" t="s">
        <v>44709</v>
      </c>
      <c r="C14495" t="s">
        <v>798</v>
      </c>
      <c r="D14495" t="s">
        <v>799</v>
      </c>
      <c r="E14495" t="s">
        <v>800</v>
      </c>
      <c r="F14495" t="s">
        <v>44710</v>
      </c>
      <c r="G14495" s="2" t="str">
        <f>HYPERLINK("https://probpalata.gov.ru/files/ЮЛ780300308200820.jpeg","Скачать индивидуальный QR-код магазина")</f>
        <v>Скачать индивидуальный QR-код магазина</v>
      </c>
    </row>
    <row r="14496" spans="1:7" x14ac:dyDescent="0.25">
      <c r="A14496" t="s">
        <v>43013</v>
      </c>
      <c r="B14496" t="s">
        <v>44711</v>
      </c>
      <c r="C14496" t="s">
        <v>798</v>
      </c>
      <c r="D14496" t="s">
        <v>799</v>
      </c>
      <c r="E14496" t="s">
        <v>800</v>
      </c>
      <c r="F14496" t="s">
        <v>44712</v>
      </c>
      <c r="G14496" s="2" t="str">
        <f>HYPERLINK("https://probpalata.gov.ru/files/ЮЛ780300308200823.jpeg","Скачать индивидуальный QR-код магазина")</f>
        <v>Скачать индивидуальный QR-код магазина</v>
      </c>
    </row>
    <row r="14497" spans="1:7" x14ac:dyDescent="0.25">
      <c r="A14497" t="s">
        <v>43013</v>
      </c>
      <c r="B14497" t="s">
        <v>44713</v>
      </c>
      <c r="C14497" t="s">
        <v>798</v>
      </c>
      <c r="D14497" t="s">
        <v>799</v>
      </c>
      <c r="E14497" t="s">
        <v>800</v>
      </c>
      <c r="F14497" t="s">
        <v>44714</v>
      </c>
      <c r="G14497" s="2" t="str">
        <f>HYPERLINK("https://probpalata.gov.ru/files/ЮЛ780300308200827.jpeg","Скачать индивидуальный QR-код магазина")</f>
        <v>Скачать индивидуальный QR-код магазина</v>
      </c>
    </row>
    <row r="14498" spans="1:7" x14ac:dyDescent="0.25">
      <c r="A14498" t="s">
        <v>43013</v>
      </c>
      <c r="B14498" t="s">
        <v>44715</v>
      </c>
      <c r="C14498" t="s">
        <v>798</v>
      </c>
      <c r="D14498" t="s">
        <v>799</v>
      </c>
      <c r="E14498" t="s">
        <v>800</v>
      </c>
      <c r="F14498" t="s">
        <v>44716</v>
      </c>
      <c r="G14498" s="2" t="str">
        <f>HYPERLINK("https://probpalata.gov.ru/files/ЮЛ780300308200828.jpeg","Скачать индивидуальный QR-код магазина")</f>
        <v>Скачать индивидуальный QR-код магазина</v>
      </c>
    </row>
    <row r="14499" spans="1:7" x14ac:dyDescent="0.25">
      <c r="A14499" t="s">
        <v>43013</v>
      </c>
      <c r="B14499" t="s">
        <v>44717</v>
      </c>
      <c r="C14499" t="s">
        <v>798</v>
      </c>
      <c r="D14499" t="s">
        <v>799</v>
      </c>
      <c r="E14499" t="s">
        <v>800</v>
      </c>
      <c r="F14499" t="s">
        <v>44718</v>
      </c>
      <c r="G14499" s="2" t="str">
        <f>HYPERLINK("https://probpalata.gov.ru/files/ЮЛ780300308200832.jpeg","Скачать индивидуальный QR-код магазина")</f>
        <v>Скачать индивидуальный QR-код магазина</v>
      </c>
    </row>
    <row r="14500" spans="1:7" x14ac:dyDescent="0.25">
      <c r="A14500" t="s">
        <v>43013</v>
      </c>
      <c r="B14500" t="s">
        <v>44719</v>
      </c>
      <c r="C14500" t="s">
        <v>798</v>
      </c>
      <c r="D14500" t="s">
        <v>799</v>
      </c>
      <c r="E14500" t="s">
        <v>800</v>
      </c>
      <c r="F14500" t="s">
        <v>44720</v>
      </c>
      <c r="G14500" s="2" t="str">
        <f>HYPERLINK("https://probpalata.gov.ru/files/ЮЛ780300308200843.jpeg","Скачать индивидуальный QR-код магазина")</f>
        <v>Скачать индивидуальный QR-код магазина</v>
      </c>
    </row>
    <row r="14501" spans="1:7" x14ac:dyDescent="0.25">
      <c r="A14501" t="s">
        <v>43013</v>
      </c>
      <c r="B14501" t="s">
        <v>44721</v>
      </c>
      <c r="C14501" t="s">
        <v>798</v>
      </c>
      <c r="D14501" t="s">
        <v>799</v>
      </c>
      <c r="E14501" t="s">
        <v>800</v>
      </c>
      <c r="F14501" t="s">
        <v>44722</v>
      </c>
      <c r="G14501" s="2" t="str">
        <f>HYPERLINK("https://probpalata.gov.ru/files/ЮЛ780300308200848.jpeg","Скачать индивидуальный QR-код магазина")</f>
        <v>Скачать индивидуальный QR-код магазина</v>
      </c>
    </row>
    <row r="14502" spans="1:7" x14ac:dyDescent="0.25">
      <c r="A14502" t="s">
        <v>43013</v>
      </c>
      <c r="B14502" t="s">
        <v>44723</v>
      </c>
      <c r="C14502" t="s">
        <v>798</v>
      </c>
      <c r="D14502" t="s">
        <v>799</v>
      </c>
      <c r="E14502" t="s">
        <v>800</v>
      </c>
      <c r="F14502" t="s">
        <v>44724</v>
      </c>
      <c r="G14502" s="2" t="str">
        <f>HYPERLINK("https://probpalata.gov.ru/files/ЮЛ780300308200858.jpeg","Скачать индивидуальный QR-код магазина")</f>
        <v>Скачать индивидуальный QR-код магазина</v>
      </c>
    </row>
    <row r="14503" spans="1:7" x14ac:dyDescent="0.25">
      <c r="A14503" t="s">
        <v>43013</v>
      </c>
      <c r="B14503" t="s">
        <v>44725</v>
      </c>
      <c r="C14503" t="s">
        <v>798</v>
      </c>
      <c r="D14503" t="s">
        <v>799</v>
      </c>
      <c r="E14503" t="s">
        <v>800</v>
      </c>
      <c r="F14503" t="s">
        <v>44726</v>
      </c>
      <c r="G14503" s="2" t="str">
        <f>HYPERLINK("https://probpalata.gov.ru/files/ЮЛ780300308200859.jpeg","Скачать индивидуальный QR-код магазина")</f>
        <v>Скачать индивидуальный QR-код магазина</v>
      </c>
    </row>
    <row r="14504" spans="1:7" x14ac:dyDescent="0.25">
      <c r="A14504" t="s">
        <v>43013</v>
      </c>
      <c r="B14504" t="s">
        <v>44727</v>
      </c>
      <c r="C14504" t="s">
        <v>798</v>
      </c>
      <c r="D14504" t="s">
        <v>799</v>
      </c>
      <c r="E14504" t="s">
        <v>800</v>
      </c>
      <c r="F14504" t="s">
        <v>44728</v>
      </c>
      <c r="G14504" s="2" t="str">
        <f>HYPERLINK("https://probpalata.gov.ru/files/ЮЛ780300308200860.jpeg","Скачать индивидуальный QR-код магазина")</f>
        <v>Скачать индивидуальный QR-код магазина</v>
      </c>
    </row>
    <row r="14505" spans="1:7" x14ac:dyDescent="0.25">
      <c r="A14505" t="s">
        <v>43013</v>
      </c>
      <c r="B14505" t="s">
        <v>44729</v>
      </c>
      <c r="C14505" t="s">
        <v>798</v>
      </c>
      <c r="D14505" t="s">
        <v>799</v>
      </c>
      <c r="E14505" t="s">
        <v>800</v>
      </c>
      <c r="F14505" t="s">
        <v>44730</v>
      </c>
      <c r="G14505" s="2" t="str">
        <f>HYPERLINK("https://probpalata.gov.ru/files/ЮЛ780300308200867.jpeg","Скачать индивидуальный QR-код магазина")</f>
        <v>Скачать индивидуальный QR-код магазина</v>
      </c>
    </row>
    <row r="14506" spans="1:7" x14ac:dyDescent="0.25">
      <c r="A14506" t="s">
        <v>43013</v>
      </c>
      <c r="B14506" t="s">
        <v>44731</v>
      </c>
      <c r="C14506" t="s">
        <v>798</v>
      </c>
      <c r="D14506" t="s">
        <v>799</v>
      </c>
      <c r="E14506" t="s">
        <v>800</v>
      </c>
      <c r="F14506" t="s">
        <v>44732</v>
      </c>
      <c r="G14506" s="2" t="str">
        <f>HYPERLINK("https://probpalata.gov.ru/files/ЮЛ780300308200873.jpeg","Скачать индивидуальный QR-код магазина")</f>
        <v>Скачать индивидуальный QR-код магазина</v>
      </c>
    </row>
    <row r="14507" spans="1:7" x14ac:dyDescent="0.25">
      <c r="A14507" t="s">
        <v>43013</v>
      </c>
      <c r="B14507" t="s">
        <v>44733</v>
      </c>
      <c r="C14507" t="s">
        <v>798</v>
      </c>
      <c r="D14507" t="s">
        <v>799</v>
      </c>
      <c r="E14507" t="s">
        <v>800</v>
      </c>
      <c r="F14507" t="s">
        <v>44734</v>
      </c>
      <c r="G14507" s="2" t="str">
        <f>HYPERLINK("https://probpalata.gov.ru/files/ЮЛ780300308200888.jpeg","Скачать индивидуальный QR-код магазина")</f>
        <v>Скачать индивидуальный QR-код магазина</v>
      </c>
    </row>
    <row r="14508" spans="1:7" x14ac:dyDescent="0.25">
      <c r="A14508" t="s">
        <v>43013</v>
      </c>
      <c r="B14508" t="s">
        <v>44735</v>
      </c>
      <c r="C14508" t="s">
        <v>798</v>
      </c>
      <c r="D14508" t="s">
        <v>799</v>
      </c>
      <c r="E14508" t="s">
        <v>800</v>
      </c>
      <c r="F14508" t="s">
        <v>44736</v>
      </c>
      <c r="G14508" s="2" t="str">
        <f>HYPERLINK("https://probpalata.gov.ru/files/ЮЛ780300308200892.jpeg","Скачать индивидуальный QR-код магазина")</f>
        <v>Скачать индивидуальный QR-код магазина</v>
      </c>
    </row>
    <row r="14509" spans="1:7" x14ac:dyDescent="0.25">
      <c r="A14509" t="s">
        <v>43013</v>
      </c>
      <c r="B14509" t="s">
        <v>44737</v>
      </c>
      <c r="C14509" t="s">
        <v>798</v>
      </c>
      <c r="D14509" t="s">
        <v>799</v>
      </c>
      <c r="E14509" t="s">
        <v>800</v>
      </c>
      <c r="F14509" t="s">
        <v>44738</v>
      </c>
      <c r="G14509" s="2" t="str">
        <f>HYPERLINK("https://probpalata.gov.ru/files/ЮЛ780300308200902.jpeg","Скачать индивидуальный QR-код магазина")</f>
        <v>Скачать индивидуальный QR-код магазина</v>
      </c>
    </row>
    <row r="14510" spans="1:7" x14ac:dyDescent="0.25">
      <c r="A14510" t="s">
        <v>43013</v>
      </c>
      <c r="B14510" t="s">
        <v>44739</v>
      </c>
      <c r="C14510" t="s">
        <v>798</v>
      </c>
      <c r="D14510" t="s">
        <v>799</v>
      </c>
      <c r="E14510" t="s">
        <v>800</v>
      </c>
      <c r="F14510" t="s">
        <v>44740</v>
      </c>
      <c r="G14510" s="2" t="str">
        <f>HYPERLINK("https://probpalata.gov.ru/files/ЮЛ780300308200913.jpeg","Скачать индивидуальный QR-код магазина")</f>
        <v>Скачать индивидуальный QR-код магазина</v>
      </c>
    </row>
    <row r="14511" spans="1:7" x14ac:dyDescent="0.25">
      <c r="A14511" t="s">
        <v>43013</v>
      </c>
      <c r="B14511" t="s">
        <v>44741</v>
      </c>
      <c r="C14511" t="s">
        <v>798</v>
      </c>
      <c r="D14511" t="s">
        <v>799</v>
      </c>
      <c r="E14511" t="s">
        <v>800</v>
      </c>
      <c r="F14511" t="s">
        <v>44742</v>
      </c>
      <c r="G14511" s="2" t="str">
        <f>HYPERLINK("https://probpalata.gov.ru/files/ЮЛ780300308200962.jpeg","Скачать индивидуальный QR-код магазина")</f>
        <v>Скачать индивидуальный QR-код магазина</v>
      </c>
    </row>
    <row r="14512" spans="1:7" x14ac:dyDescent="0.25">
      <c r="A14512" t="s">
        <v>43013</v>
      </c>
      <c r="B14512" t="s">
        <v>44743</v>
      </c>
      <c r="C14512" t="s">
        <v>798</v>
      </c>
      <c r="D14512" t="s">
        <v>799</v>
      </c>
      <c r="E14512" t="s">
        <v>800</v>
      </c>
      <c r="F14512" t="s">
        <v>44744</v>
      </c>
      <c r="G14512" s="2" t="str">
        <f>HYPERLINK("https://probpalata.gov.ru/files/ЮЛ780300308200964.jpeg","Скачать индивидуальный QR-код магазина")</f>
        <v>Скачать индивидуальный QR-код магазина</v>
      </c>
    </row>
    <row r="14513" spans="1:7" x14ac:dyDescent="0.25">
      <c r="A14513" t="s">
        <v>43013</v>
      </c>
      <c r="B14513" t="s">
        <v>44745</v>
      </c>
      <c r="C14513" t="s">
        <v>798</v>
      </c>
      <c r="D14513" t="s">
        <v>799</v>
      </c>
      <c r="E14513" t="s">
        <v>800</v>
      </c>
      <c r="F14513" t="s">
        <v>44746</v>
      </c>
      <c r="G14513" s="2" t="str">
        <f>HYPERLINK("https://probpalata.gov.ru/files/ЮЛ780300308200976.jpeg","Скачать индивидуальный QR-код магазина")</f>
        <v>Скачать индивидуальный QR-код магазина</v>
      </c>
    </row>
    <row r="14514" spans="1:7" x14ac:dyDescent="0.25">
      <c r="A14514" t="s">
        <v>43013</v>
      </c>
      <c r="B14514" t="s">
        <v>44747</v>
      </c>
      <c r="C14514" t="s">
        <v>798</v>
      </c>
      <c r="D14514" t="s">
        <v>799</v>
      </c>
      <c r="E14514" t="s">
        <v>800</v>
      </c>
      <c r="F14514" t="s">
        <v>44748</v>
      </c>
      <c r="G14514" s="2" t="str">
        <f>HYPERLINK("https://probpalata.gov.ru/files/ЮЛ780300308200979.jpeg","Скачать индивидуальный QR-код магазина")</f>
        <v>Скачать индивидуальный QR-код магазина</v>
      </c>
    </row>
    <row r="14515" spans="1:7" x14ac:dyDescent="0.25">
      <c r="A14515" t="s">
        <v>43013</v>
      </c>
      <c r="B14515" t="s">
        <v>44749</v>
      </c>
      <c r="C14515" t="s">
        <v>798</v>
      </c>
      <c r="D14515" t="s">
        <v>799</v>
      </c>
      <c r="E14515" t="s">
        <v>800</v>
      </c>
      <c r="F14515" t="s">
        <v>44750</v>
      </c>
      <c r="G14515" s="2" t="str">
        <f>HYPERLINK("https://probpalata.gov.ru/files/ЮЛ780300308200983.jpeg","Скачать индивидуальный QR-код магазина")</f>
        <v>Скачать индивидуальный QR-код магазина</v>
      </c>
    </row>
    <row r="14516" spans="1:7" x14ac:dyDescent="0.25">
      <c r="A14516" t="s">
        <v>43013</v>
      </c>
      <c r="B14516" t="s">
        <v>44751</v>
      </c>
      <c r="C14516" t="s">
        <v>798</v>
      </c>
      <c r="D14516" t="s">
        <v>799</v>
      </c>
      <c r="E14516" t="s">
        <v>800</v>
      </c>
      <c r="F14516" t="s">
        <v>44752</v>
      </c>
      <c r="G14516" s="2" t="str">
        <f>HYPERLINK("https://probpalata.gov.ru/files/ЮЛ780300308200989.jpeg","Скачать индивидуальный QR-код магазина")</f>
        <v>Скачать индивидуальный QR-код магазина</v>
      </c>
    </row>
    <row r="14517" spans="1:7" x14ac:dyDescent="0.25">
      <c r="A14517" t="s">
        <v>43013</v>
      </c>
      <c r="B14517" t="s">
        <v>44753</v>
      </c>
      <c r="C14517" t="s">
        <v>798</v>
      </c>
      <c r="D14517" t="s">
        <v>799</v>
      </c>
      <c r="E14517" t="s">
        <v>800</v>
      </c>
      <c r="F14517" t="s">
        <v>44754</v>
      </c>
      <c r="G14517" s="2" t="str">
        <f>HYPERLINK("https://probpalata.gov.ru/files/ЮЛ780300308200996.jpeg","Скачать индивидуальный QR-код магазина")</f>
        <v>Скачать индивидуальный QR-код магазина</v>
      </c>
    </row>
    <row r="14518" spans="1:7" x14ac:dyDescent="0.25">
      <c r="A14518" t="s">
        <v>43013</v>
      </c>
      <c r="B14518" t="s">
        <v>44755</v>
      </c>
      <c r="C14518" t="s">
        <v>798</v>
      </c>
      <c r="D14518" t="s">
        <v>799</v>
      </c>
      <c r="E14518" t="s">
        <v>800</v>
      </c>
      <c r="F14518" t="s">
        <v>44756</v>
      </c>
      <c r="G14518" s="2" t="str">
        <f>HYPERLINK("https://probpalata.gov.ru/files/ЮЛ780300308201054.jpeg","Скачать индивидуальный QR-код магазина")</f>
        <v>Скачать индивидуальный QR-код магазина</v>
      </c>
    </row>
    <row r="14519" spans="1:7" x14ac:dyDescent="0.25">
      <c r="A14519" t="s">
        <v>43013</v>
      </c>
      <c r="B14519" t="s">
        <v>44757</v>
      </c>
      <c r="C14519" t="s">
        <v>798</v>
      </c>
      <c r="D14519" t="s">
        <v>799</v>
      </c>
      <c r="E14519" t="s">
        <v>800</v>
      </c>
      <c r="F14519" t="s">
        <v>44758</v>
      </c>
      <c r="G14519" s="2" t="str">
        <f>HYPERLINK("https://probpalata.gov.ru/files/ЮЛ780300308201072.jpeg","Скачать индивидуальный QR-код магазина")</f>
        <v>Скачать индивидуальный QR-код магазина</v>
      </c>
    </row>
    <row r="14520" spans="1:7" x14ac:dyDescent="0.25">
      <c r="A14520" t="s">
        <v>43013</v>
      </c>
      <c r="B14520" t="s">
        <v>44759</v>
      </c>
      <c r="C14520" t="s">
        <v>798</v>
      </c>
      <c r="D14520" t="s">
        <v>799</v>
      </c>
      <c r="E14520" t="s">
        <v>800</v>
      </c>
      <c r="F14520" t="s">
        <v>44760</v>
      </c>
      <c r="G14520" s="2" t="str">
        <f>HYPERLINK("https://probpalata.gov.ru/files/ЮЛ780300308201074.jpeg","Скачать индивидуальный QR-код магазина")</f>
        <v>Скачать индивидуальный QR-код магазина</v>
      </c>
    </row>
    <row r="14521" spans="1:7" x14ac:dyDescent="0.25">
      <c r="A14521" t="s">
        <v>43013</v>
      </c>
      <c r="B14521" t="s">
        <v>44761</v>
      </c>
      <c r="C14521" t="s">
        <v>798</v>
      </c>
      <c r="D14521" t="s">
        <v>799</v>
      </c>
      <c r="E14521" t="s">
        <v>800</v>
      </c>
      <c r="F14521" t="s">
        <v>44762</v>
      </c>
      <c r="G14521" s="2" t="str">
        <f>HYPERLINK("https://probpalata.gov.ru/files/ЮЛ780300308201075.jpeg","Скачать индивидуальный QR-код магазина")</f>
        <v>Скачать индивидуальный QR-код магазина</v>
      </c>
    </row>
    <row r="14522" spans="1:7" x14ac:dyDescent="0.25">
      <c r="A14522" t="s">
        <v>43013</v>
      </c>
      <c r="B14522" t="s">
        <v>44763</v>
      </c>
      <c r="C14522" t="s">
        <v>798</v>
      </c>
      <c r="D14522" t="s">
        <v>799</v>
      </c>
      <c r="E14522" t="s">
        <v>800</v>
      </c>
      <c r="F14522" t="s">
        <v>44764</v>
      </c>
      <c r="G14522" s="2" t="str">
        <f>HYPERLINK("https://probpalata.gov.ru/files/ЮЛ780300308201131.jpeg","Скачать индивидуальный QR-код магазина")</f>
        <v>Скачать индивидуальный QR-код магазина</v>
      </c>
    </row>
    <row r="14523" spans="1:7" x14ac:dyDescent="0.25">
      <c r="A14523" t="s">
        <v>43013</v>
      </c>
      <c r="B14523" t="s">
        <v>44765</v>
      </c>
      <c r="C14523" t="s">
        <v>798</v>
      </c>
      <c r="D14523" t="s">
        <v>799</v>
      </c>
      <c r="E14523" t="s">
        <v>800</v>
      </c>
      <c r="F14523" t="s">
        <v>44766</v>
      </c>
      <c r="G14523" s="2" t="str">
        <f>HYPERLINK("https://probpalata.gov.ru/files/ЮЛ780300308201168.jpeg","Скачать индивидуальный QR-код магазина")</f>
        <v>Скачать индивидуальный QR-код магазина</v>
      </c>
    </row>
    <row r="14524" spans="1:7" x14ac:dyDescent="0.25">
      <c r="A14524" t="s">
        <v>43013</v>
      </c>
      <c r="B14524" t="s">
        <v>44767</v>
      </c>
      <c r="C14524" t="s">
        <v>798</v>
      </c>
      <c r="D14524" t="s">
        <v>799</v>
      </c>
      <c r="E14524" t="s">
        <v>800</v>
      </c>
      <c r="F14524" t="s">
        <v>44768</v>
      </c>
      <c r="G14524" s="2" t="str">
        <f>HYPERLINK("https://probpalata.gov.ru/files/ЮЛ780300308201244.jpeg","Скачать индивидуальный QR-код магазина")</f>
        <v>Скачать индивидуальный QR-код магазина</v>
      </c>
    </row>
    <row r="14525" spans="1:7" x14ac:dyDescent="0.25">
      <c r="A14525" t="s">
        <v>43013</v>
      </c>
      <c r="B14525" t="s">
        <v>44769</v>
      </c>
      <c r="C14525" t="s">
        <v>1490</v>
      </c>
      <c r="D14525" t="s">
        <v>1491</v>
      </c>
      <c r="E14525" t="s">
        <v>1492</v>
      </c>
      <c r="F14525" t="s">
        <v>44770</v>
      </c>
      <c r="G14525" s="2" t="str">
        <f>HYPERLINK("https://probpalata.gov.ru/files/ЮЛ780301261200054.jpeg","Скачать индивидуальный QR-код магазина")</f>
        <v>Скачать индивидуальный QR-код магазина</v>
      </c>
    </row>
    <row r="14526" spans="1:7" x14ac:dyDescent="0.25">
      <c r="A14526" t="s">
        <v>43013</v>
      </c>
      <c r="B14526" t="s">
        <v>44771</v>
      </c>
      <c r="C14526" t="s">
        <v>7841</v>
      </c>
      <c r="D14526" t="s">
        <v>7842</v>
      </c>
      <c r="E14526" t="s">
        <v>7843</v>
      </c>
      <c r="F14526" t="s">
        <v>44772</v>
      </c>
      <c r="G14526" s="2" t="str">
        <f>HYPERLINK("https://probpalata.gov.ru/files/ЮЛ900403653600001.jpeg","Скачать индивидуальный QR-код магазина")</f>
        <v>Скачать индивидуальный QR-код магазина</v>
      </c>
    </row>
    <row r="14527" spans="1:7" x14ac:dyDescent="0.25">
      <c r="A14527" t="s">
        <v>43013</v>
      </c>
      <c r="B14527" t="s">
        <v>44773</v>
      </c>
      <c r="C14527" t="s">
        <v>44774</v>
      </c>
      <c r="D14527" t="s">
        <v>44775</v>
      </c>
      <c r="E14527" t="s">
        <v>44776</v>
      </c>
      <c r="F14527" t="s">
        <v>44777</v>
      </c>
      <c r="G14527" s="2" t="str">
        <f>HYPERLINK("https://probpalata.gov.ru/files/ИП830400621000000.jpeg","Скачать индивидуальный QR-код магазина")</f>
        <v>Скачать индивидуальный QR-код магазина</v>
      </c>
    </row>
    <row r="14528" spans="1:7" x14ac:dyDescent="0.25">
      <c r="A14528" t="s">
        <v>43013</v>
      </c>
      <c r="B14528" t="s">
        <v>44778</v>
      </c>
      <c r="C14528" t="s">
        <v>1501</v>
      </c>
      <c r="D14528" t="s">
        <v>1502</v>
      </c>
      <c r="E14528" t="s">
        <v>1503</v>
      </c>
      <c r="F14528" t="s">
        <v>44779</v>
      </c>
      <c r="G14528" s="2" t="str">
        <f>HYPERLINK("https://probpalata.gov.ru/files/ЮЛ770100439200105.jpeg","Скачать индивидуальный QR-код магазина")</f>
        <v>Скачать индивидуальный QR-код магазина</v>
      </c>
    </row>
    <row r="14529" spans="1:7" x14ac:dyDescent="0.25">
      <c r="A14529" t="s">
        <v>43013</v>
      </c>
      <c r="B14529" t="s">
        <v>44780</v>
      </c>
      <c r="C14529" t="s">
        <v>1501</v>
      </c>
      <c r="D14529" t="s">
        <v>1502</v>
      </c>
      <c r="E14529" t="s">
        <v>1503</v>
      </c>
      <c r="F14529" t="s">
        <v>44781</v>
      </c>
      <c r="G14529" s="2" t="str">
        <f>HYPERLINK("https://probpalata.gov.ru/files/ЮЛ770100439200106.jpeg","Скачать индивидуальный QR-код магазина")</f>
        <v>Скачать индивидуальный QR-код магазина</v>
      </c>
    </row>
    <row r="14530" spans="1:7" x14ac:dyDescent="0.25">
      <c r="A14530" t="s">
        <v>43013</v>
      </c>
      <c r="B14530" t="s">
        <v>44782</v>
      </c>
      <c r="C14530" t="s">
        <v>1501</v>
      </c>
      <c r="D14530" t="s">
        <v>1502</v>
      </c>
      <c r="E14530" t="s">
        <v>1503</v>
      </c>
      <c r="F14530" t="s">
        <v>44783</v>
      </c>
      <c r="G14530" s="2" t="str">
        <f>HYPERLINK("https://probpalata.gov.ru/files/ЮЛ770100439200108.jpeg","Скачать индивидуальный QR-код магазина")</f>
        <v>Скачать индивидуальный QR-код магазина</v>
      </c>
    </row>
    <row r="14531" spans="1:7" x14ac:dyDescent="0.25">
      <c r="A14531" t="s">
        <v>43013</v>
      </c>
      <c r="B14531" t="s">
        <v>44784</v>
      </c>
      <c r="C14531" t="s">
        <v>1501</v>
      </c>
      <c r="D14531" t="s">
        <v>1502</v>
      </c>
      <c r="E14531" t="s">
        <v>1503</v>
      </c>
      <c r="F14531" t="s">
        <v>44785</v>
      </c>
      <c r="G14531" s="2" t="str">
        <f>HYPERLINK("https://probpalata.gov.ru/files/ЮЛ770100439200109.jpeg","Скачать индивидуальный QR-код магазина")</f>
        <v>Скачать индивидуальный QR-код магазина</v>
      </c>
    </row>
    <row r="14532" spans="1:7" x14ac:dyDescent="0.25">
      <c r="A14532" t="s">
        <v>43013</v>
      </c>
      <c r="B14532" t="s">
        <v>44786</v>
      </c>
      <c r="C14532" t="s">
        <v>1501</v>
      </c>
      <c r="D14532" t="s">
        <v>1502</v>
      </c>
      <c r="E14532" t="s">
        <v>1503</v>
      </c>
      <c r="F14532" t="s">
        <v>44787</v>
      </c>
      <c r="G14532" s="2" t="str">
        <f>HYPERLINK("https://probpalata.gov.ru/files/ЮЛ770100439200110.jpeg","Скачать индивидуальный QR-код магазина")</f>
        <v>Скачать индивидуальный QR-код магазина</v>
      </c>
    </row>
    <row r="14533" spans="1:7" x14ac:dyDescent="0.25">
      <c r="A14533" t="s">
        <v>43013</v>
      </c>
      <c r="B14533" t="s">
        <v>44788</v>
      </c>
      <c r="C14533" t="s">
        <v>1501</v>
      </c>
      <c r="D14533" t="s">
        <v>1502</v>
      </c>
      <c r="E14533" t="s">
        <v>1503</v>
      </c>
      <c r="F14533" t="s">
        <v>44789</v>
      </c>
      <c r="G14533" s="2" t="str">
        <f>HYPERLINK("https://probpalata.gov.ru/files/ЮЛ770100439200111.jpeg","Скачать индивидуальный QR-код магазина")</f>
        <v>Скачать индивидуальный QR-код магазина</v>
      </c>
    </row>
    <row r="14534" spans="1:7" x14ac:dyDescent="0.25">
      <c r="A14534" t="s">
        <v>43013</v>
      </c>
      <c r="B14534" t="s">
        <v>44790</v>
      </c>
      <c r="C14534" t="s">
        <v>1501</v>
      </c>
      <c r="D14534" t="s">
        <v>1502</v>
      </c>
      <c r="E14534" t="s">
        <v>1503</v>
      </c>
      <c r="F14534" t="s">
        <v>44791</v>
      </c>
      <c r="G14534" s="2" t="str">
        <f>HYPERLINK("https://probpalata.gov.ru/files/ЮЛ770100439200112.jpeg","Скачать индивидуальный QR-код магазина")</f>
        <v>Скачать индивидуальный QR-код магазина</v>
      </c>
    </row>
    <row r="14535" spans="1:7" x14ac:dyDescent="0.25">
      <c r="A14535" t="s">
        <v>43013</v>
      </c>
      <c r="B14535" t="s">
        <v>44792</v>
      </c>
      <c r="C14535" t="s">
        <v>1501</v>
      </c>
      <c r="D14535" t="s">
        <v>1502</v>
      </c>
      <c r="E14535" t="s">
        <v>1503</v>
      </c>
      <c r="F14535" t="s">
        <v>44793</v>
      </c>
      <c r="G14535" s="2" t="str">
        <f>HYPERLINK("https://probpalata.gov.ru/files/ЮЛ770100439200216.jpeg","Скачать индивидуальный QR-код магазина")</f>
        <v>Скачать индивидуальный QR-код магазина</v>
      </c>
    </row>
    <row r="14536" spans="1:7" x14ac:dyDescent="0.25">
      <c r="A14536" t="s">
        <v>43013</v>
      </c>
      <c r="B14536" t="s">
        <v>44794</v>
      </c>
      <c r="C14536" t="s">
        <v>7852</v>
      </c>
      <c r="D14536" t="s">
        <v>7853</v>
      </c>
      <c r="E14536" t="s">
        <v>7854</v>
      </c>
      <c r="F14536" t="s">
        <v>44795</v>
      </c>
      <c r="G14536" s="2" t="str">
        <f>HYPERLINK("https://probpalata.gov.ru/files/ЮЛ770100029500005.jpeg","Скачать индивидуальный QR-код магазина")</f>
        <v>Скачать индивидуальный QR-код магазина</v>
      </c>
    </row>
    <row r="14537" spans="1:7" x14ac:dyDescent="0.25">
      <c r="A14537" t="s">
        <v>43013</v>
      </c>
      <c r="B14537" t="s">
        <v>44476</v>
      </c>
      <c r="C14537" t="s">
        <v>4158</v>
      </c>
      <c r="D14537" t="s">
        <v>4159</v>
      </c>
      <c r="E14537" t="s">
        <v>4160</v>
      </c>
      <c r="F14537" t="s">
        <v>44796</v>
      </c>
      <c r="G14537" s="2" t="str">
        <f>HYPERLINK("https://probpalata.gov.ru/files/ЮЛ770100418900078.jpeg","Скачать индивидуальный QR-код магазина")</f>
        <v>Скачать индивидуальный QR-код магазина</v>
      </c>
    </row>
    <row r="14538" spans="1:7" x14ac:dyDescent="0.25">
      <c r="A14538" t="s">
        <v>43013</v>
      </c>
      <c r="B14538" t="s">
        <v>44797</v>
      </c>
      <c r="C14538" t="s">
        <v>1853</v>
      </c>
      <c r="D14538" t="s">
        <v>1854</v>
      </c>
      <c r="E14538" t="s">
        <v>1855</v>
      </c>
      <c r="F14538" t="s">
        <v>44798</v>
      </c>
      <c r="G14538" s="2" t="str">
        <f>HYPERLINK("https://probpalata.gov.ru/files/ЮЛ770104000500014.jpeg","Скачать индивидуальный QR-код магазина")</f>
        <v>Скачать индивидуальный QR-код магазина</v>
      </c>
    </row>
    <row r="14539" spans="1:7" x14ac:dyDescent="0.25">
      <c r="A14539" t="s">
        <v>44799</v>
      </c>
      <c r="B14539" t="s">
        <v>44800</v>
      </c>
      <c r="C14539" t="s">
        <v>44801</v>
      </c>
      <c r="D14539" t="s">
        <v>44802</v>
      </c>
      <c r="E14539" t="s">
        <v>44803</v>
      </c>
      <c r="F14539" t="s">
        <v>44804</v>
      </c>
      <c r="G14539" s="2" t="str">
        <f>HYPERLINK("https://probpalata.gov.ru/files/ИП620100074200000.jpeg","Скачать индивидуальный QR-код магазина")</f>
        <v>Скачать индивидуальный QR-код магазина</v>
      </c>
    </row>
    <row r="14540" spans="1:7" x14ac:dyDescent="0.25">
      <c r="A14540" t="s">
        <v>44799</v>
      </c>
      <c r="B14540" t="s">
        <v>44805</v>
      </c>
      <c r="C14540" t="s">
        <v>4575</v>
      </c>
      <c r="D14540" t="s">
        <v>4576</v>
      </c>
      <c r="E14540" t="s">
        <v>4577</v>
      </c>
      <c r="F14540" t="s">
        <v>44806</v>
      </c>
      <c r="G14540" s="2" t="str">
        <f>HYPERLINK("https://probpalata.gov.ru/files/ИП350300414400005.jpeg","Скачать индивидуальный QR-код магазина")</f>
        <v>Скачать индивидуальный QR-код магазина</v>
      </c>
    </row>
    <row r="14541" spans="1:7" x14ac:dyDescent="0.25">
      <c r="A14541" t="s">
        <v>44799</v>
      </c>
      <c r="B14541" t="s">
        <v>44807</v>
      </c>
      <c r="C14541" t="s">
        <v>4575</v>
      </c>
      <c r="D14541" t="s">
        <v>4576</v>
      </c>
      <c r="E14541" t="s">
        <v>4577</v>
      </c>
      <c r="F14541" t="s">
        <v>44808</v>
      </c>
      <c r="G14541" s="2" t="str">
        <f>HYPERLINK("https://probpalata.gov.ru/files/ИП350300414400017.jpeg","Скачать индивидуальный QR-код магазина")</f>
        <v>Скачать индивидуальный QR-код магазина</v>
      </c>
    </row>
    <row r="14542" spans="1:7" x14ac:dyDescent="0.25">
      <c r="A14542" t="s">
        <v>44799</v>
      </c>
      <c r="B14542" t="s">
        <v>44809</v>
      </c>
      <c r="C14542" t="s">
        <v>4575</v>
      </c>
      <c r="D14542" t="s">
        <v>4576</v>
      </c>
      <c r="E14542" t="s">
        <v>4577</v>
      </c>
      <c r="F14542" t="s">
        <v>44810</v>
      </c>
      <c r="G14542" s="2" t="str">
        <f>HYPERLINK("https://probpalata.gov.ru/files/ИП350300414400018.jpeg","Скачать индивидуальный QR-код магазина")</f>
        <v>Скачать индивидуальный QR-код магазина</v>
      </c>
    </row>
    <row r="14543" spans="1:7" x14ac:dyDescent="0.25">
      <c r="A14543" t="s">
        <v>44799</v>
      </c>
      <c r="B14543" t="s">
        <v>44811</v>
      </c>
      <c r="C14543" t="s">
        <v>2185</v>
      </c>
      <c r="D14543" t="s">
        <v>2186</v>
      </c>
      <c r="E14543" t="s">
        <v>2187</v>
      </c>
      <c r="F14543" t="s">
        <v>44812</v>
      </c>
      <c r="G14543" s="2" t="str">
        <f>HYPERLINK("https://probpalata.gov.ru/files/ЮЛ480100215000007.jpeg","Скачать индивидуальный QR-код магазина")</f>
        <v>Скачать индивидуальный QR-код магазина</v>
      </c>
    </row>
    <row r="14544" spans="1:7" x14ac:dyDescent="0.25">
      <c r="A14544" t="s">
        <v>44799</v>
      </c>
      <c r="B14544" t="s">
        <v>44813</v>
      </c>
      <c r="C14544" t="s">
        <v>2185</v>
      </c>
      <c r="D14544" t="s">
        <v>2186</v>
      </c>
      <c r="E14544" t="s">
        <v>2187</v>
      </c>
      <c r="F14544" t="s">
        <v>44814</v>
      </c>
      <c r="G14544" s="2" t="str">
        <f>HYPERLINK("https://probpalata.gov.ru/files/ЮЛ480100215000042.jpeg","Скачать индивидуальный QR-код магазина")</f>
        <v>Скачать индивидуальный QR-код магазина</v>
      </c>
    </row>
    <row r="14545" spans="1:7" x14ac:dyDescent="0.25">
      <c r="A14545" t="s">
        <v>44799</v>
      </c>
      <c r="B14545" t="s">
        <v>44815</v>
      </c>
      <c r="C14545" t="s">
        <v>671</v>
      </c>
      <c r="D14545" t="s">
        <v>672</v>
      </c>
      <c r="E14545" t="s">
        <v>673</v>
      </c>
      <c r="F14545" t="s">
        <v>44816</v>
      </c>
      <c r="G14545" s="2" t="str">
        <f>HYPERLINK("https://probpalata.gov.ru/files/ИП500100445500034.jpeg","Скачать индивидуальный QR-код магазина")</f>
        <v>Скачать индивидуальный QR-код магазина</v>
      </c>
    </row>
    <row r="14546" spans="1:7" x14ac:dyDescent="0.25">
      <c r="A14546" t="s">
        <v>44799</v>
      </c>
      <c r="B14546" t="s">
        <v>44817</v>
      </c>
      <c r="C14546" t="s">
        <v>44818</v>
      </c>
      <c r="D14546" t="s">
        <v>44819</v>
      </c>
      <c r="E14546" t="s">
        <v>44820</v>
      </c>
      <c r="F14546" t="s">
        <v>44821</v>
      </c>
      <c r="G14546" s="2" t="str">
        <f>HYPERLINK("https://probpalata.gov.ru/files/ИП620103666000000.jpeg","Скачать индивидуальный QR-код магазина")</f>
        <v>Скачать индивидуальный QR-код магазина</v>
      </c>
    </row>
    <row r="14547" spans="1:7" x14ac:dyDescent="0.25">
      <c r="A14547" t="s">
        <v>44799</v>
      </c>
      <c r="B14547" t="s">
        <v>44822</v>
      </c>
      <c r="C14547" t="s">
        <v>44818</v>
      </c>
      <c r="D14547" t="s">
        <v>44819</v>
      </c>
      <c r="E14547" t="s">
        <v>44820</v>
      </c>
      <c r="F14547" t="s">
        <v>44823</v>
      </c>
      <c r="G14547" s="2" t="str">
        <f>HYPERLINK("https://probpalata.gov.ru/files/ИП620103666000001.jpeg","Скачать индивидуальный QR-код магазина")</f>
        <v>Скачать индивидуальный QR-код магазина</v>
      </c>
    </row>
    <row r="14548" spans="1:7" x14ac:dyDescent="0.25">
      <c r="A14548" t="s">
        <v>44799</v>
      </c>
      <c r="B14548" t="s">
        <v>44824</v>
      </c>
      <c r="C14548" t="s">
        <v>44825</v>
      </c>
      <c r="D14548" t="s">
        <v>44826</v>
      </c>
      <c r="E14548" t="s">
        <v>44827</v>
      </c>
      <c r="F14548" t="s">
        <v>44828</v>
      </c>
      <c r="G14548" s="2" t="str">
        <f>HYPERLINK("https://probpalata.gov.ru/files/ИП500102012800000.jpeg","Скачать индивидуальный QR-код магазина")</f>
        <v>Скачать индивидуальный QR-код магазина</v>
      </c>
    </row>
    <row r="14549" spans="1:7" x14ac:dyDescent="0.25">
      <c r="A14549" t="s">
        <v>44799</v>
      </c>
      <c r="B14549" t="s">
        <v>44829</v>
      </c>
      <c r="C14549" t="s">
        <v>28269</v>
      </c>
      <c r="D14549" t="s">
        <v>28270</v>
      </c>
      <c r="E14549" t="s">
        <v>28271</v>
      </c>
      <c r="F14549" t="s">
        <v>44830</v>
      </c>
      <c r="G14549" s="2" t="str">
        <f>HYPERLINK("https://probpalata.gov.ru/files/ИП500100205700001.jpeg","Скачать индивидуальный QR-код магазина")</f>
        <v>Скачать индивидуальный QR-код магазина</v>
      </c>
    </row>
    <row r="14550" spans="1:7" x14ac:dyDescent="0.25">
      <c r="A14550" t="s">
        <v>44799</v>
      </c>
      <c r="B14550" t="s">
        <v>44831</v>
      </c>
      <c r="C14550" t="s">
        <v>44832</v>
      </c>
      <c r="D14550" t="s">
        <v>44833</v>
      </c>
      <c r="E14550" t="s">
        <v>44834</v>
      </c>
      <c r="F14550" t="s">
        <v>44835</v>
      </c>
      <c r="G14550" s="2" t="str">
        <f>HYPERLINK("https://probpalata.gov.ru/files/ЮЛ620100884300000.jpeg","Скачать индивидуальный QR-код магазина")</f>
        <v>Скачать индивидуальный QR-код магазина</v>
      </c>
    </row>
    <row r="14551" spans="1:7" x14ac:dyDescent="0.25">
      <c r="A14551" t="s">
        <v>44799</v>
      </c>
      <c r="B14551" t="s">
        <v>44836</v>
      </c>
      <c r="C14551" t="s">
        <v>44837</v>
      </c>
      <c r="D14551" t="s">
        <v>44838</v>
      </c>
      <c r="E14551" t="s">
        <v>44839</v>
      </c>
      <c r="F14551" t="s">
        <v>44840</v>
      </c>
      <c r="G14551" s="2" t="str">
        <f>HYPERLINK("https://probpalata.gov.ru/files/ИП620100693400000.jpeg","Скачать индивидуальный QR-код магазина")</f>
        <v>Скачать индивидуальный QR-код магазина</v>
      </c>
    </row>
    <row r="14552" spans="1:7" x14ac:dyDescent="0.25">
      <c r="A14552" t="s">
        <v>44799</v>
      </c>
      <c r="B14552" t="s">
        <v>44841</v>
      </c>
      <c r="C14552" t="s">
        <v>44837</v>
      </c>
      <c r="D14552" t="s">
        <v>44838</v>
      </c>
      <c r="E14552" t="s">
        <v>44839</v>
      </c>
      <c r="F14552" t="s">
        <v>44842</v>
      </c>
      <c r="G14552" s="2" t="str">
        <f>HYPERLINK("https://probpalata.gov.ru/files/ИП620100693400001.jpeg","Скачать индивидуальный QR-код магазина")</f>
        <v>Скачать индивидуальный QR-код магазина</v>
      </c>
    </row>
    <row r="14553" spans="1:7" x14ac:dyDescent="0.25">
      <c r="A14553" t="s">
        <v>44799</v>
      </c>
      <c r="B14553" t="s">
        <v>44843</v>
      </c>
      <c r="C14553" t="s">
        <v>44837</v>
      </c>
      <c r="D14553" t="s">
        <v>44838</v>
      </c>
      <c r="E14553" t="s">
        <v>44839</v>
      </c>
      <c r="F14553" t="s">
        <v>44844</v>
      </c>
      <c r="G14553" s="2" t="str">
        <f>HYPERLINK("https://probpalata.gov.ru/files/ИП620100693400002.jpeg","Скачать индивидуальный QR-код магазина")</f>
        <v>Скачать индивидуальный QR-код магазина</v>
      </c>
    </row>
    <row r="14554" spans="1:7" x14ac:dyDescent="0.25">
      <c r="A14554" t="s">
        <v>44799</v>
      </c>
      <c r="B14554" t="s">
        <v>44845</v>
      </c>
      <c r="C14554" t="s">
        <v>44846</v>
      </c>
      <c r="D14554" t="s">
        <v>44847</v>
      </c>
      <c r="E14554" t="s">
        <v>44848</v>
      </c>
      <c r="F14554" t="s">
        <v>44849</v>
      </c>
      <c r="G14554" s="2" t="str">
        <f>HYPERLINK("https://probpalata.gov.ru/files/ЮЛ620100736500000.jpeg","Скачать индивидуальный QR-код магазина")</f>
        <v>Скачать индивидуальный QR-код магазина</v>
      </c>
    </row>
    <row r="14555" spans="1:7" x14ac:dyDescent="0.25">
      <c r="A14555" t="s">
        <v>44799</v>
      </c>
      <c r="B14555" t="s">
        <v>44850</v>
      </c>
      <c r="C14555" t="s">
        <v>44851</v>
      </c>
      <c r="D14555" t="s">
        <v>44852</v>
      </c>
      <c r="E14555" t="s">
        <v>44853</v>
      </c>
      <c r="F14555" t="s">
        <v>44854</v>
      </c>
      <c r="G14555" s="2" t="str">
        <f>HYPERLINK("https://probpalata.gov.ru/files/ИП620100601600000.jpeg","Скачать индивидуальный QR-код магазина")</f>
        <v>Скачать индивидуальный QR-код магазина</v>
      </c>
    </row>
    <row r="14556" spans="1:7" x14ac:dyDescent="0.25">
      <c r="A14556" t="s">
        <v>44799</v>
      </c>
      <c r="B14556" t="s">
        <v>44855</v>
      </c>
      <c r="C14556" t="s">
        <v>44856</v>
      </c>
      <c r="D14556" t="s">
        <v>44857</v>
      </c>
      <c r="E14556" t="s">
        <v>44858</v>
      </c>
      <c r="F14556" t="s">
        <v>44859</v>
      </c>
      <c r="G14556" s="2" t="str">
        <f>HYPERLINK("https://probpalata.gov.ru/files/ИП620100038800000.jpeg","Скачать индивидуальный QR-код магазина")</f>
        <v>Скачать индивидуальный QR-код магазина</v>
      </c>
    </row>
    <row r="14557" spans="1:7" x14ac:dyDescent="0.25">
      <c r="A14557" t="s">
        <v>44799</v>
      </c>
      <c r="B14557" t="s">
        <v>44860</v>
      </c>
      <c r="C14557" t="s">
        <v>44856</v>
      </c>
      <c r="D14557" t="s">
        <v>44857</v>
      </c>
      <c r="E14557" t="s">
        <v>44858</v>
      </c>
      <c r="F14557" t="s">
        <v>44861</v>
      </c>
      <c r="G14557" s="2" t="str">
        <f>HYPERLINK("https://probpalata.gov.ru/files/ИП620100038800001.jpeg","Скачать индивидуальный QR-код магазина")</f>
        <v>Скачать индивидуальный QR-код магазина</v>
      </c>
    </row>
    <row r="14558" spans="1:7" x14ac:dyDescent="0.25">
      <c r="A14558" t="s">
        <v>44799</v>
      </c>
      <c r="B14558" t="s">
        <v>44862</v>
      </c>
      <c r="C14558" t="s">
        <v>44863</v>
      </c>
      <c r="D14558" t="s">
        <v>44864</v>
      </c>
      <c r="E14558" t="s">
        <v>44865</v>
      </c>
      <c r="F14558" t="s">
        <v>44866</v>
      </c>
      <c r="G14558" s="2" t="str">
        <f>HYPERLINK("https://probpalata.gov.ru/files/ЮЛ620104066000000.jpeg","Скачать индивидуальный QR-код магазина")</f>
        <v>Скачать индивидуальный QR-код магазина</v>
      </c>
    </row>
    <row r="14559" spans="1:7" x14ac:dyDescent="0.25">
      <c r="A14559" t="s">
        <v>44799</v>
      </c>
      <c r="B14559" t="s">
        <v>44867</v>
      </c>
      <c r="C14559" t="s">
        <v>44868</v>
      </c>
      <c r="D14559" t="s">
        <v>44869</v>
      </c>
      <c r="E14559" t="s">
        <v>44870</v>
      </c>
      <c r="F14559" t="s">
        <v>44871</v>
      </c>
      <c r="G14559" s="2" t="str">
        <f>HYPERLINK("https://probpalata.gov.ru/files/ИП620100926000000.jpeg","Скачать индивидуальный QR-код магазина")</f>
        <v>Скачать индивидуальный QR-код магазина</v>
      </c>
    </row>
    <row r="14560" spans="1:7" x14ac:dyDescent="0.25">
      <c r="A14560" t="s">
        <v>44799</v>
      </c>
      <c r="B14560" t="s">
        <v>44872</v>
      </c>
      <c r="C14560" t="s">
        <v>44873</v>
      </c>
      <c r="D14560" t="s">
        <v>44874</v>
      </c>
      <c r="E14560" t="s">
        <v>44875</v>
      </c>
      <c r="F14560" t="s">
        <v>44876</v>
      </c>
      <c r="G14560" s="2" t="str">
        <f>HYPERLINK("https://probpalata.gov.ru/files/ИП620100636300000.jpeg","Скачать индивидуальный QR-код магазина")</f>
        <v>Скачать индивидуальный QR-код магазина</v>
      </c>
    </row>
    <row r="14561" spans="1:7" x14ac:dyDescent="0.25">
      <c r="A14561" t="s">
        <v>44799</v>
      </c>
      <c r="B14561" t="s">
        <v>44872</v>
      </c>
      <c r="C14561" t="s">
        <v>44877</v>
      </c>
      <c r="D14561" t="s">
        <v>44878</v>
      </c>
      <c r="E14561" t="s">
        <v>44879</v>
      </c>
      <c r="F14561" t="s">
        <v>44880</v>
      </c>
      <c r="G14561" s="2" t="str">
        <f>HYPERLINK("https://probpalata.gov.ru/files/ИП620100222900000.jpeg","Скачать индивидуальный QR-код магазина")</f>
        <v>Скачать индивидуальный QR-код магазина</v>
      </c>
    </row>
    <row r="14562" spans="1:7" x14ac:dyDescent="0.25">
      <c r="A14562" t="s">
        <v>44799</v>
      </c>
      <c r="B14562" t="s">
        <v>44881</v>
      </c>
      <c r="C14562" t="s">
        <v>44882</v>
      </c>
      <c r="D14562" t="s">
        <v>44883</v>
      </c>
      <c r="E14562" t="s">
        <v>44884</v>
      </c>
      <c r="F14562" t="s">
        <v>44885</v>
      </c>
      <c r="G14562" s="2" t="str">
        <f>HYPERLINK("https://probpalata.gov.ru/files/ИП620100366000000.jpeg","Скачать индивидуальный QR-код магазина")</f>
        <v>Скачать индивидуальный QR-код магазина</v>
      </c>
    </row>
    <row r="14563" spans="1:7" x14ac:dyDescent="0.25">
      <c r="A14563" t="s">
        <v>44799</v>
      </c>
      <c r="B14563" t="s">
        <v>44824</v>
      </c>
      <c r="C14563" t="s">
        <v>44886</v>
      </c>
      <c r="D14563" t="s">
        <v>44887</v>
      </c>
      <c r="E14563" t="s">
        <v>44888</v>
      </c>
      <c r="F14563" t="s">
        <v>44889</v>
      </c>
      <c r="G14563" s="2" t="str">
        <f>HYPERLINK("https://probpalata.gov.ru/files/ИП620101865400000.jpeg","Скачать индивидуальный QR-код магазина")</f>
        <v>Скачать индивидуальный QR-код магазина</v>
      </c>
    </row>
    <row r="14564" spans="1:7" x14ac:dyDescent="0.25">
      <c r="A14564" t="s">
        <v>44799</v>
      </c>
      <c r="B14564" t="s">
        <v>44890</v>
      </c>
      <c r="C14564" t="s">
        <v>44891</v>
      </c>
      <c r="D14564" t="s">
        <v>44892</v>
      </c>
      <c r="E14564" t="s">
        <v>44893</v>
      </c>
      <c r="F14564" t="s">
        <v>44894</v>
      </c>
      <c r="G14564" s="2" t="str">
        <f>HYPERLINK("https://probpalata.gov.ru/files/ИП620101308700000.jpeg","Скачать индивидуальный QR-код магазина")</f>
        <v>Скачать индивидуальный QR-код магазина</v>
      </c>
    </row>
    <row r="14565" spans="1:7" x14ac:dyDescent="0.25">
      <c r="A14565" t="s">
        <v>44799</v>
      </c>
      <c r="B14565" t="s">
        <v>44895</v>
      </c>
      <c r="C14565" t="s">
        <v>44896</v>
      </c>
      <c r="D14565" t="s">
        <v>44897</v>
      </c>
      <c r="E14565" t="s">
        <v>44898</v>
      </c>
      <c r="F14565" t="s">
        <v>44899</v>
      </c>
      <c r="G14565" s="2" t="str">
        <f>HYPERLINK("https://probpalata.gov.ru/files/ИП770100582200000.jpeg","Скачать индивидуальный QR-код магазина")</f>
        <v>Скачать индивидуальный QR-код магазина</v>
      </c>
    </row>
    <row r="14566" spans="1:7" x14ac:dyDescent="0.25">
      <c r="A14566" t="s">
        <v>44799</v>
      </c>
      <c r="B14566" t="s">
        <v>44900</v>
      </c>
      <c r="C14566" t="s">
        <v>44896</v>
      </c>
      <c r="D14566" t="s">
        <v>44897</v>
      </c>
      <c r="E14566" t="s">
        <v>44898</v>
      </c>
      <c r="F14566" t="s">
        <v>44901</v>
      </c>
      <c r="G14566" s="2" t="str">
        <f>HYPERLINK("https://probpalata.gov.ru/files/ИП770100582200001.jpeg","Скачать индивидуальный QR-код магазина")</f>
        <v>Скачать индивидуальный QR-код магазина</v>
      </c>
    </row>
    <row r="14567" spans="1:7" x14ac:dyDescent="0.25">
      <c r="A14567" t="s">
        <v>44799</v>
      </c>
      <c r="B14567" t="s">
        <v>44902</v>
      </c>
      <c r="C14567" t="s">
        <v>44896</v>
      </c>
      <c r="D14567" t="s">
        <v>44897</v>
      </c>
      <c r="E14567" t="s">
        <v>44898</v>
      </c>
      <c r="F14567" t="s">
        <v>44903</v>
      </c>
      <c r="G14567" s="2" t="str">
        <f>HYPERLINK("https://probpalata.gov.ru/files/ИП770100582200003.jpeg","Скачать индивидуальный QR-код магазина")</f>
        <v>Скачать индивидуальный QR-код магазина</v>
      </c>
    </row>
    <row r="14568" spans="1:7" x14ac:dyDescent="0.25">
      <c r="A14568" t="s">
        <v>44799</v>
      </c>
      <c r="B14568" t="s">
        <v>44904</v>
      </c>
      <c r="C14568" t="s">
        <v>44896</v>
      </c>
      <c r="D14568" t="s">
        <v>44897</v>
      </c>
      <c r="E14568" t="s">
        <v>44898</v>
      </c>
      <c r="F14568" t="s">
        <v>44905</v>
      </c>
      <c r="G14568" s="2" t="str">
        <f>HYPERLINK("https://probpalata.gov.ru/files/ИП770100582200004.jpeg","Скачать индивидуальный QR-код магазина")</f>
        <v>Скачать индивидуальный QR-код магазина</v>
      </c>
    </row>
    <row r="14569" spans="1:7" x14ac:dyDescent="0.25">
      <c r="A14569" t="s">
        <v>44799</v>
      </c>
      <c r="B14569" t="s">
        <v>44906</v>
      </c>
      <c r="C14569" t="s">
        <v>44896</v>
      </c>
      <c r="D14569" t="s">
        <v>44897</v>
      </c>
      <c r="E14569" t="s">
        <v>44898</v>
      </c>
      <c r="F14569" t="s">
        <v>44907</v>
      </c>
      <c r="G14569" s="2" t="str">
        <f>HYPERLINK("https://probpalata.gov.ru/files/ИП770100582200005.jpeg","Скачать индивидуальный QR-код магазина")</f>
        <v>Скачать индивидуальный QR-код магазина</v>
      </c>
    </row>
    <row r="14570" spans="1:7" x14ac:dyDescent="0.25">
      <c r="A14570" t="s">
        <v>44799</v>
      </c>
      <c r="B14570" t="s">
        <v>44908</v>
      </c>
      <c r="C14570" t="s">
        <v>44896</v>
      </c>
      <c r="D14570" t="s">
        <v>44897</v>
      </c>
      <c r="E14570" t="s">
        <v>44898</v>
      </c>
      <c r="F14570" t="s">
        <v>44909</v>
      </c>
      <c r="G14570" s="2" t="str">
        <f>HYPERLINK("https://probpalata.gov.ru/files/ИП770100582200007.jpeg","Скачать индивидуальный QR-код магазина")</f>
        <v>Скачать индивидуальный QR-код магазина</v>
      </c>
    </row>
    <row r="14571" spans="1:7" x14ac:dyDescent="0.25">
      <c r="A14571" t="s">
        <v>44799</v>
      </c>
      <c r="B14571" t="s">
        <v>44910</v>
      </c>
      <c r="C14571" t="s">
        <v>44896</v>
      </c>
      <c r="D14571" t="s">
        <v>44897</v>
      </c>
      <c r="E14571" t="s">
        <v>44898</v>
      </c>
      <c r="F14571" t="s">
        <v>44911</v>
      </c>
      <c r="G14571" s="2" t="str">
        <f>HYPERLINK("https://probpalata.gov.ru/files/ИП770100582200008.jpeg","Скачать индивидуальный QR-код магазина")</f>
        <v>Скачать индивидуальный QR-код магазина</v>
      </c>
    </row>
    <row r="14572" spans="1:7" x14ac:dyDescent="0.25">
      <c r="A14572" t="s">
        <v>44799</v>
      </c>
      <c r="B14572" t="s">
        <v>44912</v>
      </c>
      <c r="C14572" t="s">
        <v>44913</v>
      </c>
      <c r="D14572" t="s">
        <v>44914</v>
      </c>
      <c r="E14572" t="s">
        <v>44915</v>
      </c>
      <c r="F14572" t="s">
        <v>44916</v>
      </c>
      <c r="G14572" s="2" t="str">
        <f>HYPERLINK("https://probpalata.gov.ru/files/ИП620100040500000.jpeg","Скачать индивидуальный QR-код магазина")</f>
        <v>Скачать индивидуальный QR-код магазина</v>
      </c>
    </row>
    <row r="14573" spans="1:7" x14ac:dyDescent="0.25">
      <c r="A14573" t="s">
        <v>44799</v>
      </c>
      <c r="B14573" t="s">
        <v>44917</v>
      </c>
      <c r="C14573" t="s">
        <v>44913</v>
      </c>
      <c r="D14573" t="s">
        <v>44914</v>
      </c>
      <c r="E14573" t="s">
        <v>44915</v>
      </c>
      <c r="F14573" t="s">
        <v>44918</v>
      </c>
      <c r="G14573" s="2" t="str">
        <f>HYPERLINK("https://probpalata.gov.ru/files/ИП620100040500001.jpeg","Скачать индивидуальный QR-код магазина")</f>
        <v>Скачать индивидуальный QR-код магазина</v>
      </c>
    </row>
    <row r="14574" spans="1:7" x14ac:dyDescent="0.25">
      <c r="A14574" t="s">
        <v>44799</v>
      </c>
      <c r="B14574" t="s">
        <v>44919</v>
      </c>
      <c r="C14574" t="s">
        <v>44913</v>
      </c>
      <c r="D14574" t="s">
        <v>44914</v>
      </c>
      <c r="E14574" t="s">
        <v>44915</v>
      </c>
      <c r="F14574" t="s">
        <v>44920</v>
      </c>
      <c r="G14574" s="2" t="str">
        <f>HYPERLINK("https://probpalata.gov.ru/files/ИП620100040500002.jpeg","Скачать индивидуальный QR-код магазина")</f>
        <v>Скачать индивидуальный QR-код магазина</v>
      </c>
    </row>
    <row r="14575" spans="1:7" x14ac:dyDescent="0.25">
      <c r="A14575" t="s">
        <v>44799</v>
      </c>
      <c r="B14575" t="s">
        <v>44921</v>
      </c>
      <c r="C14575" t="s">
        <v>44913</v>
      </c>
      <c r="D14575" t="s">
        <v>44914</v>
      </c>
      <c r="E14575" t="s">
        <v>44915</v>
      </c>
      <c r="F14575" t="s">
        <v>44922</v>
      </c>
      <c r="G14575" s="2" t="str">
        <f>HYPERLINK("https://probpalata.gov.ru/files/ИП620100040500003.jpeg","Скачать индивидуальный QR-код магазина")</f>
        <v>Скачать индивидуальный QR-код магазина</v>
      </c>
    </row>
    <row r="14576" spans="1:7" x14ac:dyDescent="0.25">
      <c r="A14576" t="s">
        <v>44799</v>
      </c>
      <c r="B14576" t="s">
        <v>44923</v>
      </c>
      <c r="C14576" t="s">
        <v>44913</v>
      </c>
      <c r="D14576" t="s">
        <v>44914</v>
      </c>
      <c r="E14576" t="s">
        <v>44915</v>
      </c>
      <c r="F14576" t="s">
        <v>44924</v>
      </c>
      <c r="G14576" s="2" t="str">
        <f>HYPERLINK("https://probpalata.gov.ru/files/ИП620100040500004.jpeg","Скачать индивидуальный QR-код магазина")</f>
        <v>Скачать индивидуальный QR-код магазина</v>
      </c>
    </row>
    <row r="14577" spans="1:7" x14ac:dyDescent="0.25">
      <c r="A14577" t="s">
        <v>44799</v>
      </c>
      <c r="B14577" t="s">
        <v>44925</v>
      </c>
      <c r="C14577" t="s">
        <v>44913</v>
      </c>
      <c r="D14577" t="s">
        <v>44914</v>
      </c>
      <c r="E14577" t="s">
        <v>44915</v>
      </c>
      <c r="F14577" t="s">
        <v>44926</v>
      </c>
      <c r="G14577" s="2" t="str">
        <f>HYPERLINK("https://probpalata.gov.ru/files/ИП620100040500005.jpeg","Скачать индивидуальный QR-код магазина")</f>
        <v>Скачать индивидуальный QR-код магазина</v>
      </c>
    </row>
    <row r="14578" spans="1:7" x14ac:dyDescent="0.25">
      <c r="A14578" t="s">
        <v>44799</v>
      </c>
      <c r="B14578" t="s">
        <v>44927</v>
      </c>
      <c r="C14578" t="s">
        <v>44913</v>
      </c>
      <c r="D14578" t="s">
        <v>44914</v>
      </c>
      <c r="E14578" t="s">
        <v>44915</v>
      </c>
      <c r="F14578" t="s">
        <v>44928</v>
      </c>
      <c r="G14578" s="2" t="str">
        <f>HYPERLINK("https://probpalata.gov.ru/files/ИП620100040500006.jpeg","Скачать индивидуальный QR-код магазина")</f>
        <v>Скачать индивидуальный QR-код магазина</v>
      </c>
    </row>
    <row r="14579" spans="1:7" x14ac:dyDescent="0.25">
      <c r="A14579" t="s">
        <v>44799</v>
      </c>
      <c r="B14579" t="s">
        <v>44929</v>
      </c>
      <c r="C14579" t="s">
        <v>44930</v>
      </c>
      <c r="D14579" t="s">
        <v>44931</v>
      </c>
      <c r="E14579" t="s">
        <v>44932</v>
      </c>
      <c r="F14579" t="s">
        <v>44933</v>
      </c>
      <c r="G14579" s="2" t="str">
        <f>HYPERLINK("https://probpalata.gov.ru/files/ИП620100240500000.jpeg","Скачать индивидуальный QR-код магазина")</f>
        <v>Скачать индивидуальный QR-код магазина</v>
      </c>
    </row>
    <row r="14580" spans="1:7" x14ac:dyDescent="0.25">
      <c r="A14580" t="s">
        <v>44799</v>
      </c>
      <c r="B14580" t="s">
        <v>44934</v>
      </c>
      <c r="C14580" t="s">
        <v>44930</v>
      </c>
      <c r="D14580" t="s">
        <v>44931</v>
      </c>
      <c r="E14580" t="s">
        <v>44932</v>
      </c>
      <c r="F14580" t="s">
        <v>44935</v>
      </c>
      <c r="G14580" s="2" t="str">
        <f>HYPERLINK("https://probpalata.gov.ru/files/ИП620100240500006.jpeg","Скачать индивидуальный QR-код магазина")</f>
        <v>Скачать индивидуальный QR-код магазина</v>
      </c>
    </row>
    <row r="14581" spans="1:7" x14ac:dyDescent="0.25">
      <c r="A14581" t="s">
        <v>44799</v>
      </c>
      <c r="B14581" t="s">
        <v>44936</v>
      </c>
      <c r="C14581" t="s">
        <v>44930</v>
      </c>
      <c r="D14581" t="s">
        <v>44931</v>
      </c>
      <c r="E14581" t="s">
        <v>44932</v>
      </c>
      <c r="F14581" t="s">
        <v>44937</v>
      </c>
      <c r="G14581" s="2" t="str">
        <f>HYPERLINK("https://probpalata.gov.ru/files/ИП620100240500007.jpeg","Скачать индивидуальный QR-код магазина")</f>
        <v>Скачать индивидуальный QR-код магазина</v>
      </c>
    </row>
    <row r="14582" spans="1:7" x14ac:dyDescent="0.25">
      <c r="A14582" t="s">
        <v>44799</v>
      </c>
      <c r="B14582" t="s">
        <v>44938</v>
      </c>
      <c r="C14582" t="s">
        <v>44930</v>
      </c>
      <c r="D14582" t="s">
        <v>44931</v>
      </c>
      <c r="E14582" t="s">
        <v>44932</v>
      </c>
      <c r="F14582" t="s">
        <v>44939</v>
      </c>
      <c r="G14582" s="2" t="str">
        <f>HYPERLINK("https://probpalata.gov.ru/files/ИП620100240500008.jpeg","Скачать индивидуальный QR-код магазина")</f>
        <v>Скачать индивидуальный QR-код магазина</v>
      </c>
    </row>
    <row r="14583" spans="1:7" x14ac:dyDescent="0.25">
      <c r="A14583" t="s">
        <v>44799</v>
      </c>
      <c r="B14583" t="s">
        <v>44940</v>
      </c>
      <c r="C14583" t="s">
        <v>44930</v>
      </c>
      <c r="D14583" t="s">
        <v>44931</v>
      </c>
      <c r="E14583" t="s">
        <v>44932</v>
      </c>
      <c r="F14583" t="s">
        <v>44941</v>
      </c>
      <c r="G14583" s="2" t="str">
        <f>HYPERLINK("https://probpalata.gov.ru/files/ИП620100240500009.jpeg","Скачать индивидуальный QR-код магазина")</f>
        <v>Скачать индивидуальный QR-код магазина</v>
      </c>
    </row>
    <row r="14584" spans="1:7" x14ac:dyDescent="0.25">
      <c r="A14584" t="s">
        <v>44799</v>
      </c>
      <c r="B14584" t="s">
        <v>44942</v>
      </c>
      <c r="C14584" t="s">
        <v>44943</v>
      </c>
      <c r="D14584" t="s">
        <v>44944</v>
      </c>
      <c r="E14584" t="s">
        <v>44945</v>
      </c>
      <c r="F14584" t="s">
        <v>44946</v>
      </c>
      <c r="G14584" s="2" t="str">
        <f>HYPERLINK("https://probpalata.gov.ru/files/ИП620100038000000.jpeg","Скачать индивидуальный QR-код магазина")</f>
        <v>Скачать индивидуальный QR-код магазина</v>
      </c>
    </row>
    <row r="14585" spans="1:7" x14ac:dyDescent="0.25">
      <c r="A14585" t="s">
        <v>44799</v>
      </c>
      <c r="B14585" t="s">
        <v>44947</v>
      </c>
      <c r="C14585" t="s">
        <v>44943</v>
      </c>
      <c r="D14585" t="s">
        <v>44944</v>
      </c>
      <c r="E14585" t="s">
        <v>44945</v>
      </c>
      <c r="F14585" t="s">
        <v>44948</v>
      </c>
      <c r="G14585" s="2" t="str">
        <f>HYPERLINK("https://probpalata.gov.ru/files/ИП620100038000001.jpeg","Скачать индивидуальный QR-код магазина")</f>
        <v>Скачать индивидуальный QR-код магазина</v>
      </c>
    </row>
    <row r="14586" spans="1:7" x14ac:dyDescent="0.25">
      <c r="A14586" t="s">
        <v>44799</v>
      </c>
      <c r="B14586" t="s">
        <v>44949</v>
      </c>
      <c r="C14586" t="s">
        <v>44950</v>
      </c>
      <c r="D14586" t="s">
        <v>44951</v>
      </c>
      <c r="E14586" t="s">
        <v>44952</v>
      </c>
      <c r="F14586" t="s">
        <v>44953</v>
      </c>
      <c r="G14586" s="2" t="str">
        <f>HYPERLINK("https://probpalata.gov.ru/files/ЮЛ620100194600004.jpeg","Скачать индивидуальный QR-код магазина")</f>
        <v>Скачать индивидуальный QR-код магазина</v>
      </c>
    </row>
    <row r="14587" spans="1:7" x14ac:dyDescent="0.25">
      <c r="A14587" t="s">
        <v>44799</v>
      </c>
      <c r="B14587" t="s">
        <v>44954</v>
      </c>
      <c r="C14587" t="s">
        <v>44955</v>
      </c>
      <c r="D14587" t="s">
        <v>44956</v>
      </c>
      <c r="E14587" t="s">
        <v>44957</v>
      </c>
      <c r="F14587" t="s">
        <v>44958</v>
      </c>
      <c r="G14587" s="2" t="str">
        <f>HYPERLINK("https://probpalata.gov.ru/files/ЮЛ620101930300000.jpeg","Скачать индивидуальный QR-код магазина")</f>
        <v>Скачать индивидуальный QR-код магазина</v>
      </c>
    </row>
    <row r="14588" spans="1:7" x14ac:dyDescent="0.25">
      <c r="A14588" t="s">
        <v>44799</v>
      </c>
      <c r="B14588" t="s">
        <v>44959</v>
      </c>
      <c r="C14588" t="s">
        <v>44960</v>
      </c>
      <c r="D14588" t="s">
        <v>44961</v>
      </c>
      <c r="E14588" t="s">
        <v>44962</v>
      </c>
      <c r="F14588" t="s">
        <v>44963</v>
      </c>
      <c r="G14588" s="2" t="str">
        <f>HYPERLINK("https://probpalata.gov.ru/files/ИП620100170100000.jpeg","Скачать индивидуальный QR-код магазина")</f>
        <v>Скачать индивидуальный QR-код магазина</v>
      </c>
    </row>
    <row r="14589" spans="1:7" x14ac:dyDescent="0.25">
      <c r="A14589" t="s">
        <v>44799</v>
      </c>
      <c r="B14589" t="s">
        <v>44964</v>
      </c>
      <c r="C14589" t="s">
        <v>44965</v>
      </c>
      <c r="D14589" t="s">
        <v>44966</v>
      </c>
      <c r="E14589" t="s">
        <v>44967</v>
      </c>
      <c r="F14589" t="s">
        <v>44968</v>
      </c>
      <c r="G14589" s="2" t="str">
        <f>HYPERLINK("https://probpalata.gov.ru/files/ИП620100204200000.jpeg","Скачать индивидуальный QR-код магазина")</f>
        <v>Скачать индивидуальный QR-код магазина</v>
      </c>
    </row>
    <row r="14590" spans="1:7" x14ac:dyDescent="0.25">
      <c r="A14590" t="s">
        <v>44799</v>
      </c>
      <c r="B14590" t="s">
        <v>44969</v>
      </c>
      <c r="C14590" t="s">
        <v>20544</v>
      </c>
      <c r="D14590" t="s">
        <v>20545</v>
      </c>
      <c r="E14590" t="s">
        <v>20546</v>
      </c>
      <c r="F14590" t="s">
        <v>44970</v>
      </c>
      <c r="G14590" s="2" t="str">
        <f>HYPERLINK("https://probpalata.gov.ru/files/ИП620100530500000.jpeg","Скачать индивидуальный QR-код магазина")</f>
        <v>Скачать индивидуальный QR-код магазина</v>
      </c>
    </row>
    <row r="14591" spans="1:7" x14ac:dyDescent="0.25">
      <c r="A14591" t="s">
        <v>44799</v>
      </c>
      <c r="B14591" t="s">
        <v>44971</v>
      </c>
      <c r="C14591" t="s">
        <v>44972</v>
      </c>
      <c r="D14591" t="s">
        <v>44973</v>
      </c>
      <c r="E14591" t="s">
        <v>44974</v>
      </c>
      <c r="F14591" t="s">
        <v>44975</v>
      </c>
      <c r="G14591" s="2" t="str">
        <f>HYPERLINK("https://probpalata.gov.ru/files/ЮЛ620100118700000.jpeg","Скачать индивидуальный QR-код магазина")</f>
        <v>Скачать индивидуальный QR-код магазина</v>
      </c>
    </row>
    <row r="14592" spans="1:7" x14ac:dyDescent="0.25">
      <c r="A14592" t="s">
        <v>44799</v>
      </c>
      <c r="B14592" t="s">
        <v>44976</v>
      </c>
      <c r="C14592" t="s">
        <v>44977</v>
      </c>
      <c r="D14592" t="s">
        <v>44978</v>
      </c>
      <c r="E14592" t="s">
        <v>44979</v>
      </c>
      <c r="F14592" t="s">
        <v>44980</v>
      </c>
      <c r="G14592" s="2" t="str">
        <f>HYPERLINK("https://probpalata.gov.ru/files/ЮЛ620100031200001.jpeg","Скачать индивидуальный QR-код магазина")</f>
        <v>Скачать индивидуальный QR-код магазина</v>
      </c>
    </row>
    <row r="14593" spans="1:7" x14ac:dyDescent="0.25">
      <c r="A14593" t="s">
        <v>44799</v>
      </c>
      <c r="B14593" t="s">
        <v>44981</v>
      </c>
      <c r="C14593" t="s">
        <v>44977</v>
      </c>
      <c r="D14593" t="s">
        <v>44978</v>
      </c>
      <c r="E14593" t="s">
        <v>44979</v>
      </c>
      <c r="F14593" t="s">
        <v>44982</v>
      </c>
      <c r="G14593" s="2" t="str">
        <f>HYPERLINK("https://probpalata.gov.ru/files/ЮЛ620100031200002.jpeg","Скачать индивидуальный QR-код магазина")</f>
        <v>Скачать индивидуальный QR-код магазина</v>
      </c>
    </row>
    <row r="14594" spans="1:7" x14ac:dyDescent="0.25">
      <c r="A14594" t="s">
        <v>44799</v>
      </c>
      <c r="B14594" t="s">
        <v>44983</v>
      </c>
      <c r="C14594" t="s">
        <v>44977</v>
      </c>
      <c r="D14594" t="s">
        <v>44978</v>
      </c>
      <c r="E14594" t="s">
        <v>44979</v>
      </c>
      <c r="F14594" t="s">
        <v>44984</v>
      </c>
      <c r="G14594" s="2" t="str">
        <f>HYPERLINK("https://probpalata.gov.ru/files/ЮЛ620100031200003.jpeg","Скачать индивидуальный QR-код магазина")</f>
        <v>Скачать индивидуальный QR-код магазина</v>
      </c>
    </row>
    <row r="14595" spans="1:7" x14ac:dyDescent="0.25">
      <c r="A14595" t="s">
        <v>44799</v>
      </c>
      <c r="B14595" t="s">
        <v>44985</v>
      </c>
      <c r="C14595" t="s">
        <v>44977</v>
      </c>
      <c r="D14595" t="s">
        <v>44978</v>
      </c>
      <c r="E14595" t="s">
        <v>44979</v>
      </c>
      <c r="F14595" t="s">
        <v>44986</v>
      </c>
      <c r="G14595" s="2" t="str">
        <f>HYPERLINK("https://probpalata.gov.ru/files/ЮЛ620100031200004.jpeg","Скачать индивидуальный QR-код магазина")</f>
        <v>Скачать индивидуальный QR-код магазина</v>
      </c>
    </row>
    <row r="14596" spans="1:7" x14ac:dyDescent="0.25">
      <c r="A14596" t="s">
        <v>44799</v>
      </c>
      <c r="B14596" t="s">
        <v>44987</v>
      </c>
      <c r="C14596" t="s">
        <v>44977</v>
      </c>
      <c r="D14596" t="s">
        <v>44978</v>
      </c>
      <c r="E14596" t="s">
        <v>44979</v>
      </c>
      <c r="F14596" t="s">
        <v>44988</v>
      </c>
      <c r="G14596" s="2" t="str">
        <f>HYPERLINK("https://probpalata.gov.ru/files/ЮЛ620100031200005.jpeg","Скачать индивидуальный QR-код магазина")</f>
        <v>Скачать индивидуальный QR-код магазина</v>
      </c>
    </row>
    <row r="14597" spans="1:7" x14ac:dyDescent="0.25">
      <c r="A14597" t="s">
        <v>44799</v>
      </c>
      <c r="B14597" t="s">
        <v>44989</v>
      </c>
      <c r="C14597" t="s">
        <v>44977</v>
      </c>
      <c r="D14597" t="s">
        <v>44978</v>
      </c>
      <c r="E14597" t="s">
        <v>44979</v>
      </c>
      <c r="F14597" t="s">
        <v>44990</v>
      </c>
      <c r="G14597" s="2" t="str">
        <f>HYPERLINK("https://probpalata.gov.ru/files/ЮЛ620100031200006.jpeg","Скачать индивидуальный QR-код магазина")</f>
        <v>Скачать индивидуальный QR-код магазина</v>
      </c>
    </row>
    <row r="14598" spans="1:7" x14ac:dyDescent="0.25">
      <c r="A14598" t="s">
        <v>44799</v>
      </c>
      <c r="B14598" t="s">
        <v>44991</v>
      </c>
      <c r="C14598" t="s">
        <v>44992</v>
      </c>
      <c r="D14598" t="s">
        <v>44993</v>
      </c>
      <c r="E14598" t="s">
        <v>44994</v>
      </c>
      <c r="F14598" t="s">
        <v>44995</v>
      </c>
      <c r="G14598" s="2" t="str">
        <f>HYPERLINK("https://probpalata.gov.ru/files/ИП620101043200000.jpeg","Скачать индивидуальный QR-код магазина")</f>
        <v>Скачать индивидуальный QR-код магазина</v>
      </c>
    </row>
    <row r="14599" spans="1:7" x14ac:dyDescent="0.25">
      <c r="A14599" t="s">
        <v>44799</v>
      </c>
      <c r="B14599" t="s">
        <v>44996</v>
      </c>
      <c r="C14599" t="s">
        <v>44992</v>
      </c>
      <c r="D14599" t="s">
        <v>44993</v>
      </c>
      <c r="E14599" t="s">
        <v>44994</v>
      </c>
      <c r="F14599" t="s">
        <v>44997</v>
      </c>
      <c r="G14599" s="2" t="str">
        <f>HYPERLINK("https://probpalata.gov.ru/files/ИП620101043200001.jpeg","Скачать индивидуальный QR-код магазина")</f>
        <v>Скачать индивидуальный QR-код магазина</v>
      </c>
    </row>
    <row r="14600" spans="1:7" x14ac:dyDescent="0.25">
      <c r="A14600" t="s">
        <v>44799</v>
      </c>
      <c r="B14600" t="s">
        <v>44998</v>
      </c>
      <c r="C14600" t="s">
        <v>44999</v>
      </c>
      <c r="D14600" t="s">
        <v>45000</v>
      </c>
      <c r="E14600" t="s">
        <v>45001</v>
      </c>
      <c r="F14600" t="s">
        <v>45002</v>
      </c>
      <c r="G14600" s="2" t="str">
        <f>HYPERLINK("https://probpalata.gov.ru/files/ИП620100594900000.jpeg","Скачать индивидуальный QR-код магазина")</f>
        <v>Скачать индивидуальный QR-код магазина</v>
      </c>
    </row>
    <row r="14601" spans="1:7" x14ac:dyDescent="0.25">
      <c r="A14601" t="s">
        <v>44799</v>
      </c>
      <c r="B14601" t="s">
        <v>45003</v>
      </c>
      <c r="C14601" t="s">
        <v>44999</v>
      </c>
      <c r="D14601" t="s">
        <v>45000</v>
      </c>
      <c r="E14601" t="s">
        <v>45001</v>
      </c>
      <c r="F14601" t="s">
        <v>45004</v>
      </c>
      <c r="G14601" s="2" t="str">
        <f>HYPERLINK("https://probpalata.gov.ru/files/ИП620100594900001.jpeg","Скачать индивидуальный QR-код магазина")</f>
        <v>Скачать индивидуальный QR-код магазина</v>
      </c>
    </row>
    <row r="14602" spans="1:7" x14ac:dyDescent="0.25">
      <c r="A14602" t="s">
        <v>44799</v>
      </c>
      <c r="B14602" t="s">
        <v>45005</v>
      </c>
      <c r="C14602" t="s">
        <v>45006</v>
      </c>
      <c r="D14602" t="s">
        <v>45007</v>
      </c>
      <c r="E14602" t="s">
        <v>45008</v>
      </c>
      <c r="F14602" t="s">
        <v>45009</v>
      </c>
      <c r="G14602" s="2" t="str">
        <f>HYPERLINK("https://probpalata.gov.ru/files/ИП620101540000000.jpeg","Скачать индивидуальный QR-код магазина")</f>
        <v>Скачать индивидуальный QR-код магазина</v>
      </c>
    </row>
    <row r="14603" spans="1:7" x14ac:dyDescent="0.25">
      <c r="A14603" t="s">
        <v>44799</v>
      </c>
      <c r="B14603" t="s">
        <v>45010</v>
      </c>
      <c r="C14603" t="s">
        <v>45011</v>
      </c>
      <c r="D14603" t="s">
        <v>45012</v>
      </c>
      <c r="E14603" t="s">
        <v>45013</v>
      </c>
      <c r="F14603" t="s">
        <v>45014</v>
      </c>
      <c r="G14603" s="2" t="str">
        <f>HYPERLINK("https://probpalata.gov.ru/files/ИП620103708300000.jpeg","Скачать индивидуальный QR-код магазина")</f>
        <v>Скачать индивидуальный QR-код магазина</v>
      </c>
    </row>
    <row r="14604" spans="1:7" x14ac:dyDescent="0.25">
      <c r="A14604" t="s">
        <v>44799</v>
      </c>
      <c r="B14604" t="s">
        <v>45005</v>
      </c>
      <c r="C14604" t="s">
        <v>45015</v>
      </c>
      <c r="D14604" t="s">
        <v>45016</v>
      </c>
      <c r="E14604" t="s">
        <v>45017</v>
      </c>
      <c r="F14604" t="s">
        <v>45018</v>
      </c>
      <c r="G14604" s="2" t="str">
        <f>HYPERLINK("https://probpalata.gov.ru/files/ИП620101519500000.jpeg","Скачать индивидуальный QR-код магазина")</f>
        <v>Скачать индивидуальный QR-код магазина</v>
      </c>
    </row>
    <row r="14605" spans="1:7" x14ac:dyDescent="0.25">
      <c r="A14605" t="s">
        <v>44799</v>
      </c>
      <c r="B14605" t="s">
        <v>45019</v>
      </c>
      <c r="C14605" t="s">
        <v>45020</v>
      </c>
      <c r="D14605" t="s">
        <v>45021</v>
      </c>
      <c r="E14605" t="s">
        <v>45022</v>
      </c>
      <c r="F14605" t="s">
        <v>45023</v>
      </c>
      <c r="G14605" s="2" t="str">
        <f>HYPERLINK("https://probpalata.gov.ru/files/ИП620101849500000.jpeg","Скачать индивидуальный QR-код магазина")</f>
        <v>Скачать индивидуальный QR-код магазина</v>
      </c>
    </row>
    <row r="14606" spans="1:7" x14ac:dyDescent="0.25">
      <c r="A14606" t="s">
        <v>44799</v>
      </c>
      <c r="B14606" t="s">
        <v>44919</v>
      </c>
      <c r="C14606" t="s">
        <v>45024</v>
      </c>
      <c r="D14606" t="s">
        <v>45025</v>
      </c>
      <c r="E14606" t="s">
        <v>45026</v>
      </c>
      <c r="F14606" t="s">
        <v>45027</v>
      </c>
      <c r="G14606" s="2" t="str">
        <f>HYPERLINK("https://probpalata.gov.ru/files/ИП620103203400000.jpeg","Скачать индивидуальный QR-код магазина")</f>
        <v>Скачать индивидуальный QR-код магазина</v>
      </c>
    </row>
    <row r="14607" spans="1:7" x14ac:dyDescent="0.25">
      <c r="A14607" t="s">
        <v>44799</v>
      </c>
      <c r="B14607" t="s">
        <v>45028</v>
      </c>
      <c r="C14607" t="s">
        <v>45029</v>
      </c>
      <c r="D14607" t="s">
        <v>45030</v>
      </c>
      <c r="E14607" t="s">
        <v>45031</v>
      </c>
      <c r="F14607" t="s">
        <v>45032</v>
      </c>
      <c r="G14607" s="2" t="str">
        <f>HYPERLINK("https://probpalata.gov.ru/files/ЮЛ620100226500000.jpeg","Скачать индивидуальный QR-код магазина")</f>
        <v>Скачать индивидуальный QR-код магазина</v>
      </c>
    </row>
    <row r="14608" spans="1:7" x14ac:dyDescent="0.25">
      <c r="A14608" t="s">
        <v>44799</v>
      </c>
      <c r="B14608" t="s">
        <v>45033</v>
      </c>
      <c r="C14608" t="s">
        <v>45029</v>
      </c>
      <c r="D14608" t="s">
        <v>45030</v>
      </c>
      <c r="E14608" t="s">
        <v>45031</v>
      </c>
      <c r="F14608" t="s">
        <v>45034</v>
      </c>
      <c r="G14608" s="2" t="str">
        <f>HYPERLINK("https://probpalata.gov.ru/files/ЮЛ620100226500004.jpeg","Скачать индивидуальный QR-код магазина")</f>
        <v>Скачать индивидуальный QR-код магазина</v>
      </c>
    </row>
    <row r="14609" spans="1:7" x14ac:dyDescent="0.25">
      <c r="A14609" t="s">
        <v>44799</v>
      </c>
      <c r="B14609" t="s">
        <v>44925</v>
      </c>
      <c r="C14609" t="s">
        <v>45029</v>
      </c>
      <c r="D14609" t="s">
        <v>45030</v>
      </c>
      <c r="E14609" t="s">
        <v>45031</v>
      </c>
      <c r="F14609" t="s">
        <v>45035</v>
      </c>
      <c r="G14609" s="2" t="str">
        <f>HYPERLINK("https://probpalata.gov.ru/files/ЮЛ620100226500005.jpeg","Скачать индивидуальный QR-код магазина")</f>
        <v>Скачать индивидуальный QR-код магазина</v>
      </c>
    </row>
    <row r="14610" spans="1:7" x14ac:dyDescent="0.25">
      <c r="A14610" t="s">
        <v>44799</v>
      </c>
      <c r="B14610" t="s">
        <v>45036</v>
      </c>
      <c r="C14610" t="s">
        <v>2197</v>
      </c>
      <c r="D14610" t="s">
        <v>2198</v>
      </c>
      <c r="E14610" t="s">
        <v>2199</v>
      </c>
      <c r="F14610" t="s">
        <v>45037</v>
      </c>
      <c r="G14610" s="2" t="str">
        <f>HYPERLINK("https://probpalata.gov.ru/files/ИП630601425400007.jpeg","Скачать индивидуальный QR-код магазина")</f>
        <v>Скачать индивидуальный QR-код магазина</v>
      </c>
    </row>
    <row r="14611" spans="1:7" x14ac:dyDescent="0.25">
      <c r="A14611" t="s">
        <v>44799</v>
      </c>
      <c r="B14611" t="s">
        <v>45038</v>
      </c>
      <c r="C14611" t="s">
        <v>2197</v>
      </c>
      <c r="D14611" t="s">
        <v>2198</v>
      </c>
      <c r="E14611" t="s">
        <v>2199</v>
      </c>
      <c r="F14611" t="s">
        <v>45039</v>
      </c>
      <c r="G14611" s="2" t="str">
        <f>HYPERLINK("https://probpalata.gov.ru/files/ИП630601425400110.jpeg","Скачать индивидуальный QR-код магазина")</f>
        <v>Скачать индивидуальный QR-код магазина</v>
      </c>
    </row>
    <row r="14612" spans="1:7" x14ac:dyDescent="0.25">
      <c r="A14612" t="s">
        <v>44799</v>
      </c>
      <c r="B14612" t="s">
        <v>45040</v>
      </c>
      <c r="C14612" t="s">
        <v>45041</v>
      </c>
      <c r="D14612" t="s">
        <v>45042</v>
      </c>
      <c r="E14612" t="s">
        <v>45043</v>
      </c>
      <c r="F14612" t="s">
        <v>45044</v>
      </c>
      <c r="G14612" s="2" t="str">
        <f>HYPERLINK("https://probpalata.gov.ru/files/ЮЛ630603751400001.jpeg","Скачать индивидуальный QR-код магазина")</f>
        <v>Скачать индивидуальный QR-код магазина</v>
      </c>
    </row>
    <row r="14613" spans="1:7" x14ac:dyDescent="0.25">
      <c r="A14613" t="s">
        <v>44799</v>
      </c>
      <c r="B14613" t="s">
        <v>45045</v>
      </c>
      <c r="C14613" t="s">
        <v>45041</v>
      </c>
      <c r="D14613" t="s">
        <v>45042</v>
      </c>
      <c r="E14613" t="s">
        <v>45043</v>
      </c>
      <c r="F14613" t="s">
        <v>45046</v>
      </c>
      <c r="G14613" s="2" t="str">
        <f>HYPERLINK("https://probpalata.gov.ru/files/ЮЛ630603751400002.jpeg","Скачать индивидуальный QR-код магазина")</f>
        <v>Скачать индивидуальный QR-код магазина</v>
      </c>
    </row>
    <row r="14614" spans="1:7" x14ac:dyDescent="0.25">
      <c r="A14614" t="s">
        <v>44799</v>
      </c>
      <c r="B14614" t="s">
        <v>45047</v>
      </c>
      <c r="C14614" t="s">
        <v>45041</v>
      </c>
      <c r="D14614" t="s">
        <v>45042</v>
      </c>
      <c r="E14614" t="s">
        <v>45043</v>
      </c>
      <c r="F14614" t="s">
        <v>45048</v>
      </c>
      <c r="G14614" s="2" t="str">
        <f>HYPERLINK("https://probpalata.gov.ru/files/ЮЛ630603751400003.jpeg","Скачать индивидуальный QR-код магазина")</f>
        <v>Скачать индивидуальный QR-код магазина</v>
      </c>
    </row>
    <row r="14615" spans="1:7" x14ac:dyDescent="0.25">
      <c r="A14615" t="s">
        <v>44799</v>
      </c>
      <c r="B14615" t="s">
        <v>45049</v>
      </c>
      <c r="C14615" t="s">
        <v>45041</v>
      </c>
      <c r="D14615" t="s">
        <v>45042</v>
      </c>
      <c r="E14615" t="s">
        <v>45043</v>
      </c>
      <c r="F14615" t="s">
        <v>45050</v>
      </c>
      <c r="G14615" s="2" t="str">
        <f>HYPERLINK("https://probpalata.gov.ru/files/ЮЛ630603751400004.jpeg","Скачать индивидуальный QR-код магазина")</f>
        <v>Скачать индивидуальный QR-код магазина</v>
      </c>
    </row>
    <row r="14616" spans="1:7" x14ac:dyDescent="0.25">
      <c r="A14616" t="s">
        <v>44799</v>
      </c>
      <c r="B14616" t="s">
        <v>45051</v>
      </c>
      <c r="C14616" t="s">
        <v>45041</v>
      </c>
      <c r="D14616" t="s">
        <v>45042</v>
      </c>
      <c r="E14616" t="s">
        <v>45043</v>
      </c>
      <c r="F14616" t="s">
        <v>45052</v>
      </c>
      <c r="G14616" s="2" t="str">
        <f>HYPERLINK("https://probpalata.gov.ru/files/ЮЛ630603751400005.jpeg","Скачать индивидуальный QR-код магазина")</f>
        <v>Скачать индивидуальный QR-код магазина</v>
      </c>
    </row>
    <row r="14617" spans="1:7" x14ac:dyDescent="0.25">
      <c r="A14617" t="s">
        <v>44799</v>
      </c>
      <c r="B14617" t="s">
        <v>45053</v>
      </c>
      <c r="C14617" t="s">
        <v>45041</v>
      </c>
      <c r="D14617" t="s">
        <v>45042</v>
      </c>
      <c r="E14617" t="s">
        <v>45043</v>
      </c>
      <c r="F14617" t="s">
        <v>45054</v>
      </c>
      <c r="G14617" s="2" t="str">
        <f>HYPERLINK("https://probpalata.gov.ru/files/ЮЛ630603751400006.jpeg","Скачать индивидуальный QR-код магазина")</f>
        <v>Скачать индивидуальный QR-код магазина</v>
      </c>
    </row>
    <row r="14618" spans="1:7" x14ac:dyDescent="0.25">
      <c r="A14618" t="s">
        <v>44799</v>
      </c>
      <c r="B14618" t="s">
        <v>45055</v>
      </c>
      <c r="C14618" t="s">
        <v>45041</v>
      </c>
      <c r="D14618" t="s">
        <v>45042</v>
      </c>
      <c r="E14618" t="s">
        <v>45043</v>
      </c>
      <c r="F14618" t="s">
        <v>45056</v>
      </c>
      <c r="G14618" s="2" t="str">
        <f>HYPERLINK("https://probpalata.gov.ru/files/ЮЛ630603751400007.jpeg","Скачать индивидуальный QR-код магазина")</f>
        <v>Скачать индивидуальный QR-код магазина</v>
      </c>
    </row>
    <row r="14619" spans="1:7" x14ac:dyDescent="0.25">
      <c r="A14619" t="s">
        <v>44799</v>
      </c>
      <c r="B14619" t="s">
        <v>45057</v>
      </c>
      <c r="C14619" t="s">
        <v>45041</v>
      </c>
      <c r="D14619" t="s">
        <v>45042</v>
      </c>
      <c r="E14619" t="s">
        <v>45043</v>
      </c>
      <c r="F14619" t="s">
        <v>45058</v>
      </c>
      <c r="G14619" s="2" t="str">
        <f>HYPERLINK("https://probpalata.gov.ru/files/ЮЛ630603751400008.jpeg","Скачать индивидуальный QR-код магазина")</f>
        <v>Скачать индивидуальный QR-код магазина</v>
      </c>
    </row>
    <row r="14620" spans="1:7" x14ac:dyDescent="0.25">
      <c r="A14620" t="s">
        <v>44799</v>
      </c>
      <c r="B14620" t="s">
        <v>44989</v>
      </c>
      <c r="C14620" t="s">
        <v>45041</v>
      </c>
      <c r="D14620" t="s">
        <v>45042</v>
      </c>
      <c r="E14620" t="s">
        <v>45043</v>
      </c>
      <c r="F14620" t="s">
        <v>45059</v>
      </c>
      <c r="G14620" s="2" t="str">
        <f>HYPERLINK("https://probpalata.gov.ru/files/ЮЛ630603751400009.jpeg","Скачать индивидуальный QR-код магазина")</f>
        <v>Скачать индивидуальный QR-код магазина</v>
      </c>
    </row>
    <row r="14621" spans="1:7" x14ac:dyDescent="0.25">
      <c r="A14621" t="s">
        <v>44799</v>
      </c>
      <c r="B14621" t="s">
        <v>45060</v>
      </c>
      <c r="C14621" t="s">
        <v>45041</v>
      </c>
      <c r="D14621" t="s">
        <v>45042</v>
      </c>
      <c r="E14621" t="s">
        <v>45043</v>
      </c>
      <c r="F14621" t="s">
        <v>45061</v>
      </c>
      <c r="G14621" s="2" t="str">
        <f>HYPERLINK("https://probpalata.gov.ru/files/ЮЛ630603751400010.jpeg","Скачать индивидуальный QR-код магазина")</f>
        <v>Скачать индивидуальный QR-код магазина</v>
      </c>
    </row>
    <row r="14622" spans="1:7" x14ac:dyDescent="0.25">
      <c r="A14622" t="s">
        <v>44799</v>
      </c>
      <c r="B14622" t="s">
        <v>45062</v>
      </c>
      <c r="C14622" t="s">
        <v>2219</v>
      </c>
      <c r="D14622" t="s">
        <v>2220</v>
      </c>
      <c r="E14622" t="s">
        <v>2221</v>
      </c>
      <c r="F14622" t="s">
        <v>45063</v>
      </c>
      <c r="G14622" s="2" t="str">
        <f>HYPERLINK("https://probpalata.gov.ru/files/ИП710100775300003.jpeg","Скачать индивидуальный QR-код магазина")</f>
        <v>Скачать индивидуальный QR-код магазина</v>
      </c>
    </row>
    <row r="14623" spans="1:7" x14ac:dyDescent="0.25">
      <c r="A14623" t="s">
        <v>44799</v>
      </c>
      <c r="B14623" t="s">
        <v>45064</v>
      </c>
      <c r="C14623" t="s">
        <v>2219</v>
      </c>
      <c r="D14623" t="s">
        <v>2220</v>
      </c>
      <c r="E14623" t="s">
        <v>2221</v>
      </c>
      <c r="F14623" t="s">
        <v>45065</v>
      </c>
      <c r="G14623" s="2" t="str">
        <f>HYPERLINK("https://probpalata.gov.ru/files/ИП710100775300005.jpeg","Скачать индивидуальный QR-код магазина")</f>
        <v>Скачать индивидуальный QR-код магазина</v>
      </c>
    </row>
    <row r="14624" spans="1:7" x14ac:dyDescent="0.25">
      <c r="A14624" t="s">
        <v>44799</v>
      </c>
      <c r="B14624" t="s">
        <v>45066</v>
      </c>
      <c r="C14624" t="s">
        <v>3157</v>
      </c>
      <c r="D14624" t="s">
        <v>3158</v>
      </c>
      <c r="E14624" t="s">
        <v>3159</v>
      </c>
      <c r="F14624" t="s">
        <v>45067</v>
      </c>
      <c r="G14624" s="2" t="str">
        <f>HYPERLINK("https://probpalata.gov.ru/files/ИП770100417900018.jpeg","Скачать индивидуальный QR-код магазина")</f>
        <v>Скачать индивидуальный QR-код магазина</v>
      </c>
    </row>
    <row r="14625" spans="1:7" x14ac:dyDescent="0.25">
      <c r="A14625" t="s">
        <v>44799</v>
      </c>
      <c r="B14625" t="s">
        <v>45068</v>
      </c>
      <c r="C14625" t="s">
        <v>713</v>
      </c>
      <c r="D14625" t="s">
        <v>714</v>
      </c>
      <c r="E14625" t="s">
        <v>715</v>
      </c>
      <c r="F14625" t="s">
        <v>45069</v>
      </c>
      <c r="G14625" s="2" t="str">
        <f>HYPERLINK("https://probpalata.gov.ru/files/ЮЛ770101216600213.jpeg","Скачать индивидуальный QR-код магазина")</f>
        <v>Скачать индивидуальный QR-код магазина</v>
      </c>
    </row>
    <row r="14626" spans="1:7" x14ac:dyDescent="0.25">
      <c r="A14626" t="s">
        <v>44799</v>
      </c>
      <c r="B14626" t="s">
        <v>45070</v>
      </c>
      <c r="C14626" t="s">
        <v>713</v>
      </c>
      <c r="D14626" t="s">
        <v>714</v>
      </c>
      <c r="E14626" t="s">
        <v>715</v>
      </c>
      <c r="F14626" t="s">
        <v>45071</v>
      </c>
      <c r="G14626" s="2" t="str">
        <f>HYPERLINK("https://probpalata.gov.ru/files/ЮЛ770101216600357.jpeg","Скачать индивидуальный QR-код магазина")</f>
        <v>Скачать индивидуальный QR-код магазина</v>
      </c>
    </row>
    <row r="14627" spans="1:7" x14ac:dyDescent="0.25">
      <c r="A14627" t="s">
        <v>44799</v>
      </c>
      <c r="B14627" t="s">
        <v>45072</v>
      </c>
      <c r="C14627" t="s">
        <v>713</v>
      </c>
      <c r="D14627" t="s">
        <v>714</v>
      </c>
      <c r="E14627" t="s">
        <v>715</v>
      </c>
      <c r="F14627" t="s">
        <v>45073</v>
      </c>
      <c r="G14627" s="2" t="str">
        <f>HYPERLINK("https://probpalata.gov.ru/files/ЮЛ770101216600475.jpeg","Скачать индивидуальный QR-код магазина")</f>
        <v>Скачать индивидуальный QR-код магазина</v>
      </c>
    </row>
    <row r="14628" spans="1:7" x14ac:dyDescent="0.25">
      <c r="A14628" t="s">
        <v>44799</v>
      </c>
      <c r="B14628" t="s">
        <v>45074</v>
      </c>
      <c r="C14628" t="s">
        <v>713</v>
      </c>
      <c r="D14628" t="s">
        <v>714</v>
      </c>
      <c r="E14628" t="s">
        <v>715</v>
      </c>
      <c r="F14628" t="s">
        <v>45075</v>
      </c>
      <c r="G14628" s="2" t="str">
        <f>HYPERLINK("https://probpalata.gov.ru/files/ЮЛ770101216600495.jpeg","Скачать индивидуальный QR-код магазина")</f>
        <v>Скачать индивидуальный QR-код магазина</v>
      </c>
    </row>
    <row r="14629" spans="1:7" x14ac:dyDescent="0.25">
      <c r="A14629" t="s">
        <v>44799</v>
      </c>
      <c r="B14629" t="s">
        <v>45076</v>
      </c>
      <c r="C14629" t="s">
        <v>713</v>
      </c>
      <c r="D14629" t="s">
        <v>714</v>
      </c>
      <c r="E14629" t="s">
        <v>715</v>
      </c>
      <c r="F14629" t="s">
        <v>45077</v>
      </c>
      <c r="G14629" s="2" t="str">
        <f>HYPERLINK("https://probpalata.gov.ru/files/ЮЛ770101216600585.jpeg","Скачать индивидуальный QR-код магазина")</f>
        <v>Скачать индивидуальный QR-код магазина</v>
      </c>
    </row>
    <row r="14630" spans="1:7" x14ac:dyDescent="0.25">
      <c r="A14630" t="s">
        <v>44799</v>
      </c>
      <c r="B14630" t="s">
        <v>45078</v>
      </c>
      <c r="C14630" t="s">
        <v>713</v>
      </c>
      <c r="D14630" t="s">
        <v>714</v>
      </c>
      <c r="E14630" t="s">
        <v>715</v>
      </c>
      <c r="F14630" t="s">
        <v>45079</v>
      </c>
      <c r="G14630" s="2" t="str">
        <f>HYPERLINK("https://probpalata.gov.ru/files/ЮЛ770101216600822.jpeg","Скачать индивидуальный QR-код магазина")</f>
        <v>Скачать индивидуальный QR-код магазина</v>
      </c>
    </row>
    <row r="14631" spans="1:7" x14ac:dyDescent="0.25">
      <c r="A14631" t="s">
        <v>44799</v>
      </c>
      <c r="B14631" t="s">
        <v>45080</v>
      </c>
      <c r="C14631" t="s">
        <v>713</v>
      </c>
      <c r="D14631" t="s">
        <v>714</v>
      </c>
      <c r="E14631" t="s">
        <v>715</v>
      </c>
      <c r="F14631" t="s">
        <v>45081</v>
      </c>
      <c r="G14631" s="2" t="str">
        <f>HYPERLINK("https://probpalata.gov.ru/files/ЮЛ770101216600874.jpeg","Скачать индивидуальный QR-код магазина")</f>
        <v>Скачать индивидуальный QR-код магазина</v>
      </c>
    </row>
    <row r="14632" spans="1:7" x14ac:dyDescent="0.25">
      <c r="A14632" t="s">
        <v>44799</v>
      </c>
      <c r="B14632" t="s">
        <v>45082</v>
      </c>
      <c r="C14632" t="s">
        <v>1416</v>
      </c>
      <c r="D14632" t="s">
        <v>1417</v>
      </c>
      <c r="E14632" t="s">
        <v>1418</v>
      </c>
      <c r="F14632" t="s">
        <v>45083</v>
      </c>
      <c r="G14632" s="2" t="str">
        <f>HYPERLINK("https://probpalata.gov.ru/files/ЮЛ770100419400014.jpeg","Скачать индивидуальный QR-код магазина")</f>
        <v>Скачать индивидуальный QR-код магазина</v>
      </c>
    </row>
    <row r="14633" spans="1:7" x14ac:dyDescent="0.25">
      <c r="A14633" t="s">
        <v>44799</v>
      </c>
      <c r="B14633" t="s">
        <v>45084</v>
      </c>
      <c r="C14633" t="s">
        <v>748</v>
      </c>
      <c r="D14633" t="s">
        <v>749</v>
      </c>
      <c r="E14633" t="s">
        <v>750</v>
      </c>
      <c r="F14633" t="s">
        <v>45085</v>
      </c>
      <c r="G14633" s="2" t="str">
        <f>HYPERLINK("https://probpalata.gov.ru/files/ЮЛ770100193500238.jpeg","Скачать индивидуальный QR-код магазина")</f>
        <v>Скачать индивидуальный QR-код магазина</v>
      </c>
    </row>
    <row r="14634" spans="1:7" x14ac:dyDescent="0.25">
      <c r="A14634" t="s">
        <v>44799</v>
      </c>
      <c r="B14634" t="s">
        <v>45086</v>
      </c>
      <c r="C14634" t="s">
        <v>748</v>
      </c>
      <c r="D14634" t="s">
        <v>749</v>
      </c>
      <c r="E14634" t="s">
        <v>750</v>
      </c>
      <c r="F14634" t="s">
        <v>45087</v>
      </c>
      <c r="G14634" s="2" t="str">
        <f>HYPERLINK("https://probpalata.gov.ru/files/ЮЛ770100193500239.jpeg","Скачать индивидуальный QR-код магазина")</f>
        <v>Скачать индивидуальный QR-код магазина</v>
      </c>
    </row>
    <row r="14635" spans="1:7" x14ac:dyDescent="0.25">
      <c r="A14635" t="s">
        <v>44799</v>
      </c>
      <c r="B14635" t="s">
        <v>45088</v>
      </c>
      <c r="C14635" t="s">
        <v>748</v>
      </c>
      <c r="D14635" t="s">
        <v>749</v>
      </c>
      <c r="E14635" t="s">
        <v>750</v>
      </c>
      <c r="F14635" t="s">
        <v>45089</v>
      </c>
      <c r="G14635" s="2" t="str">
        <f>HYPERLINK("https://probpalata.gov.ru/files/ЮЛ770100193500240.jpeg","Скачать индивидуальный QR-код магазина")</f>
        <v>Скачать индивидуальный QR-код магазина</v>
      </c>
    </row>
    <row r="14636" spans="1:7" x14ac:dyDescent="0.25">
      <c r="A14636" t="s">
        <v>44799</v>
      </c>
      <c r="B14636" t="s">
        <v>45090</v>
      </c>
      <c r="C14636" t="s">
        <v>748</v>
      </c>
      <c r="D14636" t="s">
        <v>749</v>
      </c>
      <c r="E14636" t="s">
        <v>750</v>
      </c>
      <c r="F14636" t="s">
        <v>45091</v>
      </c>
      <c r="G14636" s="2" t="str">
        <f>HYPERLINK("https://probpalata.gov.ru/files/ЮЛ770100193500241.jpeg","Скачать индивидуальный QR-код магазина")</f>
        <v>Скачать индивидуальный QR-код магазина</v>
      </c>
    </row>
    <row r="14637" spans="1:7" x14ac:dyDescent="0.25">
      <c r="A14637" t="s">
        <v>44799</v>
      </c>
      <c r="B14637" t="s">
        <v>45092</v>
      </c>
      <c r="C14637" t="s">
        <v>748</v>
      </c>
      <c r="D14637" t="s">
        <v>749</v>
      </c>
      <c r="E14637" t="s">
        <v>750</v>
      </c>
      <c r="F14637" t="s">
        <v>45093</v>
      </c>
      <c r="G14637" s="2" t="str">
        <f>HYPERLINK("https://probpalata.gov.ru/files/ЮЛ770100193500613.jpeg","Скачать индивидуальный QR-код магазина")</f>
        <v>Скачать индивидуальный QR-код магазина</v>
      </c>
    </row>
    <row r="14638" spans="1:7" x14ac:dyDescent="0.25">
      <c r="A14638" t="s">
        <v>44799</v>
      </c>
      <c r="B14638" t="s">
        <v>45094</v>
      </c>
      <c r="C14638" t="s">
        <v>45095</v>
      </c>
      <c r="D14638" t="s">
        <v>45096</v>
      </c>
      <c r="E14638" t="s">
        <v>45097</v>
      </c>
      <c r="F14638" t="s">
        <v>45098</v>
      </c>
      <c r="G14638" s="2" t="str">
        <f>HYPERLINK("https://probpalata.gov.ru/files/ИП620101902600000.jpeg","Скачать индивидуальный QR-код магазина")</f>
        <v>Скачать индивидуальный QR-код магазина</v>
      </c>
    </row>
    <row r="14639" spans="1:7" x14ac:dyDescent="0.25">
      <c r="A14639" t="s">
        <v>44799</v>
      </c>
      <c r="B14639" t="s">
        <v>45099</v>
      </c>
      <c r="C14639" t="s">
        <v>45095</v>
      </c>
      <c r="D14639" t="s">
        <v>45096</v>
      </c>
      <c r="E14639" t="s">
        <v>45097</v>
      </c>
      <c r="F14639" t="s">
        <v>45100</v>
      </c>
      <c r="G14639" s="2" t="str">
        <f>HYPERLINK("https://probpalata.gov.ru/files/ИП620101902600002.jpeg","Скачать индивидуальный QR-код магазина")</f>
        <v>Скачать индивидуальный QR-код магазина</v>
      </c>
    </row>
    <row r="14640" spans="1:7" x14ac:dyDescent="0.25">
      <c r="A14640" t="s">
        <v>44799</v>
      </c>
      <c r="B14640" t="s">
        <v>45101</v>
      </c>
      <c r="C14640" t="s">
        <v>45095</v>
      </c>
      <c r="D14640" t="s">
        <v>45096</v>
      </c>
      <c r="E14640" t="s">
        <v>45097</v>
      </c>
      <c r="F14640" t="s">
        <v>45102</v>
      </c>
      <c r="G14640" s="2" t="str">
        <f>HYPERLINK("https://probpalata.gov.ru/files/ИП620101902600003.jpeg","Скачать индивидуальный QR-код магазина")</f>
        <v>Скачать индивидуальный QR-код магазина</v>
      </c>
    </row>
    <row r="14641" spans="1:7" x14ac:dyDescent="0.25">
      <c r="A14641" t="s">
        <v>44799</v>
      </c>
      <c r="B14641" t="s">
        <v>45103</v>
      </c>
      <c r="C14641" t="s">
        <v>45095</v>
      </c>
      <c r="D14641" t="s">
        <v>45096</v>
      </c>
      <c r="E14641" t="s">
        <v>45097</v>
      </c>
      <c r="F14641" t="s">
        <v>45104</v>
      </c>
      <c r="G14641" s="2" t="str">
        <f>HYPERLINK("https://probpalata.gov.ru/files/ИП620101902600004.jpeg","Скачать индивидуальный QR-код магазина")</f>
        <v>Скачать индивидуальный QR-код магазина</v>
      </c>
    </row>
    <row r="14642" spans="1:7" x14ac:dyDescent="0.25">
      <c r="A14642" t="s">
        <v>44799</v>
      </c>
      <c r="B14642" t="s">
        <v>45105</v>
      </c>
      <c r="C14642" t="s">
        <v>773</v>
      </c>
      <c r="D14642" t="s">
        <v>774</v>
      </c>
      <c r="E14642" t="s">
        <v>775</v>
      </c>
      <c r="F14642" t="s">
        <v>45106</v>
      </c>
      <c r="G14642" s="2" t="str">
        <f>HYPERLINK("https://probpalata.gov.ru/files/ЮЛ780300131300043.jpeg","Скачать индивидуальный QR-код магазина")</f>
        <v>Скачать индивидуальный QR-код магазина</v>
      </c>
    </row>
    <row r="14643" spans="1:7" x14ac:dyDescent="0.25">
      <c r="A14643" t="s">
        <v>44799</v>
      </c>
      <c r="B14643" t="s">
        <v>45107</v>
      </c>
      <c r="C14643" t="s">
        <v>791</v>
      </c>
      <c r="D14643" t="s">
        <v>792</v>
      </c>
      <c r="E14643" t="s">
        <v>793</v>
      </c>
      <c r="F14643" t="s">
        <v>45108</v>
      </c>
      <c r="G14643" s="2" t="str">
        <f>HYPERLINK("https://probpalata.gov.ru/files/ЮЛ780300323500155.jpeg","Скачать индивидуальный QR-код магазина")</f>
        <v>Скачать индивидуальный QR-код магазина</v>
      </c>
    </row>
    <row r="14644" spans="1:7" x14ac:dyDescent="0.25">
      <c r="A14644" t="s">
        <v>44799</v>
      </c>
      <c r="B14644" t="s">
        <v>45109</v>
      </c>
      <c r="C14644" t="s">
        <v>791</v>
      </c>
      <c r="D14644" t="s">
        <v>792</v>
      </c>
      <c r="E14644" t="s">
        <v>793</v>
      </c>
      <c r="F14644" t="s">
        <v>45110</v>
      </c>
      <c r="G14644" s="2" t="str">
        <f>HYPERLINK("https://probpalata.gov.ru/files/ЮЛ780300323500156.jpeg","Скачать индивидуальный QR-код магазина")</f>
        <v>Скачать индивидуальный QR-код магазина</v>
      </c>
    </row>
    <row r="14645" spans="1:7" x14ac:dyDescent="0.25">
      <c r="A14645" t="s">
        <v>44799</v>
      </c>
      <c r="B14645" t="s">
        <v>45111</v>
      </c>
      <c r="C14645" t="s">
        <v>798</v>
      </c>
      <c r="D14645" t="s">
        <v>799</v>
      </c>
      <c r="E14645" t="s">
        <v>800</v>
      </c>
      <c r="F14645" t="s">
        <v>45112</v>
      </c>
      <c r="G14645" s="2" t="str">
        <f>HYPERLINK("https://probpalata.gov.ru/files/ЮЛ780300308200453.jpeg","Скачать индивидуальный QR-код магазина")</f>
        <v>Скачать индивидуальный QR-код магазина</v>
      </c>
    </row>
    <row r="14646" spans="1:7" x14ac:dyDescent="0.25">
      <c r="A14646" t="s">
        <v>44799</v>
      </c>
      <c r="B14646" t="s">
        <v>45113</v>
      </c>
      <c r="C14646" t="s">
        <v>798</v>
      </c>
      <c r="D14646" t="s">
        <v>799</v>
      </c>
      <c r="E14646" t="s">
        <v>800</v>
      </c>
      <c r="F14646" t="s">
        <v>45114</v>
      </c>
      <c r="G14646" s="2" t="str">
        <f>HYPERLINK("https://probpalata.gov.ru/files/ЮЛ780300308200455.jpeg","Скачать индивидуальный QR-код магазина")</f>
        <v>Скачать индивидуальный QR-код магазина</v>
      </c>
    </row>
    <row r="14647" spans="1:7" x14ac:dyDescent="0.25">
      <c r="A14647" t="s">
        <v>44799</v>
      </c>
      <c r="B14647" t="s">
        <v>45115</v>
      </c>
      <c r="C14647" t="s">
        <v>798</v>
      </c>
      <c r="D14647" t="s">
        <v>799</v>
      </c>
      <c r="E14647" t="s">
        <v>800</v>
      </c>
      <c r="F14647" t="s">
        <v>45116</v>
      </c>
      <c r="G14647" s="2" t="str">
        <f>HYPERLINK("https://probpalata.gov.ru/files/ЮЛ780300308200581.jpeg","Скачать индивидуальный QR-код магазина")</f>
        <v>Скачать индивидуальный QR-код магазина</v>
      </c>
    </row>
    <row r="14648" spans="1:7" x14ac:dyDescent="0.25">
      <c r="A14648" t="s">
        <v>44799</v>
      </c>
      <c r="B14648" t="s">
        <v>45117</v>
      </c>
      <c r="C14648" t="s">
        <v>798</v>
      </c>
      <c r="D14648" t="s">
        <v>799</v>
      </c>
      <c r="E14648" t="s">
        <v>800</v>
      </c>
      <c r="F14648" t="s">
        <v>45118</v>
      </c>
      <c r="G14648" s="2" t="str">
        <f>HYPERLINK("https://probpalata.gov.ru/files/ЮЛ780300308200668.jpeg","Скачать индивидуальный QR-код магазина")</f>
        <v>Скачать индивидуальный QR-код магазина</v>
      </c>
    </row>
    <row r="14649" spans="1:7" x14ac:dyDescent="0.25">
      <c r="A14649" t="s">
        <v>44799</v>
      </c>
      <c r="B14649" t="s">
        <v>45119</v>
      </c>
      <c r="C14649" t="s">
        <v>798</v>
      </c>
      <c r="D14649" t="s">
        <v>799</v>
      </c>
      <c r="E14649" t="s">
        <v>800</v>
      </c>
      <c r="F14649" t="s">
        <v>45120</v>
      </c>
      <c r="G14649" s="2" t="str">
        <f>HYPERLINK("https://probpalata.gov.ru/files/ЮЛ780300308200896.jpeg","Скачать индивидуальный QR-код магазина")</f>
        <v>Скачать индивидуальный QR-код магазина</v>
      </c>
    </row>
    <row r="14650" spans="1:7" x14ac:dyDescent="0.25">
      <c r="A14650" t="s">
        <v>44799</v>
      </c>
      <c r="B14650" t="s">
        <v>45121</v>
      </c>
      <c r="C14650" t="s">
        <v>798</v>
      </c>
      <c r="D14650" t="s">
        <v>799</v>
      </c>
      <c r="E14650" t="s">
        <v>800</v>
      </c>
      <c r="F14650" t="s">
        <v>45122</v>
      </c>
      <c r="G14650" s="2" t="str">
        <f>HYPERLINK("https://probpalata.gov.ru/files/ЮЛ780300308201123.jpeg","Скачать индивидуальный QR-код магазина")</f>
        <v>Скачать индивидуальный QR-код магазина</v>
      </c>
    </row>
    <row r="14651" spans="1:7" x14ac:dyDescent="0.25">
      <c r="A14651" t="s">
        <v>44799</v>
      </c>
      <c r="B14651" t="s">
        <v>45123</v>
      </c>
      <c r="C14651" t="s">
        <v>798</v>
      </c>
      <c r="D14651" t="s">
        <v>799</v>
      </c>
      <c r="E14651" t="s">
        <v>800</v>
      </c>
      <c r="F14651" t="s">
        <v>45124</v>
      </c>
      <c r="G14651" s="2" t="str">
        <f>HYPERLINK("https://probpalata.gov.ru/files/ЮЛ780300308201185.jpeg","Скачать индивидуальный QR-код магазина")</f>
        <v>Скачать индивидуальный QR-код магазина</v>
      </c>
    </row>
    <row r="14652" spans="1:7" x14ac:dyDescent="0.25">
      <c r="A14652" t="s">
        <v>44799</v>
      </c>
      <c r="B14652" t="s">
        <v>45125</v>
      </c>
      <c r="C14652" t="s">
        <v>798</v>
      </c>
      <c r="D14652" t="s">
        <v>799</v>
      </c>
      <c r="E14652" t="s">
        <v>800</v>
      </c>
      <c r="F14652" t="s">
        <v>45126</v>
      </c>
      <c r="G14652" s="2" t="str">
        <f>HYPERLINK("https://probpalata.gov.ru/files/ЮЛ780300308201195.jpeg","Скачать индивидуальный QR-код магазина")</f>
        <v>Скачать индивидуальный QR-код магазина</v>
      </c>
    </row>
    <row r="14653" spans="1:7" x14ac:dyDescent="0.25">
      <c r="A14653" t="s">
        <v>44799</v>
      </c>
      <c r="B14653" t="s">
        <v>45127</v>
      </c>
      <c r="C14653" t="s">
        <v>823</v>
      </c>
      <c r="D14653" t="s">
        <v>824</v>
      </c>
      <c r="E14653" t="s">
        <v>825</v>
      </c>
      <c r="F14653" t="s">
        <v>45128</v>
      </c>
      <c r="G14653" s="2" t="str">
        <f>HYPERLINK("https://probpalata.gov.ru/files/ЮЛ780300363500035.jpeg","Скачать индивидуальный QR-код магазина")</f>
        <v>Скачать индивидуальный QR-код магазина</v>
      </c>
    </row>
    <row r="14654" spans="1:7" x14ac:dyDescent="0.25">
      <c r="A14654" t="s">
        <v>44799</v>
      </c>
      <c r="B14654" t="s">
        <v>45129</v>
      </c>
      <c r="C14654" t="s">
        <v>823</v>
      </c>
      <c r="D14654" t="s">
        <v>824</v>
      </c>
      <c r="E14654" t="s">
        <v>825</v>
      </c>
      <c r="F14654" t="s">
        <v>45130</v>
      </c>
      <c r="G14654" s="2" t="str">
        <f>HYPERLINK("https://probpalata.gov.ru/files/ЮЛ780300363500198.jpeg","Скачать индивидуальный QR-код магазина")</f>
        <v>Скачать индивидуальный QR-код магазина</v>
      </c>
    </row>
    <row r="14655" spans="1:7" x14ac:dyDescent="0.25">
      <c r="A14655" t="s">
        <v>44799</v>
      </c>
      <c r="B14655" t="s">
        <v>45131</v>
      </c>
      <c r="C14655" t="s">
        <v>1490</v>
      </c>
      <c r="D14655" t="s">
        <v>1491</v>
      </c>
      <c r="E14655" t="s">
        <v>1492</v>
      </c>
      <c r="F14655" t="s">
        <v>45132</v>
      </c>
      <c r="G14655" s="2" t="str">
        <f>HYPERLINK("https://probpalata.gov.ru/files/ЮЛ780301261200053.jpeg","Скачать индивидуальный QR-код магазина")</f>
        <v>Скачать индивидуальный QR-код магазина</v>
      </c>
    </row>
    <row r="14656" spans="1:7" x14ac:dyDescent="0.25">
      <c r="A14656" t="s">
        <v>44799</v>
      </c>
      <c r="B14656" t="s">
        <v>45133</v>
      </c>
      <c r="C14656" t="s">
        <v>1490</v>
      </c>
      <c r="D14656" t="s">
        <v>1491</v>
      </c>
      <c r="E14656" t="s">
        <v>1492</v>
      </c>
      <c r="F14656" t="s">
        <v>45134</v>
      </c>
      <c r="G14656" s="2" t="str">
        <f>HYPERLINK("https://probpalata.gov.ru/files/ЮЛ780301261200067.jpeg","Скачать индивидуальный QR-код магазина")</f>
        <v>Скачать индивидуальный QR-код магазина</v>
      </c>
    </row>
    <row r="14657" spans="1:7" x14ac:dyDescent="0.25">
      <c r="A14657" t="s">
        <v>44799</v>
      </c>
      <c r="B14657" t="s">
        <v>45135</v>
      </c>
      <c r="C14657" t="s">
        <v>25998</v>
      </c>
      <c r="D14657" t="s">
        <v>25999</v>
      </c>
      <c r="E14657" t="s">
        <v>26000</v>
      </c>
      <c r="F14657" t="s">
        <v>45136</v>
      </c>
      <c r="G14657" s="2" t="str">
        <f>HYPERLINK("https://probpalata.gov.ru/files/ЮЛ770103800100003.jpeg","Скачать индивидуальный QR-код магазина")</f>
        <v>Скачать индивидуальный QR-код магазина</v>
      </c>
    </row>
    <row r="14658" spans="1:7" x14ac:dyDescent="0.25">
      <c r="A14658" t="s">
        <v>44799</v>
      </c>
      <c r="B14658" t="s">
        <v>45137</v>
      </c>
      <c r="C14658" t="s">
        <v>1501</v>
      </c>
      <c r="D14658" t="s">
        <v>1502</v>
      </c>
      <c r="E14658" t="s">
        <v>1503</v>
      </c>
      <c r="F14658" t="s">
        <v>45138</v>
      </c>
      <c r="G14658" s="2" t="str">
        <f>HYPERLINK("https://probpalata.gov.ru/files/ЮЛ770100439200113.jpeg","Скачать индивидуальный QR-код магазина")</f>
        <v>Скачать индивидуальный QR-код магазина</v>
      </c>
    </row>
    <row r="14659" spans="1:7" x14ac:dyDescent="0.25">
      <c r="A14659" t="s">
        <v>45139</v>
      </c>
      <c r="B14659" t="s">
        <v>45140</v>
      </c>
      <c r="C14659" t="s">
        <v>3236</v>
      </c>
      <c r="D14659" t="s">
        <v>3237</v>
      </c>
      <c r="E14659" t="s">
        <v>3238</v>
      </c>
      <c r="F14659" t="s">
        <v>45141</v>
      </c>
      <c r="G14659" s="2" t="str">
        <f>HYPERLINK("https://probpalata.gov.ru/files/ИП020603403600003.jpeg","Скачать индивидуальный QR-код магазина")</f>
        <v>Скачать индивидуальный QR-код магазина</v>
      </c>
    </row>
    <row r="14660" spans="1:7" x14ac:dyDescent="0.25">
      <c r="A14660" t="s">
        <v>45139</v>
      </c>
      <c r="B14660" t="s">
        <v>45142</v>
      </c>
      <c r="C14660" t="s">
        <v>13224</v>
      </c>
      <c r="D14660" t="s">
        <v>13225</v>
      </c>
      <c r="E14660" t="s">
        <v>13226</v>
      </c>
      <c r="F14660" t="s">
        <v>45143</v>
      </c>
      <c r="G14660" s="2" t="str">
        <f>HYPERLINK("https://probpalata.gov.ru/files/ИП160603156900008.jpeg","Скачать индивидуальный QR-код магазина")</f>
        <v>Скачать индивидуальный QR-код магазина</v>
      </c>
    </row>
    <row r="14661" spans="1:7" x14ac:dyDescent="0.25">
      <c r="A14661" t="s">
        <v>45139</v>
      </c>
      <c r="B14661" t="s">
        <v>45144</v>
      </c>
      <c r="C14661" t="s">
        <v>45145</v>
      </c>
      <c r="D14661" t="s">
        <v>45146</v>
      </c>
      <c r="E14661" t="s">
        <v>45147</v>
      </c>
      <c r="F14661" t="s">
        <v>45148</v>
      </c>
      <c r="G14661" s="2" t="str">
        <f>HYPERLINK("https://probpalata.gov.ru/files/ЮЛ160600248200002.jpeg","Скачать индивидуальный QR-код магазина")</f>
        <v>Скачать индивидуальный QR-код магазина</v>
      </c>
    </row>
    <row r="14662" spans="1:7" x14ac:dyDescent="0.25">
      <c r="A14662" t="s">
        <v>45139</v>
      </c>
      <c r="B14662" t="s">
        <v>45149</v>
      </c>
      <c r="C14662" t="s">
        <v>45145</v>
      </c>
      <c r="D14662" t="s">
        <v>45146</v>
      </c>
      <c r="E14662" t="s">
        <v>45147</v>
      </c>
      <c r="F14662" t="s">
        <v>45150</v>
      </c>
      <c r="G14662" s="2" t="str">
        <f>HYPERLINK("https://probpalata.gov.ru/files/ЮЛ160600248200003.jpeg","Скачать индивидуальный QR-код магазина")</f>
        <v>Скачать индивидуальный QR-код магазина</v>
      </c>
    </row>
    <row r="14663" spans="1:7" x14ac:dyDescent="0.25">
      <c r="A14663" t="s">
        <v>45139</v>
      </c>
      <c r="B14663" t="s">
        <v>45151</v>
      </c>
      <c r="C14663" t="s">
        <v>45145</v>
      </c>
      <c r="D14663" t="s">
        <v>45146</v>
      </c>
      <c r="E14663" t="s">
        <v>45147</v>
      </c>
      <c r="F14663" t="s">
        <v>45152</v>
      </c>
      <c r="G14663" s="2" t="str">
        <f>HYPERLINK("https://probpalata.gov.ru/files/ЮЛ160600248200004.jpeg","Скачать индивидуальный QR-код магазина")</f>
        <v>Скачать индивидуальный QR-код магазина</v>
      </c>
    </row>
    <row r="14664" spans="1:7" x14ac:dyDescent="0.25">
      <c r="A14664" t="s">
        <v>45139</v>
      </c>
      <c r="B14664" t="s">
        <v>45153</v>
      </c>
      <c r="C14664" t="s">
        <v>45145</v>
      </c>
      <c r="D14664" t="s">
        <v>45146</v>
      </c>
      <c r="E14664" t="s">
        <v>45147</v>
      </c>
      <c r="F14664" t="s">
        <v>45154</v>
      </c>
      <c r="G14664" s="2" t="str">
        <f>HYPERLINK("https://probpalata.gov.ru/files/ЮЛ160600248200008.jpeg","Скачать индивидуальный QR-код магазина")</f>
        <v>Скачать индивидуальный QR-код магазина</v>
      </c>
    </row>
    <row r="14665" spans="1:7" x14ac:dyDescent="0.25">
      <c r="A14665" t="s">
        <v>45139</v>
      </c>
      <c r="B14665" t="s">
        <v>45155</v>
      </c>
      <c r="C14665" t="s">
        <v>45145</v>
      </c>
      <c r="D14665" t="s">
        <v>45146</v>
      </c>
      <c r="E14665" t="s">
        <v>45147</v>
      </c>
      <c r="F14665" t="s">
        <v>45156</v>
      </c>
      <c r="G14665" s="2" t="str">
        <f>HYPERLINK("https://probpalata.gov.ru/files/ЮЛ160600248200009.jpeg","Скачать индивидуальный QR-код магазина")</f>
        <v>Скачать индивидуальный QR-код магазина</v>
      </c>
    </row>
    <row r="14666" spans="1:7" x14ac:dyDescent="0.25">
      <c r="A14666" t="s">
        <v>45139</v>
      </c>
      <c r="B14666" t="s">
        <v>45157</v>
      </c>
      <c r="C14666" t="s">
        <v>45145</v>
      </c>
      <c r="D14666" t="s">
        <v>45146</v>
      </c>
      <c r="E14666" t="s">
        <v>45147</v>
      </c>
      <c r="F14666" t="s">
        <v>45158</v>
      </c>
      <c r="G14666" s="2" t="str">
        <f>HYPERLINK("https://probpalata.gov.ru/files/ЮЛ160600248200010.jpeg","Скачать индивидуальный QR-код магазина")</f>
        <v>Скачать индивидуальный QR-код магазина</v>
      </c>
    </row>
    <row r="14667" spans="1:7" x14ac:dyDescent="0.25">
      <c r="A14667" t="s">
        <v>45139</v>
      </c>
      <c r="B14667" t="s">
        <v>45159</v>
      </c>
      <c r="C14667" t="s">
        <v>45145</v>
      </c>
      <c r="D14667" t="s">
        <v>45146</v>
      </c>
      <c r="E14667" t="s">
        <v>45147</v>
      </c>
      <c r="F14667" t="s">
        <v>45160</v>
      </c>
      <c r="G14667" s="2" t="str">
        <f>HYPERLINK("https://probpalata.gov.ru/files/ЮЛ160600248200012.jpeg","Скачать индивидуальный QR-код магазина")</f>
        <v>Скачать индивидуальный QR-код магазина</v>
      </c>
    </row>
    <row r="14668" spans="1:7" x14ac:dyDescent="0.25">
      <c r="A14668" t="s">
        <v>45139</v>
      </c>
      <c r="B14668" t="s">
        <v>45161</v>
      </c>
      <c r="C14668" t="s">
        <v>45145</v>
      </c>
      <c r="D14668" t="s">
        <v>45146</v>
      </c>
      <c r="E14668" t="s">
        <v>45147</v>
      </c>
      <c r="F14668" t="s">
        <v>45162</v>
      </c>
      <c r="G14668" s="2" t="str">
        <f>HYPERLINK("https://probpalata.gov.ru/files/ЮЛ160600248200013.jpeg","Скачать индивидуальный QR-код магазина")</f>
        <v>Скачать индивидуальный QR-код магазина</v>
      </c>
    </row>
    <row r="14669" spans="1:7" x14ac:dyDescent="0.25">
      <c r="A14669" t="s">
        <v>45139</v>
      </c>
      <c r="B14669" t="s">
        <v>45163</v>
      </c>
      <c r="C14669" t="s">
        <v>6443</v>
      </c>
      <c r="D14669" t="s">
        <v>6444</v>
      </c>
      <c r="E14669" t="s">
        <v>6445</v>
      </c>
      <c r="F14669" t="s">
        <v>45164</v>
      </c>
      <c r="G14669" s="2" t="str">
        <f>HYPERLINK("https://probpalata.gov.ru/files/ИП520600153500001.jpeg","Скачать индивидуальный QR-код магазина")</f>
        <v>Скачать индивидуальный QR-код магазина</v>
      </c>
    </row>
    <row r="14670" spans="1:7" x14ac:dyDescent="0.25">
      <c r="A14670" t="s">
        <v>45139</v>
      </c>
      <c r="B14670" t="s">
        <v>45165</v>
      </c>
      <c r="C14670" t="s">
        <v>6443</v>
      </c>
      <c r="D14670" t="s">
        <v>6444</v>
      </c>
      <c r="E14670" t="s">
        <v>6445</v>
      </c>
      <c r="F14670" t="s">
        <v>45166</v>
      </c>
      <c r="G14670" s="2" t="str">
        <f>HYPERLINK("https://probpalata.gov.ru/files/ИП520600153500002.jpeg","Скачать индивидуальный QR-код магазина")</f>
        <v>Скачать индивидуальный QR-код магазина</v>
      </c>
    </row>
    <row r="14671" spans="1:7" x14ac:dyDescent="0.25">
      <c r="A14671" t="s">
        <v>45139</v>
      </c>
      <c r="B14671" t="s">
        <v>45167</v>
      </c>
      <c r="C14671" t="s">
        <v>6443</v>
      </c>
      <c r="D14671" t="s">
        <v>6444</v>
      </c>
      <c r="E14671" t="s">
        <v>6445</v>
      </c>
      <c r="F14671" t="s">
        <v>45168</v>
      </c>
      <c r="G14671" s="2" t="str">
        <f>HYPERLINK("https://probpalata.gov.ru/files/ИП520600153500008.jpeg","Скачать индивидуальный QR-код магазина")</f>
        <v>Скачать индивидуальный QR-код магазина</v>
      </c>
    </row>
    <row r="14672" spans="1:7" x14ac:dyDescent="0.25">
      <c r="A14672" t="s">
        <v>45139</v>
      </c>
      <c r="B14672" t="s">
        <v>45169</v>
      </c>
      <c r="C14672" t="s">
        <v>45170</v>
      </c>
      <c r="D14672" t="s">
        <v>45171</v>
      </c>
      <c r="E14672" t="s">
        <v>45172</v>
      </c>
      <c r="F14672" t="s">
        <v>45173</v>
      </c>
      <c r="G14672" s="2" t="str">
        <f>HYPERLINK("https://probpalata.gov.ru/files/ЮЛ230403475400000.jpeg","Скачать индивидуальный QR-код магазина")</f>
        <v>Скачать индивидуальный QR-код магазина</v>
      </c>
    </row>
    <row r="14673" spans="1:7" x14ac:dyDescent="0.25">
      <c r="A14673" t="s">
        <v>45139</v>
      </c>
      <c r="B14673" t="s">
        <v>45174</v>
      </c>
      <c r="C14673" t="s">
        <v>45175</v>
      </c>
      <c r="D14673" t="s">
        <v>45176</v>
      </c>
      <c r="E14673" t="s">
        <v>45177</v>
      </c>
      <c r="F14673" t="s">
        <v>45178</v>
      </c>
      <c r="G14673" s="2" t="str">
        <f>HYPERLINK("https://probpalata.gov.ru/files/ИП630601077400000.jpeg","Скачать индивидуальный QR-код магазина")</f>
        <v>Скачать индивидуальный QR-код магазина</v>
      </c>
    </row>
    <row r="14674" spans="1:7" x14ac:dyDescent="0.25">
      <c r="A14674" t="s">
        <v>45139</v>
      </c>
      <c r="B14674" t="s">
        <v>45179</v>
      </c>
      <c r="C14674" t="s">
        <v>45175</v>
      </c>
      <c r="D14674" t="s">
        <v>45176</v>
      </c>
      <c r="E14674" t="s">
        <v>45177</v>
      </c>
      <c r="F14674" t="s">
        <v>45180</v>
      </c>
      <c r="G14674" s="2" t="str">
        <f>HYPERLINK("https://probpalata.gov.ru/files/ИП630601077400001.jpeg","Скачать индивидуальный QR-код магазина")</f>
        <v>Скачать индивидуальный QR-код магазина</v>
      </c>
    </row>
    <row r="14675" spans="1:7" x14ac:dyDescent="0.25">
      <c r="A14675" t="s">
        <v>45139</v>
      </c>
      <c r="B14675" t="s">
        <v>45181</v>
      </c>
      <c r="C14675" t="s">
        <v>2171</v>
      </c>
      <c r="D14675" t="s">
        <v>2172</v>
      </c>
      <c r="E14675" t="s">
        <v>2173</v>
      </c>
      <c r="F14675" t="s">
        <v>45182</v>
      </c>
      <c r="G14675" s="2" t="str">
        <f>HYPERLINK("https://probpalata.gov.ru/files/ЮЛ500100602500029.jpeg","Скачать индивидуальный QR-код магазина")</f>
        <v>Скачать индивидуальный QR-код магазина</v>
      </c>
    </row>
    <row r="14676" spans="1:7" x14ac:dyDescent="0.25">
      <c r="A14676" t="s">
        <v>45139</v>
      </c>
      <c r="B14676" t="s">
        <v>45183</v>
      </c>
      <c r="C14676" t="s">
        <v>2171</v>
      </c>
      <c r="D14676" t="s">
        <v>2172</v>
      </c>
      <c r="E14676" t="s">
        <v>2173</v>
      </c>
      <c r="F14676" t="s">
        <v>45184</v>
      </c>
      <c r="G14676" s="2" t="str">
        <f>HYPERLINK("https://probpalata.gov.ru/files/ЮЛ500100602500052.jpeg","Скачать индивидуальный QR-код магазина")</f>
        <v>Скачать индивидуальный QR-код магазина</v>
      </c>
    </row>
    <row r="14677" spans="1:7" x14ac:dyDescent="0.25">
      <c r="A14677" t="s">
        <v>45139</v>
      </c>
      <c r="B14677" t="s">
        <v>45185</v>
      </c>
      <c r="C14677" t="s">
        <v>2171</v>
      </c>
      <c r="D14677" t="s">
        <v>2172</v>
      </c>
      <c r="E14677" t="s">
        <v>2173</v>
      </c>
      <c r="F14677" t="s">
        <v>45186</v>
      </c>
      <c r="G14677" s="2" t="str">
        <f>HYPERLINK("https://probpalata.gov.ru/files/ЮЛ500100602500056.jpeg","Скачать индивидуальный QR-код магазина")</f>
        <v>Скачать индивидуальный QR-код магазина</v>
      </c>
    </row>
    <row r="14678" spans="1:7" x14ac:dyDescent="0.25">
      <c r="A14678" t="s">
        <v>45139</v>
      </c>
      <c r="B14678" t="s">
        <v>45187</v>
      </c>
      <c r="C14678" t="s">
        <v>5067</v>
      </c>
      <c r="D14678" t="s">
        <v>5068</v>
      </c>
      <c r="E14678" t="s">
        <v>5069</v>
      </c>
      <c r="F14678" t="s">
        <v>45188</v>
      </c>
      <c r="G14678" s="2" t="str">
        <f>HYPERLINK("https://probpalata.gov.ru/files/ИП350300596400002.jpeg","Скачать индивидуальный QR-код магазина")</f>
        <v>Скачать индивидуальный QR-код магазина</v>
      </c>
    </row>
    <row r="14679" spans="1:7" x14ac:dyDescent="0.25">
      <c r="A14679" t="s">
        <v>45139</v>
      </c>
      <c r="B14679" t="s">
        <v>45189</v>
      </c>
      <c r="C14679" t="s">
        <v>5067</v>
      </c>
      <c r="D14679" t="s">
        <v>5068</v>
      </c>
      <c r="E14679" t="s">
        <v>5069</v>
      </c>
      <c r="F14679" t="s">
        <v>45190</v>
      </c>
      <c r="G14679" s="2" t="str">
        <f>HYPERLINK("https://probpalata.gov.ru/files/ИП350300596400003.jpeg","Скачать индивидуальный QR-код магазина")</f>
        <v>Скачать индивидуальный QR-код магазина</v>
      </c>
    </row>
    <row r="14680" spans="1:7" x14ac:dyDescent="0.25">
      <c r="A14680" t="s">
        <v>45139</v>
      </c>
      <c r="B14680" t="s">
        <v>45191</v>
      </c>
      <c r="C14680" t="s">
        <v>5067</v>
      </c>
      <c r="D14680" t="s">
        <v>5068</v>
      </c>
      <c r="E14680" t="s">
        <v>5069</v>
      </c>
      <c r="F14680" t="s">
        <v>45192</v>
      </c>
      <c r="G14680" s="2" t="str">
        <f>HYPERLINK("https://probpalata.gov.ru/files/ИП350300596400020.jpeg","Скачать индивидуальный QR-код магазина")</f>
        <v>Скачать индивидуальный QR-код магазина</v>
      </c>
    </row>
    <row r="14681" spans="1:7" x14ac:dyDescent="0.25">
      <c r="A14681" t="s">
        <v>45139</v>
      </c>
      <c r="B14681" t="s">
        <v>45193</v>
      </c>
      <c r="C14681" t="s">
        <v>5067</v>
      </c>
      <c r="D14681" t="s">
        <v>5068</v>
      </c>
      <c r="E14681" t="s">
        <v>5069</v>
      </c>
      <c r="F14681" t="s">
        <v>45194</v>
      </c>
      <c r="G14681" s="2" t="str">
        <f>HYPERLINK("https://probpalata.gov.ru/files/ИП350300596400021.jpeg","Скачать индивидуальный QR-код магазина")</f>
        <v>Скачать индивидуальный QR-код магазина</v>
      </c>
    </row>
    <row r="14682" spans="1:7" x14ac:dyDescent="0.25">
      <c r="A14682" t="s">
        <v>45139</v>
      </c>
      <c r="B14682" t="s">
        <v>45195</v>
      </c>
      <c r="C14682" t="s">
        <v>5067</v>
      </c>
      <c r="D14682" t="s">
        <v>5068</v>
      </c>
      <c r="E14682" t="s">
        <v>5069</v>
      </c>
      <c r="F14682" t="s">
        <v>45196</v>
      </c>
      <c r="G14682" s="2" t="str">
        <f>HYPERLINK("https://probpalata.gov.ru/files/ИП350300596400022.jpeg","Скачать индивидуальный QR-код магазина")</f>
        <v>Скачать индивидуальный QR-код магазина</v>
      </c>
    </row>
    <row r="14683" spans="1:7" x14ac:dyDescent="0.25">
      <c r="A14683" t="s">
        <v>45139</v>
      </c>
      <c r="B14683" t="s">
        <v>45197</v>
      </c>
      <c r="C14683" t="s">
        <v>5067</v>
      </c>
      <c r="D14683" t="s">
        <v>5068</v>
      </c>
      <c r="E14683" t="s">
        <v>5069</v>
      </c>
      <c r="F14683" t="s">
        <v>45198</v>
      </c>
      <c r="G14683" s="2" t="str">
        <f>HYPERLINK("https://probpalata.gov.ru/files/ИП350300596400023.jpeg","Скачать индивидуальный QR-код магазина")</f>
        <v>Скачать индивидуальный QR-код магазина</v>
      </c>
    </row>
    <row r="14684" spans="1:7" x14ac:dyDescent="0.25">
      <c r="A14684" t="s">
        <v>45139</v>
      </c>
      <c r="B14684" t="s">
        <v>45199</v>
      </c>
      <c r="C14684" t="s">
        <v>5067</v>
      </c>
      <c r="D14684" t="s">
        <v>5068</v>
      </c>
      <c r="E14684" t="s">
        <v>5069</v>
      </c>
      <c r="F14684" t="s">
        <v>45200</v>
      </c>
      <c r="G14684" s="2" t="str">
        <f>HYPERLINK("https://probpalata.gov.ru/files/ИП350300596400028.jpeg","Скачать индивидуальный QR-код магазина")</f>
        <v>Скачать индивидуальный QR-код магазина</v>
      </c>
    </row>
    <row r="14685" spans="1:7" x14ac:dyDescent="0.25">
      <c r="A14685" t="s">
        <v>45139</v>
      </c>
      <c r="B14685" t="s">
        <v>45201</v>
      </c>
      <c r="C14685" t="s">
        <v>5067</v>
      </c>
      <c r="D14685" t="s">
        <v>5068</v>
      </c>
      <c r="E14685" t="s">
        <v>5069</v>
      </c>
      <c r="F14685" t="s">
        <v>45202</v>
      </c>
      <c r="G14685" s="2" t="str">
        <f>HYPERLINK("https://probpalata.gov.ru/files/ИП350300596400042.jpeg","Скачать индивидуальный QR-код магазина")</f>
        <v>Скачать индивидуальный QR-код магазина</v>
      </c>
    </row>
    <row r="14686" spans="1:7" x14ac:dyDescent="0.25">
      <c r="A14686" t="s">
        <v>45139</v>
      </c>
      <c r="B14686" t="s">
        <v>45203</v>
      </c>
      <c r="C14686" t="s">
        <v>45204</v>
      </c>
      <c r="D14686" t="s">
        <v>45205</v>
      </c>
      <c r="E14686" t="s">
        <v>45206</v>
      </c>
      <c r="F14686" t="s">
        <v>45207</v>
      </c>
      <c r="G14686" s="2" t="str">
        <f>HYPERLINK("https://probpalata.gov.ru/files/ИП630603974300000.jpeg","Скачать индивидуальный QR-код магазина")</f>
        <v>Скачать индивидуальный QR-код магазина</v>
      </c>
    </row>
    <row r="14687" spans="1:7" x14ac:dyDescent="0.25">
      <c r="A14687" t="s">
        <v>45139</v>
      </c>
      <c r="B14687" t="s">
        <v>45208</v>
      </c>
      <c r="C14687" t="s">
        <v>2185</v>
      </c>
      <c r="D14687" t="s">
        <v>2186</v>
      </c>
      <c r="E14687" t="s">
        <v>2187</v>
      </c>
      <c r="F14687" t="s">
        <v>45209</v>
      </c>
      <c r="G14687" s="2" t="str">
        <f>HYPERLINK("https://probpalata.gov.ru/files/ЮЛ480100215000010.jpeg","Скачать индивидуальный QR-код магазина")</f>
        <v>Скачать индивидуальный QR-код магазина</v>
      </c>
    </row>
    <row r="14688" spans="1:7" x14ac:dyDescent="0.25">
      <c r="A14688" t="s">
        <v>45139</v>
      </c>
      <c r="B14688" t="s">
        <v>45210</v>
      </c>
      <c r="C14688" t="s">
        <v>671</v>
      </c>
      <c r="D14688" t="s">
        <v>672</v>
      </c>
      <c r="E14688" t="s">
        <v>673</v>
      </c>
      <c r="F14688" t="s">
        <v>45211</v>
      </c>
      <c r="G14688" s="2" t="str">
        <f>HYPERLINK("https://probpalata.gov.ru/files/ИП500100445500067.jpeg","Скачать индивидуальный QR-код магазина")</f>
        <v>Скачать индивидуальный QR-код магазина</v>
      </c>
    </row>
    <row r="14689" spans="1:7" x14ac:dyDescent="0.25">
      <c r="A14689" t="s">
        <v>45139</v>
      </c>
      <c r="B14689" t="s">
        <v>45212</v>
      </c>
      <c r="C14689" t="s">
        <v>671</v>
      </c>
      <c r="D14689" t="s">
        <v>672</v>
      </c>
      <c r="E14689" t="s">
        <v>673</v>
      </c>
      <c r="F14689" t="s">
        <v>45213</v>
      </c>
      <c r="G14689" s="2" t="str">
        <f>HYPERLINK("https://probpalata.gov.ru/files/ИП500100445500071.jpeg","Скачать индивидуальный QR-код магазина")</f>
        <v>Скачать индивидуальный QR-код магазина</v>
      </c>
    </row>
    <row r="14690" spans="1:7" x14ac:dyDescent="0.25">
      <c r="A14690" t="s">
        <v>45139</v>
      </c>
      <c r="B14690" t="s">
        <v>45214</v>
      </c>
      <c r="C14690" t="s">
        <v>671</v>
      </c>
      <c r="D14690" t="s">
        <v>672</v>
      </c>
      <c r="E14690" t="s">
        <v>673</v>
      </c>
      <c r="F14690" t="s">
        <v>45215</v>
      </c>
      <c r="G14690" s="2" t="str">
        <f>HYPERLINK("https://probpalata.gov.ru/files/ИП500100445500073.jpeg","Скачать индивидуальный QR-код магазина")</f>
        <v>Скачать индивидуальный QR-код магазина</v>
      </c>
    </row>
    <row r="14691" spans="1:7" x14ac:dyDescent="0.25">
      <c r="A14691" t="s">
        <v>45139</v>
      </c>
      <c r="B14691" t="s">
        <v>45216</v>
      </c>
      <c r="C14691" t="s">
        <v>671</v>
      </c>
      <c r="D14691" t="s">
        <v>672</v>
      </c>
      <c r="E14691" t="s">
        <v>673</v>
      </c>
      <c r="F14691" t="s">
        <v>45217</v>
      </c>
      <c r="G14691" s="2" t="str">
        <f>HYPERLINK("https://probpalata.gov.ru/files/ИП500100445500083.jpeg","Скачать индивидуальный QR-код магазина")</f>
        <v>Скачать индивидуальный QR-код магазина</v>
      </c>
    </row>
    <row r="14692" spans="1:7" x14ac:dyDescent="0.25">
      <c r="A14692" t="s">
        <v>45139</v>
      </c>
      <c r="B14692" t="s">
        <v>45218</v>
      </c>
      <c r="C14692" t="s">
        <v>671</v>
      </c>
      <c r="D14692" t="s">
        <v>672</v>
      </c>
      <c r="E14692" t="s">
        <v>673</v>
      </c>
      <c r="F14692" t="s">
        <v>45219</v>
      </c>
      <c r="G14692" s="2" t="str">
        <f>HYPERLINK("https://probpalata.gov.ru/files/ИП500100445500093.jpeg","Скачать индивидуальный QR-код магазина")</f>
        <v>Скачать индивидуальный QR-код магазина</v>
      </c>
    </row>
    <row r="14693" spans="1:7" x14ac:dyDescent="0.25">
      <c r="A14693" t="s">
        <v>45139</v>
      </c>
      <c r="B14693" t="s">
        <v>45220</v>
      </c>
      <c r="C14693" t="s">
        <v>10732</v>
      </c>
      <c r="D14693" t="s">
        <v>10733</v>
      </c>
      <c r="E14693" t="s">
        <v>10734</v>
      </c>
      <c r="F14693" t="s">
        <v>45221</v>
      </c>
      <c r="G14693" s="2" t="str">
        <f>HYPERLINK("https://probpalata.gov.ru/files/ИП440200426400023.jpeg","Скачать индивидуальный QR-код магазина")</f>
        <v>Скачать индивидуальный QR-код магазина</v>
      </c>
    </row>
    <row r="14694" spans="1:7" x14ac:dyDescent="0.25">
      <c r="A14694" t="s">
        <v>45139</v>
      </c>
      <c r="B14694" t="s">
        <v>45222</v>
      </c>
      <c r="C14694" t="s">
        <v>10732</v>
      </c>
      <c r="D14694" t="s">
        <v>10733</v>
      </c>
      <c r="E14694" t="s">
        <v>10734</v>
      </c>
      <c r="F14694" t="s">
        <v>45223</v>
      </c>
      <c r="G14694" s="2" t="str">
        <f>HYPERLINK("https://probpalata.gov.ru/files/ИП440200426400030.jpeg","Скачать индивидуальный QR-код магазина")</f>
        <v>Скачать индивидуальный QR-код магазина</v>
      </c>
    </row>
    <row r="14695" spans="1:7" x14ac:dyDescent="0.25">
      <c r="A14695" t="s">
        <v>45139</v>
      </c>
      <c r="B14695" t="s">
        <v>45174</v>
      </c>
      <c r="C14695" t="s">
        <v>10732</v>
      </c>
      <c r="D14695" t="s">
        <v>10733</v>
      </c>
      <c r="E14695" t="s">
        <v>10734</v>
      </c>
      <c r="F14695" t="s">
        <v>45224</v>
      </c>
      <c r="G14695" s="2" t="str">
        <f>HYPERLINK("https://probpalata.gov.ru/files/ИП440200426400032.jpeg","Скачать индивидуальный QR-код магазина")</f>
        <v>Скачать индивидуальный QR-код магазина</v>
      </c>
    </row>
    <row r="14696" spans="1:7" x14ac:dyDescent="0.25">
      <c r="A14696" t="s">
        <v>45139</v>
      </c>
      <c r="B14696" t="s">
        <v>45216</v>
      </c>
      <c r="C14696" t="s">
        <v>10732</v>
      </c>
      <c r="D14696" t="s">
        <v>10733</v>
      </c>
      <c r="E14696" t="s">
        <v>10734</v>
      </c>
      <c r="F14696" t="s">
        <v>45225</v>
      </c>
      <c r="G14696" s="2" t="str">
        <f>HYPERLINK("https://probpalata.gov.ru/files/ИП440200426400034.jpeg","Скачать индивидуальный QR-код магазина")</f>
        <v>Скачать индивидуальный QR-код магазина</v>
      </c>
    </row>
    <row r="14697" spans="1:7" x14ac:dyDescent="0.25">
      <c r="A14697" t="s">
        <v>45139</v>
      </c>
      <c r="B14697" t="s">
        <v>45226</v>
      </c>
      <c r="C14697" t="s">
        <v>30597</v>
      </c>
      <c r="D14697" t="s">
        <v>30598</v>
      </c>
      <c r="E14697" t="s">
        <v>30599</v>
      </c>
      <c r="F14697" t="s">
        <v>45227</v>
      </c>
      <c r="G14697" s="2" t="str">
        <f>HYPERLINK("https://probpalata.gov.ru/files/ИП520603280500004.jpeg","Скачать индивидуальный QR-код магазина")</f>
        <v>Скачать индивидуальный QR-код магазина</v>
      </c>
    </row>
    <row r="14698" spans="1:7" x14ac:dyDescent="0.25">
      <c r="A14698" t="s">
        <v>45139</v>
      </c>
      <c r="B14698" t="s">
        <v>45228</v>
      </c>
      <c r="C14698" t="s">
        <v>681</v>
      </c>
      <c r="D14698" t="s">
        <v>682</v>
      </c>
      <c r="E14698" t="s">
        <v>683</v>
      </c>
      <c r="F14698" t="s">
        <v>45229</v>
      </c>
      <c r="G14698" s="2" t="str">
        <f>HYPERLINK("https://probpalata.gov.ru/files/ИП520600807800023.jpeg","Скачать индивидуальный QR-код магазина")</f>
        <v>Скачать индивидуальный QR-код магазина</v>
      </c>
    </row>
    <row r="14699" spans="1:7" x14ac:dyDescent="0.25">
      <c r="A14699" t="s">
        <v>45139</v>
      </c>
      <c r="B14699" t="s">
        <v>45230</v>
      </c>
      <c r="C14699" t="s">
        <v>681</v>
      </c>
      <c r="D14699" t="s">
        <v>682</v>
      </c>
      <c r="E14699" t="s">
        <v>683</v>
      </c>
      <c r="F14699" t="s">
        <v>45231</v>
      </c>
      <c r="G14699" s="2" t="str">
        <f>HYPERLINK("https://probpalata.gov.ru/files/ИП520600807800035.jpeg","Скачать индивидуальный QR-код магазина")</f>
        <v>Скачать индивидуальный QR-код магазина</v>
      </c>
    </row>
    <row r="14700" spans="1:7" x14ac:dyDescent="0.25">
      <c r="A14700" t="s">
        <v>45139</v>
      </c>
      <c r="B14700" t="s">
        <v>45232</v>
      </c>
      <c r="C14700" t="s">
        <v>45233</v>
      </c>
      <c r="D14700" t="s">
        <v>45234</v>
      </c>
      <c r="E14700" t="s">
        <v>45235</v>
      </c>
      <c r="F14700" t="s">
        <v>45236</v>
      </c>
      <c r="G14700" s="2" t="str">
        <f>HYPERLINK("https://probpalata.gov.ru/files/ИП520600132900000.jpeg","Скачать индивидуальный QR-код магазина")</f>
        <v>Скачать индивидуальный QR-код магазина</v>
      </c>
    </row>
    <row r="14701" spans="1:7" x14ac:dyDescent="0.25">
      <c r="A14701" t="s">
        <v>45139</v>
      </c>
      <c r="B14701" t="s">
        <v>45237</v>
      </c>
      <c r="C14701" t="s">
        <v>1735</v>
      </c>
      <c r="D14701" t="s">
        <v>1736</v>
      </c>
      <c r="E14701" t="s">
        <v>1737</v>
      </c>
      <c r="F14701" t="s">
        <v>45238</v>
      </c>
      <c r="G14701" s="2" t="str">
        <f>HYPERLINK("https://probpalata.gov.ru/files/ЮЛ520603376600116.jpeg","Скачать индивидуальный QR-код магазина")</f>
        <v>Скачать индивидуальный QR-код магазина</v>
      </c>
    </row>
    <row r="14702" spans="1:7" x14ac:dyDescent="0.25">
      <c r="A14702" t="s">
        <v>45139</v>
      </c>
      <c r="B14702" t="s">
        <v>45239</v>
      </c>
      <c r="C14702" t="s">
        <v>1735</v>
      </c>
      <c r="D14702" t="s">
        <v>1736</v>
      </c>
      <c r="E14702" t="s">
        <v>1737</v>
      </c>
      <c r="F14702" t="s">
        <v>45240</v>
      </c>
      <c r="G14702" s="2" t="str">
        <f>HYPERLINK("https://probpalata.gov.ru/files/ЮЛ520603376600164.jpeg","Скачать индивидуальный QR-код магазина")</f>
        <v>Скачать индивидуальный QR-код магазина</v>
      </c>
    </row>
    <row r="14703" spans="1:7" x14ac:dyDescent="0.25">
      <c r="A14703" t="s">
        <v>45139</v>
      </c>
      <c r="B14703" t="s">
        <v>45216</v>
      </c>
      <c r="C14703" t="s">
        <v>3116</v>
      </c>
      <c r="D14703" t="s">
        <v>3117</v>
      </c>
      <c r="E14703" t="s">
        <v>3118</v>
      </c>
      <c r="F14703" t="s">
        <v>45241</v>
      </c>
      <c r="G14703" s="2" t="str">
        <f>HYPERLINK("https://probpalata.gov.ru/files/ИП520601790200057.jpeg","Скачать индивидуальный QR-код магазина")</f>
        <v>Скачать индивидуальный QR-код магазина</v>
      </c>
    </row>
    <row r="14704" spans="1:7" x14ac:dyDescent="0.25">
      <c r="A14704" t="s">
        <v>45139</v>
      </c>
      <c r="B14704" t="s">
        <v>45242</v>
      </c>
      <c r="C14704" t="s">
        <v>45243</v>
      </c>
      <c r="D14704" t="s">
        <v>45244</v>
      </c>
      <c r="E14704" t="s">
        <v>45245</v>
      </c>
      <c r="F14704" t="s">
        <v>45246</v>
      </c>
      <c r="G14704" s="2" t="str">
        <f>HYPERLINK("https://probpalata.gov.ru/files/ИП630601766800000.jpeg","Скачать индивидуальный QR-код магазина")</f>
        <v>Скачать индивидуальный QR-код магазина</v>
      </c>
    </row>
    <row r="14705" spans="1:7" x14ac:dyDescent="0.25">
      <c r="A14705" t="s">
        <v>45139</v>
      </c>
      <c r="B14705" t="s">
        <v>45247</v>
      </c>
      <c r="C14705" t="s">
        <v>42422</v>
      </c>
      <c r="D14705" t="s">
        <v>42423</v>
      </c>
      <c r="E14705" t="s">
        <v>42424</v>
      </c>
      <c r="F14705" t="s">
        <v>45248</v>
      </c>
      <c r="G14705" s="2" t="str">
        <f>HYPERLINK("https://probpalata.gov.ru/files/ИП630601115500000.jpeg","Скачать индивидуальный QR-код магазина")</f>
        <v>Скачать индивидуальный QR-код магазина</v>
      </c>
    </row>
    <row r="14706" spans="1:7" x14ac:dyDescent="0.25">
      <c r="A14706" t="s">
        <v>45139</v>
      </c>
      <c r="B14706" t="s">
        <v>45249</v>
      </c>
      <c r="C14706" t="s">
        <v>42422</v>
      </c>
      <c r="D14706" t="s">
        <v>42423</v>
      </c>
      <c r="E14706" t="s">
        <v>42424</v>
      </c>
      <c r="F14706" t="s">
        <v>45250</v>
      </c>
      <c r="G14706" s="2" t="str">
        <f>HYPERLINK("https://probpalata.gov.ru/files/ИП630601115500003.jpeg","Скачать индивидуальный QR-код магазина")</f>
        <v>Скачать индивидуальный QR-код магазина</v>
      </c>
    </row>
    <row r="14707" spans="1:7" x14ac:dyDescent="0.25">
      <c r="A14707" t="s">
        <v>45139</v>
      </c>
      <c r="B14707" t="s">
        <v>45251</v>
      </c>
      <c r="C14707" t="s">
        <v>45252</v>
      </c>
      <c r="D14707" t="s">
        <v>45253</v>
      </c>
      <c r="E14707" t="s">
        <v>45254</v>
      </c>
      <c r="F14707" t="s">
        <v>45255</v>
      </c>
      <c r="G14707" s="2" t="str">
        <f>HYPERLINK("https://probpalata.gov.ru/files/ИП630600230700000.jpeg","Скачать индивидуальный QR-код магазина")</f>
        <v>Скачать индивидуальный QR-код магазина</v>
      </c>
    </row>
    <row r="14708" spans="1:7" x14ac:dyDescent="0.25">
      <c r="A14708" t="s">
        <v>45139</v>
      </c>
      <c r="B14708" t="s">
        <v>45256</v>
      </c>
      <c r="C14708" t="s">
        <v>45257</v>
      </c>
      <c r="D14708" t="s">
        <v>45258</v>
      </c>
      <c r="E14708" t="s">
        <v>45259</v>
      </c>
      <c r="F14708" t="s">
        <v>45260</v>
      </c>
      <c r="G14708" s="2" t="str">
        <f>HYPERLINK("https://probpalata.gov.ru/files/ИП630603133200000.jpeg","Скачать индивидуальный QR-код магазина")</f>
        <v>Скачать индивидуальный QR-код магазина</v>
      </c>
    </row>
    <row r="14709" spans="1:7" x14ac:dyDescent="0.25">
      <c r="A14709" t="s">
        <v>45139</v>
      </c>
      <c r="B14709" t="s">
        <v>45261</v>
      </c>
      <c r="C14709" t="s">
        <v>45262</v>
      </c>
      <c r="D14709" t="s">
        <v>45263</v>
      </c>
      <c r="E14709" t="s">
        <v>45264</v>
      </c>
      <c r="F14709" t="s">
        <v>45265</v>
      </c>
      <c r="G14709" s="2" t="str">
        <f>HYPERLINK("https://probpalata.gov.ru/files/ИП630603497100000.jpeg","Скачать индивидуальный QR-код магазина")</f>
        <v>Скачать индивидуальный QR-код магазина</v>
      </c>
    </row>
    <row r="14710" spans="1:7" x14ac:dyDescent="0.25">
      <c r="A14710" t="s">
        <v>45139</v>
      </c>
      <c r="B14710" t="s">
        <v>45266</v>
      </c>
      <c r="C14710" t="s">
        <v>45262</v>
      </c>
      <c r="D14710" t="s">
        <v>45263</v>
      </c>
      <c r="E14710" t="s">
        <v>45264</v>
      </c>
      <c r="F14710" t="s">
        <v>45267</v>
      </c>
      <c r="G14710" s="2" t="str">
        <f>HYPERLINK("https://probpalata.gov.ru/files/ИП630603497100001.jpeg","Скачать индивидуальный QR-код магазина")</f>
        <v>Скачать индивидуальный QR-код магазина</v>
      </c>
    </row>
    <row r="14711" spans="1:7" x14ac:dyDescent="0.25">
      <c r="A14711" t="s">
        <v>45139</v>
      </c>
      <c r="B14711" t="s">
        <v>45268</v>
      </c>
      <c r="C14711" t="s">
        <v>45262</v>
      </c>
      <c r="D14711" t="s">
        <v>45263</v>
      </c>
      <c r="E14711" t="s">
        <v>45264</v>
      </c>
      <c r="F14711" t="s">
        <v>45269</v>
      </c>
      <c r="G14711" s="2" t="str">
        <f>HYPERLINK("https://probpalata.gov.ru/files/ИП630603497100002.jpeg","Скачать индивидуальный QR-код магазина")</f>
        <v>Скачать индивидуальный QR-код магазина</v>
      </c>
    </row>
    <row r="14712" spans="1:7" x14ac:dyDescent="0.25">
      <c r="A14712" t="s">
        <v>45139</v>
      </c>
      <c r="B14712" t="s">
        <v>45270</v>
      </c>
      <c r="C14712" t="s">
        <v>45271</v>
      </c>
      <c r="D14712" t="s">
        <v>45272</v>
      </c>
      <c r="E14712" t="s">
        <v>45273</v>
      </c>
      <c r="F14712" t="s">
        <v>45274</v>
      </c>
      <c r="G14712" s="2" t="str">
        <f>HYPERLINK("https://probpalata.gov.ru/files/ИП630600862300000.jpeg","Скачать индивидуальный QR-код магазина")</f>
        <v>Скачать индивидуальный QR-код магазина</v>
      </c>
    </row>
    <row r="14713" spans="1:7" x14ac:dyDescent="0.25">
      <c r="A14713" t="s">
        <v>45139</v>
      </c>
      <c r="B14713" t="s">
        <v>45275</v>
      </c>
      <c r="C14713" t="s">
        <v>45276</v>
      </c>
      <c r="D14713" t="s">
        <v>45277</v>
      </c>
      <c r="E14713" t="s">
        <v>45278</v>
      </c>
      <c r="F14713" t="s">
        <v>45279</v>
      </c>
      <c r="G14713" s="2" t="str">
        <f>HYPERLINK("https://probpalata.gov.ru/files/ИП630603196900000.jpeg","Скачать индивидуальный QR-код магазина")</f>
        <v>Скачать индивидуальный QR-код магазина</v>
      </c>
    </row>
    <row r="14714" spans="1:7" x14ac:dyDescent="0.25">
      <c r="A14714" t="s">
        <v>45139</v>
      </c>
      <c r="B14714" t="s">
        <v>45280</v>
      </c>
      <c r="C14714" t="s">
        <v>45281</v>
      </c>
      <c r="D14714" t="s">
        <v>45282</v>
      </c>
      <c r="E14714" t="s">
        <v>45283</v>
      </c>
      <c r="F14714" t="s">
        <v>45284</v>
      </c>
      <c r="G14714" s="2" t="str">
        <f>HYPERLINK("https://probpalata.gov.ru/files/ЮЛ630600545000000.jpeg","Скачать индивидуальный QR-код магазина")</f>
        <v>Скачать индивидуальный QR-код магазина</v>
      </c>
    </row>
    <row r="14715" spans="1:7" x14ac:dyDescent="0.25">
      <c r="A14715" t="s">
        <v>45139</v>
      </c>
      <c r="B14715" t="s">
        <v>45285</v>
      </c>
      <c r="C14715" t="s">
        <v>45286</v>
      </c>
      <c r="D14715" t="s">
        <v>45287</v>
      </c>
      <c r="E14715" t="s">
        <v>45288</v>
      </c>
      <c r="F14715" t="s">
        <v>45289</v>
      </c>
      <c r="G14715" s="2" t="str">
        <f>HYPERLINK("https://probpalata.gov.ru/files/ЮЛ630601793500000.jpeg","Скачать индивидуальный QR-код магазина")</f>
        <v>Скачать индивидуальный QR-код магазина</v>
      </c>
    </row>
    <row r="14716" spans="1:7" x14ac:dyDescent="0.25">
      <c r="A14716" t="s">
        <v>45139</v>
      </c>
      <c r="B14716" t="s">
        <v>45290</v>
      </c>
      <c r="C14716" t="s">
        <v>45291</v>
      </c>
      <c r="D14716" t="s">
        <v>45292</v>
      </c>
      <c r="E14716" t="s">
        <v>45293</v>
      </c>
      <c r="F14716" t="s">
        <v>45294</v>
      </c>
      <c r="G14716" s="2" t="str">
        <f>HYPERLINK("https://probpalata.gov.ru/files/ЮЛ630603382700000.jpeg","Скачать индивидуальный QR-код магазина")</f>
        <v>Скачать индивидуальный QR-код магазина</v>
      </c>
    </row>
    <row r="14717" spans="1:7" x14ac:dyDescent="0.25">
      <c r="A14717" t="s">
        <v>45139</v>
      </c>
      <c r="B14717" t="s">
        <v>45295</v>
      </c>
      <c r="C14717" t="s">
        <v>45296</v>
      </c>
      <c r="D14717" t="s">
        <v>45297</v>
      </c>
      <c r="E14717" t="s">
        <v>45298</v>
      </c>
      <c r="F14717" t="s">
        <v>45299</v>
      </c>
      <c r="G14717" s="2" t="str">
        <f>HYPERLINK("https://probpalata.gov.ru/files/ИП630601165900000.jpeg","Скачать индивидуальный QR-код магазина")</f>
        <v>Скачать индивидуальный QR-код магазина</v>
      </c>
    </row>
    <row r="14718" spans="1:7" x14ac:dyDescent="0.25">
      <c r="A14718" t="s">
        <v>45139</v>
      </c>
      <c r="B14718" t="s">
        <v>45300</v>
      </c>
      <c r="C14718" t="s">
        <v>45301</v>
      </c>
      <c r="D14718" t="s">
        <v>45302</v>
      </c>
      <c r="E14718" t="s">
        <v>45303</v>
      </c>
      <c r="F14718" t="s">
        <v>45304</v>
      </c>
      <c r="G14718" s="2" t="str">
        <f>HYPERLINK("https://probpalata.gov.ru/files/ЮЛ630603494500017.jpeg","Скачать индивидуальный QR-код магазина")</f>
        <v>Скачать индивидуальный QR-код магазина</v>
      </c>
    </row>
    <row r="14719" spans="1:7" x14ac:dyDescent="0.25">
      <c r="A14719" t="s">
        <v>45139</v>
      </c>
      <c r="B14719" t="s">
        <v>45305</v>
      </c>
      <c r="C14719" t="s">
        <v>45306</v>
      </c>
      <c r="D14719" t="s">
        <v>45307</v>
      </c>
      <c r="E14719" t="s">
        <v>45308</v>
      </c>
      <c r="F14719" t="s">
        <v>45309</v>
      </c>
      <c r="G14719" s="2" t="str">
        <f>HYPERLINK("https://probpalata.gov.ru/files/ИП630603905200000.jpeg","Скачать индивидуальный QR-код магазина")</f>
        <v>Скачать индивидуальный QR-код магазина</v>
      </c>
    </row>
    <row r="14720" spans="1:7" x14ac:dyDescent="0.25">
      <c r="A14720" t="s">
        <v>45139</v>
      </c>
      <c r="B14720" t="s">
        <v>45310</v>
      </c>
      <c r="C14720" t="s">
        <v>45311</v>
      </c>
      <c r="D14720" t="s">
        <v>45312</v>
      </c>
      <c r="E14720" t="s">
        <v>45313</v>
      </c>
      <c r="F14720" t="s">
        <v>45314</v>
      </c>
      <c r="G14720" s="2" t="str">
        <f>HYPERLINK("https://probpalata.gov.ru/files/ИП630604107000000.jpeg","Скачать индивидуальный QR-код магазина")</f>
        <v>Скачать индивидуальный QR-код магазина</v>
      </c>
    </row>
    <row r="14721" spans="1:7" x14ac:dyDescent="0.25">
      <c r="A14721" t="s">
        <v>45139</v>
      </c>
      <c r="B14721" t="s">
        <v>45261</v>
      </c>
      <c r="C14721" t="s">
        <v>20559</v>
      </c>
      <c r="D14721" t="s">
        <v>20560</v>
      </c>
      <c r="E14721" t="s">
        <v>20561</v>
      </c>
      <c r="F14721" t="s">
        <v>45315</v>
      </c>
      <c r="G14721" s="2" t="str">
        <f>HYPERLINK("https://probpalata.gov.ru/files/ИП630600994200000.jpeg","Скачать индивидуальный QR-код магазина")</f>
        <v>Скачать индивидуальный QR-код магазина</v>
      </c>
    </row>
    <row r="14722" spans="1:7" x14ac:dyDescent="0.25">
      <c r="A14722" t="s">
        <v>45139</v>
      </c>
      <c r="B14722" t="s">
        <v>45316</v>
      </c>
      <c r="C14722" t="s">
        <v>45317</v>
      </c>
      <c r="D14722" t="s">
        <v>45318</v>
      </c>
      <c r="E14722" t="s">
        <v>45319</v>
      </c>
      <c r="F14722" t="s">
        <v>45320</v>
      </c>
      <c r="G14722" s="2" t="str">
        <f>HYPERLINK("https://probpalata.gov.ru/files/ИП630603346200000.jpeg","Скачать индивидуальный QR-код магазина")</f>
        <v>Скачать индивидуальный QR-код магазина</v>
      </c>
    </row>
    <row r="14723" spans="1:7" x14ac:dyDescent="0.25">
      <c r="A14723" t="s">
        <v>45139</v>
      </c>
      <c r="B14723" t="s">
        <v>45321</v>
      </c>
      <c r="C14723" t="s">
        <v>45322</v>
      </c>
      <c r="D14723" t="s">
        <v>45323</v>
      </c>
      <c r="E14723" t="s">
        <v>45324</v>
      </c>
      <c r="F14723" t="s">
        <v>45325</v>
      </c>
      <c r="G14723" s="2" t="str">
        <f>HYPERLINK("https://probpalata.gov.ru/files/ИП630600157000000.jpeg","Скачать индивидуальный QR-код магазина")</f>
        <v>Скачать индивидуальный QR-код магазина</v>
      </c>
    </row>
    <row r="14724" spans="1:7" x14ac:dyDescent="0.25">
      <c r="A14724" t="s">
        <v>45139</v>
      </c>
      <c r="B14724" t="s">
        <v>45326</v>
      </c>
      <c r="C14724" t="s">
        <v>45327</v>
      </c>
      <c r="D14724" t="s">
        <v>45328</v>
      </c>
      <c r="E14724" t="s">
        <v>45329</v>
      </c>
      <c r="F14724" t="s">
        <v>45330</v>
      </c>
      <c r="G14724" s="2" t="str">
        <f>HYPERLINK("https://probpalata.gov.ru/files/ИП630600069300000.jpeg","Скачать индивидуальный QR-код магазина")</f>
        <v>Скачать индивидуальный QR-код магазина</v>
      </c>
    </row>
    <row r="14725" spans="1:7" x14ac:dyDescent="0.25">
      <c r="A14725" t="s">
        <v>45139</v>
      </c>
      <c r="B14725" t="s">
        <v>45331</v>
      </c>
      <c r="C14725" t="s">
        <v>45332</v>
      </c>
      <c r="D14725" t="s">
        <v>45333</v>
      </c>
      <c r="E14725" t="s">
        <v>45334</v>
      </c>
      <c r="F14725" t="s">
        <v>45335</v>
      </c>
      <c r="G14725" s="2" t="str">
        <f>HYPERLINK("https://probpalata.gov.ru/files/ИП630600218600000.jpeg","Скачать индивидуальный QR-код магазина")</f>
        <v>Скачать индивидуальный QR-код магазина</v>
      </c>
    </row>
    <row r="14726" spans="1:7" x14ac:dyDescent="0.25">
      <c r="A14726" t="s">
        <v>45139</v>
      </c>
      <c r="B14726" t="s">
        <v>45336</v>
      </c>
      <c r="C14726" t="s">
        <v>45337</v>
      </c>
      <c r="D14726" t="s">
        <v>45338</v>
      </c>
      <c r="E14726" t="s">
        <v>45339</v>
      </c>
      <c r="F14726" t="s">
        <v>45340</v>
      </c>
      <c r="G14726" s="2" t="str">
        <f>HYPERLINK("https://probpalata.gov.ru/files/ИП630603320300000.jpeg","Скачать индивидуальный QR-код магазина")</f>
        <v>Скачать индивидуальный QR-код магазина</v>
      </c>
    </row>
    <row r="14727" spans="1:7" x14ac:dyDescent="0.25">
      <c r="A14727" t="s">
        <v>45139</v>
      </c>
      <c r="B14727" t="s">
        <v>45341</v>
      </c>
      <c r="C14727" t="s">
        <v>20568</v>
      </c>
      <c r="D14727" t="s">
        <v>20569</v>
      </c>
      <c r="E14727" t="s">
        <v>20570</v>
      </c>
      <c r="F14727" t="s">
        <v>45342</v>
      </c>
      <c r="G14727" s="2" t="str">
        <f>HYPERLINK("https://probpalata.gov.ru/files/ИП630600877000002.jpeg","Скачать индивидуальный QR-код магазина")</f>
        <v>Скачать индивидуальный QR-код магазина</v>
      </c>
    </row>
    <row r="14728" spans="1:7" x14ac:dyDescent="0.25">
      <c r="A14728" t="s">
        <v>45139</v>
      </c>
      <c r="B14728" t="s">
        <v>45174</v>
      </c>
      <c r="C14728" t="s">
        <v>45343</v>
      </c>
      <c r="D14728" t="s">
        <v>45344</v>
      </c>
      <c r="E14728" t="s">
        <v>45345</v>
      </c>
      <c r="F14728" t="s">
        <v>45346</v>
      </c>
      <c r="G14728" s="2" t="str">
        <f>HYPERLINK("https://probpalata.gov.ru/files/ИП630600921000002.jpeg","Скачать индивидуальный QR-код магазина")</f>
        <v>Скачать индивидуальный QR-код магазина</v>
      </c>
    </row>
    <row r="14729" spans="1:7" x14ac:dyDescent="0.25">
      <c r="A14729" t="s">
        <v>45139</v>
      </c>
      <c r="B14729" t="s">
        <v>45347</v>
      </c>
      <c r="C14729" t="s">
        <v>45348</v>
      </c>
      <c r="D14729" t="s">
        <v>45349</v>
      </c>
      <c r="E14729" t="s">
        <v>45350</v>
      </c>
      <c r="F14729" t="s">
        <v>45351</v>
      </c>
      <c r="G14729" s="2" t="str">
        <f>HYPERLINK("https://probpalata.gov.ru/files/ИП630600759600000.jpeg","Скачать индивидуальный QR-код магазина")</f>
        <v>Скачать индивидуальный QR-код магазина</v>
      </c>
    </row>
    <row r="14730" spans="1:7" x14ac:dyDescent="0.25">
      <c r="A14730" t="s">
        <v>45139</v>
      </c>
      <c r="B14730" t="s">
        <v>45352</v>
      </c>
      <c r="C14730" t="s">
        <v>45353</v>
      </c>
      <c r="D14730" t="s">
        <v>45354</v>
      </c>
      <c r="E14730" t="s">
        <v>45355</v>
      </c>
      <c r="F14730" t="s">
        <v>45356</v>
      </c>
      <c r="G14730" s="2" t="str">
        <f>HYPERLINK("https://probpalata.gov.ru/files/ИП630600813400000.jpeg","Скачать индивидуальный QR-код магазина")</f>
        <v>Скачать индивидуальный QR-код магазина</v>
      </c>
    </row>
    <row r="14731" spans="1:7" x14ac:dyDescent="0.25">
      <c r="A14731" t="s">
        <v>45139</v>
      </c>
      <c r="B14731" t="s">
        <v>45357</v>
      </c>
      <c r="C14731" t="s">
        <v>45358</v>
      </c>
      <c r="D14731" t="s">
        <v>45359</v>
      </c>
      <c r="E14731" t="s">
        <v>45360</v>
      </c>
      <c r="F14731" t="s">
        <v>45361</v>
      </c>
      <c r="G14731" s="2" t="str">
        <f>HYPERLINK("https://probpalata.gov.ru/files/ИП630601432000000.jpeg","Скачать индивидуальный QR-код магазина")</f>
        <v>Скачать индивидуальный QR-код магазина</v>
      </c>
    </row>
    <row r="14732" spans="1:7" x14ac:dyDescent="0.25">
      <c r="A14732" t="s">
        <v>45139</v>
      </c>
      <c r="B14732" t="s">
        <v>45362</v>
      </c>
      <c r="C14732" t="s">
        <v>45363</v>
      </c>
      <c r="D14732" t="s">
        <v>45364</v>
      </c>
      <c r="E14732" t="s">
        <v>45365</v>
      </c>
      <c r="F14732" t="s">
        <v>45366</v>
      </c>
      <c r="G14732" s="2" t="str">
        <f>HYPERLINK("https://probpalata.gov.ru/files/ИП630603483700000.jpeg","Скачать индивидуальный QR-код магазина")</f>
        <v>Скачать индивидуальный QR-код магазина</v>
      </c>
    </row>
    <row r="14733" spans="1:7" x14ac:dyDescent="0.25">
      <c r="A14733" t="s">
        <v>45139</v>
      </c>
      <c r="B14733" t="s">
        <v>45367</v>
      </c>
      <c r="C14733" t="s">
        <v>45368</v>
      </c>
      <c r="D14733" t="s">
        <v>45369</v>
      </c>
      <c r="E14733" t="s">
        <v>45370</v>
      </c>
      <c r="F14733" t="s">
        <v>45371</v>
      </c>
      <c r="G14733" s="2" t="str">
        <f>HYPERLINK("https://probpalata.gov.ru/files/ИП630600322300000.jpeg","Скачать индивидуальный QR-код магазина")</f>
        <v>Скачать индивидуальный QR-код магазина</v>
      </c>
    </row>
    <row r="14734" spans="1:7" x14ac:dyDescent="0.25">
      <c r="A14734" t="s">
        <v>45139</v>
      </c>
      <c r="B14734" t="s">
        <v>45372</v>
      </c>
      <c r="C14734" t="s">
        <v>45373</v>
      </c>
      <c r="D14734" t="s">
        <v>45374</v>
      </c>
      <c r="E14734" t="s">
        <v>45375</v>
      </c>
      <c r="F14734" t="s">
        <v>45376</v>
      </c>
      <c r="G14734" s="2" t="str">
        <f>HYPERLINK("https://probpalata.gov.ru/files/ЮЛ630600818600000.jpeg","Скачать индивидуальный QR-код магазина")</f>
        <v>Скачать индивидуальный QR-код магазина</v>
      </c>
    </row>
    <row r="14735" spans="1:7" x14ac:dyDescent="0.25">
      <c r="A14735" t="s">
        <v>45139</v>
      </c>
      <c r="B14735" t="s">
        <v>45377</v>
      </c>
      <c r="C14735" t="s">
        <v>45378</v>
      </c>
      <c r="D14735" t="s">
        <v>45379</v>
      </c>
      <c r="E14735" t="s">
        <v>45380</v>
      </c>
      <c r="F14735" t="s">
        <v>45381</v>
      </c>
      <c r="G14735" s="2" t="str">
        <f>HYPERLINK("https://probpalata.gov.ru/files/ЮЛ630600594400000.jpeg","Скачать индивидуальный QR-код магазина")</f>
        <v>Скачать индивидуальный QR-код магазина</v>
      </c>
    </row>
    <row r="14736" spans="1:7" x14ac:dyDescent="0.25">
      <c r="A14736" t="s">
        <v>45139</v>
      </c>
      <c r="B14736" t="s">
        <v>45382</v>
      </c>
      <c r="C14736" t="s">
        <v>45378</v>
      </c>
      <c r="D14736" t="s">
        <v>45379</v>
      </c>
      <c r="E14736" t="s">
        <v>45380</v>
      </c>
      <c r="F14736" t="s">
        <v>45383</v>
      </c>
      <c r="G14736" s="2" t="str">
        <f>HYPERLINK("https://probpalata.gov.ru/files/ЮЛ630600594400001.jpeg","Скачать индивидуальный QR-код магазина")</f>
        <v>Скачать индивидуальный QR-код магазина</v>
      </c>
    </row>
    <row r="14737" spans="1:7" x14ac:dyDescent="0.25">
      <c r="A14737" t="s">
        <v>45139</v>
      </c>
      <c r="B14737" t="s">
        <v>45384</v>
      </c>
      <c r="C14737" t="s">
        <v>45385</v>
      </c>
      <c r="D14737" t="s">
        <v>45386</v>
      </c>
      <c r="E14737" t="s">
        <v>45387</v>
      </c>
      <c r="F14737" t="s">
        <v>45388</v>
      </c>
      <c r="G14737" s="2" t="str">
        <f>HYPERLINK("https://probpalata.gov.ru/files/ЮЛ630603247000000.jpeg","Скачать индивидуальный QR-код магазина")</f>
        <v>Скачать индивидуальный QR-код магазина</v>
      </c>
    </row>
    <row r="14738" spans="1:7" x14ac:dyDescent="0.25">
      <c r="A14738" t="s">
        <v>45139</v>
      </c>
      <c r="B14738" t="s">
        <v>45389</v>
      </c>
      <c r="C14738" t="s">
        <v>45385</v>
      </c>
      <c r="D14738" t="s">
        <v>45386</v>
      </c>
      <c r="E14738" t="s">
        <v>45387</v>
      </c>
      <c r="F14738" t="s">
        <v>45390</v>
      </c>
      <c r="G14738" s="2" t="str">
        <f>HYPERLINK("https://probpalata.gov.ru/files/ЮЛ630603247000001.jpeg","Скачать индивидуальный QR-код магазина")</f>
        <v>Скачать индивидуальный QR-код магазина</v>
      </c>
    </row>
    <row r="14739" spans="1:7" x14ac:dyDescent="0.25">
      <c r="A14739" t="s">
        <v>45139</v>
      </c>
      <c r="B14739" t="s">
        <v>45391</v>
      </c>
      <c r="C14739" t="s">
        <v>45392</v>
      </c>
      <c r="D14739" t="s">
        <v>45393</v>
      </c>
      <c r="E14739" t="s">
        <v>45394</v>
      </c>
      <c r="F14739" t="s">
        <v>45395</v>
      </c>
      <c r="G14739" s="2" t="str">
        <f>HYPERLINK("https://probpalata.gov.ru/files/ИП630603805100000.jpeg","Скачать индивидуальный QR-код магазина")</f>
        <v>Скачать индивидуальный QR-код магазина</v>
      </c>
    </row>
    <row r="14740" spans="1:7" x14ac:dyDescent="0.25">
      <c r="A14740" t="s">
        <v>45139</v>
      </c>
      <c r="B14740" t="s">
        <v>45396</v>
      </c>
      <c r="C14740" t="s">
        <v>33944</v>
      </c>
      <c r="D14740" t="s">
        <v>33945</v>
      </c>
      <c r="E14740" t="s">
        <v>33946</v>
      </c>
      <c r="F14740" t="s">
        <v>45397</v>
      </c>
      <c r="G14740" s="2" t="str">
        <f>HYPERLINK("https://probpalata.gov.ru/files/ЮЛ630603235300001.jpeg","Скачать индивидуальный QR-код магазина")</f>
        <v>Скачать индивидуальный QR-код магазина</v>
      </c>
    </row>
    <row r="14741" spans="1:7" x14ac:dyDescent="0.25">
      <c r="A14741" t="s">
        <v>45139</v>
      </c>
      <c r="B14741" t="s">
        <v>45398</v>
      </c>
      <c r="C14741" t="s">
        <v>33944</v>
      </c>
      <c r="D14741" t="s">
        <v>33945</v>
      </c>
      <c r="E14741" t="s">
        <v>33946</v>
      </c>
      <c r="F14741" t="s">
        <v>45399</v>
      </c>
      <c r="G14741" s="2" t="str">
        <f>HYPERLINK("https://probpalata.gov.ru/files/ЮЛ630603235300004.jpeg","Скачать индивидуальный QR-код магазина")</f>
        <v>Скачать индивидуальный QR-код магазина</v>
      </c>
    </row>
    <row r="14742" spans="1:7" x14ac:dyDescent="0.25">
      <c r="A14742" t="s">
        <v>45139</v>
      </c>
      <c r="B14742" t="s">
        <v>45400</v>
      </c>
      <c r="C14742" t="s">
        <v>33944</v>
      </c>
      <c r="D14742" t="s">
        <v>33945</v>
      </c>
      <c r="E14742" t="s">
        <v>33946</v>
      </c>
      <c r="F14742" t="s">
        <v>45401</v>
      </c>
      <c r="G14742" s="2" t="str">
        <f>HYPERLINK("https://probpalata.gov.ru/files/ЮЛ630603235300005.jpeg","Скачать индивидуальный QR-код магазина")</f>
        <v>Скачать индивидуальный QR-код магазина</v>
      </c>
    </row>
    <row r="14743" spans="1:7" x14ac:dyDescent="0.25">
      <c r="A14743" t="s">
        <v>45139</v>
      </c>
      <c r="B14743" t="s">
        <v>45402</v>
      </c>
      <c r="C14743" t="s">
        <v>33944</v>
      </c>
      <c r="D14743" t="s">
        <v>33945</v>
      </c>
      <c r="E14743" t="s">
        <v>33946</v>
      </c>
      <c r="F14743" t="s">
        <v>45403</v>
      </c>
      <c r="G14743" s="2" t="str">
        <f>HYPERLINK("https://probpalata.gov.ru/files/ЮЛ630603235300006.jpeg","Скачать индивидуальный QR-код магазина")</f>
        <v>Скачать индивидуальный QR-код магазина</v>
      </c>
    </row>
    <row r="14744" spans="1:7" x14ac:dyDescent="0.25">
      <c r="A14744" t="s">
        <v>45139</v>
      </c>
      <c r="B14744" t="s">
        <v>45404</v>
      </c>
      <c r="C14744" t="s">
        <v>33944</v>
      </c>
      <c r="D14744" t="s">
        <v>33945</v>
      </c>
      <c r="E14744" t="s">
        <v>33946</v>
      </c>
      <c r="F14744" t="s">
        <v>45405</v>
      </c>
      <c r="G14744" s="2" t="str">
        <f>HYPERLINK("https://probpalata.gov.ru/files/ЮЛ630603235300007.jpeg","Скачать индивидуальный QR-код магазина")</f>
        <v>Скачать индивидуальный QR-код магазина</v>
      </c>
    </row>
    <row r="14745" spans="1:7" x14ac:dyDescent="0.25">
      <c r="A14745" t="s">
        <v>45139</v>
      </c>
      <c r="B14745" t="s">
        <v>45406</v>
      </c>
      <c r="C14745" t="s">
        <v>33944</v>
      </c>
      <c r="D14745" t="s">
        <v>33945</v>
      </c>
      <c r="E14745" t="s">
        <v>33946</v>
      </c>
      <c r="F14745" t="s">
        <v>45407</v>
      </c>
      <c r="G14745" s="2" t="str">
        <f>HYPERLINK("https://probpalata.gov.ru/files/ЮЛ630603235300008.jpeg","Скачать индивидуальный QR-код магазина")</f>
        <v>Скачать индивидуальный QR-код магазина</v>
      </c>
    </row>
    <row r="14746" spans="1:7" x14ac:dyDescent="0.25">
      <c r="A14746" t="s">
        <v>45139</v>
      </c>
      <c r="B14746" t="s">
        <v>45408</v>
      </c>
      <c r="C14746" t="s">
        <v>33944</v>
      </c>
      <c r="D14746" t="s">
        <v>33945</v>
      </c>
      <c r="E14746" t="s">
        <v>33946</v>
      </c>
      <c r="F14746" t="s">
        <v>45409</v>
      </c>
      <c r="G14746" s="2" t="str">
        <f>HYPERLINK("https://probpalata.gov.ru/files/ЮЛ630603235300010.jpeg","Скачать индивидуальный QR-код магазина")</f>
        <v>Скачать индивидуальный QR-код магазина</v>
      </c>
    </row>
    <row r="14747" spans="1:7" x14ac:dyDescent="0.25">
      <c r="A14747" t="s">
        <v>45139</v>
      </c>
      <c r="B14747" t="s">
        <v>45410</v>
      </c>
      <c r="C14747" t="s">
        <v>33944</v>
      </c>
      <c r="D14747" t="s">
        <v>33945</v>
      </c>
      <c r="E14747" t="s">
        <v>33946</v>
      </c>
      <c r="F14747" t="s">
        <v>45411</v>
      </c>
      <c r="G14747" s="2" t="str">
        <f>HYPERLINK("https://probpalata.gov.ru/files/ЮЛ630603235300011.jpeg","Скачать индивидуальный QR-код магазина")</f>
        <v>Скачать индивидуальный QR-код магазина</v>
      </c>
    </row>
    <row r="14748" spans="1:7" x14ac:dyDescent="0.25">
      <c r="A14748" t="s">
        <v>45139</v>
      </c>
      <c r="B14748" t="s">
        <v>45412</v>
      </c>
      <c r="C14748" t="s">
        <v>33944</v>
      </c>
      <c r="D14748" t="s">
        <v>33945</v>
      </c>
      <c r="E14748" t="s">
        <v>33946</v>
      </c>
      <c r="F14748" t="s">
        <v>45413</v>
      </c>
      <c r="G14748" s="2" t="str">
        <f>HYPERLINK("https://probpalata.gov.ru/files/ЮЛ630603235300012.jpeg","Скачать индивидуальный QR-код магазина")</f>
        <v>Скачать индивидуальный QR-код магазина</v>
      </c>
    </row>
    <row r="14749" spans="1:7" x14ac:dyDescent="0.25">
      <c r="A14749" t="s">
        <v>45139</v>
      </c>
      <c r="B14749" t="s">
        <v>45414</v>
      </c>
      <c r="C14749" t="s">
        <v>33944</v>
      </c>
      <c r="D14749" t="s">
        <v>33945</v>
      </c>
      <c r="E14749" t="s">
        <v>33946</v>
      </c>
      <c r="F14749" t="s">
        <v>45415</v>
      </c>
      <c r="G14749" s="2" t="str">
        <f>HYPERLINK("https://probpalata.gov.ru/files/ЮЛ630603235300013.jpeg","Скачать индивидуальный QR-код магазина")</f>
        <v>Скачать индивидуальный QR-код магазина</v>
      </c>
    </row>
    <row r="14750" spans="1:7" x14ac:dyDescent="0.25">
      <c r="A14750" t="s">
        <v>45139</v>
      </c>
      <c r="B14750" t="s">
        <v>45416</v>
      </c>
      <c r="C14750" t="s">
        <v>33944</v>
      </c>
      <c r="D14750" t="s">
        <v>33945</v>
      </c>
      <c r="E14750" t="s">
        <v>33946</v>
      </c>
      <c r="F14750" t="s">
        <v>45417</v>
      </c>
      <c r="G14750" s="2" t="str">
        <f>HYPERLINK("https://probpalata.gov.ru/files/ЮЛ630603235300015.jpeg","Скачать индивидуальный QR-код магазина")</f>
        <v>Скачать индивидуальный QR-код магазина</v>
      </c>
    </row>
    <row r="14751" spans="1:7" x14ac:dyDescent="0.25">
      <c r="A14751" t="s">
        <v>45139</v>
      </c>
      <c r="B14751" t="s">
        <v>45418</v>
      </c>
      <c r="C14751" t="s">
        <v>33944</v>
      </c>
      <c r="D14751" t="s">
        <v>33945</v>
      </c>
      <c r="E14751" t="s">
        <v>33946</v>
      </c>
      <c r="F14751" t="s">
        <v>45419</v>
      </c>
      <c r="G14751" s="2" t="str">
        <f>HYPERLINK("https://probpalata.gov.ru/files/ЮЛ630603235300016.jpeg","Скачать индивидуальный QR-код магазина")</f>
        <v>Скачать индивидуальный QR-код магазина</v>
      </c>
    </row>
    <row r="14752" spans="1:7" x14ac:dyDescent="0.25">
      <c r="A14752" t="s">
        <v>45139</v>
      </c>
      <c r="B14752" t="s">
        <v>45420</v>
      </c>
      <c r="C14752" t="s">
        <v>45421</v>
      </c>
      <c r="D14752" t="s">
        <v>45422</v>
      </c>
      <c r="E14752" t="s">
        <v>45423</v>
      </c>
      <c r="F14752" t="s">
        <v>45424</v>
      </c>
      <c r="G14752" s="2" t="str">
        <f>HYPERLINK("https://probpalata.gov.ru/files/ЮЛ630603631600000.jpeg","Скачать индивидуальный QR-код магазина")</f>
        <v>Скачать индивидуальный QR-код магазина</v>
      </c>
    </row>
    <row r="14753" spans="1:7" x14ac:dyDescent="0.25">
      <c r="A14753" t="s">
        <v>45139</v>
      </c>
      <c r="B14753" t="s">
        <v>45425</v>
      </c>
      <c r="C14753" t="s">
        <v>45421</v>
      </c>
      <c r="D14753" t="s">
        <v>45422</v>
      </c>
      <c r="E14753" t="s">
        <v>45423</v>
      </c>
      <c r="F14753" t="s">
        <v>45426</v>
      </c>
      <c r="G14753" s="2" t="str">
        <f>HYPERLINK("https://probpalata.gov.ru/files/ЮЛ630603631600001.jpeg","Скачать индивидуальный QR-код магазина")</f>
        <v>Скачать индивидуальный QR-код магазина</v>
      </c>
    </row>
    <row r="14754" spans="1:7" x14ac:dyDescent="0.25">
      <c r="A14754" t="s">
        <v>45139</v>
      </c>
      <c r="B14754" t="s">
        <v>45427</v>
      </c>
      <c r="C14754" t="s">
        <v>45421</v>
      </c>
      <c r="D14754" t="s">
        <v>45422</v>
      </c>
      <c r="E14754" t="s">
        <v>45423</v>
      </c>
      <c r="F14754" t="s">
        <v>45428</v>
      </c>
      <c r="G14754" s="2" t="str">
        <f>HYPERLINK("https://probpalata.gov.ru/files/ЮЛ630603631600002.jpeg","Скачать индивидуальный QR-код магазина")</f>
        <v>Скачать индивидуальный QR-код магазина</v>
      </c>
    </row>
    <row r="14755" spans="1:7" x14ac:dyDescent="0.25">
      <c r="A14755" t="s">
        <v>45139</v>
      </c>
      <c r="B14755" t="s">
        <v>45429</v>
      </c>
      <c r="C14755" t="s">
        <v>45421</v>
      </c>
      <c r="D14755" t="s">
        <v>45422</v>
      </c>
      <c r="E14755" t="s">
        <v>45423</v>
      </c>
      <c r="F14755" t="s">
        <v>45430</v>
      </c>
      <c r="G14755" s="2" t="str">
        <f>HYPERLINK("https://probpalata.gov.ru/files/ЮЛ630603631600003.jpeg","Скачать индивидуальный QR-код магазина")</f>
        <v>Скачать индивидуальный QR-код магазина</v>
      </c>
    </row>
    <row r="14756" spans="1:7" x14ac:dyDescent="0.25">
      <c r="A14756" t="s">
        <v>45139</v>
      </c>
      <c r="B14756" t="s">
        <v>45431</v>
      </c>
      <c r="C14756" t="s">
        <v>45421</v>
      </c>
      <c r="D14756" t="s">
        <v>45422</v>
      </c>
      <c r="E14756" t="s">
        <v>45423</v>
      </c>
      <c r="F14756" t="s">
        <v>45432</v>
      </c>
      <c r="G14756" s="2" t="str">
        <f>HYPERLINK("https://probpalata.gov.ru/files/ЮЛ630603631600004.jpeg","Скачать индивидуальный QR-код магазина")</f>
        <v>Скачать индивидуальный QR-код магазина</v>
      </c>
    </row>
    <row r="14757" spans="1:7" x14ac:dyDescent="0.25">
      <c r="A14757" t="s">
        <v>45139</v>
      </c>
      <c r="B14757" t="s">
        <v>45433</v>
      </c>
      <c r="C14757" t="s">
        <v>45421</v>
      </c>
      <c r="D14757" t="s">
        <v>45422</v>
      </c>
      <c r="E14757" t="s">
        <v>45423</v>
      </c>
      <c r="F14757" t="s">
        <v>45434</v>
      </c>
      <c r="G14757" s="2" t="str">
        <f>HYPERLINK("https://probpalata.gov.ru/files/ЮЛ630603631600005.jpeg","Скачать индивидуальный QR-код магазина")</f>
        <v>Скачать индивидуальный QR-код магазина</v>
      </c>
    </row>
    <row r="14758" spans="1:7" x14ac:dyDescent="0.25">
      <c r="A14758" t="s">
        <v>45139</v>
      </c>
      <c r="B14758" t="s">
        <v>45435</v>
      </c>
      <c r="C14758" t="s">
        <v>45421</v>
      </c>
      <c r="D14758" t="s">
        <v>45422</v>
      </c>
      <c r="E14758" t="s">
        <v>45423</v>
      </c>
      <c r="F14758" t="s">
        <v>45436</v>
      </c>
      <c r="G14758" s="2" t="str">
        <f>HYPERLINK("https://probpalata.gov.ru/files/ЮЛ630603631600006.jpeg","Скачать индивидуальный QR-код магазина")</f>
        <v>Скачать индивидуальный QR-код магазина</v>
      </c>
    </row>
    <row r="14759" spans="1:7" x14ac:dyDescent="0.25">
      <c r="A14759" t="s">
        <v>45139</v>
      </c>
      <c r="B14759" t="s">
        <v>45437</v>
      </c>
      <c r="C14759" t="s">
        <v>45421</v>
      </c>
      <c r="D14759" t="s">
        <v>45422</v>
      </c>
      <c r="E14759" t="s">
        <v>45423</v>
      </c>
      <c r="F14759" t="s">
        <v>45438</v>
      </c>
      <c r="G14759" s="2" t="str">
        <f>HYPERLINK("https://probpalata.gov.ru/files/ЮЛ630603631600007.jpeg","Скачать индивидуальный QR-код магазина")</f>
        <v>Скачать индивидуальный QR-код магазина</v>
      </c>
    </row>
    <row r="14760" spans="1:7" x14ac:dyDescent="0.25">
      <c r="A14760" t="s">
        <v>45139</v>
      </c>
      <c r="B14760" t="s">
        <v>45439</v>
      </c>
      <c r="C14760" t="s">
        <v>45421</v>
      </c>
      <c r="D14760" t="s">
        <v>45422</v>
      </c>
      <c r="E14760" t="s">
        <v>45423</v>
      </c>
      <c r="F14760" t="s">
        <v>45440</v>
      </c>
      <c r="G14760" s="2" t="str">
        <f>HYPERLINK("https://probpalata.gov.ru/files/ЮЛ630603631600008.jpeg","Скачать индивидуальный QR-код магазина")</f>
        <v>Скачать индивидуальный QR-код магазина</v>
      </c>
    </row>
    <row r="14761" spans="1:7" x14ac:dyDescent="0.25">
      <c r="A14761" t="s">
        <v>45139</v>
      </c>
      <c r="B14761" t="s">
        <v>45441</v>
      </c>
      <c r="C14761" t="s">
        <v>45421</v>
      </c>
      <c r="D14761" t="s">
        <v>45422</v>
      </c>
      <c r="E14761" t="s">
        <v>45423</v>
      </c>
      <c r="F14761" t="s">
        <v>45442</v>
      </c>
      <c r="G14761" s="2" t="str">
        <f>HYPERLINK("https://probpalata.gov.ru/files/ЮЛ630603631600009.jpeg","Скачать индивидуальный QR-код магазина")</f>
        <v>Скачать индивидуальный QR-код магазина</v>
      </c>
    </row>
    <row r="14762" spans="1:7" x14ac:dyDescent="0.25">
      <c r="A14762" t="s">
        <v>45139</v>
      </c>
      <c r="B14762" t="s">
        <v>45443</v>
      </c>
      <c r="C14762" t="s">
        <v>45444</v>
      </c>
      <c r="D14762" t="s">
        <v>45445</v>
      </c>
      <c r="E14762" t="s">
        <v>45446</v>
      </c>
      <c r="F14762" t="s">
        <v>45447</v>
      </c>
      <c r="G14762" s="2" t="str">
        <f>HYPERLINK("https://probpalata.gov.ru/files/ЮЛ630600312600000.jpeg","Скачать индивидуальный QR-код магазина")</f>
        <v>Скачать индивидуальный QR-код магазина</v>
      </c>
    </row>
    <row r="14763" spans="1:7" x14ac:dyDescent="0.25">
      <c r="A14763" t="s">
        <v>45139</v>
      </c>
      <c r="B14763" t="s">
        <v>45448</v>
      </c>
      <c r="C14763" t="s">
        <v>16736</v>
      </c>
      <c r="D14763" t="s">
        <v>16737</v>
      </c>
      <c r="E14763" t="s">
        <v>16738</v>
      </c>
      <c r="F14763" t="s">
        <v>45449</v>
      </c>
      <c r="G14763" s="2" t="str">
        <f>HYPERLINK("https://probpalata.gov.ru/files/ЮЛ630600259300000.jpeg","Скачать индивидуальный QR-код магазина")</f>
        <v>Скачать индивидуальный QR-код магазина</v>
      </c>
    </row>
    <row r="14764" spans="1:7" x14ac:dyDescent="0.25">
      <c r="A14764" t="s">
        <v>45139</v>
      </c>
      <c r="B14764" t="s">
        <v>45450</v>
      </c>
      <c r="C14764" t="s">
        <v>45451</v>
      </c>
      <c r="D14764" t="s">
        <v>45452</v>
      </c>
      <c r="E14764" t="s">
        <v>45453</v>
      </c>
      <c r="F14764" t="s">
        <v>45454</v>
      </c>
      <c r="G14764" s="2" t="str">
        <f>HYPERLINK("https://probpalata.gov.ru/files/ЮЛ630603042600002.jpeg","Скачать индивидуальный QR-код магазина")</f>
        <v>Скачать индивидуальный QR-код магазина</v>
      </c>
    </row>
    <row r="14765" spans="1:7" x14ac:dyDescent="0.25">
      <c r="A14765" t="s">
        <v>45139</v>
      </c>
      <c r="B14765" t="s">
        <v>45455</v>
      </c>
      <c r="C14765" t="s">
        <v>45456</v>
      </c>
      <c r="D14765" t="s">
        <v>45457</v>
      </c>
      <c r="E14765" t="s">
        <v>45458</v>
      </c>
      <c r="F14765" t="s">
        <v>45459</v>
      </c>
      <c r="G14765" s="2" t="str">
        <f>HYPERLINK("https://probpalata.gov.ru/files/ЮЛ630603277400000.jpeg","Скачать индивидуальный QR-код магазина")</f>
        <v>Скачать индивидуальный QR-код магазина</v>
      </c>
    </row>
    <row r="14766" spans="1:7" x14ac:dyDescent="0.25">
      <c r="A14766" t="s">
        <v>45139</v>
      </c>
      <c r="B14766" t="s">
        <v>45460</v>
      </c>
      <c r="C14766" t="s">
        <v>33949</v>
      </c>
      <c r="D14766" t="s">
        <v>33950</v>
      </c>
      <c r="E14766" t="s">
        <v>33951</v>
      </c>
      <c r="F14766" t="s">
        <v>45461</v>
      </c>
      <c r="G14766" s="2" t="str">
        <f>HYPERLINK("https://probpalata.gov.ru/files/ИП630603381400010.jpeg","Скачать индивидуальный QR-код магазина")</f>
        <v>Скачать индивидуальный QR-код магазина</v>
      </c>
    </row>
    <row r="14767" spans="1:7" x14ac:dyDescent="0.25">
      <c r="A14767" t="s">
        <v>45139</v>
      </c>
      <c r="B14767" t="s">
        <v>45462</v>
      </c>
      <c r="C14767" t="s">
        <v>2197</v>
      </c>
      <c r="D14767" t="s">
        <v>2198</v>
      </c>
      <c r="E14767" t="s">
        <v>2199</v>
      </c>
      <c r="F14767" t="s">
        <v>45463</v>
      </c>
      <c r="G14767" s="2" t="str">
        <f>HYPERLINK("https://probpalata.gov.ru/files/ИП630601425400000.jpeg","Скачать индивидуальный QR-код магазина")</f>
        <v>Скачать индивидуальный QR-код магазина</v>
      </c>
    </row>
    <row r="14768" spans="1:7" x14ac:dyDescent="0.25">
      <c r="A14768" t="s">
        <v>45139</v>
      </c>
      <c r="B14768" t="s">
        <v>45464</v>
      </c>
      <c r="C14768" t="s">
        <v>2197</v>
      </c>
      <c r="D14768" t="s">
        <v>2198</v>
      </c>
      <c r="E14768" t="s">
        <v>2199</v>
      </c>
      <c r="F14768" t="s">
        <v>45465</v>
      </c>
      <c r="G14768" s="2" t="str">
        <f>HYPERLINK("https://probpalata.gov.ru/files/ИП630601425400008.jpeg","Скачать индивидуальный QR-код магазина")</f>
        <v>Скачать индивидуальный QR-код магазина</v>
      </c>
    </row>
    <row r="14769" spans="1:7" x14ac:dyDescent="0.25">
      <c r="A14769" t="s">
        <v>45139</v>
      </c>
      <c r="B14769" t="s">
        <v>45466</v>
      </c>
      <c r="C14769" t="s">
        <v>2197</v>
      </c>
      <c r="D14769" t="s">
        <v>2198</v>
      </c>
      <c r="E14769" t="s">
        <v>2199</v>
      </c>
      <c r="F14769" t="s">
        <v>45467</v>
      </c>
      <c r="G14769" s="2" t="str">
        <f>HYPERLINK("https://probpalata.gov.ru/files/ИП630601425400020.jpeg","Скачать индивидуальный QR-код магазина")</f>
        <v>Скачать индивидуальный QR-код магазина</v>
      </c>
    </row>
    <row r="14770" spans="1:7" x14ac:dyDescent="0.25">
      <c r="A14770" t="s">
        <v>45139</v>
      </c>
      <c r="B14770" t="s">
        <v>45468</v>
      </c>
      <c r="C14770" t="s">
        <v>2197</v>
      </c>
      <c r="D14770" t="s">
        <v>2198</v>
      </c>
      <c r="E14770" t="s">
        <v>2199</v>
      </c>
      <c r="F14770" t="s">
        <v>45469</v>
      </c>
      <c r="G14770" s="2" t="str">
        <f>HYPERLINK("https://probpalata.gov.ru/files/ИП630601425400035.jpeg","Скачать индивидуальный QR-код магазина")</f>
        <v>Скачать индивидуальный QR-код магазина</v>
      </c>
    </row>
    <row r="14771" spans="1:7" x14ac:dyDescent="0.25">
      <c r="A14771" t="s">
        <v>45139</v>
      </c>
      <c r="B14771" t="s">
        <v>45470</v>
      </c>
      <c r="C14771" t="s">
        <v>2197</v>
      </c>
      <c r="D14771" t="s">
        <v>2198</v>
      </c>
      <c r="E14771" t="s">
        <v>2199</v>
      </c>
      <c r="F14771" t="s">
        <v>45471</v>
      </c>
      <c r="G14771" s="2" t="str">
        <f>HYPERLINK("https://probpalata.gov.ru/files/ИП630601425400044.jpeg","Скачать индивидуальный QR-код магазина")</f>
        <v>Скачать индивидуальный QR-код магазина</v>
      </c>
    </row>
    <row r="14772" spans="1:7" x14ac:dyDescent="0.25">
      <c r="A14772" t="s">
        <v>45139</v>
      </c>
      <c r="B14772" t="s">
        <v>45472</v>
      </c>
      <c r="C14772" t="s">
        <v>2197</v>
      </c>
      <c r="D14772" t="s">
        <v>2198</v>
      </c>
      <c r="E14772" t="s">
        <v>2199</v>
      </c>
      <c r="F14772" t="s">
        <v>45473</v>
      </c>
      <c r="G14772" s="2" t="str">
        <f>HYPERLINK("https://probpalata.gov.ru/files/ИП630601425400051.jpeg","Скачать индивидуальный QR-код магазина")</f>
        <v>Скачать индивидуальный QR-код магазина</v>
      </c>
    </row>
    <row r="14773" spans="1:7" x14ac:dyDescent="0.25">
      <c r="A14773" t="s">
        <v>45139</v>
      </c>
      <c r="B14773" t="s">
        <v>45474</v>
      </c>
      <c r="C14773" t="s">
        <v>2197</v>
      </c>
      <c r="D14773" t="s">
        <v>2198</v>
      </c>
      <c r="E14773" t="s">
        <v>2199</v>
      </c>
      <c r="F14773" t="s">
        <v>45475</v>
      </c>
      <c r="G14773" s="2" t="str">
        <f>HYPERLINK("https://probpalata.gov.ru/files/ИП630601425400080.jpeg","Скачать индивидуальный QR-код магазина")</f>
        <v>Скачать индивидуальный QR-код магазина</v>
      </c>
    </row>
    <row r="14774" spans="1:7" x14ac:dyDescent="0.25">
      <c r="A14774" t="s">
        <v>45139</v>
      </c>
      <c r="B14774" t="s">
        <v>45476</v>
      </c>
      <c r="C14774" t="s">
        <v>2197</v>
      </c>
      <c r="D14774" t="s">
        <v>2198</v>
      </c>
      <c r="E14774" t="s">
        <v>2199</v>
      </c>
      <c r="F14774" t="s">
        <v>45477</v>
      </c>
      <c r="G14774" s="2" t="str">
        <f>HYPERLINK("https://probpalata.gov.ru/files/ИП630601425400083.jpeg","Скачать индивидуальный QR-код магазина")</f>
        <v>Скачать индивидуальный QR-код магазина</v>
      </c>
    </row>
    <row r="14775" spans="1:7" x14ac:dyDescent="0.25">
      <c r="A14775" t="s">
        <v>45139</v>
      </c>
      <c r="B14775" t="s">
        <v>45478</v>
      </c>
      <c r="C14775" t="s">
        <v>2197</v>
      </c>
      <c r="D14775" t="s">
        <v>2198</v>
      </c>
      <c r="E14775" t="s">
        <v>2199</v>
      </c>
      <c r="F14775" t="s">
        <v>45479</v>
      </c>
      <c r="G14775" s="2" t="str">
        <f>HYPERLINK("https://probpalata.gov.ru/files/ИП630601425400084.jpeg","Скачать индивидуальный QR-код магазина")</f>
        <v>Скачать индивидуальный QR-код магазина</v>
      </c>
    </row>
    <row r="14776" spans="1:7" x14ac:dyDescent="0.25">
      <c r="A14776" t="s">
        <v>45139</v>
      </c>
      <c r="B14776" t="s">
        <v>45480</v>
      </c>
      <c r="C14776" t="s">
        <v>2197</v>
      </c>
      <c r="D14776" t="s">
        <v>2198</v>
      </c>
      <c r="E14776" t="s">
        <v>2199</v>
      </c>
      <c r="F14776" t="s">
        <v>45481</v>
      </c>
      <c r="G14776" s="2" t="str">
        <f>HYPERLINK("https://probpalata.gov.ru/files/ИП630601425400087.jpeg","Скачать индивидуальный QR-код магазина")</f>
        <v>Скачать индивидуальный QR-код магазина</v>
      </c>
    </row>
    <row r="14777" spans="1:7" x14ac:dyDescent="0.25">
      <c r="A14777" t="s">
        <v>45139</v>
      </c>
      <c r="B14777" t="s">
        <v>45482</v>
      </c>
      <c r="C14777" t="s">
        <v>2197</v>
      </c>
      <c r="D14777" t="s">
        <v>2198</v>
      </c>
      <c r="E14777" t="s">
        <v>2199</v>
      </c>
      <c r="F14777" t="s">
        <v>45483</v>
      </c>
      <c r="G14777" s="2" t="str">
        <f>HYPERLINK("https://probpalata.gov.ru/files/ИП630601425400092.jpeg","Скачать индивидуальный QR-код магазина")</f>
        <v>Скачать индивидуальный QR-код магазина</v>
      </c>
    </row>
    <row r="14778" spans="1:7" x14ac:dyDescent="0.25">
      <c r="A14778" t="s">
        <v>45139</v>
      </c>
      <c r="B14778" t="s">
        <v>45484</v>
      </c>
      <c r="C14778" t="s">
        <v>2197</v>
      </c>
      <c r="D14778" t="s">
        <v>2198</v>
      </c>
      <c r="E14778" t="s">
        <v>2199</v>
      </c>
      <c r="F14778" t="s">
        <v>45485</v>
      </c>
      <c r="G14778" s="2" t="str">
        <f>HYPERLINK("https://probpalata.gov.ru/files/ИП630601425400093.jpeg","Скачать индивидуальный QR-код магазина")</f>
        <v>Скачать индивидуальный QR-код магазина</v>
      </c>
    </row>
    <row r="14779" spans="1:7" x14ac:dyDescent="0.25">
      <c r="A14779" t="s">
        <v>45139</v>
      </c>
      <c r="B14779" t="s">
        <v>45486</v>
      </c>
      <c r="C14779" t="s">
        <v>2197</v>
      </c>
      <c r="D14779" t="s">
        <v>2198</v>
      </c>
      <c r="E14779" t="s">
        <v>2199</v>
      </c>
      <c r="F14779" t="s">
        <v>45487</v>
      </c>
      <c r="G14779" s="2" t="str">
        <f>HYPERLINK("https://probpalata.gov.ru/files/ИП630601425400112.jpeg","Скачать индивидуальный QR-код магазина")</f>
        <v>Скачать индивидуальный QR-код магазина</v>
      </c>
    </row>
    <row r="14780" spans="1:7" x14ac:dyDescent="0.25">
      <c r="A14780" t="s">
        <v>45139</v>
      </c>
      <c r="B14780" t="s">
        <v>45488</v>
      </c>
      <c r="C14780" t="s">
        <v>2197</v>
      </c>
      <c r="D14780" t="s">
        <v>2198</v>
      </c>
      <c r="E14780" t="s">
        <v>2199</v>
      </c>
      <c r="F14780" t="s">
        <v>45489</v>
      </c>
      <c r="G14780" s="2" t="str">
        <f>HYPERLINK("https://probpalata.gov.ru/files/ИП630601425400119.jpeg","Скачать индивидуальный QR-код магазина")</f>
        <v>Скачать индивидуальный QR-код магазина</v>
      </c>
    </row>
    <row r="14781" spans="1:7" x14ac:dyDescent="0.25">
      <c r="A14781" t="s">
        <v>45139</v>
      </c>
      <c r="B14781" t="s">
        <v>45490</v>
      </c>
      <c r="C14781" t="s">
        <v>2197</v>
      </c>
      <c r="D14781" t="s">
        <v>2198</v>
      </c>
      <c r="E14781" t="s">
        <v>2199</v>
      </c>
      <c r="F14781" t="s">
        <v>45491</v>
      </c>
      <c r="G14781" s="2" t="str">
        <f>HYPERLINK("https://probpalata.gov.ru/files/ИП630601425400122.jpeg","Скачать индивидуальный QR-код магазина")</f>
        <v>Скачать индивидуальный QR-код магазина</v>
      </c>
    </row>
    <row r="14782" spans="1:7" x14ac:dyDescent="0.25">
      <c r="A14782" t="s">
        <v>45139</v>
      </c>
      <c r="B14782" t="s">
        <v>45492</v>
      </c>
      <c r="C14782" t="s">
        <v>2197</v>
      </c>
      <c r="D14782" t="s">
        <v>2198</v>
      </c>
      <c r="E14782" t="s">
        <v>2199</v>
      </c>
      <c r="F14782" t="s">
        <v>45493</v>
      </c>
      <c r="G14782" s="2" t="str">
        <f>HYPERLINK("https://probpalata.gov.ru/files/ИП630601425400123.jpeg","Скачать индивидуальный QR-код магазина")</f>
        <v>Скачать индивидуальный QR-код магазина</v>
      </c>
    </row>
    <row r="14783" spans="1:7" x14ac:dyDescent="0.25">
      <c r="A14783" t="s">
        <v>45139</v>
      </c>
      <c r="B14783" t="s">
        <v>45189</v>
      </c>
      <c r="C14783" t="s">
        <v>45494</v>
      </c>
      <c r="D14783" t="s">
        <v>45495</v>
      </c>
      <c r="E14783" t="s">
        <v>45496</v>
      </c>
      <c r="F14783" t="s">
        <v>45497</v>
      </c>
      <c r="G14783" s="2" t="str">
        <f>HYPERLINK("https://probpalata.gov.ru/files/ИП630603272500000.jpeg","Скачать индивидуальный QR-код магазина")</f>
        <v>Скачать индивидуальный QR-код магазина</v>
      </c>
    </row>
    <row r="14784" spans="1:7" x14ac:dyDescent="0.25">
      <c r="A14784" t="s">
        <v>45139</v>
      </c>
      <c r="B14784" t="s">
        <v>45174</v>
      </c>
      <c r="C14784" t="s">
        <v>45494</v>
      </c>
      <c r="D14784" t="s">
        <v>45495</v>
      </c>
      <c r="E14784" t="s">
        <v>45496</v>
      </c>
      <c r="F14784" t="s">
        <v>45498</v>
      </c>
      <c r="G14784" s="2" t="str">
        <f>HYPERLINK("https://probpalata.gov.ru/files/ИП630603272500001.jpeg","Скачать индивидуальный QR-код магазина")</f>
        <v>Скачать индивидуальный QR-код магазина</v>
      </c>
    </row>
    <row r="14785" spans="1:7" x14ac:dyDescent="0.25">
      <c r="A14785" t="s">
        <v>45139</v>
      </c>
      <c r="B14785" t="s">
        <v>45499</v>
      </c>
      <c r="C14785" t="s">
        <v>45500</v>
      </c>
      <c r="D14785" t="s">
        <v>45501</v>
      </c>
      <c r="E14785" t="s">
        <v>45502</v>
      </c>
      <c r="F14785" t="s">
        <v>45503</v>
      </c>
      <c r="G14785" s="2" t="str">
        <f>HYPERLINK("https://probpalata.gov.ru/files/ИП630603603100000.jpeg","Скачать индивидуальный QR-код магазина")</f>
        <v>Скачать индивидуальный QR-код магазина</v>
      </c>
    </row>
    <row r="14786" spans="1:7" x14ac:dyDescent="0.25">
      <c r="A14786" t="s">
        <v>45139</v>
      </c>
      <c r="B14786" t="s">
        <v>45504</v>
      </c>
      <c r="C14786" t="s">
        <v>45505</v>
      </c>
      <c r="D14786" t="s">
        <v>45506</v>
      </c>
      <c r="E14786" t="s">
        <v>45507</v>
      </c>
      <c r="F14786" t="s">
        <v>45508</v>
      </c>
      <c r="G14786" s="2" t="str">
        <f>HYPERLINK("https://probpalata.gov.ru/files/ЮЛ630600189100000.jpeg","Скачать индивидуальный QR-код магазина")</f>
        <v>Скачать индивидуальный QR-код магазина</v>
      </c>
    </row>
    <row r="14787" spans="1:7" x14ac:dyDescent="0.25">
      <c r="A14787" t="s">
        <v>45139</v>
      </c>
      <c r="B14787" t="s">
        <v>45509</v>
      </c>
      <c r="C14787" t="s">
        <v>45505</v>
      </c>
      <c r="D14787" t="s">
        <v>45506</v>
      </c>
      <c r="E14787" t="s">
        <v>45507</v>
      </c>
      <c r="F14787" t="s">
        <v>45510</v>
      </c>
      <c r="G14787" s="2" t="str">
        <f>HYPERLINK("https://probpalata.gov.ru/files/ЮЛ630600189100005.jpeg","Скачать индивидуальный QR-код магазина")</f>
        <v>Скачать индивидуальный QR-код магазина</v>
      </c>
    </row>
    <row r="14788" spans="1:7" x14ac:dyDescent="0.25">
      <c r="A14788" t="s">
        <v>45139</v>
      </c>
      <c r="B14788" t="s">
        <v>45511</v>
      </c>
      <c r="C14788" t="s">
        <v>45505</v>
      </c>
      <c r="D14788" t="s">
        <v>45506</v>
      </c>
      <c r="E14788" t="s">
        <v>45507</v>
      </c>
      <c r="F14788" t="s">
        <v>45512</v>
      </c>
      <c r="G14788" s="2" t="str">
        <f>HYPERLINK("https://probpalata.gov.ru/files/ЮЛ630600189100006.jpeg","Скачать индивидуальный QR-код магазина")</f>
        <v>Скачать индивидуальный QR-код магазина</v>
      </c>
    </row>
    <row r="14789" spans="1:7" x14ac:dyDescent="0.25">
      <c r="A14789" t="s">
        <v>45139</v>
      </c>
      <c r="B14789" t="s">
        <v>45513</v>
      </c>
      <c r="C14789" t="s">
        <v>45505</v>
      </c>
      <c r="D14789" t="s">
        <v>45506</v>
      </c>
      <c r="E14789" t="s">
        <v>45507</v>
      </c>
      <c r="F14789" t="s">
        <v>45514</v>
      </c>
      <c r="G14789" s="2" t="str">
        <f>HYPERLINK("https://probpalata.gov.ru/files/ЮЛ630600189100007.jpeg","Скачать индивидуальный QR-код магазина")</f>
        <v>Скачать индивидуальный QR-код магазина</v>
      </c>
    </row>
    <row r="14790" spans="1:7" x14ac:dyDescent="0.25">
      <c r="A14790" t="s">
        <v>45139</v>
      </c>
      <c r="B14790" t="s">
        <v>45515</v>
      </c>
      <c r="C14790" t="s">
        <v>45505</v>
      </c>
      <c r="D14790" t="s">
        <v>45506</v>
      </c>
      <c r="E14790" t="s">
        <v>45507</v>
      </c>
      <c r="F14790" t="s">
        <v>45516</v>
      </c>
      <c r="G14790" s="2" t="str">
        <f>HYPERLINK("https://probpalata.gov.ru/files/ЮЛ630600189100008.jpeg","Скачать индивидуальный QR-код магазина")</f>
        <v>Скачать индивидуальный QR-код магазина</v>
      </c>
    </row>
    <row r="14791" spans="1:7" x14ac:dyDescent="0.25">
      <c r="A14791" t="s">
        <v>45139</v>
      </c>
      <c r="B14791" t="s">
        <v>45517</v>
      </c>
      <c r="C14791" t="s">
        <v>45505</v>
      </c>
      <c r="D14791" t="s">
        <v>45506</v>
      </c>
      <c r="E14791" t="s">
        <v>45507</v>
      </c>
      <c r="F14791" t="s">
        <v>45518</v>
      </c>
      <c r="G14791" s="2" t="str">
        <f>HYPERLINK("https://probpalata.gov.ru/files/ЮЛ630600189100009.jpeg","Скачать индивидуальный QR-код магазина")</f>
        <v>Скачать индивидуальный QR-код магазина</v>
      </c>
    </row>
    <row r="14792" spans="1:7" x14ac:dyDescent="0.25">
      <c r="A14792" t="s">
        <v>45139</v>
      </c>
      <c r="B14792" t="s">
        <v>45519</v>
      </c>
      <c r="C14792" t="s">
        <v>45505</v>
      </c>
      <c r="D14792" t="s">
        <v>45506</v>
      </c>
      <c r="E14792" t="s">
        <v>45507</v>
      </c>
      <c r="F14792" t="s">
        <v>45520</v>
      </c>
      <c r="G14792" s="2" t="str">
        <f>HYPERLINK("https://probpalata.gov.ru/files/ЮЛ630600189100010.jpeg","Скачать индивидуальный QR-код магазина")</f>
        <v>Скачать индивидуальный QR-код магазина</v>
      </c>
    </row>
    <row r="14793" spans="1:7" x14ac:dyDescent="0.25">
      <c r="A14793" t="s">
        <v>45139</v>
      </c>
      <c r="B14793" t="s">
        <v>45521</v>
      </c>
      <c r="C14793" t="s">
        <v>45505</v>
      </c>
      <c r="D14793" t="s">
        <v>45506</v>
      </c>
      <c r="E14793" t="s">
        <v>45507</v>
      </c>
      <c r="F14793" t="s">
        <v>45522</v>
      </c>
      <c r="G14793" s="2" t="str">
        <f>HYPERLINK("https://probpalata.gov.ru/files/ЮЛ630600189100011.jpeg","Скачать индивидуальный QR-код магазина")</f>
        <v>Скачать индивидуальный QR-код магазина</v>
      </c>
    </row>
    <row r="14794" spans="1:7" x14ac:dyDescent="0.25">
      <c r="A14794" t="s">
        <v>45139</v>
      </c>
      <c r="B14794" t="s">
        <v>45523</v>
      </c>
      <c r="C14794" t="s">
        <v>45505</v>
      </c>
      <c r="D14794" t="s">
        <v>45506</v>
      </c>
      <c r="E14794" t="s">
        <v>45507</v>
      </c>
      <c r="F14794" t="s">
        <v>45524</v>
      </c>
      <c r="G14794" s="2" t="str">
        <f>HYPERLINK("https://probpalata.gov.ru/files/ЮЛ630600189100012.jpeg","Скачать индивидуальный QR-код магазина")</f>
        <v>Скачать индивидуальный QR-код магазина</v>
      </c>
    </row>
    <row r="14795" spans="1:7" x14ac:dyDescent="0.25">
      <c r="A14795" t="s">
        <v>45139</v>
      </c>
      <c r="B14795" t="s">
        <v>45525</v>
      </c>
      <c r="C14795" t="s">
        <v>45505</v>
      </c>
      <c r="D14795" t="s">
        <v>45506</v>
      </c>
      <c r="E14795" t="s">
        <v>45507</v>
      </c>
      <c r="F14795" t="s">
        <v>45526</v>
      </c>
      <c r="G14795" s="2" t="str">
        <f>HYPERLINK("https://probpalata.gov.ru/files/ЮЛ630600189100013.jpeg","Скачать индивидуальный QR-код магазина")</f>
        <v>Скачать индивидуальный QR-код магазина</v>
      </c>
    </row>
    <row r="14796" spans="1:7" x14ac:dyDescent="0.25">
      <c r="A14796" t="s">
        <v>45139</v>
      </c>
      <c r="B14796" t="s">
        <v>45527</v>
      </c>
      <c r="C14796" t="s">
        <v>45505</v>
      </c>
      <c r="D14796" t="s">
        <v>45506</v>
      </c>
      <c r="E14796" t="s">
        <v>45507</v>
      </c>
      <c r="F14796" t="s">
        <v>45528</v>
      </c>
      <c r="G14796" s="2" t="str">
        <f>HYPERLINK("https://probpalata.gov.ru/files/ЮЛ630600189100014.jpeg","Скачать индивидуальный QR-код магазина")</f>
        <v>Скачать индивидуальный QR-код магазина</v>
      </c>
    </row>
    <row r="14797" spans="1:7" x14ac:dyDescent="0.25">
      <c r="A14797" t="s">
        <v>45139</v>
      </c>
      <c r="B14797" t="s">
        <v>45529</v>
      </c>
      <c r="C14797" t="s">
        <v>45505</v>
      </c>
      <c r="D14797" t="s">
        <v>45506</v>
      </c>
      <c r="E14797" t="s">
        <v>45507</v>
      </c>
      <c r="F14797" t="s">
        <v>45530</v>
      </c>
      <c r="G14797" s="2" t="str">
        <f>HYPERLINK("https://probpalata.gov.ru/files/ЮЛ630600189100015.jpeg","Скачать индивидуальный QR-код магазина")</f>
        <v>Скачать индивидуальный QR-код магазина</v>
      </c>
    </row>
    <row r="14798" spans="1:7" x14ac:dyDescent="0.25">
      <c r="A14798" t="s">
        <v>45139</v>
      </c>
      <c r="B14798" t="s">
        <v>45531</v>
      </c>
      <c r="C14798" t="s">
        <v>45505</v>
      </c>
      <c r="D14798" t="s">
        <v>45506</v>
      </c>
      <c r="E14798" t="s">
        <v>45507</v>
      </c>
      <c r="F14798" t="s">
        <v>45532</v>
      </c>
      <c r="G14798" s="2" t="str">
        <f>HYPERLINK("https://probpalata.gov.ru/files/ЮЛ630600189100016.jpeg","Скачать индивидуальный QR-код магазина")</f>
        <v>Скачать индивидуальный QR-код магазина</v>
      </c>
    </row>
    <row r="14799" spans="1:7" x14ac:dyDescent="0.25">
      <c r="A14799" t="s">
        <v>45139</v>
      </c>
      <c r="B14799" t="s">
        <v>45533</v>
      </c>
      <c r="C14799" t="s">
        <v>45505</v>
      </c>
      <c r="D14799" t="s">
        <v>45506</v>
      </c>
      <c r="E14799" t="s">
        <v>45507</v>
      </c>
      <c r="F14799" t="s">
        <v>45534</v>
      </c>
      <c r="G14799" s="2" t="str">
        <f>HYPERLINK("https://probpalata.gov.ru/files/ЮЛ630600189100017.jpeg","Скачать индивидуальный QR-код магазина")</f>
        <v>Скачать индивидуальный QR-код магазина</v>
      </c>
    </row>
    <row r="14800" spans="1:7" x14ac:dyDescent="0.25">
      <c r="A14800" t="s">
        <v>45139</v>
      </c>
      <c r="B14800" t="s">
        <v>45535</v>
      </c>
      <c r="C14800" t="s">
        <v>45505</v>
      </c>
      <c r="D14800" t="s">
        <v>45506</v>
      </c>
      <c r="E14800" t="s">
        <v>45507</v>
      </c>
      <c r="F14800" t="s">
        <v>45536</v>
      </c>
      <c r="G14800" s="2" t="str">
        <f>HYPERLINK("https://probpalata.gov.ru/files/ЮЛ630600189100018.jpeg","Скачать индивидуальный QR-код магазина")</f>
        <v>Скачать индивидуальный QR-код магазина</v>
      </c>
    </row>
    <row r="14801" spans="1:7" x14ac:dyDescent="0.25">
      <c r="A14801" t="s">
        <v>45139</v>
      </c>
      <c r="B14801" t="s">
        <v>45537</v>
      </c>
      <c r="C14801" t="s">
        <v>37700</v>
      </c>
      <c r="D14801" t="s">
        <v>37701</v>
      </c>
      <c r="E14801" t="s">
        <v>37702</v>
      </c>
      <c r="F14801" t="s">
        <v>45538</v>
      </c>
      <c r="G14801" s="2" t="str">
        <f>HYPERLINK("https://probpalata.gov.ru/files/ИП630600633500001.jpeg","Скачать индивидуальный QR-код магазина")</f>
        <v>Скачать индивидуальный QR-код магазина</v>
      </c>
    </row>
    <row r="14802" spans="1:7" x14ac:dyDescent="0.25">
      <c r="A14802" t="s">
        <v>45139</v>
      </c>
      <c r="B14802" t="s">
        <v>45539</v>
      </c>
      <c r="C14802" t="s">
        <v>37700</v>
      </c>
      <c r="D14802" t="s">
        <v>37701</v>
      </c>
      <c r="E14802" t="s">
        <v>37702</v>
      </c>
      <c r="F14802" t="s">
        <v>45540</v>
      </c>
      <c r="G14802" s="2" t="str">
        <f>HYPERLINK("https://probpalata.gov.ru/files/ИП630600633500002.jpeg","Скачать индивидуальный QR-код магазина")</f>
        <v>Скачать индивидуальный QR-код магазина</v>
      </c>
    </row>
    <row r="14803" spans="1:7" x14ac:dyDescent="0.25">
      <c r="A14803" t="s">
        <v>45139</v>
      </c>
      <c r="B14803" t="s">
        <v>45189</v>
      </c>
      <c r="C14803" t="s">
        <v>37700</v>
      </c>
      <c r="D14803" t="s">
        <v>37701</v>
      </c>
      <c r="E14803" t="s">
        <v>37702</v>
      </c>
      <c r="F14803" t="s">
        <v>45541</v>
      </c>
      <c r="G14803" s="2" t="str">
        <f>HYPERLINK("https://probpalata.gov.ru/files/ИП630600633500003.jpeg","Скачать индивидуальный QR-код магазина")</f>
        <v>Скачать индивидуальный QR-код магазина</v>
      </c>
    </row>
    <row r="14804" spans="1:7" x14ac:dyDescent="0.25">
      <c r="A14804" t="s">
        <v>45139</v>
      </c>
      <c r="B14804" t="s">
        <v>45542</v>
      </c>
      <c r="C14804" t="s">
        <v>37700</v>
      </c>
      <c r="D14804" t="s">
        <v>37701</v>
      </c>
      <c r="E14804" t="s">
        <v>37702</v>
      </c>
      <c r="F14804" t="s">
        <v>45543</v>
      </c>
      <c r="G14804" s="2" t="str">
        <f>HYPERLINK("https://probpalata.gov.ru/files/ИП630600633500004.jpeg","Скачать индивидуальный QR-код магазина")</f>
        <v>Скачать индивидуальный QR-код магазина</v>
      </c>
    </row>
    <row r="14805" spans="1:7" x14ac:dyDescent="0.25">
      <c r="A14805" t="s">
        <v>45139</v>
      </c>
      <c r="B14805" t="s">
        <v>45542</v>
      </c>
      <c r="C14805" t="s">
        <v>37700</v>
      </c>
      <c r="D14805" t="s">
        <v>37701</v>
      </c>
      <c r="E14805" t="s">
        <v>37702</v>
      </c>
      <c r="F14805" t="s">
        <v>45544</v>
      </c>
      <c r="G14805" s="2" t="str">
        <f>HYPERLINK("https://probpalata.gov.ru/files/ИП630600633500005.jpeg","Скачать индивидуальный QR-код магазина")</f>
        <v>Скачать индивидуальный QR-код магазина</v>
      </c>
    </row>
    <row r="14806" spans="1:7" x14ac:dyDescent="0.25">
      <c r="A14806" t="s">
        <v>45139</v>
      </c>
      <c r="B14806" t="s">
        <v>45545</v>
      </c>
      <c r="C14806" t="s">
        <v>37700</v>
      </c>
      <c r="D14806" t="s">
        <v>37701</v>
      </c>
      <c r="E14806" t="s">
        <v>37702</v>
      </c>
      <c r="F14806" t="s">
        <v>45546</v>
      </c>
      <c r="G14806" s="2" t="str">
        <f>HYPERLINK("https://probpalata.gov.ru/files/ИП630600633500006.jpeg","Скачать индивидуальный QR-код магазина")</f>
        <v>Скачать индивидуальный QR-код магазина</v>
      </c>
    </row>
    <row r="14807" spans="1:7" x14ac:dyDescent="0.25">
      <c r="A14807" t="s">
        <v>45139</v>
      </c>
      <c r="B14807" t="s">
        <v>45547</v>
      </c>
      <c r="C14807" t="s">
        <v>37700</v>
      </c>
      <c r="D14807" t="s">
        <v>37701</v>
      </c>
      <c r="E14807" t="s">
        <v>37702</v>
      </c>
      <c r="F14807" t="s">
        <v>45548</v>
      </c>
      <c r="G14807" s="2" t="str">
        <f>HYPERLINK("https://probpalata.gov.ru/files/ИП630600633500009.jpeg","Скачать индивидуальный QR-код магазина")</f>
        <v>Скачать индивидуальный QR-код магазина</v>
      </c>
    </row>
    <row r="14808" spans="1:7" x14ac:dyDescent="0.25">
      <c r="A14808" t="s">
        <v>45139</v>
      </c>
      <c r="B14808" t="s">
        <v>45549</v>
      </c>
      <c r="C14808" t="s">
        <v>37700</v>
      </c>
      <c r="D14808" t="s">
        <v>37701</v>
      </c>
      <c r="E14808" t="s">
        <v>37702</v>
      </c>
      <c r="F14808" t="s">
        <v>45550</v>
      </c>
      <c r="G14808" s="2" t="str">
        <f>HYPERLINK("https://probpalata.gov.ru/files/ИП630600633500011.jpeg","Скачать индивидуальный QR-код магазина")</f>
        <v>Скачать индивидуальный QR-код магазина</v>
      </c>
    </row>
    <row r="14809" spans="1:7" x14ac:dyDescent="0.25">
      <c r="A14809" t="s">
        <v>45139</v>
      </c>
      <c r="B14809" t="s">
        <v>45551</v>
      </c>
      <c r="C14809" t="s">
        <v>37700</v>
      </c>
      <c r="D14809" t="s">
        <v>37701</v>
      </c>
      <c r="E14809" t="s">
        <v>37702</v>
      </c>
      <c r="F14809" t="s">
        <v>45552</v>
      </c>
      <c r="G14809" s="2" t="str">
        <f>HYPERLINK("https://probpalata.gov.ru/files/ИП630600633500012.jpeg","Скачать индивидуальный QR-код магазина")</f>
        <v>Скачать индивидуальный QR-код магазина</v>
      </c>
    </row>
    <row r="14810" spans="1:7" x14ac:dyDescent="0.25">
      <c r="A14810" t="s">
        <v>45139</v>
      </c>
      <c r="B14810" t="s">
        <v>45553</v>
      </c>
      <c r="C14810" t="s">
        <v>45554</v>
      </c>
      <c r="D14810" t="s">
        <v>45555</v>
      </c>
      <c r="E14810" t="s">
        <v>45556</v>
      </c>
      <c r="F14810" t="s">
        <v>45557</v>
      </c>
      <c r="G14810" s="2" t="str">
        <f>HYPERLINK("https://probpalata.gov.ru/files/ЮЛ630600626800000.jpeg","Скачать индивидуальный QR-код магазина")</f>
        <v>Скачать индивидуальный QR-код магазина</v>
      </c>
    </row>
    <row r="14811" spans="1:7" x14ac:dyDescent="0.25">
      <c r="A14811" t="s">
        <v>45139</v>
      </c>
      <c r="B14811" t="s">
        <v>45558</v>
      </c>
      <c r="C14811" t="s">
        <v>45559</v>
      </c>
      <c r="D14811" t="s">
        <v>45560</v>
      </c>
      <c r="E14811" t="s">
        <v>45561</v>
      </c>
      <c r="F14811" t="s">
        <v>45562</v>
      </c>
      <c r="G14811" s="2" t="str">
        <f>HYPERLINK("https://probpalata.gov.ru/files/ИП630600013800000.jpeg","Скачать индивидуальный QR-код магазина")</f>
        <v>Скачать индивидуальный QR-код магазина</v>
      </c>
    </row>
    <row r="14812" spans="1:7" x14ac:dyDescent="0.25">
      <c r="A14812" t="s">
        <v>45139</v>
      </c>
      <c r="B14812" t="s">
        <v>45563</v>
      </c>
      <c r="C14812" t="s">
        <v>45559</v>
      </c>
      <c r="D14812" t="s">
        <v>45560</v>
      </c>
      <c r="E14812" t="s">
        <v>45561</v>
      </c>
      <c r="F14812" t="s">
        <v>45564</v>
      </c>
      <c r="G14812" s="2" t="str">
        <f>HYPERLINK("https://probpalata.gov.ru/files/ИП630600013800001.jpeg","Скачать индивидуальный QR-код магазина")</f>
        <v>Скачать индивидуальный QR-код магазина</v>
      </c>
    </row>
    <row r="14813" spans="1:7" x14ac:dyDescent="0.25">
      <c r="A14813" t="s">
        <v>45139</v>
      </c>
      <c r="B14813" t="s">
        <v>45565</v>
      </c>
      <c r="C14813" t="s">
        <v>45566</v>
      </c>
      <c r="D14813" t="s">
        <v>45567</v>
      </c>
      <c r="E14813" t="s">
        <v>45568</v>
      </c>
      <c r="F14813" t="s">
        <v>45569</v>
      </c>
      <c r="G14813" s="2" t="str">
        <f>HYPERLINK("https://probpalata.gov.ru/files/ЮЛ630603459300000.jpeg","Скачать индивидуальный QR-код магазина")</f>
        <v>Скачать индивидуальный QR-код магазина</v>
      </c>
    </row>
    <row r="14814" spans="1:7" x14ac:dyDescent="0.25">
      <c r="A14814" t="s">
        <v>45139</v>
      </c>
      <c r="B14814" t="s">
        <v>45570</v>
      </c>
      <c r="C14814" t="s">
        <v>45571</v>
      </c>
      <c r="D14814" t="s">
        <v>45572</v>
      </c>
      <c r="E14814" t="s">
        <v>45573</v>
      </c>
      <c r="F14814" t="s">
        <v>45574</v>
      </c>
      <c r="G14814" s="2" t="str">
        <f>HYPERLINK("https://probpalata.gov.ru/files/ЮЛ630600984800000.jpeg","Скачать индивидуальный QR-код магазина")</f>
        <v>Скачать индивидуальный QR-код магазина</v>
      </c>
    </row>
    <row r="14815" spans="1:7" x14ac:dyDescent="0.25">
      <c r="A14815" t="s">
        <v>45139</v>
      </c>
      <c r="B14815" t="s">
        <v>45367</v>
      </c>
      <c r="C14815" t="s">
        <v>45575</v>
      </c>
      <c r="D14815" t="s">
        <v>45576</v>
      </c>
      <c r="E14815" t="s">
        <v>45577</v>
      </c>
      <c r="F14815" t="s">
        <v>45578</v>
      </c>
      <c r="G14815" s="2" t="str">
        <f>HYPERLINK("https://probpalata.gov.ru/files/ИП630600368300000.jpeg","Скачать индивидуальный QR-код магазина")</f>
        <v>Скачать индивидуальный QR-код магазина</v>
      </c>
    </row>
    <row r="14816" spans="1:7" x14ac:dyDescent="0.25">
      <c r="A14816" t="s">
        <v>45139</v>
      </c>
      <c r="B14816" t="s">
        <v>45579</v>
      </c>
      <c r="C14816" t="s">
        <v>45580</v>
      </c>
      <c r="D14816" t="s">
        <v>45581</v>
      </c>
      <c r="E14816" t="s">
        <v>45582</v>
      </c>
      <c r="F14816" t="s">
        <v>45583</v>
      </c>
      <c r="G14816" s="2" t="str">
        <f>HYPERLINK("https://probpalata.gov.ru/files/ИП630600249000000.jpeg","Скачать индивидуальный QR-код магазина")</f>
        <v>Скачать индивидуальный QR-код магазина</v>
      </c>
    </row>
    <row r="14817" spans="1:7" x14ac:dyDescent="0.25">
      <c r="A14817" t="s">
        <v>45139</v>
      </c>
      <c r="B14817" t="s">
        <v>45584</v>
      </c>
      <c r="C14817" t="s">
        <v>33965</v>
      </c>
      <c r="D14817" t="s">
        <v>33966</v>
      </c>
      <c r="E14817" t="s">
        <v>33967</v>
      </c>
      <c r="F14817" t="s">
        <v>45585</v>
      </c>
      <c r="G14817" s="2" t="str">
        <f>HYPERLINK("https://probpalata.gov.ru/files/ИП630600550300004.jpeg","Скачать индивидуальный QR-код магазина")</f>
        <v>Скачать индивидуальный QR-код магазина</v>
      </c>
    </row>
    <row r="14818" spans="1:7" x14ac:dyDescent="0.25">
      <c r="A14818" t="s">
        <v>45139</v>
      </c>
      <c r="B14818" t="s">
        <v>45586</v>
      </c>
      <c r="C14818" t="s">
        <v>33965</v>
      </c>
      <c r="D14818" t="s">
        <v>33966</v>
      </c>
      <c r="E14818" t="s">
        <v>33967</v>
      </c>
      <c r="F14818" t="s">
        <v>45587</v>
      </c>
      <c r="G14818" s="2" t="str">
        <f>HYPERLINK("https://probpalata.gov.ru/files/ИП630600550300008.jpeg","Скачать индивидуальный QR-код магазина")</f>
        <v>Скачать индивидуальный QR-код магазина</v>
      </c>
    </row>
    <row r="14819" spans="1:7" x14ac:dyDescent="0.25">
      <c r="A14819" t="s">
        <v>45139</v>
      </c>
      <c r="B14819" t="s">
        <v>45588</v>
      </c>
      <c r="C14819" t="s">
        <v>33965</v>
      </c>
      <c r="D14819" t="s">
        <v>33966</v>
      </c>
      <c r="E14819" t="s">
        <v>33967</v>
      </c>
      <c r="F14819" t="s">
        <v>45589</v>
      </c>
      <c r="G14819" s="2" t="str">
        <f>HYPERLINK("https://probpalata.gov.ru/files/ИП630600550300018.jpeg","Скачать индивидуальный QR-код магазина")</f>
        <v>Скачать индивидуальный QR-код магазина</v>
      </c>
    </row>
    <row r="14820" spans="1:7" x14ac:dyDescent="0.25">
      <c r="A14820" t="s">
        <v>45139</v>
      </c>
      <c r="B14820" t="s">
        <v>45590</v>
      </c>
      <c r="C14820" t="s">
        <v>45591</v>
      </c>
      <c r="D14820" t="s">
        <v>45592</v>
      </c>
      <c r="E14820" t="s">
        <v>45593</v>
      </c>
      <c r="F14820" t="s">
        <v>45594</v>
      </c>
      <c r="G14820" s="2" t="str">
        <f>HYPERLINK("https://probpalata.gov.ru/files/ИП630600624300000.jpeg","Скачать индивидуальный QR-код магазина")</f>
        <v>Скачать индивидуальный QR-код магазина</v>
      </c>
    </row>
    <row r="14821" spans="1:7" x14ac:dyDescent="0.25">
      <c r="A14821" t="s">
        <v>45139</v>
      </c>
      <c r="B14821" t="s">
        <v>45595</v>
      </c>
      <c r="C14821" t="s">
        <v>45596</v>
      </c>
      <c r="D14821" t="s">
        <v>45597</v>
      </c>
      <c r="E14821" t="s">
        <v>45598</v>
      </c>
      <c r="F14821" t="s">
        <v>45599</v>
      </c>
      <c r="G14821" s="2" t="str">
        <f>HYPERLINK("https://probpalata.gov.ru/files/ИП630600168600000.jpeg","Скачать индивидуальный QR-код магазина")</f>
        <v>Скачать индивидуальный QR-код магазина</v>
      </c>
    </row>
    <row r="14822" spans="1:7" x14ac:dyDescent="0.25">
      <c r="A14822" t="s">
        <v>45139</v>
      </c>
      <c r="B14822" t="s">
        <v>45189</v>
      </c>
      <c r="C14822" t="s">
        <v>45600</v>
      </c>
      <c r="D14822" t="s">
        <v>45601</v>
      </c>
      <c r="E14822" t="s">
        <v>45602</v>
      </c>
      <c r="F14822" t="s">
        <v>45603</v>
      </c>
      <c r="G14822" s="2" t="str">
        <f>HYPERLINK("https://probpalata.gov.ru/files/ЮЛ630600794000000.jpeg","Скачать индивидуальный QR-код магазина")</f>
        <v>Скачать индивидуальный QR-код магазина</v>
      </c>
    </row>
    <row r="14823" spans="1:7" x14ac:dyDescent="0.25">
      <c r="A14823" t="s">
        <v>45139</v>
      </c>
      <c r="B14823" t="s">
        <v>45604</v>
      </c>
      <c r="C14823" t="s">
        <v>45605</v>
      </c>
      <c r="D14823" t="s">
        <v>45606</v>
      </c>
      <c r="E14823" t="s">
        <v>45607</v>
      </c>
      <c r="F14823" t="s">
        <v>45608</v>
      </c>
      <c r="G14823" s="2" t="str">
        <f>HYPERLINK("https://probpalata.gov.ru/files/ИП630600172000000.jpeg","Скачать индивидуальный QR-код магазина")</f>
        <v>Скачать индивидуальный QR-код магазина</v>
      </c>
    </row>
    <row r="14824" spans="1:7" x14ac:dyDescent="0.25">
      <c r="A14824" t="s">
        <v>45139</v>
      </c>
      <c r="B14824" t="s">
        <v>45609</v>
      </c>
      <c r="C14824" t="s">
        <v>45610</v>
      </c>
      <c r="D14824" t="s">
        <v>45611</v>
      </c>
      <c r="E14824" t="s">
        <v>45612</v>
      </c>
      <c r="F14824" t="s">
        <v>45613</v>
      </c>
      <c r="G14824" s="2" t="str">
        <f>HYPERLINK("https://probpalata.gov.ru/files/ИП630603227800000.jpeg","Скачать индивидуальный QR-код магазина")</f>
        <v>Скачать индивидуальный QR-код магазина</v>
      </c>
    </row>
    <row r="14825" spans="1:7" x14ac:dyDescent="0.25">
      <c r="A14825" t="s">
        <v>45139</v>
      </c>
      <c r="B14825" t="s">
        <v>45614</v>
      </c>
      <c r="C14825" t="s">
        <v>45610</v>
      </c>
      <c r="D14825" t="s">
        <v>45611</v>
      </c>
      <c r="E14825" t="s">
        <v>45612</v>
      </c>
      <c r="F14825" t="s">
        <v>45615</v>
      </c>
      <c r="G14825" s="2" t="str">
        <f>HYPERLINK("https://probpalata.gov.ru/files/ИП630603227800001.jpeg","Скачать индивидуальный QR-код магазина")</f>
        <v>Скачать индивидуальный QR-код магазина</v>
      </c>
    </row>
    <row r="14826" spans="1:7" x14ac:dyDescent="0.25">
      <c r="A14826" t="s">
        <v>45139</v>
      </c>
      <c r="B14826" t="s">
        <v>45616</v>
      </c>
      <c r="C14826" t="s">
        <v>45617</v>
      </c>
      <c r="D14826" t="s">
        <v>45618</v>
      </c>
      <c r="E14826" t="s">
        <v>45619</v>
      </c>
      <c r="F14826" t="s">
        <v>45620</v>
      </c>
      <c r="G14826" s="2" t="str">
        <f>HYPERLINK("https://probpalata.gov.ru/files/ИП630604052800000.jpeg","Скачать индивидуальный QR-код магазина")</f>
        <v>Скачать индивидуальный QR-код магазина</v>
      </c>
    </row>
    <row r="14827" spans="1:7" x14ac:dyDescent="0.25">
      <c r="A14827" t="s">
        <v>45139</v>
      </c>
      <c r="B14827" t="s">
        <v>45621</v>
      </c>
      <c r="C14827" t="s">
        <v>45622</v>
      </c>
      <c r="D14827" t="s">
        <v>45623</v>
      </c>
      <c r="E14827" t="s">
        <v>45624</v>
      </c>
      <c r="F14827" t="s">
        <v>45625</v>
      </c>
      <c r="G14827" s="2" t="str">
        <f>HYPERLINK("https://probpalata.gov.ru/files/ИП630601174200000.jpeg","Скачать индивидуальный QR-код магазина")</f>
        <v>Скачать индивидуальный QR-код магазина</v>
      </c>
    </row>
    <row r="14828" spans="1:7" x14ac:dyDescent="0.25">
      <c r="A14828" t="s">
        <v>45139</v>
      </c>
      <c r="B14828" t="s">
        <v>45626</v>
      </c>
      <c r="C14828" t="s">
        <v>45627</v>
      </c>
      <c r="D14828" t="s">
        <v>45628</v>
      </c>
      <c r="E14828" t="s">
        <v>45629</v>
      </c>
      <c r="F14828" t="s">
        <v>45630</v>
      </c>
      <c r="G14828" s="2" t="str">
        <f>HYPERLINK("https://probpalata.gov.ru/files/ИП630600028000000.jpeg","Скачать индивидуальный QR-код магазина")</f>
        <v>Скачать индивидуальный QR-код магазина</v>
      </c>
    </row>
    <row r="14829" spans="1:7" x14ac:dyDescent="0.25">
      <c r="A14829" t="s">
        <v>45139</v>
      </c>
      <c r="B14829" t="s">
        <v>45631</v>
      </c>
      <c r="C14829" t="s">
        <v>37716</v>
      </c>
      <c r="D14829" t="s">
        <v>37717</v>
      </c>
      <c r="E14829" t="s">
        <v>37718</v>
      </c>
      <c r="F14829" t="s">
        <v>45632</v>
      </c>
      <c r="G14829" s="2" t="str">
        <f>HYPERLINK("https://probpalata.gov.ru/files/ИП630600729900000.jpeg","Скачать индивидуальный QR-код магазина")</f>
        <v>Скачать индивидуальный QR-код магазина</v>
      </c>
    </row>
    <row r="14830" spans="1:7" x14ac:dyDescent="0.25">
      <c r="A14830" t="s">
        <v>45139</v>
      </c>
      <c r="B14830" t="s">
        <v>45633</v>
      </c>
      <c r="C14830" t="s">
        <v>37716</v>
      </c>
      <c r="D14830" t="s">
        <v>37717</v>
      </c>
      <c r="E14830" t="s">
        <v>37718</v>
      </c>
      <c r="F14830" t="s">
        <v>45634</v>
      </c>
      <c r="G14830" s="2" t="str">
        <f>HYPERLINK("https://probpalata.gov.ru/files/ИП630600729900009.jpeg","Скачать индивидуальный QR-код магазина")</f>
        <v>Скачать индивидуальный QR-код магазина</v>
      </c>
    </row>
    <row r="14831" spans="1:7" x14ac:dyDescent="0.25">
      <c r="A14831" t="s">
        <v>45139</v>
      </c>
      <c r="B14831" t="s">
        <v>45635</v>
      </c>
      <c r="C14831" t="s">
        <v>3828</v>
      </c>
      <c r="D14831" t="s">
        <v>3829</v>
      </c>
      <c r="E14831" t="s">
        <v>3830</v>
      </c>
      <c r="F14831" t="s">
        <v>45636</v>
      </c>
      <c r="G14831" s="2" t="str">
        <f>HYPERLINK("https://probpalata.gov.ru/files/ЮЛ630603373600000.jpeg","Скачать индивидуальный QR-код магазина")</f>
        <v>Скачать индивидуальный QR-код магазина</v>
      </c>
    </row>
    <row r="14832" spans="1:7" x14ac:dyDescent="0.25">
      <c r="A14832" t="s">
        <v>45139</v>
      </c>
      <c r="B14832" t="s">
        <v>45637</v>
      </c>
      <c r="C14832" t="s">
        <v>3828</v>
      </c>
      <c r="D14832" t="s">
        <v>3829</v>
      </c>
      <c r="E14832" t="s">
        <v>3830</v>
      </c>
      <c r="F14832" t="s">
        <v>45638</v>
      </c>
      <c r="G14832" s="2" t="str">
        <f>HYPERLINK("https://probpalata.gov.ru/files/ЮЛ630603373600004.jpeg","Скачать индивидуальный QR-код магазина")</f>
        <v>Скачать индивидуальный QR-код магазина</v>
      </c>
    </row>
    <row r="14833" spans="1:7" x14ac:dyDescent="0.25">
      <c r="A14833" t="s">
        <v>45139</v>
      </c>
      <c r="B14833" t="s">
        <v>45639</v>
      </c>
      <c r="C14833" t="s">
        <v>3828</v>
      </c>
      <c r="D14833" t="s">
        <v>3829</v>
      </c>
      <c r="E14833" t="s">
        <v>3830</v>
      </c>
      <c r="F14833" t="s">
        <v>45640</v>
      </c>
      <c r="G14833" s="2" t="str">
        <f>HYPERLINK("https://probpalata.gov.ru/files/ЮЛ630603373600029.jpeg","Скачать индивидуальный QR-код магазина")</f>
        <v>Скачать индивидуальный QR-код магазина</v>
      </c>
    </row>
    <row r="14834" spans="1:7" x14ac:dyDescent="0.25">
      <c r="A14834" t="s">
        <v>45139</v>
      </c>
      <c r="B14834" t="s">
        <v>45641</v>
      </c>
      <c r="C14834" t="s">
        <v>3828</v>
      </c>
      <c r="D14834" t="s">
        <v>3829</v>
      </c>
      <c r="E14834" t="s">
        <v>3830</v>
      </c>
      <c r="F14834" t="s">
        <v>45642</v>
      </c>
      <c r="G14834" s="2" t="str">
        <f>HYPERLINK("https://probpalata.gov.ru/files/ЮЛ630603373600046.jpeg","Скачать индивидуальный QR-код магазина")</f>
        <v>Скачать индивидуальный QR-код магазина</v>
      </c>
    </row>
    <row r="14835" spans="1:7" x14ac:dyDescent="0.25">
      <c r="A14835" t="s">
        <v>45139</v>
      </c>
      <c r="B14835" t="s">
        <v>45643</v>
      </c>
      <c r="C14835" t="s">
        <v>45644</v>
      </c>
      <c r="D14835" t="s">
        <v>45645</v>
      </c>
      <c r="E14835" t="s">
        <v>45646</v>
      </c>
      <c r="F14835" t="s">
        <v>45647</v>
      </c>
      <c r="G14835" s="2" t="str">
        <f>HYPERLINK("https://probpalata.gov.ru/files/ЮЛ630603012000000.jpeg","Скачать индивидуальный QR-код магазина")</f>
        <v>Скачать индивидуальный QR-код магазина</v>
      </c>
    </row>
    <row r="14836" spans="1:7" x14ac:dyDescent="0.25">
      <c r="A14836" t="s">
        <v>45139</v>
      </c>
      <c r="B14836" t="s">
        <v>45648</v>
      </c>
      <c r="C14836" t="s">
        <v>45644</v>
      </c>
      <c r="D14836" t="s">
        <v>45645</v>
      </c>
      <c r="E14836" t="s">
        <v>45646</v>
      </c>
      <c r="F14836" t="s">
        <v>45649</v>
      </c>
      <c r="G14836" s="2" t="str">
        <f>HYPERLINK("https://probpalata.gov.ru/files/ЮЛ630603012000005.jpeg","Скачать индивидуальный QR-код магазина")</f>
        <v>Скачать индивидуальный QR-код магазина</v>
      </c>
    </row>
    <row r="14837" spans="1:7" x14ac:dyDescent="0.25">
      <c r="A14837" t="s">
        <v>45139</v>
      </c>
      <c r="B14837" t="s">
        <v>45650</v>
      </c>
      <c r="C14837" t="s">
        <v>45644</v>
      </c>
      <c r="D14837" t="s">
        <v>45645</v>
      </c>
      <c r="E14837" t="s">
        <v>45646</v>
      </c>
      <c r="F14837" t="s">
        <v>45651</v>
      </c>
      <c r="G14837" s="2" t="str">
        <f>HYPERLINK("https://probpalata.gov.ru/files/ЮЛ630603012000010.jpeg","Скачать индивидуальный QR-код магазина")</f>
        <v>Скачать индивидуальный QR-код магазина</v>
      </c>
    </row>
    <row r="14838" spans="1:7" x14ac:dyDescent="0.25">
      <c r="A14838" t="s">
        <v>45139</v>
      </c>
      <c r="B14838" t="s">
        <v>45652</v>
      </c>
      <c r="C14838" t="s">
        <v>45644</v>
      </c>
      <c r="D14838" t="s">
        <v>45645</v>
      </c>
      <c r="E14838" t="s">
        <v>45646</v>
      </c>
      <c r="F14838" t="s">
        <v>45653</v>
      </c>
      <c r="G14838" s="2" t="str">
        <f>HYPERLINK("https://probpalata.gov.ru/files/ЮЛ630603012000012.jpeg","Скачать индивидуальный QR-код магазина")</f>
        <v>Скачать индивидуальный QR-код магазина</v>
      </c>
    </row>
    <row r="14839" spans="1:7" x14ac:dyDescent="0.25">
      <c r="A14839" t="s">
        <v>45139</v>
      </c>
      <c r="B14839" t="s">
        <v>45654</v>
      </c>
      <c r="C14839" t="s">
        <v>45644</v>
      </c>
      <c r="D14839" t="s">
        <v>45645</v>
      </c>
      <c r="E14839" t="s">
        <v>45646</v>
      </c>
      <c r="F14839" t="s">
        <v>45655</v>
      </c>
      <c r="G14839" s="2" t="str">
        <f>HYPERLINK("https://probpalata.gov.ru/files/ЮЛ630603012000014.jpeg","Скачать индивидуальный QR-код магазина")</f>
        <v>Скачать индивидуальный QR-код магазина</v>
      </c>
    </row>
    <row r="14840" spans="1:7" x14ac:dyDescent="0.25">
      <c r="A14840" t="s">
        <v>45139</v>
      </c>
      <c r="B14840" t="s">
        <v>45656</v>
      </c>
      <c r="C14840" t="s">
        <v>45644</v>
      </c>
      <c r="D14840" t="s">
        <v>45645</v>
      </c>
      <c r="E14840" t="s">
        <v>45646</v>
      </c>
      <c r="F14840" t="s">
        <v>45657</v>
      </c>
      <c r="G14840" s="2" t="str">
        <f>HYPERLINK("https://probpalata.gov.ru/files/ЮЛ630603012000016.jpeg","Скачать индивидуальный QR-код магазина")</f>
        <v>Скачать индивидуальный QR-код магазина</v>
      </c>
    </row>
    <row r="14841" spans="1:7" x14ac:dyDescent="0.25">
      <c r="A14841" t="s">
        <v>45139</v>
      </c>
      <c r="B14841" t="s">
        <v>45658</v>
      </c>
      <c r="C14841" t="s">
        <v>45644</v>
      </c>
      <c r="D14841" t="s">
        <v>45645</v>
      </c>
      <c r="E14841" t="s">
        <v>45646</v>
      </c>
      <c r="F14841" t="s">
        <v>45659</v>
      </c>
      <c r="G14841" s="2" t="str">
        <f>HYPERLINK("https://probpalata.gov.ru/files/ЮЛ630603012000017.jpeg","Скачать индивидуальный QR-код магазина")</f>
        <v>Скачать индивидуальный QR-код магазина</v>
      </c>
    </row>
    <row r="14842" spans="1:7" x14ac:dyDescent="0.25">
      <c r="A14842" t="s">
        <v>45139</v>
      </c>
      <c r="B14842" t="s">
        <v>45660</v>
      </c>
      <c r="C14842" t="s">
        <v>45644</v>
      </c>
      <c r="D14842" t="s">
        <v>45645</v>
      </c>
      <c r="E14842" t="s">
        <v>45646</v>
      </c>
      <c r="F14842" t="s">
        <v>45661</v>
      </c>
      <c r="G14842" s="2" t="str">
        <f>HYPERLINK("https://probpalata.gov.ru/files/ЮЛ630603012000018.jpeg","Скачать индивидуальный QR-код магазина")</f>
        <v>Скачать индивидуальный QR-код магазина</v>
      </c>
    </row>
    <row r="14843" spans="1:7" x14ac:dyDescent="0.25">
      <c r="A14843" t="s">
        <v>45139</v>
      </c>
      <c r="B14843" t="s">
        <v>45662</v>
      </c>
      <c r="C14843" t="s">
        <v>45644</v>
      </c>
      <c r="D14843" t="s">
        <v>45645</v>
      </c>
      <c r="E14843" t="s">
        <v>45646</v>
      </c>
      <c r="F14843" t="s">
        <v>45663</v>
      </c>
      <c r="G14843" s="2" t="str">
        <f>HYPERLINK("https://probpalata.gov.ru/files/ЮЛ630603012000021.jpeg","Скачать индивидуальный QR-код магазина")</f>
        <v>Скачать индивидуальный QR-код магазина</v>
      </c>
    </row>
    <row r="14844" spans="1:7" x14ac:dyDescent="0.25">
      <c r="A14844" t="s">
        <v>45139</v>
      </c>
      <c r="B14844" t="s">
        <v>45664</v>
      </c>
      <c r="C14844" t="s">
        <v>45644</v>
      </c>
      <c r="D14844" t="s">
        <v>45645</v>
      </c>
      <c r="E14844" t="s">
        <v>45646</v>
      </c>
      <c r="F14844" t="s">
        <v>45665</v>
      </c>
      <c r="G14844" s="2" t="str">
        <f>HYPERLINK("https://probpalata.gov.ru/files/ЮЛ630603012000022.jpeg","Скачать индивидуальный QR-код магазина")</f>
        <v>Скачать индивидуальный QR-код магазина</v>
      </c>
    </row>
    <row r="14845" spans="1:7" x14ac:dyDescent="0.25">
      <c r="A14845" t="s">
        <v>45139</v>
      </c>
      <c r="B14845" t="s">
        <v>45666</v>
      </c>
      <c r="C14845" t="s">
        <v>45644</v>
      </c>
      <c r="D14845" t="s">
        <v>45645</v>
      </c>
      <c r="E14845" t="s">
        <v>45646</v>
      </c>
      <c r="F14845" t="s">
        <v>45667</v>
      </c>
      <c r="G14845" s="2" t="str">
        <f>HYPERLINK("https://probpalata.gov.ru/files/ЮЛ630603012000024.jpeg","Скачать индивидуальный QR-код магазина")</f>
        <v>Скачать индивидуальный QR-код магазина</v>
      </c>
    </row>
    <row r="14846" spans="1:7" x14ac:dyDescent="0.25">
      <c r="A14846" t="s">
        <v>45139</v>
      </c>
      <c r="B14846" t="s">
        <v>45668</v>
      </c>
      <c r="C14846" t="s">
        <v>45644</v>
      </c>
      <c r="D14846" t="s">
        <v>45645</v>
      </c>
      <c r="E14846" t="s">
        <v>45646</v>
      </c>
      <c r="F14846" t="s">
        <v>45669</v>
      </c>
      <c r="G14846" s="2" t="str">
        <f>HYPERLINK("https://probpalata.gov.ru/files/ЮЛ630603012000026.jpeg","Скачать индивидуальный QR-код магазина")</f>
        <v>Скачать индивидуальный QR-код магазина</v>
      </c>
    </row>
    <row r="14847" spans="1:7" x14ac:dyDescent="0.25">
      <c r="A14847" t="s">
        <v>45139</v>
      </c>
      <c r="B14847" t="s">
        <v>45670</v>
      </c>
      <c r="C14847" t="s">
        <v>45644</v>
      </c>
      <c r="D14847" t="s">
        <v>45645</v>
      </c>
      <c r="E14847" t="s">
        <v>45646</v>
      </c>
      <c r="F14847" t="s">
        <v>45671</v>
      </c>
      <c r="G14847" s="2" t="str">
        <f>HYPERLINK("https://probpalata.gov.ru/files/ЮЛ630603012000027.jpeg","Скачать индивидуальный QR-код магазина")</f>
        <v>Скачать индивидуальный QR-код магазина</v>
      </c>
    </row>
    <row r="14848" spans="1:7" x14ac:dyDescent="0.25">
      <c r="A14848" t="s">
        <v>45139</v>
      </c>
      <c r="B14848" t="s">
        <v>45672</v>
      </c>
      <c r="C14848" t="s">
        <v>20575</v>
      </c>
      <c r="D14848" t="s">
        <v>20576</v>
      </c>
      <c r="E14848" t="s">
        <v>20577</v>
      </c>
      <c r="F14848" t="s">
        <v>45673</v>
      </c>
      <c r="G14848" s="2" t="str">
        <f>HYPERLINK("https://probpalata.gov.ru/files/ЮЛ630600190100000.jpeg","Скачать индивидуальный QR-код магазина")</f>
        <v>Скачать индивидуальный QR-код магазина</v>
      </c>
    </row>
    <row r="14849" spans="1:7" x14ac:dyDescent="0.25">
      <c r="A14849" t="s">
        <v>45139</v>
      </c>
      <c r="B14849" t="s">
        <v>45674</v>
      </c>
      <c r="C14849" t="s">
        <v>45675</v>
      </c>
      <c r="D14849" t="s">
        <v>45676</v>
      </c>
      <c r="E14849" t="s">
        <v>45677</v>
      </c>
      <c r="F14849" t="s">
        <v>45678</v>
      </c>
      <c r="G14849" s="2" t="str">
        <f>HYPERLINK("https://probpalata.gov.ru/files/ЮЛ630603584400000.jpeg","Скачать индивидуальный QR-код магазина")</f>
        <v>Скачать индивидуальный QR-код магазина</v>
      </c>
    </row>
    <row r="14850" spans="1:7" x14ac:dyDescent="0.25">
      <c r="A14850" t="s">
        <v>45139</v>
      </c>
      <c r="B14850" t="s">
        <v>45679</v>
      </c>
      <c r="C14850" t="s">
        <v>45680</v>
      </c>
      <c r="D14850" t="s">
        <v>45681</v>
      </c>
      <c r="E14850" t="s">
        <v>45682</v>
      </c>
      <c r="F14850" t="s">
        <v>45683</v>
      </c>
      <c r="G14850" s="2" t="str">
        <f>HYPERLINK("https://probpalata.gov.ru/files/ЮЛ630603830200000.jpeg","Скачать индивидуальный QR-код магазина")</f>
        <v>Скачать индивидуальный QR-код магазина</v>
      </c>
    </row>
    <row r="14851" spans="1:7" x14ac:dyDescent="0.25">
      <c r="A14851" t="s">
        <v>45139</v>
      </c>
      <c r="B14851" t="s">
        <v>45684</v>
      </c>
      <c r="C14851" t="s">
        <v>45685</v>
      </c>
      <c r="D14851" t="s">
        <v>45686</v>
      </c>
      <c r="E14851" t="s">
        <v>45687</v>
      </c>
      <c r="F14851" t="s">
        <v>45688</v>
      </c>
      <c r="G14851" s="2" t="str">
        <f>HYPERLINK("https://probpalata.gov.ru/files/ИП630603599100000.jpeg","Скачать индивидуальный QR-код магазина")</f>
        <v>Скачать индивидуальный QR-код магазина</v>
      </c>
    </row>
    <row r="14852" spans="1:7" x14ac:dyDescent="0.25">
      <c r="A14852" t="s">
        <v>45139</v>
      </c>
      <c r="B14852" t="s">
        <v>45689</v>
      </c>
      <c r="C14852" t="s">
        <v>45685</v>
      </c>
      <c r="D14852" t="s">
        <v>45686</v>
      </c>
      <c r="E14852" t="s">
        <v>45687</v>
      </c>
      <c r="F14852" t="s">
        <v>45690</v>
      </c>
      <c r="G14852" s="2" t="str">
        <f>HYPERLINK("https://probpalata.gov.ru/files/ИП630603599100001.jpeg","Скачать индивидуальный QR-код магазина")</f>
        <v>Скачать индивидуальный QR-код магазина</v>
      </c>
    </row>
    <row r="14853" spans="1:7" x14ac:dyDescent="0.25">
      <c r="A14853" t="s">
        <v>45139</v>
      </c>
      <c r="B14853" t="s">
        <v>45691</v>
      </c>
      <c r="C14853" t="s">
        <v>45692</v>
      </c>
      <c r="D14853" t="s">
        <v>45693</v>
      </c>
      <c r="E14853" t="s">
        <v>45694</v>
      </c>
      <c r="F14853" t="s">
        <v>45695</v>
      </c>
      <c r="G14853" s="2" t="str">
        <f>HYPERLINK("https://probpalata.gov.ru/files/ИП630603400500000.jpeg","Скачать индивидуальный QR-код магазина")</f>
        <v>Скачать индивидуальный QR-код магазина</v>
      </c>
    </row>
    <row r="14854" spans="1:7" x14ac:dyDescent="0.25">
      <c r="A14854" t="s">
        <v>45139</v>
      </c>
      <c r="B14854" t="s">
        <v>45696</v>
      </c>
      <c r="C14854" t="s">
        <v>45692</v>
      </c>
      <c r="D14854" t="s">
        <v>45693</v>
      </c>
      <c r="E14854" t="s">
        <v>45694</v>
      </c>
      <c r="F14854" t="s">
        <v>45697</v>
      </c>
      <c r="G14854" s="2" t="str">
        <f>HYPERLINK("https://probpalata.gov.ru/files/ИП630603400500001.jpeg","Скачать индивидуальный QR-код магазина")</f>
        <v>Скачать индивидуальный QR-код магазина</v>
      </c>
    </row>
    <row r="14855" spans="1:7" x14ac:dyDescent="0.25">
      <c r="A14855" t="s">
        <v>45139</v>
      </c>
      <c r="B14855" t="s">
        <v>45698</v>
      </c>
      <c r="C14855" t="s">
        <v>45692</v>
      </c>
      <c r="D14855" t="s">
        <v>45693</v>
      </c>
      <c r="E14855" t="s">
        <v>45694</v>
      </c>
      <c r="F14855" t="s">
        <v>45699</v>
      </c>
      <c r="G14855" s="2" t="str">
        <f>HYPERLINK("https://probpalata.gov.ru/files/ИП630603400500002.jpeg","Скачать индивидуальный QR-код магазина")</f>
        <v>Скачать индивидуальный QR-код магазина</v>
      </c>
    </row>
    <row r="14856" spans="1:7" x14ac:dyDescent="0.25">
      <c r="A14856" t="s">
        <v>45139</v>
      </c>
      <c r="B14856" t="s">
        <v>45700</v>
      </c>
      <c r="C14856" t="s">
        <v>45692</v>
      </c>
      <c r="D14856" t="s">
        <v>45693</v>
      </c>
      <c r="E14856" t="s">
        <v>45694</v>
      </c>
      <c r="F14856" t="s">
        <v>45701</v>
      </c>
      <c r="G14856" s="2" t="str">
        <f>HYPERLINK("https://probpalata.gov.ru/files/ИП630603400500003.jpeg","Скачать индивидуальный QR-код магазина")</f>
        <v>Скачать индивидуальный QR-код магазина</v>
      </c>
    </row>
    <row r="14857" spans="1:7" x14ac:dyDescent="0.25">
      <c r="A14857" t="s">
        <v>45139</v>
      </c>
      <c r="B14857" t="s">
        <v>45702</v>
      </c>
      <c r="C14857" t="s">
        <v>45692</v>
      </c>
      <c r="D14857" t="s">
        <v>45693</v>
      </c>
      <c r="E14857" t="s">
        <v>45694</v>
      </c>
      <c r="F14857" t="s">
        <v>45703</v>
      </c>
      <c r="G14857" s="2" t="str">
        <f>HYPERLINK("https://probpalata.gov.ru/files/ИП630603400500004.jpeg","Скачать индивидуальный QR-код магазина")</f>
        <v>Скачать индивидуальный QR-код магазина</v>
      </c>
    </row>
    <row r="14858" spans="1:7" x14ac:dyDescent="0.25">
      <c r="A14858" t="s">
        <v>45139</v>
      </c>
      <c r="B14858" t="s">
        <v>45704</v>
      </c>
      <c r="C14858" t="s">
        <v>45692</v>
      </c>
      <c r="D14858" t="s">
        <v>45693</v>
      </c>
      <c r="E14858" t="s">
        <v>45694</v>
      </c>
      <c r="F14858" t="s">
        <v>45705</v>
      </c>
      <c r="G14858" s="2" t="str">
        <f>HYPERLINK("https://probpalata.gov.ru/files/ИП630603400500005.jpeg","Скачать индивидуальный QR-код магазина")</f>
        <v>Скачать индивидуальный QR-код магазина</v>
      </c>
    </row>
    <row r="14859" spans="1:7" x14ac:dyDescent="0.25">
      <c r="A14859" t="s">
        <v>45139</v>
      </c>
      <c r="B14859" t="s">
        <v>45706</v>
      </c>
      <c r="C14859" t="s">
        <v>45707</v>
      </c>
      <c r="D14859" t="s">
        <v>45708</v>
      </c>
      <c r="E14859" t="s">
        <v>45709</v>
      </c>
      <c r="F14859" t="s">
        <v>45710</v>
      </c>
      <c r="G14859" s="2" t="str">
        <f>HYPERLINK("https://probpalata.gov.ru/files/ИП630600038300000.jpeg","Скачать индивидуальный QR-код магазина")</f>
        <v>Скачать индивидуальный QR-код магазина</v>
      </c>
    </row>
    <row r="14860" spans="1:7" x14ac:dyDescent="0.25">
      <c r="A14860" t="s">
        <v>45139</v>
      </c>
      <c r="B14860" t="s">
        <v>45216</v>
      </c>
      <c r="C14860" t="s">
        <v>45711</v>
      </c>
      <c r="D14860" t="s">
        <v>45712</v>
      </c>
      <c r="E14860" t="s">
        <v>45713</v>
      </c>
      <c r="F14860" t="s">
        <v>45714</v>
      </c>
      <c r="G14860" s="2" t="str">
        <f>HYPERLINK("https://probpalata.gov.ru/files/ИП630600087200000.jpeg","Скачать индивидуальный QR-код магазина")</f>
        <v>Скачать индивидуальный QR-код магазина</v>
      </c>
    </row>
    <row r="14861" spans="1:7" x14ac:dyDescent="0.25">
      <c r="A14861" t="s">
        <v>45139</v>
      </c>
      <c r="B14861" t="s">
        <v>45715</v>
      </c>
      <c r="C14861" t="s">
        <v>45716</v>
      </c>
      <c r="D14861" t="s">
        <v>45717</v>
      </c>
      <c r="E14861" t="s">
        <v>45718</v>
      </c>
      <c r="F14861" t="s">
        <v>45719</v>
      </c>
      <c r="G14861" s="2" t="str">
        <f>HYPERLINK("https://probpalata.gov.ru/files/ИП630601011100000.jpeg","Скачать индивидуальный QR-код магазина")</f>
        <v>Скачать индивидуальный QR-код магазина</v>
      </c>
    </row>
    <row r="14862" spans="1:7" x14ac:dyDescent="0.25">
      <c r="A14862" t="s">
        <v>45139</v>
      </c>
      <c r="B14862" t="s">
        <v>45720</v>
      </c>
      <c r="C14862" t="s">
        <v>45721</v>
      </c>
      <c r="D14862" t="s">
        <v>45722</v>
      </c>
      <c r="E14862" t="s">
        <v>45723</v>
      </c>
      <c r="F14862" t="s">
        <v>45724</v>
      </c>
      <c r="G14862" s="2" t="str">
        <f>HYPERLINK("https://probpalata.gov.ru/files/ИП630601113600000.jpeg","Скачать индивидуальный QR-код магазина")</f>
        <v>Скачать индивидуальный QR-код магазина</v>
      </c>
    </row>
    <row r="14863" spans="1:7" x14ac:dyDescent="0.25">
      <c r="A14863" t="s">
        <v>45139</v>
      </c>
      <c r="B14863" t="s">
        <v>45725</v>
      </c>
      <c r="C14863" t="s">
        <v>45726</v>
      </c>
      <c r="D14863" t="s">
        <v>45727</v>
      </c>
      <c r="E14863" t="s">
        <v>45728</v>
      </c>
      <c r="F14863" t="s">
        <v>45729</v>
      </c>
      <c r="G14863" s="2" t="str">
        <f>HYPERLINK("https://probpalata.gov.ru/files/ИП630601708200000.jpeg","Скачать индивидуальный QR-код магазина")</f>
        <v>Скачать индивидуальный QR-код магазина</v>
      </c>
    </row>
    <row r="14864" spans="1:7" x14ac:dyDescent="0.25">
      <c r="A14864" t="s">
        <v>45139</v>
      </c>
      <c r="B14864" t="s">
        <v>45730</v>
      </c>
      <c r="C14864" t="s">
        <v>45731</v>
      </c>
      <c r="D14864" t="s">
        <v>45732</v>
      </c>
      <c r="E14864" t="s">
        <v>45733</v>
      </c>
      <c r="F14864" t="s">
        <v>45734</v>
      </c>
      <c r="G14864" s="2" t="str">
        <f>HYPERLINK("https://probpalata.gov.ru/files/ИП630600065300000.jpeg","Скачать индивидуальный QR-код магазина")</f>
        <v>Скачать индивидуальный QR-код магазина</v>
      </c>
    </row>
    <row r="14865" spans="1:7" x14ac:dyDescent="0.25">
      <c r="A14865" t="s">
        <v>45139</v>
      </c>
      <c r="B14865" t="s">
        <v>45735</v>
      </c>
      <c r="C14865" t="s">
        <v>45736</v>
      </c>
      <c r="D14865" t="s">
        <v>45737</v>
      </c>
      <c r="E14865" t="s">
        <v>45738</v>
      </c>
      <c r="F14865" t="s">
        <v>45739</v>
      </c>
      <c r="G14865" s="2" t="str">
        <f>HYPERLINK("https://probpalata.gov.ru/files/ИП630600110000000.jpeg","Скачать индивидуальный QR-код магазина")</f>
        <v>Скачать индивидуальный QR-код магазина</v>
      </c>
    </row>
    <row r="14866" spans="1:7" x14ac:dyDescent="0.25">
      <c r="A14866" t="s">
        <v>45139</v>
      </c>
      <c r="B14866" t="s">
        <v>45740</v>
      </c>
      <c r="C14866" t="s">
        <v>45741</v>
      </c>
      <c r="D14866" t="s">
        <v>45742</v>
      </c>
      <c r="E14866" t="s">
        <v>45743</v>
      </c>
      <c r="F14866" t="s">
        <v>45744</v>
      </c>
      <c r="G14866" s="2" t="str">
        <f>HYPERLINK("https://probpalata.gov.ru/files/ЮЛ630600652800000.jpeg","Скачать индивидуальный QR-код магазина")</f>
        <v>Скачать индивидуальный QR-код магазина</v>
      </c>
    </row>
    <row r="14867" spans="1:7" x14ac:dyDescent="0.25">
      <c r="A14867" t="s">
        <v>45139</v>
      </c>
      <c r="B14867" t="s">
        <v>45745</v>
      </c>
      <c r="C14867" t="s">
        <v>21242</v>
      </c>
      <c r="D14867" t="s">
        <v>45746</v>
      </c>
      <c r="E14867" t="s">
        <v>45747</v>
      </c>
      <c r="F14867" t="s">
        <v>45748</v>
      </c>
      <c r="G14867" s="2" t="str">
        <f>HYPERLINK("https://probpalata.gov.ru/files/ЮЛ630600619600000.jpeg","Скачать индивидуальный QR-код магазина")</f>
        <v>Скачать индивидуальный QR-код магазина</v>
      </c>
    </row>
    <row r="14868" spans="1:7" x14ac:dyDescent="0.25">
      <c r="A14868" t="s">
        <v>45139</v>
      </c>
      <c r="B14868" t="s">
        <v>45749</v>
      </c>
      <c r="C14868" t="s">
        <v>40854</v>
      </c>
      <c r="D14868" t="s">
        <v>40855</v>
      </c>
      <c r="E14868" t="s">
        <v>40856</v>
      </c>
      <c r="F14868" t="s">
        <v>45750</v>
      </c>
      <c r="G14868" s="2" t="str">
        <f>HYPERLINK("https://probpalata.gov.ru/files/ИП630600581600000.jpeg","Скачать индивидуальный QR-код магазина")</f>
        <v>Скачать индивидуальный QR-код магазина</v>
      </c>
    </row>
    <row r="14869" spans="1:7" x14ac:dyDescent="0.25">
      <c r="A14869" t="s">
        <v>45139</v>
      </c>
      <c r="B14869" t="s">
        <v>45751</v>
      </c>
      <c r="C14869" t="s">
        <v>40854</v>
      </c>
      <c r="D14869" t="s">
        <v>40855</v>
      </c>
      <c r="E14869" t="s">
        <v>40856</v>
      </c>
      <c r="F14869" t="s">
        <v>45752</v>
      </c>
      <c r="G14869" s="2" t="str">
        <f>HYPERLINK("https://probpalata.gov.ru/files/ИП630600581600001.jpeg","Скачать индивидуальный QR-код магазина")</f>
        <v>Скачать индивидуальный QR-код магазина</v>
      </c>
    </row>
    <row r="14870" spans="1:7" x14ac:dyDescent="0.25">
      <c r="A14870" t="s">
        <v>45139</v>
      </c>
      <c r="B14870" t="s">
        <v>45753</v>
      </c>
      <c r="C14870" t="s">
        <v>40854</v>
      </c>
      <c r="D14870" t="s">
        <v>40855</v>
      </c>
      <c r="E14870" t="s">
        <v>40856</v>
      </c>
      <c r="F14870" t="s">
        <v>45754</v>
      </c>
      <c r="G14870" s="2" t="str">
        <f>HYPERLINK("https://probpalata.gov.ru/files/ИП630600581600002.jpeg","Скачать индивидуальный QR-код магазина")</f>
        <v>Скачать индивидуальный QR-код магазина</v>
      </c>
    </row>
    <row r="14871" spans="1:7" x14ac:dyDescent="0.25">
      <c r="A14871" t="s">
        <v>45139</v>
      </c>
      <c r="B14871" t="s">
        <v>45755</v>
      </c>
      <c r="C14871" t="s">
        <v>40854</v>
      </c>
      <c r="D14871" t="s">
        <v>40855</v>
      </c>
      <c r="E14871" t="s">
        <v>40856</v>
      </c>
      <c r="F14871" t="s">
        <v>45756</v>
      </c>
      <c r="G14871" s="2" t="str">
        <f>HYPERLINK("https://probpalata.gov.ru/files/ИП630600581600003.jpeg","Скачать индивидуальный QR-код магазина")</f>
        <v>Скачать индивидуальный QR-код магазина</v>
      </c>
    </row>
    <row r="14872" spans="1:7" x14ac:dyDescent="0.25">
      <c r="A14872" t="s">
        <v>45139</v>
      </c>
      <c r="B14872" t="s">
        <v>45757</v>
      </c>
      <c r="C14872" t="s">
        <v>40854</v>
      </c>
      <c r="D14872" t="s">
        <v>40855</v>
      </c>
      <c r="E14872" t="s">
        <v>40856</v>
      </c>
      <c r="F14872" t="s">
        <v>45758</v>
      </c>
      <c r="G14872" s="2" t="str">
        <f>HYPERLINK("https://probpalata.gov.ru/files/ИП630600581600004.jpeg","Скачать индивидуальный QR-код магазина")</f>
        <v>Скачать индивидуальный QR-код магазина</v>
      </c>
    </row>
    <row r="14873" spans="1:7" x14ac:dyDescent="0.25">
      <c r="A14873" t="s">
        <v>45139</v>
      </c>
      <c r="B14873" t="s">
        <v>45759</v>
      </c>
      <c r="C14873" t="s">
        <v>40854</v>
      </c>
      <c r="D14873" t="s">
        <v>40855</v>
      </c>
      <c r="E14873" t="s">
        <v>40856</v>
      </c>
      <c r="F14873" t="s">
        <v>45760</v>
      </c>
      <c r="G14873" s="2" t="str">
        <f>HYPERLINK("https://probpalata.gov.ru/files/ИП630600581600005.jpeg","Скачать индивидуальный QR-код магазина")</f>
        <v>Скачать индивидуальный QR-код магазина</v>
      </c>
    </row>
    <row r="14874" spans="1:7" x14ac:dyDescent="0.25">
      <c r="A14874" t="s">
        <v>45139</v>
      </c>
      <c r="B14874" t="s">
        <v>45761</v>
      </c>
      <c r="C14874" t="s">
        <v>40854</v>
      </c>
      <c r="D14874" t="s">
        <v>40855</v>
      </c>
      <c r="E14874" t="s">
        <v>40856</v>
      </c>
      <c r="F14874" t="s">
        <v>45762</v>
      </c>
      <c r="G14874" s="2" t="str">
        <f>HYPERLINK("https://probpalata.gov.ru/files/ИП630600581600006.jpeg","Скачать индивидуальный QR-код магазина")</f>
        <v>Скачать индивидуальный QR-код магазина</v>
      </c>
    </row>
    <row r="14875" spans="1:7" x14ac:dyDescent="0.25">
      <c r="A14875" t="s">
        <v>45139</v>
      </c>
      <c r="B14875" t="s">
        <v>45189</v>
      </c>
      <c r="C14875" t="s">
        <v>40854</v>
      </c>
      <c r="D14875" t="s">
        <v>40855</v>
      </c>
      <c r="E14875" t="s">
        <v>40856</v>
      </c>
      <c r="F14875" t="s">
        <v>45763</v>
      </c>
      <c r="G14875" s="2" t="str">
        <f>HYPERLINK("https://probpalata.gov.ru/files/ИП630600581600008.jpeg","Скачать индивидуальный QR-код магазина")</f>
        <v>Скачать индивидуальный QR-код магазина</v>
      </c>
    </row>
    <row r="14876" spans="1:7" x14ac:dyDescent="0.25">
      <c r="A14876" t="s">
        <v>45139</v>
      </c>
      <c r="B14876" t="s">
        <v>45764</v>
      </c>
      <c r="C14876" t="s">
        <v>40854</v>
      </c>
      <c r="D14876" t="s">
        <v>40855</v>
      </c>
      <c r="E14876" t="s">
        <v>40856</v>
      </c>
      <c r="F14876" t="s">
        <v>45765</v>
      </c>
      <c r="G14876" s="2" t="str">
        <f>HYPERLINK("https://probpalata.gov.ru/files/ИП630600581600009.jpeg","Скачать индивидуальный QR-код магазина")</f>
        <v>Скачать индивидуальный QR-код магазина</v>
      </c>
    </row>
    <row r="14877" spans="1:7" x14ac:dyDescent="0.25">
      <c r="A14877" t="s">
        <v>45139</v>
      </c>
      <c r="B14877" t="s">
        <v>45766</v>
      </c>
      <c r="C14877" t="s">
        <v>40854</v>
      </c>
      <c r="D14877" t="s">
        <v>40855</v>
      </c>
      <c r="E14877" t="s">
        <v>40856</v>
      </c>
      <c r="F14877" t="s">
        <v>45767</v>
      </c>
      <c r="G14877" s="2" t="str">
        <f>HYPERLINK("https://probpalata.gov.ru/files/ИП630600581600010.jpeg","Скачать индивидуальный QR-код магазина")</f>
        <v>Скачать индивидуальный QR-код магазина</v>
      </c>
    </row>
    <row r="14878" spans="1:7" x14ac:dyDescent="0.25">
      <c r="A14878" t="s">
        <v>45139</v>
      </c>
      <c r="B14878" t="s">
        <v>45768</v>
      </c>
      <c r="C14878" t="s">
        <v>40854</v>
      </c>
      <c r="D14878" t="s">
        <v>40855</v>
      </c>
      <c r="E14878" t="s">
        <v>40856</v>
      </c>
      <c r="F14878" t="s">
        <v>45769</v>
      </c>
      <c r="G14878" s="2" t="str">
        <f>HYPERLINK("https://probpalata.gov.ru/files/ИП630600581600011.jpeg","Скачать индивидуальный QR-код магазина")</f>
        <v>Скачать индивидуальный QR-код магазина</v>
      </c>
    </row>
    <row r="14879" spans="1:7" x14ac:dyDescent="0.25">
      <c r="A14879" t="s">
        <v>45139</v>
      </c>
      <c r="B14879" t="s">
        <v>45770</v>
      </c>
      <c r="C14879" t="s">
        <v>40854</v>
      </c>
      <c r="D14879" t="s">
        <v>40855</v>
      </c>
      <c r="E14879" t="s">
        <v>40856</v>
      </c>
      <c r="F14879" t="s">
        <v>45771</v>
      </c>
      <c r="G14879" s="2" t="str">
        <f>HYPERLINK("https://probpalata.gov.ru/files/ИП630600581600012.jpeg","Скачать индивидуальный QR-код магазина")</f>
        <v>Скачать индивидуальный QR-код магазина</v>
      </c>
    </row>
    <row r="14880" spans="1:7" x14ac:dyDescent="0.25">
      <c r="A14880" t="s">
        <v>45139</v>
      </c>
      <c r="B14880" t="s">
        <v>45772</v>
      </c>
      <c r="C14880" t="s">
        <v>40854</v>
      </c>
      <c r="D14880" t="s">
        <v>40855</v>
      </c>
      <c r="E14880" t="s">
        <v>40856</v>
      </c>
      <c r="F14880" t="s">
        <v>45773</v>
      </c>
      <c r="G14880" s="2" t="str">
        <f>HYPERLINK("https://probpalata.gov.ru/files/ИП630600581600013.jpeg","Скачать индивидуальный QR-код магазина")</f>
        <v>Скачать индивидуальный QR-код магазина</v>
      </c>
    </row>
    <row r="14881" spans="1:7" x14ac:dyDescent="0.25">
      <c r="A14881" t="s">
        <v>45139</v>
      </c>
      <c r="B14881" t="s">
        <v>45212</v>
      </c>
      <c r="C14881" t="s">
        <v>40854</v>
      </c>
      <c r="D14881" t="s">
        <v>40855</v>
      </c>
      <c r="E14881" t="s">
        <v>40856</v>
      </c>
      <c r="F14881" t="s">
        <v>45774</v>
      </c>
      <c r="G14881" s="2" t="str">
        <f>HYPERLINK("https://probpalata.gov.ru/files/ИП630600581600016.jpeg","Скачать индивидуальный QR-код магазина")</f>
        <v>Скачать индивидуальный QR-код магазина</v>
      </c>
    </row>
    <row r="14882" spans="1:7" x14ac:dyDescent="0.25">
      <c r="A14882" t="s">
        <v>45139</v>
      </c>
      <c r="B14882" t="s">
        <v>45775</v>
      </c>
      <c r="C14882" t="s">
        <v>40854</v>
      </c>
      <c r="D14882" t="s">
        <v>40855</v>
      </c>
      <c r="E14882" t="s">
        <v>40856</v>
      </c>
      <c r="F14882" t="s">
        <v>45776</v>
      </c>
      <c r="G14882" s="2" t="str">
        <f>HYPERLINK("https://probpalata.gov.ru/files/ИП630600581600017.jpeg","Скачать индивидуальный QR-код магазина")</f>
        <v>Скачать индивидуальный QR-код магазина</v>
      </c>
    </row>
    <row r="14883" spans="1:7" x14ac:dyDescent="0.25">
      <c r="A14883" t="s">
        <v>45139</v>
      </c>
      <c r="B14883" t="s">
        <v>45777</v>
      </c>
      <c r="C14883" t="s">
        <v>40854</v>
      </c>
      <c r="D14883" t="s">
        <v>40855</v>
      </c>
      <c r="E14883" t="s">
        <v>40856</v>
      </c>
      <c r="F14883" t="s">
        <v>45778</v>
      </c>
      <c r="G14883" s="2" t="str">
        <f>HYPERLINK("https://probpalata.gov.ru/files/ИП630600581600019.jpeg","Скачать индивидуальный QR-код магазина")</f>
        <v>Скачать индивидуальный QR-код магазина</v>
      </c>
    </row>
    <row r="14884" spans="1:7" x14ac:dyDescent="0.25">
      <c r="A14884" t="s">
        <v>45139</v>
      </c>
      <c r="B14884" t="s">
        <v>45779</v>
      </c>
      <c r="C14884" t="s">
        <v>40854</v>
      </c>
      <c r="D14884" t="s">
        <v>40855</v>
      </c>
      <c r="E14884" t="s">
        <v>40856</v>
      </c>
      <c r="F14884" t="s">
        <v>45780</v>
      </c>
      <c r="G14884" s="2" t="str">
        <f>HYPERLINK("https://probpalata.gov.ru/files/ИП630600581600021.jpeg","Скачать индивидуальный QR-код магазина")</f>
        <v>Скачать индивидуальный QR-код магазина</v>
      </c>
    </row>
    <row r="14885" spans="1:7" x14ac:dyDescent="0.25">
      <c r="A14885" t="s">
        <v>45139</v>
      </c>
      <c r="B14885" t="s">
        <v>45781</v>
      </c>
      <c r="C14885" t="s">
        <v>40854</v>
      </c>
      <c r="D14885" t="s">
        <v>40855</v>
      </c>
      <c r="E14885" t="s">
        <v>40856</v>
      </c>
      <c r="F14885" t="s">
        <v>45782</v>
      </c>
      <c r="G14885" s="2" t="str">
        <f>HYPERLINK("https://probpalata.gov.ru/files/ИП630600581600022.jpeg","Скачать индивидуальный QR-код магазина")</f>
        <v>Скачать индивидуальный QR-код магазина</v>
      </c>
    </row>
    <row r="14886" spans="1:7" x14ac:dyDescent="0.25">
      <c r="A14886" t="s">
        <v>45139</v>
      </c>
      <c r="B14886" t="s">
        <v>45783</v>
      </c>
      <c r="C14886" t="s">
        <v>40854</v>
      </c>
      <c r="D14886" t="s">
        <v>40855</v>
      </c>
      <c r="E14886" t="s">
        <v>40856</v>
      </c>
      <c r="F14886" t="s">
        <v>45784</v>
      </c>
      <c r="G14886" s="2" t="str">
        <f>HYPERLINK("https://probpalata.gov.ru/files/ИП630600581600023.jpeg","Скачать индивидуальный QR-код магазина")</f>
        <v>Скачать индивидуальный QR-код магазина</v>
      </c>
    </row>
    <row r="14887" spans="1:7" x14ac:dyDescent="0.25">
      <c r="A14887" t="s">
        <v>45139</v>
      </c>
      <c r="B14887" t="s">
        <v>45785</v>
      </c>
      <c r="C14887" t="s">
        <v>40854</v>
      </c>
      <c r="D14887" t="s">
        <v>40855</v>
      </c>
      <c r="E14887" t="s">
        <v>40856</v>
      </c>
      <c r="F14887" t="s">
        <v>45786</v>
      </c>
      <c r="G14887" s="2" t="str">
        <f>HYPERLINK("https://probpalata.gov.ru/files/ИП630600581600024.jpeg","Скачать индивидуальный QR-код магазина")</f>
        <v>Скачать индивидуальный QR-код магазина</v>
      </c>
    </row>
    <row r="14888" spans="1:7" x14ac:dyDescent="0.25">
      <c r="A14888" t="s">
        <v>45139</v>
      </c>
      <c r="B14888" t="s">
        <v>45787</v>
      </c>
      <c r="C14888" t="s">
        <v>45788</v>
      </c>
      <c r="D14888" t="s">
        <v>45789</v>
      </c>
      <c r="E14888" t="s">
        <v>45790</v>
      </c>
      <c r="F14888" t="s">
        <v>45791</v>
      </c>
      <c r="G14888" s="2" t="str">
        <f>HYPERLINK("https://probpalata.gov.ru/files/ЮЛ630603272900000.jpeg","Скачать индивидуальный QR-код магазина")</f>
        <v>Скачать индивидуальный QR-код магазина</v>
      </c>
    </row>
    <row r="14889" spans="1:7" x14ac:dyDescent="0.25">
      <c r="A14889" t="s">
        <v>45139</v>
      </c>
      <c r="B14889" t="s">
        <v>45792</v>
      </c>
      <c r="C14889" t="s">
        <v>45793</v>
      </c>
      <c r="D14889" t="s">
        <v>45794</v>
      </c>
      <c r="E14889" t="s">
        <v>45795</v>
      </c>
      <c r="F14889" t="s">
        <v>45796</v>
      </c>
      <c r="G14889" s="2" t="str">
        <f>HYPERLINK("https://probpalata.gov.ru/files/ЮЛ630601944400000.jpeg","Скачать индивидуальный QR-код магазина")</f>
        <v>Скачать индивидуальный QR-код магазина</v>
      </c>
    </row>
    <row r="14890" spans="1:7" x14ac:dyDescent="0.25">
      <c r="A14890" t="s">
        <v>45139</v>
      </c>
      <c r="B14890" t="s">
        <v>45797</v>
      </c>
      <c r="C14890" t="s">
        <v>45798</v>
      </c>
      <c r="D14890" t="s">
        <v>45799</v>
      </c>
      <c r="E14890" t="s">
        <v>45800</v>
      </c>
      <c r="F14890" t="s">
        <v>45801</v>
      </c>
      <c r="G14890" s="2" t="str">
        <f>HYPERLINK("https://probpalata.gov.ru/files/ЮЛ630600169600000.jpeg","Скачать индивидуальный QR-код магазина")</f>
        <v>Скачать индивидуальный QR-код магазина</v>
      </c>
    </row>
    <row r="14891" spans="1:7" x14ac:dyDescent="0.25">
      <c r="A14891" t="s">
        <v>45139</v>
      </c>
      <c r="B14891" t="s">
        <v>45802</v>
      </c>
      <c r="C14891" t="s">
        <v>45798</v>
      </c>
      <c r="D14891" t="s">
        <v>45799</v>
      </c>
      <c r="E14891" t="s">
        <v>45800</v>
      </c>
      <c r="F14891" t="s">
        <v>45803</v>
      </c>
      <c r="G14891" s="2" t="str">
        <f>HYPERLINK("https://probpalata.gov.ru/files/ЮЛ630600169600001.jpeg","Скачать индивидуальный QR-код магазина")</f>
        <v>Скачать индивидуальный QR-код магазина</v>
      </c>
    </row>
    <row r="14892" spans="1:7" x14ac:dyDescent="0.25">
      <c r="A14892" t="s">
        <v>45139</v>
      </c>
      <c r="B14892" t="s">
        <v>45216</v>
      </c>
      <c r="C14892" t="s">
        <v>45798</v>
      </c>
      <c r="D14892" t="s">
        <v>45799</v>
      </c>
      <c r="E14892" t="s">
        <v>45800</v>
      </c>
      <c r="F14892" t="s">
        <v>45804</v>
      </c>
      <c r="G14892" s="2" t="str">
        <f>HYPERLINK("https://probpalata.gov.ru/files/ЮЛ630600169600002.jpeg","Скачать индивидуальный QR-код магазина")</f>
        <v>Скачать индивидуальный QR-код магазина</v>
      </c>
    </row>
    <row r="14893" spans="1:7" x14ac:dyDescent="0.25">
      <c r="A14893" t="s">
        <v>45139</v>
      </c>
      <c r="B14893" t="s">
        <v>45805</v>
      </c>
      <c r="C14893" t="s">
        <v>45806</v>
      </c>
      <c r="D14893" t="s">
        <v>45807</v>
      </c>
      <c r="E14893" t="s">
        <v>45808</v>
      </c>
      <c r="F14893" t="s">
        <v>45809</v>
      </c>
      <c r="G14893" s="2" t="str">
        <f>HYPERLINK("https://probpalata.gov.ru/files/ЮЛ630603830900002.jpeg","Скачать индивидуальный QR-код магазина")</f>
        <v>Скачать индивидуальный QR-код магазина</v>
      </c>
    </row>
    <row r="14894" spans="1:7" x14ac:dyDescent="0.25">
      <c r="A14894" t="s">
        <v>45139</v>
      </c>
      <c r="B14894" t="s">
        <v>45216</v>
      </c>
      <c r="C14894" t="s">
        <v>45806</v>
      </c>
      <c r="D14894" t="s">
        <v>45807</v>
      </c>
      <c r="E14894" t="s">
        <v>45808</v>
      </c>
      <c r="F14894" t="s">
        <v>45810</v>
      </c>
      <c r="G14894" s="2" t="str">
        <f>HYPERLINK("https://probpalata.gov.ru/files/ЮЛ630603830900003.jpeg","Скачать индивидуальный QR-код магазина")</f>
        <v>Скачать индивидуальный QR-код магазина</v>
      </c>
    </row>
    <row r="14895" spans="1:7" x14ac:dyDescent="0.25">
      <c r="A14895" t="s">
        <v>45139</v>
      </c>
      <c r="B14895" t="s">
        <v>45216</v>
      </c>
      <c r="C14895" t="s">
        <v>45811</v>
      </c>
      <c r="D14895" t="s">
        <v>45812</v>
      </c>
      <c r="E14895" t="s">
        <v>45813</v>
      </c>
      <c r="F14895" t="s">
        <v>45814</v>
      </c>
      <c r="G14895" s="2" t="str">
        <f>HYPERLINK("https://probpalata.gov.ru/files/ИП630604007000000.jpeg","Скачать индивидуальный QR-код магазина")</f>
        <v>Скачать индивидуальный QR-код магазина</v>
      </c>
    </row>
    <row r="14896" spans="1:7" x14ac:dyDescent="0.25">
      <c r="A14896" t="s">
        <v>45139</v>
      </c>
      <c r="B14896" t="s">
        <v>45815</v>
      </c>
      <c r="C14896" t="s">
        <v>45816</v>
      </c>
      <c r="D14896" t="s">
        <v>45817</v>
      </c>
      <c r="E14896" t="s">
        <v>45818</v>
      </c>
      <c r="F14896" t="s">
        <v>45819</v>
      </c>
      <c r="G14896" s="2" t="str">
        <f>HYPERLINK("https://probpalata.gov.ru/files/ИП630603281600000.jpeg","Скачать индивидуальный QR-код магазина")</f>
        <v>Скачать индивидуальный QR-код магазина</v>
      </c>
    </row>
    <row r="14897" spans="1:7" x14ac:dyDescent="0.25">
      <c r="A14897" t="s">
        <v>45139</v>
      </c>
      <c r="B14897" t="s">
        <v>45820</v>
      </c>
      <c r="C14897" t="s">
        <v>45821</v>
      </c>
      <c r="D14897" t="s">
        <v>45822</v>
      </c>
      <c r="E14897" t="s">
        <v>45823</v>
      </c>
      <c r="F14897" t="s">
        <v>45824</v>
      </c>
      <c r="G14897" s="2" t="str">
        <f>HYPERLINK("https://probpalata.gov.ru/files/ИП630601572900000.jpeg","Скачать индивидуальный QR-код магазина")</f>
        <v>Скачать индивидуальный QR-код магазина</v>
      </c>
    </row>
    <row r="14898" spans="1:7" x14ac:dyDescent="0.25">
      <c r="A14898" t="s">
        <v>45139</v>
      </c>
      <c r="B14898" t="s">
        <v>45825</v>
      </c>
      <c r="C14898" t="s">
        <v>45826</v>
      </c>
      <c r="D14898" t="s">
        <v>45827</v>
      </c>
      <c r="E14898" t="s">
        <v>45828</v>
      </c>
      <c r="F14898" t="s">
        <v>45829</v>
      </c>
      <c r="G14898" s="2" t="str">
        <f>HYPERLINK("https://probpalata.gov.ru/files/ЮЛ630600124800000.jpeg","Скачать индивидуальный QR-код магазина")</f>
        <v>Скачать индивидуальный QR-код магазина</v>
      </c>
    </row>
    <row r="14899" spans="1:7" x14ac:dyDescent="0.25">
      <c r="A14899" t="s">
        <v>45139</v>
      </c>
      <c r="B14899" t="s">
        <v>45830</v>
      </c>
      <c r="C14899" t="s">
        <v>45831</v>
      </c>
      <c r="D14899" t="s">
        <v>45832</v>
      </c>
      <c r="E14899" t="s">
        <v>45833</v>
      </c>
      <c r="F14899" t="s">
        <v>45834</v>
      </c>
      <c r="G14899" s="2" t="str">
        <f>HYPERLINK("https://probpalata.gov.ru/files/ИП770100565600000.jpeg","Скачать индивидуальный QR-код магазина")</f>
        <v>Скачать индивидуальный QR-код магазина</v>
      </c>
    </row>
    <row r="14900" spans="1:7" x14ac:dyDescent="0.25">
      <c r="A14900" t="s">
        <v>45139</v>
      </c>
      <c r="B14900" t="s">
        <v>45835</v>
      </c>
      <c r="C14900" t="s">
        <v>45836</v>
      </c>
      <c r="D14900" t="s">
        <v>45837</v>
      </c>
      <c r="E14900" t="s">
        <v>45838</v>
      </c>
      <c r="F14900" t="s">
        <v>45839</v>
      </c>
      <c r="G14900" s="2" t="str">
        <f>HYPERLINK("https://probpalata.gov.ru/files/ИП630603339100000.jpeg","Скачать индивидуальный QR-код магазина")</f>
        <v>Скачать индивидуальный QR-код магазина</v>
      </c>
    </row>
    <row r="14901" spans="1:7" x14ac:dyDescent="0.25">
      <c r="A14901" t="s">
        <v>45139</v>
      </c>
      <c r="B14901" t="s">
        <v>45840</v>
      </c>
      <c r="C14901" t="s">
        <v>45836</v>
      </c>
      <c r="D14901" t="s">
        <v>45837</v>
      </c>
      <c r="E14901" t="s">
        <v>45838</v>
      </c>
      <c r="F14901" t="s">
        <v>45841</v>
      </c>
      <c r="G14901" s="2" t="str">
        <f>HYPERLINK("https://probpalata.gov.ru/files/ИП630603339100001.jpeg","Скачать индивидуальный QR-код магазина")</f>
        <v>Скачать индивидуальный QR-код магазина</v>
      </c>
    </row>
    <row r="14902" spans="1:7" x14ac:dyDescent="0.25">
      <c r="A14902" t="s">
        <v>45139</v>
      </c>
      <c r="B14902" t="s">
        <v>45842</v>
      </c>
      <c r="C14902" t="s">
        <v>45843</v>
      </c>
      <c r="D14902" t="s">
        <v>45844</v>
      </c>
      <c r="E14902" t="s">
        <v>45845</v>
      </c>
      <c r="F14902" t="s">
        <v>45846</v>
      </c>
      <c r="G14902" s="2" t="str">
        <f>HYPERLINK("https://probpalata.gov.ru/files/ИП630603436400000.jpeg","Скачать индивидуальный QR-код магазина")</f>
        <v>Скачать индивидуальный QR-код магазина</v>
      </c>
    </row>
    <row r="14903" spans="1:7" x14ac:dyDescent="0.25">
      <c r="A14903" t="s">
        <v>45139</v>
      </c>
      <c r="B14903" t="s">
        <v>45847</v>
      </c>
      <c r="C14903" t="s">
        <v>45848</v>
      </c>
      <c r="D14903" t="s">
        <v>45849</v>
      </c>
      <c r="E14903" t="s">
        <v>45850</v>
      </c>
      <c r="F14903" t="s">
        <v>45851</v>
      </c>
      <c r="G14903" s="2" t="str">
        <f>HYPERLINK("https://probpalata.gov.ru/files/ЮЛ630601244800000.jpeg","Скачать индивидуальный QR-код магазина")</f>
        <v>Скачать индивидуальный QR-код магазина</v>
      </c>
    </row>
    <row r="14904" spans="1:7" x14ac:dyDescent="0.25">
      <c r="A14904" t="s">
        <v>45139</v>
      </c>
      <c r="B14904" t="s">
        <v>45474</v>
      </c>
      <c r="C14904" t="s">
        <v>45852</v>
      </c>
      <c r="D14904" t="s">
        <v>45853</v>
      </c>
      <c r="E14904" t="s">
        <v>45854</v>
      </c>
      <c r="F14904" t="s">
        <v>45855</v>
      </c>
      <c r="G14904" s="2" t="str">
        <f>HYPERLINK("https://probpalata.gov.ru/files/ИП630603586600000.jpeg","Скачать индивидуальный QR-код магазина")</f>
        <v>Скачать индивидуальный QR-код магазина</v>
      </c>
    </row>
    <row r="14905" spans="1:7" x14ac:dyDescent="0.25">
      <c r="A14905" t="s">
        <v>45139</v>
      </c>
      <c r="B14905" t="s">
        <v>45856</v>
      </c>
      <c r="C14905" t="s">
        <v>45857</v>
      </c>
      <c r="D14905" t="s">
        <v>45858</v>
      </c>
      <c r="E14905" t="s">
        <v>45859</v>
      </c>
      <c r="F14905" t="s">
        <v>45860</v>
      </c>
      <c r="G14905" s="2" t="str">
        <f>HYPERLINK("https://probpalata.gov.ru/files/ИП630603440000000.jpeg","Скачать индивидуальный QR-код магазина")</f>
        <v>Скачать индивидуальный QR-код магазина</v>
      </c>
    </row>
    <row r="14906" spans="1:7" x14ac:dyDescent="0.25">
      <c r="A14906" t="s">
        <v>45139</v>
      </c>
      <c r="B14906" t="s">
        <v>45861</v>
      </c>
      <c r="C14906" t="s">
        <v>45862</v>
      </c>
      <c r="D14906" t="s">
        <v>45863</v>
      </c>
      <c r="E14906" t="s">
        <v>45864</v>
      </c>
      <c r="F14906" t="s">
        <v>45865</v>
      </c>
      <c r="G14906" s="2" t="str">
        <f>HYPERLINK("https://probpalata.gov.ru/files/ИП770103755400000.jpeg","Скачать индивидуальный QR-код магазина")</f>
        <v>Скачать индивидуальный QR-код магазина</v>
      </c>
    </row>
    <row r="14907" spans="1:7" x14ac:dyDescent="0.25">
      <c r="A14907" t="s">
        <v>45139</v>
      </c>
      <c r="B14907" t="s">
        <v>45866</v>
      </c>
      <c r="C14907" t="s">
        <v>45867</v>
      </c>
      <c r="D14907" t="s">
        <v>45868</v>
      </c>
      <c r="E14907" t="s">
        <v>45869</v>
      </c>
      <c r="F14907" t="s">
        <v>45870</v>
      </c>
      <c r="G14907" s="2" t="str">
        <f>HYPERLINK("https://probpalata.gov.ru/files/ИП630600105800000.jpeg","Скачать индивидуальный QR-код магазина")</f>
        <v>Скачать индивидуальный QR-код магазина</v>
      </c>
    </row>
    <row r="14908" spans="1:7" x14ac:dyDescent="0.25">
      <c r="A14908" t="s">
        <v>45139</v>
      </c>
      <c r="B14908" t="s">
        <v>45871</v>
      </c>
      <c r="C14908" t="s">
        <v>45867</v>
      </c>
      <c r="D14908" t="s">
        <v>45868</v>
      </c>
      <c r="E14908" t="s">
        <v>45869</v>
      </c>
      <c r="F14908" t="s">
        <v>45872</v>
      </c>
      <c r="G14908" s="2" t="str">
        <f>HYPERLINK("https://probpalata.gov.ru/files/ИП630600105800001.jpeg","Скачать индивидуальный QR-код магазина")</f>
        <v>Скачать индивидуальный QR-код магазина</v>
      </c>
    </row>
    <row r="14909" spans="1:7" x14ac:dyDescent="0.25">
      <c r="A14909" t="s">
        <v>45139</v>
      </c>
      <c r="B14909" t="s">
        <v>45873</v>
      </c>
      <c r="C14909" t="s">
        <v>45874</v>
      </c>
      <c r="D14909" t="s">
        <v>45875</v>
      </c>
      <c r="E14909" t="s">
        <v>45876</v>
      </c>
      <c r="F14909" t="s">
        <v>45877</v>
      </c>
      <c r="G14909" s="2" t="str">
        <f>HYPERLINK("https://probpalata.gov.ru/files/ИП630604090300000.jpeg","Скачать индивидуальный QR-код магазина")</f>
        <v>Скачать индивидуальный QR-код магазина</v>
      </c>
    </row>
    <row r="14910" spans="1:7" x14ac:dyDescent="0.25">
      <c r="A14910" t="s">
        <v>45139</v>
      </c>
      <c r="B14910" t="s">
        <v>45878</v>
      </c>
      <c r="C14910" t="s">
        <v>45879</v>
      </c>
      <c r="D14910" t="s">
        <v>45880</v>
      </c>
      <c r="E14910" t="s">
        <v>45881</v>
      </c>
      <c r="F14910" t="s">
        <v>45882</v>
      </c>
      <c r="G14910" s="2" t="str">
        <f>HYPERLINK("https://probpalata.gov.ru/files/ИП630600530300000.jpeg","Скачать индивидуальный QR-код магазина")</f>
        <v>Скачать индивидуальный QR-код магазина</v>
      </c>
    </row>
    <row r="14911" spans="1:7" x14ac:dyDescent="0.25">
      <c r="A14911" t="s">
        <v>45139</v>
      </c>
      <c r="B14911" t="s">
        <v>45883</v>
      </c>
      <c r="C14911" t="s">
        <v>45879</v>
      </c>
      <c r="D14911" t="s">
        <v>45880</v>
      </c>
      <c r="E14911" t="s">
        <v>45881</v>
      </c>
      <c r="F14911" t="s">
        <v>45884</v>
      </c>
      <c r="G14911" s="2" t="str">
        <f>HYPERLINK("https://probpalata.gov.ru/files/ИП630600530300001.jpeg","Скачать индивидуальный QR-код магазина")</f>
        <v>Скачать индивидуальный QR-код магазина</v>
      </c>
    </row>
    <row r="14912" spans="1:7" x14ac:dyDescent="0.25">
      <c r="A14912" t="s">
        <v>45139</v>
      </c>
      <c r="B14912" t="s">
        <v>45885</v>
      </c>
      <c r="C14912" t="s">
        <v>45879</v>
      </c>
      <c r="D14912" t="s">
        <v>45880</v>
      </c>
      <c r="E14912" t="s">
        <v>45881</v>
      </c>
      <c r="F14912" t="s">
        <v>45886</v>
      </c>
      <c r="G14912" s="2" t="str">
        <f>HYPERLINK("https://probpalata.gov.ru/files/ИП630600530300002.jpeg","Скачать индивидуальный QR-код магазина")</f>
        <v>Скачать индивидуальный QR-код магазина</v>
      </c>
    </row>
    <row r="14913" spans="1:7" x14ac:dyDescent="0.25">
      <c r="A14913" t="s">
        <v>45139</v>
      </c>
      <c r="B14913" t="s">
        <v>45547</v>
      </c>
      <c r="C14913" t="s">
        <v>45887</v>
      </c>
      <c r="D14913" t="s">
        <v>45888</v>
      </c>
      <c r="E14913" t="s">
        <v>45889</v>
      </c>
      <c r="F14913" t="s">
        <v>45890</v>
      </c>
      <c r="G14913" s="2" t="str">
        <f>HYPERLINK("https://probpalata.gov.ru/files/ИП630603228700000.jpeg","Скачать индивидуальный QR-код магазина")</f>
        <v>Скачать индивидуальный QR-код магазина</v>
      </c>
    </row>
    <row r="14914" spans="1:7" x14ac:dyDescent="0.25">
      <c r="A14914" t="s">
        <v>45139</v>
      </c>
      <c r="B14914" t="s">
        <v>45891</v>
      </c>
      <c r="C14914" t="s">
        <v>45887</v>
      </c>
      <c r="D14914" t="s">
        <v>45888</v>
      </c>
      <c r="E14914" t="s">
        <v>45889</v>
      </c>
      <c r="F14914" t="s">
        <v>45892</v>
      </c>
      <c r="G14914" s="2" t="str">
        <f>HYPERLINK("https://probpalata.gov.ru/files/ИП630603228700001.jpeg","Скачать индивидуальный QR-код магазина")</f>
        <v>Скачать индивидуальный QR-код магазина</v>
      </c>
    </row>
    <row r="14915" spans="1:7" x14ac:dyDescent="0.25">
      <c r="A14915" t="s">
        <v>45139</v>
      </c>
      <c r="B14915" t="s">
        <v>45893</v>
      </c>
      <c r="C14915" t="s">
        <v>45894</v>
      </c>
      <c r="D14915" t="s">
        <v>45895</v>
      </c>
      <c r="E14915" t="s">
        <v>45896</v>
      </c>
      <c r="F14915" t="s">
        <v>45897</v>
      </c>
      <c r="G14915" s="2" t="str">
        <f>HYPERLINK("https://probpalata.gov.ru/files/ИП630603520800000.jpeg","Скачать индивидуальный QR-код магазина")</f>
        <v>Скачать индивидуальный QR-код магазина</v>
      </c>
    </row>
    <row r="14916" spans="1:7" x14ac:dyDescent="0.25">
      <c r="A14916" t="s">
        <v>45139</v>
      </c>
      <c r="B14916" t="s">
        <v>45898</v>
      </c>
      <c r="C14916" t="s">
        <v>45899</v>
      </c>
      <c r="D14916" t="s">
        <v>45900</v>
      </c>
      <c r="E14916" t="s">
        <v>45901</v>
      </c>
      <c r="F14916" t="s">
        <v>45902</v>
      </c>
      <c r="G14916" s="2" t="str">
        <f>HYPERLINK("https://probpalata.gov.ru/files/ИП630600616000000.jpeg","Скачать индивидуальный QR-код магазина")</f>
        <v>Скачать индивидуальный QR-код магазина</v>
      </c>
    </row>
    <row r="14917" spans="1:7" x14ac:dyDescent="0.25">
      <c r="A14917" t="s">
        <v>45139</v>
      </c>
      <c r="B14917" t="s">
        <v>45614</v>
      </c>
      <c r="C14917" t="s">
        <v>45903</v>
      </c>
      <c r="D14917" t="s">
        <v>45904</v>
      </c>
      <c r="E14917" t="s">
        <v>45905</v>
      </c>
      <c r="F14917" t="s">
        <v>45906</v>
      </c>
      <c r="G14917" s="2" t="str">
        <f>HYPERLINK("https://probpalata.gov.ru/files/ИП630600252400000.jpeg","Скачать индивидуальный QR-код магазина")</f>
        <v>Скачать индивидуальный QR-код магазина</v>
      </c>
    </row>
    <row r="14918" spans="1:7" x14ac:dyDescent="0.25">
      <c r="A14918" t="s">
        <v>45139</v>
      </c>
      <c r="B14918" t="s">
        <v>45907</v>
      </c>
      <c r="C14918" t="s">
        <v>4769</v>
      </c>
      <c r="D14918" t="s">
        <v>45908</v>
      </c>
      <c r="E14918" t="s">
        <v>45909</v>
      </c>
      <c r="F14918" t="s">
        <v>45910</v>
      </c>
      <c r="G14918" s="2" t="str">
        <f>HYPERLINK("https://probpalata.gov.ru/files/ЮЛ630601029600000.jpeg","Скачать индивидуальный QR-код магазина")</f>
        <v>Скачать индивидуальный QR-код магазина</v>
      </c>
    </row>
    <row r="14919" spans="1:7" x14ac:dyDescent="0.25">
      <c r="A14919" t="s">
        <v>45139</v>
      </c>
      <c r="B14919" t="s">
        <v>45911</v>
      </c>
      <c r="C14919" t="s">
        <v>4769</v>
      </c>
      <c r="D14919" t="s">
        <v>45908</v>
      </c>
      <c r="E14919" t="s">
        <v>45909</v>
      </c>
      <c r="F14919" t="s">
        <v>45912</v>
      </c>
      <c r="G14919" s="2" t="str">
        <f>HYPERLINK("https://probpalata.gov.ru/files/ЮЛ630601029600001.jpeg","Скачать индивидуальный QR-код магазина")</f>
        <v>Скачать индивидуальный QR-код магазина</v>
      </c>
    </row>
    <row r="14920" spans="1:7" x14ac:dyDescent="0.25">
      <c r="A14920" t="s">
        <v>45139</v>
      </c>
      <c r="B14920" t="s">
        <v>45913</v>
      </c>
      <c r="C14920" t="s">
        <v>45914</v>
      </c>
      <c r="D14920" t="s">
        <v>45915</v>
      </c>
      <c r="E14920" t="s">
        <v>45916</v>
      </c>
      <c r="F14920" t="s">
        <v>45917</v>
      </c>
      <c r="G14920" s="2" t="str">
        <f>HYPERLINK("https://probpalata.gov.ru/files/ИП630603333200000.jpeg","Скачать индивидуальный QR-код магазина")</f>
        <v>Скачать индивидуальный QR-код магазина</v>
      </c>
    </row>
    <row r="14921" spans="1:7" x14ac:dyDescent="0.25">
      <c r="A14921" t="s">
        <v>45139</v>
      </c>
      <c r="B14921" t="s">
        <v>45918</v>
      </c>
      <c r="C14921" t="s">
        <v>42449</v>
      </c>
      <c r="D14921" t="s">
        <v>42450</v>
      </c>
      <c r="E14921" t="s">
        <v>42451</v>
      </c>
      <c r="F14921" t="s">
        <v>45919</v>
      </c>
      <c r="G14921" s="2" t="str">
        <f>HYPERLINK("https://probpalata.gov.ru/files/ЮЛ630600249200000.jpeg","Скачать индивидуальный QR-код магазина")</f>
        <v>Скачать индивидуальный QR-код магазина</v>
      </c>
    </row>
    <row r="14922" spans="1:7" x14ac:dyDescent="0.25">
      <c r="A14922" t="s">
        <v>45139</v>
      </c>
      <c r="B14922" t="s">
        <v>45920</v>
      </c>
      <c r="C14922" t="s">
        <v>42492</v>
      </c>
      <c r="D14922" t="s">
        <v>42493</v>
      </c>
      <c r="E14922" t="s">
        <v>42494</v>
      </c>
      <c r="F14922" t="s">
        <v>45921</v>
      </c>
      <c r="G14922" s="2" t="str">
        <f>HYPERLINK("https://probpalata.gov.ru/files/ЮЛ630603246700007.jpeg","Скачать индивидуальный QR-код магазина")</f>
        <v>Скачать индивидуальный QR-код магазина</v>
      </c>
    </row>
    <row r="14923" spans="1:7" x14ac:dyDescent="0.25">
      <c r="A14923" t="s">
        <v>45139</v>
      </c>
      <c r="B14923" t="s">
        <v>45922</v>
      </c>
      <c r="C14923" t="s">
        <v>42492</v>
      </c>
      <c r="D14923" t="s">
        <v>42493</v>
      </c>
      <c r="E14923" t="s">
        <v>42494</v>
      </c>
      <c r="F14923" t="s">
        <v>45923</v>
      </c>
      <c r="G14923" s="2" t="str">
        <f>HYPERLINK("https://probpalata.gov.ru/files/ЮЛ630603246700008.jpeg","Скачать индивидуальный QR-код магазина")</f>
        <v>Скачать индивидуальный QR-код магазина</v>
      </c>
    </row>
    <row r="14924" spans="1:7" x14ac:dyDescent="0.25">
      <c r="A14924" t="s">
        <v>45139</v>
      </c>
      <c r="B14924" t="s">
        <v>45924</v>
      </c>
      <c r="C14924" t="s">
        <v>42492</v>
      </c>
      <c r="D14924" t="s">
        <v>42493</v>
      </c>
      <c r="E14924" t="s">
        <v>42494</v>
      </c>
      <c r="F14924" t="s">
        <v>45925</v>
      </c>
      <c r="G14924" s="2" t="str">
        <f>HYPERLINK("https://probpalata.gov.ru/files/ЮЛ630603246700009.jpeg","Скачать индивидуальный QR-код магазина")</f>
        <v>Скачать индивидуальный QR-код магазина</v>
      </c>
    </row>
    <row r="14925" spans="1:7" x14ac:dyDescent="0.25">
      <c r="A14925" t="s">
        <v>45139</v>
      </c>
      <c r="B14925" t="s">
        <v>45926</v>
      </c>
      <c r="C14925" t="s">
        <v>42492</v>
      </c>
      <c r="D14925" t="s">
        <v>42493</v>
      </c>
      <c r="E14925" t="s">
        <v>42494</v>
      </c>
      <c r="F14925" t="s">
        <v>45927</v>
      </c>
      <c r="G14925" s="2" t="str">
        <f>HYPERLINK("https://probpalata.gov.ru/files/ЮЛ630603246700010.jpeg","Скачать индивидуальный QR-код магазина")</f>
        <v>Скачать индивидуальный QR-код магазина</v>
      </c>
    </row>
    <row r="14926" spans="1:7" x14ac:dyDescent="0.25">
      <c r="A14926" t="s">
        <v>45139</v>
      </c>
      <c r="B14926" t="s">
        <v>45928</v>
      </c>
      <c r="C14926" t="s">
        <v>42492</v>
      </c>
      <c r="D14926" t="s">
        <v>42493</v>
      </c>
      <c r="E14926" t="s">
        <v>42494</v>
      </c>
      <c r="F14926" t="s">
        <v>45929</v>
      </c>
      <c r="G14926" s="2" t="str">
        <f>HYPERLINK("https://probpalata.gov.ru/files/ЮЛ630603246700011.jpeg","Скачать индивидуальный QR-код магазина")</f>
        <v>Скачать индивидуальный QR-код магазина</v>
      </c>
    </row>
    <row r="14927" spans="1:7" x14ac:dyDescent="0.25">
      <c r="A14927" t="s">
        <v>45139</v>
      </c>
      <c r="B14927" t="s">
        <v>45930</v>
      </c>
      <c r="C14927" t="s">
        <v>42492</v>
      </c>
      <c r="D14927" t="s">
        <v>42493</v>
      </c>
      <c r="E14927" t="s">
        <v>42494</v>
      </c>
      <c r="F14927" t="s">
        <v>45931</v>
      </c>
      <c r="G14927" s="2" t="str">
        <f>HYPERLINK("https://probpalata.gov.ru/files/ЮЛ630603246700012.jpeg","Скачать индивидуальный QR-код магазина")</f>
        <v>Скачать индивидуальный QR-код магазина</v>
      </c>
    </row>
    <row r="14928" spans="1:7" x14ac:dyDescent="0.25">
      <c r="A14928" t="s">
        <v>45139</v>
      </c>
      <c r="B14928" t="s">
        <v>45932</v>
      </c>
      <c r="C14928" t="s">
        <v>42492</v>
      </c>
      <c r="D14928" t="s">
        <v>42493</v>
      </c>
      <c r="E14928" t="s">
        <v>42494</v>
      </c>
      <c r="F14928" t="s">
        <v>45933</v>
      </c>
      <c r="G14928" s="2" t="str">
        <f>HYPERLINK("https://probpalata.gov.ru/files/ЮЛ630603246700013.jpeg","Скачать индивидуальный QR-код магазина")</f>
        <v>Скачать индивидуальный QR-код магазина</v>
      </c>
    </row>
    <row r="14929" spans="1:7" x14ac:dyDescent="0.25">
      <c r="A14929" t="s">
        <v>45139</v>
      </c>
      <c r="B14929" t="s">
        <v>45934</v>
      </c>
      <c r="C14929" t="s">
        <v>42492</v>
      </c>
      <c r="D14929" t="s">
        <v>42493</v>
      </c>
      <c r="E14929" t="s">
        <v>42494</v>
      </c>
      <c r="F14929" t="s">
        <v>45935</v>
      </c>
      <c r="G14929" s="2" t="str">
        <f>HYPERLINK("https://probpalata.gov.ru/files/ЮЛ630603246700014.jpeg","Скачать индивидуальный QR-код магазина")</f>
        <v>Скачать индивидуальный QR-код магазина</v>
      </c>
    </row>
    <row r="14930" spans="1:7" x14ac:dyDescent="0.25">
      <c r="A14930" t="s">
        <v>45139</v>
      </c>
      <c r="B14930" t="s">
        <v>45936</v>
      </c>
      <c r="C14930" t="s">
        <v>42492</v>
      </c>
      <c r="D14930" t="s">
        <v>42493</v>
      </c>
      <c r="E14930" t="s">
        <v>42494</v>
      </c>
      <c r="F14930" t="s">
        <v>45937</v>
      </c>
      <c r="G14930" s="2" t="str">
        <f>HYPERLINK("https://probpalata.gov.ru/files/ЮЛ630603246700015.jpeg","Скачать индивидуальный QR-код магазина")</f>
        <v>Скачать индивидуальный QR-код магазина</v>
      </c>
    </row>
    <row r="14931" spans="1:7" x14ac:dyDescent="0.25">
      <c r="A14931" t="s">
        <v>45139</v>
      </c>
      <c r="B14931" t="s">
        <v>45938</v>
      </c>
      <c r="C14931" t="s">
        <v>42492</v>
      </c>
      <c r="D14931" t="s">
        <v>42493</v>
      </c>
      <c r="E14931" t="s">
        <v>42494</v>
      </c>
      <c r="F14931" t="s">
        <v>45939</v>
      </c>
      <c r="G14931" s="2" t="str">
        <f>HYPERLINK("https://probpalata.gov.ru/files/ЮЛ630603246700016.jpeg","Скачать индивидуальный QR-код магазина")</f>
        <v>Скачать индивидуальный QR-код магазина</v>
      </c>
    </row>
    <row r="14932" spans="1:7" x14ac:dyDescent="0.25">
      <c r="A14932" t="s">
        <v>45139</v>
      </c>
      <c r="B14932" t="s">
        <v>45940</v>
      </c>
      <c r="C14932" t="s">
        <v>42492</v>
      </c>
      <c r="D14932" t="s">
        <v>42493</v>
      </c>
      <c r="E14932" t="s">
        <v>42494</v>
      </c>
      <c r="F14932" t="s">
        <v>45941</v>
      </c>
      <c r="G14932" s="2" t="str">
        <f>HYPERLINK("https://probpalata.gov.ru/files/ЮЛ630603246700017.jpeg","Скачать индивидуальный QR-код магазина")</f>
        <v>Скачать индивидуальный QR-код магазина</v>
      </c>
    </row>
    <row r="14933" spans="1:7" x14ac:dyDescent="0.25">
      <c r="A14933" t="s">
        <v>45139</v>
      </c>
      <c r="B14933" t="s">
        <v>45942</v>
      </c>
      <c r="C14933" t="s">
        <v>42492</v>
      </c>
      <c r="D14933" t="s">
        <v>42493</v>
      </c>
      <c r="E14933" t="s">
        <v>42494</v>
      </c>
      <c r="F14933" t="s">
        <v>45943</v>
      </c>
      <c r="G14933" s="2" t="str">
        <f>HYPERLINK("https://probpalata.gov.ru/files/ЮЛ630603246700018.jpeg","Скачать индивидуальный QR-код магазина")</f>
        <v>Скачать индивидуальный QR-код магазина</v>
      </c>
    </row>
    <row r="14934" spans="1:7" x14ac:dyDescent="0.25">
      <c r="A14934" t="s">
        <v>45139</v>
      </c>
      <c r="B14934" t="s">
        <v>45944</v>
      </c>
      <c r="C14934" t="s">
        <v>42492</v>
      </c>
      <c r="D14934" t="s">
        <v>42493</v>
      </c>
      <c r="E14934" t="s">
        <v>42494</v>
      </c>
      <c r="F14934" t="s">
        <v>45945</v>
      </c>
      <c r="G14934" s="2" t="str">
        <f>HYPERLINK("https://probpalata.gov.ru/files/ЮЛ630603246700019.jpeg","Скачать индивидуальный QR-код магазина")</f>
        <v>Скачать индивидуальный QR-код магазина</v>
      </c>
    </row>
    <row r="14935" spans="1:7" x14ac:dyDescent="0.25">
      <c r="A14935" t="s">
        <v>45139</v>
      </c>
      <c r="B14935" t="s">
        <v>45946</v>
      </c>
      <c r="C14935" t="s">
        <v>45947</v>
      </c>
      <c r="D14935" t="s">
        <v>45948</v>
      </c>
      <c r="E14935" t="s">
        <v>45949</v>
      </c>
      <c r="F14935" t="s">
        <v>45950</v>
      </c>
      <c r="G14935" s="2" t="str">
        <f>HYPERLINK("https://probpalata.gov.ru/files/ИП630601131400000.jpeg","Скачать индивидуальный QR-код магазина")</f>
        <v>Скачать индивидуальный QR-код магазина</v>
      </c>
    </row>
    <row r="14936" spans="1:7" x14ac:dyDescent="0.25">
      <c r="A14936" t="s">
        <v>45139</v>
      </c>
      <c r="B14936" t="s">
        <v>45951</v>
      </c>
      <c r="C14936" t="s">
        <v>45952</v>
      </c>
      <c r="D14936" t="s">
        <v>45953</v>
      </c>
      <c r="E14936" t="s">
        <v>45954</v>
      </c>
      <c r="F14936" t="s">
        <v>45955</v>
      </c>
      <c r="G14936" s="2" t="str">
        <f>HYPERLINK("https://probpalata.gov.ru/files/ИП630600621800000.jpeg","Скачать индивидуальный QR-код магазина")</f>
        <v>Скачать индивидуальный QR-код магазина</v>
      </c>
    </row>
    <row r="14937" spans="1:7" x14ac:dyDescent="0.25">
      <c r="A14937" t="s">
        <v>45139</v>
      </c>
      <c r="B14937" t="s">
        <v>45956</v>
      </c>
      <c r="C14937" t="s">
        <v>45957</v>
      </c>
      <c r="D14937" t="s">
        <v>45958</v>
      </c>
      <c r="E14937" t="s">
        <v>45959</v>
      </c>
      <c r="F14937" t="s">
        <v>45960</v>
      </c>
      <c r="G14937" s="2" t="str">
        <f>HYPERLINK("https://probpalata.gov.ru/files/ИП630603216200000.jpeg","Скачать индивидуальный QR-код магазина")</f>
        <v>Скачать индивидуальный QR-код магазина</v>
      </c>
    </row>
    <row r="14938" spans="1:7" x14ac:dyDescent="0.25">
      <c r="A14938" t="s">
        <v>45139</v>
      </c>
      <c r="B14938" t="s">
        <v>45961</v>
      </c>
      <c r="C14938" t="s">
        <v>45962</v>
      </c>
      <c r="D14938" t="s">
        <v>45963</v>
      </c>
      <c r="E14938" t="s">
        <v>45964</v>
      </c>
      <c r="F14938" t="s">
        <v>45965</v>
      </c>
      <c r="G14938" s="2" t="str">
        <f>HYPERLINK("https://probpalata.gov.ru/files/ИП630603244700000.jpeg","Скачать индивидуальный QR-код магазина")</f>
        <v>Скачать индивидуальный QR-код магазина</v>
      </c>
    </row>
    <row r="14939" spans="1:7" x14ac:dyDescent="0.25">
      <c r="A14939" t="s">
        <v>45139</v>
      </c>
      <c r="B14939" t="s">
        <v>45966</v>
      </c>
      <c r="C14939" t="s">
        <v>22775</v>
      </c>
      <c r="D14939" t="s">
        <v>45967</v>
      </c>
      <c r="E14939" t="s">
        <v>45968</v>
      </c>
      <c r="F14939" t="s">
        <v>45969</v>
      </c>
      <c r="G14939" s="2" t="str">
        <f>HYPERLINK("https://probpalata.gov.ru/files/ЮЛ630600086600000.jpeg","Скачать индивидуальный QR-код магазина")</f>
        <v>Скачать индивидуальный QR-код магазина</v>
      </c>
    </row>
    <row r="14940" spans="1:7" x14ac:dyDescent="0.25">
      <c r="A14940" t="s">
        <v>45139</v>
      </c>
      <c r="B14940" t="s">
        <v>45970</v>
      </c>
      <c r="C14940" t="s">
        <v>45971</v>
      </c>
      <c r="D14940" t="s">
        <v>45972</v>
      </c>
      <c r="E14940" t="s">
        <v>45973</v>
      </c>
      <c r="F14940" t="s">
        <v>45974</v>
      </c>
      <c r="G14940" s="2" t="str">
        <f>HYPERLINK("https://probpalata.gov.ru/files/ЮЛ630603300300000.jpeg","Скачать индивидуальный QR-код магазина")</f>
        <v>Скачать индивидуальный QR-код магазина</v>
      </c>
    </row>
    <row r="14941" spans="1:7" x14ac:dyDescent="0.25">
      <c r="A14941" t="s">
        <v>45139</v>
      </c>
      <c r="B14941" t="s">
        <v>45975</v>
      </c>
      <c r="C14941" t="s">
        <v>45971</v>
      </c>
      <c r="D14941" t="s">
        <v>45972</v>
      </c>
      <c r="E14941" t="s">
        <v>45973</v>
      </c>
      <c r="F14941" t="s">
        <v>45976</v>
      </c>
      <c r="G14941" s="2" t="str">
        <f>HYPERLINK("https://probpalata.gov.ru/files/ЮЛ630603300300001.jpeg","Скачать индивидуальный QR-код магазина")</f>
        <v>Скачать индивидуальный QR-код магазина</v>
      </c>
    </row>
    <row r="14942" spans="1:7" x14ac:dyDescent="0.25">
      <c r="A14942" t="s">
        <v>45139</v>
      </c>
      <c r="B14942" t="s">
        <v>45977</v>
      </c>
      <c r="C14942" t="s">
        <v>45971</v>
      </c>
      <c r="D14942" t="s">
        <v>45972</v>
      </c>
      <c r="E14942" t="s">
        <v>45973</v>
      </c>
      <c r="F14942" t="s">
        <v>45978</v>
      </c>
      <c r="G14942" s="2" t="str">
        <f>HYPERLINK("https://probpalata.gov.ru/files/ЮЛ630603300300002.jpeg","Скачать индивидуальный QR-код магазина")</f>
        <v>Скачать индивидуальный QR-код магазина</v>
      </c>
    </row>
    <row r="14943" spans="1:7" x14ac:dyDescent="0.25">
      <c r="A14943" t="s">
        <v>45139</v>
      </c>
      <c r="B14943" t="s">
        <v>45979</v>
      </c>
      <c r="C14943" t="s">
        <v>45971</v>
      </c>
      <c r="D14943" t="s">
        <v>45972</v>
      </c>
      <c r="E14943" t="s">
        <v>45973</v>
      </c>
      <c r="F14943" t="s">
        <v>45980</v>
      </c>
      <c r="G14943" s="2" t="str">
        <f>HYPERLINK("https://probpalata.gov.ru/files/ЮЛ630603300300003.jpeg","Скачать индивидуальный QR-код магазина")</f>
        <v>Скачать индивидуальный QR-код магазина</v>
      </c>
    </row>
    <row r="14944" spans="1:7" x14ac:dyDescent="0.25">
      <c r="A14944" t="s">
        <v>45139</v>
      </c>
      <c r="B14944" t="s">
        <v>45981</v>
      </c>
      <c r="C14944" t="s">
        <v>45971</v>
      </c>
      <c r="D14944" t="s">
        <v>45972</v>
      </c>
      <c r="E14944" t="s">
        <v>45973</v>
      </c>
      <c r="F14944" t="s">
        <v>45982</v>
      </c>
      <c r="G14944" s="2" t="str">
        <f>HYPERLINK("https://probpalata.gov.ru/files/ЮЛ630603300300004.jpeg","Скачать индивидуальный QR-код магазина")</f>
        <v>Скачать индивидуальный QR-код магазина</v>
      </c>
    </row>
    <row r="14945" spans="1:7" x14ac:dyDescent="0.25">
      <c r="A14945" t="s">
        <v>45139</v>
      </c>
      <c r="B14945" t="s">
        <v>45983</v>
      </c>
      <c r="C14945" t="s">
        <v>45971</v>
      </c>
      <c r="D14945" t="s">
        <v>45972</v>
      </c>
      <c r="E14945" t="s">
        <v>45973</v>
      </c>
      <c r="F14945" t="s">
        <v>45984</v>
      </c>
      <c r="G14945" s="2" t="str">
        <f>HYPERLINK("https://probpalata.gov.ru/files/ЮЛ630603300300005.jpeg","Скачать индивидуальный QR-код магазина")</f>
        <v>Скачать индивидуальный QR-код магазина</v>
      </c>
    </row>
    <row r="14946" spans="1:7" x14ac:dyDescent="0.25">
      <c r="A14946" t="s">
        <v>45139</v>
      </c>
      <c r="B14946" t="s">
        <v>45985</v>
      </c>
      <c r="C14946" t="s">
        <v>45971</v>
      </c>
      <c r="D14946" t="s">
        <v>45972</v>
      </c>
      <c r="E14946" t="s">
        <v>45973</v>
      </c>
      <c r="F14946" t="s">
        <v>45986</v>
      </c>
      <c r="G14946" s="2" t="str">
        <f>HYPERLINK("https://probpalata.gov.ru/files/ЮЛ630603300300006.jpeg","Скачать индивидуальный QR-код магазина")</f>
        <v>Скачать индивидуальный QR-код магазина</v>
      </c>
    </row>
    <row r="14947" spans="1:7" x14ac:dyDescent="0.25">
      <c r="A14947" t="s">
        <v>45139</v>
      </c>
      <c r="B14947" t="s">
        <v>45987</v>
      </c>
      <c r="C14947" t="s">
        <v>45971</v>
      </c>
      <c r="D14947" t="s">
        <v>45972</v>
      </c>
      <c r="E14947" t="s">
        <v>45973</v>
      </c>
      <c r="F14947" t="s">
        <v>45988</v>
      </c>
      <c r="G14947" s="2" t="str">
        <f>HYPERLINK("https://probpalata.gov.ru/files/ЮЛ630603300300007.jpeg","Скачать индивидуальный QR-код магазина")</f>
        <v>Скачать индивидуальный QR-код магазина</v>
      </c>
    </row>
    <row r="14948" spans="1:7" x14ac:dyDescent="0.25">
      <c r="A14948" t="s">
        <v>45139</v>
      </c>
      <c r="B14948" t="s">
        <v>45989</v>
      </c>
      <c r="C14948" t="s">
        <v>45971</v>
      </c>
      <c r="D14948" t="s">
        <v>45972</v>
      </c>
      <c r="E14948" t="s">
        <v>45973</v>
      </c>
      <c r="F14948" t="s">
        <v>45990</v>
      </c>
      <c r="G14948" s="2" t="str">
        <f>HYPERLINK("https://probpalata.gov.ru/files/ЮЛ630603300300008.jpeg","Скачать индивидуальный QR-код магазина")</f>
        <v>Скачать индивидуальный QR-код магазина</v>
      </c>
    </row>
    <row r="14949" spans="1:7" x14ac:dyDescent="0.25">
      <c r="A14949" t="s">
        <v>45139</v>
      </c>
      <c r="B14949" t="s">
        <v>45991</v>
      </c>
      <c r="C14949" t="s">
        <v>45971</v>
      </c>
      <c r="D14949" t="s">
        <v>45972</v>
      </c>
      <c r="E14949" t="s">
        <v>45973</v>
      </c>
      <c r="F14949" t="s">
        <v>45992</v>
      </c>
      <c r="G14949" s="2" t="str">
        <f>HYPERLINK("https://probpalata.gov.ru/files/ЮЛ630603300300009.jpeg","Скачать индивидуальный QR-код магазина")</f>
        <v>Скачать индивидуальный QR-код магазина</v>
      </c>
    </row>
    <row r="14950" spans="1:7" x14ac:dyDescent="0.25">
      <c r="A14950" t="s">
        <v>45139</v>
      </c>
      <c r="B14950" t="s">
        <v>45993</v>
      </c>
      <c r="C14950" t="s">
        <v>45971</v>
      </c>
      <c r="D14950" t="s">
        <v>45972</v>
      </c>
      <c r="E14950" t="s">
        <v>45973</v>
      </c>
      <c r="F14950" t="s">
        <v>45994</v>
      </c>
      <c r="G14950" s="2" t="str">
        <f>HYPERLINK("https://probpalata.gov.ru/files/ЮЛ630603300300010.jpeg","Скачать индивидуальный QR-код магазина")</f>
        <v>Скачать индивидуальный QR-код магазина</v>
      </c>
    </row>
    <row r="14951" spans="1:7" x14ac:dyDescent="0.25">
      <c r="A14951" t="s">
        <v>45139</v>
      </c>
      <c r="B14951" t="s">
        <v>45995</v>
      </c>
      <c r="C14951" t="s">
        <v>45971</v>
      </c>
      <c r="D14951" t="s">
        <v>45972</v>
      </c>
      <c r="E14951" t="s">
        <v>45973</v>
      </c>
      <c r="F14951" t="s">
        <v>45996</v>
      </c>
      <c r="G14951" s="2" t="str">
        <f>HYPERLINK("https://probpalata.gov.ru/files/ЮЛ630603300300011.jpeg","Скачать индивидуальный QR-код магазина")</f>
        <v>Скачать индивидуальный QR-код магазина</v>
      </c>
    </row>
    <row r="14952" spans="1:7" x14ac:dyDescent="0.25">
      <c r="A14952" t="s">
        <v>45139</v>
      </c>
      <c r="B14952" t="s">
        <v>45997</v>
      </c>
      <c r="C14952" t="s">
        <v>45971</v>
      </c>
      <c r="D14952" t="s">
        <v>45972</v>
      </c>
      <c r="E14952" t="s">
        <v>45973</v>
      </c>
      <c r="F14952" t="s">
        <v>45998</v>
      </c>
      <c r="G14952" s="2" t="str">
        <f>HYPERLINK("https://probpalata.gov.ru/files/ЮЛ630603300300012.jpeg","Скачать индивидуальный QR-код магазина")</f>
        <v>Скачать индивидуальный QR-код магазина</v>
      </c>
    </row>
    <row r="14953" spans="1:7" x14ac:dyDescent="0.25">
      <c r="A14953" t="s">
        <v>45139</v>
      </c>
      <c r="B14953" t="s">
        <v>45999</v>
      </c>
      <c r="C14953" t="s">
        <v>45971</v>
      </c>
      <c r="D14953" t="s">
        <v>45972</v>
      </c>
      <c r="E14953" t="s">
        <v>45973</v>
      </c>
      <c r="F14953" t="s">
        <v>46000</v>
      </c>
      <c r="G14953" s="2" t="str">
        <f>HYPERLINK("https://probpalata.gov.ru/files/ЮЛ630603300300013.jpeg","Скачать индивидуальный QR-код магазина")</f>
        <v>Скачать индивидуальный QR-код магазина</v>
      </c>
    </row>
    <row r="14954" spans="1:7" x14ac:dyDescent="0.25">
      <c r="A14954" t="s">
        <v>45139</v>
      </c>
      <c r="B14954" t="s">
        <v>46001</v>
      </c>
      <c r="C14954" t="s">
        <v>45971</v>
      </c>
      <c r="D14954" t="s">
        <v>45972</v>
      </c>
      <c r="E14954" t="s">
        <v>45973</v>
      </c>
      <c r="F14954" t="s">
        <v>46002</v>
      </c>
      <c r="G14954" s="2" t="str">
        <f>HYPERLINK("https://probpalata.gov.ru/files/ЮЛ630603300300014.jpeg","Скачать индивидуальный QR-код магазина")</f>
        <v>Скачать индивидуальный QR-код магазина</v>
      </c>
    </row>
    <row r="14955" spans="1:7" x14ac:dyDescent="0.25">
      <c r="A14955" t="s">
        <v>45139</v>
      </c>
      <c r="B14955" t="s">
        <v>46003</v>
      </c>
      <c r="C14955" t="s">
        <v>34608</v>
      </c>
      <c r="D14955" t="s">
        <v>34609</v>
      </c>
      <c r="E14955" t="s">
        <v>34610</v>
      </c>
      <c r="F14955" t="s">
        <v>46004</v>
      </c>
      <c r="G14955" s="2" t="str">
        <f>HYPERLINK("https://probpalata.gov.ru/files/ЮЛ630603516800000.jpeg","Скачать индивидуальный QR-код магазина")</f>
        <v>Скачать индивидуальный QR-код магазина</v>
      </c>
    </row>
    <row r="14956" spans="1:7" x14ac:dyDescent="0.25">
      <c r="A14956" t="s">
        <v>45139</v>
      </c>
      <c r="B14956" t="s">
        <v>46005</v>
      </c>
      <c r="C14956" t="s">
        <v>46006</v>
      </c>
      <c r="D14956" t="s">
        <v>46007</v>
      </c>
      <c r="E14956" t="s">
        <v>46008</v>
      </c>
      <c r="F14956" t="s">
        <v>46009</v>
      </c>
      <c r="G14956" s="2" t="str">
        <f>HYPERLINK("https://probpalata.gov.ru/files/ЮЛ630603398700000.jpeg","Скачать индивидуальный QR-код магазина")</f>
        <v>Скачать индивидуальный QR-код магазина</v>
      </c>
    </row>
    <row r="14957" spans="1:7" x14ac:dyDescent="0.25">
      <c r="A14957" t="s">
        <v>45139</v>
      </c>
      <c r="B14957" t="s">
        <v>46010</v>
      </c>
      <c r="C14957" t="s">
        <v>46006</v>
      </c>
      <c r="D14957" t="s">
        <v>46007</v>
      </c>
      <c r="E14957" t="s">
        <v>46008</v>
      </c>
      <c r="F14957" t="s">
        <v>46011</v>
      </c>
      <c r="G14957" s="2" t="str">
        <f>HYPERLINK("https://probpalata.gov.ru/files/ЮЛ630603398700001.jpeg","Скачать индивидуальный QR-код магазина")</f>
        <v>Скачать индивидуальный QR-код магазина</v>
      </c>
    </row>
    <row r="14958" spans="1:7" x14ac:dyDescent="0.25">
      <c r="A14958" t="s">
        <v>45139</v>
      </c>
      <c r="B14958" t="s">
        <v>46012</v>
      </c>
      <c r="C14958" t="s">
        <v>46013</v>
      </c>
      <c r="D14958" t="s">
        <v>46014</v>
      </c>
      <c r="E14958" t="s">
        <v>46015</v>
      </c>
      <c r="F14958" t="s">
        <v>46016</v>
      </c>
      <c r="G14958" s="2" t="str">
        <f>HYPERLINK("https://probpalata.gov.ru/files/ЮЛ630603537300001.jpeg","Скачать индивидуальный QR-код магазина")</f>
        <v>Скачать индивидуальный QR-код магазина</v>
      </c>
    </row>
    <row r="14959" spans="1:7" x14ac:dyDescent="0.25">
      <c r="A14959" t="s">
        <v>45139</v>
      </c>
      <c r="B14959" t="s">
        <v>46017</v>
      </c>
      <c r="C14959" t="s">
        <v>46013</v>
      </c>
      <c r="D14959" t="s">
        <v>46014</v>
      </c>
      <c r="E14959" t="s">
        <v>46015</v>
      </c>
      <c r="F14959" t="s">
        <v>46018</v>
      </c>
      <c r="G14959" s="2" t="str">
        <f>HYPERLINK("https://probpalata.gov.ru/files/ЮЛ630603537300002.jpeg","Скачать индивидуальный QR-код магазина")</f>
        <v>Скачать индивидуальный QR-код магазина</v>
      </c>
    </row>
    <row r="14960" spans="1:7" x14ac:dyDescent="0.25">
      <c r="A14960" t="s">
        <v>45139</v>
      </c>
      <c r="B14960" t="s">
        <v>46019</v>
      </c>
      <c r="C14960" t="s">
        <v>46013</v>
      </c>
      <c r="D14960" t="s">
        <v>46014</v>
      </c>
      <c r="E14960" t="s">
        <v>46015</v>
      </c>
      <c r="F14960" t="s">
        <v>46020</v>
      </c>
      <c r="G14960" s="2" t="str">
        <f>HYPERLINK("https://probpalata.gov.ru/files/ЮЛ630603537300003.jpeg","Скачать индивидуальный QR-код магазина")</f>
        <v>Скачать индивидуальный QR-код магазина</v>
      </c>
    </row>
    <row r="14961" spans="1:7" x14ac:dyDescent="0.25">
      <c r="A14961" t="s">
        <v>45139</v>
      </c>
      <c r="B14961" t="s">
        <v>46021</v>
      </c>
      <c r="C14961" t="s">
        <v>46013</v>
      </c>
      <c r="D14961" t="s">
        <v>46014</v>
      </c>
      <c r="E14961" t="s">
        <v>46015</v>
      </c>
      <c r="F14961" t="s">
        <v>46022</v>
      </c>
      <c r="G14961" s="2" t="str">
        <f>HYPERLINK("https://probpalata.gov.ru/files/ЮЛ630603537300004.jpeg","Скачать индивидуальный QR-код магазина")</f>
        <v>Скачать индивидуальный QR-код магазина</v>
      </c>
    </row>
    <row r="14962" spans="1:7" x14ac:dyDescent="0.25">
      <c r="A14962" t="s">
        <v>45139</v>
      </c>
      <c r="B14962" t="s">
        <v>46023</v>
      </c>
      <c r="C14962" t="s">
        <v>46013</v>
      </c>
      <c r="D14962" t="s">
        <v>46014</v>
      </c>
      <c r="E14962" t="s">
        <v>46015</v>
      </c>
      <c r="F14962" t="s">
        <v>46024</v>
      </c>
      <c r="G14962" s="2" t="str">
        <f>HYPERLINK("https://probpalata.gov.ru/files/ЮЛ630603537300006.jpeg","Скачать индивидуальный QR-код магазина")</f>
        <v>Скачать индивидуальный QR-код магазина</v>
      </c>
    </row>
    <row r="14963" spans="1:7" x14ac:dyDescent="0.25">
      <c r="A14963" t="s">
        <v>45139</v>
      </c>
      <c r="B14963" t="s">
        <v>46025</v>
      </c>
      <c r="C14963" t="s">
        <v>46013</v>
      </c>
      <c r="D14963" t="s">
        <v>46014</v>
      </c>
      <c r="E14963" t="s">
        <v>46015</v>
      </c>
      <c r="F14963" t="s">
        <v>46026</v>
      </c>
      <c r="G14963" s="2" t="str">
        <f>HYPERLINK("https://probpalata.gov.ru/files/ЮЛ630603537300007.jpeg","Скачать индивидуальный QR-код магазина")</f>
        <v>Скачать индивидуальный QR-код магазина</v>
      </c>
    </row>
    <row r="14964" spans="1:7" x14ac:dyDescent="0.25">
      <c r="A14964" t="s">
        <v>45139</v>
      </c>
      <c r="B14964" t="s">
        <v>46027</v>
      </c>
      <c r="C14964" t="s">
        <v>46013</v>
      </c>
      <c r="D14964" t="s">
        <v>46014</v>
      </c>
      <c r="E14964" t="s">
        <v>46015</v>
      </c>
      <c r="F14964" t="s">
        <v>46028</v>
      </c>
      <c r="G14964" s="2" t="str">
        <f>HYPERLINK("https://probpalata.gov.ru/files/ЮЛ630603537300008.jpeg","Скачать индивидуальный QR-код магазина")</f>
        <v>Скачать индивидуальный QR-код магазина</v>
      </c>
    </row>
    <row r="14965" spans="1:7" x14ac:dyDescent="0.25">
      <c r="A14965" t="s">
        <v>45139</v>
      </c>
      <c r="B14965" t="s">
        <v>46029</v>
      </c>
      <c r="C14965" t="s">
        <v>46030</v>
      </c>
      <c r="D14965" t="s">
        <v>46031</v>
      </c>
      <c r="E14965" t="s">
        <v>46032</v>
      </c>
      <c r="F14965" t="s">
        <v>46033</v>
      </c>
      <c r="G14965" s="2" t="str">
        <f>HYPERLINK("https://probpalata.gov.ru/files/ЮЛ630603676600000.jpeg","Скачать индивидуальный QR-код магазина")</f>
        <v>Скачать индивидуальный QR-код магазина</v>
      </c>
    </row>
    <row r="14966" spans="1:7" x14ac:dyDescent="0.25">
      <c r="A14966" t="s">
        <v>45139</v>
      </c>
      <c r="B14966" t="s">
        <v>46034</v>
      </c>
      <c r="C14966" t="s">
        <v>14967</v>
      </c>
      <c r="D14966" t="s">
        <v>14968</v>
      </c>
      <c r="E14966" t="s">
        <v>14969</v>
      </c>
      <c r="F14966" t="s">
        <v>46035</v>
      </c>
      <c r="G14966" s="2" t="str">
        <f>HYPERLINK("https://probpalata.gov.ru/files/ЮЛ660701304200011.jpeg","Скачать индивидуальный QR-код магазина")</f>
        <v>Скачать индивидуальный QR-код магазина</v>
      </c>
    </row>
    <row r="14967" spans="1:7" x14ac:dyDescent="0.25">
      <c r="A14967" t="s">
        <v>45139</v>
      </c>
      <c r="B14967" t="s">
        <v>45222</v>
      </c>
      <c r="C14967" t="s">
        <v>46036</v>
      </c>
      <c r="D14967" t="s">
        <v>46037</v>
      </c>
      <c r="E14967" t="s">
        <v>46038</v>
      </c>
      <c r="F14967" t="s">
        <v>46039</v>
      </c>
      <c r="G14967" s="2" t="str">
        <f>HYPERLINK("https://probpalata.gov.ru/files/ИП730604019300000.jpeg","Скачать индивидуальный QR-код магазина")</f>
        <v>Скачать индивидуальный QR-код магазина</v>
      </c>
    </row>
    <row r="14968" spans="1:7" x14ac:dyDescent="0.25">
      <c r="A14968" t="s">
        <v>45139</v>
      </c>
      <c r="B14968" t="s">
        <v>46040</v>
      </c>
      <c r="C14968" t="s">
        <v>46041</v>
      </c>
      <c r="D14968" t="s">
        <v>46042</v>
      </c>
      <c r="E14968" t="s">
        <v>46043</v>
      </c>
      <c r="F14968" t="s">
        <v>46044</v>
      </c>
      <c r="G14968" s="2" t="str">
        <f>HYPERLINK("https://probpalata.gov.ru/files/ИП630600374700000.jpeg","Скачать индивидуальный QR-код магазина")</f>
        <v>Скачать индивидуальный QR-код магазина</v>
      </c>
    </row>
    <row r="14969" spans="1:7" x14ac:dyDescent="0.25">
      <c r="A14969" t="s">
        <v>45139</v>
      </c>
      <c r="B14969" t="s">
        <v>46045</v>
      </c>
      <c r="C14969" t="s">
        <v>14998</v>
      </c>
      <c r="D14969" t="s">
        <v>14999</v>
      </c>
      <c r="E14969" t="s">
        <v>15000</v>
      </c>
      <c r="F14969" t="s">
        <v>46046</v>
      </c>
      <c r="G14969" s="2" t="str">
        <f>HYPERLINK("https://probpalata.gov.ru/files/ЮЛ770100623000001.jpeg","Скачать индивидуальный QR-код магазина")</f>
        <v>Скачать индивидуальный QR-код магазина</v>
      </c>
    </row>
    <row r="14970" spans="1:7" x14ac:dyDescent="0.25">
      <c r="A14970" t="s">
        <v>45139</v>
      </c>
      <c r="B14970" t="s">
        <v>46047</v>
      </c>
      <c r="C14970" t="s">
        <v>713</v>
      </c>
      <c r="D14970" t="s">
        <v>714</v>
      </c>
      <c r="E14970" t="s">
        <v>715</v>
      </c>
      <c r="F14970" t="s">
        <v>46048</v>
      </c>
      <c r="G14970" s="2" t="str">
        <f>HYPERLINK("https://probpalata.gov.ru/files/ЮЛ770101216600111.jpeg","Скачать индивидуальный QR-код магазина")</f>
        <v>Скачать индивидуальный QR-код магазина</v>
      </c>
    </row>
    <row r="14971" spans="1:7" x14ac:dyDescent="0.25">
      <c r="A14971" t="s">
        <v>45139</v>
      </c>
      <c r="B14971" t="s">
        <v>46049</v>
      </c>
      <c r="C14971" t="s">
        <v>713</v>
      </c>
      <c r="D14971" t="s">
        <v>714</v>
      </c>
      <c r="E14971" t="s">
        <v>715</v>
      </c>
      <c r="F14971" t="s">
        <v>46050</v>
      </c>
      <c r="G14971" s="2" t="str">
        <f>HYPERLINK("https://probpalata.gov.ru/files/ЮЛ770101216600160.jpeg","Скачать индивидуальный QR-код магазина")</f>
        <v>Скачать индивидуальный QR-код магазина</v>
      </c>
    </row>
    <row r="14972" spans="1:7" x14ac:dyDescent="0.25">
      <c r="A14972" t="s">
        <v>45139</v>
      </c>
      <c r="B14972" t="s">
        <v>46051</v>
      </c>
      <c r="C14972" t="s">
        <v>713</v>
      </c>
      <c r="D14972" t="s">
        <v>714</v>
      </c>
      <c r="E14972" t="s">
        <v>715</v>
      </c>
      <c r="F14972" t="s">
        <v>46052</v>
      </c>
      <c r="G14972" s="2" t="str">
        <f>HYPERLINK("https://probpalata.gov.ru/files/ЮЛ770101216600174.jpeg","Скачать индивидуальный QR-код магазина")</f>
        <v>Скачать индивидуальный QR-код магазина</v>
      </c>
    </row>
    <row r="14973" spans="1:7" x14ac:dyDescent="0.25">
      <c r="A14973" t="s">
        <v>45139</v>
      </c>
      <c r="B14973" t="s">
        <v>46053</v>
      </c>
      <c r="C14973" t="s">
        <v>713</v>
      </c>
      <c r="D14973" t="s">
        <v>714</v>
      </c>
      <c r="E14973" t="s">
        <v>715</v>
      </c>
      <c r="F14973" t="s">
        <v>46054</v>
      </c>
      <c r="G14973" s="2" t="str">
        <f>HYPERLINK("https://probpalata.gov.ru/files/ЮЛ770101216600184.jpeg","Скачать индивидуальный QR-код магазина")</f>
        <v>Скачать индивидуальный QR-код магазина</v>
      </c>
    </row>
    <row r="14974" spans="1:7" x14ac:dyDescent="0.25">
      <c r="A14974" t="s">
        <v>45139</v>
      </c>
      <c r="B14974" t="s">
        <v>46055</v>
      </c>
      <c r="C14974" t="s">
        <v>713</v>
      </c>
      <c r="D14974" t="s">
        <v>714</v>
      </c>
      <c r="E14974" t="s">
        <v>715</v>
      </c>
      <c r="F14974" t="s">
        <v>46056</v>
      </c>
      <c r="G14974" s="2" t="str">
        <f>HYPERLINK("https://probpalata.gov.ru/files/ЮЛ770101216600192.jpeg","Скачать индивидуальный QR-код магазина")</f>
        <v>Скачать индивидуальный QR-код магазина</v>
      </c>
    </row>
    <row r="14975" spans="1:7" x14ac:dyDescent="0.25">
      <c r="A14975" t="s">
        <v>45139</v>
      </c>
      <c r="B14975" t="s">
        <v>46057</v>
      </c>
      <c r="C14975" t="s">
        <v>713</v>
      </c>
      <c r="D14975" t="s">
        <v>714</v>
      </c>
      <c r="E14975" t="s">
        <v>715</v>
      </c>
      <c r="F14975" t="s">
        <v>46058</v>
      </c>
      <c r="G14975" s="2" t="str">
        <f>HYPERLINK("https://probpalata.gov.ru/files/ЮЛ770101216600255.jpeg","Скачать индивидуальный QR-код магазина")</f>
        <v>Скачать индивидуальный QR-код магазина</v>
      </c>
    </row>
    <row r="14976" spans="1:7" x14ac:dyDescent="0.25">
      <c r="A14976" t="s">
        <v>45139</v>
      </c>
      <c r="B14976" t="s">
        <v>46059</v>
      </c>
      <c r="C14976" t="s">
        <v>713</v>
      </c>
      <c r="D14976" t="s">
        <v>714</v>
      </c>
      <c r="E14976" t="s">
        <v>715</v>
      </c>
      <c r="F14976" t="s">
        <v>46060</v>
      </c>
      <c r="G14976" s="2" t="str">
        <f>HYPERLINK("https://probpalata.gov.ru/files/ЮЛ770101216600354.jpeg","Скачать индивидуальный QR-код магазина")</f>
        <v>Скачать индивидуальный QR-код магазина</v>
      </c>
    </row>
    <row r="14977" spans="1:7" x14ac:dyDescent="0.25">
      <c r="A14977" t="s">
        <v>45139</v>
      </c>
      <c r="B14977" t="s">
        <v>46061</v>
      </c>
      <c r="C14977" t="s">
        <v>713</v>
      </c>
      <c r="D14977" t="s">
        <v>714</v>
      </c>
      <c r="E14977" t="s">
        <v>715</v>
      </c>
      <c r="F14977" t="s">
        <v>46062</v>
      </c>
      <c r="G14977" s="2" t="str">
        <f>HYPERLINK("https://probpalata.gov.ru/files/ЮЛ770101216600358.jpeg","Скачать индивидуальный QR-код магазина")</f>
        <v>Скачать индивидуальный QR-код магазина</v>
      </c>
    </row>
    <row r="14978" spans="1:7" x14ac:dyDescent="0.25">
      <c r="A14978" t="s">
        <v>45139</v>
      </c>
      <c r="B14978" t="s">
        <v>46063</v>
      </c>
      <c r="C14978" t="s">
        <v>713</v>
      </c>
      <c r="D14978" t="s">
        <v>714</v>
      </c>
      <c r="E14978" t="s">
        <v>715</v>
      </c>
      <c r="F14978" t="s">
        <v>46064</v>
      </c>
      <c r="G14978" s="2" t="str">
        <f>HYPERLINK("https://probpalata.gov.ru/files/ЮЛ770101216600394.jpeg","Скачать индивидуальный QR-код магазина")</f>
        <v>Скачать индивидуальный QR-код магазина</v>
      </c>
    </row>
    <row r="14979" spans="1:7" x14ac:dyDescent="0.25">
      <c r="A14979" t="s">
        <v>45139</v>
      </c>
      <c r="B14979" t="s">
        <v>46065</v>
      </c>
      <c r="C14979" t="s">
        <v>713</v>
      </c>
      <c r="D14979" t="s">
        <v>714</v>
      </c>
      <c r="E14979" t="s">
        <v>715</v>
      </c>
      <c r="F14979" t="s">
        <v>46066</v>
      </c>
      <c r="G14979" s="2" t="str">
        <f>HYPERLINK("https://probpalata.gov.ru/files/ЮЛ770101216600480.jpeg","Скачать индивидуальный QR-код магазина")</f>
        <v>Скачать индивидуальный QR-код магазина</v>
      </c>
    </row>
    <row r="14980" spans="1:7" x14ac:dyDescent="0.25">
      <c r="A14980" t="s">
        <v>45139</v>
      </c>
      <c r="B14980" t="s">
        <v>46067</v>
      </c>
      <c r="C14980" t="s">
        <v>713</v>
      </c>
      <c r="D14980" t="s">
        <v>714</v>
      </c>
      <c r="E14980" t="s">
        <v>715</v>
      </c>
      <c r="F14980" t="s">
        <v>46068</v>
      </c>
      <c r="G14980" s="2" t="str">
        <f>HYPERLINK("https://probpalata.gov.ru/files/ЮЛ770101216600617.jpeg","Скачать индивидуальный QR-код магазина")</f>
        <v>Скачать индивидуальный QR-код магазина</v>
      </c>
    </row>
    <row r="14981" spans="1:7" x14ac:dyDescent="0.25">
      <c r="A14981" t="s">
        <v>45139</v>
      </c>
      <c r="B14981" t="s">
        <v>46069</v>
      </c>
      <c r="C14981" t="s">
        <v>713</v>
      </c>
      <c r="D14981" t="s">
        <v>714</v>
      </c>
      <c r="E14981" t="s">
        <v>715</v>
      </c>
      <c r="F14981" t="s">
        <v>46070</v>
      </c>
      <c r="G14981" s="2" t="str">
        <f>HYPERLINK("https://probpalata.gov.ru/files/ЮЛ770101216600654.jpeg","Скачать индивидуальный QR-код магазина")</f>
        <v>Скачать индивидуальный QR-код магазина</v>
      </c>
    </row>
    <row r="14982" spans="1:7" x14ac:dyDescent="0.25">
      <c r="A14982" t="s">
        <v>45139</v>
      </c>
      <c r="B14982" t="s">
        <v>46071</v>
      </c>
      <c r="C14982" t="s">
        <v>713</v>
      </c>
      <c r="D14982" t="s">
        <v>714</v>
      </c>
      <c r="E14982" t="s">
        <v>715</v>
      </c>
      <c r="F14982" t="s">
        <v>46072</v>
      </c>
      <c r="G14982" s="2" t="str">
        <f>HYPERLINK("https://probpalata.gov.ru/files/ЮЛ770101216600706.jpeg","Скачать индивидуальный QR-код магазина")</f>
        <v>Скачать индивидуальный QR-код магазина</v>
      </c>
    </row>
    <row r="14983" spans="1:7" x14ac:dyDescent="0.25">
      <c r="A14983" t="s">
        <v>45139</v>
      </c>
      <c r="B14983" t="s">
        <v>46073</v>
      </c>
      <c r="C14983" t="s">
        <v>713</v>
      </c>
      <c r="D14983" t="s">
        <v>714</v>
      </c>
      <c r="E14983" t="s">
        <v>715</v>
      </c>
      <c r="F14983" t="s">
        <v>46074</v>
      </c>
      <c r="G14983" s="2" t="str">
        <f>HYPERLINK("https://probpalata.gov.ru/files/ЮЛ770101216600879.jpeg","Скачать индивидуальный QR-код магазина")</f>
        <v>Скачать индивидуальный QR-код магазина</v>
      </c>
    </row>
    <row r="14984" spans="1:7" x14ac:dyDescent="0.25">
      <c r="A14984" t="s">
        <v>45139</v>
      </c>
      <c r="B14984" t="s">
        <v>45216</v>
      </c>
      <c r="C14984" t="s">
        <v>1416</v>
      </c>
      <c r="D14984" t="s">
        <v>1417</v>
      </c>
      <c r="E14984" t="s">
        <v>1418</v>
      </c>
      <c r="F14984" t="s">
        <v>46075</v>
      </c>
      <c r="G14984" s="2" t="str">
        <f>HYPERLINK("https://probpalata.gov.ru/files/ЮЛ770100419400094.jpeg","Скачать индивидуальный QR-код магазина")</f>
        <v>Скачать индивидуальный QR-код магазина</v>
      </c>
    </row>
    <row r="14985" spans="1:7" x14ac:dyDescent="0.25">
      <c r="A14985" t="s">
        <v>45139</v>
      </c>
      <c r="B14985" t="s">
        <v>46076</v>
      </c>
      <c r="C14985" t="s">
        <v>1416</v>
      </c>
      <c r="D14985" t="s">
        <v>1417</v>
      </c>
      <c r="E14985" t="s">
        <v>1418</v>
      </c>
      <c r="F14985" t="s">
        <v>46077</v>
      </c>
      <c r="G14985" s="2" t="str">
        <f>HYPERLINK("https://probpalata.gov.ru/files/ЮЛ770100419400095.jpeg","Скачать индивидуальный QR-код магазина")</f>
        <v>Скачать индивидуальный QR-код магазина</v>
      </c>
    </row>
    <row r="14986" spans="1:7" x14ac:dyDescent="0.25">
      <c r="A14986" t="s">
        <v>45139</v>
      </c>
      <c r="B14986" t="s">
        <v>45212</v>
      </c>
      <c r="C14986" t="s">
        <v>1416</v>
      </c>
      <c r="D14986" t="s">
        <v>1417</v>
      </c>
      <c r="E14986" t="s">
        <v>1418</v>
      </c>
      <c r="F14986" t="s">
        <v>46078</v>
      </c>
      <c r="G14986" s="2" t="str">
        <f>HYPERLINK("https://probpalata.gov.ru/files/ЮЛ770100419400099.jpeg","Скачать индивидуальный QR-код магазина")</f>
        <v>Скачать индивидуальный QR-код магазина</v>
      </c>
    </row>
    <row r="14987" spans="1:7" x14ac:dyDescent="0.25">
      <c r="A14987" t="s">
        <v>45139</v>
      </c>
      <c r="B14987" t="s">
        <v>45199</v>
      </c>
      <c r="C14987" t="s">
        <v>1416</v>
      </c>
      <c r="D14987" t="s">
        <v>1417</v>
      </c>
      <c r="E14987" t="s">
        <v>1418</v>
      </c>
      <c r="F14987" t="s">
        <v>46079</v>
      </c>
      <c r="G14987" s="2" t="str">
        <f>HYPERLINK("https://probpalata.gov.ru/files/ЮЛ770100419400101.jpeg","Скачать индивидуальный QR-код магазина")</f>
        <v>Скачать индивидуальный QR-код магазина</v>
      </c>
    </row>
    <row r="14988" spans="1:7" x14ac:dyDescent="0.25">
      <c r="A14988" t="s">
        <v>45139</v>
      </c>
      <c r="B14988" t="s">
        <v>46080</v>
      </c>
      <c r="C14988" t="s">
        <v>1416</v>
      </c>
      <c r="D14988" t="s">
        <v>1417</v>
      </c>
      <c r="E14988" t="s">
        <v>1418</v>
      </c>
      <c r="F14988" t="s">
        <v>46081</v>
      </c>
      <c r="G14988" s="2" t="str">
        <f>HYPERLINK("https://probpalata.gov.ru/files/ЮЛ770100419400103.jpeg","Скачать индивидуальный QR-код магазина")</f>
        <v>Скачать индивидуальный QR-код магазина</v>
      </c>
    </row>
    <row r="14989" spans="1:7" x14ac:dyDescent="0.25">
      <c r="A14989" t="s">
        <v>45139</v>
      </c>
      <c r="B14989" t="s">
        <v>45214</v>
      </c>
      <c r="C14989" t="s">
        <v>1416</v>
      </c>
      <c r="D14989" t="s">
        <v>1417</v>
      </c>
      <c r="E14989" t="s">
        <v>1418</v>
      </c>
      <c r="F14989" t="s">
        <v>46082</v>
      </c>
      <c r="G14989" s="2" t="str">
        <f>HYPERLINK("https://probpalata.gov.ru/files/ЮЛ770100419400104.jpeg","Скачать индивидуальный QR-код магазина")</f>
        <v>Скачать индивидуальный QR-код магазина</v>
      </c>
    </row>
    <row r="14990" spans="1:7" x14ac:dyDescent="0.25">
      <c r="A14990" t="s">
        <v>45139</v>
      </c>
      <c r="B14990" t="s">
        <v>46083</v>
      </c>
      <c r="C14990" t="s">
        <v>1416</v>
      </c>
      <c r="D14990" t="s">
        <v>1417</v>
      </c>
      <c r="E14990" t="s">
        <v>1418</v>
      </c>
      <c r="F14990" t="s">
        <v>46084</v>
      </c>
      <c r="G14990" s="2" t="str">
        <f>HYPERLINK("https://probpalata.gov.ru/files/ЮЛ770100419400198.jpeg","Скачать индивидуальный QR-код магазина")</f>
        <v>Скачать индивидуальный QR-код магазина</v>
      </c>
    </row>
    <row r="14991" spans="1:7" x14ac:dyDescent="0.25">
      <c r="A14991" t="s">
        <v>45139</v>
      </c>
      <c r="B14991" t="s">
        <v>46085</v>
      </c>
      <c r="C14991" t="s">
        <v>748</v>
      </c>
      <c r="D14991" t="s">
        <v>749</v>
      </c>
      <c r="E14991" t="s">
        <v>750</v>
      </c>
      <c r="F14991" t="s">
        <v>46086</v>
      </c>
      <c r="G14991" s="2" t="str">
        <f>HYPERLINK("https://probpalata.gov.ru/files/ЮЛ770100193500016.jpeg","Скачать индивидуальный QR-код магазина")</f>
        <v>Скачать индивидуальный QR-код магазина</v>
      </c>
    </row>
    <row r="14992" spans="1:7" x14ac:dyDescent="0.25">
      <c r="A14992" t="s">
        <v>45139</v>
      </c>
      <c r="B14992" t="s">
        <v>46087</v>
      </c>
      <c r="C14992" t="s">
        <v>748</v>
      </c>
      <c r="D14992" t="s">
        <v>749</v>
      </c>
      <c r="E14992" t="s">
        <v>750</v>
      </c>
      <c r="F14992" t="s">
        <v>46088</v>
      </c>
      <c r="G14992" s="2" t="str">
        <f>HYPERLINK("https://probpalata.gov.ru/files/ЮЛ770100193500017.jpeg","Скачать индивидуальный QR-код магазина")</f>
        <v>Скачать индивидуальный QR-код магазина</v>
      </c>
    </row>
    <row r="14993" spans="1:7" x14ac:dyDescent="0.25">
      <c r="A14993" t="s">
        <v>45139</v>
      </c>
      <c r="B14993" t="s">
        <v>46089</v>
      </c>
      <c r="C14993" t="s">
        <v>748</v>
      </c>
      <c r="D14993" t="s">
        <v>749</v>
      </c>
      <c r="E14993" t="s">
        <v>750</v>
      </c>
      <c r="F14993" t="s">
        <v>46090</v>
      </c>
      <c r="G14993" s="2" t="str">
        <f>HYPERLINK("https://probpalata.gov.ru/files/ЮЛ770100193500018.jpeg","Скачать индивидуальный QR-код магазина")</f>
        <v>Скачать индивидуальный QR-код магазина</v>
      </c>
    </row>
    <row r="14994" spans="1:7" x14ac:dyDescent="0.25">
      <c r="A14994" t="s">
        <v>45139</v>
      </c>
      <c r="B14994" t="s">
        <v>46091</v>
      </c>
      <c r="C14994" t="s">
        <v>748</v>
      </c>
      <c r="D14994" t="s">
        <v>749</v>
      </c>
      <c r="E14994" t="s">
        <v>750</v>
      </c>
      <c r="F14994" t="s">
        <v>46092</v>
      </c>
      <c r="G14994" s="2" t="str">
        <f>HYPERLINK("https://probpalata.gov.ru/files/ЮЛ770100193500019.jpeg","Скачать индивидуальный QR-код магазина")</f>
        <v>Скачать индивидуальный QR-код магазина</v>
      </c>
    </row>
    <row r="14995" spans="1:7" x14ac:dyDescent="0.25">
      <c r="A14995" t="s">
        <v>45139</v>
      </c>
      <c r="B14995" t="s">
        <v>46093</v>
      </c>
      <c r="C14995" t="s">
        <v>748</v>
      </c>
      <c r="D14995" t="s">
        <v>749</v>
      </c>
      <c r="E14995" t="s">
        <v>750</v>
      </c>
      <c r="F14995" t="s">
        <v>46094</v>
      </c>
      <c r="G14995" s="2" t="str">
        <f>HYPERLINK("https://probpalata.gov.ru/files/ЮЛ770100193500021.jpeg","Скачать индивидуальный QR-код магазина")</f>
        <v>Скачать индивидуальный QR-код магазина</v>
      </c>
    </row>
    <row r="14996" spans="1:7" x14ac:dyDescent="0.25">
      <c r="A14996" t="s">
        <v>45139</v>
      </c>
      <c r="B14996" t="s">
        <v>46095</v>
      </c>
      <c r="C14996" t="s">
        <v>748</v>
      </c>
      <c r="D14996" t="s">
        <v>749</v>
      </c>
      <c r="E14996" t="s">
        <v>750</v>
      </c>
      <c r="F14996" t="s">
        <v>46096</v>
      </c>
      <c r="G14996" s="2" t="str">
        <f>HYPERLINK("https://probpalata.gov.ru/files/ЮЛ770100193500242.jpeg","Скачать индивидуальный QR-код магазина")</f>
        <v>Скачать индивидуальный QR-код магазина</v>
      </c>
    </row>
    <row r="14997" spans="1:7" x14ac:dyDescent="0.25">
      <c r="A14997" t="s">
        <v>45139</v>
      </c>
      <c r="B14997" t="s">
        <v>46097</v>
      </c>
      <c r="C14997" t="s">
        <v>748</v>
      </c>
      <c r="D14997" t="s">
        <v>749</v>
      </c>
      <c r="E14997" t="s">
        <v>750</v>
      </c>
      <c r="F14997" t="s">
        <v>46098</v>
      </c>
      <c r="G14997" s="2" t="str">
        <f>HYPERLINK("https://probpalata.gov.ru/files/ЮЛ770100193500490.jpeg","Скачать индивидуальный QR-код магазина")</f>
        <v>Скачать индивидуальный QR-код магазина</v>
      </c>
    </row>
    <row r="14998" spans="1:7" x14ac:dyDescent="0.25">
      <c r="A14998" t="s">
        <v>45139</v>
      </c>
      <c r="B14998" t="s">
        <v>46099</v>
      </c>
      <c r="C14998" t="s">
        <v>748</v>
      </c>
      <c r="D14998" t="s">
        <v>749</v>
      </c>
      <c r="E14998" t="s">
        <v>750</v>
      </c>
      <c r="F14998" t="s">
        <v>46100</v>
      </c>
      <c r="G14998" s="2" t="str">
        <f>HYPERLINK("https://probpalata.gov.ru/files/ЮЛ770100193500498.jpeg","Скачать индивидуальный QR-код магазина")</f>
        <v>Скачать индивидуальный QR-код магазина</v>
      </c>
    </row>
    <row r="14999" spans="1:7" x14ac:dyDescent="0.25">
      <c r="A14999" t="s">
        <v>45139</v>
      </c>
      <c r="B14999" t="s">
        <v>46101</v>
      </c>
      <c r="C14999" t="s">
        <v>748</v>
      </c>
      <c r="D14999" t="s">
        <v>749</v>
      </c>
      <c r="E14999" t="s">
        <v>750</v>
      </c>
      <c r="F14999" t="s">
        <v>46102</v>
      </c>
      <c r="G14999" s="2" t="str">
        <f>HYPERLINK("https://probpalata.gov.ru/files/ЮЛ770100193500549.jpeg","Скачать индивидуальный QR-код магазина")</f>
        <v>Скачать индивидуальный QR-код магазина</v>
      </c>
    </row>
    <row r="15000" spans="1:7" x14ac:dyDescent="0.25">
      <c r="A15000" t="s">
        <v>45139</v>
      </c>
      <c r="B15000" t="s">
        <v>46103</v>
      </c>
      <c r="C15000" t="s">
        <v>748</v>
      </c>
      <c r="D15000" t="s">
        <v>749</v>
      </c>
      <c r="E15000" t="s">
        <v>750</v>
      </c>
      <c r="F15000" t="s">
        <v>46104</v>
      </c>
      <c r="G15000" s="2" t="str">
        <f>HYPERLINK("https://probpalata.gov.ru/files/ЮЛ770100193500574.jpeg","Скачать индивидуальный QR-код магазина")</f>
        <v>Скачать индивидуальный QR-код магазина</v>
      </c>
    </row>
    <row r="15001" spans="1:7" x14ac:dyDescent="0.25">
      <c r="A15001" t="s">
        <v>45139</v>
      </c>
      <c r="B15001" t="s">
        <v>46105</v>
      </c>
      <c r="C15001" t="s">
        <v>748</v>
      </c>
      <c r="D15001" t="s">
        <v>749</v>
      </c>
      <c r="E15001" t="s">
        <v>750</v>
      </c>
      <c r="F15001" t="s">
        <v>46106</v>
      </c>
      <c r="G15001" s="2" t="str">
        <f>HYPERLINK("https://probpalata.gov.ru/files/ЮЛ770100193500589.jpeg","Скачать индивидуальный QR-код магазина")</f>
        <v>Скачать индивидуальный QR-код магазина</v>
      </c>
    </row>
    <row r="15002" spans="1:7" x14ac:dyDescent="0.25">
      <c r="A15002" t="s">
        <v>45139</v>
      </c>
      <c r="B15002" t="s">
        <v>46107</v>
      </c>
      <c r="C15002" t="s">
        <v>748</v>
      </c>
      <c r="D15002" t="s">
        <v>749</v>
      </c>
      <c r="E15002" t="s">
        <v>750</v>
      </c>
      <c r="F15002" t="s">
        <v>46108</v>
      </c>
      <c r="G15002" s="2" t="str">
        <f>HYPERLINK("https://probpalata.gov.ru/files/ЮЛ770100193500652.jpeg","Скачать индивидуальный QR-код магазина")</f>
        <v>Скачать индивидуальный QR-код магазина</v>
      </c>
    </row>
    <row r="15003" spans="1:7" x14ac:dyDescent="0.25">
      <c r="A15003" t="s">
        <v>45139</v>
      </c>
      <c r="B15003" t="s">
        <v>46109</v>
      </c>
      <c r="C15003" t="s">
        <v>748</v>
      </c>
      <c r="D15003" t="s">
        <v>749</v>
      </c>
      <c r="E15003" t="s">
        <v>750</v>
      </c>
      <c r="F15003" t="s">
        <v>46110</v>
      </c>
      <c r="G15003" s="2" t="str">
        <f>HYPERLINK("https://probpalata.gov.ru/files/ЮЛ770100193500755.jpeg","Скачать индивидуальный QR-код магазина")</f>
        <v>Скачать индивидуальный QR-код магазина</v>
      </c>
    </row>
    <row r="15004" spans="1:7" x14ac:dyDescent="0.25">
      <c r="A15004" t="s">
        <v>45139</v>
      </c>
      <c r="B15004" t="s">
        <v>46111</v>
      </c>
      <c r="C15004" t="s">
        <v>748</v>
      </c>
      <c r="D15004" t="s">
        <v>749</v>
      </c>
      <c r="E15004" t="s">
        <v>750</v>
      </c>
      <c r="F15004" t="s">
        <v>46112</v>
      </c>
      <c r="G15004" s="2" t="str">
        <f>HYPERLINK("https://probpalata.gov.ru/files/ЮЛ770100193500813.jpeg","Скачать индивидуальный QR-код магазина")</f>
        <v>Скачать индивидуальный QR-код магазина</v>
      </c>
    </row>
    <row r="15005" spans="1:7" x14ac:dyDescent="0.25">
      <c r="A15005" t="s">
        <v>45139</v>
      </c>
      <c r="B15005" t="s">
        <v>46113</v>
      </c>
      <c r="C15005" t="s">
        <v>748</v>
      </c>
      <c r="D15005" t="s">
        <v>749</v>
      </c>
      <c r="E15005" t="s">
        <v>750</v>
      </c>
      <c r="F15005" t="s">
        <v>46114</v>
      </c>
      <c r="G15005" s="2" t="str">
        <f>HYPERLINK("https://probpalata.gov.ru/files/ЮЛ770100193500862.jpeg","Скачать индивидуальный QR-код магазина")</f>
        <v>Скачать индивидуальный QR-код магазина</v>
      </c>
    </row>
    <row r="15006" spans="1:7" x14ac:dyDescent="0.25">
      <c r="A15006" t="s">
        <v>45139</v>
      </c>
      <c r="B15006" t="s">
        <v>46115</v>
      </c>
      <c r="C15006" t="s">
        <v>748</v>
      </c>
      <c r="D15006" t="s">
        <v>749</v>
      </c>
      <c r="E15006" t="s">
        <v>750</v>
      </c>
      <c r="F15006" t="s">
        <v>46116</v>
      </c>
      <c r="G15006" s="2" t="str">
        <f>HYPERLINK("https://probpalata.gov.ru/files/ЮЛ770100193501048.jpeg","Скачать индивидуальный QR-код магазина")</f>
        <v>Скачать индивидуальный QR-код магазина</v>
      </c>
    </row>
    <row r="15007" spans="1:7" x14ac:dyDescent="0.25">
      <c r="A15007" t="s">
        <v>45139</v>
      </c>
      <c r="B15007" t="s">
        <v>46117</v>
      </c>
      <c r="C15007" t="s">
        <v>748</v>
      </c>
      <c r="D15007" t="s">
        <v>749</v>
      </c>
      <c r="E15007" t="s">
        <v>750</v>
      </c>
      <c r="F15007" t="s">
        <v>46118</v>
      </c>
      <c r="G15007" s="2" t="str">
        <f>HYPERLINK("https://probpalata.gov.ru/files/ЮЛ770100193501115.jpeg","Скачать индивидуальный QR-код магазина")</f>
        <v>Скачать индивидуальный QR-код магазина</v>
      </c>
    </row>
    <row r="15008" spans="1:7" x14ac:dyDescent="0.25">
      <c r="A15008" t="s">
        <v>45139</v>
      </c>
      <c r="B15008" t="s">
        <v>46119</v>
      </c>
      <c r="C15008" t="s">
        <v>748</v>
      </c>
      <c r="D15008" t="s">
        <v>749</v>
      </c>
      <c r="E15008" t="s">
        <v>750</v>
      </c>
      <c r="F15008" t="s">
        <v>46120</v>
      </c>
      <c r="G15008" s="2" t="str">
        <f>HYPERLINK("https://probpalata.gov.ru/files/ЮЛ770100193501128.jpeg","Скачать индивидуальный QR-код магазина")</f>
        <v>Скачать индивидуальный QR-код магазина</v>
      </c>
    </row>
    <row r="15009" spans="1:7" x14ac:dyDescent="0.25">
      <c r="A15009" t="s">
        <v>45139</v>
      </c>
      <c r="B15009" t="s">
        <v>46121</v>
      </c>
      <c r="C15009" t="s">
        <v>748</v>
      </c>
      <c r="D15009" t="s">
        <v>749</v>
      </c>
      <c r="E15009" t="s">
        <v>750</v>
      </c>
      <c r="F15009" t="s">
        <v>46122</v>
      </c>
      <c r="G15009" s="2" t="str">
        <f>HYPERLINK("https://probpalata.gov.ru/files/ЮЛ770100193501146.jpeg","Скачать индивидуальный QR-код магазина")</f>
        <v>Скачать индивидуальный QR-код магазина</v>
      </c>
    </row>
    <row r="15010" spans="1:7" x14ac:dyDescent="0.25">
      <c r="A15010" t="s">
        <v>45139</v>
      </c>
      <c r="B15010" t="s">
        <v>46123</v>
      </c>
      <c r="C15010" t="s">
        <v>13294</v>
      </c>
      <c r="D15010" t="s">
        <v>29489</v>
      </c>
      <c r="E15010" t="s">
        <v>29490</v>
      </c>
      <c r="F15010" t="s">
        <v>46124</v>
      </c>
      <c r="G15010" s="2" t="str">
        <f>HYPERLINK("https://probpalata.gov.ru/files/ЮЛ770101798100002.jpeg","Скачать индивидуальный QR-код магазина")</f>
        <v>Скачать индивидуальный QR-код магазина</v>
      </c>
    </row>
    <row r="15011" spans="1:7" x14ac:dyDescent="0.25">
      <c r="A15011" t="s">
        <v>45139</v>
      </c>
      <c r="B15011" t="s">
        <v>46125</v>
      </c>
      <c r="C15011" t="s">
        <v>791</v>
      </c>
      <c r="D15011" t="s">
        <v>792</v>
      </c>
      <c r="E15011" t="s">
        <v>793</v>
      </c>
      <c r="F15011" t="s">
        <v>46126</v>
      </c>
      <c r="G15011" s="2" t="str">
        <f>HYPERLINK("https://probpalata.gov.ru/files/ЮЛ780300323500002.jpeg","Скачать индивидуальный QR-код магазина")</f>
        <v>Скачать индивидуальный QR-код магазина</v>
      </c>
    </row>
    <row r="15012" spans="1:7" x14ac:dyDescent="0.25">
      <c r="A15012" t="s">
        <v>45139</v>
      </c>
      <c r="B15012" t="s">
        <v>46127</v>
      </c>
      <c r="C15012" t="s">
        <v>791</v>
      </c>
      <c r="D15012" t="s">
        <v>792</v>
      </c>
      <c r="E15012" t="s">
        <v>793</v>
      </c>
      <c r="F15012" t="s">
        <v>46128</v>
      </c>
      <c r="G15012" s="2" t="str">
        <f>HYPERLINK("https://probpalata.gov.ru/files/ЮЛ780300323500007.jpeg","Скачать индивидуальный QR-код магазина")</f>
        <v>Скачать индивидуальный QR-код магазина</v>
      </c>
    </row>
    <row r="15013" spans="1:7" x14ac:dyDescent="0.25">
      <c r="A15013" t="s">
        <v>45139</v>
      </c>
      <c r="B15013" t="s">
        <v>46129</v>
      </c>
      <c r="C15013" t="s">
        <v>791</v>
      </c>
      <c r="D15013" t="s">
        <v>792</v>
      </c>
      <c r="E15013" t="s">
        <v>793</v>
      </c>
      <c r="F15013" t="s">
        <v>46130</v>
      </c>
      <c r="G15013" s="2" t="str">
        <f>HYPERLINK("https://probpalata.gov.ru/files/ЮЛ780300323500157.jpeg","Скачать индивидуальный QR-код магазина")</f>
        <v>Скачать индивидуальный QR-код магазина</v>
      </c>
    </row>
    <row r="15014" spans="1:7" x14ac:dyDescent="0.25">
      <c r="A15014" t="s">
        <v>45139</v>
      </c>
      <c r="B15014" t="s">
        <v>46131</v>
      </c>
      <c r="C15014" t="s">
        <v>791</v>
      </c>
      <c r="D15014" t="s">
        <v>792</v>
      </c>
      <c r="E15014" t="s">
        <v>793</v>
      </c>
      <c r="F15014" t="s">
        <v>46132</v>
      </c>
      <c r="G15014" s="2" t="str">
        <f>HYPERLINK("https://probpalata.gov.ru/files/ЮЛ780300323500169.jpeg","Скачать индивидуальный QR-код магазина")</f>
        <v>Скачать индивидуальный QR-код магазина</v>
      </c>
    </row>
    <row r="15015" spans="1:7" x14ac:dyDescent="0.25">
      <c r="A15015" t="s">
        <v>45139</v>
      </c>
      <c r="B15015" t="s">
        <v>46133</v>
      </c>
      <c r="C15015" t="s">
        <v>791</v>
      </c>
      <c r="D15015" t="s">
        <v>792</v>
      </c>
      <c r="E15015" t="s">
        <v>793</v>
      </c>
      <c r="F15015" t="s">
        <v>46134</v>
      </c>
      <c r="G15015" s="2" t="str">
        <f>HYPERLINK("https://probpalata.gov.ru/files/ЮЛ780300323500223.jpeg","Скачать индивидуальный QR-код магазина")</f>
        <v>Скачать индивидуальный QR-код магазина</v>
      </c>
    </row>
    <row r="15016" spans="1:7" x14ac:dyDescent="0.25">
      <c r="A15016" t="s">
        <v>45139</v>
      </c>
      <c r="B15016" t="s">
        <v>46135</v>
      </c>
      <c r="C15016" t="s">
        <v>798</v>
      </c>
      <c r="D15016" t="s">
        <v>799</v>
      </c>
      <c r="E15016" t="s">
        <v>800</v>
      </c>
      <c r="F15016" t="s">
        <v>46136</v>
      </c>
      <c r="G15016" s="2" t="str">
        <f>HYPERLINK("https://probpalata.gov.ru/files/ЮЛ780300308200133.jpeg","Скачать индивидуальный QR-код магазина")</f>
        <v>Скачать индивидуальный QR-код магазина</v>
      </c>
    </row>
    <row r="15017" spans="1:7" x14ac:dyDescent="0.25">
      <c r="A15017" t="s">
        <v>45139</v>
      </c>
      <c r="B15017" t="s">
        <v>46137</v>
      </c>
      <c r="C15017" t="s">
        <v>798</v>
      </c>
      <c r="D15017" t="s">
        <v>799</v>
      </c>
      <c r="E15017" t="s">
        <v>800</v>
      </c>
      <c r="F15017" t="s">
        <v>46138</v>
      </c>
      <c r="G15017" s="2" t="str">
        <f>HYPERLINK("https://probpalata.gov.ru/files/ЮЛ780300308200291.jpeg","Скачать индивидуальный QR-код магазина")</f>
        <v>Скачать индивидуальный QR-код магазина</v>
      </c>
    </row>
    <row r="15018" spans="1:7" x14ac:dyDescent="0.25">
      <c r="A15018" t="s">
        <v>45139</v>
      </c>
      <c r="B15018" t="s">
        <v>46139</v>
      </c>
      <c r="C15018" t="s">
        <v>798</v>
      </c>
      <c r="D15018" t="s">
        <v>799</v>
      </c>
      <c r="E15018" t="s">
        <v>800</v>
      </c>
      <c r="F15018" t="s">
        <v>46140</v>
      </c>
      <c r="G15018" s="2" t="str">
        <f>HYPERLINK("https://probpalata.gov.ru/files/ЮЛ780300308200398.jpeg","Скачать индивидуальный QR-код магазина")</f>
        <v>Скачать индивидуальный QR-код магазина</v>
      </c>
    </row>
    <row r="15019" spans="1:7" x14ac:dyDescent="0.25">
      <c r="A15019" t="s">
        <v>45139</v>
      </c>
      <c r="B15019" t="s">
        <v>46141</v>
      </c>
      <c r="C15019" t="s">
        <v>798</v>
      </c>
      <c r="D15019" t="s">
        <v>799</v>
      </c>
      <c r="E15019" t="s">
        <v>800</v>
      </c>
      <c r="F15019" t="s">
        <v>46142</v>
      </c>
      <c r="G15019" s="2" t="str">
        <f>HYPERLINK("https://probpalata.gov.ru/files/ЮЛ780300308200418.jpeg","Скачать индивидуальный QR-код магазина")</f>
        <v>Скачать индивидуальный QR-код магазина</v>
      </c>
    </row>
    <row r="15020" spans="1:7" x14ac:dyDescent="0.25">
      <c r="A15020" t="s">
        <v>45139</v>
      </c>
      <c r="B15020" t="s">
        <v>46143</v>
      </c>
      <c r="C15020" t="s">
        <v>798</v>
      </c>
      <c r="D15020" t="s">
        <v>799</v>
      </c>
      <c r="E15020" t="s">
        <v>800</v>
      </c>
      <c r="F15020" t="s">
        <v>46144</v>
      </c>
      <c r="G15020" s="2" t="str">
        <f>HYPERLINK("https://probpalata.gov.ru/files/ЮЛ780300308200564.jpeg","Скачать индивидуальный QR-код магазина")</f>
        <v>Скачать индивидуальный QR-код магазина</v>
      </c>
    </row>
    <row r="15021" spans="1:7" x14ac:dyDescent="0.25">
      <c r="A15021" t="s">
        <v>45139</v>
      </c>
      <c r="B15021" t="s">
        <v>46145</v>
      </c>
      <c r="C15021" t="s">
        <v>798</v>
      </c>
      <c r="D15021" t="s">
        <v>799</v>
      </c>
      <c r="E15021" t="s">
        <v>800</v>
      </c>
      <c r="F15021" t="s">
        <v>46146</v>
      </c>
      <c r="G15021" s="2" t="str">
        <f>HYPERLINK("https://probpalata.gov.ru/files/ЮЛ780300308200752.jpeg","Скачать индивидуальный QR-код магазина")</f>
        <v>Скачать индивидуальный QR-код магазина</v>
      </c>
    </row>
    <row r="15022" spans="1:7" x14ac:dyDescent="0.25">
      <c r="A15022" t="s">
        <v>45139</v>
      </c>
      <c r="B15022" t="s">
        <v>46147</v>
      </c>
      <c r="C15022" t="s">
        <v>798</v>
      </c>
      <c r="D15022" t="s">
        <v>799</v>
      </c>
      <c r="E15022" t="s">
        <v>800</v>
      </c>
      <c r="F15022" t="s">
        <v>46148</v>
      </c>
      <c r="G15022" s="2" t="str">
        <f>HYPERLINK("https://probpalata.gov.ru/files/ЮЛ780300308200754.jpeg","Скачать индивидуальный QR-код магазина")</f>
        <v>Скачать индивидуальный QR-код магазина</v>
      </c>
    </row>
    <row r="15023" spans="1:7" x14ac:dyDescent="0.25">
      <c r="A15023" t="s">
        <v>45139</v>
      </c>
      <c r="B15023" t="s">
        <v>45216</v>
      </c>
      <c r="C15023" t="s">
        <v>798</v>
      </c>
      <c r="D15023" t="s">
        <v>799</v>
      </c>
      <c r="E15023" t="s">
        <v>800</v>
      </c>
      <c r="F15023" t="s">
        <v>46149</v>
      </c>
      <c r="G15023" s="2" t="str">
        <f>HYPERLINK("https://probpalata.gov.ru/files/ЮЛ780300308201078.jpeg","Скачать индивидуальный QR-код магазина")</f>
        <v>Скачать индивидуальный QR-код магазина</v>
      </c>
    </row>
    <row r="15024" spans="1:7" x14ac:dyDescent="0.25">
      <c r="A15024" t="s">
        <v>45139</v>
      </c>
      <c r="B15024" t="s">
        <v>46150</v>
      </c>
      <c r="C15024" t="s">
        <v>798</v>
      </c>
      <c r="D15024" t="s">
        <v>799</v>
      </c>
      <c r="E15024" t="s">
        <v>800</v>
      </c>
      <c r="F15024" t="s">
        <v>46151</v>
      </c>
      <c r="G15024" s="2" t="str">
        <f>HYPERLINK("https://probpalata.gov.ru/files/ЮЛ780300308201166.jpeg","Скачать индивидуальный QR-код магазина")</f>
        <v>Скачать индивидуальный QR-код магазина</v>
      </c>
    </row>
    <row r="15025" spans="1:7" x14ac:dyDescent="0.25">
      <c r="A15025" t="s">
        <v>45139</v>
      </c>
      <c r="B15025" t="s">
        <v>46152</v>
      </c>
      <c r="C15025" t="s">
        <v>823</v>
      </c>
      <c r="D15025" t="s">
        <v>824</v>
      </c>
      <c r="E15025" t="s">
        <v>825</v>
      </c>
      <c r="F15025" t="s">
        <v>46153</v>
      </c>
      <c r="G15025" s="2" t="str">
        <f>HYPERLINK("https://probpalata.gov.ru/files/ЮЛ780300363500202.jpeg","Скачать индивидуальный QR-код магазина")</f>
        <v>Скачать индивидуальный QR-код магазина</v>
      </c>
    </row>
    <row r="15026" spans="1:7" x14ac:dyDescent="0.25">
      <c r="A15026" t="s">
        <v>45139</v>
      </c>
      <c r="B15026" t="s">
        <v>46154</v>
      </c>
      <c r="C15026" t="s">
        <v>823</v>
      </c>
      <c r="D15026" t="s">
        <v>824</v>
      </c>
      <c r="E15026" t="s">
        <v>825</v>
      </c>
      <c r="F15026" t="s">
        <v>46155</v>
      </c>
      <c r="G15026" s="2" t="str">
        <f>HYPERLINK("https://probpalata.gov.ru/files/ЮЛ780300363500204.jpeg","Скачать индивидуальный QR-код магазина")</f>
        <v>Скачать индивидуальный QR-код магазина</v>
      </c>
    </row>
    <row r="15027" spans="1:7" x14ac:dyDescent="0.25">
      <c r="A15027" t="s">
        <v>45139</v>
      </c>
      <c r="B15027" t="s">
        <v>46156</v>
      </c>
      <c r="C15027" t="s">
        <v>823</v>
      </c>
      <c r="D15027" t="s">
        <v>824</v>
      </c>
      <c r="E15027" t="s">
        <v>825</v>
      </c>
      <c r="F15027" t="s">
        <v>46157</v>
      </c>
      <c r="G15027" s="2" t="str">
        <f>HYPERLINK("https://probpalata.gov.ru/files/ЮЛ780300363500205.jpeg","Скачать индивидуальный QR-код магазина")</f>
        <v>Скачать индивидуальный QR-код магазина</v>
      </c>
    </row>
    <row r="15028" spans="1:7" x14ac:dyDescent="0.25">
      <c r="A15028" t="s">
        <v>45139</v>
      </c>
      <c r="B15028" t="s">
        <v>46125</v>
      </c>
      <c r="C15028" t="s">
        <v>823</v>
      </c>
      <c r="D15028" t="s">
        <v>824</v>
      </c>
      <c r="E15028" t="s">
        <v>825</v>
      </c>
      <c r="F15028" t="s">
        <v>46158</v>
      </c>
      <c r="G15028" s="2" t="str">
        <f>HYPERLINK("https://probpalata.gov.ru/files/ЮЛ780300363500206.jpeg","Скачать индивидуальный QR-код магазина")</f>
        <v>Скачать индивидуальный QR-код магазина</v>
      </c>
    </row>
    <row r="15029" spans="1:7" x14ac:dyDescent="0.25">
      <c r="A15029" t="s">
        <v>45139</v>
      </c>
      <c r="B15029" t="s">
        <v>46159</v>
      </c>
      <c r="C15029" t="s">
        <v>823</v>
      </c>
      <c r="D15029" t="s">
        <v>824</v>
      </c>
      <c r="E15029" t="s">
        <v>825</v>
      </c>
      <c r="F15029" t="s">
        <v>46160</v>
      </c>
      <c r="G15029" s="2" t="str">
        <f>HYPERLINK("https://probpalata.gov.ru/files/ЮЛ780300363500222.jpeg","Скачать индивидуальный QR-код магазина")</f>
        <v>Скачать индивидуальный QR-код магазина</v>
      </c>
    </row>
    <row r="15030" spans="1:7" x14ac:dyDescent="0.25">
      <c r="A15030" t="s">
        <v>45139</v>
      </c>
      <c r="B15030" t="s">
        <v>46133</v>
      </c>
      <c r="C15030" t="s">
        <v>823</v>
      </c>
      <c r="D15030" t="s">
        <v>824</v>
      </c>
      <c r="E15030" t="s">
        <v>825</v>
      </c>
      <c r="F15030" t="s">
        <v>46161</v>
      </c>
      <c r="G15030" s="2" t="str">
        <f>HYPERLINK("https://probpalata.gov.ru/files/ЮЛ780300363500338.jpeg","Скачать индивидуальный QR-код магазина")</f>
        <v>Скачать индивидуальный QR-код магазина</v>
      </c>
    </row>
    <row r="15031" spans="1:7" x14ac:dyDescent="0.25">
      <c r="A15031" t="s">
        <v>45139</v>
      </c>
      <c r="B15031" t="s">
        <v>45666</v>
      </c>
      <c r="C15031" t="s">
        <v>46162</v>
      </c>
      <c r="D15031" t="s">
        <v>46163</v>
      </c>
      <c r="E15031" t="s">
        <v>46164</v>
      </c>
      <c r="F15031" t="s">
        <v>46165</v>
      </c>
      <c r="G15031" s="2" t="str">
        <f>HYPERLINK("https://probpalata.gov.ru/files/ЮЛ770103215400001.jpeg","Скачать индивидуальный QR-код магазина")</f>
        <v>Скачать индивидуальный QR-код магазина</v>
      </c>
    </row>
    <row r="15032" spans="1:7" x14ac:dyDescent="0.25">
      <c r="A15032" t="s">
        <v>45139</v>
      </c>
      <c r="B15032" t="s">
        <v>45533</v>
      </c>
      <c r="C15032" t="s">
        <v>46162</v>
      </c>
      <c r="D15032" t="s">
        <v>46163</v>
      </c>
      <c r="E15032" t="s">
        <v>46164</v>
      </c>
      <c r="F15032" t="s">
        <v>46166</v>
      </c>
      <c r="G15032" s="2" t="str">
        <f>HYPERLINK("https://probpalata.gov.ru/files/ЮЛ770103215400002.jpeg","Скачать индивидуальный QR-код магазина")</f>
        <v>Скачать индивидуальный QR-код магазина</v>
      </c>
    </row>
    <row r="15033" spans="1:7" x14ac:dyDescent="0.25">
      <c r="A15033" t="s">
        <v>45139</v>
      </c>
      <c r="B15033" t="s">
        <v>46167</v>
      </c>
      <c r="C15033" t="s">
        <v>46162</v>
      </c>
      <c r="D15033" t="s">
        <v>46163</v>
      </c>
      <c r="E15033" t="s">
        <v>46164</v>
      </c>
      <c r="F15033" t="s">
        <v>46168</v>
      </c>
      <c r="G15033" s="2" t="str">
        <f>HYPERLINK("https://probpalata.gov.ru/files/ЮЛ770103215400003.jpeg","Скачать индивидуальный QR-код магазина")</f>
        <v>Скачать индивидуальный QR-код магазина</v>
      </c>
    </row>
    <row r="15034" spans="1:7" x14ac:dyDescent="0.25">
      <c r="A15034" t="s">
        <v>45139</v>
      </c>
      <c r="B15034" t="s">
        <v>45993</v>
      </c>
      <c r="C15034" t="s">
        <v>46162</v>
      </c>
      <c r="D15034" t="s">
        <v>46163</v>
      </c>
      <c r="E15034" t="s">
        <v>46164</v>
      </c>
      <c r="F15034" t="s">
        <v>46169</v>
      </c>
      <c r="G15034" s="2" t="str">
        <f>HYPERLINK("https://probpalata.gov.ru/files/ЮЛ770103215400005.jpeg","Скачать индивидуальный QR-код магазина")</f>
        <v>Скачать индивидуальный QR-код магазина</v>
      </c>
    </row>
    <row r="15035" spans="1:7" x14ac:dyDescent="0.25">
      <c r="A15035" t="s">
        <v>45139</v>
      </c>
      <c r="B15035" t="s">
        <v>45519</v>
      </c>
      <c r="C15035" t="s">
        <v>46162</v>
      </c>
      <c r="D15035" t="s">
        <v>46163</v>
      </c>
      <c r="E15035" t="s">
        <v>46164</v>
      </c>
      <c r="F15035" t="s">
        <v>46170</v>
      </c>
      <c r="G15035" s="2" t="str">
        <f>HYPERLINK("https://probpalata.gov.ru/files/ЮЛ770103215400006.jpeg","Скачать индивидуальный QR-код магазина")</f>
        <v>Скачать индивидуальный QR-код магазина</v>
      </c>
    </row>
    <row r="15036" spans="1:7" x14ac:dyDescent="0.25">
      <c r="A15036" t="s">
        <v>45139</v>
      </c>
      <c r="B15036" t="s">
        <v>45529</v>
      </c>
      <c r="C15036" t="s">
        <v>46162</v>
      </c>
      <c r="D15036" t="s">
        <v>46163</v>
      </c>
      <c r="E15036" t="s">
        <v>46164</v>
      </c>
      <c r="F15036" t="s">
        <v>46171</v>
      </c>
      <c r="G15036" s="2" t="str">
        <f>HYPERLINK("https://probpalata.gov.ru/files/ЮЛ770103215400007.jpeg","Скачать индивидуальный QR-код магазина")</f>
        <v>Скачать индивидуальный QR-код магазина</v>
      </c>
    </row>
    <row r="15037" spans="1:7" x14ac:dyDescent="0.25">
      <c r="A15037" t="s">
        <v>45139</v>
      </c>
      <c r="B15037" t="s">
        <v>46172</v>
      </c>
      <c r="C15037" t="s">
        <v>46162</v>
      </c>
      <c r="D15037" t="s">
        <v>46163</v>
      </c>
      <c r="E15037" t="s">
        <v>46164</v>
      </c>
      <c r="F15037" t="s">
        <v>46173</v>
      </c>
      <c r="G15037" s="2" t="str">
        <f>HYPERLINK("https://probpalata.gov.ru/files/ЮЛ770103215400009.jpeg","Скачать индивидуальный QR-код магазина")</f>
        <v>Скачать индивидуальный QR-код магазина</v>
      </c>
    </row>
    <row r="15038" spans="1:7" x14ac:dyDescent="0.25">
      <c r="A15038" t="s">
        <v>45139</v>
      </c>
      <c r="B15038" t="s">
        <v>45435</v>
      </c>
      <c r="C15038" t="s">
        <v>46162</v>
      </c>
      <c r="D15038" t="s">
        <v>46163</v>
      </c>
      <c r="E15038" t="s">
        <v>46164</v>
      </c>
      <c r="F15038" t="s">
        <v>46174</v>
      </c>
      <c r="G15038" s="2" t="str">
        <f>HYPERLINK("https://probpalata.gov.ru/files/ЮЛ770103215400010.jpeg","Скачать индивидуальный QR-код магазина")</f>
        <v>Скачать индивидуальный QR-код магазина</v>
      </c>
    </row>
    <row r="15039" spans="1:7" x14ac:dyDescent="0.25">
      <c r="A15039" t="s">
        <v>45139</v>
      </c>
      <c r="B15039" t="s">
        <v>46175</v>
      </c>
      <c r="C15039" t="s">
        <v>46162</v>
      </c>
      <c r="D15039" t="s">
        <v>46163</v>
      </c>
      <c r="E15039" t="s">
        <v>46164</v>
      </c>
      <c r="F15039" t="s">
        <v>46176</v>
      </c>
      <c r="G15039" s="2" t="str">
        <f>HYPERLINK("https://probpalata.gov.ru/files/ЮЛ770103215400013.jpeg","Скачать индивидуальный QR-код магазина")</f>
        <v>Скачать индивидуальный QR-код магазина</v>
      </c>
    </row>
    <row r="15040" spans="1:7" x14ac:dyDescent="0.25">
      <c r="A15040" t="s">
        <v>45139</v>
      </c>
      <c r="B15040" t="s">
        <v>46177</v>
      </c>
      <c r="C15040" t="s">
        <v>27592</v>
      </c>
      <c r="D15040" t="s">
        <v>46178</v>
      </c>
      <c r="E15040" t="s">
        <v>46179</v>
      </c>
      <c r="F15040" t="s">
        <v>46180</v>
      </c>
      <c r="G15040" s="2" t="str">
        <f>HYPERLINK("https://probpalata.gov.ru/files/ЮЛ770103720500001.jpeg","Скачать индивидуальный QR-код магазина")</f>
        <v>Скачать индивидуальный QR-код магазина</v>
      </c>
    </row>
    <row r="15041" spans="1:7" x14ac:dyDescent="0.25">
      <c r="A15041" t="s">
        <v>45139</v>
      </c>
      <c r="B15041" t="s">
        <v>46181</v>
      </c>
      <c r="C15041" t="s">
        <v>1501</v>
      </c>
      <c r="D15041" t="s">
        <v>1502</v>
      </c>
      <c r="E15041" t="s">
        <v>1503</v>
      </c>
      <c r="F15041" t="s">
        <v>46182</v>
      </c>
      <c r="G15041" s="2" t="str">
        <f>HYPERLINK("https://probpalata.gov.ru/files/ЮЛ770100439200114.jpeg","Скачать индивидуальный QR-код магазина")</f>
        <v>Скачать индивидуальный QR-код магазина</v>
      </c>
    </row>
    <row r="15042" spans="1:7" x14ac:dyDescent="0.25">
      <c r="A15042" t="s">
        <v>45139</v>
      </c>
      <c r="B15042" t="s">
        <v>46183</v>
      </c>
      <c r="C15042" t="s">
        <v>1501</v>
      </c>
      <c r="D15042" t="s">
        <v>1502</v>
      </c>
      <c r="E15042" t="s">
        <v>1503</v>
      </c>
      <c r="F15042" t="s">
        <v>46184</v>
      </c>
      <c r="G15042" s="2" t="str">
        <f>HYPERLINK("https://probpalata.gov.ru/files/ЮЛ770100439200115.jpeg","Скачать индивидуальный QR-код магазина")</f>
        <v>Скачать индивидуальный QR-код магазина</v>
      </c>
    </row>
    <row r="15043" spans="1:7" x14ac:dyDescent="0.25">
      <c r="A15043" t="s">
        <v>45139</v>
      </c>
      <c r="B15043" t="s">
        <v>46185</v>
      </c>
      <c r="C15043" t="s">
        <v>1501</v>
      </c>
      <c r="D15043" t="s">
        <v>1502</v>
      </c>
      <c r="E15043" t="s">
        <v>1503</v>
      </c>
      <c r="F15043" t="s">
        <v>46186</v>
      </c>
      <c r="G15043" s="2" t="str">
        <f>HYPERLINK("https://probpalata.gov.ru/files/ЮЛ770100439200116.jpeg","Скачать индивидуальный QR-код магазина")</f>
        <v>Скачать индивидуальный QR-код магазина</v>
      </c>
    </row>
    <row r="15044" spans="1:7" x14ac:dyDescent="0.25">
      <c r="A15044" t="s">
        <v>45139</v>
      </c>
      <c r="B15044" t="s">
        <v>46187</v>
      </c>
      <c r="C15044" t="s">
        <v>1501</v>
      </c>
      <c r="D15044" t="s">
        <v>1502</v>
      </c>
      <c r="E15044" t="s">
        <v>1503</v>
      </c>
      <c r="F15044" t="s">
        <v>46188</v>
      </c>
      <c r="G15044" s="2" t="str">
        <f>HYPERLINK("https://probpalata.gov.ru/files/ЮЛ770100439200117.jpeg","Скачать индивидуальный QR-код магазина")</f>
        <v>Скачать индивидуальный QR-код магазина</v>
      </c>
    </row>
    <row r="15045" spans="1:7" x14ac:dyDescent="0.25">
      <c r="A15045" t="s">
        <v>45139</v>
      </c>
      <c r="B15045" t="s">
        <v>46189</v>
      </c>
      <c r="C15045" t="s">
        <v>1501</v>
      </c>
      <c r="D15045" t="s">
        <v>1502</v>
      </c>
      <c r="E15045" t="s">
        <v>1503</v>
      </c>
      <c r="F15045" t="s">
        <v>46190</v>
      </c>
      <c r="G15045" s="2" t="str">
        <f>HYPERLINK("https://probpalata.gov.ru/files/ЮЛ770100439200118.jpeg","Скачать индивидуальный QR-код магазина")</f>
        <v>Скачать индивидуальный QR-код магазина</v>
      </c>
    </row>
    <row r="15046" spans="1:7" x14ac:dyDescent="0.25">
      <c r="A15046" t="s">
        <v>45139</v>
      </c>
      <c r="B15046" t="s">
        <v>46191</v>
      </c>
      <c r="C15046" t="s">
        <v>1501</v>
      </c>
      <c r="D15046" t="s">
        <v>1502</v>
      </c>
      <c r="E15046" t="s">
        <v>1503</v>
      </c>
      <c r="F15046" t="s">
        <v>46192</v>
      </c>
      <c r="G15046" s="2" t="str">
        <f>HYPERLINK("https://probpalata.gov.ru/files/ЮЛ770100439200119.jpeg","Скачать индивидуальный QR-код магазина")</f>
        <v>Скачать индивидуальный QR-код магазина</v>
      </c>
    </row>
    <row r="15047" spans="1:7" x14ac:dyDescent="0.25">
      <c r="A15047" t="s">
        <v>46193</v>
      </c>
      <c r="B15047" t="s">
        <v>46194</v>
      </c>
      <c r="C15047" t="s">
        <v>13160</v>
      </c>
      <c r="D15047" t="s">
        <v>13161</v>
      </c>
      <c r="E15047" t="s">
        <v>13162</v>
      </c>
      <c r="F15047" t="s">
        <v>46195</v>
      </c>
      <c r="G15047" s="2" t="str">
        <f>HYPERLINK("https://probpalata.gov.ru/files/ИП780301291200000.jpeg","Скачать индивидуальный QR-код магазина")</f>
        <v>Скачать индивидуальный QR-код магазина</v>
      </c>
    </row>
    <row r="15048" spans="1:7" x14ac:dyDescent="0.25">
      <c r="A15048" t="s">
        <v>46193</v>
      </c>
      <c r="B15048" t="s">
        <v>46196</v>
      </c>
      <c r="C15048" t="s">
        <v>13160</v>
      </c>
      <c r="D15048" t="s">
        <v>13161</v>
      </c>
      <c r="E15048" t="s">
        <v>13162</v>
      </c>
      <c r="F15048" t="s">
        <v>46197</v>
      </c>
      <c r="G15048" s="2" t="str">
        <f>HYPERLINK("https://probpalata.gov.ru/files/ИП780301291200021.jpeg","Скачать индивидуальный QR-код магазина")</f>
        <v>Скачать индивидуальный QR-код магазина</v>
      </c>
    </row>
    <row r="15049" spans="1:7" x14ac:dyDescent="0.25">
      <c r="A15049" t="s">
        <v>46193</v>
      </c>
      <c r="B15049" t="s">
        <v>46198</v>
      </c>
      <c r="C15049" t="s">
        <v>13160</v>
      </c>
      <c r="D15049" t="s">
        <v>13161</v>
      </c>
      <c r="E15049" t="s">
        <v>13162</v>
      </c>
      <c r="F15049" t="s">
        <v>46199</v>
      </c>
      <c r="G15049" s="2" t="str">
        <f>HYPERLINK("https://probpalata.gov.ru/files/ИП780301291200025.jpeg","Скачать индивидуальный QR-код магазина")</f>
        <v>Скачать индивидуальный QR-код магазина</v>
      </c>
    </row>
    <row r="15050" spans="1:7" x14ac:dyDescent="0.25">
      <c r="A15050" t="s">
        <v>46193</v>
      </c>
      <c r="B15050" t="s">
        <v>46200</v>
      </c>
      <c r="C15050" t="s">
        <v>13160</v>
      </c>
      <c r="D15050" t="s">
        <v>13161</v>
      </c>
      <c r="E15050" t="s">
        <v>13162</v>
      </c>
      <c r="F15050" t="s">
        <v>46201</v>
      </c>
      <c r="G15050" s="2" t="str">
        <f>HYPERLINK("https://probpalata.gov.ru/files/ИП780301291200026.jpeg","Скачать индивидуальный QR-код магазина")</f>
        <v>Скачать индивидуальный QR-код магазина</v>
      </c>
    </row>
    <row r="15051" spans="1:7" x14ac:dyDescent="0.25">
      <c r="A15051" t="s">
        <v>46193</v>
      </c>
      <c r="B15051" t="s">
        <v>46202</v>
      </c>
      <c r="C15051" t="s">
        <v>3236</v>
      </c>
      <c r="D15051" t="s">
        <v>3237</v>
      </c>
      <c r="E15051" t="s">
        <v>3238</v>
      </c>
      <c r="F15051" t="s">
        <v>46203</v>
      </c>
      <c r="G15051" s="2" t="str">
        <f>HYPERLINK("https://probpalata.gov.ru/files/ИП020603403600009.jpeg","Скачать индивидуальный QR-код магазина")</f>
        <v>Скачать индивидуальный QR-код магазина</v>
      </c>
    </row>
    <row r="15052" spans="1:7" x14ac:dyDescent="0.25">
      <c r="A15052" t="s">
        <v>46193</v>
      </c>
      <c r="B15052" t="s">
        <v>46204</v>
      </c>
      <c r="C15052" t="s">
        <v>18874</v>
      </c>
      <c r="D15052" t="s">
        <v>18875</v>
      </c>
      <c r="E15052" t="s">
        <v>18876</v>
      </c>
      <c r="F15052" t="s">
        <v>46205</v>
      </c>
      <c r="G15052" s="2" t="str">
        <f>HYPERLINK("https://probpalata.gov.ru/files/ЮЛ050500827400001.jpeg","Скачать индивидуальный QR-код магазина")</f>
        <v>Скачать индивидуальный QR-код магазина</v>
      </c>
    </row>
    <row r="15053" spans="1:7" x14ac:dyDescent="0.25">
      <c r="A15053" t="s">
        <v>46193</v>
      </c>
      <c r="B15053" t="s">
        <v>46206</v>
      </c>
      <c r="C15053" t="s">
        <v>18874</v>
      </c>
      <c r="D15053" t="s">
        <v>18875</v>
      </c>
      <c r="E15053" t="s">
        <v>18876</v>
      </c>
      <c r="F15053" t="s">
        <v>46207</v>
      </c>
      <c r="G15053" s="2" t="str">
        <f>HYPERLINK("https://probpalata.gov.ru/files/ЮЛ050500827400002.jpeg","Скачать индивидуальный QR-код магазина")</f>
        <v>Скачать индивидуальный QR-код магазина</v>
      </c>
    </row>
    <row r="15054" spans="1:7" x14ac:dyDescent="0.25">
      <c r="A15054" t="s">
        <v>46193</v>
      </c>
      <c r="B15054" t="s">
        <v>46208</v>
      </c>
      <c r="C15054" t="s">
        <v>41045</v>
      </c>
      <c r="D15054" t="s">
        <v>46209</v>
      </c>
      <c r="E15054" t="s">
        <v>46210</v>
      </c>
      <c r="F15054" t="s">
        <v>46211</v>
      </c>
      <c r="G15054" s="2" t="str">
        <f>HYPERLINK("https://probpalata.gov.ru/files/ИП780301178200000.jpeg","Скачать индивидуальный QR-код магазина")</f>
        <v>Скачать индивидуальный QR-код магазина</v>
      </c>
    </row>
    <row r="15055" spans="1:7" x14ac:dyDescent="0.25">
      <c r="A15055" t="s">
        <v>46193</v>
      </c>
      <c r="B15055" t="s">
        <v>46212</v>
      </c>
      <c r="C15055" t="s">
        <v>18942</v>
      </c>
      <c r="D15055" t="s">
        <v>18943</v>
      </c>
      <c r="E15055" t="s">
        <v>18944</v>
      </c>
      <c r="F15055" t="s">
        <v>46213</v>
      </c>
      <c r="G15055" s="2" t="str">
        <f>HYPERLINK("https://probpalata.gov.ru/files/ИП100303804400000.jpeg","Скачать индивидуальный QR-код магазина")</f>
        <v>Скачать индивидуальный QR-код магазина</v>
      </c>
    </row>
    <row r="15056" spans="1:7" x14ac:dyDescent="0.25">
      <c r="A15056" t="s">
        <v>46193</v>
      </c>
      <c r="B15056" t="s">
        <v>46214</v>
      </c>
      <c r="C15056" t="s">
        <v>18942</v>
      </c>
      <c r="D15056" t="s">
        <v>18943</v>
      </c>
      <c r="E15056" t="s">
        <v>18944</v>
      </c>
      <c r="F15056" t="s">
        <v>46215</v>
      </c>
      <c r="G15056" s="2" t="str">
        <f>HYPERLINK("https://probpalata.gov.ru/files/ИП100303804400004.jpeg","Скачать индивидуальный QR-код магазина")</f>
        <v>Скачать индивидуальный QR-код магазина</v>
      </c>
    </row>
    <row r="15057" spans="1:7" x14ac:dyDescent="0.25">
      <c r="A15057" t="s">
        <v>46193</v>
      </c>
      <c r="B15057" t="s">
        <v>46216</v>
      </c>
      <c r="C15057" t="s">
        <v>46217</v>
      </c>
      <c r="D15057" t="s">
        <v>46218</v>
      </c>
      <c r="E15057" t="s">
        <v>46219</v>
      </c>
      <c r="F15057" t="s">
        <v>46220</v>
      </c>
      <c r="G15057" s="2" t="str">
        <f>HYPERLINK("https://probpalata.gov.ru/files/ИП110300505900000.jpeg","Скачать индивидуальный QR-код магазина")</f>
        <v>Скачать индивидуальный QR-код магазина</v>
      </c>
    </row>
    <row r="15058" spans="1:7" x14ac:dyDescent="0.25">
      <c r="A15058" t="s">
        <v>46193</v>
      </c>
      <c r="B15058" t="s">
        <v>46221</v>
      </c>
      <c r="C15058" t="s">
        <v>46222</v>
      </c>
      <c r="D15058" t="s">
        <v>46223</v>
      </c>
      <c r="E15058" t="s">
        <v>46224</v>
      </c>
      <c r="F15058" t="s">
        <v>46225</v>
      </c>
      <c r="G15058" s="2" t="str">
        <f>HYPERLINK("https://probpalata.gov.ru/files/ИП470303603900000.jpeg","Скачать индивидуальный QR-код магазина")</f>
        <v>Скачать индивидуальный QR-код магазина</v>
      </c>
    </row>
    <row r="15059" spans="1:7" x14ac:dyDescent="0.25">
      <c r="A15059" t="s">
        <v>46193</v>
      </c>
      <c r="B15059" t="s">
        <v>46226</v>
      </c>
      <c r="C15059" t="s">
        <v>46227</v>
      </c>
      <c r="D15059" t="s">
        <v>46228</v>
      </c>
      <c r="E15059" t="s">
        <v>46229</v>
      </c>
      <c r="F15059" t="s">
        <v>46230</v>
      </c>
      <c r="G15059" s="2" t="str">
        <f>HYPERLINK("https://probpalata.gov.ru/files/ИП780301491400000.jpeg","Скачать индивидуальный QR-код магазина")</f>
        <v>Скачать индивидуальный QR-код магазина</v>
      </c>
    </row>
    <row r="15060" spans="1:7" x14ac:dyDescent="0.25">
      <c r="A15060" t="s">
        <v>46193</v>
      </c>
      <c r="B15060" t="s">
        <v>46231</v>
      </c>
      <c r="C15060" t="s">
        <v>46227</v>
      </c>
      <c r="D15060" t="s">
        <v>46228</v>
      </c>
      <c r="E15060" t="s">
        <v>46229</v>
      </c>
      <c r="F15060" t="s">
        <v>46232</v>
      </c>
      <c r="G15060" s="2" t="str">
        <f>HYPERLINK("https://probpalata.gov.ru/files/ИП780301491400002.jpeg","Скачать индивидуальный QR-код магазина")</f>
        <v>Скачать индивидуальный QR-код магазина</v>
      </c>
    </row>
    <row r="15061" spans="1:7" x14ac:dyDescent="0.25">
      <c r="A15061" t="s">
        <v>46193</v>
      </c>
      <c r="B15061" t="s">
        <v>46233</v>
      </c>
      <c r="C15061" t="s">
        <v>19054</v>
      </c>
      <c r="D15061" t="s">
        <v>19055</v>
      </c>
      <c r="E15061" t="s">
        <v>19056</v>
      </c>
      <c r="F15061" t="s">
        <v>46234</v>
      </c>
      <c r="G15061" s="2" t="str">
        <f>HYPERLINK("https://probpalata.gov.ru/files/ИП780301140600002.jpeg","Скачать индивидуальный QR-код магазина")</f>
        <v>Скачать индивидуальный QR-код магазина</v>
      </c>
    </row>
    <row r="15062" spans="1:7" x14ac:dyDescent="0.25">
      <c r="A15062" t="s">
        <v>46193</v>
      </c>
      <c r="B15062" t="s">
        <v>46235</v>
      </c>
      <c r="C15062" t="s">
        <v>13224</v>
      </c>
      <c r="D15062" t="s">
        <v>13225</v>
      </c>
      <c r="E15062" t="s">
        <v>13226</v>
      </c>
      <c r="F15062" t="s">
        <v>46236</v>
      </c>
      <c r="G15062" s="2" t="str">
        <f>HYPERLINK("https://probpalata.gov.ru/files/ИП160603156900003.jpeg","Скачать индивидуальный QR-код магазина")</f>
        <v>Скачать индивидуальный QR-код магазина</v>
      </c>
    </row>
    <row r="15063" spans="1:7" x14ac:dyDescent="0.25">
      <c r="A15063" t="s">
        <v>46193</v>
      </c>
      <c r="B15063" t="s">
        <v>46237</v>
      </c>
      <c r="C15063" t="s">
        <v>46238</v>
      </c>
      <c r="D15063" t="s">
        <v>46239</v>
      </c>
      <c r="E15063" t="s">
        <v>46240</v>
      </c>
      <c r="F15063" t="s">
        <v>46241</v>
      </c>
      <c r="G15063" s="2" t="str">
        <f>HYPERLINK("https://probpalata.gov.ru/files/ИП780303890000000.jpeg","Скачать индивидуальный QR-код магазина")</f>
        <v>Скачать индивидуальный QR-код магазина</v>
      </c>
    </row>
    <row r="15064" spans="1:7" x14ac:dyDescent="0.25">
      <c r="A15064" t="s">
        <v>46193</v>
      </c>
      <c r="B15064" t="s">
        <v>46242</v>
      </c>
      <c r="C15064" t="s">
        <v>46243</v>
      </c>
      <c r="D15064" t="s">
        <v>46244</v>
      </c>
      <c r="E15064" t="s">
        <v>46245</v>
      </c>
      <c r="F15064" t="s">
        <v>46246</v>
      </c>
      <c r="G15064" s="2" t="str">
        <f>HYPERLINK("https://probpalata.gov.ru/files/ИП780304006400000.jpeg","Скачать индивидуальный QR-код магазина")</f>
        <v>Скачать индивидуальный QR-код магазина</v>
      </c>
    </row>
    <row r="15065" spans="1:7" x14ac:dyDescent="0.25">
      <c r="A15065" t="s">
        <v>46193</v>
      </c>
      <c r="B15065" t="s">
        <v>46247</v>
      </c>
      <c r="C15065" t="s">
        <v>46248</v>
      </c>
      <c r="D15065" t="s">
        <v>46249</v>
      </c>
      <c r="E15065" t="s">
        <v>46250</v>
      </c>
      <c r="F15065" t="s">
        <v>46251</v>
      </c>
      <c r="G15065" s="2" t="str">
        <f>HYPERLINK("https://probpalata.gov.ru/files/ИП780303614100000.jpeg","Скачать индивидуальный QR-код магазина")</f>
        <v>Скачать индивидуальный QR-код магазина</v>
      </c>
    </row>
    <row r="15066" spans="1:7" x14ac:dyDescent="0.25">
      <c r="A15066" t="s">
        <v>46193</v>
      </c>
      <c r="B15066" t="s">
        <v>46252</v>
      </c>
      <c r="C15066" t="s">
        <v>46253</v>
      </c>
      <c r="D15066" t="s">
        <v>46254</v>
      </c>
      <c r="E15066" t="s">
        <v>46255</v>
      </c>
      <c r="F15066" t="s">
        <v>46256</v>
      </c>
      <c r="G15066" s="2" t="str">
        <f>HYPERLINK("https://probpalata.gov.ru/files/ИП190803222800001.jpeg","Скачать индивидуальный QR-код магазина")</f>
        <v>Скачать индивидуальный QR-код магазина</v>
      </c>
    </row>
    <row r="15067" spans="1:7" x14ac:dyDescent="0.25">
      <c r="A15067" t="s">
        <v>46193</v>
      </c>
      <c r="B15067" t="s">
        <v>46257</v>
      </c>
      <c r="C15067" t="s">
        <v>46258</v>
      </c>
      <c r="D15067" t="s">
        <v>46259</v>
      </c>
      <c r="E15067" t="s">
        <v>46260</v>
      </c>
      <c r="F15067" t="s">
        <v>46261</v>
      </c>
      <c r="G15067" s="2" t="str">
        <f>HYPERLINK("https://probpalata.gov.ru/files/ИП780303959000000.jpeg","Скачать индивидуальный QR-код магазина")</f>
        <v>Скачать индивидуальный QR-код магазина</v>
      </c>
    </row>
    <row r="15068" spans="1:7" x14ac:dyDescent="0.25">
      <c r="A15068" t="s">
        <v>46193</v>
      </c>
      <c r="B15068" t="s">
        <v>46262</v>
      </c>
      <c r="C15068" t="s">
        <v>46263</v>
      </c>
      <c r="D15068" t="s">
        <v>46264</v>
      </c>
      <c r="E15068" t="s">
        <v>46265</v>
      </c>
      <c r="F15068" t="s">
        <v>46266</v>
      </c>
      <c r="G15068" s="2" t="str">
        <f>HYPERLINK("https://probpalata.gov.ru/files/ИП220803878900000.jpeg","Скачать индивидуальный QR-код магазина")</f>
        <v>Скачать индивидуальный QR-код магазина</v>
      </c>
    </row>
    <row r="15069" spans="1:7" x14ac:dyDescent="0.25">
      <c r="A15069" t="s">
        <v>46193</v>
      </c>
      <c r="B15069" t="s">
        <v>46267</v>
      </c>
      <c r="C15069" t="s">
        <v>46268</v>
      </c>
      <c r="D15069" t="s">
        <v>46269</v>
      </c>
      <c r="E15069" t="s">
        <v>46270</v>
      </c>
      <c r="F15069" t="s">
        <v>46271</v>
      </c>
      <c r="G15069" s="2" t="str">
        <f>HYPERLINK("https://probpalata.gov.ru/files/ИП780303938300000.jpeg","Скачать индивидуальный QR-код магазина")</f>
        <v>Скачать индивидуальный QR-код магазина</v>
      </c>
    </row>
    <row r="15070" spans="1:7" x14ac:dyDescent="0.25">
      <c r="A15070" t="s">
        <v>46193</v>
      </c>
      <c r="B15070" t="s">
        <v>46272</v>
      </c>
      <c r="C15070" t="s">
        <v>46273</v>
      </c>
      <c r="D15070" t="s">
        <v>46274</v>
      </c>
      <c r="E15070" t="s">
        <v>46275</v>
      </c>
      <c r="F15070" t="s">
        <v>46276</v>
      </c>
      <c r="G15070" s="2" t="str">
        <f>HYPERLINK("https://probpalata.gov.ru/files/ИП220804013500000.jpeg","Скачать индивидуальный QR-код магазина")</f>
        <v>Скачать индивидуальный QR-код магазина</v>
      </c>
    </row>
    <row r="15071" spans="1:7" x14ac:dyDescent="0.25">
      <c r="A15071" t="s">
        <v>46193</v>
      </c>
      <c r="B15071" t="s">
        <v>46277</v>
      </c>
      <c r="C15071" t="s">
        <v>46278</v>
      </c>
      <c r="D15071" t="s">
        <v>46279</v>
      </c>
      <c r="E15071" t="s">
        <v>46280</v>
      </c>
      <c r="F15071" t="s">
        <v>46281</v>
      </c>
      <c r="G15071" s="2" t="str">
        <f>HYPERLINK("https://probpalata.gov.ru/files/ИП780300126500000.jpeg","Скачать индивидуальный QR-код магазина")</f>
        <v>Скачать индивидуальный QR-код магазина</v>
      </c>
    </row>
    <row r="15072" spans="1:7" x14ac:dyDescent="0.25">
      <c r="A15072" t="s">
        <v>46193</v>
      </c>
      <c r="B15072" t="s">
        <v>46282</v>
      </c>
      <c r="C15072" t="s">
        <v>46283</v>
      </c>
      <c r="D15072" t="s">
        <v>46284</v>
      </c>
      <c r="E15072" t="s">
        <v>46285</v>
      </c>
      <c r="F15072" t="s">
        <v>46286</v>
      </c>
      <c r="G15072" s="2" t="str">
        <f>HYPERLINK("https://probpalata.gov.ru/files/ИП780300312400000.jpeg","Скачать индивидуальный QR-код магазина")</f>
        <v>Скачать индивидуальный QR-код магазина</v>
      </c>
    </row>
    <row r="15073" spans="1:7" x14ac:dyDescent="0.25">
      <c r="A15073" t="s">
        <v>46193</v>
      </c>
      <c r="B15073" t="s">
        <v>46287</v>
      </c>
      <c r="C15073" t="s">
        <v>46283</v>
      </c>
      <c r="D15073" t="s">
        <v>46284</v>
      </c>
      <c r="E15073" t="s">
        <v>46285</v>
      </c>
      <c r="F15073" t="s">
        <v>46288</v>
      </c>
      <c r="G15073" s="2" t="str">
        <f>HYPERLINK("https://probpalata.gov.ru/files/ИП780300312400001.jpeg","Скачать индивидуальный QR-код магазина")</f>
        <v>Скачать индивидуальный QR-код магазина</v>
      </c>
    </row>
    <row r="15074" spans="1:7" x14ac:dyDescent="0.25">
      <c r="A15074" t="s">
        <v>46193</v>
      </c>
      <c r="B15074" t="s">
        <v>46289</v>
      </c>
      <c r="C15074" t="s">
        <v>46283</v>
      </c>
      <c r="D15074" t="s">
        <v>46284</v>
      </c>
      <c r="E15074" t="s">
        <v>46285</v>
      </c>
      <c r="F15074" t="s">
        <v>46290</v>
      </c>
      <c r="G15074" s="2" t="str">
        <f>HYPERLINK("https://probpalata.gov.ru/files/ИП780300312400002.jpeg","Скачать индивидуальный QR-код магазина")</f>
        <v>Скачать индивидуальный QR-код магазина</v>
      </c>
    </row>
    <row r="15075" spans="1:7" x14ac:dyDescent="0.25">
      <c r="A15075" t="s">
        <v>46193</v>
      </c>
      <c r="B15075" t="s">
        <v>46291</v>
      </c>
      <c r="C15075" t="s">
        <v>46283</v>
      </c>
      <c r="D15075" t="s">
        <v>46284</v>
      </c>
      <c r="E15075" t="s">
        <v>46285</v>
      </c>
      <c r="F15075" t="s">
        <v>46292</v>
      </c>
      <c r="G15075" s="2" t="str">
        <f>HYPERLINK("https://probpalata.gov.ru/files/ИП780300312400003.jpeg","Скачать индивидуальный QR-код магазина")</f>
        <v>Скачать индивидуальный QR-код магазина</v>
      </c>
    </row>
    <row r="15076" spans="1:7" x14ac:dyDescent="0.25">
      <c r="A15076" t="s">
        <v>46193</v>
      </c>
      <c r="B15076" t="s">
        <v>46293</v>
      </c>
      <c r="C15076" t="s">
        <v>46283</v>
      </c>
      <c r="D15076" t="s">
        <v>46284</v>
      </c>
      <c r="E15076" t="s">
        <v>46285</v>
      </c>
      <c r="F15076" t="s">
        <v>46294</v>
      </c>
      <c r="G15076" s="2" t="str">
        <f>HYPERLINK("https://probpalata.gov.ru/files/ИП780300312400004.jpeg","Скачать индивидуальный QR-код магазина")</f>
        <v>Скачать индивидуальный QR-код магазина</v>
      </c>
    </row>
    <row r="15077" spans="1:7" x14ac:dyDescent="0.25">
      <c r="A15077" t="s">
        <v>46193</v>
      </c>
      <c r="B15077" t="s">
        <v>46295</v>
      </c>
      <c r="C15077" t="s">
        <v>46283</v>
      </c>
      <c r="D15077" t="s">
        <v>46284</v>
      </c>
      <c r="E15077" t="s">
        <v>46285</v>
      </c>
      <c r="F15077" t="s">
        <v>46296</v>
      </c>
      <c r="G15077" s="2" t="str">
        <f>HYPERLINK("https://probpalata.gov.ru/files/ИП780300312400005.jpeg","Скачать индивидуальный QR-код магазина")</f>
        <v>Скачать индивидуальный QR-код магазина</v>
      </c>
    </row>
    <row r="15078" spans="1:7" x14ac:dyDescent="0.25">
      <c r="A15078" t="s">
        <v>46193</v>
      </c>
      <c r="B15078" t="s">
        <v>46297</v>
      </c>
      <c r="C15078" t="s">
        <v>46298</v>
      </c>
      <c r="D15078" t="s">
        <v>46299</v>
      </c>
      <c r="E15078" t="s">
        <v>46300</v>
      </c>
      <c r="F15078" t="s">
        <v>46301</v>
      </c>
      <c r="G15078" s="2" t="str">
        <f>HYPERLINK("https://probpalata.gov.ru/files/ИП780303761100000.jpeg","Скачать индивидуальный QR-код магазина")</f>
        <v>Скачать индивидуальный QR-код магазина</v>
      </c>
    </row>
    <row r="15079" spans="1:7" x14ac:dyDescent="0.25">
      <c r="A15079" t="s">
        <v>46193</v>
      </c>
      <c r="B15079" t="s">
        <v>46302</v>
      </c>
      <c r="C15079" t="s">
        <v>15999</v>
      </c>
      <c r="D15079" t="s">
        <v>16000</v>
      </c>
      <c r="E15079" t="s">
        <v>16001</v>
      </c>
      <c r="F15079" t="s">
        <v>46303</v>
      </c>
      <c r="G15079" s="2" t="str">
        <f>HYPERLINK("https://probpalata.gov.ru/files/ИП240800441300003.jpeg","Скачать индивидуальный QR-код магазина")</f>
        <v>Скачать индивидуальный QR-код магазина</v>
      </c>
    </row>
    <row r="15080" spans="1:7" x14ac:dyDescent="0.25">
      <c r="A15080" t="s">
        <v>46193</v>
      </c>
      <c r="B15080" t="s">
        <v>46304</v>
      </c>
      <c r="C15080" t="s">
        <v>46305</v>
      </c>
      <c r="D15080" t="s">
        <v>46306</v>
      </c>
      <c r="E15080" t="s">
        <v>46307</v>
      </c>
      <c r="F15080" t="s">
        <v>46308</v>
      </c>
      <c r="G15080" s="2" t="str">
        <f>HYPERLINK("https://probpalata.gov.ru/files/ИП780301805900000.jpeg","Скачать индивидуальный QR-код магазина")</f>
        <v>Скачать индивидуальный QR-код магазина</v>
      </c>
    </row>
    <row r="15081" spans="1:7" x14ac:dyDescent="0.25">
      <c r="A15081" t="s">
        <v>46193</v>
      </c>
      <c r="B15081" t="s">
        <v>46309</v>
      </c>
      <c r="C15081" t="s">
        <v>35760</v>
      </c>
      <c r="D15081" t="s">
        <v>35761</v>
      </c>
      <c r="E15081" t="s">
        <v>35762</v>
      </c>
      <c r="F15081" t="s">
        <v>46310</v>
      </c>
      <c r="G15081" s="2" t="str">
        <f>HYPERLINK("https://probpalata.gov.ru/files/ИП250900919000007.jpeg","Скачать индивидуальный QR-код магазина")</f>
        <v>Скачать индивидуальный QR-код магазина</v>
      </c>
    </row>
    <row r="15082" spans="1:7" x14ac:dyDescent="0.25">
      <c r="A15082" t="s">
        <v>46193</v>
      </c>
      <c r="B15082" t="s">
        <v>46311</v>
      </c>
      <c r="C15082" t="s">
        <v>46312</v>
      </c>
      <c r="D15082" t="s">
        <v>46313</v>
      </c>
      <c r="E15082" t="s">
        <v>46314</v>
      </c>
      <c r="F15082" t="s">
        <v>46315</v>
      </c>
      <c r="G15082" s="2" t="str">
        <f>HYPERLINK("https://probpalata.gov.ru/files/ИП780303322100000.jpeg","Скачать индивидуальный QR-код магазина")</f>
        <v>Скачать индивидуальный QR-код магазина</v>
      </c>
    </row>
    <row r="15083" spans="1:7" x14ac:dyDescent="0.25">
      <c r="A15083" t="s">
        <v>46193</v>
      </c>
      <c r="B15083" t="s">
        <v>46316</v>
      </c>
      <c r="C15083" t="s">
        <v>46317</v>
      </c>
      <c r="D15083" t="s">
        <v>46318</v>
      </c>
      <c r="E15083" t="s">
        <v>46319</v>
      </c>
      <c r="F15083" t="s">
        <v>46320</v>
      </c>
      <c r="G15083" s="2" t="str">
        <f>HYPERLINK("https://probpalata.gov.ru/files/ИП780300189700000.jpeg","Скачать индивидуальный QR-код магазина")</f>
        <v>Скачать индивидуальный QR-код магазина</v>
      </c>
    </row>
    <row r="15084" spans="1:7" x14ac:dyDescent="0.25">
      <c r="A15084" t="s">
        <v>46193</v>
      </c>
      <c r="B15084" t="s">
        <v>46321</v>
      </c>
      <c r="C15084" t="s">
        <v>46322</v>
      </c>
      <c r="D15084" t="s">
        <v>46323</v>
      </c>
      <c r="E15084" t="s">
        <v>46324</v>
      </c>
      <c r="F15084" t="s">
        <v>46325</v>
      </c>
      <c r="G15084" s="2" t="str">
        <f>HYPERLINK("https://probpalata.gov.ru/files/ИП780304034800000.jpeg","Скачать индивидуальный QR-код магазина")</f>
        <v>Скачать индивидуальный QR-код магазина</v>
      </c>
    </row>
    <row r="15085" spans="1:7" x14ac:dyDescent="0.25">
      <c r="A15085" t="s">
        <v>46193</v>
      </c>
      <c r="B15085" t="s">
        <v>46326</v>
      </c>
      <c r="C15085" t="s">
        <v>46327</v>
      </c>
      <c r="D15085" t="s">
        <v>46328</v>
      </c>
      <c r="E15085" t="s">
        <v>46329</v>
      </c>
      <c r="F15085" t="s">
        <v>46330</v>
      </c>
      <c r="G15085" s="2" t="str">
        <f>HYPERLINK("https://probpalata.gov.ru/files/ИП780301407000000.jpeg","Скачать индивидуальный QR-код магазина")</f>
        <v>Скачать индивидуальный QR-код магазина</v>
      </c>
    </row>
    <row r="15086" spans="1:7" x14ac:dyDescent="0.25">
      <c r="A15086" t="s">
        <v>46193</v>
      </c>
      <c r="B15086" t="s">
        <v>46331</v>
      </c>
      <c r="C15086" t="s">
        <v>46327</v>
      </c>
      <c r="D15086" t="s">
        <v>46328</v>
      </c>
      <c r="E15086" t="s">
        <v>46329</v>
      </c>
      <c r="F15086" t="s">
        <v>46332</v>
      </c>
      <c r="G15086" s="2" t="str">
        <f>HYPERLINK("https://probpalata.gov.ru/files/ИП780301407000001.jpeg","Скачать индивидуальный QR-код магазина")</f>
        <v>Скачать индивидуальный QR-код магазина</v>
      </c>
    </row>
    <row r="15087" spans="1:7" x14ac:dyDescent="0.25">
      <c r="A15087" t="s">
        <v>46193</v>
      </c>
      <c r="B15087" t="s">
        <v>46333</v>
      </c>
      <c r="C15087" t="s">
        <v>46334</v>
      </c>
      <c r="D15087" t="s">
        <v>46335</v>
      </c>
      <c r="E15087" t="s">
        <v>46336</v>
      </c>
      <c r="F15087" t="s">
        <v>46337</v>
      </c>
      <c r="G15087" s="2" t="str">
        <f>HYPERLINK("https://probpalata.gov.ru/files/ИП470304076700000.jpeg","Скачать индивидуальный QR-код магазина")</f>
        <v>Скачать индивидуальный QR-код магазина</v>
      </c>
    </row>
    <row r="15088" spans="1:7" x14ac:dyDescent="0.25">
      <c r="A15088" t="s">
        <v>46193</v>
      </c>
      <c r="B15088" t="s">
        <v>46338</v>
      </c>
      <c r="C15088" t="s">
        <v>46339</v>
      </c>
      <c r="D15088" t="s">
        <v>46340</v>
      </c>
      <c r="E15088" t="s">
        <v>46341</v>
      </c>
      <c r="F15088" t="s">
        <v>46342</v>
      </c>
      <c r="G15088" s="2" t="str">
        <f>HYPERLINK("https://probpalata.gov.ru/files/ИП780301361600000.jpeg","Скачать индивидуальный QR-код магазина")</f>
        <v>Скачать индивидуальный QR-код магазина</v>
      </c>
    </row>
    <row r="15089" spans="1:7" x14ac:dyDescent="0.25">
      <c r="A15089" t="s">
        <v>46193</v>
      </c>
      <c r="B15089" t="s">
        <v>46343</v>
      </c>
      <c r="C15089" t="s">
        <v>1238</v>
      </c>
      <c r="D15089" t="s">
        <v>1239</v>
      </c>
      <c r="E15089" t="s">
        <v>1240</v>
      </c>
      <c r="F15089" t="s">
        <v>46344</v>
      </c>
      <c r="G15089" s="2" t="str">
        <f>HYPERLINK("https://probpalata.gov.ru/files/ЮЛ290300958900007.jpeg","Скачать индивидуальный QR-код магазина")</f>
        <v>Скачать индивидуальный QR-код магазина</v>
      </c>
    </row>
    <row r="15090" spans="1:7" x14ac:dyDescent="0.25">
      <c r="A15090" t="s">
        <v>46193</v>
      </c>
      <c r="B15090" t="s">
        <v>46345</v>
      </c>
      <c r="C15090" t="s">
        <v>1522</v>
      </c>
      <c r="D15090" t="s">
        <v>1523</v>
      </c>
      <c r="E15090" t="s">
        <v>1524</v>
      </c>
      <c r="F15090" t="s">
        <v>46346</v>
      </c>
      <c r="G15090" s="2" t="str">
        <f>HYPERLINK("https://probpalata.gov.ru/files/ИП300400971200004.jpeg","Скачать индивидуальный QR-код магазина")</f>
        <v>Скачать индивидуальный QR-код магазина</v>
      </c>
    </row>
    <row r="15091" spans="1:7" x14ac:dyDescent="0.25">
      <c r="A15091" t="s">
        <v>46193</v>
      </c>
      <c r="B15091" t="s">
        <v>46347</v>
      </c>
      <c r="C15091" t="s">
        <v>46348</v>
      </c>
      <c r="D15091" t="s">
        <v>46349</v>
      </c>
      <c r="E15091" t="s">
        <v>46350</v>
      </c>
      <c r="F15091" t="s">
        <v>46351</v>
      </c>
      <c r="G15091" s="2" t="str">
        <f>HYPERLINK("https://probpalata.gov.ru/files/ИП470300469000000.jpeg","Скачать индивидуальный QR-код магазина")</f>
        <v>Скачать индивидуальный QR-код магазина</v>
      </c>
    </row>
    <row r="15092" spans="1:7" x14ac:dyDescent="0.25">
      <c r="A15092" t="s">
        <v>46193</v>
      </c>
      <c r="B15092" t="s">
        <v>46352</v>
      </c>
      <c r="C15092" t="s">
        <v>46353</v>
      </c>
      <c r="D15092" t="s">
        <v>46354</v>
      </c>
      <c r="E15092" t="s">
        <v>46355</v>
      </c>
      <c r="F15092" t="s">
        <v>46356</v>
      </c>
      <c r="G15092" s="2" t="str">
        <f>HYPERLINK("https://probpalata.gov.ru/files/ИП470303653100000.jpeg","Скачать индивидуальный QR-код магазина")</f>
        <v>Скачать индивидуальный QR-код магазина</v>
      </c>
    </row>
    <row r="15093" spans="1:7" x14ac:dyDescent="0.25">
      <c r="A15093" t="s">
        <v>46193</v>
      </c>
      <c r="B15093" t="s">
        <v>46357</v>
      </c>
      <c r="C15093" t="s">
        <v>46358</v>
      </c>
      <c r="D15093" t="s">
        <v>46359</v>
      </c>
      <c r="E15093" t="s">
        <v>46360</v>
      </c>
      <c r="F15093" t="s">
        <v>46361</v>
      </c>
      <c r="G15093" s="2" t="str">
        <f>HYPERLINK("https://probpalata.gov.ru/files/ЮЛ780300553100000.jpeg","Скачать индивидуальный QR-код магазина")</f>
        <v>Скачать индивидуальный QR-код магазина</v>
      </c>
    </row>
    <row r="15094" spans="1:7" x14ac:dyDescent="0.25">
      <c r="A15094" t="s">
        <v>46193</v>
      </c>
      <c r="B15094" t="s">
        <v>46362</v>
      </c>
      <c r="C15094" t="s">
        <v>19367</v>
      </c>
      <c r="D15094" t="s">
        <v>19368</v>
      </c>
      <c r="E15094" t="s">
        <v>19369</v>
      </c>
      <c r="F15094" t="s">
        <v>46363</v>
      </c>
      <c r="G15094" s="2" t="str">
        <f>HYPERLINK("https://probpalata.gov.ru/files/ИП360101170800006.jpeg","Скачать индивидуальный QR-код магазина")</f>
        <v>Скачать индивидуальный QR-код магазина</v>
      </c>
    </row>
    <row r="15095" spans="1:7" x14ac:dyDescent="0.25">
      <c r="A15095" t="s">
        <v>46193</v>
      </c>
      <c r="B15095" t="s">
        <v>46364</v>
      </c>
      <c r="C15095" t="s">
        <v>30148</v>
      </c>
      <c r="D15095" t="s">
        <v>46365</v>
      </c>
      <c r="E15095" t="s">
        <v>46366</v>
      </c>
      <c r="F15095" t="s">
        <v>46367</v>
      </c>
      <c r="G15095" s="2" t="str">
        <f>HYPERLINK("https://probpalata.gov.ru/files/ИП780303791100000.jpeg","Скачать индивидуальный QR-код магазина")</f>
        <v>Скачать индивидуальный QR-код магазина</v>
      </c>
    </row>
    <row r="15096" spans="1:7" x14ac:dyDescent="0.25">
      <c r="A15096" t="s">
        <v>46193</v>
      </c>
      <c r="B15096" t="s">
        <v>46368</v>
      </c>
      <c r="C15096" t="s">
        <v>46369</v>
      </c>
      <c r="D15096" t="s">
        <v>46370</v>
      </c>
      <c r="E15096" t="s">
        <v>46371</v>
      </c>
      <c r="F15096" t="s">
        <v>46372</v>
      </c>
      <c r="G15096" s="2" t="str">
        <f>HYPERLINK("https://probpalata.gov.ru/files/ИП780300819100000.jpeg","Скачать индивидуальный QR-код магазина")</f>
        <v>Скачать индивидуальный QR-код магазина</v>
      </c>
    </row>
    <row r="15097" spans="1:7" x14ac:dyDescent="0.25">
      <c r="A15097" t="s">
        <v>46193</v>
      </c>
      <c r="B15097" t="s">
        <v>46373</v>
      </c>
      <c r="C15097" t="s">
        <v>8922</v>
      </c>
      <c r="D15097" t="s">
        <v>8923</v>
      </c>
      <c r="E15097" t="s">
        <v>8924</v>
      </c>
      <c r="F15097" t="s">
        <v>46374</v>
      </c>
      <c r="G15097" s="2" t="str">
        <f>HYPERLINK("https://probpalata.gov.ru/files/ИП390300762100009.jpeg","Скачать индивидуальный QR-код магазина")</f>
        <v>Скачать индивидуальный QR-код магазина</v>
      </c>
    </row>
    <row r="15098" spans="1:7" x14ac:dyDescent="0.25">
      <c r="A15098" t="s">
        <v>46193</v>
      </c>
      <c r="B15098" t="s">
        <v>46375</v>
      </c>
      <c r="C15098" t="s">
        <v>8993</v>
      </c>
      <c r="D15098" t="s">
        <v>8994</v>
      </c>
      <c r="E15098" t="s">
        <v>8995</v>
      </c>
      <c r="F15098" t="s">
        <v>46376</v>
      </c>
      <c r="G15098" s="2" t="str">
        <f>HYPERLINK("https://probpalata.gov.ru/files/ЮЛ390300814700011.jpeg","Скачать индивидуальный QR-код магазина")</f>
        <v>Скачать индивидуальный QR-код магазина</v>
      </c>
    </row>
    <row r="15099" spans="1:7" x14ac:dyDescent="0.25">
      <c r="A15099" t="s">
        <v>46193</v>
      </c>
      <c r="B15099" t="s">
        <v>46377</v>
      </c>
      <c r="C15099" t="s">
        <v>46378</v>
      </c>
      <c r="D15099" t="s">
        <v>46379</v>
      </c>
      <c r="E15099" t="s">
        <v>46380</v>
      </c>
      <c r="F15099" t="s">
        <v>46381</v>
      </c>
      <c r="G15099" s="2" t="str">
        <f>HYPERLINK("https://probpalata.gov.ru/files/ИП780301191000000.jpeg","Скачать индивидуальный QR-код магазина")</f>
        <v>Скачать индивидуальный QR-код магазина</v>
      </c>
    </row>
    <row r="15100" spans="1:7" x14ac:dyDescent="0.25">
      <c r="A15100" t="s">
        <v>46193</v>
      </c>
      <c r="B15100" t="s">
        <v>46382</v>
      </c>
      <c r="C15100" t="s">
        <v>46383</v>
      </c>
      <c r="D15100" t="s">
        <v>46384</v>
      </c>
      <c r="E15100" t="s">
        <v>46385</v>
      </c>
      <c r="F15100" t="s">
        <v>46386</v>
      </c>
      <c r="G15100" s="2" t="str">
        <f>HYPERLINK("https://probpalata.gov.ru/files/ИП410903858200000.jpeg","Скачать индивидуальный QR-код магазина")</f>
        <v>Скачать индивидуальный QR-код магазина</v>
      </c>
    </row>
    <row r="15101" spans="1:7" x14ac:dyDescent="0.25">
      <c r="A15101" t="s">
        <v>46193</v>
      </c>
      <c r="B15101" t="s">
        <v>46387</v>
      </c>
      <c r="C15101" t="s">
        <v>46388</v>
      </c>
      <c r="D15101" t="s">
        <v>46389</v>
      </c>
      <c r="E15101" t="s">
        <v>46390</v>
      </c>
      <c r="F15101" t="s">
        <v>46391</v>
      </c>
      <c r="G15101" s="2" t="str">
        <f>HYPERLINK("https://probpalata.gov.ru/files/ИП780303576000000.jpeg","Скачать индивидуальный QR-код магазина")</f>
        <v>Скачать индивидуальный QR-код магазина</v>
      </c>
    </row>
    <row r="15102" spans="1:7" x14ac:dyDescent="0.25">
      <c r="A15102" t="s">
        <v>46193</v>
      </c>
      <c r="B15102" t="s">
        <v>46392</v>
      </c>
      <c r="C15102" t="s">
        <v>17528</v>
      </c>
      <c r="D15102" t="s">
        <v>17529</v>
      </c>
      <c r="E15102" t="s">
        <v>17530</v>
      </c>
      <c r="F15102" t="s">
        <v>46393</v>
      </c>
      <c r="G15102" s="2" t="str">
        <f>HYPERLINK("https://probpalata.gov.ru/files/ИП440203088100001.jpeg","Скачать индивидуальный QR-код магазина")</f>
        <v>Скачать индивидуальный QR-код магазина</v>
      </c>
    </row>
    <row r="15103" spans="1:7" x14ac:dyDescent="0.25">
      <c r="A15103" t="s">
        <v>46193</v>
      </c>
      <c r="B15103" t="s">
        <v>46394</v>
      </c>
      <c r="C15103" t="s">
        <v>4568</v>
      </c>
      <c r="D15103" t="s">
        <v>4569</v>
      </c>
      <c r="E15103" t="s">
        <v>4570</v>
      </c>
      <c r="F15103" t="s">
        <v>46395</v>
      </c>
      <c r="G15103" s="2" t="str">
        <f>HYPERLINK("https://probpalata.gov.ru/files/ИП440200694500009.jpeg","Скачать индивидуальный QR-код магазина")</f>
        <v>Скачать индивидуальный QR-код магазина</v>
      </c>
    </row>
    <row r="15104" spans="1:7" x14ac:dyDescent="0.25">
      <c r="A15104" t="s">
        <v>46193</v>
      </c>
      <c r="B15104" t="s">
        <v>46396</v>
      </c>
      <c r="C15104" t="s">
        <v>4568</v>
      </c>
      <c r="D15104" t="s">
        <v>4569</v>
      </c>
      <c r="E15104" t="s">
        <v>4570</v>
      </c>
      <c r="F15104" t="s">
        <v>46397</v>
      </c>
      <c r="G15104" s="2" t="str">
        <f>HYPERLINK("https://probpalata.gov.ru/files/ИП440200694500011.jpeg","Скачать индивидуальный QR-код магазина")</f>
        <v>Скачать индивидуальный QR-код магазина</v>
      </c>
    </row>
    <row r="15105" spans="1:7" x14ac:dyDescent="0.25">
      <c r="A15105" t="s">
        <v>46193</v>
      </c>
      <c r="B15105" t="s">
        <v>46398</v>
      </c>
      <c r="C15105" t="s">
        <v>4568</v>
      </c>
      <c r="D15105" t="s">
        <v>4569</v>
      </c>
      <c r="E15105" t="s">
        <v>4570</v>
      </c>
      <c r="F15105" t="s">
        <v>46399</v>
      </c>
      <c r="G15105" s="2" t="str">
        <f>HYPERLINK("https://probpalata.gov.ru/files/ИП440200694500012.jpeg","Скачать индивидуальный QR-код магазина")</f>
        <v>Скачать индивидуальный QR-код магазина</v>
      </c>
    </row>
    <row r="15106" spans="1:7" x14ac:dyDescent="0.25">
      <c r="A15106" t="s">
        <v>46193</v>
      </c>
      <c r="B15106" t="s">
        <v>46400</v>
      </c>
      <c r="C15106" t="s">
        <v>4575</v>
      </c>
      <c r="D15106" t="s">
        <v>4576</v>
      </c>
      <c r="E15106" t="s">
        <v>4577</v>
      </c>
      <c r="F15106" t="s">
        <v>46401</v>
      </c>
      <c r="G15106" s="2" t="str">
        <f>HYPERLINK("https://probpalata.gov.ru/files/ИП350300414400003.jpeg","Скачать индивидуальный QR-код магазина")</f>
        <v>Скачать индивидуальный QR-код магазина</v>
      </c>
    </row>
    <row r="15107" spans="1:7" x14ac:dyDescent="0.25">
      <c r="A15107" t="s">
        <v>46193</v>
      </c>
      <c r="B15107" t="s">
        <v>46402</v>
      </c>
      <c r="C15107" t="s">
        <v>4575</v>
      </c>
      <c r="D15107" t="s">
        <v>4576</v>
      </c>
      <c r="E15107" t="s">
        <v>4577</v>
      </c>
      <c r="F15107" t="s">
        <v>46403</v>
      </c>
      <c r="G15107" s="2" t="str">
        <f>HYPERLINK("https://probpalata.gov.ru/files/ИП350300414400004.jpeg","Скачать индивидуальный QR-код магазина")</f>
        <v>Скачать индивидуальный QR-код магазина</v>
      </c>
    </row>
    <row r="15108" spans="1:7" x14ac:dyDescent="0.25">
      <c r="A15108" t="s">
        <v>46193</v>
      </c>
      <c r="B15108" t="s">
        <v>46404</v>
      </c>
      <c r="C15108" t="s">
        <v>4575</v>
      </c>
      <c r="D15108" t="s">
        <v>4576</v>
      </c>
      <c r="E15108" t="s">
        <v>4577</v>
      </c>
      <c r="F15108" t="s">
        <v>46405</v>
      </c>
      <c r="G15108" s="2" t="str">
        <f>HYPERLINK("https://probpalata.gov.ru/files/ИП350300414400013.jpeg","Скачать индивидуальный QR-код магазина")</f>
        <v>Скачать индивидуальный QR-код магазина</v>
      </c>
    </row>
    <row r="15109" spans="1:7" x14ac:dyDescent="0.25">
      <c r="A15109" t="s">
        <v>46193</v>
      </c>
      <c r="B15109" t="s">
        <v>46406</v>
      </c>
      <c r="C15109" t="s">
        <v>4575</v>
      </c>
      <c r="D15109" t="s">
        <v>4576</v>
      </c>
      <c r="E15109" t="s">
        <v>4577</v>
      </c>
      <c r="F15109" t="s">
        <v>46407</v>
      </c>
      <c r="G15109" s="2" t="str">
        <f>HYPERLINK("https://probpalata.gov.ru/files/ИП350300414400028.jpeg","Скачать индивидуальный QR-код магазина")</f>
        <v>Скачать индивидуальный QR-код магазина</v>
      </c>
    </row>
    <row r="15110" spans="1:7" x14ac:dyDescent="0.25">
      <c r="A15110" t="s">
        <v>46193</v>
      </c>
      <c r="B15110" t="s">
        <v>46408</v>
      </c>
      <c r="C15110" t="s">
        <v>4575</v>
      </c>
      <c r="D15110" t="s">
        <v>4576</v>
      </c>
      <c r="E15110" t="s">
        <v>4577</v>
      </c>
      <c r="F15110" t="s">
        <v>46409</v>
      </c>
      <c r="G15110" s="2" t="str">
        <f>HYPERLINK("https://probpalata.gov.ru/files/ИП350300414400031.jpeg","Скачать индивидуальный QR-код магазина")</f>
        <v>Скачать индивидуальный QR-код магазина</v>
      </c>
    </row>
    <row r="15111" spans="1:7" x14ac:dyDescent="0.25">
      <c r="A15111" t="s">
        <v>46193</v>
      </c>
      <c r="B15111" t="s">
        <v>46410</v>
      </c>
      <c r="C15111" t="s">
        <v>4575</v>
      </c>
      <c r="D15111" t="s">
        <v>4576</v>
      </c>
      <c r="E15111" t="s">
        <v>4577</v>
      </c>
      <c r="F15111" t="s">
        <v>46411</v>
      </c>
      <c r="G15111" s="2" t="str">
        <f>HYPERLINK("https://probpalata.gov.ru/files/ИП350300414400032.jpeg","Скачать индивидуальный QR-код магазина")</f>
        <v>Скачать индивидуальный QR-код магазина</v>
      </c>
    </row>
    <row r="15112" spans="1:7" x14ac:dyDescent="0.25">
      <c r="A15112" t="s">
        <v>46193</v>
      </c>
      <c r="B15112" t="s">
        <v>46412</v>
      </c>
      <c r="C15112" t="s">
        <v>4575</v>
      </c>
      <c r="D15112" t="s">
        <v>4576</v>
      </c>
      <c r="E15112" t="s">
        <v>4577</v>
      </c>
      <c r="F15112" t="s">
        <v>46413</v>
      </c>
      <c r="G15112" s="2" t="str">
        <f>HYPERLINK("https://probpalata.gov.ru/files/ИП350300414400033.jpeg","Скачать индивидуальный QR-код магазина")</f>
        <v>Скачать индивидуальный QR-код магазина</v>
      </c>
    </row>
    <row r="15113" spans="1:7" x14ac:dyDescent="0.25">
      <c r="A15113" t="s">
        <v>46193</v>
      </c>
      <c r="B15113" t="s">
        <v>46414</v>
      </c>
      <c r="C15113" t="s">
        <v>12558</v>
      </c>
      <c r="D15113" t="s">
        <v>12559</v>
      </c>
      <c r="E15113" t="s">
        <v>12560</v>
      </c>
      <c r="F15113" t="s">
        <v>46415</v>
      </c>
      <c r="G15113" s="2" t="str">
        <f>HYPERLINK("https://probpalata.gov.ru/files/ЮЛ440200000800002.jpeg","Скачать индивидуальный QR-код магазина")</f>
        <v>Скачать индивидуальный QR-код магазина</v>
      </c>
    </row>
    <row r="15114" spans="1:7" x14ac:dyDescent="0.25">
      <c r="A15114" t="s">
        <v>46193</v>
      </c>
      <c r="B15114" t="s">
        <v>46416</v>
      </c>
      <c r="C15114" t="s">
        <v>46417</v>
      </c>
      <c r="D15114" t="s">
        <v>46418</v>
      </c>
      <c r="E15114" t="s">
        <v>46419</v>
      </c>
      <c r="F15114" t="s">
        <v>46420</v>
      </c>
      <c r="G15114" s="2" t="str">
        <f>HYPERLINK("https://probpalata.gov.ru/files/ИП780303745700000.jpeg","Скачать индивидуальный QR-код магазина")</f>
        <v>Скачать индивидуальный QR-код магазина</v>
      </c>
    </row>
    <row r="15115" spans="1:7" x14ac:dyDescent="0.25">
      <c r="A15115" t="s">
        <v>46193</v>
      </c>
      <c r="B15115" t="s">
        <v>46421</v>
      </c>
      <c r="C15115" t="s">
        <v>46422</v>
      </c>
      <c r="D15115" t="s">
        <v>46423</v>
      </c>
      <c r="E15115" t="s">
        <v>46424</v>
      </c>
      <c r="F15115" t="s">
        <v>46425</v>
      </c>
      <c r="G15115" s="2" t="str">
        <f>HYPERLINK("https://probpalata.gov.ru/files/ИП760203483200000.jpeg","Скачать индивидуальный QR-код магазина")</f>
        <v>Скачать индивидуальный QR-код магазина</v>
      </c>
    </row>
    <row r="15116" spans="1:7" x14ac:dyDescent="0.25">
      <c r="A15116" t="s">
        <v>46193</v>
      </c>
      <c r="B15116" t="s">
        <v>46426</v>
      </c>
      <c r="C15116" t="s">
        <v>46427</v>
      </c>
      <c r="D15116" t="s">
        <v>46428</v>
      </c>
      <c r="E15116" t="s">
        <v>46429</v>
      </c>
      <c r="F15116" t="s">
        <v>46430</v>
      </c>
      <c r="G15116" s="2" t="str">
        <f>HYPERLINK("https://probpalata.gov.ru/files/ИП440200083700000.jpeg","Скачать индивидуальный QR-код магазина")</f>
        <v>Скачать индивидуальный QR-код магазина</v>
      </c>
    </row>
    <row r="15117" spans="1:7" x14ac:dyDescent="0.25">
      <c r="A15117" t="s">
        <v>46193</v>
      </c>
      <c r="B15117" t="s">
        <v>46431</v>
      </c>
      <c r="C15117" t="s">
        <v>19569</v>
      </c>
      <c r="D15117" t="s">
        <v>19570</v>
      </c>
      <c r="E15117" t="s">
        <v>19571</v>
      </c>
      <c r="F15117" t="s">
        <v>46432</v>
      </c>
      <c r="G15117" s="2" t="str">
        <f>HYPERLINK("https://probpalata.gov.ru/files/ИП470301507200000.jpeg","Скачать индивидуальный QR-код магазина")</f>
        <v>Скачать индивидуальный QR-код магазина</v>
      </c>
    </row>
    <row r="15118" spans="1:7" x14ac:dyDescent="0.25">
      <c r="A15118" t="s">
        <v>46193</v>
      </c>
      <c r="B15118" t="s">
        <v>46433</v>
      </c>
      <c r="C15118" t="s">
        <v>46434</v>
      </c>
      <c r="D15118" t="s">
        <v>46435</v>
      </c>
      <c r="E15118" t="s">
        <v>46436</v>
      </c>
      <c r="F15118" t="s">
        <v>46437</v>
      </c>
      <c r="G15118" s="2" t="str">
        <f>HYPERLINK("https://probpalata.gov.ru/files/ИП780300029200000.jpeg","Скачать индивидуальный QR-код магазина")</f>
        <v>Скачать индивидуальный QR-код магазина</v>
      </c>
    </row>
    <row r="15119" spans="1:7" x14ac:dyDescent="0.25">
      <c r="A15119" t="s">
        <v>46193</v>
      </c>
      <c r="B15119" t="s">
        <v>46438</v>
      </c>
      <c r="C15119" t="s">
        <v>46439</v>
      </c>
      <c r="D15119" t="s">
        <v>46440</v>
      </c>
      <c r="E15119" t="s">
        <v>46441</v>
      </c>
      <c r="F15119" t="s">
        <v>46442</v>
      </c>
      <c r="G15119" s="2" t="str">
        <f>HYPERLINK("https://probpalata.gov.ru/files/ИП770103912600000.jpeg","Скачать индивидуальный QR-код магазина")</f>
        <v>Скачать индивидуальный QR-код магазина</v>
      </c>
    </row>
    <row r="15120" spans="1:7" x14ac:dyDescent="0.25">
      <c r="A15120" t="s">
        <v>46193</v>
      </c>
      <c r="B15120" t="s">
        <v>46443</v>
      </c>
      <c r="C15120" t="s">
        <v>46444</v>
      </c>
      <c r="D15120" t="s">
        <v>46445</v>
      </c>
      <c r="E15120" t="s">
        <v>46446</v>
      </c>
      <c r="F15120" t="s">
        <v>46447</v>
      </c>
      <c r="G15120" s="2" t="str">
        <f>HYPERLINK("https://probpalata.gov.ru/files/ИП780301597300000.jpeg","Скачать индивидуальный QR-код магазина")</f>
        <v>Скачать индивидуальный QR-код магазина</v>
      </c>
    </row>
    <row r="15121" spans="1:7" x14ac:dyDescent="0.25">
      <c r="A15121" t="s">
        <v>46193</v>
      </c>
      <c r="B15121" t="s">
        <v>46448</v>
      </c>
      <c r="C15121" t="s">
        <v>46444</v>
      </c>
      <c r="D15121" t="s">
        <v>46445</v>
      </c>
      <c r="E15121" t="s">
        <v>46446</v>
      </c>
      <c r="F15121" t="s">
        <v>46449</v>
      </c>
      <c r="G15121" s="2" t="str">
        <f>HYPERLINK("https://probpalata.gov.ru/files/ИП780301597300003.jpeg","Скачать индивидуальный QR-код магазина")</f>
        <v>Скачать индивидуальный QR-код магазина</v>
      </c>
    </row>
    <row r="15122" spans="1:7" x14ac:dyDescent="0.25">
      <c r="A15122" t="s">
        <v>46193</v>
      </c>
      <c r="B15122" t="s">
        <v>46450</v>
      </c>
      <c r="C15122" t="s">
        <v>46444</v>
      </c>
      <c r="D15122" t="s">
        <v>46445</v>
      </c>
      <c r="E15122" t="s">
        <v>46446</v>
      </c>
      <c r="F15122" t="s">
        <v>46451</v>
      </c>
      <c r="G15122" s="2" t="str">
        <f>HYPERLINK("https://probpalata.gov.ru/files/ИП780301597300004.jpeg","Скачать индивидуальный QR-код магазина")</f>
        <v>Скачать индивидуальный QR-код магазина</v>
      </c>
    </row>
    <row r="15123" spans="1:7" x14ac:dyDescent="0.25">
      <c r="A15123" t="s">
        <v>46193</v>
      </c>
      <c r="B15123" t="s">
        <v>46452</v>
      </c>
      <c r="C15123" t="s">
        <v>46444</v>
      </c>
      <c r="D15123" t="s">
        <v>46445</v>
      </c>
      <c r="E15123" t="s">
        <v>46446</v>
      </c>
      <c r="F15123" t="s">
        <v>46453</v>
      </c>
      <c r="G15123" s="2" t="str">
        <f>HYPERLINK("https://probpalata.gov.ru/files/ИП780301597300005.jpeg","Скачать индивидуальный QR-код магазина")</f>
        <v>Скачать индивидуальный QR-код магазина</v>
      </c>
    </row>
    <row r="15124" spans="1:7" x14ac:dyDescent="0.25">
      <c r="A15124" t="s">
        <v>46193</v>
      </c>
      <c r="B15124" t="s">
        <v>46454</v>
      </c>
      <c r="C15124" t="s">
        <v>46455</v>
      </c>
      <c r="D15124" t="s">
        <v>46456</v>
      </c>
      <c r="E15124" t="s">
        <v>46457</v>
      </c>
      <c r="F15124" t="s">
        <v>46458</v>
      </c>
      <c r="G15124" s="2" t="str">
        <f>HYPERLINK("https://probpalata.gov.ru/files/ИП780301029200000.jpeg","Скачать индивидуальный QR-код магазина")</f>
        <v>Скачать индивидуальный QR-код магазина</v>
      </c>
    </row>
    <row r="15125" spans="1:7" x14ac:dyDescent="0.25">
      <c r="A15125" t="s">
        <v>46193</v>
      </c>
      <c r="B15125" t="s">
        <v>46459</v>
      </c>
      <c r="C15125" t="s">
        <v>46455</v>
      </c>
      <c r="D15125" t="s">
        <v>46456</v>
      </c>
      <c r="E15125" t="s">
        <v>46457</v>
      </c>
      <c r="F15125" t="s">
        <v>46460</v>
      </c>
      <c r="G15125" s="2" t="str">
        <f>HYPERLINK("https://probpalata.gov.ru/files/ИП780301029200001.jpeg","Скачать индивидуальный QR-код магазина")</f>
        <v>Скачать индивидуальный QR-код магазина</v>
      </c>
    </row>
    <row r="15126" spans="1:7" x14ac:dyDescent="0.25">
      <c r="A15126" t="s">
        <v>46193</v>
      </c>
      <c r="B15126" t="s">
        <v>46461</v>
      </c>
      <c r="C15126" t="s">
        <v>46462</v>
      </c>
      <c r="D15126" t="s">
        <v>46463</v>
      </c>
      <c r="E15126" t="s">
        <v>46464</v>
      </c>
      <c r="F15126" t="s">
        <v>46465</v>
      </c>
      <c r="G15126" s="2" t="str">
        <f>HYPERLINK("https://probpalata.gov.ru/files/ИП780303581800000.jpeg","Скачать индивидуальный QR-код магазина")</f>
        <v>Скачать индивидуальный QR-код магазина</v>
      </c>
    </row>
    <row r="15127" spans="1:7" x14ac:dyDescent="0.25">
      <c r="A15127" t="s">
        <v>46193</v>
      </c>
      <c r="B15127" t="s">
        <v>46466</v>
      </c>
      <c r="C15127" t="s">
        <v>46467</v>
      </c>
      <c r="D15127" t="s">
        <v>46468</v>
      </c>
      <c r="E15127" t="s">
        <v>46469</v>
      </c>
      <c r="F15127" t="s">
        <v>46470</v>
      </c>
      <c r="G15127" s="2" t="str">
        <f>HYPERLINK("https://probpalata.gov.ru/files/ИП780303985300000.jpeg","Скачать индивидуальный QR-код магазина")</f>
        <v>Скачать индивидуальный QR-код магазина</v>
      </c>
    </row>
    <row r="15128" spans="1:7" x14ac:dyDescent="0.25">
      <c r="A15128" t="s">
        <v>46193</v>
      </c>
      <c r="B15128" t="s">
        <v>46471</v>
      </c>
      <c r="C15128" t="s">
        <v>46472</v>
      </c>
      <c r="D15128" t="s">
        <v>46473</v>
      </c>
      <c r="E15128" t="s">
        <v>46474</v>
      </c>
      <c r="F15128" t="s">
        <v>46475</v>
      </c>
      <c r="G15128" s="2" t="str">
        <f>HYPERLINK("https://probpalata.gov.ru/files/ИП780301565900000.jpeg","Скачать индивидуальный QR-код магазина")</f>
        <v>Скачать индивидуальный QR-код магазина</v>
      </c>
    </row>
    <row r="15129" spans="1:7" x14ac:dyDescent="0.25">
      <c r="A15129" t="s">
        <v>46193</v>
      </c>
      <c r="B15129" t="s">
        <v>46476</v>
      </c>
      <c r="C15129" t="s">
        <v>46477</v>
      </c>
      <c r="D15129" t="s">
        <v>46478</v>
      </c>
      <c r="E15129" t="s">
        <v>46479</v>
      </c>
      <c r="F15129" t="s">
        <v>46480</v>
      </c>
      <c r="G15129" s="2" t="str">
        <f>HYPERLINK("https://probpalata.gov.ru/files/ИП780304070400000.jpeg","Скачать индивидуальный QR-код магазина")</f>
        <v>Скачать индивидуальный QR-код магазина</v>
      </c>
    </row>
    <row r="15130" spans="1:7" x14ac:dyDescent="0.25">
      <c r="A15130" t="s">
        <v>46193</v>
      </c>
      <c r="B15130" t="s">
        <v>46461</v>
      </c>
      <c r="C15130" t="s">
        <v>46481</v>
      </c>
      <c r="D15130" t="s">
        <v>46482</v>
      </c>
      <c r="E15130" t="s">
        <v>46483</v>
      </c>
      <c r="F15130" t="s">
        <v>46484</v>
      </c>
      <c r="G15130" s="2" t="str">
        <f>HYPERLINK("https://probpalata.gov.ru/files/ИП780303696600000.jpeg","Скачать индивидуальный QR-код магазина")</f>
        <v>Скачать индивидуальный QR-код магазина</v>
      </c>
    </row>
    <row r="15131" spans="1:7" x14ac:dyDescent="0.25">
      <c r="A15131" t="s">
        <v>46193</v>
      </c>
      <c r="B15131" t="s">
        <v>46485</v>
      </c>
      <c r="C15131" t="s">
        <v>46486</v>
      </c>
      <c r="D15131" t="s">
        <v>46487</v>
      </c>
      <c r="E15131" t="s">
        <v>46488</v>
      </c>
      <c r="F15131" t="s">
        <v>46489</v>
      </c>
      <c r="G15131" s="2" t="str">
        <f>HYPERLINK("https://probpalata.gov.ru/files/ИП470301994500000.jpeg","Скачать индивидуальный QR-код магазина")</f>
        <v>Скачать индивидуальный QR-код магазина</v>
      </c>
    </row>
    <row r="15132" spans="1:7" x14ac:dyDescent="0.25">
      <c r="A15132" t="s">
        <v>46193</v>
      </c>
      <c r="B15132" t="s">
        <v>46490</v>
      </c>
      <c r="C15132" t="s">
        <v>3761</v>
      </c>
      <c r="D15132" t="s">
        <v>3762</v>
      </c>
      <c r="E15132" t="s">
        <v>3763</v>
      </c>
      <c r="F15132" t="s">
        <v>46491</v>
      </c>
      <c r="G15132" s="2" t="str">
        <f>HYPERLINK("https://probpalata.gov.ru/files/ЮЛ470300219500001.jpeg","Скачать индивидуальный QR-код магазина")</f>
        <v>Скачать индивидуальный QR-код магазина</v>
      </c>
    </row>
    <row r="15133" spans="1:7" x14ac:dyDescent="0.25">
      <c r="A15133" t="s">
        <v>46193</v>
      </c>
      <c r="B15133" t="s">
        <v>46492</v>
      </c>
      <c r="C15133" t="s">
        <v>46493</v>
      </c>
      <c r="D15133" t="s">
        <v>46494</v>
      </c>
      <c r="E15133" t="s">
        <v>46495</v>
      </c>
      <c r="F15133" t="s">
        <v>46496</v>
      </c>
      <c r="G15133" s="2" t="str">
        <f>HYPERLINK("https://probpalata.gov.ru/files/ИП470303649700000.jpeg","Скачать индивидуальный QR-код магазина")</f>
        <v>Скачать индивидуальный QR-код магазина</v>
      </c>
    </row>
    <row r="15134" spans="1:7" x14ac:dyDescent="0.25">
      <c r="A15134" t="s">
        <v>46193</v>
      </c>
      <c r="B15134" t="s">
        <v>46497</v>
      </c>
      <c r="C15134" t="s">
        <v>46493</v>
      </c>
      <c r="D15134" t="s">
        <v>46494</v>
      </c>
      <c r="E15134" t="s">
        <v>46495</v>
      </c>
      <c r="F15134" t="s">
        <v>46498</v>
      </c>
      <c r="G15134" s="2" t="str">
        <f>HYPERLINK("https://probpalata.gov.ru/files/ИП470303649700003.jpeg","Скачать индивидуальный QR-код магазина")</f>
        <v>Скачать индивидуальный QR-код магазина</v>
      </c>
    </row>
    <row r="15135" spans="1:7" x14ac:dyDescent="0.25">
      <c r="A15135" t="s">
        <v>46193</v>
      </c>
      <c r="B15135" t="s">
        <v>46499</v>
      </c>
      <c r="C15135" t="s">
        <v>46493</v>
      </c>
      <c r="D15135" t="s">
        <v>46494</v>
      </c>
      <c r="E15135" t="s">
        <v>46495</v>
      </c>
      <c r="F15135" t="s">
        <v>46500</v>
      </c>
      <c r="G15135" s="2" t="str">
        <f>HYPERLINK("https://probpalata.gov.ru/files/ИП470303649700004.jpeg","Скачать индивидуальный QR-код магазина")</f>
        <v>Скачать индивидуальный QR-код магазина</v>
      </c>
    </row>
    <row r="15136" spans="1:7" x14ac:dyDescent="0.25">
      <c r="A15136" t="s">
        <v>46193</v>
      </c>
      <c r="B15136" t="s">
        <v>46501</v>
      </c>
      <c r="C15136" t="s">
        <v>46493</v>
      </c>
      <c r="D15136" t="s">
        <v>46494</v>
      </c>
      <c r="E15136" t="s">
        <v>46495</v>
      </c>
      <c r="F15136" t="s">
        <v>46502</v>
      </c>
      <c r="G15136" s="2" t="str">
        <f>HYPERLINK("https://probpalata.gov.ru/files/ИП470303649700005.jpeg","Скачать индивидуальный QR-код магазина")</f>
        <v>Скачать индивидуальный QR-код магазина</v>
      </c>
    </row>
    <row r="15137" spans="1:7" x14ac:dyDescent="0.25">
      <c r="A15137" t="s">
        <v>46193</v>
      </c>
      <c r="B15137" t="s">
        <v>46503</v>
      </c>
      <c r="C15137" t="s">
        <v>46493</v>
      </c>
      <c r="D15137" t="s">
        <v>46494</v>
      </c>
      <c r="E15137" t="s">
        <v>46495</v>
      </c>
      <c r="F15137" t="s">
        <v>46504</v>
      </c>
      <c r="G15137" s="2" t="str">
        <f>HYPERLINK("https://probpalata.gov.ru/files/ИП470303649700008.jpeg","Скачать индивидуальный QR-код магазина")</f>
        <v>Скачать индивидуальный QR-код магазина</v>
      </c>
    </row>
    <row r="15138" spans="1:7" x14ac:dyDescent="0.25">
      <c r="A15138" t="s">
        <v>46193</v>
      </c>
      <c r="B15138" t="s">
        <v>46505</v>
      </c>
      <c r="C15138" t="s">
        <v>46506</v>
      </c>
      <c r="D15138" t="s">
        <v>46507</v>
      </c>
      <c r="E15138" t="s">
        <v>46508</v>
      </c>
      <c r="F15138" t="s">
        <v>46509</v>
      </c>
      <c r="G15138" s="2" t="str">
        <f>HYPERLINK("https://probpalata.gov.ru/files/ЮЛ470303222300000.jpeg","Скачать индивидуальный QR-код магазина")</f>
        <v>Скачать индивидуальный QR-код магазина</v>
      </c>
    </row>
    <row r="15139" spans="1:7" x14ac:dyDescent="0.25">
      <c r="A15139" t="s">
        <v>46193</v>
      </c>
      <c r="B15139" t="s">
        <v>46510</v>
      </c>
      <c r="C15139" t="s">
        <v>46511</v>
      </c>
      <c r="D15139" t="s">
        <v>46512</v>
      </c>
      <c r="E15139" t="s">
        <v>46513</v>
      </c>
      <c r="F15139" t="s">
        <v>46514</v>
      </c>
      <c r="G15139" s="2" t="str">
        <f>HYPERLINK("https://probpalata.gov.ru/files/ИП780300399100000.jpeg","Скачать индивидуальный QR-код магазина")</f>
        <v>Скачать индивидуальный QR-код магазина</v>
      </c>
    </row>
    <row r="15140" spans="1:7" x14ac:dyDescent="0.25">
      <c r="A15140" t="s">
        <v>46193</v>
      </c>
      <c r="B15140" t="s">
        <v>46515</v>
      </c>
      <c r="C15140" t="s">
        <v>46516</v>
      </c>
      <c r="D15140" t="s">
        <v>46517</v>
      </c>
      <c r="E15140" t="s">
        <v>46518</v>
      </c>
      <c r="F15140" t="s">
        <v>46519</v>
      </c>
      <c r="G15140" s="2" t="str">
        <f>HYPERLINK("https://probpalata.gov.ru/files/ЮЛ470303821800000.jpeg","Скачать индивидуальный QR-код магазина")</f>
        <v>Скачать индивидуальный QR-код магазина</v>
      </c>
    </row>
    <row r="15141" spans="1:7" x14ac:dyDescent="0.25">
      <c r="A15141" t="s">
        <v>46193</v>
      </c>
      <c r="B15141" t="s">
        <v>46520</v>
      </c>
      <c r="C15141" t="s">
        <v>17628</v>
      </c>
      <c r="D15141" t="s">
        <v>17629</v>
      </c>
      <c r="E15141" t="s">
        <v>17630</v>
      </c>
      <c r="F15141" t="s">
        <v>46521</v>
      </c>
      <c r="G15141" s="2" t="str">
        <f>HYPERLINK("https://probpalata.gov.ru/files/ЮЛ470300543800001.jpeg","Скачать индивидуальный QR-код магазина")</f>
        <v>Скачать индивидуальный QR-код магазина</v>
      </c>
    </row>
    <row r="15142" spans="1:7" x14ac:dyDescent="0.25">
      <c r="A15142" t="s">
        <v>46193</v>
      </c>
      <c r="B15142" t="s">
        <v>46522</v>
      </c>
      <c r="C15142" t="s">
        <v>46523</v>
      </c>
      <c r="D15142" t="s">
        <v>46524</v>
      </c>
      <c r="E15142" t="s">
        <v>46525</v>
      </c>
      <c r="F15142" t="s">
        <v>46526</v>
      </c>
      <c r="G15142" s="2" t="str">
        <f>HYPERLINK("https://probpalata.gov.ru/files/ИП780300470100000.jpeg","Скачать индивидуальный QR-код магазина")</f>
        <v>Скачать индивидуальный QR-код магазина</v>
      </c>
    </row>
    <row r="15143" spans="1:7" x14ac:dyDescent="0.25">
      <c r="A15143" t="s">
        <v>46193</v>
      </c>
      <c r="B15143" t="s">
        <v>46527</v>
      </c>
      <c r="C15143" t="s">
        <v>46523</v>
      </c>
      <c r="D15143" t="s">
        <v>46524</v>
      </c>
      <c r="E15143" t="s">
        <v>46525</v>
      </c>
      <c r="F15143" t="s">
        <v>46528</v>
      </c>
      <c r="G15143" s="2" t="str">
        <f>HYPERLINK("https://probpalata.gov.ru/files/ИП780300470100002.jpeg","Скачать индивидуальный QR-код магазина")</f>
        <v>Скачать индивидуальный QR-код магазина</v>
      </c>
    </row>
    <row r="15144" spans="1:7" x14ac:dyDescent="0.25">
      <c r="A15144" t="s">
        <v>46193</v>
      </c>
      <c r="B15144" t="s">
        <v>46529</v>
      </c>
      <c r="C15144" t="s">
        <v>46523</v>
      </c>
      <c r="D15144" t="s">
        <v>46524</v>
      </c>
      <c r="E15144" t="s">
        <v>46525</v>
      </c>
      <c r="F15144" t="s">
        <v>46530</v>
      </c>
      <c r="G15144" s="2" t="str">
        <f>HYPERLINK("https://probpalata.gov.ru/files/ИП780300470100005.jpeg","Скачать индивидуальный QR-код магазина")</f>
        <v>Скачать индивидуальный QR-код магазина</v>
      </c>
    </row>
    <row r="15145" spans="1:7" x14ac:dyDescent="0.25">
      <c r="A15145" t="s">
        <v>46193</v>
      </c>
      <c r="B15145" t="s">
        <v>46531</v>
      </c>
      <c r="C15145" t="s">
        <v>46523</v>
      </c>
      <c r="D15145" t="s">
        <v>46524</v>
      </c>
      <c r="E15145" t="s">
        <v>46525</v>
      </c>
      <c r="F15145" t="s">
        <v>46532</v>
      </c>
      <c r="G15145" s="2" t="str">
        <f>HYPERLINK("https://probpalata.gov.ru/files/ИП780300470100006.jpeg","Скачать индивидуальный QR-код магазина")</f>
        <v>Скачать индивидуальный QR-код магазина</v>
      </c>
    </row>
    <row r="15146" spans="1:7" x14ac:dyDescent="0.25">
      <c r="A15146" t="s">
        <v>46193</v>
      </c>
      <c r="B15146" t="s">
        <v>46533</v>
      </c>
      <c r="C15146" t="s">
        <v>46523</v>
      </c>
      <c r="D15146" t="s">
        <v>46524</v>
      </c>
      <c r="E15146" t="s">
        <v>46525</v>
      </c>
      <c r="F15146" t="s">
        <v>46534</v>
      </c>
      <c r="G15146" s="2" t="str">
        <f>HYPERLINK("https://probpalata.gov.ru/files/ИП780300470100007.jpeg","Скачать индивидуальный QR-код магазина")</f>
        <v>Скачать индивидуальный QR-код магазина</v>
      </c>
    </row>
    <row r="15147" spans="1:7" x14ac:dyDescent="0.25">
      <c r="A15147" t="s">
        <v>46193</v>
      </c>
      <c r="B15147" t="s">
        <v>46535</v>
      </c>
      <c r="C15147" t="s">
        <v>46536</v>
      </c>
      <c r="D15147" t="s">
        <v>46537</v>
      </c>
      <c r="E15147" t="s">
        <v>46538</v>
      </c>
      <c r="F15147" t="s">
        <v>46539</v>
      </c>
      <c r="G15147" s="2" t="str">
        <f>HYPERLINK("https://probpalata.gov.ru/files/ИП780301150700000.jpeg","Скачать индивидуальный QR-код магазина")</f>
        <v>Скачать индивидуальный QR-код магазина</v>
      </c>
    </row>
    <row r="15148" spans="1:7" x14ac:dyDescent="0.25">
      <c r="A15148" t="s">
        <v>46193</v>
      </c>
      <c r="B15148" t="s">
        <v>46540</v>
      </c>
      <c r="C15148" t="s">
        <v>46541</v>
      </c>
      <c r="D15148" t="s">
        <v>46542</v>
      </c>
      <c r="E15148" t="s">
        <v>46543</v>
      </c>
      <c r="F15148" t="s">
        <v>46544</v>
      </c>
      <c r="G15148" s="2" t="str">
        <f>HYPERLINK("https://probpalata.gov.ru/files/ИП780300408300000.jpeg","Скачать индивидуальный QR-код магазина")</f>
        <v>Скачать индивидуальный QR-код магазина</v>
      </c>
    </row>
    <row r="15149" spans="1:7" x14ac:dyDescent="0.25">
      <c r="A15149" t="s">
        <v>46193</v>
      </c>
      <c r="B15149" t="s">
        <v>46545</v>
      </c>
      <c r="C15149" t="s">
        <v>46546</v>
      </c>
      <c r="D15149" t="s">
        <v>46547</v>
      </c>
      <c r="E15149" t="s">
        <v>46548</v>
      </c>
      <c r="F15149" t="s">
        <v>46549</v>
      </c>
      <c r="G15149" s="2" t="str">
        <f>HYPERLINK("https://probpalata.gov.ru/files/ИП780300410300000.jpeg","Скачать индивидуальный QR-код магазина")</f>
        <v>Скачать индивидуальный QR-код магазина</v>
      </c>
    </row>
    <row r="15150" spans="1:7" x14ac:dyDescent="0.25">
      <c r="A15150" t="s">
        <v>46193</v>
      </c>
      <c r="B15150" t="s">
        <v>46550</v>
      </c>
      <c r="C15150" t="s">
        <v>46546</v>
      </c>
      <c r="D15150" t="s">
        <v>46547</v>
      </c>
      <c r="E15150" t="s">
        <v>46548</v>
      </c>
      <c r="F15150" t="s">
        <v>46551</v>
      </c>
      <c r="G15150" s="2" t="str">
        <f>HYPERLINK("https://probpalata.gov.ru/files/ИП780300410300001.jpeg","Скачать индивидуальный QR-код магазина")</f>
        <v>Скачать индивидуальный QR-код магазина</v>
      </c>
    </row>
    <row r="15151" spans="1:7" x14ac:dyDescent="0.25">
      <c r="A15151" t="s">
        <v>46193</v>
      </c>
      <c r="B15151" t="s">
        <v>46552</v>
      </c>
      <c r="C15151" t="s">
        <v>46553</v>
      </c>
      <c r="D15151" t="s">
        <v>46554</v>
      </c>
      <c r="E15151" t="s">
        <v>46555</v>
      </c>
      <c r="F15151" t="s">
        <v>46556</v>
      </c>
      <c r="G15151" s="2" t="str">
        <f>HYPERLINK("https://probpalata.gov.ru/files/ИП780303348900000.jpeg","Скачать индивидуальный QR-код магазина")</f>
        <v>Скачать индивидуальный QR-код магазина</v>
      </c>
    </row>
    <row r="15152" spans="1:7" x14ac:dyDescent="0.25">
      <c r="A15152" t="s">
        <v>46193</v>
      </c>
      <c r="B15152" t="s">
        <v>46557</v>
      </c>
      <c r="C15152" t="s">
        <v>46558</v>
      </c>
      <c r="D15152" t="s">
        <v>46559</v>
      </c>
      <c r="E15152" t="s">
        <v>46560</v>
      </c>
      <c r="F15152" t="s">
        <v>46561</v>
      </c>
      <c r="G15152" s="2" t="str">
        <f>HYPERLINK("https://probpalata.gov.ru/files/ИП470300542700000.jpeg","Скачать индивидуальный QR-код магазина")</f>
        <v>Скачать индивидуальный QR-код магазина</v>
      </c>
    </row>
    <row r="15153" spans="1:7" x14ac:dyDescent="0.25">
      <c r="A15153" t="s">
        <v>46193</v>
      </c>
      <c r="B15153" t="s">
        <v>46562</v>
      </c>
      <c r="C15153" t="s">
        <v>46563</v>
      </c>
      <c r="D15153" t="s">
        <v>46564</v>
      </c>
      <c r="E15153" t="s">
        <v>46565</v>
      </c>
      <c r="F15153" t="s">
        <v>46566</v>
      </c>
      <c r="G15153" s="2" t="str">
        <f>HYPERLINK("https://probpalata.gov.ru/files/ИП470303719400000.jpeg","Скачать индивидуальный QR-код магазина")</f>
        <v>Скачать индивидуальный QR-код магазина</v>
      </c>
    </row>
    <row r="15154" spans="1:7" x14ac:dyDescent="0.25">
      <c r="A15154" t="s">
        <v>46193</v>
      </c>
      <c r="B15154" t="s">
        <v>46567</v>
      </c>
      <c r="C15154" t="s">
        <v>17760</v>
      </c>
      <c r="D15154" t="s">
        <v>17761</v>
      </c>
      <c r="E15154" t="s">
        <v>17762</v>
      </c>
      <c r="F15154" t="s">
        <v>46568</v>
      </c>
      <c r="G15154" s="2" t="str">
        <f>HYPERLINK("https://probpalata.gov.ru/files/ИП470303187300001.jpeg","Скачать индивидуальный QR-код магазина")</f>
        <v>Скачать индивидуальный QR-код магазина</v>
      </c>
    </row>
    <row r="15155" spans="1:7" x14ac:dyDescent="0.25">
      <c r="A15155" t="s">
        <v>46193</v>
      </c>
      <c r="B15155" t="s">
        <v>46569</v>
      </c>
      <c r="C15155" t="s">
        <v>17760</v>
      </c>
      <c r="D15155" t="s">
        <v>17761</v>
      </c>
      <c r="E15155" t="s">
        <v>17762</v>
      </c>
      <c r="F15155" t="s">
        <v>46570</v>
      </c>
      <c r="G15155" s="2" t="str">
        <f>HYPERLINK("https://probpalata.gov.ru/files/ИП470303187300002.jpeg","Скачать индивидуальный QR-код магазина")</f>
        <v>Скачать индивидуальный QR-код магазина</v>
      </c>
    </row>
    <row r="15156" spans="1:7" x14ac:dyDescent="0.25">
      <c r="A15156" t="s">
        <v>46193</v>
      </c>
      <c r="B15156" t="s">
        <v>46571</v>
      </c>
      <c r="C15156" t="s">
        <v>17760</v>
      </c>
      <c r="D15156" t="s">
        <v>17761</v>
      </c>
      <c r="E15156" t="s">
        <v>17762</v>
      </c>
      <c r="F15156" t="s">
        <v>46572</v>
      </c>
      <c r="G15156" s="2" t="str">
        <f>HYPERLINK("https://probpalata.gov.ru/files/ИП470303187300004.jpeg","Скачать индивидуальный QR-код магазина")</f>
        <v>Скачать индивидуальный QR-код магазина</v>
      </c>
    </row>
    <row r="15157" spans="1:7" x14ac:dyDescent="0.25">
      <c r="A15157" t="s">
        <v>46193</v>
      </c>
      <c r="B15157" t="s">
        <v>46573</v>
      </c>
      <c r="C15157" t="s">
        <v>2185</v>
      </c>
      <c r="D15157" t="s">
        <v>2186</v>
      </c>
      <c r="E15157" t="s">
        <v>2187</v>
      </c>
      <c r="F15157" t="s">
        <v>46574</v>
      </c>
      <c r="G15157" s="2" t="str">
        <f>HYPERLINK("https://probpalata.gov.ru/files/ЮЛ480100215000044.jpeg","Скачать индивидуальный QR-код магазина")</f>
        <v>Скачать индивидуальный QR-код магазина</v>
      </c>
    </row>
    <row r="15158" spans="1:7" x14ac:dyDescent="0.25">
      <c r="A15158" t="s">
        <v>46193</v>
      </c>
      <c r="B15158" t="s">
        <v>46575</v>
      </c>
      <c r="C15158" t="s">
        <v>19591</v>
      </c>
      <c r="D15158" t="s">
        <v>19592</v>
      </c>
      <c r="E15158" t="s">
        <v>19593</v>
      </c>
      <c r="F15158" t="s">
        <v>46576</v>
      </c>
      <c r="G15158" s="2" t="str">
        <f>HYPERLINK("https://probpalata.gov.ru/files/ЮЛ500100408700002.jpeg","Скачать индивидуальный QR-код магазина")</f>
        <v>Скачать индивидуальный QR-код магазина</v>
      </c>
    </row>
    <row r="15159" spans="1:7" x14ac:dyDescent="0.25">
      <c r="A15159" t="s">
        <v>46193</v>
      </c>
      <c r="B15159" t="s">
        <v>46577</v>
      </c>
      <c r="C15159" t="s">
        <v>14736</v>
      </c>
      <c r="D15159" t="s">
        <v>14737</v>
      </c>
      <c r="E15159" t="s">
        <v>14738</v>
      </c>
      <c r="F15159" t="s">
        <v>46578</v>
      </c>
      <c r="G15159" s="2" t="str">
        <f>HYPERLINK("https://probpalata.gov.ru/files/ЮЛ500100649400017.jpeg","Скачать индивидуальный QR-код магазина")</f>
        <v>Скачать индивидуальный QR-код магазина</v>
      </c>
    </row>
    <row r="15160" spans="1:7" x14ac:dyDescent="0.25">
      <c r="A15160" t="s">
        <v>46193</v>
      </c>
      <c r="B15160" t="s">
        <v>46579</v>
      </c>
      <c r="C15160" t="s">
        <v>14736</v>
      </c>
      <c r="D15160" t="s">
        <v>14737</v>
      </c>
      <c r="E15160" t="s">
        <v>14738</v>
      </c>
      <c r="F15160" t="s">
        <v>46580</v>
      </c>
      <c r="G15160" s="2" t="str">
        <f>HYPERLINK("https://probpalata.gov.ru/files/ЮЛ500100649400019.jpeg","Скачать индивидуальный QR-код магазина")</f>
        <v>Скачать индивидуальный QR-код магазина</v>
      </c>
    </row>
    <row r="15161" spans="1:7" x14ac:dyDescent="0.25">
      <c r="A15161" t="s">
        <v>46193</v>
      </c>
      <c r="B15161" t="s">
        <v>46581</v>
      </c>
      <c r="C15161" t="s">
        <v>14736</v>
      </c>
      <c r="D15161" t="s">
        <v>14737</v>
      </c>
      <c r="E15161" t="s">
        <v>14738</v>
      </c>
      <c r="F15161" t="s">
        <v>46582</v>
      </c>
      <c r="G15161" s="2" t="str">
        <f>HYPERLINK("https://probpalata.gov.ru/files/ЮЛ500100649400025.jpeg","Скачать индивидуальный QR-код магазина")</f>
        <v>Скачать индивидуальный QR-код магазина</v>
      </c>
    </row>
    <row r="15162" spans="1:7" x14ac:dyDescent="0.25">
      <c r="A15162" t="s">
        <v>46193</v>
      </c>
      <c r="B15162" t="s">
        <v>46583</v>
      </c>
      <c r="C15162" t="s">
        <v>14736</v>
      </c>
      <c r="D15162" t="s">
        <v>14737</v>
      </c>
      <c r="E15162" t="s">
        <v>14738</v>
      </c>
      <c r="F15162" t="s">
        <v>46584</v>
      </c>
      <c r="G15162" s="2" t="str">
        <f>HYPERLINK("https://probpalata.gov.ru/files/ЮЛ500100649400042.jpeg","Скачать индивидуальный QR-код магазина")</f>
        <v>Скачать индивидуальный QR-код магазина</v>
      </c>
    </row>
    <row r="15163" spans="1:7" x14ac:dyDescent="0.25">
      <c r="A15163" t="s">
        <v>46193</v>
      </c>
      <c r="B15163" t="s">
        <v>46585</v>
      </c>
      <c r="C15163" t="s">
        <v>14736</v>
      </c>
      <c r="D15163" t="s">
        <v>14737</v>
      </c>
      <c r="E15163" t="s">
        <v>14738</v>
      </c>
      <c r="F15163" t="s">
        <v>46586</v>
      </c>
      <c r="G15163" s="2" t="str">
        <f>HYPERLINK("https://probpalata.gov.ru/files/ЮЛ500100649400047.jpeg","Скачать индивидуальный QR-код магазина")</f>
        <v>Скачать индивидуальный QR-код магазина</v>
      </c>
    </row>
    <row r="15164" spans="1:7" x14ac:dyDescent="0.25">
      <c r="A15164" t="s">
        <v>46193</v>
      </c>
      <c r="B15164" t="s">
        <v>46587</v>
      </c>
      <c r="C15164" t="s">
        <v>14736</v>
      </c>
      <c r="D15164" t="s">
        <v>14737</v>
      </c>
      <c r="E15164" t="s">
        <v>14738</v>
      </c>
      <c r="F15164" t="s">
        <v>46588</v>
      </c>
      <c r="G15164" s="2" t="str">
        <f>HYPERLINK("https://probpalata.gov.ru/files/ЮЛ500100649400051.jpeg","Скачать индивидуальный QR-код магазина")</f>
        <v>Скачать индивидуальный QR-код магазина</v>
      </c>
    </row>
    <row r="15165" spans="1:7" x14ac:dyDescent="0.25">
      <c r="A15165" t="s">
        <v>46193</v>
      </c>
      <c r="B15165" t="s">
        <v>46589</v>
      </c>
      <c r="C15165" t="s">
        <v>14736</v>
      </c>
      <c r="D15165" t="s">
        <v>14737</v>
      </c>
      <c r="E15165" t="s">
        <v>14738</v>
      </c>
      <c r="F15165" t="s">
        <v>46590</v>
      </c>
      <c r="G15165" s="2" t="str">
        <f>HYPERLINK("https://probpalata.gov.ru/files/ЮЛ500100649400064.jpeg","Скачать индивидуальный QR-код магазина")</f>
        <v>Скачать индивидуальный QR-код магазина</v>
      </c>
    </row>
    <row r="15166" spans="1:7" x14ac:dyDescent="0.25">
      <c r="A15166" t="s">
        <v>46193</v>
      </c>
      <c r="B15166" t="s">
        <v>46591</v>
      </c>
      <c r="C15166" t="s">
        <v>46592</v>
      </c>
      <c r="D15166" t="s">
        <v>46593</v>
      </c>
      <c r="E15166" t="s">
        <v>46594</v>
      </c>
      <c r="F15166" t="s">
        <v>46595</v>
      </c>
      <c r="G15166" s="2" t="str">
        <f>HYPERLINK("https://probpalata.gov.ru/files/ИП780303836700000.jpeg","Скачать индивидуальный QR-код магазина")</f>
        <v>Скачать индивидуальный QR-код магазина</v>
      </c>
    </row>
    <row r="15167" spans="1:7" x14ac:dyDescent="0.25">
      <c r="A15167" t="s">
        <v>46193</v>
      </c>
      <c r="B15167" t="s">
        <v>46596</v>
      </c>
      <c r="C15167" t="s">
        <v>671</v>
      </c>
      <c r="D15167" t="s">
        <v>672</v>
      </c>
      <c r="E15167" t="s">
        <v>673</v>
      </c>
      <c r="F15167" t="s">
        <v>46597</v>
      </c>
      <c r="G15167" s="2" t="str">
        <f>HYPERLINK("https://probpalata.gov.ru/files/ИП500100445500002.jpeg","Скачать индивидуальный QR-код магазина")</f>
        <v>Скачать индивидуальный QR-код магазина</v>
      </c>
    </row>
    <row r="15168" spans="1:7" x14ac:dyDescent="0.25">
      <c r="A15168" t="s">
        <v>46193</v>
      </c>
      <c r="B15168" t="s">
        <v>46598</v>
      </c>
      <c r="C15168" t="s">
        <v>671</v>
      </c>
      <c r="D15168" t="s">
        <v>672</v>
      </c>
      <c r="E15168" t="s">
        <v>673</v>
      </c>
      <c r="F15168" t="s">
        <v>46599</v>
      </c>
      <c r="G15168" s="2" t="str">
        <f>HYPERLINK("https://probpalata.gov.ru/files/ИП500100445500070.jpeg","Скачать индивидуальный QR-код магазина")</f>
        <v>Скачать индивидуальный QR-код магазина</v>
      </c>
    </row>
    <row r="15169" spans="1:7" x14ac:dyDescent="0.25">
      <c r="A15169" t="s">
        <v>46193</v>
      </c>
      <c r="B15169" t="s">
        <v>46600</v>
      </c>
      <c r="C15169" t="s">
        <v>671</v>
      </c>
      <c r="D15169" t="s">
        <v>672</v>
      </c>
      <c r="E15169" t="s">
        <v>673</v>
      </c>
      <c r="F15169" t="s">
        <v>46601</v>
      </c>
      <c r="G15169" s="2" t="str">
        <f>HYPERLINK("https://probpalata.gov.ru/files/ИП500100445500082.jpeg","Скачать индивидуальный QR-код магазина")</f>
        <v>Скачать индивидуальный QR-код магазина</v>
      </c>
    </row>
    <row r="15170" spans="1:7" x14ac:dyDescent="0.25">
      <c r="A15170" t="s">
        <v>46193</v>
      </c>
      <c r="B15170" t="s">
        <v>46602</v>
      </c>
      <c r="C15170" t="s">
        <v>671</v>
      </c>
      <c r="D15170" t="s">
        <v>672</v>
      </c>
      <c r="E15170" t="s">
        <v>673</v>
      </c>
      <c r="F15170" t="s">
        <v>46603</v>
      </c>
      <c r="G15170" s="2" t="str">
        <f>HYPERLINK("https://probpalata.gov.ru/files/ИП500100445500122.jpeg","Скачать индивидуальный QR-код магазина")</f>
        <v>Скачать индивидуальный QR-код магазина</v>
      </c>
    </row>
    <row r="15171" spans="1:7" x14ac:dyDescent="0.25">
      <c r="A15171" t="s">
        <v>46193</v>
      </c>
      <c r="B15171" t="s">
        <v>46604</v>
      </c>
      <c r="C15171" t="s">
        <v>46605</v>
      </c>
      <c r="D15171" t="s">
        <v>46606</v>
      </c>
      <c r="E15171" t="s">
        <v>46607</v>
      </c>
      <c r="F15171" t="s">
        <v>46608</v>
      </c>
      <c r="G15171" s="2" t="str">
        <f>HYPERLINK("https://probpalata.gov.ru/files/ИП780303587800000.jpeg","Скачать индивидуальный QR-код магазина")</f>
        <v>Скачать индивидуальный QR-код магазина</v>
      </c>
    </row>
    <row r="15172" spans="1:7" x14ac:dyDescent="0.25">
      <c r="A15172" t="s">
        <v>46193</v>
      </c>
      <c r="B15172" t="s">
        <v>46609</v>
      </c>
      <c r="C15172" t="s">
        <v>46610</v>
      </c>
      <c r="D15172" t="s">
        <v>46611</v>
      </c>
      <c r="E15172" t="s">
        <v>46612</v>
      </c>
      <c r="F15172" t="s">
        <v>46613</v>
      </c>
      <c r="G15172" s="2" t="str">
        <f>HYPERLINK("https://probpalata.gov.ru/files/ИП500103799100000.jpeg","Скачать индивидуальный QR-код магазина")</f>
        <v>Скачать индивидуальный QR-код магазина</v>
      </c>
    </row>
    <row r="15173" spans="1:7" x14ac:dyDescent="0.25">
      <c r="A15173" t="s">
        <v>46193</v>
      </c>
      <c r="B15173" t="s">
        <v>46614</v>
      </c>
      <c r="C15173" t="s">
        <v>14765</v>
      </c>
      <c r="D15173" t="s">
        <v>14766</v>
      </c>
      <c r="E15173" t="s">
        <v>14767</v>
      </c>
      <c r="F15173" t="s">
        <v>46615</v>
      </c>
      <c r="G15173" s="2" t="str">
        <f>HYPERLINK("https://probpalata.gov.ru/files/ЮЛ500100279300006.jpeg","Скачать индивидуальный QR-код магазина")</f>
        <v>Скачать индивидуальный QR-код магазина</v>
      </c>
    </row>
    <row r="15174" spans="1:7" x14ac:dyDescent="0.25">
      <c r="A15174" t="s">
        <v>46193</v>
      </c>
      <c r="B15174" t="s">
        <v>46616</v>
      </c>
      <c r="C15174" t="s">
        <v>14765</v>
      </c>
      <c r="D15174" t="s">
        <v>14766</v>
      </c>
      <c r="E15174" t="s">
        <v>14767</v>
      </c>
      <c r="F15174" t="s">
        <v>46617</v>
      </c>
      <c r="G15174" s="2" t="str">
        <f>HYPERLINK("https://probpalata.gov.ru/files/ЮЛ500100279300007.jpeg","Скачать индивидуальный QR-код магазина")</f>
        <v>Скачать индивидуальный QR-код магазина</v>
      </c>
    </row>
    <row r="15175" spans="1:7" x14ac:dyDescent="0.25">
      <c r="A15175" t="s">
        <v>46193</v>
      </c>
      <c r="B15175" t="s">
        <v>46618</v>
      </c>
      <c r="C15175" t="s">
        <v>20092</v>
      </c>
      <c r="D15175" t="s">
        <v>20093</v>
      </c>
      <c r="E15175" t="s">
        <v>20094</v>
      </c>
      <c r="F15175" t="s">
        <v>46619</v>
      </c>
      <c r="G15175" s="2" t="str">
        <f>HYPERLINK("https://probpalata.gov.ru/files/ЮЛ500101580700007.jpeg","Скачать индивидуальный QR-код магазина")</f>
        <v>Скачать индивидуальный QR-код магазина</v>
      </c>
    </row>
    <row r="15176" spans="1:7" x14ac:dyDescent="0.25">
      <c r="A15176" t="s">
        <v>46193</v>
      </c>
      <c r="B15176" t="s">
        <v>46620</v>
      </c>
      <c r="C15176" t="s">
        <v>17781</v>
      </c>
      <c r="D15176" t="s">
        <v>17782</v>
      </c>
      <c r="E15176" t="s">
        <v>17783</v>
      </c>
      <c r="F15176" t="s">
        <v>46621</v>
      </c>
      <c r="G15176" s="2" t="str">
        <f>HYPERLINK("https://probpalata.gov.ru/files/ИП770103269300002.jpeg","Скачать индивидуальный QR-код магазина")</f>
        <v>Скачать индивидуальный QR-код магазина</v>
      </c>
    </row>
    <row r="15177" spans="1:7" x14ac:dyDescent="0.25">
      <c r="A15177" t="s">
        <v>46193</v>
      </c>
      <c r="B15177" t="s">
        <v>46622</v>
      </c>
      <c r="C15177" t="s">
        <v>20192</v>
      </c>
      <c r="D15177" t="s">
        <v>20193</v>
      </c>
      <c r="E15177" t="s">
        <v>20194</v>
      </c>
      <c r="F15177" t="s">
        <v>46623</v>
      </c>
      <c r="G15177" s="2" t="str">
        <f>HYPERLINK("https://probpalata.gov.ru/files/ИП770101401000000.jpeg","Скачать индивидуальный QR-код магазина")</f>
        <v>Скачать индивидуальный QR-код магазина</v>
      </c>
    </row>
    <row r="15178" spans="1:7" x14ac:dyDescent="0.25">
      <c r="A15178" t="s">
        <v>46193</v>
      </c>
      <c r="B15178" t="s">
        <v>46624</v>
      </c>
      <c r="C15178" t="s">
        <v>20192</v>
      </c>
      <c r="D15178" t="s">
        <v>20193</v>
      </c>
      <c r="E15178" t="s">
        <v>20194</v>
      </c>
      <c r="F15178" t="s">
        <v>46625</v>
      </c>
      <c r="G15178" s="2" t="str">
        <f>HYPERLINK("https://probpalata.gov.ru/files/ИП770101401000002.jpeg","Скачать индивидуальный QR-код магазина")</f>
        <v>Скачать индивидуальный QR-код магазина</v>
      </c>
    </row>
    <row r="15179" spans="1:7" x14ac:dyDescent="0.25">
      <c r="A15179" t="s">
        <v>46193</v>
      </c>
      <c r="B15179" t="s">
        <v>46626</v>
      </c>
      <c r="C15179" t="s">
        <v>46627</v>
      </c>
      <c r="D15179" t="s">
        <v>46628</v>
      </c>
      <c r="E15179" t="s">
        <v>46629</v>
      </c>
      <c r="F15179" t="s">
        <v>46630</v>
      </c>
      <c r="G15179" s="2" t="str">
        <f>HYPERLINK("https://probpalata.gov.ru/files/ИП510303766600000.jpeg","Скачать индивидуальный QR-код магазина")</f>
        <v>Скачать индивидуальный QR-код магазина</v>
      </c>
    </row>
    <row r="15180" spans="1:7" x14ac:dyDescent="0.25">
      <c r="A15180" t="s">
        <v>46193</v>
      </c>
      <c r="B15180" t="s">
        <v>46631</v>
      </c>
      <c r="C15180" t="s">
        <v>1735</v>
      </c>
      <c r="D15180" t="s">
        <v>1736</v>
      </c>
      <c r="E15180" t="s">
        <v>1737</v>
      </c>
      <c r="F15180" t="s">
        <v>46632</v>
      </c>
      <c r="G15180" s="2" t="str">
        <f>HYPERLINK("https://probpalata.gov.ru/files/ЮЛ520603376600028.jpeg","Скачать индивидуальный QR-код магазина")</f>
        <v>Скачать индивидуальный QR-код магазина</v>
      </c>
    </row>
    <row r="15181" spans="1:7" x14ac:dyDescent="0.25">
      <c r="A15181" t="s">
        <v>46193</v>
      </c>
      <c r="B15181" t="s">
        <v>46633</v>
      </c>
      <c r="C15181" t="s">
        <v>1735</v>
      </c>
      <c r="D15181" t="s">
        <v>1736</v>
      </c>
      <c r="E15181" t="s">
        <v>1737</v>
      </c>
      <c r="F15181" t="s">
        <v>46634</v>
      </c>
      <c r="G15181" s="2" t="str">
        <f>HYPERLINK("https://probpalata.gov.ru/files/ЮЛ520603376600029.jpeg","Скачать индивидуальный QR-код магазина")</f>
        <v>Скачать индивидуальный QR-код магазина</v>
      </c>
    </row>
    <row r="15182" spans="1:7" x14ac:dyDescent="0.25">
      <c r="A15182" t="s">
        <v>46193</v>
      </c>
      <c r="B15182" t="s">
        <v>46635</v>
      </c>
      <c r="C15182" t="s">
        <v>1735</v>
      </c>
      <c r="D15182" t="s">
        <v>1736</v>
      </c>
      <c r="E15182" t="s">
        <v>1737</v>
      </c>
      <c r="F15182" t="s">
        <v>46636</v>
      </c>
      <c r="G15182" s="2" t="str">
        <f>HYPERLINK("https://probpalata.gov.ru/files/ЮЛ520603376600068.jpeg","Скачать индивидуальный QR-код магазина")</f>
        <v>Скачать индивидуальный QR-код магазина</v>
      </c>
    </row>
    <row r="15183" spans="1:7" x14ac:dyDescent="0.25">
      <c r="A15183" t="s">
        <v>46193</v>
      </c>
      <c r="B15183" t="s">
        <v>46637</v>
      </c>
      <c r="C15183" t="s">
        <v>1735</v>
      </c>
      <c r="D15183" t="s">
        <v>1736</v>
      </c>
      <c r="E15183" t="s">
        <v>1737</v>
      </c>
      <c r="F15183" t="s">
        <v>46638</v>
      </c>
      <c r="G15183" s="2" t="str">
        <f>HYPERLINK("https://probpalata.gov.ru/files/ЮЛ520603376600071.jpeg","Скачать индивидуальный QR-код магазина")</f>
        <v>Скачать индивидуальный QR-код магазина</v>
      </c>
    </row>
    <row r="15184" spans="1:7" x14ac:dyDescent="0.25">
      <c r="A15184" t="s">
        <v>46193</v>
      </c>
      <c r="B15184" t="s">
        <v>46639</v>
      </c>
      <c r="C15184" t="s">
        <v>1735</v>
      </c>
      <c r="D15184" t="s">
        <v>1736</v>
      </c>
      <c r="E15184" t="s">
        <v>1737</v>
      </c>
      <c r="F15184" t="s">
        <v>46640</v>
      </c>
      <c r="G15184" s="2" t="str">
        <f>HYPERLINK("https://probpalata.gov.ru/files/ЮЛ520603376600082.jpeg","Скачать индивидуальный QR-код магазина")</f>
        <v>Скачать индивидуальный QR-код магазина</v>
      </c>
    </row>
    <row r="15185" spans="1:7" x14ac:dyDescent="0.25">
      <c r="A15185" t="s">
        <v>46193</v>
      </c>
      <c r="B15185" t="s">
        <v>46641</v>
      </c>
      <c r="C15185" t="s">
        <v>1735</v>
      </c>
      <c r="D15185" t="s">
        <v>1736</v>
      </c>
      <c r="E15185" t="s">
        <v>1737</v>
      </c>
      <c r="F15185" t="s">
        <v>46642</v>
      </c>
      <c r="G15185" s="2" t="str">
        <f>HYPERLINK("https://probpalata.gov.ru/files/ЮЛ520603376600143.jpeg","Скачать индивидуальный QR-код магазина")</f>
        <v>Скачать индивидуальный QR-код магазина</v>
      </c>
    </row>
    <row r="15186" spans="1:7" x14ac:dyDescent="0.25">
      <c r="A15186" t="s">
        <v>46193</v>
      </c>
      <c r="B15186" t="s">
        <v>46643</v>
      </c>
      <c r="C15186" t="s">
        <v>19069</v>
      </c>
      <c r="D15186" t="s">
        <v>46644</v>
      </c>
      <c r="E15186" t="s">
        <v>46645</v>
      </c>
      <c r="F15186" t="s">
        <v>46646</v>
      </c>
      <c r="G15186" s="2" t="str">
        <f>HYPERLINK("https://probpalata.gov.ru/files/ЮЛ520603721100001.jpeg","Скачать индивидуальный QR-код магазина")</f>
        <v>Скачать индивидуальный QR-код магазина</v>
      </c>
    </row>
    <row r="15187" spans="1:7" x14ac:dyDescent="0.25">
      <c r="A15187" t="s">
        <v>46193</v>
      </c>
      <c r="B15187" t="s">
        <v>46647</v>
      </c>
      <c r="C15187" t="s">
        <v>46648</v>
      </c>
      <c r="D15187" t="s">
        <v>46649</v>
      </c>
      <c r="E15187" t="s">
        <v>46650</v>
      </c>
      <c r="F15187" t="s">
        <v>46651</v>
      </c>
      <c r="G15187" s="2" t="str">
        <f>HYPERLINK("https://probpalata.gov.ru/files/ЮЛ520603873800001.jpeg","Скачать индивидуальный QR-код магазина")</f>
        <v>Скачать индивидуальный QR-код магазина</v>
      </c>
    </row>
    <row r="15188" spans="1:7" x14ac:dyDescent="0.25">
      <c r="A15188" t="s">
        <v>46193</v>
      </c>
      <c r="B15188" t="s">
        <v>46652</v>
      </c>
      <c r="C15188" t="s">
        <v>46653</v>
      </c>
      <c r="D15188" t="s">
        <v>46654</v>
      </c>
      <c r="E15188" t="s">
        <v>46655</v>
      </c>
      <c r="F15188" t="s">
        <v>46656</v>
      </c>
      <c r="G15188" s="2" t="str">
        <f>HYPERLINK("https://probpalata.gov.ru/files/ИП780300158100000.jpeg","Скачать индивидуальный QR-код магазина")</f>
        <v>Скачать индивидуальный QR-код магазина</v>
      </c>
    </row>
    <row r="15189" spans="1:7" x14ac:dyDescent="0.25">
      <c r="A15189" t="s">
        <v>46193</v>
      </c>
      <c r="B15189" t="s">
        <v>46657</v>
      </c>
      <c r="C15189" t="s">
        <v>46658</v>
      </c>
      <c r="D15189" t="s">
        <v>46659</v>
      </c>
      <c r="E15189" t="s">
        <v>46660</v>
      </c>
      <c r="F15189" t="s">
        <v>46661</v>
      </c>
      <c r="G15189" s="2" t="str">
        <f>HYPERLINK("https://probpalata.gov.ru/files/ИП470300980500000.jpeg","Скачать индивидуальный QR-код магазина")</f>
        <v>Скачать индивидуальный QR-код магазина</v>
      </c>
    </row>
    <row r="15190" spans="1:7" x14ac:dyDescent="0.25">
      <c r="A15190" t="s">
        <v>46193</v>
      </c>
      <c r="B15190" t="s">
        <v>46662</v>
      </c>
      <c r="C15190" t="s">
        <v>46663</v>
      </c>
      <c r="D15190" t="s">
        <v>46664</v>
      </c>
      <c r="E15190" t="s">
        <v>46665</v>
      </c>
      <c r="F15190" t="s">
        <v>46666</v>
      </c>
      <c r="G15190" s="2" t="str">
        <f>HYPERLINK("https://probpalata.gov.ru/files/ИП540802030500000.jpeg","Скачать индивидуальный QR-код магазина")</f>
        <v>Скачать индивидуальный QR-код магазина</v>
      </c>
    </row>
    <row r="15191" spans="1:7" x14ac:dyDescent="0.25">
      <c r="A15191" t="s">
        <v>46193</v>
      </c>
      <c r="B15191" t="s">
        <v>46667</v>
      </c>
      <c r="C15191" t="s">
        <v>46668</v>
      </c>
      <c r="D15191" t="s">
        <v>46669</v>
      </c>
      <c r="E15191" t="s">
        <v>46670</v>
      </c>
      <c r="F15191" t="s">
        <v>46671</v>
      </c>
      <c r="G15191" s="2" t="str">
        <f>HYPERLINK("https://probpalata.gov.ru/files/ИП780303789200000.jpeg","Скачать индивидуальный QR-код магазина")</f>
        <v>Скачать индивидуальный QR-код магазина</v>
      </c>
    </row>
    <row r="15192" spans="1:7" x14ac:dyDescent="0.25">
      <c r="A15192" t="s">
        <v>46193</v>
      </c>
      <c r="B15192" t="s">
        <v>46672</v>
      </c>
      <c r="C15192" t="s">
        <v>46673</v>
      </c>
      <c r="D15192" t="s">
        <v>46674</v>
      </c>
      <c r="E15192" t="s">
        <v>46675</v>
      </c>
      <c r="F15192" t="s">
        <v>46676</v>
      </c>
      <c r="G15192" s="2" t="str">
        <f>HYPERLINK("https://probpalata.gov.ru/files/ИП560604079800000.jpeg","Скачать индивидуальный QR-код магазина")</f>
        <v>Скачать индивидуальный QR-код магазина</v>
      </c>
    </row>
    <row r="15193" spans="1:7" x14ac:dyDescent="0.25">
      <c r="A15193" t="s">
        <v>46193</v>
      </c>
      <c r="B15193" t="s">
        <v>46677</v>
      </c>
      <c r="C15193" t="s">
        <v>46678</v>
      </c>
      <c r="D15193" t="s">
        <v>46679</v>
      </c>
      <c r="E15193" t="s">
        <v>46680</v>
      </c>
      <c r="F15193" t="s">
        <v>46681</v>
      </c>
      <c r="G15193" s="2" t="str">
        <f>HYPERLINK("https://probpalata.gov.ru/files/ИП780303879900000.jpeg","Скачать индивидуальный QR-код магазина")</f>
        <v>Скачать индивидуальный QR-код магазина</v>
      </c>
    </row>
    <row r="15194" spans="1:7" x14ac:dyDescent="0.25">
      <c r="A15194" t="s">
        <v>46193</v>
      </c>
      <c r="B15194" t="s">
        <v>46682</v>
      </c>
      <c r="C15194" t="s">
        <v>46683</v>
      </c>
      <c r="D15194" t="s">
        <v>46684</v>
      </c>
      <c r="E15194" t="s">
        <v>46685</v>
      </c>
      <c r="F15194" t="s">
        <v>46686</v>
      </c>
      <c r="G15194" s="2" t="str">
        <f>HYPERLINK("https://probpalata.gov.ru/files/ИП780303697100000.jpeg","Скачать индивидуальный QR-код магазина")</f>
        <v>Скачать индивидуальный QR-код магазина</v>
      </c>
    </row>
    <row r="15195" spans="1:7" x14ac:dyDescent="0.25">
      <c r="A15195" t="s">
        <v>46193</v>
      </c>
      <c r="B15195" t="s">
        <v>46687</v>
      </c>
      <c r="C15195" t="s">
        <v>46688</v>
      </c>
      <c r="D15195" t="s">
        <v>46689</v>
      </c>
      <c r="E15195" t="s">
        <v>46690</v>
      </c>
      <c r="F15195" t="s">
        <v>46691</v>
      </c>
      <c r="G15195" s="2" t="str">
        <f>HYPERLINK("https://probpalata.gov.ru/files/ИП470300644300000.jpeg","Скачать индивидуальный QR-код магазина")</f>
        <v>Скачать индивидуальный QR-код магазина</v>
      </c>
    </row>
    <row r="15196" spans="1:7" x14ac:dyDescent="0.25">
      <c r="A15196" t="s">
        <v>46193</v>
      </c>
      <c r="B15196" t="s">
        <v>46692</v>
      </c>
      <c r="C15196" t="s">
        <v>46693</v>
      </c>
      <c r="D15196" t="s">
        <v>46694</v>
      </c>
      <c r="E15196" t="s">
        <v>46695</v>
      </c>
      <c r="F15196" t="s">
        <v>46696</v>
      </c>
      <c r="G15196" s="2" t="str">
        <f>HYPERLINK("https://probpalata.gov.ru/files/ИП780303518200000.jpeg","Скачать индивидуальный QR-код магазина")</f>
        <v>Скачать индивидуальный QR-код магазина</v>
      </c>
    </row>
    <row r="15197" spans="1:7" x14ac:dyDescent="0.25">
      <c r="A15197" t="s">
        <v>46193</v>
      </c>
      <c r="B15197" t="s">
        <v>46697</v>
      </c>
      <c r="C15197" t="s">
        <v>46698</v>
      </c>
      <c r="D15197" t="s">
        <v>46699</v>
      </c>
      <c r="E15197" t="s">
        <v>46700</v>
      </c>
      <c r="F15197" t="s">
        <v>46701</v>
      </c>
      <c r="G15197" s="2" t="str">
        <f>HYPERLINK("https://probpalata.gov.ru/files/ИП600303649600000.jpeg","Скачать индивидуальный QR-код магазина")</f>
        <v>Скачать индивидуальный QR-код магазина</v>
      </c>
    </row>
    <row r="15198" spans="1:7" x14ac:dyDescent="0.25">
      <c r="A15198" t="s">
        <v>46193</v>
      </c>
      <c r="B15198" t="s">
        <v>46702</v>
      </c>
      <c r="C15198" t="s">
        <v>46703</v>
      </c>
      <c r="D15198" t="s">
        <v>46704</v>
      </c>
      <c r="E15198" t="s">
        <v>46705</v>
      </c>
      <c r="F15198" t="s">
        <v>46706</v>
      </c>
      <c r="G15198" s="2" t="str">
        <f>HYPERLINK("https://probpalata.gov.ru/files/ИП600301840500000.jpeg","Скачать индивидуальный QR-код магазина")</f>
        <v>Скачать индивидуальный QR-код магазина</v>
      </c>
    </row>
    <row r="15199" spans="1:7" x14ac:dyDescent="0.25">
      <c r="A15199" t="s">
        <v>46193</v>
      </c>
      <c r="B15199" t="s">
        <v>46707</v>
      </c>
      <c r="C15199" t="s">
        <v>703</v>
      </c>
      <c r="D15199" t="s">
        <v>704</v>
      </c>
      <c r="E15199" t="s">
        <v>705</v>
      </c>
      <c r="F15199" t="s">
        <v>46708</v>
      </c>
      <c r="G15199" s="2" t="str">
        <f>HYPERLINK("https://probpalata.gov.ru/files/ИП610400426600013.jpeg","Скачать индивидуальный QR-код магазина")</f>
        <v>Скачать индивидуальный QR-код магазина</v>
      </c>
    </row>
    <row r="15200" spans="1:7" x14ac:dyDescent="0.25">
      <c r="A15200" t="s">
        <v>46193</v>
      </c>
      <c r="B15200" t="s">
        <v>46709</v>
      </c>
      <c r="C15200" t="s">
        <v>46710</v>
      </c>
      <c r="D15200" t="s">
        <v>46711</v>
      </c>
      <c r="E15200" t="s">
        <v>46712</v>
      </c>
      <c r="F15200" t="s">
        <v>46713</v>
      </c>
      <c r="G15200" s="2" t="str">
        <f>HYPERLINK("https://probpalata.gov.ru/files/ИП780300766400000.jpeg","Скачать индивидуальный QR-код магазина")</f>
        <v>Скачать индивидуальный QR-код магазина</v>
      </c>
    </row>
    <row r="15201" spans="1:7" x14ac:dyDescent="0.25">
      <c r="A15201" t="s">
        <v>46193</v>
      </c>
      <c r="B15201" t="s">
        <v>46714</v>
      </c>
      <c r="C15201" t="s">
        <v>3828</v>
      </c>
      <c r="D15201" t="s">
        <v>3829</v>
      </c>
      <c r="E15201" t="s">
        <v>3830</v>
      </c>
      <c r="F15201" t="s">
        <v>46715</v>
      </c>
      <c r="G15201" s="2" t="str">
        <f>HYPERLINK("https://probpalata.gov.ru/files/ЮЛ630603373600012.jpeg","Скачать индивидуальный QR-код магазина")</f>
        <v>Скачать индивидуальный QR-код магазина</v>
      </c>
    </row>
    <row r="15202" spans="1:7" x14ac:dyDescent="0.25">
      <c r="A15202" t="s">
        <v>46193</v>
      </c>
      <c r="B15202" t="s">
        <v>46716</v>
      </c>
      <c r="C15202" t="s">
        <v>3828</v>
      </c>
      <c r="D15202" t="s">
        <v>3829</v>
      </c>
      <c r="E15202" t="s">
        <v>3830</v>
      </c>
      <c r="F15202" t="s">
        <v>46717</v>
      </c>
      <c r="G15202" s="2" t="str">
        <f>HYPERLINK("https://probpalata.gov.ru/files/ЮЛ630603373600077.jpeg","Скачать индивидуальный QR-код магазина")</f>
        <v>Скачать индивидуальный QR-код магазина</v>
      </c>
    </row>
    <row r="15203" spans="1:7" x14ac:dyDescent="0.25">
      <c r="A15203" t="s">
        <v>46193</v>
      </c>
      <c r="B15203" t="s">
        <v>46718</v>
      </c>
      <c r="C15203" t="s">
        <v>46719</v>
      </c>
      <c r="D15203" t="s">
        <v>46720</v>
      </c>
      <c r="E15203" t="s">
        <v>46721</v>
      </c>
      <c r="F15203" t="s">
        <v>46722</v>
      </c>
      <c r="G15203" s="2" t="str">
        <f>HYPERLINK("https://probpalata.gov.ru/files/ИП780303903600000.jpeg","Скачать индивидуальный QR-код магазина")</f>
        <v>Скачать индивидуальный QR-код магазина</v>
      </c>
    </row>
    <row r="15204" spans="1:7" x14ac:dyDescent="0.25">
      <c r="A15204" t="s">
        <v>46193</v>
      </c>
      <c r="B15204" t="s">
        <v>46723</v>
      </c>
      <c r="C15204" t="s">
        <v>17798</v>
      </c>
      <c r="D15204" t="s">
        <v>17799</v>
      </c>
      <c r="E15204" t="s">
        <v>17800</v>
      </c>
      <c r="F15204" t="s">
        <v>46724</v>
      </c>
      <c r="G15204" s="2" t="str">
        <f>HYPERLINK("https://probpalata.gov.ru/files/ЮЛ780300825400002.jpeg","Скачать индивидуальный QR-код магазина")</f>
        <v>Скачать индивидуальный QR-код магазина</v>
      </c>
    </row>
    <row r="15205" spans="1:7" x14ac:dyDescent="0.25">
      <c r="A15205" t="s">
        <v>46193</v>
      </c>
      <c r="B15205" t="s">
        <v>46725</v>
      </c>
      <c r="C15205" t="s">
        <v>17798</v>
      </c>
      <c r="D15205" t="s">
        <v>17799</v>
      </c>
      <c r="E15205" t="s">
        <v>17800</v>
      </c>
      <c r="F15205" t="s">
        <v>46726</v>
      </c>
      <c r="G15205" s="2" t="str">
        <f>HYPERLINK("https://probpalata.gov.ru/files/ЮЛ780300825400003.jpeg","Скачать индивидуальный QR-код магазина")</f>
        <v>Скачать индивидуальный QR-код магазина</v>
      </c>
    </row>
    <row r="15206" spans="1:7" x14ac:dyDescent="0.25">
      <c r="A15206" t="s">
        <v>46193</v>
      </c>
      <c r="B15206" t="s">
        <v>46727</v>
      </c>
      <c r="C15206" t="s">
        <v>17798</v>
      </c>
      <c r="D15206" t="s">
        <v>17799</v>
      </c>
      <c r="E15206" t="s">
        <v>17800</v>
      </c>
      <c r="F15206" t="s">
        <v>46728</v>
      </c>
      <c r="G15206" s="2" t="str">
        <f>HYPERLINK("https://probpalata.gov.ru/files/ЮЛ780300825400004.jpeg","Скачать индивидуальный QR-код магазина")</f>
        <v>Скачать индивидуальный QR-код магазина</v>
      </c>
    </row>
    <row r="15207" spans="1:7" x14ac:dyDescent="0.25">
      <c r="A15207" t="s">
        <v>46193</v>
      </c>
      <c r="B15207" t="s">
        <v>46729</v>
      </c>
      <c r="C15207" t="s">
        <v>17798</v>
      </c>
      <c r="D15207" t="s">
        <v>17799</v>
      </c>
      <c r="E15207" t="s">
        <v>17800</v>
      </c>
      <c r="F15207" t="s">
        <v>46730</v>
      </c>
      <c r="G15207" s="2" t="str">
        <f>HYPERLINK("https://probpalata.gov.ru/files/ЮЛ780300825400005.jpeg","Скачать индивидуальный QR-код магазина")</f>
        <v>Скачать индивидуальный QR-код магазина</v>
      </c>
    </row>
    <row r="15208" spans="1:7" x14ac:dyDescent="0.25">
      <c r="A15208" t="s">
        <v>46193</v>
      </c>
      <c r="B15208" t="s">
        <v>46731</v>
      </c>
      <c r="C15208" t="s">
        <v>17798</v>
      </c>
      <c r="D15208" t="s">
        <v>17799</v>
      </c>
      <c r="E15208" t="s">
        <v>17800</v>
      </c>
      <c r="F15208" t="s">
        <v>46732</v>
      </c>
      <c r="G15208" s="2" t="str">
        <f>HYPERLINK("https://probpalata.gov.ru/files/ЮЛ780300825400006.jpeg","Скачать индивидуальный QR-код магазина")</f>
        <v>Скачать индивидуальный QR-код магазина</v>
      </c>
    </row>
    <row r="15209" spans="1:7" x14ac:dyDescent="0.25">
      <c r="A15209" t="s">
        <v>46193</v>
      </c>
      <c r="B15209" t="s">
        <v>46733</v>
      </c>
      <c r="C15209" t="s">
        <v>17798</v>
      </c>
      <c r="D15209" t="s">
        <v>17799</v>
      </c>
      <c r="E15209" t="s">
        <v>17800</v>
      </c>
      <c r="F15209" t="s">
        <v>46734</v>
      </c>
      <c r="G15209" s="2" t="str">
        <f>HYPERLINK("https://probpalata.gov.ru/files/ЮЛ780300825400007.jpeg","Скачать индивидуальный QR-код магазина")</f>
        <v>Скачать индивидуальный QR-код магазина</v>
      </c>
    </row>
    <row r="15210" spans="1:7" x14ac:dyDescent="0.25">
      <c r="A15210" t="s">
        <v>46193</v>
      </c>
      <c r="B15210" t="s">
        <v>46735</v>
      </c>
      <c r="C15210" t="s">
        <v>17798</v>
      </c>
      <c r="D15210" t="s">
        <v>17799</v>
      </c>
      <c r="E15210" t="s">
        <v>17800</v>
      </c>
      <c r="F15210" t="s">
        <v>46736</v>
      </c>
      <c r="G15210" s="2" t="str">
        <f>HYPERLINK("https://probpalata.gov.ru/files/ЮЛ780300825400008.jpeg","Скачать индивидуальный QR-код магазина")</f>
        <v>Скачать индивидуальный QR-код магазина</v>
      </c>
    </row>
    <row r="15211" spans="1:7" x14ac:dyDescent="0.25">
      <c r="A15211" t="s">
        <v>46193</v>
      </c>
      <c r="B15211" t="s">
        <v>46737</v>
      </c>
      <c r="C15211" t="s">
        <v>17798</v>
      </c>
      <c r="D15211" t="s">
        <v>17799</v>
      </c>
      <c r="E15211" t="s">
        <v>17800</v>
      </c>
      <c r="F15211" t="s">
        <v>46738</v>
      </c>
      <c r="G15211" s="2" t="str">
        <f>HYPERLINK("https://probpalata.gov.ru/files/ЮЛ780300825400009.jpeg","Скачать индивидуальный QR-код магазина")</f>
        <v>Скачать индивидуальный QR-код магазина</v>
      </c>
    </row>
    <row r="15212" spans="1:7" x14ac:dyDescent="0.25">
      <c r="A15212" t="s">
        <v>46193</v>
      </c>
      <c r="B15212" t="s">
        <v>46739</v>
      </c>
      <c r="C15212" t="s">
        <v>17798</v>
      </c>
      <c r="D15212" t="s">
        <v>17799</v>
      </c>
      <c r="E15212" t="s">
        <v>17800</v>
      </c>
      <c r="F15212" t="s">
        <v>46740</v>
      </c>
      <c r="G15212" s="2" t="str">
        <f>HYPERLINK("https://probpalata.gov.ru/files/ЮЛ780300825400010.jpeg","Скачать индивидуальный QR-код магазина")</f>
        <v>Скачать индивидуальный QR-код магазина</v>
      </c>
    </row>
    <row r="15213" spans="1:7" x14ac:dyDescent="0.25">
      <c r="A15213" t="s">
        <v>46193</v>
      </c>
      <c r="B15213" t="s">
        <v>46741</v>
      </c>
      <c r="C15213" t="s">
        <v>17798</v>
      </c>
      <c r="D15213" t="s">
        <v>17799</v>
      </c>
      <c r="E15213" t="s">
        <v>17800</v>
      </c>
      <c r="F15213" t="s">
        <v>46742</v>
      </c>
      <c r="G15213" s="2" t="str">
        <f>HYPERLINK("https://probpalata.gov.ru/files/ЮЛ780300825400011.jpeg","Скачать индивидуальный QR-код магазина")</f>
        <v>Скачать индивидуальный QR-код магазина</v>
      </c>
    </row>
    <row r="15214" spans="1:7" x14ac:dyDescent="0.25">
      <c r="A15214" t="s">
        <v>46193</v>
      </c>
      <c r="B15214" t="s">
        <v>46743</v>
      </c>
      <c r="C15214" t="s">
        <v>17798</v>
      </c>
      <c r="D15214" t="s">
        <v>17799</v>
      </c>
      <c r="E15214" t="s">
        <v>17800</v>
      </c>
      <c r="F15214" t="s">
        <v>46744</v>
      </c>
      <c r="G15214" s="2" t="str">
        <f>HYPERLINK("https://probpalata.gov.ru/files/ЮЛ780300825400012.jpeg","Скачать индивидуальный QR-код магазина")</f>
        <v>Скачать индивидуальный QR-код магазина</v>
      </c>
    </row>
    <row r="15215" spans="1:7" x14ac:dyDescent="0.25">
      <c r="A15215" t="s">
        <v>46193</v>
      </c>
      <c r="B15215" t="s">
        <v>46745</v>
      </c>
      <c r="C15215" t="s">
        <v>17798</v>
      </c>
      <c r="D15215" t="s">
        <v>17799</v>
      </c>
      <c r="E15215" t="s">
        <v>17800</v>
      </c>
      <c r="F15215" t="s">
        <v>46746</v>
      </c>
      <c r="G15215" s="2" t="str">
        <f>HYPERLINK("https://probpalata.gov.ru/files/ЮЛ780300825400013.jpeg","Скачать индивидуальный QR-код магазина")</f>
        <v>Скачать индивидуальный QR-код магазина</v>
      </c>
    </row>
    <row r="15216" spans="1:7" x14ac:dyDescent="0.25">
      <c r="A15216" t="s">
        <v>46193</v>
      </c>
      <c r="B15216" t="s">
        <v>46747</v>
      </c>
      <c r="C15216" t="s">
        <v>17798</v>
      </c>
      <c r="D15216" t="s">
        <v>17799</v>
      </c>
      <c r="E15216" t="s">
        <v>17800</v>
      </c>
      <c r="F15216" t="s">
        <v>46748</v>
      </c>
      <c r="G15216" s="2" t="str">
        <f>HYPERLINK("https://probpalata.gov.ru/files/ЮЛ780300825400015.jpeg","Скачать индивидуальный QR-код магазина")</f>
        <v>Скачать индивидуальный QR-код магазина</v>
      </c>
    </row>
    <row r="15217" spans="1:7" x14ac:dyDescent="0.25">
      <c r="A15217" t="s">
        <v>46193</v>
      </c>
      <c r="B15217" t="s">
        <v>46749</v>
      </c>
      <c r="C15217" t="s">
        <v>17798</v>
      </c>
      <c r="D15217" t="s">
        <v>17799</v>
      </c>
      <c r="E15217" t="s">
        <v>17800</v>
      </c>
      <c r="F15217" t="s">
        <v>46750</v>
      </c>
      <c r="G15217" s="2" t="str">
        <f>HYPERLINK("https://probpalata.gov.ru/files/ЮЛ780300825400016.jpeg","Скачать индивидуальный QR-код магазина")</f>
        <v>Скачать индивидуальный QR-код магазина</v>
      </c>
    </row>
    <row r="15218" spans="1:7" x14ac:dyDescent="0.25">
      <c r="A15218" t="s">
        <v>46193</v>
      </c>
      <c r="B15218" t="s">
        <v>46751</v>
      </c>
      <c r="C15218" t="s">
        <v>17798</v>
      </c>
      <c r="D15218" t="s">
        <v>17799</v>
      </c>
      <c r="E15218" t="s">
        <v>17800</v>
      </c>
      <c r="F15218" t="s">
        <v>46752</v>
      </c>
      <c r="G15218" s="2" t="str">
        <f>HYPERLINK("https://probpalata.gov.ru/files/ЮЛ780300825400017.jpeg","Скачать индивидуальный QR-код магазина")</f>
        <v>Скачать индивидуальный QR-код магазина</v>
      </c>
    </row>
    <row r="15219" spans="1:7" x14ac:dyDescent="0.25">
      <c r="A15219" t="s">
        <v>46193</v>
      </c>
      <c r="B15219" t="s">
        <v>46753</v>
      </c>
      <c r="C15219" t="s">
        <v>46754</v>
      </c>
      <c r="D15219" t="s">
        <v>46755</v>
      </c>
      <c r="E15219" t="s">
        <v>46756</v>
      </c>
      <c r="F15219" t="s">
        <v>46757</v>
      </c>
      <c r="G15219" s="2" t="str">
        <f>HYPERLINK("https://probpalata.gov.ru/files/ИП640603940800000.jpeg","Скачать индивидуальный QR-код магазина")</f>
        <v>Скачать индивидуальный QR-код магазина</v>
      </c>
    </row>
    <row r="15220" spans="1:7" x14ac:dyDescent="0.25">
      <c r="A15220" t="s">
        <v>46193</v>
      </c>
      <c r="B15220" t="s">
        <v>46758</v>
      </c>
      <c r="C15220" t="s">
        <v>46759</v>
      </c>
      <c r="D15220" t="s">
        <v>46760</v>
      </c>
      <c r="E15220" t="s">
        <v>46761</v>
      </c>
      <c r="F15220" t="s">
        <v>46762</v>
      </c>
      <c r="G15220" s="2" t="str">
        <f>HYPERLINK("https://probpalata.gov.ru/files/ИП470301394200001.jpeg","Скачать индивидуальный QR-код магазина")</f>
        <v>Скачать индивидуальный QR-код магазина</v>
      </c>
    </row>
    <row r="15221" spans="1:7" x14ac:dyDescent="0.25">
      <c r="A15221" t="s">
        <v>46193</v>
      </c>
      <c r="B15221" t="s">
        <v>46763</v>
      </c>
      <c r="C15221" t="s">
        <v>46759</v>
      </c>
      <c r="D15221" t="s">
        <v>46760</v>
      </c>
      <c r="E15221" t="s">
        <v>46761</v>
      </c>
      <c r="F15221" t="s">
        <v>46764</v>
      </c>
      <c r="G15221" s="2" t="str">
        <f>HYPERLINK("https://probpalata.gov.ru/files/ИП470301394200002.jpeg","Скачать индивидуальный QR-код магазина")</f>
        <v>Скачать индивидуальный QR-код магазина</v>
      </c>
    </row>
    <row r="15222" spans="1:7" x14ac:dyDescent="0.25">
      <c r="A15222" t="s">
        <v>46193</v>
      </c>
      <c r="B15222" t="s">
        <v>46765</v>
      </c>
      <c r="C15222" t="s">
        <v>46766</v>
      </c>
      <c r="D15222" t="s">
        <v>46767</v>
      </c>
      <c r="E15222" t="s">
        <v>46768</v>
      </c>
      <c r="F15222" t="s">
        <v>46769</v>
      </c>
      <c r="G15222" s="2" t="str">
        <f>HYPERLINK("https://probpalata.gov.ru/files/ИП780300136400000.jpeg","Скачать индивидуальный QR-код магазина")</f>
        <v>Скачать индивидуальный QR-код магазина</v>
      </c>
    </row>
    <row r="15223" spans="1:7" x14ac:dyDescent="0.25">
      <c r="A15223" t="s">
        <v>46193</v>
      </c>
      <c r="B15223" t="s">
        <v>46770</v>
      </c>
      <c r="C15223" t="s">
        <v>20730</v>
      </c>
      <c r="D15223" t="s">
        <v>20731</v>
      </c>
      <c r="E15223" t="s">
        <v>20732</v>
      </c>
      <c r="F15223" t="s">
        <v>46771</v>
      </c>
      <c r="G15223" s="2" t="str">
        <f>HYPERLINK("https://probpalata.gov.ru/files/ЮЛ660700213800002.jpeg","Скачать индивидуальный QR-код магазина")</f>
        <v>Скачать индивидуальный QR-код магазина</v>
      </c>
    </row>
    <row r="15224" spans="1:7" x14ac:dyDescent="0.25">
      <c r="A15224" t="s">
        <v>46193</v>
      </c>
      <c r="B15224" t="s">
        <v>46772</v>
      </c>
      <c r="C15224" t="s">
        <v>14967</v>
      </c>
      <c r="D15224" t="s">
        <v>14968</v>
      </c>
      <c r="E15224" t="s">
        <v>14969</v>
      </c>
      <c r="F15224" t="s">
        <v>46773</v>
      </c>
      <c r="G15224" s="2" t="str">
        <f>HYPERLINK("https://probpalata.gov.ru/files/ЮЛ660701304200010.jpeg","Скачать индивидуальный QR-код магазина")</f>
        <v>Скачать индивидуальный QR-код магазина</v>
      </c>
    </row>
    <row r="15225" spans="1:7" x14ac:dyDescent="0.25">
      <c r="A15225" t="s">
        <v>46193</v>
      </c>
      <c r="B15225" t="s">
        <v>46774</v>
      </c>
      <c r="C15225" t="s">
        <v>5122</v>
      </c>
      <c r="D15225" t="s">
        <v>5123</v>
      </c>
      <c r="E15225" t="s">
        <v>5124</v>
      </c>
      <c r="F15225" t="s">
        <v>46775</v>
      </c>
      <c r="G15225" s="2" t="str">
        <f>HYPERLINK("https://probpalata.gov.ru/files/ЮЛ670100207100005.jpeg","Скачать индивидуальный QR-код магазина")</f>
        <v>Скачать индивидуальный QR-код магазина</v>
      </c>
    </row>
    <row r="15226" spans="1:7" x14ac:dyDescent="0.25">
      <c r="A15226" t="s">
        <v>46193</v>
      </c>
      <c r="B15226" t="s">
        <v>46776</v>
      </c>
      <c r="C15226" t="s">
        <v>46777</v>
      </c>
      <c r="D15226" t="s">
        <v>46778</v>
      </c>
      <c r="E15226" t="s">
        <v>46779</v>
      </c>
      <c r="F15226" t="s">
        <v>46780</v>
      </c>
      <c r="G15226" s="2" t="str">
        <f>HYPERLINK("https://probpalata.gov.ru/files/ИП780303508900000.jpeg","Скачать индивидуальный QR-код магазина")</f>
        <v>Скачать индивидуальный QR-код магазина</v>
      </c>
    </row>
    <row r="15227" spans="1:7" x14ac:dyDescent="0.25">
      <c r="A15227" t="s">
        <v>46193</v>
      </c>
      <c r="B15227" t="s">
        <v>46781</v>
      </c>
      <c r="C15227" t="s">
        <v>46782</v>
      </c>
      <c r="D15227" t="s">
        <v>46783</v>
      </c>
      <c r="E15227" t="s">
        <v>46784</v>
      </c>
      <c r="F15227" t="s">
        <v>46785</v>
      </c>
      <c r="G15227" s="2" t="str">
        <f>HYPERLINK("https://probpalata.gov.ru/files/ИП700801739900000.jpeg","Скачать индивидуальный QR-код магазина")</f>
        <v>Скачать индивидуальный QR-код магазина</v>
      </c>
    </row>
    <row r="15228" spans="1:7" x14ac:dyDescent="0.25">
      <c r="A15228" t="s">
        <v>46193</v>
      </c>
      <c r="B15228" t="s">
        <v>46786</v>
      </c>
      <c r="C15228" t="s">
        <v>46787</v>
      </c>
      <c r="D15228" t="s">
        <v>46788</v>
      </c>
      <c r="E15228" t="s">
        <v>46789</v>
      </c>
      <c r="F15228" t="s">
        <v>46790</v>
      </c>
      <c r="G15228" s="2" t="str">
        <f>HYPERLINK("https://probpalata.gov.ru/files/ИП470303762300000.jpeg","Скачать индивидуальный QR-код магазина")</f>
        <v>Скачать индивидуальный QR-код магазина</v>
      </c>
    </row>
    <row r="15229" spans="1:7" x14ac:dyDescent="0.25">
      <c r="A15229" t="s">
        <v>46193</v>
      </c>
      <c r="B15229" t="s">
        <v>46791</v>
      </c>
      <c r="C15229" t="s">
        <v>46792</v>
      </c>
      <c r="D15229" t="s">
        <v>46793</v>
      </c>
      <c r="E15229" t="s">
        <v>46794</v>
      </c>
      <c r="F15229" t="s">
        <v>46795</v>
      </c>
      <c r="G15229" s="2" t="str">
        <f>HYPERLINK("https://probpalata.gov.ru/files/ИП470300214200000.jpeg","Скачать индивидуальный QR-код магазина")</f>
        <v>Скачать индивидуальный QR-код магазина</v>
      </c>
    </row>
    <row r="15230" spans="1:7" x14ac:dyDescent="0.25">
      <c r="A15230" t="s">
        <v>46193</v>
      </c>
      <c r="B15230" t="s">
        <v>46796</v>
      </c>
      <c r="C15230" t="s">
        <v>46797</v>
      </c>
      <c r="D15230" t="s">
        <v>46798</v>
      </c>
      <c r="E15230" t="s">
        <v>46799</v>
      </c>
      <c r="F15230" t="s">
        <v>46800</v>
      </c>
      <c r="G15230" s="2" t="str">
        <f>HYPERLINK("https://probpalata.gov.ru/files/ИП780300323600000.jpeg","Скачать индивидуальный QR-код магазина")</f>
        <v>Скачать индивидуальный QR-код магазина</v>
      </c>
    </row>
    <row r="15231" spans="1:7" x14ac:dyDescent="0.25">
      <c r="A15231" t="s">
        <v>46193</v>
      </c>
      <c r="B15231" t="s">
        <v>46801</v>
      </c>
      <c r="C15231" t="s">
        <v>5136</v>
      </c>
      <c r="D15231" t="s">
        <v>5137</v>
      </c>
      <c r="E15231" t="s">
        <v>5138</v>
      </c>
      <c r="F15231" t="s">
        <v>46802</v>
      </c>
      <c r="G15231" s="2" t="str">
        <f>HYPERLINK("https://probpalata.gov.ru/files/ИП500101079300002.jpeg","Скачать индивидуальный QR-код магазина")</f>
        <v>Скачать индивидуальный QR-код магазина</v>
      </c>
    </row>
    <row r="15232" spans="1:7" x14ac:dyDescent="0.25">
      <c r="A15232" t="s">
        <v>46193</v>
      </c>
      <c r="B15232" t="s">
        <v>46803</v>
      </c>
      <c r="C15232" t="s">
        <v>20851</v>
      </c>
      <c r="D15232" t="s">
        <v>20852</v>
      </c>
      <c r="E15232" t="s">
        <v>20853</v>
      </c>
      <c r="F15232" t="s">
        <v>46804</v>
      </c>
      <c r="G15232" s="2" t="str">
        <f>HYPERLINK("https://probpalata.gov.ru/files/ИП780303947400000.jpeg","Скачать индивидуальный QR-код магазина")</f>
        <v>Скачать индивидуальный QR-код магазина</v>
      </c>
    </row>
    <row r="15233" spans="1:7" x14ac:dyDescent="0.25">
      <c r="A15233" t="s">
        <v>46193</v>
      </c>
      <c r="B15233" t="s">
        <v>46805</v>
      </c>
      <c r="C15233" t="s">
        <v>46806</v>
      </c>
      <c r="D15233" t="s">
        <v>46807</v>
      </c>
      <c r="E15233" t="s">
        <v>46808</v>
      </c>
      <c r="F15233" t="s">
        <v>46809</v>
      </c>
      <c r="G15233" s="2" t="str">
        <f>HYPERLINK("https://probpalata.gov.ru/files/ИП740701832900000.jpeg","Скачать индивидуальный QR-код магазина")</f>
        <v>Скачать индивидуальный QR-код магазина</v>
      </c>
    </row>
    <row r="15234" spans="1:7" x14ac:dyDescent="0.25">
      <c r="A15234" t="s">
        <v>46193</v>
      </c>
      <c r="B15234" t="s">
        <v>46810</v>
      </c>
      <c r="C15234" t="s">
        <v>46811</v>
      </c>
      <c r="D15234" t="s">
        <v>46812</v>
      </c>
      <c r="E15234" t="s">
        <v>46813</v>
      </c>
      <c r="F15234" t="s">
        <v>46814</v>
      </c>
      <c r="G15234" s="2" t="str">
        <f>HYPERLINK("https://probpalata.gov.ru/files/ИП740701206700000.jpeg","Скачать индивидуальный QR-код магазина")</f>
        <v>Скачать индивидуальный QR-код магазина</v>
      </c>
    </row>
    <row r="15235" spans="1:7" x14ac:dyDescent="0.25">
      <c r="A15235" t="s">
        <v>46193</v>
      </c>
      <c r="B15235" t="s">
        <v>46815</v>
      </c>
      <c r="C15235" t="s">
        <v>46816</v>
      </c>
      <c r="D15235" t="s">
        <v>46817</v>
      </c>
      <c r="E15235" t="s">
        <v>46818</v>
      </c>
      <c r="F15235" t="s">
        <v>46819</v>
      </c>
      <c r="G15235" s="2" t="str">
        <f>HYPERLINK("https://probpalata.gov.ru/files/ИП740701626400000.jpeg","Скачать индивидуальный QR-код магазина")</f>
        <v>Скачать индивидуальный QR-код магазина</v>
      </c>
    </row>
    <row r="15236" spans="1:7" x14ac:dyDescent="0.25">
      <c r="A15236" t="s">
        <v>46193</v>
      </c>
      <c r="B15236" t="s">
        <v>46820</v>
      </c>
      <c r="C15236" t="s">
        <v>46821</v>
      </c>
      <c r="D15236" t="s">
        <v>46822</v>
      </c>
      <c r="E15236" t="s">
        <v>46823</v>
      </c>
      <c r="F15236" t="s">
        <v>46824</v>
      </c>
      <c r="G15236" s="2" t="str">
        <f>HYPERLINK("https://probpalata.gov.ru/files/ИП750903902500000.jpeg","Скачать индивидуальный QR-код магазина")</f>
        <v>Скачать индивидуальный QR-код магазина</v>
      </c>
    </row>
    <row r="15237" spans="1:7" x14ac:dyDescent="0.25">
      <c r="A15237" t="s">
        <v>46193</v>
      </c>
      <c r="B15237" t="s">
        <v>46825</v>
      </c>
      <c r="C15237" t="s">
        <v>20904</v>
      </c>
      <c r="D15237" t="s">
        <v>20905</v>
      </c>
      <c r="E15237" t="s">
        <v>20906</v>
      </c>
      <c r="F15237" t="s">
        <v>46826</v>
      </c>
      <c r="G15237" s="2" t="str">
        <f>HYPERLINK("https://probpalata.gov.ru/files/ЮЛ760201041800009.jpeg","Скачать индивидуальный QR-код магазина")</f>
        <v>Скачать индивидуальный QR-код магазина</v>
      </c>
    </row>
    <row r="15238" spans="1:7" x14ac:dyDescent="0.25">
      <c r="A15238" t="s">
        <v>46193</v>
      </c>
      <c r="B15238" t="s">
        <v>46827</v>
      </c>
      <c r="C15238" t="s">
        <v>1745</v>
      </c>
      <c r="D15238" t="s">
        <v>1746</v>
      </c>
      <c r="E15238" t="s">
        <v>1747</v>
      </c>
      <c r="F15238" t="s">
        <v>46828</v>
      </c>
      <c r="G15238" s="2" t="str">
        <f>HYPERLINK("https://probpalata.gov.ru/files/ЮЛ770100201500589.jpeg","Скачать индивидуальный QR-код магазина")</f>
        <v>Скачать индивидуальный QR-код магазина</v>
      </c>
    </row>
    <row r="15239" spans="1:7" x14ac:dyDescent="0.25">
      <c r="A15239" t="s">
        <v>46193</v>
      </c>
      <c r="B15239" t="s">
        <v>46829</v>
      </c>
      <c r="C15239" t="s">
        <v>21096</v>
      </c>
      <c r="D15239" t="s">
        <v>21097</v>
      </c>
      <c r="E15239" t="s">
        <v>21098</v>
      </c>
      <c r="F15239" t="s">
        <v>46830</v>
      </c>
      <c r="G15239" s="2" t="str">
        <f>HYPERLINK("https://probpalata.gov.ru/files/ЮЛ770101888500009.jpeg","Скачать индивидуальный QR-код магазина")</f>
        <v>Скачать индивидуальный QR-код магазина</v>
      </c>
    </row>
    <row r="15240" spans="1:7" x14ac:dyDescent="0.25">
      <c r="A15240" t="s">
        <v>46193</v>
      </c>
      <c r="B15240" t="s">
        <v>46831</v>
      </c>
      <c r="C15240" t="s">
        <v>21282</v>
      </c>
      <c r="D15240" t="s">
        <v>21283</v>
      </c>
      <c r="E15240" t="s">
        <v>21284</v>
      </c>
      <c r="F15240" t="s">
        <v>46832</v>
      </c>
      <c r="G15240" s="2" t="str">
        <f>HYPERLINK("https://probpalata.gov.ru/files/ИП770101789300004.jpeg","Скачать индивидуальный QR-код магазина")</f>
        <v>Скачать индивидуальный QR-код магазина</v>
      </c>
    </row>
    <row r="15241" spans="1:7" x14ac:dyDescent="0.25">
      <c r="A15241" t="s">
        <v>46193</v>
      </c>
      <c r="B15241" t="s">
        <v>46833</v>
      </c>
      <c r="C15241" t="s">
        <v>14993</v>
      </c>
      <c r="D15241" t="s">
        <v>14994</v>
      </c>
      <c r="E15241" t="s">
        <v>14995</v>
      </c>
      <c r="F15241" t="s">
        <v>46834</v>
      </c>
      <c r="G15241" s="2" t="str">
        <f>HYPERLINK("https://probpalata.gov.ru/files/ЮЛ770100278900006.jpeg","Скачать индивидуальный QR-код магазина")</f>
        <v>Скачать индивидуальный QR-код магазина</v>
      </c>
    </row>
    <row r="15242" spans="1:7" x14ac:dyDescent="0.25">
      <c r="A15242" t="s">
        <v>46193</v>
      </c>
      <c r="B15242" t="s">
        <v>46835</v>
      </c>
      <c r="C15242" t="s">
        <v>14998</v>
      </c>
      <c r="D15242" t="s">
        <v>14999</v>
      </c>
      <c r="E15242" t="s">
        <v>15000</v>
      </c>
      <c r="F15242" t="s">
        <v>46836</v>
      </c>
      <c r="G15242" s="2" t="str">
        <f>HYPERLINK("https://probpalata.gov.ru/files/ЮЛ770100623000004.jpeg","Скачать индивидуальный QR-код магазина")</f>
        <v>Скачать индивидуальный QR-код магазина</v>
      </c>
    </row>
    <row r="15243" spans="1:7" x14ac:dyDescent="0.25">
      <c r="A15243" t="s">
        <v>46193</v>
      </c>
      <c r="B15243" t="s">
        <v>46837</v>
      </c>
      <c r="C15243" t="s">
        <v>15003</v>
      </c>
      <c r="D15243" t="s">
        <v>15004</v>
      </c>
      <c r="E15243" t="s">
        <v>15005</v>
      </c>
      <c r="F15243" t="s">
        <v>46838</v>
      </c>
      <c r="G15243" s="2" t="str">
        <f>HYPERLINK("https://probpalata.gov.ru/files/ЮЛ770100264000016.jpeg","Скачать индивидуальный QR-код магазина")</f>
        <v>Скачать индивидуальный QR-код магазина</v>
      </c>
    </row>
    <row r="15244" spans="1:7" x14ac:dyDescent="0.25">
      <c r="A15244" t="s">
        <v>46193</v>
      </c>
      <c r="B15244" t="s">
        <v>46839</v>
      </c>
      <c r="C15244" t="s">
        <v>15003</v>
      </c>
      <c r="D15244" t="s">
        <v>15004</v>
      </c>
      <c r="E15244" t="s">
        <v>15005</v>
      </c>
      <c r="F15244" t="s">
        <v>46840</v>
      </c>
      <c r="G15244" s="2" t="str">
        <f>HYPERLINK("https://probpalata.gov.ru/files/ЮЛ770100264000018.jpeg","Скачать индивидуальный QR-код магазина")</f>
        <v>Скачать индивидуальный QR-код магазина</v>
      </c>
    </row>
    <row r="15245" spans="1:7" x14ac:dyDescent="0.25">
      <c r="A15245" t="s">
        <v>46193</v>
      </c>
      <c r="B15245" t="s">
        <v>46841</v>
      </c>
      <c r="C15245" t="s">
        <v>21657</v>
      </c>
      <c r="D15245" t="s">
        <v>21658</v>
      </c>
      <c r="E15245" t="s">
        <v>21659</v>
      </c>
      <c r="F15245" t="s">
        <v>46842</v>
      </c>
      <c r="G15245" s="2" t="str">
        <f>HYPERLINK("https://probpalata.gov.ru/files/ЮЛ770101185400001.jpeg","Скачать индивидуальный QR-код магазина")</f>
        <v>Скачать индивидуальный QR-код магазина</v>
      </c>
    </row>
    <row r="15246" spans="1:7" x14ac:dyDescent="0.25">
      <c r="A15246" t="s">
        <v>46193</v>
      </c>
      <c r="B15246" t="s">
        <v>46843</v>
      </c>
      <c r="C15246" t="s">
        <v>21741</v>
      </c>
      <c r="D15246" t="s">
        <v>21742</v>
      </c>
      <c r="E15246" t="s">
        <v>21743</v>
      </c>
      <c r="F15246" t="s">
        <v>46844</v>
      </c>
      <c r="G15246" s="2" t="str">
        <f>HYPERLINK("https://probpalata.gov.ru/files/ЮЛ770100551800004.jpeg","Скачать индивидуальный QR-код магазина")</f>
        <v>Скачать индивидуальный QR-код магазина</v>
      </c>
    </row>
    <row r="15247" spans="1:7" x14ac:dyDescent="0.25">
      <c r="A15247" t="s">
        <v>46193</v>
      </c>
      <c r="B15247" t="s">
        <v>46845</v>
      </c>
      <c r="C15247" t="s">
        <v>15012</v>
      </c>
      <c r="D15247" t="s">
        <v>15013</v>
      </c>
      <c r="E15247" t="s">
        <v>15014</v>
      </c>
      <c r="F15247" t="s">
        <v>46846</v>
      </c>
      <c r="G15247" s="2" t="str">
        <f>HYPERLINK("https://probpalata.gov.ru/files/ЮЛ770100301000002.jpeg","Скачать индивидуальный QR-код магазина")</f>
        <v>Скачать индивидуальный QR-код магазина</v>
      </c>
    </row>
    <row r="15248" spans="1:7" x14ac:dyDescent="0.25">
      <c r="A15248" t="s">
        <v>46193</v>
      </c>
      <c r="B15248" t="s">
        <v>46847</v>
      </c>
      <c r="C15248" t="s">
        <v>15017</v>
      </c>
      <c r="D15248" t="s">
        <v>15018</v>
      </c>
      <c r="E15248" t="s">
        <v>15019</v>
      </c>
      <c r="F15248" t="s">
        <v>46848</v>
      </c>
      <c r="G15248" s="2" t="str">
        <f>HYPERLINK("https://probpalata.gov.ru/files/ЮЛ770101500300002.jpeg","Скачать индивидуальный QR-код магазина")</f>
        <v>Скачать индивидуальный QR-код магазина</v>
      </c>
    </row>
    <row r="15249" spans="1:7" x14ac:dyDescent="0.25">
      <c r="A15249" t="s">
        <v>46193</v>
      </c>
      <c r="B15249" t="s">
        <v>46849</v>
      </c>
      <c r="C15249" t="s">
        <v>15017</v>
      </c>
      <c r="D15249" t="s">
        <v>15018</v>
      </c>
      <c r="E15249" t="s">
        <v>15019</v>
      </c>
      <c r="F15249" t="s">
        <v>46850</v>
      </c>
      <c r="G15249" s="2" t="str">
        <f>HYPERLINK("https://probpalata.gov.ru/files/ЮЛ770101500300008.jpeg","Скачать индивидуальный QR-код магазина")</f>
        <v>Скачать индивидуальный QR-код магазина</v>
      </c>
    </row>
    <row r="15250" spans="1:7" x14ac:dyDescent="0.25">
      <c r="A15250" t="s">
        <v>46193</v>
      </c>
      <c r="B15250" t="s">
        <v>46851</v>
      </c>
      <c r="C15250" t="s">
        <v>3157</v>
      </c>
      <c r="D15250" t="s">
        <v>3158</v>
      </c>
      <c r="E15250" t="s">
        <v>3159</v>
      </c>
      <c r="F15250" t="s">
        <v>46852</v>
      </c>
      <c r="G15250" s="2" t="str">
        <f>HYPERLINK("https://probpalata.gov.ru/files/ИП770100417900022.jpeg","Скачать индивидуальный QR-код магазина")</f>
        <v>Скачать индивидуальный QR-код магазина</v>
      </c>
    </row>
    <row r="15251" spans="1:7" x14ac:dyDescent="0.25">
      <c r="A15251" t="s">
        <v>46193</v>
      </c>
      <c r="B15251" t="s">
        <v>46853</v>
      </c>
      <c r="C15251" t="s">
        <v>3157</v>
      </c>
      <c r="D15251" t="s">
        <v>3158</v>
      </c>
      <c r="E15251" t="s">
        <v>3159</v>
      </c>
      <c r="F15251" t="s">
        <v>46854</v>
      </c>
      <c r="G15251" s="2" t="str">
        <f>HYPERLINK("https://probpalata.gov.ru/files/ИП770100417900053.jpeg","Скачать индивидуальный QR-код магазина")</f>
        <v>Скачать индивидуальный QR-код магазина</v>
      </c>
    </row>
    <row r="15252" spans="1:7" x14ac:dyDescent="0.25">
      <c r="A15252" t="s">
        <v>46193</v>
      </c>
      <c r="B15252" t="s">
        <v>46855</v>
      </c>
      <c r="C15252" t="s">
        <v>713</v>
      </c>
      <c r="D15252" t="s">
        <v>714</v>
      </c>
      <c r="E15252" t="s">
        <v>715</v>
      </c>
      <c r="F15252" t="s">
        <v>46856</v>
      </c>
      <c r="G15252" s="2" t="str">
        <f>HYPERLINK("https://probpalata.gov.ru/files/ЮЛ770101216600004.jpeg","Скачать индивидуальный QR-код магазина")</f>
        <v>Скачать индивидуальный QR-код магазина</v>
      </c>
    </row>
    <row r="15253" spans="1:7" x14ac:dyDescent="0.25">
      <c r="A15253" t="s">
        <v>46193</v>
      </c>
      <c r="B15253" t="s">
        <v>46857</v>
      </c>
      <c r="C15253" t="s">
        <v>713</v>
      </c>
      <c r="D15253" t="s">
        <v>714</v>
      </c>
      <c r="E15253" t="s">
        <v>715</v>
      </c>
      <c r="F15253" t="s">
        <v>46858</v>
      </c>
      <c r="G15253" s="2" t="str">
        <f>HYPERLINK("https://probpalata.gov.ru/files/ЮЛ770101216600007.jpeg","Скачать индивидуальный QR-код магазина")</f>
        <v>Скачать индивидуальный QR-код магазина</v>
      </c>
    </row>
    <row r="15254" spans="1:7" x14ac:dyDescent="0.25">
      <c r="A15254" t="s">
        <v>46193</v>
      </c>
      <c r="B15254" t="s">
        <v>46859</v>
      </c>
      <c r="C15254" t="s">
        <v>713</v>
      </c>
      <c r="D15254" t="s">
        <v>714</v>
      </c>
      <c r="E15254" t="s">
        <v>715</v>
      </c>
      <c r="F15254" t="s">
        <v>46860</v>
      </c>
      <c r="G15254" s="2" t="str">
        <f>HYPERLINK("https://probpalata.gov.ru/files/ЮЛ770101216600027.jpeg","Скачать индивидуальный QR-код магазина")</f>
        <v>Скачать индивидуальный QR-код магазина</v>
      </c>
    </row>
    <row r="15255" spans="1:7" x14ac:dyDescent="0.25">
      <c r="A15255" t="s">
        <v>46193</v>
      </c>
      <c r="B15255" t="s">
        <v>46861</v>
      </c>
      <c r="C15255" t="s">
        <v>713</v>
      </c>
      <c r="D15255" t="s">
        <v>714</v>
      </c>
      <c r="E15255" t="s">
        <v>715</v>
      </c>
      <c r="F15255" t="s">
        <v>46862</v>
      </c>
      <c r="G15255" s="2" t="str">
        <f>HYPERLINK("https://probpalata.gov.ru/files/ЮЛ770101216600043.jpeg","Скачать индивидуальный QR-код магазина")</f>
        <v>Скачать индивидуальный QR-код магазина</v>
      </c>
    </row>
    <row r="15256" spans="1:7" x14ac:dyDescent="0.25">
      <c r="A15256" t="s">
        <v>46193</v>
      </c>
      <c r="B15256" t="s">
        <v>46863</v>
      </c>
      <c r="C15256" t="s">
        <v>713</v>
      </c>
      <c r="D15256" t="s">
        <v>714</v>
      </c>
      <c r="E15256" t="s">
        <v>715</v>
      </c>
      <c r="F15256" t="s">
        <v>46864</v>
      </c>
      <c r="G15256" s="2" t="str">
        <f>HYPERLINK("https://probpalata.gov.ru/files/ЮЛ770101216600044.jpeg","Скачать индивидуальный QR-код магазина")</f>
        <v>Скачать индивидуальный QR-код магазина</v>
      </c>
    </row>
    <row r="15257" spans="1:7" x14ac:dyDescent="0.25">
      <c r="A15257" t="s">
        <v>46193</v>
      </c>
      <c r="B15257" t="s">
        <v>46865</v>
      </c>
      <c r="C15257" t="s">
        <v>713</v>
      </c>
      <c r="D15257" t="s">
        <v>714</v>
      </c>
      <c r="E15257" t="s">
        <v>715</v>
      </c>
      <c r="F15257" t="s">
        <v>46866</v>
      </c>
      <c r="G15257" s="2" t="str">
        <f>HYPERLINK("https://probpalata.gov.ru/files/ЮЛ770101216600046.jpeg","Скачать индивидуальный QR-код магазина")</f>
        <v>Скачать индивидуальный QR-код магазина</v>
      </c>
    </row>
    <row r="15258" spans="1:7" x14ac:dyDescent="0.25">
      <c r="A15258" t="s">
        <v>46193</v>
      </c>
      <c r="B15258" t="s">
        <v>46867</v>
      </c>
      <c r="C15258" t="s">
        <v>713</v>
      </c>
      <c r="D15258" t="s">
        <v>714</v>
      </c>
      <c r="E15258" t="s">
        <v>715</v>
      </c>
      <c r="F15258" t="s">
        <v>46868</v>
      </c>
      <c r="G15258" s="2" t="str">
        <f>HYPERLINK("https://probpalata.gov.ru/files/ЮЛ770101216600052.jpeg","Скачать индивидуальный QR-код магазина")</f>
        <v>Скачать индивидуальный QR-код магазина</v>
      </c>
    </row>
    <row r="15259" spans="1:7" x14ac:dyDescent="0.25">
      <c r="A15259" t="s">
        <v>46193</v>
      </c>
      <c r="B15259" t="s">
        <v>46869</v>
      </c>
      <c r="C15259" t="s">
        <v>713</v>
      </c>
      <c r="D15259" t="s">
        <v>714</v>
      </c>
      <c r="E15259" t="s">
        <v>715</v>
      </c>
      <c r="F15259" t="s">
        <v>46870</v>
      </c>
      <c r="G15259" s="2" t="str">
        <f>HYPERLINK("https://probpalata.gov.ru/files/ЮЛ770101216600071.jpeg","Скачать индивидуальный QR-код магазина")</f>
        <v>Скачать индивидуальный QR-код магазина</v>
      </c>
    </row>
    <row r="15260" spans="1:7" x14ac:dyDescent="0.25">
      <c r="A15260" t="s">
        <v>46193</v>
      </c>
      <c r="B15260" t="s">
        <v>46871</v>
      </c>
      <c r="C15260" t="s">
        <v>713</v>
      </c>
      <c r="D15260" t="s">
        <v>714</v>
      </c>
      <c r="E15260" t="s">
        <v>715</v>
      </c>
      <c r="F15260" t="s">
        <v>46872</v>
      </c>
      <c r="G15260" s="2" t="str">
        <f>HYPERLINK("https://probpalata.gov.ru/files/ЮЛ770101216600104.jpeg","Скачать индивидуальный QR-код магазина")</f>
        <v>Скачать индивидуальный QR-код магазина</v>
      </c>
    </row>
    <row r="15261" spans="1:7" x14ac:dyDescent="0.25">
      <c r="A15261" t="s">
        <v>46193</v>
      </c>
      <c r="B15261" t="s">
        <v>46873</v>
      </c>
      <c r="C15261" t="s">
        <v>713</v>
      </c>
      <c r="D15261" t="s">
        <v>714</v>
      </c>
      <c r="E15261" t="s">
        <v>715</v>
      </c>
      <c r="F15261" t="s">
        <v>46874</v>
      </c>
      <c r="G15261" s="2" t="str">
        <f>HYPERLINK("https://probpalata.gov.ru/files/ЮЛ770101216600117.jpeg","Скачать индивидуальный QR-код магазина")</f>
        <v>Скачать индивидуальный QR-код магазина</v>
      </c>
    </row>
    <row r="15262" spans="1:7" x14ac:dyDescent="0.25">
      <c r="A15262" t="s">
        <v>46193</v>
      </c>
      <c r="B15262" t="s">
        <v>46875</v>
      </c>
      <c r="C15262" t="s">
        <v>713</v>
      </c>
      <c r="D15262" t="s">
        <v>714</v>
      </c>
      <c r="E15262" t="s">
        <v>715</v>
      </c>
      <c r="F15262" t="s">
        <v>46876</v>
      </c>
      <c r="G15262" s="2" t="str">
        <f>HYPERLINK("https://probpalata.gov.ru/files/ЮЛ770101216600119.jpeg","Скачать индивидуальный QR-код магазина")</f>
        <v>Скачать индивидуальный QR-код магазина</v>
      </c>
    </row>
    <row r="15263" spans="1:7" x14ac:dyDescent="0.25">
      <c r="A15263" t="s">
        <v>46193</v>
      </c>
      <c r="B15263" t="s">
        <v>46877</v>
      </c>
      <c r="C15263" t="s">
        <v>713</v>
      </c>
      <c r="D15263" t="s">
        <v>714</v>
      </c>
      <c r="E15263" t="s">
        <v>715</v>
      </c>
      <c r="F15263" t="s">
        <v>46878</v>
      </c>
      <c r="G15263" s="2" t="str">
        <f>HYPERLINK("https://probpalata.gov.ru/files/ЮЛ770101216600120.jpeg","Скачать индивидуальный QR-код магазина")</f>
        <v>Скачать индивидуальный QR-код магазина</v>
      </c>
    </row>
    <row r="15264" spans="1:7" x14ac:dyDescent="0.25">
      <c r="A15264" t="s">
        <v>46193</v>
      </c>
      <c r="B15264" t="s">
        <v>46879</v>
      </c>
      <c r="C15264" t="s">
        <v>713</v>
      </c>
      <c r="D15264" t="s">
        <v>714</v>
      </c>
      <c r="E15264" t="s">
        <v>715</v>
      </c>
      <c r="F15264" t="s">
        <v>46880</v>
      </c>
      <c r="G15264" s="2" t="str">
        <f>HYPERLINK("https://probpalata.gov.ru/files/ЮЛ770101216600125.jpeg","Скачать индивидуальный QR-код магазина")</f>
        <v>Скачать индивидуальный QR-код магазина</v>
      </c>
    </row>
    <row r="15265" spans="1:7" x14ac:dyDescent="0.25">
      <c r="A15265" t="s">
        <v>46193</v>
      </c>
      <c r="B15265" t="s">
        <v>46881</v>
      </c>
      <c r="C15265" t="s">
        <v>713</v>
      </c>
      <c r="D15265" t="s">
        <v>714</v>
      </c>
      <c r="E15265" t="s">
        <v>715</v>
      </c>
      <c r="F15265" t="s">
        <v>46882</v>
      </c>
      <c r="G15265" s="2" t="str">
        <f>HYPERLINK("https://probpalata.gov.ru/files/ЮЛ770101216600129.jpeg","Скачать индивидуальный QR-код магазина")</f>
        <v>Скачать индивидуальный QR-код магазина</v>
      </c>
    </row>
    <row r="15266" spans="1:7" x14ac:dyDescent="0.25">
      <c r="A15266" t="s">
        <v>46193</v>
      </c>
      <c r="B15266" t="s">
        <v>46883</v>
      </c>
      <c r="C15266" t="s">
        <v>713</v>
      </c>
      <c r="D15266" t="s">
        <v>714</v>
      </c>
      <c r="E15266" t="s">
        <v>715</v>
      </c>
      <c r="F15266" t="s">
        <v>46884</v>
      </c>
      <c r="G15266" s="2" t="str">
        <f>HYPERLINK("https://probpalata.gov.ru/files/ЮЛ770101216600258.jpeg","Скачать индивидуальный QR-код магазина")</f>
        <v>Скачать индивидуальный QR-код магазина</v>
      </c>
    </row>
    <row r="15267" spans="1:7" x14ac:dyDescent="0.25">
      <c r="A15267" t="s">
        <v>46193</v>
      </c>
      <c r="B15267" t="s">
        <v>46885</v>
      </c>
      <c r="C15267" t="s">
        <v>713</v>
      </c>
      <c r="D15267" t="s">
        <v>714</v>
      </c>
      <c r="E15267" t="s">
        <v>715</v>
      </c>
      <c r="F15267" t="s">
        <v>46886</v>
      </c>
      <c r="G15267" s="2" t="str">
        <f>HYPERLINK("https://probpalata.gov.ru/files/ЮЛ770101216600259.jpeg","Скачать индивидуальный QR-код магазина")</f>
        <v>Скачать индивидуальный QR-код магазина</v>
      </c>
    </row>
    <row r="15268" spans="1:7" x14ac:dyDescent="0.25">
      <c r="A15268" t="s">
        <v>46193</v>
      </c>
      <c r="B15268" t="s">
        <v>46887</v>
      </c>
      <c r="C15268" t="s">
        <v>713</v>
      </c>
      <c r="D15268" t="s">
        <v>714</v>
      </c>
      <c r="E15268" t="s">
        <v>715</v>
      </c>
      <c r="F15268" t="s">
        <v>46888</v>
      </c>
      <c r="G15268" s="2" t="str">
        <f>HYPERLINK("https://probpalata.gov.ru/files/ЮЛ770101216600291.jpeg","Скачать индивидуальный QR-код магазина")</f>
        <v>Скачать индивидуальный QR-код магазина</v>
      </c>
    </row>
    <row r="15269" spans="1:7" x14ac:dyDescent="0.25">
      <c r="A15269" t="s">
        <v>46193</v>
      </c>
      <c r="B15269" t="s">
        <v>46889</v>
      </c>
      <c r="C15269" t="s">
        <v>713</v>
      </c>
      <c r="D15269" t="s">
        <v>714</v>
      </c>
      <c r="E15269" t="s">
        <v>715</v>
      </c>
      <c r="F15269" t="s">
        <v>46890</v>
      </c>
      <c r="G15269" s="2" t="str">
        <f>HYPERLINK("https://probpalata.gov.ru/files/ЮЛ770101216600362.jpeg","Скачать индивидуальный QR-код магазина")</f>
        <v>Скачать индивидуальный QR-код магазина</v>
      </c>
    </row>
    <row r="15270" spans="1:7" x14ac:dyDescent="0.25">
      <c r="A15270" t="s">
        <v>46193</v>
      </c>
      <c r="B15270" t="s">
        <v>46891</v>
      </c>
      <c r="C15270" t="s">
        <v>713</v>
      </c>
      <c r="D15270" t="s">
        <v>714</v>
      </c>
      <c r="E15270" t="s">
        <v>715</v>
      </c>
      <c r="F15270" t="s">
        <v>46892</v>
      </c>
      <c r="G15270" s="2" t="str">
        <f>HYPERLINK("https://probpalata.gov.ru/files/ЮЛ770101216600417.jpeg","Скачать индивидуальный QR-код магазина")</f>
        <v>Скачать индивидуальный QR-код магазина</v>
      </c>
    </row>
    <row r="15271" spans="1:7" x14ac:dyDescent="0.25">
      <c r="A15271" t="s">
        <v>46193</v>
      </c>
      <c r="B15271" t="s">
        <v>46893</v>
      </c>
      <c r="C15271" t="s">
        <v>713</v>
      </c>
      <c r="D15271" t="s">
        <v>714</v>
      </c>
      <c r="E15271" t="s">
        <v>715</v>
      </c>
      <c r="F15271" t="s">
        <v>46894</v>
      </c>
      <c r="G15271" s="2" t="str">
        <f>HYPERLINK("https://probpalata.gov.ru/files/ЮЛ770101216600439.jpeg","Скачать индивидуальный QR-код магазина")</f>
        <v>Скачать индивидуальный QR-код магазина</v>
      </c>
    </row>
    <row r="15272" spans="1:7" x14ac:dyDescent="0.25">
      <c r="A15272" t="s">
        <v>46193</v>
      </c>
      <c r="B15272" t="s">
        <v>46895</v>
      </c>
      <c r="C15272" t="s">
        <v>713</v>
      </c>
      <c r="D15272" t="s">
        <v>714</v>
      </c>
      <c r="E15272" t="s">
        <v>715</v>
      </c>
      <c r="F15272" t="s">
        <v>46896</v>
      </c>
      <c r="G15272" s="2" t="str">
        <f>HYPERLINK("https://probpalata.gov.ru/files/ЮЛ770101216600442.jpeg","Скачать индивидуальный QR-код магазина")</f>
        <v>Скачать индивидуальный QR-код магазина</v>
      </c>
    </row>
    <row r="15273" spans="1:7" x14ac:dyDescent="0.25">
      <c r="A15273" t="s">
        <v>46193</v>
      </c>
      <c r="B15273" t="s">
        <v>46897</v>
      </c>
      <c r="C15273" t="s">
        <v>713</v>
      </c>
      <c r="D15273" t="s">
        <v>714</v>
      </c>
      <c r="E15273" t="s">
        <v>715</v>
      </c>
      <c r="F15273" t="s">
        <v>46898</v>
      </c>
      <c r="G15273" s="2" t="str">
        <f>HYPERLINK("https://probpalata.gov.ru/files/ЮЛ770101216600444.jpeg","Скачать индивидуальный QR-код магазина")</f>
        <v>Скачать индивидуальный QR-код магазина</v>
      </c>
    </row>
    <row r="15274" spans="1:7" x14ac:dyDescent="0.25">
      <c r="A15274" t="s">
        <v>46193</v>
      </c>
      <c r="B15274" t="s">
        <v>46899</v>
      </c>
      <c r="C15274" t="s">
        <v>713</v>
      </c>
      <c r="D15274" t="s">
        <v>714</v>
      </c>
      <c r="E15274" t="s">
        <v>715</v>
      </c>
      <c r="F15274" t="s">
        <v>46900</v>
      </c>
      <c r="G15274" s="2" t="str">
        <f>HYPERLINK("https://probpalata.gov.ru/files/ЮЛ770101216600445.jpeg","Скачать индивидуальный QR-код магазина")</f>
        <v>Скачать индивидуальный QR-код магазина</v>
      </c>
    </row>
    <row r="15275" spans="1:7" x14ac:dyDescent="0.25">
      <c r="A15275" t="s">
        <v>46193</v>
      </c>
      <c r="B15275" t="s">
        <v>46901</v>
      </c>
      <c r="C15275" t="s">
        <v>713</v>
      </c>
      <c r="D15275" t="s">
        <v>714</v>
      </c>
      <c r="E15275" t="s">
        <v>715</v>
      </c>
      <c r="F15275" t="s">
        <v>46902</v>
      </c>
      <c r="G15275" s="2" t="str">
        <f>HYPERLINK("https://probpalata.gov.ru/files/ЮЛ770101216600447.jpeg","Скачать индивидуальный QR-код магазина")</f>
        <v>Скачать индивидуальный QR-код магазина</v>
      </c>
    </row>
    <row r="15276" spans="1:7" x14ac:dyDescent="0.25">
      <c r="A15276" t="s">
        <v>46193</v>
      </c>
      <c r="B15276" t="s">
        <v>46903</v>
      </c>
      <c r="C15276" t="s">
        <v>713</v>
      </c>
      <c r="D15276" t="s">
        <v>714</v>
      </c>
      <c r="E15276" t="s">
        <v>715</v>
      </c>
      <c r="F15276" t="s">
        <v>46904</v>
      </c>
      <c r="G15276" s="2" t="str">
        <f>HYPERLINK("https://probpalata.gov.ru/files/ЮЛ770101216600449.jpeg","Скачать индивидуальный QR-код магазина")</f>
        <v>Скачать индивидуальный QR-код магазина</v>
      </c>
    </row>
    <row r="15277" spans="1:7" x14ac:dyDescent="0.25">
      <c r="A15277" t="s">
        <v>46193</v>
      </c>
      <c r="B15277" t="s">
        <v>46905</v>
      </c>
      <c r="C15277" t="s">
        <v>713</v>
      </c>
      <c r="D15277" t="s">
        <v>714</v>
      </c>
      <c r="E15277" t="s">
        <v>715</v>
      </c>
      <c r="F15277" t="s">
        <v>46906</v>
      </c>
      <c r="G15277" s="2" t="str">
        <f>HYPERLINK("https://probpalata.gov.ru/files/ЮЛ770101216600451.jpeg","Скачать индивидуальный QR-код магазина")</f>
        <v>Скачать индивидуальный QR-код магазина</v>
      </c>
    </row>
    <row r="15278" spans="1:7" x14ac:dyDescent="0.25">
      <c r="A15278" t="s">
        <v>46193</v>
      </c>
      <c r="B15278" t="s">
        <v>46907</v>
      </c>
      <c r="C15278" t="s">
        <v>713</v>
      </c>
      <c r="D15278" t="s">
        <v>714</v>
      </c>
      <c r="E15278" t="s">
        <v>715</v>
      </c>
      <c r="F15278" t="s">
        <v>46908</v>
      </c>
      <c r="G15278" s="2" t="str">
        <f>HYPERLINK("https://probpalata.gov.ru/files/ЮЛ770101216600461.jpeg","Скачать индивидуальный QR-код магазина")</f>
        <v>Скачать индивидуальный QR-код магазина</v>
      </c>
    </row>
    <row r="15279" spans="1:7" x14ac:dyDescent="0.25">
      <c r="A15279" t="s">
        <v>46193</v>
      </c>
      <c r="B15279" t="s">
        <v>46909</v>
      </c>
      <c r="C15279" t="s">
        <v>713</v>
      </c>
      <c r="D15279" t="s">
        <v>714</v>
      </c>
      <c r="E15279" t="s">
        <v>715</v>
      </c>
      <c r="F15279" t="s">
        <v>46910</v>
      </c>
      <c r="G15279" s="2" t="str">
        <f>HYPERLINK("https://probpalata.gov.ru/files/ЮЛ770101216600539.jpeg","Скачать индивидуальный QR-код магазина")</f>
        <v>Скачать индивидуальный QR-код магазина</v>
      </c>
    </row>
    <row r="15280" spans="1:7" x14ac:dyDescent="0.25">
      <c r="A15280" t="s">
        <v>46193</v>
      </c>
      <c r="B15280" t="s">
        <v>46911</v>
      </c>
      <c r="C15280" t="s">
        <v>713</v>
      </c>
      <c r="D15280" t="s">
        <v>714</v>
      </c>
      <c r="E15280" t="s">
        <v>715</v>
      </c>
      <c r="F15280" t="s">
        <v>46912</v>
      </c>
      <c r="G15280" s="2" t="str">
        <f>HYPERLINK("https://probpalata.gov.ru/files/ЮЛ770101216600594.jpeg","Скачать индивидуальный QR-код магазина")</f>
        <v>Скачать индивидуальный QR-код магазина</v>
      </c>
    </row>
    <row r="15281" spans="1:7" x14ac:dyDescent="0.25">
      <c r="A15281" t="s">
        <v>46193</v>
      </c>
      <c r="B15281" t="s">
        <v>46913</v>
      </c>
      <c r="C15281" t="s">
        <v>713</v>
      </c>
      <c r="D15281" t="s">
        <v>714</v>
      </c>
      <c r="E15281" t="s">
        <v>715</v>
      </c>
      <c r="F15281" t="s">
        <v>46914</v>
      </c>
      <c r="G15281" s="2" t="str">
        <f>HYPERLINK("https://probpalata.gov.ru/files/ЮЛ770101216600613.jpeg","Скачать индивидуальный QR-код магазина")</f>
        <v>Скачать индивидуальный QR-код магазина</v>
      </c>
    </row>
    <row r="15282" spans="1:7" x14ac:dyDescent="0.25">
      <c r="A15282" t="s">
        <v>46193</v>
      </c>
      <c r="B15282" t="s">
        <v>46915</v>
      </c>
      <c r="C15282" t="s">
        <v>713</v>
      </c>
      <c r="D15282" t="s">
        <v>714</v>
      </c>
      <c r="E15282" t="s">
        <v>715</v>
      </c>
      <c r="F15282" t="s">
        <v>46916</v>
      </c>
      <c r="G15282" s="2" t="str">
        <f>HYPERLINK("https://probpalata.gov.ru/files/ЮЛ770101216600634.jpeg","Скачать индивидуальный QR-код магазина")</f>
        <v>Скачать индивидуальный QR-код магазина</v>
      </c>
    </row>
    <row r="15283" spans="1:7" x14ac:dyDescent="0.25">
      <c r="A15283" t="s">
        <v>46193</v>
      </c>
      <c r="B15283" t="s">
        <v>46917</v>
      </c>
      <c r="C15283" t="s">
        <v>713</v>
      </c>
      <c r="D15283" t="s">
        <v>714</v>
      </c>
      <c r="E15283" t="s">
        <v>715</v>
      </c>
      <c r="F15283" t="s">
        <v>46918</v>
      </c>
      <c r="G15283" s="2" t="str">
        <f>HYPERLINK("https://probpalata.gov.ru/files/ЮЛ770101216600636.jpeg","Скачать индивидуальный QR-код магазина")</f>
        <v>Скачать индивидуальный QR-код магазина</v>
      </c>
    </row>
    <row r="15284" spans="1:7" x14ac:dyDescent="0.25">
      <c r="A15284" t="s">
        <v>46193</v>
      </c>
      <c r="B15284" t="s">
        <v>46919</v>
      </c>
      <c r="C15284" t="s">
        <v>713</v>
      </c>
      <c r="D15284" t="s">
        <v>714</v>
      </c>
      <c r="E15284" t="s">
        <v>715</v>
      </c>
      <c r="F15284" t="s">
        <v>46920</v>
      </c>
      <c r="G15284" s="2" t="str">
        <f>HYPERLINK("https://probpalata.gov.ru/files/ЮЛ770101216600703.jpeg","Скачать индивидуальный QR-код магазина")</f>
        <v>Скачать индивидуальный QR-код магазина</v>
      </c>
    </row>
    <row r="15285" spans="1:7" x14ac:dyDescent="0.25">
      <c r="A15285" t="s">
        <v>46193</v>
      </c>
      <c r="B15285" t="s">
        <v>46921</v>
      </c>
      <c r="C15285" t="s">
        <v>713</v>
      </c>
      <c r="D15285" t="s">
        <v>714</v>
      </c>
      <c r="E15285" t="s">
        <v>715</v>
      </c>
      <c r="F15285" t="s">
        <v>46922</v>
      </c>
      <c r="G15285" s="2" t="str">
        <f>HYPERLINK("https://probpalata.gov.ru/files/ЮЛ770101216600711.jpeg","Скачать индивидуальный QR-код магазина")</f>
        <v>Скачать индивидуальный QR-код магазина</v>
      </c>
    </row>
    <row r="15286" spans="1:7" x14ac:dyDescent="0.25">
      <c r="A15286" t="s">
        <v>46193</v>
      </c>
      <c r="B15286" t="s">
        <v>46923</v>
      </c>
      <c r="C15286" t="s">
        <v>713</v>
      </c>
      <c r="D15286" t="s">
        <v>714</v>
      </c>
      <c r="E15286" t="s">
        <v>715</v>
      </c>
      <c r="F15286" t="s">
        <v>46924</v>
      </c>
      <c r="G15286" s="2" t="str">
        <f>HYPERLINK("https://probpalata.gov.ru/files/ЮЛ770101216600716.jpeg","Скачать индивидуальный QR-код магазина")</f>
        <v>Скачать индивидуальный QR-код магазина</v>
      </c>
    </row>
    <row r="15287" spans="1:7" x14ac:dyDescent="0.25">
      <c r="A15287" t="s">
        <v>46193</v>
      </c>
      <c r="B15287" t="s">
        <v>46925</v>
      </c>
      <c r="C15287" t="s">
        <v>713</v>
      </c>
      <c r="D15287" t="s">
        <v>714</v>
      </c>
      <c r="E15287" t="s">
        <v>715</v>
      </c>
      <c r="F15287" t="s">
        <v>46926</v>
      </c>
      <c r="G15287" s="2" t="str">
        <f>HYPERLINK("https://probpalata.gov.ru/files/ЮЛ770101216600723.jpeg","Скачать индивидуальный QR-код магазина")</f>
        <v>Скачать индивидуальный QR-код магазина</v>
      </c>
    </row>
    <row r="15288" spans="1:7" x14ac:dyDescent="0.25">
      <c r="A15288" t="s">
        <v>46193</v>
      </c>
      <c r="B15288" t="s">
        <v>46927</v>
      </c>
      <c r="C15288" t="s">
        <v>713</v>
      </c>
      <c r="D15288" t="s">
        <v>714</v>
      </c>
      <c r="E15288" t="s">
        <v>715</v>
      </c>
      <c r="F15288" t="s">
        <v>46928</v>
      </c>
      <c r="G15288" s="2" t="str">
        <f>HYPERLINK("https://probpalata.gov.ru/files/ЮЛ770101216600726.jpeg","Скачать индивидуальный QR-код магазина")</f>
        <v>Скачать индивидуальный QR-код магазина</v>
      </c>
    </row>
    <row r="15289" spans="1:7" x14ac:dyDescent="0.25">
      <c r="A15289" t="s">
        <v>46193</v>
      </c>
      <c r="B15289" t="s">
        <v>46929</v>
      </c>
      <c r="C15289" t="s">
        <v>713</v>
      </c>
      <c r="D15289" t="s">
        <v>714</v>
      </c>
      <c r="E15289" t="s">
        <v>715</v>
      </c>
      <c r="F15289" t="s">
        <v>46930</v>
      </c>
      <c r="G15289" s="2" t="str">
        <f>HYPERLINK("https://probpalata.gov.ru/files/ЮЛ770101216600727.jpeg","Скачать индивидуальный QR-код магазина")</f>
        <v>Скачать индивидуальный QR-код магазина</v>
      </c>
    </row>
    <row r="15290" spans="1:7" x14ac:dyDescent="0.25">
      <c r="A15290" t="s">
        <v>46193</v>
      </c>
      <c r="B15290" t="s">
        <v>46931</v>
      </c>
      <c r="C15290" t="s">
        <v>713</v>
      </c>
      <c r="D15290" t="s">
        <v>714</v>
      </c>
      <c r="E15290" t="s">
        <v>715</v>
      </c>
      <c r="F15290" t="s">
        <v>46932</v>
      </c>
      <c r="G15290" s="2" t="str">
        <f>HYPERLINK("https://probpalata.gov.ru/files/ЮЛ770101216600730.jpeg","Скачать индивидуальный QR-код магазина")</f>
        <v>Скачать индивидуальный QR-код магазина</v>
      </c>
    </row>
    <row r="15291" spans="1:7" x14ac:dyDescent="0.25">
      <c r="A15291" t="s">
        <v>46193</v>
      </c>
      <c r="B15291" t="s">
        <v>46933</v>
      </c>
      <c r="C15291" t="s">
        <v>713</v>
      </c>
      <c r="D15291" t="s">
        <v>714</v>
      </c>
      <c r="E15291" t="s">
        <v>715</v>
      </c>
      <c r="F15291" t="s">
        <v>46934</v>
      </c>
      <c r="G15291" s="2" t="str">
        <f>HYPERLINK("https://probpalata.gov.ru/files/ЮЛ770101216600741.jpeg","Скачать индивидуальный QR-код магазина")</f>
        <v>Скачать индивидуальный QR-код магазина</v>
      </c>
    </row>
    <row r="15292" spans="1:7" x14ac:dyDescent="0.25">
      <c r="A15292" t="s">
        <v>46193</v>
      </c>
      <c r="B15292" t="s">
        <v>46935</v>
      </c>
      <c r="C15292" t="s">
        <v>713</v>
      </c>
      <c r="D15292" t="s">
        <v>714</v>
      </c>
      <c r="E15292" t="s">
        <v>715</v>
      </c>
      <c r="F15292" t="s">
        <v>46936</v>
      </c>
      <c r="G15292" s="2" t="str">
        <f>HYPERLINK("https://probpalata.gov.ru/files/ЮЛ770101216600764.jpeg","Скачать индивидуальный QR-код магазина")</f>
        <v>Скачать индивидуальный QR-код магазина</v>
      </c>
    </row>
    <row r="15293" spans="1:7" x14ac:dyDescent="0.25">
      <c r="A15293" t="s">
        <v>46193</v>
      </c>
      <c r="B15293" t="s">
        <v>46937</v>
      </c>
      <c r="C15293" t="s">
        <v>713</v>
      </c>
      <c r="D15293" t="s">
        <v>714</v>
      </c>
      <c r="E15293" t="s">
        <v>715</v>
      </c>
      <c r="F15293" t="s">
        <v>46938</v>
      </c>
      <c r="G15293" s="2" t="str">
        <f>HYPERLINK("https://probpalata.gov.ru/files/ЮЛ770101216600775.jpeg","Скачать индивидуальный QR-код магазина")</f>
        <v>Скачать индивидуальный QR-код магазина</v>
      </c>
    </row>
    <row r="15294" spans="1:7" x14ac:dyDescent="0.25">
      <c r="A15294" t="s">
        <v>46193</v>
      </c>
      <c r="B15294" t="s">
        <v>46939</v>
      </c>
      <c r="C15294" t="s">
        <v>713</v>
      </c>
      <c r="D15294" t="s">
        <v>714</v>
      </c>
      <c r="E15294" t="s">
        <v>715</v>
      </c>
      <c r="F15294" t="s">
        <v>46940</v>
      </c>
      <c r="G15294" s="2" t="str">
        <f>HYPERLINK("https://probpalata.gov.ru/files/ЮЛ770101216600779.jpeg","Скачать индивидуальный QR-код магазина")</f>
        <v>Скачать индивидуальный QR-код магазина</v>
      </c>
    </row>
    <row r="15295" spans="1:7" x14ac:dyDescent="0.25">
      <c r="A15295" t="s">
        <v>46193</v>
      </c>
      <c r="B15295" t="s">
        <v>46941</v>
      </c>
      <c r="C15295" t="s">
        <v>713</v>
      </c>
      <c r="D15295" t="s">
        <v>714</v>
      </c>
      <c r="E15295" t="s">
        <v>715</v>
      </c>
      <c r="F15295" t="s">
        <v>46942</v>
      </c>
      <c r="G15295" s="2" t="str">
        <f>HYPERLINK("https://probpalata.gov.ru/files/ЮЛ770101216600780.jpeg","Скачать индивидуальный QR-код магазина")</f>
        <v>Скачать индивидуальный QR-код магазина</v>
      </c>
    </row>
    <row r="15296" spans="1:7" x14ac:dyDescent="0.25">
      <c r="A15296" t="s">
        <v>46193</v>
      </c>
      <c r="B15296" t="s">
        <v>46943</v>
      </c>
      <c r="C15296" t="s">
        <v>713</v>
      </c>
      <c r="D15296" t="s">
        <v>714</v>
      </c>
      <c r="E15296" t="s">
        <v>715</v>
      </c>
      <c r="F15296" t="s">
        <v>46944</v>
      </c>
      <c r="G15296" s="2" t="str">
        <f>HYPERLINK("https://probpalata.gov.ru/files/ЮЛ770101216600843.jpeg","Скачать индивидуальный QR-код магазина")</f>
        <v>Скачать индивидуальный QR-код магазина</v>
      </c>
    </row>
    <row r="15297" spans="1:7" x14ac:dyDescent="0.25">
      <c r="A15297" t="s">
        <v>46193</v>
      </c>
      <c r="B15297" t="s">
        <v>46945</v>
      </c>
      <c r="C15297" t="s">
        <v>713</v>
      </c>
      <c r="D15297" t="s">
        <v>714</v>
      </c>
      <c r="E15297" t="s">
        <v>715</v>
      </c>
      <c r="F15297" t="s">
        <v>46946</v>
      </c>
      <c r="G15297" s="2" t="str">
        <f>HYPERLINK("https://probpalata.gov.ru/files/ЮЛ770101216600860.jpeg","Скачать индивидуальный QR-код магазина")</f>
        <v>Скачать индивидуальный QR-код магазина</v>
      </c>
    </row>
    <row r="15298" spans="1:7" x14ac:dyDescent="0.25">
      <c r="A15298" t="s">
        <v>46193</v>
      </c>
      <c r="B15298" t="s">
        <v>46947</v>
      </c>
      <c r="C15298" t="s">
        <v>713</v>
      </c>
      <c r="D15298" t="s">
        <v>714</v>
      </c>
      <c r="E15298" t="s">
        <v>715</v>
      </c>
      <c r="F15298" t="s">
        <v>46948</v>
      </c>
      <c r="G15298" s="2" t="str">
        <f>HYPERLINK("https://probpalata.gov.ru/files/ЮЛ770101216600884.jpeg","Скачать индивидуальный QR-код магазина")</f>
        <v>Скачать индивидуальный QR-код магазина</v>
      </c>
    </row>
    <row r="15299" spans="1:7" x14ac:dyDescent="0.25">
      <c r="A15299" t="s">
        <v>46193</v>
      </c>
      <c r="B15299" t="s">
        <v>46949</v>
      </c>
      <c r="C15299" t="s">
        <v>713</v>
      </c>
      <c r="D15299" t="s">
        <v>714</v>
      </c>
      <c r="E15299" t="s">
        <v>715</v>
      </c>
      <c r="F15299" t="s">
        <v>46950</v>
      </c>
      <c r="G15299" s="2" t="str">
        <f>HYPERLINK("https://probpalata.gov.ru/files/ЮЛ770101216600901.jpeg","Скачать индивидуальный QR-код магазина")</f>
        <v>Скачать индивидуальный QR-код магазина</v>
      </c>
    </row>
    <row r="15300" spans="1:7" x14ac:dyDescent="0.25">
      <c r="A15300" t="s">
        <v>46193</v>
      </c>
      <c r="B15300" t="s">
        <v>46951</v>
      </c>
      <c r="C15300" t="s">
        <v>713</v>
      </c>
      <c r="D15300" t="s">
        <v>714</v>
      </c>
      <c r="E15300" t="s">
        <v>715</v>
      </c>
      <c r="F15300" t="s">
        <v>46952</v>
      </c>
      <c r="G15300" s="2" t="str">
        <f>HYPERLINK("https://probpalata.gov.ru/files/ЮЛ770101216600910.jpeg","Скачать индивидуальный QR-код магазина")</f>
        <v>Скачать индивидуальный QR-код магазина</v>
      </c>
    </row>
    <row r="15301" spans="1:7" x14ac:dyDescent="0.25">
      <c r="A15301" t="s">
        <v>46193</v>
      </c>
      <c r="B15301" t="s">
        <v>46953</v>
      </c>
      <c r="C15301" t="s">
        <v>713</v>
      </c>
      <c r="D15301" t="s">
        <v>714</v>
      </c>
      <c r="E15301" t="s">
        <v>715</v>
      </c>
      <c r="F15301" t="s">
        <v>46954</v>
      </c>
      <c r="G15301" s="2" t="str">
        <f>HYPERLINK("https://probpalata.gov.ru/files/ЮЛ770101216600927.jpeg","Скачать индивидуальный QR-код магазина")</f>
        <v>Скачать индивидуальный QR-код магазина</v>
      </c>
    </row>
    <row r="15302" spans="1:7" x14ac:dyDescent="0.25">
      <c r="A15302" t="s">
        <v>46193</v>
      </c>
      <c r="B15302" t="s">
        <v>46955</v>
      </c>
      <c r="C15302" t="s">
        <v>713</v>
      </c>
      <c r="D15302" t="s">
        <v>714</v>
      </c>
      <c r="E15302" t="s">
        <v>715</v>
      </c>
      <c r="F15302" t="s">
        <v>46956</v>
      </c>
      <c r="G15302" s="2" t="str">
        <f>HYPERLINK("https://probpalata.gov.ru/files/ЮЛ770101216600928.jpeg","Скачать индивидуальный QR-код магазина")</f>
        <v>Скачать индивидуальный QR-код магазина</v>
      </c>
    </row>
    <row r="15303" spans="1:7" x14ac:dyDescent="0.25">
      <c r="A15303" t="s">
        <v>46193</v>
      </c>
      <c r="B15303" t="s">
        <v>46957</v>
      </c>
      <c r="C15303" t="s">
        <v>713</v>
      </c>
      <c r="D15303" t="s">
        <v>714</v>
      </c>
      <c r="E15303" t="s">
        <v>715</v>
      </c>
      <c r="F15303" t="s">
        <v>46958</v>
      </c>
      <c r="G15303" s="2" t="str">
        <f>HYPERLINK("https://probpalata.gov.ru/files/ЮЛ770101216600929.jpeg","Скачать индивидуальный QR-код магазина")</f>
        <v>Скачать индивидуальный QR-код магазина</v>
      </c>
    </row>
    <row r="15304" spans="1:7" x14ac:dyDescent="0.25">
      <c r="A15304" t="s">
        <v>46193</v>
      </c>
      <c r="B15304" t="s">
        <v>46959</v>
      </c>
      <c r="C15304" t="s">
        <v>713</v>
      </c>
      <c r="D15304" t="s">
        <v>714</v>
      </c>
      <c r="E15304" t="s">
        <v>715</v>
      </c>
      <c r="F15304" t="s">
        <v>46960</v>
      </c>
      <c r="G15304" s="2" t="str">
        <f>HYPERLINK("https://probpalata.gov.ru/files/ЮЛ770101216600938.jpeg","Скачать индивидуальный QR-код магазина")</f>
        <v>Скачать индивидуальный QR-код магазина</v>
      </c>
    </row>
    <row r="15305" spans="1:7" x14ac:dyDescent="0.25">
      <c r="A15305" t="s">
        <v>46193</v>
      </c>
      <c r="B15305" t="s">
        <v>46961</v>
      </c>
      <c r="C15305" t="s">
        <v>713</v>
      </c>
      <c r="D15305" t="s">
        <v>714</v>
      </c>
      <c r="E15305" t="s">
        <v>715</v>
      </c>
      <c r="F15305" t="s">
        <v>46962</v>
      </c>
      <c r="G15305" s="2" t="str">
        <f>HYPERLINK("https://probpalata.gov.ru/files/ЮЛ770101216600939.jpeg","Скачать индивидуальный QR-код магазина")</f>
        <v>Скачать индивидуальный QR-код магазина</v>
      </c>
    </row>
    <row r="15306" spans="1:7" x14ac:dyDescent="0.25">
      <c r="A15306" t="s">
        <v>46193</v>
      </c>
      <c r="B15306" t="s">
        <v>46963</v>
      </c>
      <c r="C15306" t="s">
        <v>713</v>
      </c>
      <c r="D15306" t="s">
        <v>714</v>
      </c>
      <c r="E15306" t="s">
        <v>715</v>
      </c>
      <c r="F15306" t="s">
        <v>46964</v>
      </c>
      <c r="G15306" s="2" t="str">
        <f>HYPERLINK("https://probpalata.gov.ru/files/ЮЛ770101216600940.jpeg","Скачать индивидуальный QR-код магазина")</f>
        <v>Скачать индивидуальный QR-код магазина</v>
      </c>
    </row>
    <row r="15307" spans="1:7" x14ac:dyDescent="0.25">
      <c r="A15307" t="s">
        <v>46193</v>
      </c>
      <c r="B15307" t="s">
        <v>46965</v>
      </c>
      <c r="C15307" t="s">
        <v>713</v>
      </c>
      <c r="D15307" t="s">
        <v>714</v>
      </c>
      <c r="E15307" t="s">
        <v>715</v>
      </c>
      <c r="F15307" t="s">
        <v>46966</v>
      </c>
      <c r="G15307" s="2" t="str">
        <f>HYPERLINK("https://probpalata.gov.ru/files/ЮЛ770101216600962.jpeg","Скачать индивидуальный QR-код магазина")</f>
        <v>Скачать индивидуальный QR-код магазина</v>
      </c>
    </row>
    <row r="15308" spans="1:7" x14ac:dyDescent="0.25">
      <c r="A15308" t="s">
        <v>46193</v>
      </c>
      <c r="B15308" t="s">
        <v>46967</v>
      </c>
      <c r="C15308" t="s">
        <v>713</v>
      </c>
      <c r="D15308" t="s">
        <v>714</v>
      </c>
      <c r="E15308" t="s">
        <v>715</v>
      </c>
      <c r="F15308" t="s">
        <v>46968</v>
      </c>
      <c r="G15308" s="2" t="str">
        <f>HYPERLINK("https://probpalata.gov.ru/files/ЮЛ770101216600964.jpeg","Скачать индивидуальный QR-код магазина")</f>
        <v>Скачать индивидуальный QR-код магазина</v>
      </c>
    </row>
    <row r="15309" spans="1:7" x14ac:dyDescent="0.25">
      <c r="A15309" t="s">
        <v>46193</v>
      </c>
      <c r="B15309" t="s">
        <v>46969</v>
      </c>
      <c r="C15309" t="s">
        <v>713</v>
      </c>
      <c r="D15309" t="s">
        <v>714</v>
      </c>
      <c r="E15309" t="s">
        <v>715</v>
      </c>
      <c r="F15309" t="s">
        <v>46970</v>
      </c>
      <c r="G15309" s="2" t="str">
        <f>HYPERLINK("https://probpalata.gov.ru/files/ЮЛ770101216600970.jpeg","Скачать индивидуальный QR-код магазина")</f>
        <v>Скачать индивидуальный QR-код магазина</v>
      </c>
    </row>
    <row r="15310" spans="1:7" x14ac:dyDescent="0.25">
      <c r="A15310" t="s">
        <v>46193</v>
      </c>
      <c r="B15310" t="s">
        <v>46971</v>
      </c>
      <c r="C15310" t="s">
        <v>713</v>
      </c>
      <c r="D15310" t="s">
        <v>714</v>
      </c>
      <c r="E15310" t="s">
        <v>715</v>
      </c>
      <c r="F15310" t="s">
        <v>46972</v>
      </c>
      <c r="G15310" s="2" t="str">
        <f>HYPERLINK("https://probpalata.gov.ru/files/ЮЛ770101216600971.jpeg","Скачать индивидуальный QR-код магазина")</f>
        <v>Скачать индивидуальный QR-код магазина</v>
      </c>
    </row>
    <row r="15311" spans="1:7" x14ac:dyDescent="0.25">
      <c r="A15311" t="s">
        <v>46193</v>
      </c>
      <c r="B15311" t="s">
        <v>46973</v>
      </c>
      <c r="C15311" t="s">
        <v>713</v>
      </c>
      <c r="D15311" t="s">
        <v>714</v>
      </c>
      <c r="E15311" t="s">
        <v>715</v>
      </c>
      <c r="F15311" t="s">
        <v>46974</v>
      </c>
      <c r="G15311" s="2" t="str">
        <f>HYPERLINK("https://probpalata.gov.ru/files/ЮЛ770101216600978.jpeg","Скачать индивидуальный QR-код магазина")</f>
        <v>Скачать индивидуальный QR-код магазина</v>
      </c>
    </row>
    <row r="15312" spans="1:7" x14ac:dyDescent="0.25">
      <c r="A15312" t="s">
        <v>46193</v>
      </c>
      <c r="B15312" t="s">
        <v>46975</v>
      </c>
      <c r="C15312" t="s">
        <v>713</v>
      </c>
      <c r="D15312" t="s">
        <v>714</v>
      </c>
      <c r="E15312" t="s">
        <v>715</v>
      </c>
      <c r="F15312" t="s">
        <v>46976</v>
      </c>
      <c r="G15312" s="2" t="str">
        <f>HYPERLINK("https://probpalata.gov.ru/files/ЮЛ770101216600986.jpeg","Скачать индивидуальный QR-код магазина")</f>
        <v>Скачать индивидуальный QR-код магазина</v>
      </c>
    </row>
    <row r="15313" spans="1:7" x14ac:dyDescent="0.25">
      <c r="A15313" t="s">
        <v>46193</v>
      </c>
      <c r="B15313" t="s">
        <v>46977</v>
      </c>
      <c r="C15313" t="s">
        <v>713</v>
      </c>
      <c r="D15313" t="s">
        <v>714</v>
      </c>
      <c r="E15313" t="s">
        <v>715</v>
      </c>
      <c r="F15313" t="s">
        <v>46978</v>
      </c>
      <c r="G15313" s="2" t="str">
        <f>HYPERLINK("https://probpalata.gov.ru/files/ЮЛ770101216600994.jpeg","Скачать индивидуальный QR-код магазина")</f>
        <v>Скачать индивидуальный QR-код магазина</v>
      </c>
    </row>
    <row r="15314" spans="1:7" x14ac:dyDescent="0.25">
      <c r="A15314" t="s">
        <v>46193</v>
      </c>
      <c r="B15314" t="s">
        <v>46979</v>
      </c>
      <c r="C15314" t="s">
        <v>7727</v>
      </c>
      <c r="D15314" t="s">
        <v>7728</v>
      </c>
      <c r="E15314" t="s">
        <v>7729</v>
      </c>
      <c r="F15314" t="s">
        <v>46980</v>
      </c>
      <c r="G15314" s="2" t="str">
        <f>HYPERLINK("https://probpalata.gov.ru/files/ЮЛ770100167700010.jpeg","Скачать индивидуальный QR-код магазина")</f>
        <v>Скачать индивидуальный QR-код магазина</v>
      </c>
    </row>
    <row r="15315" spans="1:7" x14ac:dyDescent="0.25">
      <c r="A15315" t="s">
        <v>46193</v>
      </c>
      <c r="B15315" t="s">
        <v>46981</v>
      </c>
      <c r="C15315" t="s">
        <v>46982</v>
      </c>
      <c r="D15315" t="s">
        <v>46983</v>
      </c>
      <c r="E15315" t="s">
        <v>46984</v>
      </c>
      <c r="F15315" t="s">
        <v>46985</v>
      </c>
      <c r="G15315" s="2" t="str">
        <f>HYPERLINK("https://probpalata.gov.ru/files/ИП770103200400002.jpeg","Скачать индивидуальный QR-код магазина")</f>
        <v>Скачать индивидуальный QR-код магазина</v>
      </c>
    </row>
    <row r="15316" spans="1:7" x14ac:dyDescent="0.25">
      <c r="A15316" t="s">
        <v>46193</v>
      </c>
      <c r="B15316" t="s">
        <v>46986</v>
      </c>
      <c r="C15316" t="s">
        <v>1416</v>
      </c>
      <c r="D15316" t="s">
        <v>1417</v>
      </c>
      <c r="E15316" t="s">
        <v>1418</v>
      </c>
      <c r="F15316" t="s">
        <v>46987</v>
      </c>
      <c r="G15316" s="2" t="str">
        <f>HYPERLINK("https://probpalata.gov.ru/files/ЮЛ770100419400113.jpeg","Скачать индивидуальный QR-код магазина")</f>
        <v>Скачать индивидуальный QR-код магазина</v>
      </c>
    </row>
    <row r="15317" spans="1:7" x14ac:dyDescent="0.25">
      <c r="A15317" t="s">
        <v>46193</v>
      </c>
      <c r="B15317" t="s">
        <v>46988</v>
      </c>
      <c r="C15317" t="s">
        <v>1416</v>
      </c>
      <c r="D15317" t="s">
        <v>1417</v>
      </c>
      <c r="E15317" t="s">
        <v>1418</v>
      </c>
      <c r="F15317" t="s">
        <v>46989</v>
      </c>
      <c r="G15317" s="2" t="str">
        <f>HYPERLINK("https://probpalata.gov.ru/files/ЮЛ770100419400116.jpeg","Скачать индивидуальный QR-код магазина")</f>
        <v>Скачать индивидуальный QR-код магазина</v>
      </c>
    </row>
    <row r="15318" spans="1:7" x14ac:dyDescent="0.25">
      <c r="A15318" t="s">
        <v>46193</v>
      </c>
      <c r="B15318" t="s">
        <v>46990</v>
      </c>
      <c r="C15318" t="s">
        <v>1416</v>
      </c>
      <c r="D15318" t="s">
        <v>1417</v>
      </c>
      <c r="E15318" t="s">
        <v>1418</v>
      </c>
      <c r="F15318" t="s">
        <v>46991</v>
      </c>
      <c r="G15318" s="2" t="str">
        <f>HYPERLINK("https://probpalata.gov.ru/files/ЮЛ770100419400117.jpeg","Скачать индивидуальный QR-код магазина")</f>
        <v>Скачать индивидуальный QR-код магазина</v>
      </c>
    </row>
    <row r="15319" spans="1:7" x14ac:dyDescent="0.25">
      <c r="A15319" t="s">
        <v>46193</v>
      </c>
      <c r="B15319" t="s">
        <v>46992</v>
      </c>
      <c r="C15319" t="s">
        <v>1416</v>
      </c>
      <c r="D15319" t="s">
        <v>1417</v>
      </c>
      <c r="E15319" t="s">
        <v>1418</v>
      </c>
      <c r="F15319" t="s">
        <v>46993</v>
      </c>
      <c r="G15319" s="2" t="str">
        <f>HYPERLINK("https://probpalata.gov.ru/files/ЮЛ770100419400120.jpeg","Скачать индивидуальный QR-код магазина")</f>
        <v>Скачать индивидуальный QR-код магазина</v>
      </c>
    </row>
    <row r="15320" spans="1:7" x14ac:dyDescent="0.25">
      <c r="A15320" t="s">
        <v>46193</v>
      </c>
      <c r="B15320" t="s">
        <v>46994</v>
      </c>
      <c r="C15320" t="s">
        <v>1416</v>
      </c>
      <c r="D15320" t="s">
        <v>1417</v>
      </c>
      <c r="E15320" t="s">
        <v>1418</v>
      </c>
      <c r="F15320" t="s">
        <v>46995</v>
      </c>
      <c r="G15320" s="2" t="str">
        <f>HYPERLINK("https://probpalata.gov.ru/files/ЮЛ770100419400122.jpeg","Скачать индивидуальный QR-код магазина")</f>
        <v>Скачать индивидуальный QR-код магазина</v>
      </c>
    </row>
    <row r="15321" spans="1:7" x14ac:dyDescent="0.25">
      <c r="A15321" t="s">
        <v>46193</v>
      </c>
      <c r="B15321" t="s">
        <v>46996</v>
      </c>
      <c r="C15321" t="s">
        <v>1416</v>
      </c>
      <c r="D15321" t="s">
        <v>1417</v>
      </c>
      <c r="E15321" t="s">
        <v>1418</v>
      </c>
      <c r="F15321" t="s">
        <v>46997</v>
      </c>
      <c r="G15321" s="2" t="str">
        <f>HYPERLINK("https://probpalata.gov.ru/files/ЮЛ770100419400123.jpeg","Скачать индивидуальный QR-код магазина")</f>
        <v>Скачать индивидуальный QR-код магазина</v>
      </c>
    </row>
    <row r="15322" spans="1:7" x14ac:dyDescent="0.25">
      <c r="A15322" t="s">
        <v>46193</v>
      </c>
      <c r="B15322" t="s">
        <v>46998</v>
      </c>
      <c r="C15322" t="s">
        <v>1416</v>
      </c>
      <c r="D15322" t="s">
        <v>1417</v>
      </c>
      <c r="E15322" t="s">
        <v>1418</v>
      </c>
      <c r="F15322" t="s">
        <v>46999</v>
      </c>
      <c r="G15322" s="2" t="str">
        <f>HYPERLINK("https://probpalata.gov.ru/files/ЮЛ770100419400124.jpeg","Скачать индивидуальный QR-код магазина")</f>
        <v>Скачать индивидуальный QR-код магазина</v>
      </c>
    </row>
    <row r="15323" spans="1:7" x14ac:dyDescent="0.25">
      <c r="A15323" t="s">
        <v>46193</v>
      </c>
      <c r="B15323" t="s">
        <v>47000</v>
      </c>
      <c r="C15323" t="s">
        <v>1416</v>
      </c>
      <c r="D15323" t="s">
        <v>1417</v>
      </c>
      <c r="E15323" t="s">
        <v>1418</v>
      </c>
      <c r="F15323" t="s">
        <v>47001</v>
      </c>
      <c r="G15323" s="2" t="str">
        <f>HYPERLINK("https://probpalata.gov.ru/files/ЮЛ770100419400210.jpeg","Скачать индивидуальный QR-код магазина")</f>
        <v>Скачать индивидуальный QR-код магазина</v>
      </c>
    </row>
    <row r="15324" spans="1:7" x14ac:dyDescent="0.25">
      <c r="A15324" t="s">
        <v>46193</v>
      </c>
      <c r="B15324" t="s">
        <v>47002</v>
      </c>
      <c r="C15324" t="s">
        <v>1416</v>
      </c>
      <c r="D15324" t="s">
        <v>1417</v>
      </c>
      <c r="E15324" t="s">
        <v>1418</v>
      </c>
      <c r="F15324" t="s">
        <v>47003</v>
      </c>
      <c r="G15324" s="2" t="str">
        <f>HYPERLINK("https://probpalata.gov.ru/files/ЮЛ770100419400215.jpeg","Скачать индивидуальный QR-код магазина")</f>
        <v>Скачать индивидуальный QR-код магазина</v>
      </c>
    </row>
    <row r="15325" spans="1:7" x14ac:dyDescent="0.25">
      <c r="A15325" t="s">
        <v>46193</v>
      </c>
      <c r="B15325" t="s">
        <v>47004</v>
      </c>
      <c r="C15325" t="s">
        <v>1416</v>
      </c>
      <c r="D15325" t="s">
        <v>1417</v>
      </c>
      <c r="E15325" t="s">
        <v>1418</v>
      </c>
      <c r="F15325" t="s">
        <v>47005</v>
      </c>
      <c r="G15325" s="2" t="str">
        <f>HYPERLINK("https://probpalata.gov.ru/files/ЮЛ770100419400222.jpeg","Скачать индивидуальный QR-код магазина")</f>
        <v>Скачать индивидуальный QR-код магазина</v>
      </c>
    </row>
    <row r="15326" spans="1:7" x14ac:dyDescent="0.25">
      <c r="A15326" t="s">
        <v>46193</v>
      </c>
      <c r="B15326" t="s">
        <v>47006</v>
      </c>
      <c r="C15326" t="s">
        <v>1416</v>
      </c>
      <c r="D15326" t="s">
        <v>1417</v>
      </c>
      <c r="E15326" t="s">
        <v>1418</v>
      </c>
      <c r="F15326" t="s">
        <v>47007</v>
      </c>
      <c r="G15326" s="2" t="str">
        <f>HYPERLINK("https://probpalata.gov.ru/files/ЮЛ770100419400233.jpeg","Скачать индивидуальный QR-код магазина")</f>
        <v>Скачать индивидуальный QR-код магазина</v>
      </c>
    </row>
    <row r="15327" spans="1:7" x14ac:dyDescent="0.25">
      <c r="A15327" t="s">
        <v>46193</v>
      </c>
      <c r="B15327" t="s">
        <v>47008</v>
      </c>
      <c r="C15327" t="s">
        <v>1416</v>
      </c>
      <c r="D15327" t="s">
        <v>1417</v>
      </c>
      <c r="E15327" t="s">
        <v>1418</v>
      </c>
      <c r="F15327" t="s">
        <v>47009</v>
      </c>
      <c r="G15327" s="2" t="str">
        <f>HYPERLINK("https://probpalata.gov.ru/files/ЮЛ770100419400248.jpeg","Скачать индивидуальный QR-код магазина")</f>
        <v>Скачать индивидуальный QR-код магазина</v>
      </c>
    </row>
    <row r="15328" spans="1:7" x14ac:dyDescent="0.25">
      <c r="A15328" t="s">
        <v>46193</v>
      </c>
      <c r="B15328" t="s">
        <v>47010</v>
      </c>
      <c r="C15328" t="s">
        <v>1416</v>
      </c>
      <c r="D15328" t="s">
        <v>1417</v>
      </c>
      <c r="E15328" t="s">
        <v>1418</v>
      </c>
      <c r="F15328" t="s">
        <v>47011</v>
      </c>
      <c r="G15328" s="2" t="str">
        <f>HYPERLINK("https://probpalata.gov.ru/files/ЮЛ770100419400250.jpeg","Скачать индивидуальный QR-код магазина")</f>
        <v>Скачать индивидуальный QR-код магазина</v>
      </c>
    </row>
    <row r="15329" spans="1:7" x14ac:dyDescent="0.25">
      <c r="A15329" t="s">
        <v>46193</v>
      </c>
      <c r="B15329" t="s">
        <v>47012</v>
      </c>
      <c r="C15329" t="s">
        <v>23503</v>
      </c>
      <c r="D15329" t="s">
        <v>23504</v>
      </c>
      <c r="E15329" t="s">
        <v>23505</v>
      </c>
      <c r="F15329" t="s">
        <v>47013</v>
      </c>
      <c r="G15329" s="2" t="str">
        <f>HYPERLINK("https://probpalata.gov.ru/files/ЮЛ770100219100005.jpeg","Скачать индивидуальный QR-код магазина")</f>
        <v>Скачать индивидуальный QR-код магазина</v>
      </c>
    </row>
    <row r="15330" spans="1:7" x14ac:dyDescent="0.25">
      <c r="A15330" t="s">
        <v>46193</v>
      </c>
      <c r="B15330" t="s">
        <v>47014</v>
      </c>
      <c r="C15330" t="s">
        <v>23503</v>
      </c>
      <c r="D15330" t="s">
        <v>23504</v>
      </c>
      <c r="E15330" t="s">
        <v>23505</v>
      </c>
      <c r="F15330" t="s">
        <v>47015</v>
      </c>
      <c r="G15330" s="2" t="str">
        <f>HYPERLINK("https://probpalata.gov.ru/files/ЮЛ770100219100009.jpeg","Скачать индивидуальный QR-код магазина")</f>
        <v>Скачать индивидуальный QR-код магазина</v>
      </c>
    </row>
    <row r="15331" spans="1:7" x14ac:dyDescent="0.25">
      <c r="A15331" t="s">
        <v>46193</v>
      </c>
      <c r="B15331" t="s">
        <v>47004</v>
      </c>
      <c r="C15331" t="s">
        <v>23503</v>
      </c>
      <c r="D15331" t="s">
        <v>23504</v>
      </c>
      <c r="E15331" t="s">
        <v>23505</v>
      </c>
      <c r="F15331" t="s">
        <v>47016</v>
      </c>
      <c r="G15331" s="2" t="str">
        <f>HYPERLINK("https://probpalata.gov.ru/files/ЮЛ770100219100010.jpeg","Скачать индивидуальный QR-код магазина")</f>
        <v>Скачать индивидуальный QR-код магазина</v>
      </c>
    </row>
    <row r="15332" spans="1:7" x14ac:dyDescent="0.25">
      <c r="A15332" t="s">
        <v>46193</v>
      </c>
      <c r="B15332" t="s">
        <v>47017</v>
      </c>
      <c r="C15332" t="s">
        <v>23503</v>
      </c>
      <c r="D15332" t="s">
        <v>23504</v>
      </c>
      <c r="E15332" t="s">
        <v>23505</v>
      </c>
      <c r="F15332" t="s">
        <v>47018</v>
      </c>
      <c r="G15332" s="2" t="str">
        <f>HYPERLINK("https://probpalata.gov.ru/files/ЮЛ770100219100012.jpeg","Скачать индивидуальный QR-код магазина")</f>
        <v>Скачать индивидуальный QR-код магазина</v>
      </c>
    </row>
    <row r="15333" spans="1:7" x14ac:dyDescent="0.25">
      <c r="A15333" t="s">
        <v>46193</v>
      </c>
      <c r="B15333" t="s">
        <v>47019</v>
      </c>
      <c r="C15333" t="s">
        <v>47020</v>
      </c>
      <c r="D15333" t="s">
        <v>47021</v>
      </c>
      <c r="E15333" t="s">
        <v>47022</v>
      </c>
      <c r="F15333" t="s">
        <v>47023</v>
      </c>
      <c r="G15333" s="2" t="str">
        <f>HYPERLINK("https://probpalata.gov.ru/files/ИП770101284300000.jpeg","Скачать индивидуальный QR-код магазина")</f>
        <v>Скачать индивидуальный QR-код магазина</v>
      </c>
    </row>
    <row r="15334" spans="1:7" x14ac:dyDescent="0.25">
      <c r="A15334" t="s">
        <v>46193</v>
      </c>
      <c r="B15334" t="s">
        <v>47024</v>
      </c>
      <c r="C15334" t="s">
        <v>748</v>
      </c>
      <c r="D15334" t="s">
        <v>749</v>
      </c>
      <c r="E15334" t="s">
        <v>750</v>
      </c>
      <c r="F15334" t="s">
        <v>47025</v>
      </c>
      <c r="G15334" s="2" t="str">
        <f>HYPERLINK("https://probpalata.gov.ru/files/ЮЛ770100193500143.jpeg","Скачать индивидуальный QR-код магазина")</f>
        <v>Скачать индивидуальный QR-код магазина</v>
      </c>
    </row>
    <row r="15335" spans="1:7" x14ac:dyDescent="0.25">
      <c r="A15335" t="s">
        <v>46193</v>
      </c>
      <c r="B15335" t="s">
        <v>47026</v>
      </c>
      <c r="C15335" t="s">
        <v>748</v>
      </c>
      <c r="D15335" t="s">
        <v>749</v>
      </c>
      <c r="E15335" t="s">
        <v>750</v>
      </c>
      <c r="F15335" t="s">
        <v>47027</v>
      </c>
      <c r="G15335" s="2" t="str">
        <f>HYPERLINK("https://probpalata.gov.ru/files/ЮЛ770100193500145.jpeg","Скачать индивидуальный QR-код магазина")</f>
        <v>Скачать индивидуальный QR-код магазина</v>
      </c>
    </row>
    <row r="15336" spans="1:7" x14ac:dyDescent="0.25">
      <c r="A15336" t="s">
        <v>46193</v>
      </c>
      <c r="B15336" t="s">
        <v>47028</v>
      </c>
      <c r="C15336" t="s">
        <v>748</v>
      </c>
      <c r="D15336" t="s">
        <v>749</v>
      </c>
      <c r="E15336" t="s">
        <v>750</v>
      </c>
      <c r="F15336" t="s">
        <v>47029</v>
      </c>
      <c r="G15336" s="2" t="str">
        <f>HYPERLINK("https://probpalata.gov.ru/files/ЮЛ770100193500148.jpeg","Скачать индивидуальный QR-код магазина")</f>
        <v>Скачать индивидуальный QR-код магазина</v>
      </c>
    </row>
    <row r="15337" spans="1:7" x14ac:dyDescent="0.25">
      <c r="A15337" t="s">
        <v>46193</v>
      </c>
      <c r="B15337" t="s">
        <v>47030</v>
      </c>
      <c r="C15337" t="s">
        <v>748</v>
      </c>
      <c r="D15337" t="s">
        <v>749</v>
      </c>
      <c r="E15337" t="s">
        <v>750</v>
      </c>
      <c r="F15337" t="s">
        <v>47031</v>
      </c>
      <c r="G15337" s="2" t="str">
        <f>HYPERLINK("https://probpalata.gov.ru/files/ЮЛ770100193500150.jpeg","Скачать индивидуальный QR-код магазина")</f>
        <v>Скачать индивидуальный QR-код магазина</v>
      </c>
    </row>
    <row r="15338" spans="1:7" x14ac:dyDescent="0.25">
      <c r="A15338" t="s">
        <v>46193</v>
      </c>
      <c r="B15338" t="s">
        <v>47032</v>
      </c>
      <c r="C15338" t="s">
        <v>748</v>
      </c>
      <c r="D15338" t="s">
        <v>749</v>
      </c>
      <c r="E15338" t="s">
        <v>750</v>
      </c>
      <c r="F15338" t="s">
        <v>47033</v>
      </c>
      <c r="G15338" s="2" t="str">
        <f>HYPERLINK("https://probpalata.gov.ru/files/ЮЛ770100193500151.jpeg","Скачать индивидуальный QR-код магазина")</f>
        <v>Скачать индивидуальный QR-код магазина</v>
      </c>
    </row>
    <row r="15339" spans="1:7" x14ac:dyDescent="0.25">
      <c r="A15339" t="s">
        <v>46193</v>
      </c>
      <c r="B15339" t="s">
        <v>47034</v>
      </c>
      <c r="C15339" t="s">
        <v>748</v>
      </c>
      <c r="D15339" t="s">
        <v>749</v>
      </c>
      <c r="E15339" t="s">
        <v>750</v>
      </c>
      <c r="F15339" t="s">
        <v>47035</v>
      </c>
      <c r="G15339" s="2" t="str">
        <f>HYPERLINK("https://probpalata.gov.ru/files/ЮЛ770100193500154.jpeg","Скачать индивидуальный QR-код магазина")</f>
        <v>Скачать индивидуальный QR-код магазина</v>
      </c>
    </row>
    <row r="15340" spans="1:7" x14ac:dyDescent="0.25">
      <c r="A15340" t="s">
        <v>46193</v>
      </c>
      <c r="B15340" t="s">
        <v>47036</v>
      </c>
      <c r="C15340" t="s">
        <v>748</v>
      </c>
      <c r="D15340" t="s">
        <v>749</v>
      </c>
      <c r="E15340" t="s">
        <v>750</v>
      </c>
      <c r="F15340" t="s">
        <v>47037</v>
      </c>
      <c r="G15340" s="2" t="str">
        <f>HYPERLINK("https://probpalata.gov.ru/files/ЮЛ770100193500155.jpeg","Скачать индивидуальный QR-код магазина")</f>
        <v>Скачать индивидуальный QR-код магазина</v>
      </c>
    </row>
    <row r="15341" spans="1:7" x14ac:dyDescent="0.25">
      <c r="A15341" t="s">
        <v>46193</v>
      </c>
      <c r="B15341" t="s">
        <v>47038</v>
      </c>
      <c r="C15341" t="s">
        <v>748</v>
      </c>
      <c r="D15341" t="s">
        <v>749</v>
      </c>
      <c r="E15341" t="s">
        <v>750</v>
      </c>
      <c r="F15341" t="s">
        <v>47039</v>
      </c>
      <c r="G15341" s="2" t="str">
        <f>HYPERLINK("https://probpalata.gov.ru/files/ЮЛ770100193500156.jpeg","Скачать индивидуальный QR-код магазина")</f>
        <v>Скачать индивидуальный QR-код магазина</v>
      </c>
    </row>
    <row r="15342" spans="1:7" x14ac:dyDescent="0.25">
      <c r="A15342" t="s">
        <v>46193</v>
      </c>
      <c r="B15342" t="s">
        <v>47040</v>
      </c>
      <c r="C15342" t="s">
        <v>748</v>
      </c>
      <c r="D15342" t="s">
        <v>749</v>
      </c>
      <c r="E15342" t="s">
        <v>750</v>
      </c>
      <c r="F15342" t="s">
        <v>47041</v>
      </c>
      <c r="G15342" s="2" t="str">
        <f>HYPERLINK("https://probpalata.gov.ru/files/ЮЛ770100193500158.jpeg","Скачать индивидуальный QR-код магазина")</f>
        <v>Скачать индивидуальный QR-код магазина</v>
      </c>
    </row>
    <row r="15343" spans="1:7" x14ac:dyDescent="0.25">
      <c r="A15343" t="s">
        <v>46193</v>
      </c>
      <c r="B15343" t="s">
        <v>47042</v>
      </c>
      <c r="C15343" t="s">
        <v>748</v>
      </c>
      <c r="D15343" t="s">
        <v>749</v>
      </c>
      <c r="E15343" t="s">
        <v>750</v>
      </c>
      <c r="F15343" t="s">
        <v>47043</v>
      </c>
      <c r="G15343" s="2" t="str">
        <f>HYPERLINK("https://probpalata.gov.ru/files/ЮЛ770100193500159.jpeg","Скачать индивидуальный QR-код магазина")</f>
        <v>Скачать индивидуальный QR-код магазина</v>
      </c>
    </row>
    <row r="15344" spans="1:7" x14ac:dyDescent="0.25">
      <c r="A15344" t="s">
        <v>46193</v>
      </c>
      <c r="B15344" t="s">
        <v>47044</v>
      </c>
      <c r="C15344" t="s">
        <v>748</v>
      </c>
      <c r="D15344" t="s">
        <v>749</v>
      </c>
      <c r="E15344" t="s">
        <v>750</v>
      </c>
      <c r="F15344" t="s">
        <v>47045</v>
      </c>
      <c r="G15344" s="2" t="str">
        <f>HYPERLINK("https://probpalata.gov.ru/files/ЮЛ770100193500379.jpeg","Скачать индивидуальный QR-код магазина")</f>
        <v>Скачать индивидуальный QR-код магазина</v>
      </c>
    </row>
    <row r="15345" spans="1:7" x14ac:dyDescent="0.25">
      <c r="A15345" t="s">
        <v>46193</v>
      </c>
      <c r="B15345" t="s">
        <v>47046</v>
      </c>
      <c r="C15345" t="s">
        <v>748</v>
      </c>
      <c r="D15345" t="s">
        <v>749</v>
      </c>
      <c r="E15345" t="s">
        <v>750</v>
      </c>
      <c r="F15345" t="s">
        <v>47047</v>
      </c>
      <c r="G15345" s="2" t="str">
        <f>HYPERLINK("https://probpalata.gov.ru/files/ЮЛ770100193500380.jpeg","Скачать индивидуальный QR-код магазина")</f>
        <v>Скачать индивидуальный QR-код магазина</v>
      </c>
    </row>
    <row r="15346" spans="1:7" x14ac:dyDescent="0.25">
      <c r="A15346" t="s">
        <v>46193</v>
      </c>
      <c r="B15346" t="s">
        <v>47048</v>
      </c>
      <c r="C15346" t="s">
        <v>748</v>
      </c>
      <c r="D15346" t="s">
        <v>749</v>
      </c>
      <c r="E15346" t="s">
        <v>750</v>
      </c>
      <c r="F15346" t="s">
        <v>47049</v>
      </c>
      <c r="G15346" s="2" t="str">
        <f>HYPERLINK("https://probpalata.gov.ru/files/ЮЛ770100193500381.jpeg","Скачать индивидуальный QR-код магазина")</f>
        <v>Скачать индивидуальный QR-код магазина</v>
      </c>
    </row>
    <row r="15347" spans="1:7" x14ac:dyDescent="0.25">
      <c r="A15347" t="s">
        <v>46193</v>
      </c>
      <c r="B15347" t="s">
        <v>47050</v>
      </c>
      <c r="C15347" t="s">
        <v>748</v>
      </c>
      <c r="D15347" t="s">
        <v>749</v>
      </c>
      <c r="E15347" t="s">
        <v>750</v>
      </c>
      <c r="F15347" t="s">
        <v>47051</v>
      </c>
      <c r="G15347" s="2" t="str">
        <f>HYPERLINK("https://probpalata.gov.ru/files/ЮЛ770100193500382.jpeg","Скачать индивидуальный QR-код магазина")</f>
        <v>Скачать индивидуальный QR-код магазина</v>
      </c>
    </row>
    <row r="15348" spans="1:7" x14ac:dyDescent="0.25">
      <c r="A15348" t="s">
        <v>46193</v>
      </c>
      <c r="B15348" t="s">
        <v>47052</v>
      </c>
      <c r="C15348" t="s">
        <v>748</v>
      </c>
      <c r="D15348" t="s">
        <v>749</v>
      </c>
      <c r="E15348" t="s">
        <v>750</v>
      </c>
      <c r="F15348" t="s">
        <v>47053</v>
      </c>
      <c r="G15348" s="2" t="str">
        <f>HYPERLINK("https://probpalata.gov.ru/files/ЮЛ770100193500383.jpeg","Скачать индивидуальный QR-код магазина")</f>
        <v>Скачать индивидуальный QR-код магазина</v>
      </c>
    </row>
    <row r="15349" spans="1:7" x14ac:dyDescent="0.25">
      <c r="A15349" t="s">
        <v>46193</v>
      </c>
      <c r="B15349" t="s">
        <v>47054</v>
      </c>
      <c r="C15349" t="s">
        <v>748</v>
      </c>
      <c r="D15349" t="s">
        <v>749</v>
      </c>
      <c r="E15349" t="s">
        <v>750</v>
      </c>
      <c r="F15349" t="s">
        <v>47055</v>
      </c>
      <c r="G15349" s="2" t="str">
        <f>HYPERLINK("https://probpalata.gov.ru/files/ЮЛ770100193500384.jpeg","Скачать индивидуальный QR-код магазина")</f>
        <v>Скачать индивидуальный QR-код магазина</v>
      </c>
    </row>
    <row r="15350" spans="1:7" x14ac:dyDescent="0.25">
      <c r="A15350" t="s">
        <v>46193</v>
      </c>
      <c r="B15350" t="s">
        <v>47056</v>
      </c>
      <c r="C15350" t="s">
        <v>748</v>
      </c>
      <c r="D15350" t="s">
        <v>749</v>
      </c>
      <c r="E15350" t="s">
        <v>750</v>
      </c>
      <c r="F15350" t="s">
        <v>47057</v>
      </c>
      <c r="G15350" s="2" t="str">
        <f>HYPERLINK("https://probpalata.gov.ru/files/ЮЛ770100193500385.jpeg","Скачать индивидуальный QR-код магазина")</f>
        <v>Скачать индивидуальный QR-код магазина</v>
      </c>
    </row>
    <row r="15351" spans="1:7" x14ac:dyDescent="0.25">
      <c r="A15351" t="s">
        <v>46193</v>
      </c>
      <c r="B15351" t="s">
        <v>47058</v>
      </c>
      <c r="C15351" t="s">
        <v>748</v>
      </c>
      <c r="D15351" t="s">
        <v>749</v>
      </c>
      <c r="E15351" t="s">
        <v>750</v>
      </c>
      <c r="F15351" t="s">
        <v>47059</v>
      </c>
      <c r="G15351" s="2" t="str">
        <f>HYPERLINK("https://probpalata.gov.ru/files/ЮЛ770100193500386.jpeg","Скачать индивидуальный QR-код магазина")</f>
        <v>Скачать индивидуальный QR-код магазина</v>
      </c>
    </row>
    <row r="15352" spans="1:7" x14ac:dyDescent="0.25">
      <c r="A15352" t="s">
        <v>46193</v>
      </c>
      <c r="B15352" t="s">
        <v>47060</v>
      </c>
      <c r="C15352" t="s">
        <v>748</v>
      </c>
      <c r="D15352" t="s">
        <v>749</v>
      </c>
      <c r="E15352" t="s">
        <v>750</v>
      </c>
      <c r="F15352" t="s">
        <v>47061</v>
      </c>
      <c r="G15352" s="2" t="str">
        <f>HYPERLINK("https://probpalata.gov.ru/files/ЮЛ770100193500387.jpeg","Скачать индивидуальный QR-код магазина")</f>
        <v>Скачать индивидуальный QR-код магазина</v>
      </c>
    </row>
    <row r="15353" spans="1:7" x14ac:dyDescent="0.25">
      <c r="A15353" t="s">
        <v>46193</v>
      </c>
      <c r="B15353" t="s">
        <v>47062</v>
      </c>
      <c r="C15353" t="s">
        <v>748</v>
      </c>
      <c r="D15353" t="s">
        <v>749</v>
      </c>
      <c r="E15353" t="s">
        <v>750</v>
      </c>
      <c r="F15353" t="s">
        <v>47063</v>
      </c>
      <c r="G15353" s="2" t="str">
        <f>HYPERLINK("https://probpalata.gov.ru/files/ЮЛ770100193500411.jpeg","Скачать индивидуальный QR-код магазина")</f>
        <v>Скачать индивидуальный QR-код магазина</v>
      </c>
    </row>
    <row r="15354" spans="1:7" x14ac:dyDescent="0.25">
      <c r="A15354" t="s">
        <v>46193</v>
      </c>
      <c r="B15354" t="s">
        <v>47064</v>
      </c>
      <c r="C15354" t="s">
        <v>748</v>
      </c>
      <c r="D15354" t="s">
        <v>749</v>
      </c>
      <c r="E15354" t="s">
        <v>750</v>
      </c>
      <c r="F15354" t="s">
        <v>47065</v>
      </c>
      <c r="G15354" s="2" t="str">
        <f>HYPERLINK("https://probpalata.gov.ru/files/ЮЛ770100193500412.jpeg","Скачать индивидуальный QR-код магазина")</f>
        <v>Скачать индивидуальный QR-код магазина</v>
      </c>
    </row>
    <row r="15355" spans="1:7" x14ac:dyDescent="0.25">
      <c r="A15355" t="s">
        <v>46193</v>
      </c>
      <c r="B15355" t="s">
        <v>47066</v>
      </c>
      <c r="C15355" t="s">
        <v>748</v>
      </c>
      <c r="D15355" t="s">
        <v>749</v>
      </c>
      <c r="E15355" t="s">
        <v>750</v>
      </c>
      <c r="F15355" t="s">
        <v>47067</v>
      </c>
      <c r="G15355" s="2" t="str">
        <f>HYPERLINK("https://probpalata.gov.ru/files/ЮЛ770100193500413.jpeg","Скачать индивидуальный QR-код магазина")</f>
        <v>Скачать индивидуальный QR-код магазина</v>
      </c>
    </row>
    <row r="15356" spans="1:7" x14ac:dyDescent="0.25">
      <c r="A15356" t="s">
        <v>46193</v>
      </c>
      <c r="B15356" t="s">
        <v>47068</v>
      </c>
      <c r="C15356" t="s">
        <v>748</v>
      </c>
      <c r="D15356" t="s">
        <v>749</v>
      </c>
      <c r="E15356" t="s">
        <v>750</v>
      </c>
      <c r="F15356" t="s">
        <v>47069</v>
      </c>
      <c r="G15356" s="2" t="str">
        <f>HYPERLINK("https://probpalata.gov.ru/files/ЮЛ770100193500414.jpeg","Скачать индивидуальный QR-код магазина")</f>
        <v>Скачать индивидуальный QR-код магазина</v>
      </c>
    </row>
    <row r="15357" spans="1:7" x14ac:dyDescent="0.25">
      <c r="A15357" t="s">
        <v>46193</v>
      </c>
      <c r="B15357" t="s">
        <v>47070</v>
      </c>
      <c r="C15357" t="s">
        <v>748</v>
      </c>
      <c r="D15357" t="s">
        <v>749</v>
      </c>
      <c r="E15357" t="s">
        <v>750</v>
      </c>
      <c r="F15357" t="s">
        <v>47071</v>
      </c>
      <c r="G15357" s="2" t="str">
        <f>HYPERLINK("https://probpalata.gov.ru/files/ЮЛ770100193500415.jpeg","Скачать индивидуальный QR-код магазина")</f>
        <v>Скачать индивидуальный QR-код магазина</v>
      </c>
    </row>
    <row r="15358" spans="1:7" x14ac:dyDescent="0.25">
      <c r="A15358" t="s">
        <v>46193</v>
      </c>
      <c r="B15358" t="s">
        <v>47072</v>
      </c>
      <c r="C15358" t="s">
        <v>748</v>
      </c>
      <c r="D15358" t="s">
        <v>749</v>
      </c>
      <c r="E15358" t="s">
        <v>750</v>
      </c>
      <c r="F15358" t="s">
        <v>47073</v>
      </c>
      <c r="G15358" s="2" t="str">
        <f>HYPERLINK("https://probpalata.gov.ru/files/ЮЛ770100193500486.jpeg","Скачать индивидуальный QR-код магазина")</f>
        <v>Скачать индивидуальный QR-код магазина</v>
      </c>
    </row>
    <row r="15359" spans="1:7" x14ac:dyDescent="0.25">
      <c r="A15359" t="s">
        <v>46193</v>
      </c>
      <c r="B15359" t="s">
        <v>47074</v>
      </c>
      <c r="C15359" t="s">
        <v>748</v>
      </c>
      <c r="D15359" t="s">
        <v>749</v>
      </c>
      <c r="E15359" t="s">
        <v>750</v>
      </c>
      <c r="F15359" t="s">
        <v>47075</v>
      </c>
      <c r="G15359" s="2" t="str">
        <f>HYPERLINK("https://probpalata.gov.ru/files/ЮЛ770100193500555.jpeg","Скачать индивидуальный QR-код магазина")</f>
        <v>Скачать индивидуальный QR-код магазина</v>
      </c>
    </row>
    <row r="15360" spans="1:7" x14ac:dyDescent="0.25">
      <c r="A15360" t="s">
        <v>46193</v>
      </c>
      <c r="B15360" t="s">
        <v>47076</v>
      </c>
      <c r="C15360" t="s">
        <v>748</v>
      </c>
      <c r="D15360" t="s">
        <v>749</v>
      </c>
      <c r="E15360" t="s">
        <v>750</v>
      </c>
      <c r="F15360" t="s">
        <v>47077</v>
      </c>
      <c r="G15360" s="2" t="str">
        <f>HYPERLINK("https://probpalata.gov.ru/files/ЮЛ770100193500560.jpeg","Скачать индивидуальный QR-код магазина")</f>
        <v>Скачать индивидуальный QR-код магазина</v>
      </c>
    </row>
    <row r="15361" spans="1:7" x14ac:dyDescent="0.25">
      <c r="A15361" t="s">
        <v>46193</v>
      </c>
      <c r="B15361" t="s">
        <v>47078</v>
      </c>
      <c r="C15361" t="s">
        <v>748</v>
      </c>
      <c r="D15361" t="s">
        <v>749</v>
      </c>
      <c r="E15361" t="s">
        <v>750</v>
      </c>
      <c r="F15361" t="s">
        <v>47079</v>
      </c>
      <c r="G15361" s="2" t="str">
        <f>HYPERLINK("https://probpalata.gov.ru/files/ЮЛ770100193500575.jpeg","Скачать индивидуальный QR-код магазина")</f>
        <v>Скачать индивидуальный QR-код магазина</v>
      </c>
    </row>
    <row r="15362" spans="1:7" x14ac:dyDescent="0.25">
      <c r="A15362" t="s">
        <v>46193</v>
      </c>
      <c r="B15362" t="s">
        <v>47080</v>
      </c>
      <c r="C15362" t="s">
        <v>748</v>
      </c>
      <c r="D15362" t="s">
        <v>749</v>
      </c>
      <c r="E15362" t="s">
        <v>750</v>
      </c>
      <c r="F15362" t="s">
        <v>47081</v>
      </c>
      <c r="G15362" s="2" t="str">
        <f>HYPERLINK("https://probpalata.gov.ru/files/ЮЛ770100193500590.jpeg","Скачать индивидуальный QR-код магазина")</f>
        <v>Скачать индивидуальный QR-код магазина</v>
      </c>
    </row>
    <row r="15363" spans="1:7" x14ac:dyDescent="0.25">
      <c r="A15363" t="s">
        <v>46193</v>
      </c>
      <c r="B15363" t="s">
        <v>47082</v>
      </c>
      <c r="C15363" t="s">
        <v>748</v>
      </c>
      <c r="D15363" t="s">
        <v>749</v>
      </c>
      <c r="E15363" t="s">
        <v>750</v>
      </c>
      <c r="F15363" t="s">
        <v>47083</v>
      </c>
      <c r="G15363" s="2" t="str">
        <f>HYPERLINK("https://probpalata.gov.ru/files/ЮЛ770100193500605.jpeg","Скачать индивидуальный QR-код магазина")</f>
        <v>Скачать индивидуальный QR-код магазина</v>
      </c>
    </row>
    <row r="15364" spans="1:7" x14ac:dyDescent="0.25">
      <c r="A15364" t="s">
        <v>46193</v>
      </c>
      <c r="B15364" t="s">
        <v>47084</v>
      </c>
      <c r="C15364" t="s">
        <v>748</v>
      </c>
      <c r="D15364" t="s">
        <v>749</v>
      </c>
      <c r="E15364" t="s">
        <v>750</v>
      </c>
      <c r="F15364" t="s">
        <v>47085</v>
      </c>
      <c r="G15364" s="2" t="str">
        <f>HYPERLINK("https://probpalata.gov.ru/files/ЮЛ770100193500620.jpeg","Скачать индивидуальный QR-код магазина")</f>
        <v>Скачать индивидуальный QR-код магазина</v>
      </c>
    </row>
    <row r="15365" spans="1:7" x14ac:dyDescent="0.25">
      <c r="A15365" t="s">
        <v>46193</v>
      </c>
      <c r="B15365" t="s">
        <v>47086</v>
      </c>
      <c r="C15365" t="s">
        <v>748</v>
      </c>
      <c r="D15365" t="s">
        <v>749</v>
      </c>
      <c r="E15365" t="s">
        <v>750</v>
      </c>
      <c r="F15365" t="s">
        <v>47087</v>
      </c>
      <c r="G15365" s="2" t="str">
        <f>HYPERLINK("https://probpalata.gov.ru/files/ЮЛ770100193500658.jpeg","Скачать индивидуальный QR-код магазина")</f>
        <v>Скачать индивидуальный QR-код магазина</v>
      </c>
    </row>
    <row r="15366" spans="1:7" x14ac:dyDescent="0.25">
      <c r="A15366" t="s">
        <v>46193</v>
      </c>
      <c r="B15366" t="s">
        <v>47088</v>
      </c>
      <c r="C15366" t="s">
        <v>748</v>
      </c>
      <c r="D15366" t="s">
        <v>749</v>
      </c>
      <c r="E15366" t="s">
        <v>750</v>
      </c>
      <c r="F15366" t="s">
        <v>47089</v>
      </c>
      <c r="G15366" s="2" t="str">
        <f>HYPERLINK("https://probpalata.gov.ru/files/ЮЛ770100193500727.jpeg","Скачать индивидуальный QR-код магазина")</f>
        <v>Скачать индивидуальный QR-код магазина</v>
      </c>
    </row>
    <row r="15367" spans="1:7" x14ac:dyDescent="0.25">
      <c r="A15367" t="s">
        <v>46193</v>
      </c>
      <c r="B15367" t="s">
        <v>47090</v>
      </c>
      <c r="C15367" t="s">
        <v>748</v>
      </c>
      <c r="D15367" t="s">
        <v>749</v>
      </c>
      <c r="E15367" t="s">
        <v>750</v>
      </c>
      <c r="F15367" t="s">
        <v>47091</v>
      </c>
      <c r="G15367" s="2" t="str">
        <f>HYPERLINK("https://probpalata.gov.ru/files/ЮЛ770100193500748.jpeg","Скачать индивидуальный QR-код магазина")</f>
        <v>Скачать индивидуальный QR-код магазина</v>
      </c>
    </row>
    <row r="15368" spans="1:7" x14ac:dyDescent="0.25">
      <c r="A15368" t="s">
        <v>46193</v>
      </c>
      <c r="B15368" t="s">
        <v>47092</v>
      </c>
      <c r="C15368" t="s">
        <v>748</v>
      </c>
      <c r="D15368" t="s">
        <v>749</v>
      </c>
      <c r="E15368" t="s">
        <v>750</v>
      </c>
      <c r="F15368" t="s">
        <v>47093</v>
      </c>
      <c r="G15368" s="2" t="str">
        <f>HYPERLINK("https://probpalata.gov.ru/files/ЮЛ770100193500762.jpeg","Скачать индивидуальный QR-код магазина")</f>
        <v>Скачать индивидуальный QR-код магазина</v>
      </c>
    </row>
    <row r="15369" spans="1:7" x14ac:dyDescent="0.25">
      <c r="A15369" t="s">
        <v>46193</v>
      </c>
      <c r="B15369" t="s">
        <v>47094</v>
      </c>
      <c r="C15369" t="s">
        <v>748</v>
      </c>
      <c r="D15369" t="s">
        <v>749</v>
      </c>
      <c r="E15369" t="s">
        <v>750</v>
      </c>
      <c r="F15369" t="s">
        <v>47095</v>
      </c>
      <c r="G15369" s="2" t="str">
        <f>HYPERLINK("https://probpalata.gov.ru/files/ЮЛ770100193500806.jpeg","Скачать индивидуальный QR-код магазина")</f>
        <v>Скачать индивидуальный QR-код магазина</v>
      </c>
    </row>
    <row r="15370" spans="1:7" x14ac:dyDescent="0.25">
      <c r="A15370" t="s">
        <v>46193</v>
      </c>
      <c r="B15370" t="s">
        <v>47096</v>
      </c>
      <c r="C15370" t="s">
        <v>748</v>
      </c>
      <c r="D15370" t="s">
        <v>749</v>
      </c>
      <c r="E15370" t="s">
        <v>750</v>
      </c>
      <c r="F15370" t="s">
        <v>47097</v>
      </c>
      <c r="G15370" s="2" t="str">
        <f>HYPERLINK("https://probpalata.gov.ru/files/ЮЛ770100193500946.jpeg","Скачать индивидуальный QR-код магазина")</f>
        <v>Скачать индивидуальный QR-код магазина</v>
      </c>
    </row>
    <row r="15371" spans="1:7" x14ac:dyDescent="0.25">
      <c r="A15371" t="s">
        <v>46193</v>
      </c>
      <c r="B15371" t="s">
        <v>47098</v>
      </c>
      <c r="C15371" t="s">
        <v>748</v>
      </c>
      <c r="D15371" t="s">
        <v>749</v>
      </c>
      <c r="E15371" t="s">
        <v>750</v>
      </c>
      <c r="F15371" t="s">
        <v>47099</v>
      </c>
      <c r="G15371" s="2" t="str">
        <f>HYPERLINK("https://probpalata.gov.ru/files/ЮЛ770100193500995.jpeg","Скачать индивидуальный QR-код магазина")</f>
        <v>Скачать индивидуальный QR-код магазина</v>
      </c>
    </row>
    <row r="15372" spans="1:7" x14ac:dyDescent="0.25">
      <c r="A15372" t="s">
        <v>46193</v>
      </c>
      <c r="B15372" t="s">
        <v>47100</v>
      </c>
      <c r="C15372" t="s">
        <v>748</v>
      </c>
      <c r="D15372" t="s">
        <v>749</v>
      </c>
      <c r="E15372" t="s">
        <v>750</v>
      </c>
      <c r="F15372" t="s">
        <v>47101</v>
      </c>
      <c r="G15372" s="2" t="str">
        <f>HYPERLINK("https://probpalata.gov.ru/files/ЮЛ770100193501026.jpeg","Скачать индивидуальный QR-код магазина")</f>
        <v>Скачать индивидуальный QR-код магазина</v>
      </c>
    </row>
    <row r="15373" spans="1:7" x14ac:dyDescent="0.25">
      <c r="A15373" t="s">
        <v>46193</v>
      </c>
      <c r="B15373" t="s">
        <v>47102</v>
      </c>
      <c r="C15373" t="s">
        <v>748</v>
      </c>
      <c r="D15373" t="s">
        <v>749</v>
      </c>
      <c r="E15373" t="s">
        <v>750</v>
      </c>
      <c r="F15373" t="s">
        <v>47103</v>
      </c>
      <c r="G15373" s="2" t="str">
        <f>HYPERLINK("https://probpalata.gov.ru/files/ЮЛ770100193501033.jpeg","Скачать индивидуальный QR-код магазина")</f>
        <v>Скачать индивидуальный QR-код магазина</v>
      </c>
    </row>
    <row r="15374" spans="1:7" x14ac:dyDescent="0.25">
      <c r="A15374" t="s">
        <v>46193</v>
      </c>
      <c r="B15374" t="s">
        <v>47104</v>
      </c>
      <c r="C15374" t="s">
        <v>748</v>
      </c>
      <c r="D15374" t="s">
        <v>749</v>
      </c>
      <c r="E15374" t="s">
        <v>750</v>
      </c>
      <c r="F15374" t="s">
        <v>47105</v>
      </c>
      <c r="G15374" s="2" t="str">
        <f>HYPERLINK("https://probpalata.gov.ru/files/ЮЛ770100193501038.jpeg","Скачать индивидуальный QR-код магазина")</f>
        <v>Скачать индивидуальный QR-код магазина</v>
      </c>
    </row>
    <row r="15375" spans="1:7" x14ac:dyDescent="0.25">
      <c r="A15375" t="s">
        <v>46193</v>
      </c>
      <c r="B15375" t="s">
        <v>47106</v>
      </c>
      <c r="C15375" t="s">
        <v>748</v>
      </c>
      <c r="D15375" t="s">
        <v>749</v>
      </c>
      <c r="E15375" t="s">
        <v>750</v>
      </c>
      <c r="F15375" t="s">
        <v>47107</v>
      </c>
      <c r="G15375" s="2" t="str">
        <f>HYPERLINK("https://probpalata.gov.ru/files/ЮЛ770100193501039.jpeg","Скачать индивидуальный QR-код магазина")</f>
        <v>Скачать индивидуальный QR-код магазина</v>
      </c>
    </row>
    <row r="15376" spans="1:7" x14ac:dyDescent="0.25">
      <c r="A15376" t="s">
        <v>46193</v>
      </c>
      <c r="B15376" t="s">
        <v>47108</v>
      </c>
      <c r="C15376" t="s">
        <v>748</v>
      </c>
      <c r="D15376" t="s">
        <v>749</v>
      </c>
      <c r="E15376" t="s">
        <v>750</v>
      </c>
      <c r="F15376" t="s">
        <v>47109</v>
      </c>
      <c r="G15376" s="2" t="str">
        <f>HYPERLINK("https://probpalata.gov.ru/files/ЮЛ770100193501070.jpeg","Скачать индивидуальный QR-код магазина")</f>
        <v>Скачать индивидуальный QR-код магазина</v>
      </c>
    </row>
    <row r="15377" spans="1:7" x14ac:dyDescent="0.25">
      <c r="A15377" t="s">
        <v>46193</v>
      </c>
      <c r="B15377" t="s">
        <v>47110</v>
      </c>
      <c r="C15377" t="s">
        <v>748</v>
      </c>
      <c r="D15377" t="s">
        <v>749</v>
      </c>
      <c r="E15377" t="s">
        <v>750</v>
      </c>
      <c r="F15377" t="s">
        <v>47111</v>
      </c>
      <c r="G15377" s="2" t="str">
        <f>HYPERLINK("https://probpalata.gov.ru/files/ЮЛ770100193501126.jpeg","Скачать индивидуальный QR-код магазина")</f>
        <v>Скачать индивидуальный QR-код магазина</v>
      </c>
    </row>
    <row r="15378" spans="1:7" x14ac:dyDescent="0.25">
      <c r="A15378" t="s">
        <v>46193</v>
      </c>
      <c r="B15378" t="s">
        <v>47112</v>
      </c>
      <c r="C15378" t="s">
        <v>748</v>
      </c>
      <c r="D15378" t="s">
        <v>749</v>
      </c>
      <c r="E15378" t="s">
        <v>750</v>
      </c>
      <c r="F15378" t="s">
        <v>47113</v>
      </c>
      <c r="G15378" s="2" t="str">
        <f>HYPERLINK("https://probpalata.gov.ru/files/ЮЛ770100193501147.jpeg","Скачать индивидуальный QR-код магазина")</f>
        <v>Скачать индивидуальный QR-код магазина</v>
      </c>
    </row>
    <row r="15379" spans="1:7" x14ac:dyDescent="0.25">
      <c r="A15379" t="s">
        <v>46193</v>
      </c>
      <c r="B15379" t="s">
        <v>47114</v>
      </c>
      <c r="C15379" t="s">
        <v>13061</v>
      </c>
      <c r="D15379" t="s">
        <v>13062</v>
      </c>
      <c r="E15379" t="s">
        <v>13063</v>
      </c>
      <c r="F15379" t="s">
        <v>47115</v>
      </c>
      <c r="G15379" s="2" t="str">
        <f>HYPERLINK("https://probpalata.gov.ru/files/ЮЛ770100273400015.jpeg","Скачать индивидуальный QR-код магазина")</f>
        <v>Скачать индивидуальный QR-код магазина</v>
      </c>
    </row>
    <row r="15380" spans="1:7" x14ac:dyDescent="0.25">
      <c r="A15380" t="s">
        <v>46193</v>
      </c>
      <c r="B15380" t="s">
        <v>47116</v>
      </c>
      <c r="C15380" t="s">
        <v>13061</v>
      </c>
      <c r="D15380" t="s">
        <v>13062</v>
      </c>
      <c r="E15380" t="s">
        <v>13063</v>
      </c>
      <c r="F15380" t="s">
        <v>47117</v>
      </c>
      <c r="G15380" s="2" t="str">
        <f>HYPERLINK("https://probpalata.gov.ru/files/ЮЛ770100273400037.jpeg","Скачать индивидуальный QR-код магазина")</f>
        <v>Скачать индивидуальный QR-код магазина</v>
      </c>
    </row>
    <row r="15381" spans="1:7" x14ac:dyDescent="0.25">
      <c r="A15381" t="s">
        <v>46193</v>
      </c>
      <c r="B15381" t="s">
        <v>47118</v>
      </c>
      <c r="C15381" t="s">
        <v>15265</v>
      </c>
      <c r="D15381" t="s">
        <v>15266</v>
      </c>
      <c r="E15381" t="s">
        <v>15267</v>
      </c>
      <c r="F15381" t="s">
        <v>47119</v>
      </c>
      <c r="G15381" s="2" t="str">
        <f>HYPERLINK("https://probpalata.gov.ru/files/ЮЛ160600373100000.jpeg","Скачать индивидуальный QR-код магазина")</f>
        <v>Скачать индивидуальный QR-код магазина</v>
      </c>
    </row>
    <row r="15382" spans="1:7" x14ac:dyDescent="0.25">
      <c r="A15382" t="s">
        <v>46193</v>
      </c>
      <c r="B15382" t="s">
        <v>47120</v>
      </c>
      <c r="C15382" t="s">
        <v>15265</v>
      </c>
      <c r="D15382" t="s">
        <v>15266</v>
      </c>
      <c r="E15382" t="s">
        <v>15267</v>
      </c>
      <c r="F15382" t="s">
        <v>47121</v>
      </c>
      <c r="G15382" s="2" t="str">
        <f>HYPERLINK("https://probpalata.gov.ru/files/ЮЛ160600373100013.jpeg","Скачать индивидуальный QR-код магазина")</f>
        <v>Скачать индивидуальный QR-код магазина</v>
      </c>
    </row>
    <row r="15383" spans="1:7" x14ac:dyDescent="0.25">
      <c r="A15383" t="s">
        <v>46193</v>
      </c>
      <c r="B15383" t="s">
        <v>47122</v>
      </c>
      <c r="C15383" t="s">
        <v>47123</v>
      </c>
      <c r="D15383" t="s">
        <v>47124</v>
      </c>
      <c r="E15383" t="s">
        <v>47125</v>
      </c>
      <c r="F15383" t="s">
        <v>47126</v>
      </c>
      <c r="G15383" s="2" t="str">
        <f>HYPERLINK("https://probpalata.gov.ru/files/ИП770100082500000.jpeg","Скачать индивидуальный QR-код магазина")</f>
        <v>Скачать индивидуальный QR-код магазина</v>
      </c>
    </row>
    <row r="15384" spans="1:7" x14ac:dyDescent="0.25">
      <c r="A15384" t="s">
        <v>46193</v>
      </c>
      <c r="B15384" t="s">
        <v>47127</v>
      </c>
      <c r="C15384" t="s">
        <v>47123</v>
      </c>
      <c r="D15384" t="s">
        <v>47124</v>
      </c>
      <c r="E15384" t="s">
        <v>47125</v>
      </c>
      <c r="F15384" t="s">
        <v>47128</v>
      </c>
      <c r="G15384" s="2" t="str">
        <f>HYPERLINK("https://probpalata.gov.ru/files/ИП770100082500001.jpeg","Скачать индивидуальный QR-код магазина")</f>
        <v>Скачать индивидуальный QR-код магазина</v>
      </c>
    </row>
    <row r="15385" spans="1:7" x14ac:dyDescent="0.25">
      <c r="A15385" t="s">
        <v>46193</v>
      </c>
      <c r="B15385" t="s">
        <v>47129</v>
      </c>
      <c r="C15385" t="s">
        <v>47130</v>
      </c>
      <c r="D15385" t="s">
        <v>47131</v>
      </c>
      <c r="E15385" t="s">
        <v>47132</v>
      </c>
      <c r="F15385" t="s">
        <v>47133</v>
      </c>
      <c r="G15385" s="2" t="str">
        <f>HYPERLINK("https://probpalata.gov.ru/files/ИП780301413200003.jpeg","Скачать индивидуальный QR-код магазина")</f>
        <v>Скачать индивидуальный QR-код магазина</v>
      </c>
    </row>
    <row r="15386" spans="1:7" x14ac:dyDescent="0.25">
      <c r="A15386" t="s">
        <v>46193</v>
      </c>
      <c r="B15386" t="s">
        <v>47134</v>
      </c>
      <c r="C15386" t="s">
        <v>47135</v>
      </c>
      <c r="D15386" t="s">
        <v>47136</v>
      </c>
      <c r="E15386" t="s">
        <v>47137</v>
      </c>
      <c r="F15386" t="s">
        <v>47138</v>
      </c>
      <c r="G15386" s="2" t="str">
        <f>HYPERLINK("https://probpalata.gov.ru/files/ЮЛ780303074700000.jpeg","Скачать индивидуальный QR-код магазина")</f>
        <v>Скачать индивидуальный QR-код магазина</v>
      </c>
    </row>
    <row r="15387" spans="1:7" x14ac:dyDescent="0.25">
      <c r="A15387" t="s">
        <v>46193</v>
      </c>
      <c r="B15387" t="s">
        <v>47139</v>
      </c>
      <c r="C15387" t="s">
        <v>17872</v>
      </c>
      <c r="D15387" t="s">
        <v>17873</v>
      </c>
      <c r="E15387" t="s">
        <v>17874</v>
      </c>
      <c r="F15387" t="s">
        <v>47140</v>
      </c>
      <c r="G15387" s="2" t="str">
        <f>HYPERLINK("https://probpalata.gov.ru/files/ИП470303001900000.jpeg","Скачать индивидуальный QR-код магазина")</f>
        <v>Скачать индивидуальный QR-код магазина</v>
      </c>
    </row>
    <row r="15388" spans="1:7" x14ac:dyDescent="0.25">
      <c r="A15388" t="s">
        <v>46193</v>
      </c>
      <c r="B15388" t="s">
        <v>47141</v>
      </c>
      <c r="C15388" t="s">
        <v>29498</v>
      </c>
      <c r="D15388" t="s">
        <v>29499</v>
      </c>
      <c r="E15388" t="s">
        <v>29500</v>
      </c>
      <c r="F15388" t="s">
        <v>47142</v>
      </c>
      <c r="G15388" s="2" t="str">
        <f>HYPERLINK("https://probpalata.gov.ru/files/ИП780300359000000.jpeg","Скачать индивидуальный QR-код магазина")</f>
        <v>Скачать индивидуальный QR-код магазина</v>
      </c>
    </row>
    <row r="15389" spans="1:7" x14ac:dyDescent="0.25">
      <c r="A15389" t="s">
        <v>46193</v>
      </c>
      <c r="B15389" t="s">
        <v>47143</v>
      </c>
      <c r="C15389" t="s">
        <v>29498</v>
      </c>
      <c r="D15389" t="s">
        <v>29499</v>
      </c>
      <c r="E15389" t="s">
        <v>29500</v>
      </c>
      <c r="F15389" t="s">
        <v>47144</v>
      </c>
      <c r="G15389" s="2" t="str">
        <f>HYPERLINK("https://probpalata.gov.ru/files/ИП780300359000011.jpeg","Скачать индивидуальный QR-код магазина")</f>
        <v>Скачать индивидуальный QR-код магазина</v>
      </c>
    </row>
    <row r="15390" spans="1:7" x14ac:dyDescent="0.25">
      <c r="A15390" t="s">
        <v>46193</v>
      </c>
      <c r="B15390" t="s">
        <v>47145</v>
      </c>
      <c r="C15390" t="s">
        <v>29498</v>
      </c>
      <c r="D15390" t="s">
        <v>29499</v>
      </c>
      <c r="E15390" t="s">
        <v>29500</v>
      </c>
      <c r="F15390" t="s">
        <v>47146</v>
      </c>
      <c r="G15390" s="2" t="str">
        <f>HYPERLINK("https://probpalata.gov.ru/files/ИП780300359000025.jpeg","Скачать индивидуальный QR-код магазина")</f>
        <v>Скачать индивидуальный QR-код магазина</v>
      </c>
    </row>
    <row r="15391" spans="1:7" x14ac:dyDescent="0.25">
      <c r="A15391" t="s">
        <v>46193</v>
      </c>
      <c r="B15391" t="s">
        <v>47147</v>
      </c>
      <c r="C15391" t="s">
        <v>29498</v>
      </c>
      <c r="D15391" t="s">
        <v>29499</v>
      </c>
      <c r="E15391" t="s">
        <v>29500</v>
      </c>
      <c r="F15391" t="s">
        <v>47148</v>
      </c>
      <c r="G15391" s="2" t="str">
        <f>HYPERLINK("https://probpalata.gov.ru/files/ИП780300359000028.jpeg","Скачать индивидуальный QR-код магазина")</f>
        <v>Скачать индивидуальный QR-код магазина</v>
      </c>
    </row>
    <row r="15392" spans="1:7" x14ac:dyDescent="0.25">
      <c r="A15392" t="s">
        <v>46193</v>
      </c>
      <c r="B15392" t="s">
        <v>47149</v>
      </c>
      <c r="C15392" t="s">
        <v>16834</v>
      </c>
      <c r="D15392" t="s">
        <v>16835</v>
      </c>
      <c r="E15392" t="s">
        <v>16836</v>
      </c>
      <c r="F15392" t="s">
        <v>47150</v>
      </c>
      <c r="G15392" s="2" t="str">
        <f>HYPERLINK("https://probpalata.gov.ru/files/ИП780300136300000.jpeg","Скачать индивидуальный QR-код магазина")</f>
        <v>Скачать индивидуальный QR-код магазина</v>
      </c>
    </row>
    <row r="15393" spans="1:7" x14ac:dyDescent="0.25">
      <c r="A15393" t="s">
        <v>46193</v>
      </c>
      <c r="B15393" t="s">
        <v>47151</v>
      </c>
      <c r="C15393" t="s">
        <v>16834</v>
      </c>
      <c r="D15393" t="s">
        <v>16835</v>
      </c>
      <c r="E15393" t="s">
        <v>16836</v>
      </c>
      <c r="F15393" t="s">
        <v>47152</v>
      </c>
      <c r="G15393" s="2" t="str">
        <f>HYPERLINK("https://probpalata.gov.ru/files/ИП780300136300001.jpeg","Скачать индивидуальный QR-код магазина")</f>
        <v>Скачать индивидуальный QR-код магазина</v>
      </c>
    </row>
    <row r="15394" spans="1:7" x14ac:dyDescent="0.25">
      <c r="A15394" t="s">
        <v>46193</v>
      </c>
      <c r="B15394" t="s">
        <v>47153</v>
      </c>
      <c r="C15394" t="s">
        <v>16834</v>
      </c>
      <c r="D15394" t="s">
        <v>16835</v>
      </c>
      <c r="E15394" t="s">
        <v>16836</v>
      </c>
      <c r="F15394" t="s">
        <v>47154</v>
      </c>
      <c r="G15394" s="2" t="str">
        <f>HYPERLINK("https://probpalata.gov.ru/files/ИП780300136300003.jpeg","Скачать индивидуальный QR-код магазина")</f>
        <v>Скачать индивидуальный QR-код магазина</v>
      </c>
    </row>
    <row r="15395" spans="1:7" x14ac:dyDescent="0.25">
      <c r="A15395" t="s">
        <v>46193</v>
      </c>
      <c r="B15395" t="s">
        <v>47155</v>
      </c>
      <c r="C15395" t="s">
        <v>16834</v>
      </c>
      <c r="D15395" t="s">
        <v>16835</v>
      </c>
      <c r="E15395" t="s">
        <v>16836</v>
      </c>
      <c r="F15395" t="s">
        <v>47156</v>
      </c>
      <c r="G15395" s="2" t="str">
        <f>HYPERLINK("https://probpalata.gov.ru/files/ИП780300136300004.jpeg","Скачать индивидуальный QR-код магазина")</f>
        <v>Скачать индивидуальный QR-код магазина</v>
      </c>
    </row>
    <row r="15396" spans="1:7" x14ac:dyDescent="0.25">
      <c r="A15396" t="s">
        <v>46193</v>
      </c>
      <c r="B15396" t="s">
        <v>47157</v>
      </c>
      <c r="C15396" t="s">
        <v>16834</v>
      </c>
      <c r="D15396" t="s">
        <v>16835</v>
      </c>
      <c r="E15396" t="s">
        <v>16836</v>
      </c>
      <c r="F15396" t="s">
        <v>47158</v>
      </c>
      <c r="G15396" s="2" t="str">
        <f>HYPERLINK("https://probpalata.gov.ru/files/ИП780300136300009.jpeg","Скачать индивидуальный QR-код магазина")</f>
        <v>Скачать индивидуальный QR-код магазина</v>
      </c>
    </row>
    <row r="15397" spans="1:7" x14ac:dyDescent="0.25">
      <c r="A15397" t="s">
        <v>46193</v>
      </c>
      <c r="B15397" t="s">
        <v>47159</v>
      </c>
      <c r="C15397" t="s">
        <v>16834</v>
      </c>
      <c r="D15397" t="s">
        <v>16835</v>
      </c>
      <c r="E15397" t="s">
        <v>16836</v>
      </c>
      <c r="F15397" t="s">
        <v>47160</v>
      </c>
      <c r="G15397" s="2" t="str">
        <f>HYPERLINK("https://probpalata.gov.ru/files/ИП780300136300010.jpeg","Скачать индивидуальный QR-код магазина")</f>
        <v>Скачать индивидуальный QR-код магазина</v>
      </c>
    </row>
    <row r="15398" spans="1:7" x14ac:dyDescent="0.25">
      <c r="A15398" t="s">
        <v>46193</v>
      </c>
      <c r="B15398" t="s">
        <v>47161</v>
      </c>
      <c r="C15398" t="s">
        <v>16834</v>
      </c>
      <c r="D15398" t="s">
        <v>16835</v>
      </c>
      <c r="E15398" t="s">
        <v>16836</v>
      </c>
      <c r="F15398" t="s">
        <v>47162</v>
      </c>
      <c r="G15398" s="2" t="str">
        <f>HYPERLINK("https://probpalata.gov.ru/files/ИП780300136300011.jpeg","Скачать индивидуальный QR-код магазина")</f>
        <v>Скачать индивидуальный QR-код магазина</v>
      </c>
    </row>
    <row r="15399" spans="1:7" x14ac:dyDescent="0.25">
      <c r="A15399" t="s">
        <v>46193</v>
      </c>
      <c r="B15399" t="s">
        <v>47163</v>
      </c>
      <c r="C15399" t="s">
        <v>16834</v>
      </c>
      <c r="D15399" t="s">
        <v>16835</v>
      </c>
      <c r="E15399" t="s">
        <v>16836</v>
      </c>
      <c r="F15399" t="s">
        <v>47164</v>
      </c>
      <c r="G15399" s="2" t="str">
        <f>HYPERLINK("https://probpalata.gov.ru/files/ИП780300136300015.jpeg","Скачать индивидуальный QR-код магазина")</f>
        <v>Скачать индивидуальный QR-код магазина</v>
      </c>
    </row>
    <row r="15400" spans="1:7" x14ac:dyDescent="0.25">
      <c r="A15400" t="s">
        <v>46193</v>
      </c>
      <c r="B15400" t="s">
        <v>47165</v>
      </c>
      <c r="C15400" t="s">
        <v>16834</v>
      </c>
      <c r="D15400" t="s">
        <v>16835</v>
      </c>
      <c r="E15400" t="s">
        <v>16836</v>
      </c>
      <c r="F15400" t="s">
        <v>47166</v>
      </c>
      <c r="G15400" s="2" t="str">
        <f>HYPERLINK("https://probpalata.gov.ru/files/ИП780300136300016.jpeg","Скачать индивидуальный QR-код магазина")</f>
        <v>Скачать индивидуальный QR-код магазина</v>
      </c>
    </row>
    <row r="15401" spans="1:7" x14ac:dyDescent="0.25">
      <c r="A15401" t="s">
        <v>46193</v>
      </c>
      <c r="B15401" t="s">
        <v>47167</v>
      </c>
      <c r="C15401" t="s">
        <v>16834</v>
      </c>
      <c r="D15401" t="s">
        <v>16835</v>
      </c>
      <c r="E15401" t="s">
        <v>16836</v>
      </c>
      <c r="F15401" t="s">
        <v>47168</v>
      </c>
      <c r="G15401" s="2" t="str">
        <f>HYPERLINK("https://probpalata.gov.ru/files/ИП780300136300017.jpeg","Скачать индивидуальный QR-код магазина")</f>
        <v>Скачать индивидуальный QR-код магазина</v>
      </c>
    </row>
    <row r="15402" spans="1:7" x14ac:dyDescent="0.25">
      <c r="A15402" t="s">
        <v>46193</v>
      </c>
      <c r="B15402" t="s">
        <v>47169</v>
      </c>
      <c r="C15402" t="s">
        <v>16834</v>
      </c>
      <c r="D15402" t="s">
        <v>16835</v>
      </c>
      <c r="E15402" t="s">
        <v>16836</v>
      </c>
      <c r="F15402" t="s">
        <v>47170</v>
      </c>
      <c r="G15402" s="2" t="str">
        <f>HYPERLINK("https://probpalata.gov.ru/files/ИП780300136300018.jpeg","Скачать индивидуальный QR-код магазина")</f>
        <v>Скачать индивидуальный QR-код магазина</v>
      </c>
    </row>
    <row r="15403" spans="1:7" x14ac:dyDescent="0.25">
      <c r="A15403" t="s">
        <v>46193</v>
      </c>
      <c r="B15403" t="s">
        <v>47171</v>
      </c>
      <c r="C15403" t="s">
        <v>47172</v>
      </c>
      <c r="D15403" t="s">
        <v>47173</v>
      </c>
      <c r="E15403" t="s">
        <v>47174</v>
      </c>
      <c r="F15403" t="s">
        <v>47175</v>
      </c>
      <c r="G15403" s="2" t="str">
        <f>HYPERLINK("https://probpalata.gov.ru/files/ИП780301371500000.jpeg","Скачать индивидуальный QR-код магазина")</f>
        <v>Скачать индивидуальный QR-код магазина</v>
      </c>
    </row>
    <row r="15404" spans="1:7" x14ac:dyDescent="0.25">
      <c r="A15404" t="s">
        <v>46193</v>
      </c>
      <c r="B15404" t="s">
        <v>47176</v>
      </c>
      <c r="C15404" t="s">
        <v>47177</v>
      </c>
      <c r="D15404" t="s">
        <v>47178</v>
      </c>
      <c r="E15404" t="s">
        <v>47179</v>
      </c>
      <c r="F15404" t="s">
        <v>47180</v>
      </c>
      <c r="G15404" s="2" t="str">
        <f>HYPERLINK("https://probpalata.gov.ru/files/ИП780303613200000.jpeg","Скачать индивидуальный QR-код магазина")</f>
        <v>Скачать индивидуальный QR-код магазина</v>
      </c>
    </row>
    <row r="15405" spans="1:7" x14ac:dyDescent="0.25">
      <c r="A15405" t="s">
        <v>46193</v>
      </c>
      <c r="B15405" t="s">
        <v>47181</v>
      </c>
      <c r="C15405" t="s">
        <v>47182</v>
      </c>
      <c r="D15405" t="s">
        <v>47183</v>
      </c>
      <c r="E15405" t="s">
        <v>47184</v>
      </c>
      <c r="F15405" t="s">
        <v>47185</v>
      </c>
      <c r="G15405" s="2" t="str">
        <f>HYPERLINK("https://probpalata.gov.ru/files/ЮЛ780300961600000.jpeg","Скачать индивидуальный QR-код магазина")</f>
        <v>Скачать индивидуальный QR-код магазина</v>
      </c>
    </row>
    <row r="15406" spans="1:7" x14ac:dyDescent="0.25">
      <c r="A15406" t="s">
        <v>46193</v>
      </c>
      <c r="B15406" t="s">
        <v>47186</v>
      </c>
      <c r="C15406" t="s">
        <v>47187</v>
      </c>
      <c r="D15406" t="s">
        <v>47188</v>
      </c>
      <c r="E15406" t="s">
        <v>47189</v>
      </c>
      <c r="F15406" t="s">
        <v>47190</v>
      </c>
      <c r="G15406" s="2" t="str">
        <f>HYPERLINK("https://probpalata.gov.ru/files/ЮЛ780300586600000.jpeg","Скачать индивидуальный QR-код магазина")</f>
        <v>Скачать индивидуальный QR-код магазина</v>
      </c>
    </row>
    <row r="15407" spans="1:7" x14ac:dyDescent="0.25">
      <c r="A15407" t="s">
        <v>46193</v>
      </c>
      <c r="B15407" t="s">
        <v>47191</v>
      </c>
      <c r="C15407" t="s">
        <v>25326</v>
      </c>
      <c r="D15407" t="s">
        <v>25327</v>
      </c>
      <c r="E15407" t="s">
        <v>25328</v>
      </c>
      <c r="F15407" t="s">
        <v>47192</v>
      </c>
      <c r="G15407" s="2" t="str">
        <f>HYPERLINK("https://probpalata.gov.ru/files/ЮЛ780300112800007.jpeg","Скачать индивидуальный QR-код магазина")</f>
        <v>Скачать индивидуальный QR-код магазина</v>
      </c>
    </row>
    <row r="15408" spans="1:7" x14ac:dyDescent="0.25">
      <c r="A15408" t="s">
        <v>46193</v>
      </c>
      <c r="B15408" t="s">
        <v>47193</v>
      </c>
      <c r="C15408" t="s">
        <v>47194</v>
      </c>
      <c r="D15408" t="s">
        <v>47195</v>
      </c>
      <c r="E15408" t="s">
        <v>47196</v>
      </c>
      <c r="F15408" t="s">
        <v>47197</v>
      </c>
      <c r="G15408" s="2" t="str">
        <f>HYPERLINK("https://probpalata.gov.ru/files/ЮЛ780303078500007.jpeg","Скачать индивидуальный QR-код магазина")</f>
        <v>Скачать индивидуальный QR-код магазина</v>
      </c>
    </row>
    <row r="15409" spans="1:7" x14ac:dyDescent="0.25">
      <c r="A15409" t="s">
        <v>46193</v>
      </c>
      <c r="B15409" t="s">
        <v>47198</v>
      </c>
      <c r="C15409" t="s">
        <v>47194</v>
      </c>
      <c r="D15409" t="s">
        <v>47195</v>
      </c>
      <c r="E15409" t="s">
        <v>47196</v>
      </c>
      <c r="F15409" t="s">
        <v>47199</v>
      </c>
      <c r="G15409" s="2" t="str">
        <f>HYPERLINK("https://probpalata.gov.ru/files/ЮЛ780303078500010.jpeg","Скачать индивидуальный QR-код магазина")</f>
        <v>Скачать индивидуальный QR-код магазина</v>
      </c>
    </row>
    <row r="15410" spans="1:7" x14ac:dyDescent="0.25">
      <c r="A15410" t="s">
        <v>46193</v>
      </c>
      <c r="B15410" t="s">
        <v>47200</v>
      </c>
      <c r="C15410" t="s">
        <v>47194</v>
      </c>
      <c r="D15410" t="s">
        <v>47195</v>
      </c>
      <c r="E15410" t="s">
        <v>47196</v>
      </c>
      <c r="F15410" t="s">
        <v>47201</v>
      </c>
      <c r="G15410" s="2" t="str">
        <f>HYPERLINK("https://probpalata.gov.ru/files/ЮЛ780303078500011.jpeg","Скачать индивидуальный QR-код магазина")</f>
        <v>Скачать индивидуальный QR-код магазина</v>
      </c>
    </row>
    <row r="15411" spans="1:7" x14ac:dyDescent="0.25">
      <c r="A15411" t="s">
        <v>46193</v>
      </c>
      <c r="B15411" t="s">
        <v>47202</v>
      </c>
      <c r="C15411" t="s">
        <v>47194</v>
      </c>
      <c r="D15411" t="s">
        <v>47195</v>
      </c>
      <c r="E15411" t="s">
        <v>47196</v>
      </c>
      <c r="F15411" t="s">
        <v>47203</v>
      </c>
      <c r="G15411" s="2" t="str">
        <f>HYPERLINK("https://probpalata.gov.ru/files/ЮЛ780303078500013.jpeg","Скачать индивидуальный QR-код магазина")</f>
        <v>Скачать индивидуальный QR-код магазина</v>
      </c>
    </row>
    <row r="15412" spans="1:7" x14ac:dyDescent="0.25">
      <c r="A15412" t="s">
        <v>46193</v>
      </c>
      <c r="B15412" t="s">
        <v>47204</v>
      </c>
      <c r="C15412" t="s">
        <v>47194</v>
      </c>
      <c r="D15412" t="s">
        <v>47195</v>
      </c>
      <c r="E15412" t="s">
        <v>47196</v>
      </c>
      <c r="F15412" t="s">
        <v>47205</v>
      </c>
      <c r="G15412" s="2" t="str">
        <f>HYPERLINK("https://probpalata.gov.ru/files/ЮЛ780303078500015.jpeg","Скачать индивидуальный QR-код магазина")</f>
        <v>Скачать индивидуальный QR-код магазина</v>
      </c>
    </row>
    <row r="15413" spans="1:7" x14ac:dyDescent="0.25">
      <c r="A15413" t="s">
        <v>46193</v>
      </c>
      <c r="B15413" t="s">
        <v>47200</v>
      </c>
      <c r="C15413" t="s">
        <v>47194</v>
      </c>
      <c r="D15413" t="s">
        <v>47195</v>
      </c>
      <c r="E15413" t="s">
        <v>47196</v>
      </c>
      <c r="F15413" t="s">
        <v>47206</v>
      </c>
      <c r="G15413" s="2" t="str">
        <f>HYPERLINK("https://probpalata.gov.ru/files/ЮЛ780303078500017.jpeg","Скачать индивидуальный QR-код магазина")</f>
        <v>Скачать индивидуальный QR-код магазина</v>
      </c>
    </row>
    <row r="15414" spans="1:7" x14ac:dyDescent="0.25">
      <c r="A15414" t="s">
        <v>46193</v>
      </c>
      <c r="B15414" t="s">
        <v>47207</v>
      </c>
      <c r="C15414" t="s">
        <v>15270</v>
      </c>
      <c r="D15414" t="s">
        <v>15271</v>
      </c>
      <c r="E15414" t="s">
        <v>15272</v>
      </c>
      <c r="F15414" t="s">
        <v>47208</v>
      </c>
      <c r="G15414" s="2" t="str">
        <f>HYPERLINK("https://probpalata.gov.ru/files/ЮЛ780300204700000.jpeg","Скачать индивидуальный QR-код магазина")</f>
        <v>Скачать индивидуальный QR-код магазина</v>
      </c>
    </row>
    <row r="15415" spans="1:7" x14ac:dyDescent="0.25">
      <c r="A15415" t="s">
        <v>46193</v>
      </c>
      <c r="B15415" t="s">
        <v>47209</v>
      </c>
      <c r="C15415" t="s">
        <v>47210</v>
      </c>
      <c r="D15415" t="s">
        <v>47211</v>
      </c>
      <c r="E15415" t="s">
        <v>47212</v>
      </c>
      <c r="F15415" t="s">
        <v>47213</v>
      </c>
      <c r="G15415" s="2" t="str">
        <f>HYPERLINK("https://probpalata.gov.ru/files/ИП780300883600000.jpeg","Скачать индивидуальный QR-код магазина")</f>
        <v>Скачать индивидуальный QR-код магазина</v>
      </c>
    </row>
    <row r="15416" spans="1:7" x14ac:dyDescent="0.25">
      <c r="A15416" t="s">
        <v>46193</v>
      </c>
      <c r="B15416" t="s">
        <v>47214</v>
      </c>
      <c r="C15416" t="s">
        <v>47215</v>
      </c>
      <c r="D15416" t="s">
        <v>47216</v>
      </c>
      <c r="E15416" t="s">
        <v>47217</v>
      </c>
      <c r="F15416" t="s">
        <v>47218</v>
      </c>
      <c r="G15416" s="2" t="str">
        <f>HYPERLINK("https://probpalata.gov.ru/files/ЮЛ780300654100000.jpeg","Скачать индивидуальный QR-код магазина")</f>
        <v>Скачать индивидуальный QR-код магазина</v>
      </c>
    </row>
    <row r="15417" spans="1:7" x14ac:dyDescent="0.25">
      <c r="A15417" t="s">
        <v>46193</v>
      </c>
      <c r="B15417" t="s">
        <v>47219</v>
      </c>
      <c r="C15417" t="s">
        <v>47220</v>
      </c>
      <c r="D15417" t="s">
        <v>47221</v>
      </c>
      <c r="E15417" t="s">
        <v>47222</v>
      </c>
      <c r="F15417" t="s">
        <v>47223</v>
      </c>
      <c r="G15417" s="2" t="str">
        <f>HYPERLINK("https://probpalata.gov.ru/files/ЮЛ780301762000000.jpeg","Скачать индивидуальный QR-код магазина")</f>
        <v>Скачать индивидуальный QR-код магазина</v>
      </c>
    </row>
    <row r="15418" spans="1:7" x14ac:dyDescent="0.25">
      <c r="A15418" t="s">
        <v>46193</v>
      </c>
      <c r="B15418" t="s">
        <v>47224</v>
      </c>
      <c r="C15418" t="s">
        <v>47225</v>
      </c>
      <c r="D15418" t="s">
        <v>47226</v>
      </c>
      <c r="E15418" t="s">
        <v>47227</v>
      </c>
      <c r="F15418" t="s">
        <v>47228</v>
      </c>
      <c r="G15418" s="2" t="str">
        <f>HYPERLINK("https://probpalata.gov.ru/files/ЮЛ780300879600000.jpeg","Скачать индивидуальный QR-код магазина")</f>
        <v>Скачать индивидуальный QR-код магазина</v>
      </c>
    </row>
    <row r="15419" spans="1:7" x14ac:dyDescent="0.25">
      <c r="A15419" t="s">
        <v>46193</v>
      </c>
      <c r="B15419" t="s">
        <v>47229</v>
      </c>
      <c r="C15419" t="s">
        <v>34068</v>
      </c>
      <c r="D15419" t="s">
        <v>34069</v>
      </c>
      <c r="E15419" t="s">
        <v>34070</v>
      </c>
      <c r="F15419" t="s">
        <v>47230</v>
      </c>
      <c r="G15419" s="2" t="str">
        <f>HYPERLINK("https://probpalata.gov.ru/files/ИП780300226000000.jpeg","Скачать индивидуальный QR-код магазина")</f>
        <v>Скачать индивидуальный QR-код магазина</v>
      </c>
    </row>
    <row r="15420" spans="1:7" x14ac:dyDescent="0.25">
      <c r="A15420" t="s">
        <v>46193</v>
      </c>
      <c r="B15420" t="s">
        <v>47231</v>
      </c>
      <c r="C15420" t="s">
        <v>47232</v>
      </c>
      <c r="D15420" t="s">
        <v>47233</v>
      </c>
      <c r="E15420" t="s">
        <v>47234</v>
      </c>
      <c r="F15420" t="s">
        <v>47235</v>
      </c>
      <c r="G15420" s="2" t="str">
        <f>HYPERLINK("https://probpalata.gov.ru/files/ИП780301271000000.jpeg","Скачать индивидуальный QR-код магазина")</f>
        <v>Скачать индивидуальный QR-код магазина</v>
      </c>
    </row>
    <row r="15421" spans="1:7" x14ac:dyDescent="0.25">
      <c r="A15421" t="s">
        <v>46193</v>
      </c>
      <c r="B15421" t="s">
        <v>47236</v>
      </c>
      <c r="C15421" t="s">
        <v>47232</v>
      </c>
      <c r="D15421" t="s">
        <v>47233</v>
      </c>
      <c r="E15421" t="s">
        <v>47234</v>
      </c>
      <c r="F15421" t="s">
        <v>47237</v>
      </c>
      <c r="G15421" s="2" t="str">
        <f>HYPERLINK("https://probpalata.gov.ru/files/ИП780301271000001.jpeg","Скачать индивидуальный QR-код магазина")</f>
        <v>Скачать индивидуальный QR-код магазина</v>
      </c>
    </row>
    <row r="15422" spans="1:7" x14ac:dyDescent="0.25">
      <c r="A15422" t="s">
        <v>46193</v>
      </c>
      <c r="B15422" t="s">
        <v>47238</v>
      </c>
      <c r="C15422" t="s">
        <v>47239</v>
      </c>
      <c r="D15422" t="s">
        <v>47240</v>
      </c>
      <c r="E15422" t="s">
        <v>47241</v>
      </c>
      <c r="F15422" t="s">
        <v>47242</v>
      </c>
      <c r="G15422" s="2" t="str">
        <f>HYPERLINK("https://probpalata.gov.ru/files/ИП780300822800000.jpeg","Скачать индивидуальный QR-код магазина")</f>
        <v>Скачать индивидуальный QR-код магазина</v>
      </c>
    </row>
    <row r="15423" spans="1:7" x14ac:dyDescent="0.25">
      <c r="A15423" t="s">
        <v>46193</v>
      </c>
      <c r="B15423" t="s">
        <v>47243</v>
      </c>
      <c r="C15423" t="s">
        <v>47244</v>
      </c>
      <c r="D15423" t="s">
        <v>47245</v>
      </c>
      <c r="E15423" t="s">
        <v>47246</v>
      </c>
      <c r="F15423" t="s">
        <v>47247</v>
      </c>
      <c r="G15423" s="2" t="str">
        <f>HYPERLINK("https://probpalata.gov.ru/files/ИП780301537400000.jpeg","Скачать индивидуальный QR-код магазина")</f>
        <v>Скачать индивидуальный QR-код магазина</v>
      </c>
    </row>
    <row r="15424" spans="1:7" x14ac:dyDescent="0.25">
      <c r="A15424" t="s">
        <v>46193</v>
      </c>
      <c r="B15424" t="s">
        <v>47248</v>
      </c>
      <c r="C15424" t="s">
        <v>47249</v>
      </c>
      <c r="D15424" t="s">
        <v>47250</v>
      </c>
      <c r="E15424" t="s">
        <v>47251</v>
      </c>
      <c r="F15424" t="s">
        <v>47252</v>
      </c>
      <c r="G15424" s="2" t="str">
        <f>HYPERLINK("https://probpalata.gov.ru/files/ЮЛ780303088900000.jpeg","Скачать индивидуальный QR-код магазина")</f>
        <v>Скачать индивидуальный QR-код магазина</v>
      </c>
    </row>
    <row r="15425" spans="1:7" x14ac:dyDescent="0.25">
      <c r="A15425" t="s">
        <v>46193</v>
      </c>
      <c r="B15425" t="s">
        <v>47253</v>
      </c>
      <c r="C15425" t="s">
        <v>47254</v>
      </c>
      <c r="D15425" t="s">
        <v>47255</v>
      </c>
      <c r="E15425" t="s">
        <v>47256</v>
      </c>
      <c r="F15425" t="s">
        <v>47257</v>
      </c>
      <c r="G15425" s="2" t="str">
        <f>HYPERLINK("https://probpalata.gov.ru/files/ЮЛ780301112700003.jpeg","Скачать индивидуальный QR-код магазина")</f>
        <v>Скачать индивидуальный QR-код магазина</v>
      </c>
    </row>
    <row r="15426" spans="1:7" x14ac:dyDescent="0.25">
      <c r="A15426" t="s">
        <v>46193</v>
      </c>
      <c r="B15426" t="s">
        <v>47258</v>
      </c>
      <c r="C15426" t="s">
        <v>47259</v>
      </c>
      <c r="D15426" t="s">
        <v>47260</v>
      </c>
      <c r="E15426" t="s">
        <v>47261</v>
      </c>
      <c r="F15426" t="s">
        <v>47262</v>
      </c>
      <c r="G15426" s="2" t="str">
        <f>HYPERLINK("https://probpalata.gov.ru/files/ЮЛ780303421100000.jpeg","Скачать индивидуальный QR-код магазина")</f>
        <v>Скачать индивидуальный QR-код магазина</v>
      </c>
    </row>
    <row r="15427" spans="1:7" x14ac:dyDescent="0.25">
      <c r="A15427" t="s">
        <v>46193</v>
      </c>
      <c r="B15427" t="s">
        <v>47263</v>
      </c>
      <c r="C15427" t="s">
        <v>47259</v>
      </c>
      <c r="D15427" t="s">
        <v>47260</v>
      </c>
      <c r="E15427" t="s">
        <v>47261</v>
      </c>
      <c r="F15427" t="s">
        <v>47264</v>
      </c>
      <c r="G15427" s="2" t="str">
        <f>HYPERLINK("https://probpalata.gov.ru/files/ЮЛ780303421100001.jpeg","Скачать индивидуальный QR-код магазина")</f>
        <v>Скачать индивидуальный QR-код магазина</v>
      </c>
    </row>
    <row r="15428" spans="1:7" x14ac:dyDescent="0.25">
      <c r="A15428" t="s">
        <v>46193</v>
      </c>
      <c r="B15428" t="s">
        <v>47265</v>
      </c>
      <c r="C15428" t="s">
        <v>47266</v>
      </c>
      <c r="D15428" t="s">
        <v>47267</v>
      </c>
      <c r="E15428" t="s">
        <v>47268</v>
      </c>
      <c r="F15428" t="s">
        <v>47269</v>
      </c>
      <c r="G15428" s="2" t="str">
        <f>HYPERLINK("https://probpalata.gov.ru/files/ЮЛ780303648600000.jpeg","Скачать индивидуальный QR-код магазина")</f>
        <v>Скачать индивидуальный QR-код магазина</v>
      </c>
    </row>
    <row r="15429" spans="1:7" x14ac:dyDescent="0.25">
      <c r="A15429" t="s">
        <v>46193</v>
      </c>
      <c r="B15429" t="s">
        <v>47270</v>
      </c>
      <c r="C15429" t="s">
        <v>47271</v>
      </c>
      <c r="D15429" t="s">
        <v>47272</v>
      </c>
      <c r="E15429" t="s">
        <v>47273</v>
      </c>
      <c r="F15429" t="s">
        <v>47274</v>
      </c>
      <c r="G15429" s="2" t="str">
        <f>HYPERLINK("https://probpalata.gov.ru/files/ЮЛ780303496500000.jpeg","Скачать индивидуальный QR-код магазина")</f>
        <v>Скачать индивидуальный QR-код магазина</v>
      </c>
    </row>
    <row r="15430" spans="1:7" x14ac:dyDescent="0.25">
      <c r="A15430" t="s">
        <v>46193</v>
      </c>
      <c r="B15430" t="s">
        <v>47275</v>
      </c>
      <c r="C15430" t="s">
        <v>47276</v>
      </c>
      <c r="D15430" t="s">
        <v>47277</v>
      </c>
      <c r="E15430" t="s">
        <v>47278</v>
      </c>
      <c r="F15430" t="s">
        <v>47279</v>
      </c>
      <c r="G15430" s="2" t="str">
        <f>HYPERLINK("https://probpalata.gov.ru/files/ЮЛ780304071000000.jpeg","Скачать индивидуальный QR-код магазина")</f>
        <v>Скачать индивидуальный QR-код магазина</v>
      </c>
    </row>
    <row r="15431" spans="1:7" x14ac:dyDescent="0.25">
      <c r="A15431" t="s">
        <v>46193</v>
      </c>
      <c r="B15431" t="s">
        <v>47280</v>
      </c>
      <c r="C15431" t="s">
        <v>47281</v>
      </c>
      <c r="D15431" t="s">
        <v>47282</v>
      </c>
      <c r="E15431" t="s">
        <v>47283</v>
      </c>
      <c r="F15431" t="s">
        <v>47284</v>
      </c>
      <c r="G15431" s="2" t="str">
        <f>HYPERLINK("https://probpalata.gov.ru/files/ЮЛ780303681700001.jpeg","Скачать индивидуальный QR-код магазина")</f>
        <v>Скачать индивидуальный QR-код магазина</v>
      </c>
    </row>
    <row r="15432" spans="1:7" x14ac:dyDescent="0.25">
      <c r="A15432" t="s">
        <v>46193</v>
      </c>
      <c r="B15432" t="s">
        <v>47285</v>
      </c>
      <c r="C15432" t="s">
        <v>47286</v>
      </c>
      <c r="D15432" t="s">
        <v>47287</v>
      </c>
      <c r="E15432" t="s">
        <v>47288</v>
      </c>
      <c r="F15432" t="s">
        <v>47289</v>
      </c>
      <c r="G15432" s="2" t="str">
        <f>HYPERLINK("https://probpalata.gov.ru/files/ЮЛ780303761400001.jpeg","Скачать индивидуальный QR-код магазина")</f>
        <v>Скачать индивидуальный QR-код магазина</v>
      </c>
    </row>
    <row r="15433" spans="1:7" x14ac:dyDescent="0.25">
      <c r="A15433" t="s">
        <v>46193</v>
      </c>
      <c r="B15433" t="s">
        <v>47290</v>
      </c>
      <c r="C15433" t="s">
        <v>47286</v>
      </c>
      <c r="D15433" t="s">
        <v>47287</v>
      </c>
      <c r="E15433" t="s">
        <v>47288</v>
      </c>
      <c r="F15433" t="s">
        <v>47291</v>
      </c>
      <c r="G15433" s="2" t="str">
        <f>HYPERLINK("https://probpalata.gov.ru/files/ЮЛ780303761400002.jpeg","Скачать индивидуальный QR-код магазина")</f>
        <v>Скачать индивидуальный QR-код магазина</v>
      </c>
    </row>
    <row r="15434" spans="1:7" x14ac:dyDescent="0.25">
      <c r="A15434" t="s">
        <v>46193</v>
      </c>
      <c r="B15434" t="s">
        <v>47292</v>
      </c>
      <c r="C15434" t="s">
        <v>47286</v>
      </c>
      <c r="D15434" t="s">
        <v>47287</v>
      </c>
      <c r="E15434" t="s">
        <v>47288</v>
      </c>
      <c r="F15434" t="s">
        <v>47293</v>
      </c>
      <c r="G15434" s="2" t="str">
        <f>HYPERLINK("https://probpalata.gov.ru/files/ЮЛ780303761400003.jpeg","Скачать индивидуальный QR-код магазина")</f>
        <v>Скачать индивидуальный QR-код магазина</v>
      </c>
    </row>
    <row r="15435" spans="1:7" x14ac:dyDescent="0.25">
      <c r="A15435" t="s">
        <v>46193</v>
      </c>
      <c r="B15435" t="s">
        <v>47294</v>
      </c>
      <c r="C15435" t="s">
        <v>47286</v>
      </c>
      <c r="D15435" t="s">
        <v>47287</v>
      </c>
      <c r="E15435" t="s">
        <v>47288</v>
      </c>
      <c r="F15435" t="s">
        <v>47295</v>
      </c>
      <c r="G15435" s="2" t="str">
        <f>HYPERLINK("https://probpalata.gov.ru/files/ЮЛ780303761400005.jpeg","Скачать индивидуальный QR-код магазина")</f>
        <v>Скачать индивидуальный QR-код магазина</v>
      </c>
    </row>
    <row r="15436" spans="1:7" x14ac:dyDescent="0.25">
      <c r="A15436" t="s">
        <v>46193</v>
      </c>
      <c r="B15436" t="s">
        <v>47296</v>
      </c>
      <c r="C15436" t="s">
        <v>47297</v>
      </c>
      <c r="D15436" t="s">
        <v>47298</v>
      </c>
      <c r="E15436" t="s">
        <v>47299</v>
      </c>
      <c r="F15436" t="s">
        <v>47300</v>
      </c>
      <c r="G15436" s="2" t="str">
        <f>HYPERLINK("https://probpalata.gov.ru/files/ЮЛ780303991100000.jpeg","Скачать индивидуальный QR-код магазина")</f>
        <v>Скачать индивидуальный QR-код магазина</v>
      </c>
    </row>
    <row r="15437" spans="1:7" x14ac:dyDescent="0.25">
      <c r="A15437" t="s">
        <v>46193</v>
      </c>
      <c r="B15437" t="s">
        <v>47301</v>
      </c>
      <c r="C15437" t="s">
        <v>47302</v>
      </c>
      <c r="D15437" t="s">
        <v>47303</v>
      </c>
      <c r="E15437" t="s">
        <v>47304</v>
      </c>
      <c r="F15437" t="s">
        <v>47305</v>
      </c>
      <c r="G15437" s="2" t="str">
        <f>HYPERLINK("https://probpalata.gov.ru/files/ЮЛ780303760400000.jpeg","Скачать индивидуальный QR-код магазина")</f>
        <v>Скачать индивидуальный QR-код магазина</v>
      </c>
    </row>
    <row r="15438" spans="1:7" x14ac:dyDescent="0.25">
      <c r="A15438" t="s">
        <v>46193</v>
      </c>
      <c r="B15438" t="s">
        <v>47306</v>
      </c>
      <c r="C15438" t="s">
        <v>47307</v>
      </c>
      <c r="D15438" t="s">
        <v>47308</v>
      </c>
      <c r="E15438" t="s">
        <v>47309</v>
      </c>
      <c r="F15438" t="s">
        <v>47310</v>
      </c>
      <c r="G15438" s="2" t="str">
        <f>HYPERLINK("https://probpalata.gov.ru/files/ИП780300384900000.jpeg","Скачать индивидуальный QR-код магазина")</f>
        <v>Скачать индивидуальный QR-код магазина</v>
      </c>
    </row>
    <row r="15439" spans="1:7" x14ac:dyDescent="0.25">
      <c r="A15439" t="s">
        <v>46193</v>
      </c>
      <c r="B15439" t="s">
        <v>47311</v>
      </c>
      <c r="C15439" t="s">
        <v>47312</v>
      </c>
      <c r="D15439" t="s">
        <v>47313</v>
      </c>
      <c r="E15439" t="s">
        <v>47314</v>
      </c>
      <c r="F15439" t="s">
        <v>47315</v>
      </c>
      <c r="G15439" s="2" t="str">
        <f>HYPERLINK("https://probpalata.gov.ru/files/ЮЛ780301151100000.jpeg","Скачать индивидуальный QR-код магазина")</f>
        <v>Скачать индивидуальный QR-код магазина</v>
      </c>
    </row>
    <row r="15440" spans="1:7" x14ac:dyDescent="0.25">
      <c r="A15440" t="s">
        <v>46193</v>
      </c>
      <c r="B15440" t="s">
        <v>47316</v>
      </c>
      <c r="C15440" t="s">
        <v>47317</v>
      </c>
      <c r="D15440" t="s">
        <v>47318</v>
      </c>
      <c r="E15440" t="s">
        <v>47319</v>
      </c>
      <c r="F15440" t="s">
        <v>47320</v>
      </c>
      <c r="G15440" s="2" t="str">
        <f>HYPERLINK("https://probpalata.gov.ru/files/ИП780301150000000.jpeg","Скачать индивидуальный QR-код магазина")</f>
        <v>Скачать индивидуальный QR-код магазина</v>
      </c>
    </row>
    <row r="15441" spans="1:7" x14ac:dyDescent="0.25">
      <c r="A15441" t="s">
        <v>46193</v>
      </c>
      <c r="B15441" t="s">
        <v>47321</v>
      </c>
      <c r="C15441" t="s">
        <v>47322</v>
      </c>
      <c r="D15441" t="s">
        <v>47323</v>
      </c>
      <c r="E15441" t="s">
        <v>47324</v>
      </c>
      <c r="F15441" t="s">
        <v>47325</v>
      </c>
      <c r="G15441" s="2" t="str">
        <f>HYPERLINK("https://probpalata.gov.ru/files/ЮЛ780300543100000.jpeg","Скачать индивидуальный QR-код магазина")</f>
        <v>Скачать индивидуальный QR-код магазина</v>
      </c>
    </row>
    <row r="15442" spans="1:7" x14ac:dyDescent="0.25">
      <c r="A15442" t="s">
        <v>46193</v>
      </c>
      <c r="B15442" t="s">
        <v>47326</v>
      </c>
      <c r="C15442" t="s">
        <v>47327</v>
      </c>
      <c r="D15442" t="s">
        <v>47328</v>
      </c>
      <c r="E15442" t="s">
        <v>47329</v>
      </c>
      <c r="F15442" t="s">
        <v>47330</v>
      </c>
      <c r="G15442" s="2" t="str">
        <f>HYPERLINK("https://probpalata.gov.ru/files/ЮЛ780300635300000.jpeg","Скачать индивидуальный QR-код магазина")</f>
        <v>Скачать индивидуальный QR-код магазина</v>
      </c>
    </row>
    <row r="15443" spans="1:7" x14ac:dyDescent="0.25">
      <c r="A15443" t="s">
        <v>46193</v>
      </c>
      <c r="B15443" t="s">
        <v>47331</v>
      </c>
      <c r="C15443" t="s">
        <v>47327</v>
      </c>
      <c r="D15443" t="s">
        <v>47328</v>
      </c>
      <c r="E15443" t="s">
        <v>47329</v>
      </c>
      <c r="F15443" t="s">
        <v>47332</v>
      </c>
      <c r="G15443" s="2" t="str">
        <f>HYPERLINK("https://probpalata.gov.ru/files/ЮЛ780300635300001.jpeg","Скачать индивидуальный QR-код магазина")</f>
        <v>Скачать индивидуальный QR-код магазина</v>
      </c>
    </row>
    <row r="15444" spans="1:7" x14ac:dyDescent="0.25">
      <c r="A15444" t="s">
        <v>46193</v>
      </c>
      <c r="B15444" t="s">
        <v>47333</v>
      </c>
      <c r="C15444" t="s">
        <v>47327</v>
      </c>
      <c r="D15444" t="s">
        <v>47328</v>
      </c>
      <c r="E15444" t="s">
        <v>47329</v>
      </c>
      <c r="F15444" t="s">
        <v>47334</v>
      </c>
      <c r="G15444" s="2" t="str">
        <f>HYPERLINK("https://probpalata.gov.ru/files/ЮЛ780300635300003.jpeg","Скачать индивидуальный QR-код магазина")</f>
        <v>Скачать индивидуальный QR-код магазина</v>
      </c>
    </row>
    <row r="15445" spans="1:7" x14ac:dyDescent="0.25">
      <c r="A15445" t="s">
        <v>46193</v>
      </c>
      <c r="B15445" t="s">
        <v>47335</v>
      </c>
      <c r="C15445" t="s">
        <v>47327</v>
      </c>
      <c r="D15445" t="s">
        <v>47328</v>
      </c>
      <c r="E15445" t="s">
        <v>47329</v>
      </c>
      <c r="F15445" t="s">
        <v>47336</v>
      </c>
      <c r="G15445" s="2" t="str">
        <f>HYPERLINK("https://probpalata.gov.ru/files/ЮЛ780300635300004.jpeg","Скачать индивидуальный QR-код магазина")</f>
        <v>Скачать индивидуальный QR-код магазина</v>
      </c>
    </row>
    <row r="15446" spans="1:7" x14ac:dyDescent="0.25">
      <c r="A15446" t="s">
        <v>46193</v>
      </c>
      <c r="B15446" t="s">
        <v>47337</v>
      </c>
      <c r="C15446" t="s">
        <v>17877</v>
      </c>
      <c r="D15446" t="s">
        <v>17878</v>
      </c>
      <c r="E15446" t="s">
        <v>17879</v>
      </c>
      <c r="F15446" t="s">
        <v>47338</v>
      </c>
      <c r="G15446" s="2" t="str">
        <f>HYPERLINK("https://probpalata.gov.ru/files/ЮЛ780300099300001.jpeg","Скачать индивидуальный QR-код магазина")</f>
        <v>Скачать индивидуальный QR-код магазина</v>
      </c>
    </row>
    <row r="15447" spans="1:7" x14ac:dyDescent="0.25">
      <c r="A15447" t="s">
        <v>46193</v>
      </c>
      <c r="B15447" t="s">
        <v>47339</v>
      </c>
      <c r="C15447" t="s">
        <v>17882</v>
      </c>
      <c r="D15447" t="s">
        <v>17883</v>
      </c>
      <c r="E15447" t="s">
        <v>17884</v>
      </c>
      <c r="F15447" t="s">
        <v>47340</v>
      </c>
      <c r="G15447" s="2" t="str">
        <f>HYPERLINK("https://probpalata.gov.ru/files/ИП780301531600000.jpeg","Скачать индивидуальный QR-код магазина")</f>
        <v>Скачать индивидуальный QR-код магазина</v>
      </c>
    </row>
    <row r="15448" spans="1:7" x14ac:dyDescent="0.25">
      <c r="A15448" t="s">
        <v>46193</v>
      </c>
      <c r="B15448" t="s">
        <v>47341</v>
      </c>
      <c r="C15448" t="s">
        <v>17882</v>
      </c>
      <c r="D15448" t="s">
        <v>17883</v>
      </c>
      <c r="E15448" t="s">
        <v>17884</v>
      </c>
      <c r="F15448" t="s">
        <v>47342</v>
      </c>
      <c r="G15448" s="2" t="str">
        <f>HYPERLINK("https://probpalata.gov.ru/files/ИП780301531600002.jpeg","Скачать индивидуальный QR-код магазина")</f>
        <v>Скачать индивидуальный QR-код магазина</v>
      </c>
    </row>
    <row r="15449" spans="1:7" x14ac:dyDescent="0.25">
      <c r="A15449" t="s">
        <v>46193</v>
      </c>
      <c r="B15449" t="s">
        <v>47343</v>
      </c>
      <c r="C15449" t="s">
        <v>15285</v>
      </c>
      <c r="D15449" t="s">
        <v>15286</v>
      </c>
      <c r="E15449" t="s">
        <v>15287</v>
      </c>
      <c r="F15449" t="s">
        <v>47344</v>
      </c>
      <c r="G15449" s="2" t="str">
        <f>HYPERLINK("https://probpalata.gov.ru/files/ИП780303215800000.jpeg","Скачать индивидуальный QR-код магазина")</f>
        <v>Скачать индивидуальный QR-код магазина</v>
      </c>
    </row>
    <row r="15450" spans="1:7" x14ac:dyDescent="0.25">
      <c r="A15450" t="s">
        <v>46193</v>
      </c>
      <c r="B15450" t="s">
        <v>47345</v>
      </c>
      <c r="C15450" t="s">
        <v>15285</v>
      </c>
      <c r="D15450" t="s">
        <v>15286</v>
      </c>
      <c r="E15450" t="s">
        <v>15287</v>
      </c>
      <c r="F15450" t="s">
        <v>47346</v>
      </c>
      <c r="G15450" s="2" t="str">
        <f>HYPERLINK("https://probpalata.gov.ru/files/ИП780303215800002.jpeg","Скачать индивидуальный QR-код магазина")</f>
        <v>Скачать индивидуальный QR-код магазина</v>
      </c>
    </row>
    <row r="15451" spans="1:7" x14ac:dyDescent="0.25">
      <c r="A15451" t="s">
        <v>46193</v>
      </c>
      <c r="B15451" t="s">
        <v>47347</v>
      </c>
      <c r="C15451" t="s">
        <v>47348</v>
      </c>
      <c r="D15451" t="s">
        <v>47349</v>
      </c>
      <c r="E15451" t="s">
        <v>47350</v>
      </c>
      <c r="F15451" t="s">
        <v>47351</v>
      </c>
      <c r="G15451" s="2" t="str">
        <f>HYPERLINK("https://probpalata.gov.ru/files/ИП780303598200000.jpeg","Скачать индивидуальный QR-код магазина")</f>
        <v>Скачать индивидуальный QR-код магазина</v>
      </c>
    </row>
    <row r="15452" spans="1:7" x14ac:dyDescent="0.25">
      <c r="A15452" t="s">
        <v>46193</v>
      </c>
      <c r="B15452" t="s">
        <v>47352</v>
      </c>
      <c r="C15452" t="s">
        <v>47353</v>
      </c>
      <c r="D15452" t="s">
        <v>47354</v>
      </c>
      <c r="E15452" t="s">
        <v>47355</v>
      </c>
      <c r="F15452" t="s">
        <v>47356</v>
      </c>
      <c r="G15452" s="2" t="str">
        <f>HYPERLINK("https://probpalata.gov.ru/files/ИП780303722400000.jpeg","Скачать индивидуальный QR-код магазина")</f>
        <v>Скачать индивидуальный QR-код магазина</v>
      </c>
    </row>
    <row r="15453" spans="1:7" x14ac:dyDescent="0.25">
      <c r="A15453" t="s">
        <v>46193</v>
      </c>
      <c r="B15453" t="s">
        <v>47357</v>
      </c>
      <c r="C15453" t="s">
        <v>47358</v>
      </c>
      <c r="D15453" t="s">
        <v>47359</v>
      </c>
      <c r="E15453" t="s">
        <v>47360</v>
      </c>
      <c r="F15453" t="s">
        <v>47361</v>
      </c>
      <c r="G15453" s="2" t="str">
        <f>HYPERLINK("https://probpalata.gov.ru/files/ИП780301453000000.jpeg","Скачать индивидуальный QR-код магазина")</f>
        <v>Скачать индивидуальный QR-код магазина</v>
      </c>
    </row>
    <row r="15454" spans="1:7" x14ac:dyDescent="0.25">
      <c r="A15454" t="s">
        <v>46193</v>
      </c>
      <c r="B15454" t="s">
        <v>47362</v>
      </c>
      <c r="C15454" t="s">
        <v>47363</v>
      </c>
      <c r="D15454" t="s">
        <v>47364</v>
      </c>
      <c r="E15454" t="s">
        <v>47365</v>
      </c>
      <c r="F15454" t="s">
        <v>47366</v>
      </c>
      <c r="G15454" s="2" t="str">
        <f>HYPERLINK("https://probpalata.gov.ru/files/ЮЛ780300644100000.jpeg","Скачать индивидуальный QR-код магазина")</f>
        <v>Скачать индивидуальный QR-код магазина</v>
      </c>
    </row>
    <row r="15455" spans="1:7" x14ac:dyDescent="0.25">
      <c r="A15455" t="s">
        <v>46193</v>
      </c>
      <c r="B15455" t="s">
        <v>47367</v>
      </c>
      <c r="C15455" t="s">
        <v>13071</v>
      </c>
      <c r="D15455" t="s">
        <v>13072</v>
      </c>
      <c r="E15455" t="s">
        <v>13073</v>
      </c>
      <c r="F15455" t="s">
        <v>47368</v>
      </c>
      <c r="G15455" s="2" t="str">
        <f>HYPERLINK("https://probpalata.gov.ru/files/ЮЛ780301232700000.jpeg","Скачать индивидуальный QR-код магазина")</f>
        <v>Скачать индивидуальный QR-код магазина</v>
      </c>
    </row>
    <row r="15456" spans="1:7" x14ac:dyDescent="0.25">
      <c r="A15456" t="s">
        <v>46193</v>
      </c>
      <c r="B15456" t="s">
        <v>47369</v>
      </c>
      <c r="C15456" t="s">
        <v>13071</v>
      </c>
      <c r="D15456" t="s">
        <v>13072</v>
      </c>
      <c r="E15456" t="s">
        <v>13073</v>
      </c>
      <c r="F15456" t="s">
        <v>47370</v>
      </c>
      <c r="G15456" s="2" t="str">
        <f>HYPERLINK("https://probpalata.gov.ru/files/ЮЛ780301232700011.jpeg","Скачать индивидуальный QR-код магазина")</f>
        <v>Скачать индивидуальный QR-код магазина</v>
      </c>
    </row>
    <row r="15457" spans="1:7" x14ac:dyDescent="0.25">
      <c r="A15457" t="s">
        <v>46193</v>
      </c>
      <c r="B15457" t="s">
        <v>47371</v>
      </c>
      <c r="C15457" t="s">
        <v>13071</v>
      </c>
      <c r="D15457" t="s">
        <v>13072</v>
      </c>
      <c r="E15457" t="s">
        <v>13073</v>
      </c>
      <c r="F15457" t="s">
        <v>47372</v>
      </c>
      <c r="G15457" s="2" t="str">
        <f>HYPERLINK("https://probpalata.gov.ru/files/ЮЛ780301232700012.jpeg","Скачать индивидуальный QR-код магазина")</f>
        <v>Скачать индивидуальный QR-код магазина</v>
      </c>
    </row>
    <row r="15458" spans="1:7" x14ac:dyDescent="0.25">
      <c r="A15458" t="s">
        <v>46193</v>
      </c>
      <c r="B15458" t="s">
        <v>47373</v>
      </c>
      <c r="C15458" t="s">
        <v>47374</v>
      </c>
      <c r="D15458" t="s">
        <v>47375</v>
      </c>
      <c r="E15458" t="s">
        <v>47376</v>
      </c>
      <c r="F15458" t="s">
        <v>47377</v>
      </c>
      <c r="G15458" s="2" t="str">
        <f>HYPERLINK("https://probpalata.gov.ru/files/ЮЛ780300289100000.jpeg","Скачать индивидуальный QR-код магазина")</f>
        <v>Скачать индивидуальный QR-код магазина</v>
      </c>
    </row>
    <row r="15459" spans="1:7" x14ac:dyDescent="0.25">
      <c r="A15459" t="s">
        <v>46193</v>
      </c>
      <c r="B15459" t="s">
        <v>47378</v>
      </c>
      <c r="C15459" t="s">
        <v>47379</v>
      </c>
      <c r="D15459" t="s">
        <v>47380</v>
      </c>
      <c r="E15459" t="s">
        <v>47381</v>
      </c>
      <c r="F15459" t="s">
        <v>47382</v>
      </c>
      <c r="G15459" s="2" t="str">
        <f>HYPERLINK("https://probpalata.gov.ru/files/ЮЛ780300375600000.jpeg","Скачать индивидуальный QR-код магазина")</f>
        <v>Скачать индивидуальный QR-код магазина</v>
      </c>
    </row>
    <row r="15460" spans="1:7" x14ac:dyDescent="0.25">
      <c r="A15460" t="s">
        <v>46193</v>
      </c>
      <c r="B15460" t="s">
        <v>47383</v>
      </c>
      <c r="C15460" t="s">
        <v>45798</v>
      </c>
      <c r="D15460" t="s">
        <v>47384</v>
      </c>
      <c r="E15460" t="s">
        <v>47385</v>
      </c>
      <c r="F15460" t="s">
        <v>47386</v>
      </c>
      <c r="G15460" s="2" t="str">
        <f>HYPERLINK("https://probpalata.gov.ru/files/ЮЛ780303403300000.jpeg","Скачать индивидуальный QR-код магазина")</f>
        <v>Скачать индивидуальный QR-код магазина</v>
      </c>
    </row>
    <row r="15461" spans="1:7" x14ac:dyDescent="0.25">
      <c r="A15461" t="s">
        <v>46193</v>
      </c>
      <c r="B15461" t="s">
        <v>47387</v>
      </c>
      <c r="C15461" t="s">
        <v>26040</v>
      </c>
      <c r="D15461" t="s">
        <v>47388</v>
      </c>
      <c r="E15461" t="s">
        <v>47389</v>
      </c>
      <c r="F15461" t="s">
        <v>47390</v>
      </c>
      <c r="G15461" s="2" t="str">
        <f>HYPERLINK("https://probpalata.gov.ru/files/ЮЛ780303435900000.jpeg","Скачать индивидуальный QR-код магазина")</f>
        <v>Скачать индивидуальный QR-код магазина</v>
      </c>
    </row>
    <row r="15462" spans="1:7" x14ac:dyDescent="0.25">
      <c r="A15462" t="s">
        <v>46193</v>
      </c>
      <c r="B15462" t="s">
        <v>47391</v>
      </c>
      <c r="C15462" t="s">
        <v>47392</v>
      </c>
      <c r="D15462" t="s">
        <v>47393</v>
      </c>
      <c r="E15462" t="s">
        <v>47394</v>
      </c>
      <c r="F15462" t="s">
        <v>47395</v>
      </c>
      <c r="G15462" s="2" t="str">
        <f>HYPERLINK("https://probpalata.gov.ru/files/ЮЛ780303996900000.jpeg","Скачать индивидуальный QR-код магазина")</f>
        <v>Скачать индивидуальный QR-код магазина</v>
      </c>
    </row>
    <row r="15463" spans="1:7" x14ac:dyDescent="0.25">
      <c r="A15463" t="s">
        <v>46193</v>
      </c>
      <c r="B15463" t="s">
        <v>47396</v>
      </c>
      <c r="C15463" t="s">
        <v>47397</v>
      </c>
      <c r="D15463" t="s">
        <v>47398</v>
      </c>
      <c r="E15463" t="s">
        <v>47399</v>
      </c>
      <c r="F15463" t="s">
        <v>47400</v>
      </c>
      <c r="G15463" s="2" t="str">
        <f>HYPERLINK("https://probpalata.gov.ru/files/ИП780300358000000.jpeg","Скачать индивидуальный QR-код магазина")</f>
        <v>Скачать индивидуальный QR-код магазина</v>
      </c>
    </row>
    <row r="15464" spans="1:7" x14ac:dyDescent="0.25">
      <c r="A15464" t="s">
        <v>46193</v>
      </c>
      <c r="B15464" t="s">
        <v>47401</v>
      </c>
      <c r="C15464" t="s">
        <v>47402</v>
      </c>
      <c r="D15464" t="s">
        <v>47403</v>
      </c>
      <c r="E15464" t="s">
        <v>47404</v>
      </c>
      <c r="F15464" t="s">
        <v>47405</v>
      </c>
      <c r="G15464" s="2" t="str">
        <f>HYPERLINK("https://probpalata.gov.ru/files/ИП780303778900000.jpeg","Скачать индивидуальный QR-код магазина")</f>
        <v>Скачать индивидуальный QR-код магазина</v>
      </c>
    </row>
    <row r="15465" spans="1:7" x14ac:dyDescent="0.25">
      <c r="A15465" t="s">
        <v>46193</v>
      </c>
      <c r="B15465" t="s">
        <v>47406</v>
      </c>
      <c r="C15465" t="s">
        <v>47407</v>
      </c>
      <c r="D15465" t="s">
        <v>47408</v>
      </c>
      <c r="E15465" t="s">
        <v>47409</v>
      </c>
      <c r="F15465" t="s">
        <v>47410</v>
      </c>
      <c r="G15465" s="2" t="str">
        <f>HYPERLINK("https://probpalata.gov.ru/files/ЮЛ780302038100000.jpeg","Скачать индивидуальный QR-код магазина")</f>
        <v>Скачать индивидуальный QR-код магазина</v>
      </c>
    </row>
    <row r="15466" spans="1:7" x14ac:dyDescent="0.25">
      <c r="A15466" t="s">
        <v>46193</v>
      </c>
      <c r="B15466" t="s">
        <v>47411</v>
      </c>
      <c r="C15466" t="s">
        <v>47412</v>
      </c>
      <c r="D15466" t="s">
        <v>47413</v>
      </c>
      <c r="E15466" t="s">
        <v>47414</v>
      </c>
      <c r="F15466" t="s">
        <v>47415</v>
      </c>
      <c r="G15466" s="2" t="str">
        <f>HYPERLINK("https://probpalata.gov.ru/files/ИП780304094000000.jpeg","Скачать индивидуальный QR-код магазина")</f>
        <v>Скачать индивидуальный QR-код магазина</v>
      </c>
    </row>
    <row r="15467" spans="1:7" x14ac:dyDescent="0.25">
      <c r="A15467" t="s">
        <v>46193</v>
      </c>
      <c r="B15467" t="s">
        <v>47416</v>
      </c>
      <c r="C15467" t="s">
        <v>47417</v>
      </c>
      <c r="D15467" t="s">
        <v>47418</v>
      </c>
      <c r="E15467" t="s">
        <v>47419</v>
      </c>
      <c r="F15467" t="s">
        <v>47420</v>
      </c>
      <c r="G15467" s="2" t="str">
        <f>HYPERLINK("https://probpalata.gov.ru/files/ЮЛ780300410800000.jpeg","Скачать индивидуальный QR-код магазина")</f>
        <v>Скачать индивидуальный QR-код магазина</v>
      </c>
    </row>
    <row r="15468" spans="1:7" x14ac:dyDescent="0.25">
      <c r="A15468" t="s">
        <v>46193</v>
      </c>
      <c r="B15468" t="s">
        <v>47421</v>
      </c>
      <c r="C15468" t="s">
        <v>47422</v>
      </c>
      <c r="D15468" t="s">
        <v>47423</v>
      </c>
      <c r="E15468" t="s">
        <v>47424</v>
      </c>
      <c r="F15468" t="s">
        <v>47425</v>
      </c>
      <c r="G15468" s="2" t="str">
        <f>HYPERLINK("https://probpalata.gov.ru/files/ЮЛ780300236800000.jpeg","Скачать индивидуальный QR-код магазина")</f>
        <v>Скачать индивидуальный QR-код магазина</v>
      </c>
    </row>
    <row r="15469" spans="1:7" x14ac:dyDescent="0.25">
      <c r="A15469" t="s">
        <v>46193</v>
      </c>
      <c r="B15469" t="s">
        <v>47426</v>
      </c>
      <c r="C15469" t="s">
        <v>47427</v>
      </c>
      <c r="D15469" t="s">
        <v>47428</v>
      </c>
      <c r="E15469" t="s">
        <v>47429</v>
      </c>
      <c r="F15469" t="s">
        <v>47430</v>
      </c>
      <c r="G15469" s="2" t="str">
        <f>HYPERLINK("https://probpalata.gov.ru/files/ЮЛ780300589300000.jpeg","Скачать индивидуальный QR-код магазина")</f>
        <v>Скачать индивидуальный QR-код магазина</v>
      </c>
    </row>
    <row r="15470" spans="1:7" x14ac:dyDescent="0.25">
      <c r="A15470" t="s">
        <v>46193</v>
      </c>
      <c r="B15470" t="s">
        <v>47431</v>
      </c>
      <c r="C15470" t="s">
        <v>47432</v>
      </c>
      <c r="D15470" t="s">
        <v>47433</v>
      </c>
      <c r="E15470" t="s">
        <v>47434</v>
      </c>
      <c r="F15470" t="s">
        <v>47435</v>
      </c>
      <c r="G15470" s="2" t="str">
        <f>HYPERLINK("https://probpalata.gov.ru/files/ИП780303271900000.jpeg","Скачать индивидуальный QR-код магазина")</f>
        <v>Скачать индивидуальный QR-код магазина</v>
      </c>
    </row>
    <row r="15471" spans="1:7" x14ac:dyDescent="0.25">
      <c r="A15471" t="s">
        <v>46193</v>
      </c>
      <c r="B15471" t="s">
        <v>47436</v>
      </c>
      <c r="C15471" t="s">
        <v>47437</v>
      </c>
      <c r="D15471" t="s">
        <v>47438</v>
      </c>
      <c r="E15471" t="s">
        <v>47439</v>
      </c>
      <c r="F15471" t="s">
        <v>47440</v>
      </c>
      <c r="G15471" s="2" t="str">
        <f>HYPERLINK("https://probpalata.gov.ru/files/ИП470303913300000.jpeg","Скачать индивидуальный QR-код магазина")</f>
        <v>Скачать индивидуальный QR-код магазина</v>
      </c>
    </row>
    <row r="15472" spans="1:7" x14ac:dyDescent="0.25">
      <c r="A15472" t="s">
        <v>46193</v>
      </c>
      <c r="B15472" t="s">
        <v>47441</v>
      </c>
      <c r="C15472" t="s">
        <v>47442</v>
      </c>
      <c r="D15472" t="s">
        <v>47443</v>
      </c>
      <c r="E15472" t="s">
        <v>47444</v>
      </c>
      <c r="F15472" t="s">
        <v>47445</v>
      </c>
      <c r="G15472" s="2" t="str">
        <f>HYPERLINK("https://probpalata.gov.ru/files/ЮЛ780300137000000.jpeg","Скачать индивидуальный QR-код магазина")</f>
        <v>Скачать индивидуальный QR-код магазина</v>
      </c>
    </row>
    <row r="15473" spans="1:7" x14ac:dyDescent="0.25">
      <c r="A15473" t="s">
        <v>46193</v>
      </c>
      <c r="B15473" t="s">
        <v>47446</v>
      </c>
      <c r="C15473" t="s">
        <v>47447</v>
      </c>
      <c r="D15473" t="s">
        <v>47448</v>
      </c>
      <c r="E15473" t="s">
        <v>47449</v>
      </c>
      <c r="F15473" t="s">
        <v>47450</v>
      </c>
      <c r="G15473" s="2" t="str">
        <f>HYPERLINK("https://probpalata.gov.ru/files/ЮЛ780300544900000.jpeg","Скачать индивидуальный QR-код магазина")</f>
        <v>Скачать индивидуальный QR-код магазина</v>
      </c>
    </row>
    <row r="15474" spans="1:7" x14ac:dyDescent="0.25">
      <c r="A15474" t="s">
        <v>46193</v>
      </c>
      <c r="B15474" t="s">
        <v>47451</v>
      </c>
      <c r="C15474" t="s">
        <v>47447</v>
      </c>
      <c r="D15474" t="s">
        <v>47448</v>
      </c>
      <c r="E15474" t="s">
        <v>47449</v>
      </c>
      <c r="F15474" t="s">
        <v>47452</v>
      </c>
      <c r="G15474" s="2" t="str">
        <f>HYPERLINK("https://probpalata.gov.ru/files/ЮЛ780300544900001.jpeg","Скачать индивидуальный QR-код магазина")</f>
        <v>Скачать индивидуальный QR-код магазина</v>
      </c>
    </row>
    <row r="15475" spans="1:7" x14ac:dyDescent="0.25">
      <c r="A15475" t="s">
        <v>46193</v>
      </c>
      <c r="B15475" t="s">
        <v>47453</v>
      </c>
      <c r="C15475" t="s">
        <v>47454</v>
      </c>
      <c r="D15475" t="s">
        <v>47455</v>
      </c>
      <c r="E15475" t="s">
        <v>47456</v>
      </c>
      <c r="F15475" t="s">
        <v>47457</v>
      </c>
      <c r="G15475" s="2" t="str">
        <f>HYPERLINK("https://probpalata.gov.ru/files/ЮЛ780300423100000.jpeg","Скачать индивидуальный QR-код магазина")</f>
        <v>Скачать индивидуальный QR-код магазина</v>
      </c>
    </row>
    <row r="15476" spans="1:7" x14ac:dyDescent="0.25">
      <c r="A15476" t="s">
        <v>46193</v>
      </c>
      <c r="B15476" t="s">
        <v>47458</v>
      </c>
      <c r="C15476" t="s">
        <v>47459</v>
      </c>
      <c r="D15476" t="s">
        <v>47460</v>
      </c>
      <c r="E15476" t="s">
        <v>47461</v>
      </c>
      <c r="F15476" t="s">
        <v>47462</v>
      </c>
      <c r="G15476" s="2" t="str">
        <f>HYPERLINK("https://probpalata.gov.ru/files/ЮЛ780300967900000.jpeg","Скачать индивидуальный QR-код магазина")</f>
        <v>Скачать индивидуальный QR-код магазина</v>
      </c>
    </row>
    <row r="15477" spans="1:7" x14ac:dyDescent="0.25">
      <c r="A15477" t="s">
        <v>46193</v>
      </c>
      <c r="B15477" t="s">
        <v>47463</v>
      </c>
      <c r="C15477" t="s">
        <v>47464</v>
      </c>
      <c r="D15477" t="s">
        <v>47465</v>
      </c>
      <c r="E15477" t="s">
        <v>47466</v>
      </c>
      <c r="F15477" t="s">
        <v>47467</v>
      </c>
      <c r="G15477" s="2" t="str">
        <f>HYPERLINK("https://probpalata.gov.ru/files/ЮЛ780301617600000.jpeg","Скачать индивидуальный QR-код магазина")</f>
        <v>Скачать индивидуальный QR-код магазина</v>
      </c>
    </row>
    <row r="15478" spans="1:7" x14ac:dyDescent="0.25">
      <c r="A15478" t="s">
        <v>46193</v>
      </c>
      <c r="B15478" t="s">
        <v>47468</v>
      </c>
      <c r="C15478" t="s">
        <v>47469</v>
      </c>
      <c r="D15478" t="s">
        <v>47470</v>
      </c>
      <c r="E15478" t="s">
        <v>47471</v>
      </c>
      <c r="F15478" t="s">
        <v>47472</v>
      </c>
      <c r="G15478" s="2" t="str">
        <f>HYPERLINK("https://probpalata.gov.ru/files/ЮЛ780300422200000.jpeg","Скачать индивидуальный QR-код магазина")</f>
        <v>Скачать индивидуальный QR-код магазина</v>
      </c>
    </row>
    <row r="15479" spans="1:7" x14ac:dyDescent="0.25">
      <c r="A15479" t="s">
        <v>46193</v>
      </c>
      <c r="B15479" t="s">
        <v>47473</v>
      </c>
      <c r="C15479" t="s">
        <v>47474</v>
      </c>
      <c r="D15479" t="s">
        <v>47475</v>
      </c>
      <c r="E15479" t="s">
        <v>47476</v>
      </c>
      <c r="F15479" t="s">
        <v>47477</v>
      </c>
      <c r="G15479" s="2" t="str">
        <f>HYPERLINK("https://probpalata.gov.ru/files/ЮЛ780300422500000.jpeg","Скачать индивидуальный QR-код магазина")</f>
        <v>Скачать индивидуальный QR-код магазина</v>
      </c>
    </row>
    <row r="15480" spans="1:7" x14ac:dyDescent="0.25">
      <c r="A15480" t="s">
        <v>46193</v>
      </c>
      <c r="B15480" t="s">
        <v>47478</v>
      </c>
      <c r="C15480" t="s">
        <v>47479</v>
      </c>
      <c r="D15480" t="s">
        <v>47480</v>
      </c>
      <c r="E15480" t="s">
        <v>47481</v>
      </c>
      <c r="F15480" t="s">
        <v>47482</v>
      </c>
      <c r="G15480" s="2" t="str">
        <f>HYPERLINK("https://probpalata.gov.ru/files/ЮЛ780303540200000.jpeg","Скачать индивидуальный QR-код магазина")</f>
        <v>Скачать индивидуальный QR-код магазина</v>
      </c>
    </row>
    <row r="15481" spans="1:7" x14ac:dyDescent="0.25">
      <c r="A15481" t="s">
        <v>46193</v>
      </c>
      <c r="B15481" t="s">
        <v>47483</v>
      </c>
      <c r="C15481" t="s">
        <v>17889</v>
      </c>
      <c r="D15481" t="s">
        <v>17890</v>
      </c>
      <c r="E15481" t="s">
        <v>17891</v>
      </c>
      <c r="F15481" t="s">
        <v>47484</v>
      </c>
      <c r="G15481" s="2" t="str">
        <f>HYPERLINK("https://probpalata.gov.ru/files/ЮЛ780301491200003.jpeg","Скачать индивидуальный QR-код магазина")</f>
        <v>Скачать индивидуальный QR-код магазина</v>
      </c>
    </row>
    <row r="15482" spans="1:7" x14ac:dyDescent="0.25">
      <c r="A15482" t="s">
        <v>46193</v>
      </c>
      <c r="B15482" t="s">
        <v>47485</v>
      </c>
      <c r="C15482" t="s">
        <v>17889</v>
      </c>
      <c r="D15482" t="s">
        <v>17890</v>
      </c>
      <c r="E15482" t="s">
        <v>17891</v>
      </c>
      <c r="F15482" t="s">
        <v>47486</v>
      </c>
      <c r="G15482" s="2" t="str">
        <f>HYPERLINK("https://probpalata.gov.ru/files/ЮЛ780301491200005.jpeg","Скачать индивидуальный QR-код магазина")</f>
        <v>Скачать индивидуальный QR-код магазина</v>
      </c>
    </row>
    <row r="15483" spans="1:7" x14ac:dyDescent="0.25">
      <c r="A15483" t="s">
        <v>46193</v>
      </c>
      <c r="B15483" t="s">
        <v>47487</v>
      </c>
      <c r="C15483" t="s">
        <v>17889</v>
      </c>
      <c r="D15483" t="s">
        <v>17890</v>
      </c>
      <c r="E15483" t="s">
        <v>17891</v>
      </c>
      <c r="F15483" t="s">
        <v>47488</v>
      </c>
      <c r="G15483" s="2" t="str">
        <f>HYPERLINK("https://probpalata.gov.ru/files/ЮЛ780301491200008.jpeg","Скачать индивидуальный QR-код магазина")</f>
        <v>Скачать индивидуальный QR-код магазина</v>
      </c>
    </row>
    <row r="15484" spans="1:7" x14ac:dyDescent="0.25">
      <c r="A15484" t="s">
        <v>46193</v>
      </c>
      <c r="B15484" t="s">
        <v>47489</v>
      </c>
      <c r="C15484" t="s">
        <v>17889</v>
      </c>
      <c r="D15484" t="s">
        <v>17890</v>
      </c>
      <c r="E15484" t="s">
        <v>17891</v>
      </c>
      <c r="F15484" t="s">
        <v>47490</v>
      </c>
      <c r="G15484" s="2" t="str">
        <f>HYPERLINK("https://probpalata.gov.ru/files/ЮЛ780301491200009.jpeg","Скачать индивидуальный QR-код магазина")</f>
        <v>Скачать индивидуальный QR-код магазина</v>
      </c>
    </row>
    <row r="15485" spans="1:7" x14ac:dyDescent="0.25">
      <c r="A15485" t="s">
        <v>46193</v>
      </c>
      <c r="B15485" t="s">
        <v>47491</v>
      </c>
      <c r="C15485" t="s">
        <v>17889</v>
      </c>
      <c r="D15485" t="s">
        <v>17890</v>
      </c>
      <c r="E15485" t="s">
        <v>17891</v>
      </c>
      <c r="F15485" t="s">
        <v>47492</v>
      </c>
      <c r="G15485" s="2" t="str">
        <f>HYPERLINK("https://probpalata.gov.ru/files/ЮЛ780301491200010.jpeg","Скачать индивидуальный QR-код магазина")</f>
        <v>Скачать индивидуальный QR-код магазина</v>
      </c>
    </row>
    <row r="15486" spans="1:7" x14ac:dyDescent="0.25">
      <c r="A15486" t="s">
        <v>46193</v>
      </c>
      <c r="B15486" t="s">
        <v>47493</v>
      </c>
      <c r="C15486" t="s">
        <v>47494</v>
      </c>
      <c r="D15486" t="s">
        <v>47495</v>
      </c>
      <c r="E15486" t="s">
        <v>47496</v>
      </c>
      <c r="F15486" t="s">
        <v>47497</v>
      </c>
      <c r="G15486" s="2" t="str">
        <f>HYPERLINK("https://probpalata.gov.ru/files/ЮЛ780303665200002.jpeg","Скачать индивидуальный QR-код магазина")</f>
        <v>Скачать индивидуальный QR-код магазина</v>
      </c>
    </row>
    <row r="15487" spans="1:7" x14ac:dyDescent="0.25">
      <c r="A15487" t="s">
        <v>46193</v>
      </c>
      <c r="B15487" t="s">
        <v>47498</v>
      </c>
      <c r="C15487" t="s">
        <v>47494</v>
      </c>
      <c r="D15487" t="s">
        <v>47495</v>
      </c>
      <c r="E15487" t="s">
        <v>47496</v>
      </c>
      <c r="F15487" t="s">
        <v>47499</v>
      </c>
      <c r="G15487" s="2" t="str">
        <f>HYPERLINK("https://probpalata.gov.ru/files/ЮЛ780303665200003.jpeg","Скачать индивидуальный QR-код магазина")</f>
        <v>Скачать индивидуальный QR-код магазина</v>
      </c>
    </row>
    <row r="15488" spans="1:7" x14ac:dyDescent="0.25">
      <c r="A15488" t="s">
        <v>46193</v>
      </c>
      <c r="B15488" t="s">
        <v>47416</v>
      </c>
      <c r="C15488" t="s">
        <v>47494</v>
      </c>
      <c r="D15488" t="s">
        <v>47495</v>
      </c>
      <c r="E15488" t="s">
        <v>47496</v>
      </c>
      <c r="F15488" t="s">
        <v>47500</v>
      </c>
      <c r="G15488" s="2" t="str">
        <f>HYPERLINK("https://probpalata.gov.ru/files/ЮЛ780303665200004.jpeg","Скачать индивидуальный QR-код магазина")</f>
        <v>Скачать индивидуальный QR-код магазина</v>
      </c>
    </row>
    <row r="15489" spans="1:7" x14ac:dyDescent="0.25">
      <c r="A15489" t="s">
        <v>46193</v>
      </c>
      <c r="B15489" t="s">
        <v>47446</v>
      </c>
      <c r="C15489" t="s">
        <v>47494</v>
      </c>
      <c r="D15489" t="s">
        <v>47495</v>
      </c>
      <c r="E15489" t="s">
        <v>47496</v>
      </c>
      <c r="F15489" t="s">
        <v>47501</v>
      </c>
      <c r="G15489" s="2" t="str">
        <f>HYPERLINK("https://probpalata.gov.ru/files/ЮЛ780303665200005.jpeg","Скачать индивидуальный QR-код магазина")</f>
        <v>Скачать индивидуальный QR-код магазина</v>
      </c>
    </row>
    <row r="15490" spans="1:7" x14ac:dyDescent="0.25">
      <c r="A15490" t="s">
        <v>46193</v>
      </c>
      <c r="B15490" t="s">
        <v>47502</v>
      </c>
      <c r="C15490" t="s">
        <v>3181</v>
      </c>
      <c r="D15490" t="s">
        <v>47503</v>
      </c>
      <c r="E15490" t="s">
        <v>47504</v>
      </c>
      <c r="F15490" t="s">
        <v>47505</v>
      </c>
      <c r="G15490" s="2" t="str">
        <f>HYPERLINK("https://probpalata.gov.ru/files/ЮЛ780304036500000.jpeg","Скачать индивидуальный QR-код магазина")</f>
        <v>Скачать индивидуальный QR-код магазина</v>
      </c>
    </row>
    <row r="15491" spans="1:7" x14ac:dyDescent="0.25">
      <c r="A15491" t="s">
        <v>46193</v>
      </c>
      <c r="B15491" t="s">
        <v>47506</v>
      </c>
      <c r="C15491" t="s">
        <v>47507</v>
      </c>
      <c r="D15491" t="s">
        <v>47508</v>
      </c>
      <c r="E15491" t="s">
        <v>47509</v>
      </c>
      <c r="F15491" t="s">
        <v>47510</v>
      </c>
      <c r="G15491" s="2" t="str">
        <f>HYPERLINK("https://probpalata.gov.ru/files/ИП780301420600000.jpeg","Скачать индивидуальный QR-код магазина")</f>
        <v>Скачать индивидуальный QR-код магазина</v>
      </c>
    </row>
    <row r="15492" spans="1:7" x14ac:dyDescent="0.25">
      <c r="A15492" t="s">
        <v>46193</v>
      </c>
      <c r="B15492" t="s">
        <v>47511</v>
      </c>
      <c r="C15492" t="s">
        <v>47512</v>
      </c>
      <c r="D15492" t="s">
        <v>47513</v>
      </c>
      <c r="E15492" t="s">
        <v>47514</v>
      </c>
      <c r="F15492" t="s">
        <v>47515</v>
      </c>
      <c r="G15492" s="2" t="str">
        <f>HYPERLINK("https://probpalata.gov.ru/files/ЮЛ780300380600000.jpeg","Скачать индивидуальный QR-код магазина")</f>
        <v>Скачать индивидуальный QR-код магазина</v>
      </c>
    </row>
    <row r="15493" spans="1:7" x14ac:dyDescent="0.25">
      <c r="A15493" t="s">
        <v>46193</v>
      </c>
      <c r="B15493" t="s">
        <v>47516</v>
      </c>
      <c r="C15493" t="s">
        <v>47512</v>
      </c>
      <c r="D15493" t="s">
        <v>47513</v>
      </c>
      <c r="E15493" t="s">
        <v>47514</v>
      </c>
      <c r="F15493" t="s">
        <v>47517</v>
      </c>
      <c r="G15493" s="2" t="str">
        <f>HYPERLINK("https://probpalata.gov.ru/files/ЮЛ780300380600001.jpeg","Скачать индивидуальный QR-код магазина")</f>
        <v>Скачать индивидуальный QR-код магазина</v>
      </c>
    </row>
    <row r="15494" spans="1:7" x14ac:dyDescent="0.25">
      <c r="A15494" t="s">
        <v>46193</v>
      </c>
      <c r="B15494" t="s">
        <v>47518</v>
      </c>
      <c r="C15494" t="s">
        <v>47512</v>
      </c>
      <c r="D15494" t="s">
        <v>47513</v>
      </c>
      <c r="E15494" t="s">
        <v>47514</v>
      </c>
      <c r="F15494" t="s">
        <v>47519</v>
      </c>
      <c r="G15494" s="2" t="str">
        <f>HYPERLINK("https://probpalata.gov.ru/files/ЮЛ780300380600002.jpeg","Скачать индивидуальный QR-код магазина")</f>
        <v>Скачать индивидуальный QR-код магазина</v>
      </c>
    </row>
    <row r="15495" spans="1:7" x14ac:dyDescent="0.25">
      <c r="A15495" t="s">
        <v>46193</v>
      </c>
      <c r="B15495" t="s">
        <v>47520</v>
      </c>
      <c r="C15495" t="s">
        <v>47512</v>
      </c>
      <c r="D15495" t="s">
        <v>47513</v>
      </c>
      <c r="E15495" t="s">
        <v>47514</v>
      </c>
      <c r="F15495" t="s">
        <v>47521</v>
      </c>
      <c r="G15495" s="2" t="str">
        <f>HYPERLINK("https://probpalata.gov.ru/files/ЮЛ780300380600003.jpeg","Скачать индивидуальный QR-код магазина")</f>
        <v>Скачать индивидуальный QR-код магазина</v>
      </c>
    </row>
    <row r="15496" spans="1:7" x14ac:dyDescent="0.25">
      <c r="A15496" t="s">
        <v>46193</v>
      </c>
      <c r="B15496" t="s">
        <v>47522</v>
      </c>
      <c r="C15496" t="s">
        <v>47512</v>
      </c>
      <c r="D15496" t="s">
        <v>47513</v>
      </c>
      <c r="E15496" t="s">
        <v>47514</v>
      </c>
      <c r="F15496" t="s">
        <v>47523</v>
      </c>
      <c r="G15496" s="2" t="str">
        <f>HYPERLINK("https://probpalata.gov.ru/files/ЮЛ780300380600004.jpeg","Скачать индивидуальный QR-код магазина")</f>
        <v>Скачать индивидуальный QR-код магазина</v>
      </c>
    </row>
    <row r="15497" spans="1:7" x14ac:dyDescent="0.25">
      <c r="A15497" t="s">
        <v>46193</v>
      </c>
      <c r="B15497" t="s">
        <v>47524</v>
      </c>
      <c r="C15497" t="s">
        <v>47512</v>
      </c>
      <c r="D15497" t="s">
        <v>47513</v>
      </c>
      <c r="E15497" t="s">
        <v>47514</v>
      </c>
      <c r="F15497" t="s">
        <v>47525</v>
      </c>
      <c r="G15497" s="2" t="str">
        <f>HYPERLINK("https://probpalata.gov.ru/files/ЮЛ780300380600005.jpeg","Скачать индивидуальный QR-код магазина")</f>
        <v>Скачать индивидуальный QR-код магазина</v>
      </c>
    </row>
    <row r="15498" spans="1:7" x14ac:dyDescent="0.25">
      <c r="A15498" t="s">
        <v>46193</v>
      </c>
      <c r="B15498" t="s">
        <v>47526</v>
      </c>
      <c r="C15498" t="s">
        <v>47512</v>
      </c>
      <c r="D15498" t="s">
        <v>47513</v>
      </c>
      <c r="E15498" t="s">
        <v>47514</v>
      </c>
      <c r="F15498" t="s">
        <v>47527</v>
      </c>
      <c r="G15498" s="2" t="str">
        <f>HYPERLINK("https://probpalata.gov.ru/files/ЮЛ780300380600006.jpeg","Скачать индивидуальный QR-код магазина")</f>
        <v>Скачать индивидуальный QR-код магазина</v>
      </c>
    </row>
    <row r="15499" spans="1:7" x14ac:dyDescent="0.25">
      <c r="A15499" t="s">
        <v>46193</v>
      </c>
      <c r="B15499" t="s">
        <v>47528</v>
      </c>
      <c r="C15499" t="s">
        <v>47512</v>
      </c>
      <c r="D15499" t="s">
        <v>47513</v>
      </c>
      <c r="E15499" t="s">
        <v>47514</v>
      </c>
      <c r="F15499" t="s">
        <v>47529</v>
      </c>
      <c r="G15499" s="2" t="str">
        <f>HYPERLINK("https://probpalata.gov.ru/files/ЮЛ780300380600007.jpeg","Скачать индивидуальный QR-код магазина")</f>
        <v>Скачать индивидуальный QR-код магазина</v>
      </c>
    </row>
    <row r="15500" spans="1:7" x14ac:dyDescent="0.25">
      <c r="A15500" t="s">
        <v>46193</v>
      </c>
      <c r="B15500" t="s">
        <v>47530</v>
      </c>
      <c r="C15500" t="s">
        <v>47512</v>
      </c>
      <c r="D15500" t="s">
        <v>47513</v>
      </c>
      <c r="E15500" t="s">
        <v>47514</v>
      </c>
      <c r="F15500" t="s">
        <v>47531</v>
      </c>
      <c r="G15500" s="2" t="str">
        <f>HYPERLINK("https://probpalata.gov.ru/files/ЮЛ780300380600008.jpeg","Скачать индивидуальный QR-код магазина")</f>
        <v>Скачать индивидуальный QR-код магазина</v>
      </c>
    </row>
    <row r="15501" spans="1:7" x14ac:dyDescent="0.25">
      <c r="A15501" t="s">
        <v>46193</v>
      </c>
      <c r="B15501" t="s">
        <v>47532</v>
      </c>
      <c r="C15501" t="s">
        <v>47512</v>
      </c>
      <c r="D15501" t="s">
        <v>47513</v>
      </c>
      <c r="E15501" t="s">
        <v>47514</v>
      </c>
      <c r="F15501" t="s">
        <v>47533</v>
      </c>
      <c r="G15501" s="2" t="str">
        <f>HYPERLINK("https://probpalata.gov.ru/files/ЮЛ780300380600009.jpeg","Скачать индивидуальный QR-код магазина")</f>
        <v>Скачать индивидуальный QR-код магазина</v>
      </c>
    </row>
    <row r="15502" spans="1:7" x14ac:dyDescent="0.25">
      <c r="A15502" t="s">
        <v>46193</v>
      </c>
      <c r="B15502" t="s">
        <v>47534</v>
      </c>
      <c r="C15502" t="s">
        <v>47512</v>
      </c>
      <c r="D15502" t="s">
        <v>47513</v>
      </c>
      <c r="E15502" t="s">
        <v>47514</v>
      </c>
      <c r="F15502" t="s">
        <v>47535</v>
      </c>
      <c r="G15502" s="2" t="str">
        <f>HYPERLINK("https://probpalata.gov.ru/files/ЮЛ780300380600011.jpeg","Скачать индивидуальный QR-код магазина")</f>
        <v>Скачать индивидуальный QR-код магазина</v>
      </c>
    </row>
    <row r="15503" spans="1:7" x14ac:dyDescent="0.25">
      <c r="A15503" t="s">
        <v>46193</v>
      </c>
      <c r="B15503" t="s">
        <v>47536</v>
      </c>
      <c r="C15503" t="s">
        <v>47512</v>
      </c>
      <c r="D15503" t="s">
        <v>47513</v>
      </c>
      <c r="E15503" t="s">
        <v>47514</v>
      </c>
      <c r="F15503" t="s">
        <v>47537</v>
      </c>
      <c r="G15503" s="2" t="str">
        <f>HYPERLINK("https://probpalata.gov.ru/files/ЮЛ780300380600012.jpeg","Скачать индивидуальный QR-код магазина")</f>
        <v>Скачать индивидуальный QR-код магазина</v>
      </c>
    </row>
    <row r="15504" spans="1:7" x14ac:dyDescent="0.25">
      <c r="A15504" t="s">
        <v>46193</v>
      </c>
      <c r="B15504" t="s">
        <v>47538</v>
      </c>
      <c r="C15504" t="s">
        <v>47512</v>
      </c>
      <c r="D15504" t="s">
        <v>47513</v>
      </c>
      <c r="E15504" t="s">
        <v>47514</v>
      </c>
      <c r="F15504" t="s">
        <v>47539</v>
      </c>
      <c r="G15504" s="2" t="str">
        <f>HYPERLINK("https://probpalata.gov.ru/files/ЮЛ780300380600013.jpeg","Скачать индивидуальный QR-код магазина")</f>
        <v>Скачать индивидуальный QR-код магазина</v>
      </c>
    </row>
    <row r="15505" spans="1:7" x14ac:dyDescent="0.25">
      <c r="A15505" t="s">
        <v>46193</v>
      </c>
      <c r="B15505" t="s">
        <v>47540</v>
      </c>
      <c r="C15505" t="s">
        <v>47512</v>
      </c>
      <c r="D15505" t="s">
        <v>47513</v>
      </c>
      <c r="E15505" t="s">
        <v>47514</v>
      </c>
      <c r="F15505" t="s">
        <v>47541</v>
      </c>
      <c r="G15505" s="2" t="str">
        <f>HYPERLINK("https://probpalata.gov.ru/files/ЮЛ780300380600014.jpeg","Скачать индивидуальный QR-код магазина")</f>
        <v>Скачать индивидуальный QR-код магазина</v>
      </c>
    </row>
    <row r="15506" spans="1:7" x14ac:dyDescent="0.25">
      <c r="A15506" t="s">
        <v>46193</v>
      </c>
      <c r="B15506" t="s">
        <v>47542</v>
      </c>
      <c r="C15506" t="s">
        <v>47512</v>
      </c>
      <c r="D15506" t="s">
        <v>47513</v>
      </c>
      <c r="E15506" t="s">
        <v>47514</v>
      </c>
      <c r="F15506" t="s">
        <v>47543</v>
      </c>
      <c r="G15506" s="2" t="str">
        <f>HYPERLINK("https://probpalata.gov.ru/files/ЮЛ780300380600015.jpeg","Скачать индивидуальный QR-код магазина")</f>
        <v>Скачать индивидуальный QR-код магазина</v>
      </c>
    </row>
    <row r="15507" spans="1:7" x14ac:dyDescent="0.25">
      <c r="A15507" t="s">
        <v>46193</v>
      </c>
      <c r="B15507" t="s">
        <v>47544</v>
      </c>
      <c r="C15507" t="s">
        <v>47545</v>
      </c>
      <c r="D15507" t="s">
        <v>47546</v>
      </c>
      <c r="E15507" t="s">
        <v>47547</v>
      </c>
      <c r="F15507" t="s">
        <v>47548</v>
      </c>
      <c r="G15507" s="2" t="str">
        <f>HYPERLINK("https://probpalata.gov.ru/files/ИП780300523900000.jpeg","Скачать индивидуальный QR-код магазина")</f>
        <v>Скачать индивидуальный QR-код магазина</v>
      </c>
    </row>
    <row r="15508" spans="1:7" x14ac:dyDescent="0.25">
      <c r="A15508" t="s">
        <v>46193</v>
      </c>
      <c r="B15508" t="s">
        <v>47549</v>
      </c>
      <c r="C15508" t="s">
        <v>47550</v>
      </c>
      <c r="D15508" t="s">
        <v>47551</v>
      </c>
      <c r="E15508" t="s">
        <v>47552</v>
      </c>
      <c r="F15508" t="s">
        <v>47553</v>
      </c>
      <c r="G15508" s="2" t="str">
        <f>HYPERLINK("https://probpalata.gov.ru/files/ИП780303717600000.jpeg","Скачать индивидуальный QR-код магазина")</f>
        <v>Скачать индивидуальный QR-код магазина</v>
      </c>
    </row>
    <row r="15509" spans="1:7" x14ac:dyDescent="0.25">
      <c r="A15509" t="s">
        <v>46193</v>
      </c>
      <c r="B15509" t="s">
        <v>47554</v>
      </c>
      <c r="C15509" t="s">
        <v>47555</v>
      </c>
      <c r="D15509" t="s">
        <v>47556</v>
      </c>
      <c r="E15509" t="s">
        <v>47557</v>
      </c>
      <c r="F15509" t="s">
        <v>47558</v>
      </c>
      <c r="G15509" s="2" t="str">
        <f>HYPERLINK("https://probpalata.gov.ru/files/ИП780303814300000.jpeg","Скачать индивидуальный QR-код магазина")</f>
        <v>Скачать индивидуальный QR-код магазина</v>
      </c>
    </row>
    <row r="15510" spans="1:7" x14ac:dyDescent="0.25">
      <c r="A15510" t="s">
        <v>46193</v>
      </c>
      <c r="B15510" t="s">
        <v>47559</v>
      </c>
      <c r="C15510" t="s">
        <v>47560</v>
      </c>
      <c r="D15510" t="s">
        <v>47561</v>
      </c>
      <c r="E15510" t="s">
        <v>47562</v>
      </c>
      <c r="F15510" t="s">
        <v>47563</v>
      </c>
      <c r="G15510" s="2" t="str">
        <f>HYPERLINK("https://probpalata.gov.ru/files/ИП780300330400000.jpeg","Скачать индивидуальный QR-код магазина")</f>
        <v>Скачать индивидуальный QR-код магазина</v>
      </c>
    </row>
    <row r="15511" spans="1:7" x14ac:dyDescent="0.25">
      <c r="A15511" t="s">
        <v>46193</v>
      </c>
      <c r="B15511" t="s">
        <v>47564</v>
      </c>
      <c r="C15511" t="s">
        <v>47565</v>
      </c>
      <c r="D15511" t="s">
        <v>47566</v>
      </c>
      <c r="E15511" t="s">
        <v>47567</v>
      </c>
      <c r="F15511" t="s">
        <v>47568</v>
      </c>
      <c r="G15511" s="2" t="str">
        <f>HYPERLINK("https://probpalata.gov.ru/files/ИП780301605500000.jpeg","Скачать индивидуальный QR-код магазина")</f>
        <v>Скачать индивидуальный QR-код магазина</v>
      </c>
    </row>
    <row r="15512" spans="1:7" x14ac:dyDescent="0.25">
      <c r="A15512" t="s">
        <v>46193</v>
      </c>
      <c r="B15512" t="s">
        <v>47569</v>
      </c>
      <c r="C15512" t="s">
        <v>47570</v>
      </c>
      <c r="D15512" t="s">
        <v>47571</v>
      </c>
      <c r="E15512" t="s">
        <v>47572</v>
      </c>
      <c r="F15512" t="s">
        <v>47573</v>
      </c>
      <c r="G15512" s="2" t="str">
        <f>HYPERLINK("https://probpalata.gov.ru/files/ИП780303973200000.jpeg","Скачать индивидуальный QR-код магазина")</f>
        <v>Скачать индивидуальный QR-код магазина</v>
      </c>
    </row>
    <row r="15513" spans="1:7" x14ac:dyDescent="0.25">
      <c r="A15513" t="s">
        <v>46193</v>
      </c>
      <c r="B15513" t="s">
        <v>47574</v>
      </c>
      <c r="C15513" t="s">
        <v>47575</v>
      </c>
      <c r="D15513" t="s">
        <v>47576</v>
      </c>
      <c r="E15513" t="s">
        <v>47577</v>
      </c>
      <c r="F15513" t="s">
        <v>47578</v>
      </c>
      <c r="G15513" s="2" t="str">
        <f>HYPERLINK("https://probpalata.gov.ru/files/ИП780303773900000.jpeg","Скачать индивидуальный QR-код магазина")</f>
        <v>Скачать индивидуальный QR-код магазина</v>
      </c>
    </row>
    <row r="15514" spans="1:7" x14ac:dyDescent="0.25">
      <c r="A15514" t="s">
        <v>46193</v>
      </c>
      <c r="B15514" t="s">
        <v>47579</v>
      </c>
      <c r="C15514" t="s">
        <v>47580</v>
      </c>
      <c r="D15514" t="s">
        <v>47581</v>
      </c>
      <c r="E15514" t="s">
        <v>47582</v>
      </c>
      <c r="F15514" t="s">
        <v>47583</v>
      </c>
      <c r="G15514" s="2" t="str">
        <f>HYPERLINK("https://probpalata.gov.ru/files/ИП780304027400000.jpeg","Скачать индивидуальный QR-код магазина")</f>
        <v>Скачать индивидуальный QR-код магазина</v>
      </c>
    </row>
    <row r="15515" spans="1:7" x14ac:dyDescent="0.25">
      <c r="A15515" t="s">
        <v>46193</v>
      </c>
      <c r="B15515" t="s">
        <v>47584</v>
      </c>
      <c r="C15515" t="s">
        <v>47585</v>
      </c>
      <c r="D15515" t="s">
        <v>47586</v>
      </c>
      <c r="E15515" t="s">
        <v>47587</v>
      </c>
      <c r="F15515" t="s">
        <v>47588</v>
      </c>
      <c r="G15515" s="2" t="str">
        <f>HYPERLINK("https://probpalata.gov.ru/files/ИП780303478700000.jpeg","Скачать индивидуальный QR-код магазина")</f>
        <v>Скачать индивидуальный QR-код магазина</v>
      </c>
    </row>
    <row r="15516" spans="1:7" x14ac:dyDescent="0.25">
      <c r="A15516" t="s">
        <v>46193</v>
      </c>
      <c r="B15516" t="s">
        <v>47589</v>
      </c>
      <c r="C15516" t="s">
        <v>47590</v>
      </c>
      <c r="D15516" t="s">
        <v>47591</v>
      </c>
      <c r="E15516" t="s">
        <v>47592</v>
      </c>
      <c r="F15516" t="s">
        <v>47593</v>
      </c>
      <c r="G15516" s="2" t="str">
        <f>HYPERLINK("https://probpalata.gov.ru/files/ЮЛ780300403400000.jpeg","Скачать индивидуальный QR-код магазина")</f>
        <v>Скачать индивидуальный QR-код магазина</v>
      </c>
    </row>
    <row r="15517" spans="1:7" x14ac:dyDescent="0.25">
      <c r="A15517" t="s">
        <v>46193</v>
      </c>
      <c r="B15517" t="s">
        <v>47594</v>
      </c>
      <c r="C15517" t="s">
        <v>47590</v>
      </c>
      <c r="D15517" t="s">
        <v>47591</v>
      </c>
      <c r="E15517" t="s">
        <v>47592</v>
      </c>
      <c r="F15517" t="s">
        <v>47595</v>
      </c>
      <c r="G15517" s="2" t="str">
        <f>HYPERLINK("https://probpalata.gov.ru/files/ЮЛ780300403400001.jpeg","Скачать индивидуальный QR-код магазина")</f>
        <v>Скачать индивидуальный QR-код магазина</v>
      </c>
    </row>
    <row r="15518" spans="1:7" x14ac:dyDescent="0.25">
      <c r="A15518" t="s">
        <v>46193</v>
      </c>
      <c r="B15518" t="s">
        <v>47596</v>
      </c>
      <c r="C15518" t="s">
        <v>47597</v>
      </c>
      <c r="D15518" t="s">
        <v>47598</v>
      </c>
      <c r="E15518" t="s">
        <v>47599</v>
      </c>
      <c r="F15518" t="s">
        <v>47600</v>
      </c>
      <c r="G15518" s="2" t="str">
        <f>HYPERLINK("https://probpalata.gov.ru/files/ЮЛ780300552600000.jpeg","Скачать индивидуальный QR-код магазина")</f>
        <v>Скачать индивидуальный QR-код магазина</v>
      </c>
    </row>
    <row r="15519" spans="1:7" x14ac:dyDescent="0.25">
      <c r="A15519" t="s">
        <v>46193</v>
      </c>
      <c r="B15519" t="s">
        <v>47601</v>
      </c>
      <c r="C15519" t="s">
        <v>773</v>
      </c>
      <c r="D15519" t="s">
        <v>774</v>
      </c>
      <c r="E15519" t="s">
        <v>775</v>
      </c>
      <c r="F15519" t="s">
        <v>47602</v>
      </c>
      <c r="G15519" s="2" t="str">
        <f>HYPERLINK("https://probpalata.gov.ru/files/ЮЛ780300131300172.jpeg","Скачать индивидуальный QR-код магазина")</f>
        <v>Скачать индивидуальный QR-код магазина</v>
      </c>
    </row>
    <row r="15520" spans="1:7" x14ac:dyDescent="0.25">
      <c r="A15520" t="s">
        <v>46193</v>
      </c>
      <c r="B15520" t="s">
        <v>47603</v>
      </c>
      <c r="C15520" t="s">
        <v>773</v>
      </c>
      <c r="D15520" t="s">
        <v>774</v>
      </c>
      <c r="E15520" t="s">
        <v>775</v>
      </c>
      <c r="F15520" t="s">
        <v>47604</v>
      </c>
      <c r="G15520" s="2" t="str">
        <f>HYPERLINK("https://probpalata.gov.ru/files/ЮЛ780300131300173.jpeg","Скачать индивидуальный QR-код магазина")</f>
        <v>Скачать индивидуальный QR-код магазина</v>
      </c>
    </row>
    <row r="15521" spans="1:7" x14ac:dyDescent="0.25">
      <c r="A15521" t="s">
        <v>46193</v>
      </c>
      <c r="B15521" t="s">
        <v>47605</v>
      </c>
      <c r="C15521" t="s">
        <v>773</v>
      </c>
      <c r="D15521" t="s">
        <v>774</v>
      </c>
      <c r="E15521" t="s">
        <v>775</v>
      </c>
      <c r="F15521" t="s">
        <v>47606</v>
      </c>
      <c r="G15521" s="2" t="str">
        <f>HYPERLINK("https://probpalata.gov.ru/files/ЮЛ780300131300175.jpeg","Скачать индивидуальный QR-код магазина")</f>
        <v>Скачать индивидуальный QR-код магазина</v>
      </c>
    </row>
    <row r="15522" spans="1:7" x14ac:dyDescent="0.25">
      <c r="A15522" t="s">
        <v>46193</v>
      </c>
      <c r="B15522" t="s">
        <v>47607</v>
      </c>
      <c r="C15522" t="s">
        <v>773</v>
      </c>
      <c r="D15522" t="s">
        <v>774</v>
      </c>
      <c r="E15522" t="s">
        <v>775</v>
      </c>
      <c r="F15522" t="s">
        <v>47608</v>
      </c>
      <c r="G15522" s="2" t="str">
        <f>HYPERLINK("https://probpalata.gov.ru/files/ЮЛ780300131300176.jpeg","Скачать индивидуальный QR-код магазина")</f>
        <v>Скачать индивидуальный QR-код магазина</v>
      </c>
    </row>
    <row r="15523" spans="1:7" x14ac:dyDescent="0.25">
      <c r="A15523" t="s">
        <v>46193</v>
      </c>
      <c r="B15523" t="s">
        <v>47609</v>
      </c>
      <c r="C15523" t="s">
        <v>773</v>
      </c>
      <c r="D15523" t="s">
        <v>774</v>
      </c>
      <c r="E15523" t="s">
        <v>775</v>
      </c>
      <c r="F15523" t="s">
        <v>47610</v>
      </c>
      <c r="G15523" s="2" t="str">
        <f>HYPERLINK("https://probpalata.gov.ru/files/ЮЛ780300131300177.jpeg","Скачать индивидуальный QR-код магазина")</f>
        <v>Скачать индивидуальный QR-код магазина</v>
      </c>
    </row>
    <row r="15524" spans="1:7" x14ac:dyDescent="0.25">
      <c r="A15524" t="s">
        <v>46193</v>
      </c>
      <c r="B15524" t="s">
        <v>47611</v>
      </c>
      <c r="C15524" t="s">
        <v>773</v>
      </c>
      <c r="D15524" t="s">
        <v>774</v>
      </c>
      <c r="E15524" t="s">
        <v>775</v>
      </c>
      <c r="F15524" t="s">
        <v>47612</v>
      </c>
      <c r="G15524" s="2" t="str">
        <f>HYPERLINK("https://probpalata.gov.ru/files/ЮЛ780300131300202.jpeg","Скачать индивидуальный QR-код магазина")</f>
        <v>Скачать индивидуальный QR-код магазина</v>
      </c>
    </row>
    <row r="15525" spans="1:7" x14ac:dyDescent="0.25">
      <c r="A15525" t="s">
        <v>46193</v>
      </c>
      <c r="B15525" t="s">
        <v>47613</v>
      </c>
      <c r="C15525" t="s">
        <v>773</v>
      </c>
      <c r="D15525" t="s">
        <v>774</v>
      </c>
      <c r="E15525" t="s">
        <v>775</v>
      </c>
      <c r="F15525" t="s">
        <v>47614</v>
      </c>
      <c r="G15525" s="2" t="str">
        <f>HYPERLINK("https://probpalata.gov.ru/files/ЮЛ780300131300206.jpeg","Скачать индивидуальный QR-код магазина")</f>
        <v>Скачать индивидуальный QR-код магазина</v>
      </c>
    </row>
    <row r="15526" spans="1:7" x14ac:dyDescent="0.25">
      <c r="A15526" t="s">
        <v>46193</v>
      </c>
      <c r="B15526" t="s">
        <v>47615</v>
      </c>
      <c r="C15526" t="s">
        <v>773</v>
      </c>
      <c r="D15526" t="s">
        <v>774</v>
      </c>
      <c r="E15526" t="s">
        <v>775</v>
      </c>
      <c r="F15526" t="s">
        <v>47616</v>
      </c>
      <c r="G15526" s="2" t="str">
        <f>HYPERLINK("https://probpalata.gov.ru/files/ЮЛ780300131300208.jpeg","Скачать индивидуальный QR-код магазина")</f>
        <v>Скачать индивидуальный QR-код магазина</v>
      </c>
    </row>
    <row r="15527" spans="1:7" x14ac:dyDescent="0.25">
      <c r="A15527" t="s">
        <v>46193</v>
      </c>
      <c r="B15527" t="s">
        <v>47617</v>
      </c>
      <c r="C15527" t="s">
        <v>773</v>
      </c>
      <c r="D15527" t="s">
        <v>774</v>
      </c>
      <c r="E15527" t="s">
        <v>775</v>
      </c>
      <c r="F15527" t="s">
        <v>47618</v>
      </c>
      <c r="G15527" s="2" t="str">
        <f>HYPERLINK("https://probpalata.gov.ru/files/ЮЛ780300131300244.jpeg","Скачать индивидуальный QR-код магазина")</f>
        <v>Скачать индивидуальный QR-код магазина</v>
      </c>
    </row>
    <row r="15528" spans="1:7" x14ac:dyDescent="0.25">
      <c r="A15528" t="s">
        <v>46193</v>
      </c>
      <c r="B15528" t="s">
        <v>47619</v>
      </c>
      <c r="C15528" t="s">
        <v>773</v>
      </c>
      <c r="D15528" t="s">
        <v>774</v>
      </c>
      <c r="E15528" t="s">
        <v>775</v>
      </c>
      <c r="F15528" t="s">
        <v>47620</v>
      </c>
      <c r="G15528" s="2" t="str">
        <f>HYPERLINK("https://probpalata.gov.ru/files/ЮЛ780300131300245.jpeg","Скачать индивидуальный QR-код магазина")</f>
        <v>Скачать индивидуальный QR-код магазина</v>
      </c>
    </row>
    <row r="15529" spans="1:7" x14ac:dyDescent="0.25">
      <c r="A15529" t="s">
        <v>46193</v>
      </c>
      <c r="B15529" t="s">
        <v>47621</v>
      </c>
      <c r="C15529" t="s">
        <v>773</v>
      </c>
      <c r="D15529" t="s">
        <v>774</v>
      </c>
      <c r="E15529" t="s">
        <v>775</v>
      </c>
      <c r="F15529" t="s">
        <v>47622</v>
      </c>
      <c r="G15529" s="2" t="str">
        <f>HYPERLINK("https://probpalata.gov.ru/files/ЮЛ780300131300246.jpeg","Скачать индивидуальный QR-код магазина")</f>
        <v>Скачать индивидуальный QR-код магазина</v>
      </c>
    </row>
    <row r="15530" spans="1:7" x14ac:dyDescent="0.25">
      <c r="A15530" t="s">
        <v>46193</v>
      </c>
      <c r="B15530" t="s">
        <v>47623</v>
      </c>
      <c r="C15530" t="s">
        <v>773</v>
      </c>
      <c r="D15530" t="s">
        <v>774</v>
      </c>
      <c r="E15530" t="s">
        <v>775</v>
      </c>
      <c r="F15530" t="s">
        <v>47624</v>
      </c>
      <c r="G15530" s="2" t="str">
        <f>HYPERLINK("https://probpalata.gov.ru/files/ЮЛ780300131300247.jpeg","Скачать индивидуальный QR-код магазина")</f>
        <v>Скачать индивидуальный QR-код магазина</v>
      </c>
    </row>
    <row r="15531" spans="1:7" x14ac:dyDescent="0.25">
      <c r="A15531" t="s">
        <v>46193</v>
      </c>
      <c r="B15531" t="s">
        <v>47625</v>
      </c>
      <c r="C15531" t="s">
        <v>773</v>
      </c>
      <c r="D15531" t="s">
        <v>774</v>
      </c>
      <c r="E15531" t="s">
        <v>775</v>
      </c>
      <c r="F15531" t="s">
        <v>47626</v>
      </c>
      <c r="G15531" s="2" t="str">
        <f>HYPERLINK("https://probpalata.gov.ru/files/ЮЛ780300131300249.jpeg","Скачать индивидуальный QR-код магазина")</f>
        <v>Скачать индивидуальный QR-код магазина</v>
      </c>
    </row>
    <row r="15532" spans="1:7" x14ac:dyDescent="0.25">
      <c r="A15532" t="s">
        <v>46193</v>
      </c>
      <c r="B15532" t="s">
        <v>47627</v>
      </c>
      <c r="C15532" t="s">
        <v>773</v>
      </c>
      <c r="D15532" t="s">
        <v>774</v>
      </c>
      <c r="E15532" t="s">
        <v>775</v>
      </c>
      <c r="F15532" t="s">
        <v>47628</v>
      </c>
      <c r="G15532" s="2" t="str">
        <f>HYPERLINK("https://probpalata.gov.ru/files/ЮЛ780300131300250.jpeg","Скачать индивидуальный QR-код магазина")</f>
        <v>Скачать индивидуальный QR-код магазина</v>
      </c>
    </row>
    <row r="15533" spans="1:7" x14ac:dyDescent="0.25">
      <c r="A15533" t="s">
        <v>46193</v>
      </c>
      <c r="B15533" t="s">
        <v>47629</v>
      </c>
      <c r="C15533" t="s">
        <v>773</v>
      </c>
      <c r="D15533" t="s">
        <v>774</v>
      </c>
      <c r="E15533" t="s">
        <v>775</v>
      </c>
      <c r="F15533" t="s">
        <v>47630</v>
      </c>
      <c r="G15533" s="2" t="str">
        <f>HYPERLINK("https://probpalata.gov.ru/files/ЮЛ780300131300267.jpeg","Скачать индивидуальный QR-код магазина")</f>
        <v>Скачать индивидуальный QR-код магазина</v>
      </c>
    </row>
    <row r="15534" spans="1:7" x14ac:dyDescent="0.25">
      <c r="A15534" t="s">
        <v>46193</v>
      </c>
      <c r="B15534" t="s">
        <v>47631</v>
      </c>
      <c r="C15534" t="s">
        <v>773</v>
      </c>
      <c r="D15534" t="s">
        <v>774</v>
      </c>
      <c r="E15534" t="s">
        <v>775</v>
      </c>
      <c r="F15534" t="s">
        <v>47632</v>
      </c>
      <c r="G15534" s="2" t="str">
        <f>HYPERLINK("https://probpalata.gov.ru/files/ЮЛ780300131300458.jpeg","Скачать индивидуальный QR-код магазина")</f>
        <v>Скачать индивидуальный QR-код магазина</v>
      </c>
    </row>
    <row r="15535" spans="1:7" x14ac:dyDescent="0.25">
      <c r="A15535" t="s">
        <v>46193</v>
      </c>
      <c r="B15535" t="s">
        <v>47633</v>
      </c>
      <c r="C15535" t="s">
        <v>773</v>
      </c>
      <c r="D15535" t="s">
        <v>774</v>
      </c>
      <c r="E15535" t="s">
        <v>775</v>
      </c>
      <c r="F15535" t="s">
        <v>47634</v>
      </c>
      <c r="G15535" s="2" t="str">
        <f>HYPERLINK("https://probpalata.gov.ru/files/ЮЛ780300131300460.jpeg","Скачать индивидуальный QR-код магазина")</f>
        <v>Скачать индивидуальный QR-код магазина</v>
      </c>
    </row>
    <row r="15536" spans="1:7" x14ac:dyDescent="0.25">
      <c r="A15536" t="s">
        <v>46193</v>
      </c>
      <c r="B15536" t="s">
        <v>47635</v>
      </c>
      <c r="C15536" t="s">
        <v>773</v>
      </c>
      <c r="D15536" t="s">
        <v>774</v>
      </c>
      <c r="E15536" t="s">
        <v>775</v>
      </c>
      <c r="F15536" t="s">
        <v>47636</v>
      </c>
      <c r="G15536" s="2" t="str">
        <f>HYPERLINK("https://probpalata.gov.ru/files/ЮЛ780300131300559.jpeg","Скачать индивидуальный QR-код магазина")</f>
        <v>Скачать индивидуальный QR-код магазина</v>
      </c>
    </row>
    <row r="15537" spans="1:7" x14ac:dyDescent="0.25">
      <c r="A15537" t="s">
        <v>46193</v>
      </c>
      <c r="B15537" t="s">
        <v>47637</v>
      </c>
      <c r="C15537" t="s">
        <v>773</v>
      </c>
      <c r="D15537" t="s">
        <v>774</v>
      </c>
      <c r="E15537" t="s">
        <v>775</v>
      </c>
      <c r="F15537" t="s">
        <v>47638</v>
      </c>
      <c r="G15537" s="2" t="str">
        <f>HYPERLINK("https://probpalata.gov.ru/files/ЮЛ780300131300564.jpeg","Скачать индивидуальный QR-код магазина")</f>
        <v>Скачать индивидуальный QR-код магазина</v>
      </c>
    </row>
    <row r="15538" spans="1:7" x14ac:dyDescent="0.25">
      <c r="A15538" t="s">
        <v>46193</v>
      </c>
      <c r="B15538" t="s">
        <v>47639</v>
      </c>
      <c r="C15538" t="s">
        <v>47640</v>
      </c>
      <c r="D15538" t="s">
        <v>47641</v>
      </c>
      <c r="E15538" t="s">
        <v>47642</v>
      </c>
      <c r="F15538" t="s">
        <v>47643</v>
      </c>
      <c r="G15538" s="2" t="str">
        <f>HYPERLINK("https://probpalata.gov.ru/files/ЮЛ780300868200000.jpeg","Скачать индивидуальный QR-код магазина")</f>
        <v>Скачать индивидуальный QR-код магазина</v>
      </c>
    </row>
    <row r="15539" spans="1:7" x14ac:dyDescent="0.25">
      <c r="A15539" t="s">
        <v>46193</v>
      </c>
      <c r="B15539" t="s">
        <v>47644</v>
      </c>
      <c r="C15539" t="s">
        <v>47645</v>
      </c>
      <c r="D15539" t="s">
        <v>47646</v>
      </c>
      <c r="E15539" t="s">
        <v>47647</v>
      </c>
      <c r="F15539" t="s">
        <v>47648</v>
      </c>
      <c r="G15539" s="2" t="str">
        <f>HYPERLINK("https://probpalata.gov.ru/files/ЮЛ780300749600000.jpeg","Скачать индивидуальный QR-код магазина")</f>
        <v>Скачать индивидуальный QR-код магазина</v>
      </c>
    </row>
    <row r="15540" spans="1:7" x14ac:dyDescent="0.25">
      <c r="A15540" t="s">
        <v>46193</v>
      </c>
      <c r="B15540" t="s">
        <v>47649</v>
      </c>
      <c r="C15540" t="s">
        <v>47650</v>
      </c>
      <c r="D15540" t="s">
        <v>47651</v>
      </c>
      <c r="E15540" t="s">
        <v>47652</v>
      </c>
      <c r="F15540" t="s">
        <v>47653</v>
      </c>
      <c r="G15540" s="2" t="str">
        <f>HYPERLINK("https://probpalata.gov.ru/files/ИП780300090600000.jpeg","Скачать индивидуальный QR-код магазина")</f>
        <v>Скачать индивидуальный QR-код магазина</v>
      </c>
    </row>
    <row r="15541" spans="1:7" x14ac:dyDescent="0.25">
      <c r="A15541" t="s">
        <v>46193</v>
      </c>
      <c r="B15541" t="s">
        <v>47654</v>
      </c>
      <c r="C15541" t="s">
        <v>47655</v>
      </c>
      <c r="D15541" t="s">
        <v>47656</v>
      </c>
      <c r="E15541" t="s">
        <v>47657</v>
      </c>
      <c r="F15541" t="s">
        <v>47658</v>
      </c>
      <c r="G15541" s="2" t="str">
        <f>HYPERLINK("https://probpalata.gov.ru/files/ЮЛ780301266100000.jpeg","Скачать индивидуальный QR-код магазина")</f>
        <v>Скачать индивидуальный QR-код магазина</v>
      </c>
    </row>
    <row r="15542" spans="1:7" x14ac:dyDescent="0.25">
      <c r="A15542" t="s">
        <v>46193</v>
      </c>
      <c r="B15542" t="s">
        <v>47659</v>
      </c>
      <c r="C15542" t="s">
        <v>47660</v>
      </c>
      <c r="D15542" t="s">
        <v>47661</v>
      </c>
      <c r="E15542" t="s">
        <v>47662</v>
      </c>
      <c r="F15542" t="s">
        <v>47663</v>
      </c>
      <c r="G15542" s="2" t="str">
        <f>HYPERLINK("https://probpalata.gov.ru/files/ИП780301367200000.jpeg","Скачать индивидуальный QR-код магазина")</f>
        <v>Скачать индивидуальный QR-код магазина</v>
      </c>
    </row>
    <row r="15543" spans="1:7" x14ac:dyDescent="0.25">
      <c r="A15543" t="s">
        <v>46193</v>
      </c>
      <c r="B15543" t="s">
        <v>47664</v>
      </c>
      <c r="C15543" t="s">
        <v>47665</v>
      </c>
      <c r="D15543" t="s">
        <v>47666</v>
      </c>
      <c r="E15543" t="s">
        <v>47667</v>
      </c>
      <c r="F15543" t="s">
        <v>47668</v>
      </c>
      <c r="G15543" s="2" t="str">
        <f>HYPERLINK("https://probpalata.gov.ru/files/ИП780303926100000.jpeg","Скачать индивидуальный QR-код магазина")</f>
        <v>Скачать индивидуальный QR-код магазина</v>
      </c>
    </row>
    <row r="15544" spans="1:7" x14ac:dyDescent="0.25">
      <c r="A15544" t="s">
        <v>46193</v>
      </c>
      <c r="B15544" t="s">
        <v>47669</v>
      </c>
      <c r="C15544" t="s">
        <v>47670</v>
      </c>
      <c r="D15544" t="s">
        <v>47671</v>
      </c>
      <c r="E15544" t="s">
        <v>47672</v>
      </c>
      <c r="F15544" t="s">
        <v>47673</v>
      </c>
      <c r="G15544" s="2" t="str">
        <f>HYPERLINK("https://probpalata.gov.ru/files/ИП780300243100000.jpeg","Скачать индивидуальный QR-код магазина")</f>
        <v>Скачать индивидуальный QR-код магазина</v>
      </c>
    </row>
    <row r="15545" spans="1:7" x14ac:dyDescent="0.25">
      <c r="A15545" t="s">
        <v>46193</v>
      </c>
      <c r="B15545" t="s">
        <v>47674</v>
      </c>
      <c r="C15545" t="s">
        <v>47670</v>
      </c>
      <c r="D15545" t="s">
        <v>47671</v>
      </c>
      <c r="E15545" t="s">
        <v>47672</v>
      </c>
      <c r="F15545" t="s">
        <v>47675</v>
      </c>
      <c r="G15545" s="2" t="str">
        <f>HYPERLINK("https://probpalata.gov.ru/files/ИП780300243100001.jpeg","Скачать индивидуальный QR-код магазина")</f>
        <v>Скачать индивидуальный QR-код магазина</v>
      </c>
    </row>
    <row r="15546" spans="1:7" x14ac:dyDescent="0.25">
      <c r="A15546" t="s">
        <v>46193</v>
      </c>
      <c r="B15546" t="s">
        <v>47676</v>
      </c>
      <c r="C15546" t="s">
        <v>47677</v>
      </c>
      <c r="D15546" t="s">
        <v>47678</v>
      </c>
      <c r="E15546" t="s">
        <v>47679</v>
      </c>
      <c r="F15546" t="s">
        <v>47680</v>
      </c>
      <c r="G15546" s="2" t="str">
        <f>HYPERLINK("https://probpalata.gov.ru/files/ИП780300525900000.jpeg","Скачать индивидуальный QR-код магазина")</f>
        <v>Скачать индивидуальный QR-код магазина</v>
      </c>
    </row>
    <row r="15547" spans="1:7" x14ac:dyDescent="0.25">
      <c r="A15547" t="s">
        <v>46193</v>
      </c>
      <c r="B15547" t="s">
        <v>47681</v>
      </c>
      <c r="C15547" t="s">
        <v>787</v>
      </c>
      <c r="D15547" t="s">
        <v>788</v>
      </c>
      <c r="E15547" t="s">
        <v>789</v>
      </c>
      <c r="F15547" t="s">
        <v>47682</v>
      </c>
      <c r="G15547" s="2" t="str">
        <f>HYPERLINK("https://probpalata.gov.ru/files/ЮЛ780300328000126.jpeg","Скачать индивидуальный QR-код магазина")</f>
        <v>Скачать индивидуальный QR-код магазина</v>
      </c>
    </row>
    <row r="15548" spans="1:7" x14ac:dyDescent="0.25">
      <c r="A15548" t="s">
        <v>46193</v>
      </c>
      <c r="B15548" t="s">
        <v>47683</v>
      </c>
      <c r="C15548" t="s">
        <v>787</v>
      </c>
      <c r="D15548" t="s">
        <v>788</v>
      </c>
      <c r="E15548" t="s">
        <v>789</v>
      </c>
      <c r="F15548" t="s">
        <v>47684</v>
      </c>
      <c r="G15548" s="2" t="str">
        <f>HYPERLINK("https://probpalata.gov.ru/files/ЮЛ780300328000127.jpeg","Скачать индивидуальный QR-код магазина")</f>
        <v>Скачать индивидуальный QR-код магазина</v>
      </c>
    </row>
    <row r="15549" spans="1:7" x14ac:dyDescent="0.25">
      <c r="A15549" t="s">
        <v>46193</v>
      </c>
      <c r="B15549" t="s">
        <v>47685</v>
      </c>
      <c r="C15549" t="s">
        <v>787</v>
      </c>
      <c r="D15549" t="s">
        <v>788</v>
      </c>
      <c r="E15549" t="s">
        <v>789</v>
      </c>
      <c r="F15549" t="s">
        <v>47686</v>
      </c>
      <c r="G15549" s="2" t="str">
        <f>HYPERLINK("https://probpalata.gov.ru/files/ЮЛ780300328000131.jpeg","Скачать индивидуальный QR-код магазина")</f>
        <v>Скачать индивидуальный QR-код магазина</v>
      </c>
    </row>
    <row r="15550" spans="1:7" x14ac:dyDescent="0.25">
      <c r="A15550" t="s">
        <v>46193</v>
      </c>
      <c r="B15550" t="s">
        <v>47687</v>
      </c>
      <c r="C15550" t="s">
        <v>787</v>
      </c>
      <c r="D15550" t="s">
        <v>788</v>
      </c>
      <c r="E15550" t="s">
        <v>789</v>
      </c>
      <c r="F15550" t="s">
        <v>47688</v>
      </c>
      <c r="G15550" s="2" t="str">
        <f>HYPERLINK("https://probpalata.gov.ru/files/ЮЛ780300328000132.jpeg","Скачать индивидуальный QR-код магазина")</f>
        <v>Скачать индивидуальный QR-код магазина</v>
      </c>
    </row>
    <row r="15551" spans="1:7" x14ac:dyDescent="0.25">
      <c r="A15551" t="s">
        <v>46193</v>
      </c>
      <c r="B15551" t="s">
        <v>47689</v>
      </c>
      <c r="C15551" t="s">
        <v>787</v>
      </c>
      <c r="D15551" t="s">
        <v>788</v>
      </c>
      <c r="E15551" t="s">
        <v>789</v>
      </c>
      <c r="F15551" t="s">
        <v>47690</v>
      </c>
      <c r="G15551" s="2" t="str">
        <f>HYPERLINK("https://probpalata.gov.ru/files/ЮЛ780300328000189.jpeg","Скачать индивидуальный QR-код магазина")</f>
        <v>Скачать индивидуальный QR-код магазина</v>
      </c>
    </row>
    <row r="15552" spans="1:7" x14ac:dyDescent="0.25">
      <c r="A15552" t="s">
        <v>46193</v>
      </c>
      <c r="B15552" t="s">
        <v>47691</v>
      </c>
      <c r="C15552" t="s">
        <v>787</v>
      </c>
      <c r="D15552" t="s">
        <v>788</v>
      </c>
      <c r="E15552" t="s">
        <v>789</v>
      </c>
      <c r="F15552" t="s">
        <v>47692</v>
      </c>
      <c r="G15552" s="2" t="str">
        <f>HYPERLINK("https://probpalata.gov.ru/files/ЮЛ780300328000190.jpeg","Скачать индивидуальный QR-код магазина")</f>
        <v>Скачать индивидуальный QR-код магазина</v>
      </c>
    </row>
    <row r="15553" spans="1:7" x14ac:dyDescent="0.25">
      <c r="A15553" t="s">
        <v>46193</v>
      </c>
      <c r="B15553" t="s">
        <v>47693</v>
      </c>
      <c r="C15553" t="s">
        <v>787</v>
      </c>
      <c r="D15553" t="s">
        <v>788</v>
      </c>
      <c r="E15553" t="s">
        <v>789</v>
      </c>
      <c r="F15553" t="s">
        <v>47694</v>
      </c>
      <c r="G15553" s="2" t="str">
        <f>HYPERLINK("https://probpalata.gov.ru/files/ЮЛ780300328000191.jpeg","Скачать индивидуальный QR-код магазина")</f>
        <v>Скачать индивидуальный QR-код магазина</v>
      </c>
    </row>
    <row r="15554" spans="1:7" x14ac:dyDescent="0.25">
      <c r="A15554" t="s">
        <v>46193</v>
      </c>
      <c r="B15554" t="s">
        <v>47695</v>
      </c>
      <c r="C15554" t="s">
        <v>787</v>
      </c>
      <c r="D15554" t="s">
        <v>788</v>
      </c>
      <c r="E15554" t="s">
        <v>789</v>
      </c>
      <c r="F15554" t="s">
        <v>47696</v>
      </c>
      <c r="G15554" s="2" t="str">
        <f>HYPERLINK("https://probpalata.gov.ru/files/ЮЛ780300328000249.jpeg","Скачать индивидуальный QR-код магазина")</f>
        <v>Скачать индивидуальный QR-код магазина</v>
      </c>
    </row>
    <row r="15555" spans="1:7" x14ac:dyDescent="0.25">
      <c r="A15555" t="s">
        <v>46193</v>
      </c>
      <c r="B15555" t="s">
        <v>47697</v>
      </c>
      <c r="C15555" t="s">
        <v>25368</v>
      </c>
      <c r="D15555" t="s">
        <v>25369</v>
      </c>
      <c r="E15555" t="s">
        <v>25370</v>
      </c>
      <c r="F15555" t="s">
        <v>47698</v>
      </c>
      <c r="G15555" s="2" t="str">
        <f>HYPERLINK("https://probpalata.gov.ru/files/ИП780301502700000.jpeg","Скачать индивидуальный QR-код магазина")</f>
        <v>Скачать индивидуальный QR-код магазина</v>
      </c>
    </row>
    <row r="15556" spans="1:7" x14ac:dyDescent="0.25">
      <c r="A15556" t="s">
        <v>46193</v>
      </c>
      <c r="B15556" t="s">
        <v>47699</v>
      </c>
      <c r="C15556" t="s">
        <v>25368</v>
      </c>
      <c r="D15556" t="s">
        <v>25369</v>
      </c>
      <c r="E15556" t="s">
        <v>25370</v>
      </c>
      <c r="F15556" t="s">
        <v>47700</v>
      </c>
      <c r="G15556" s="2" t="str">
        <f>HYPERLINK("https://probpalata.gov.ru/files/ИП780301502700010.jpeg","Скачать индивидуальный QR-код магазина")</f>
        <v>Скачать индивидуальный QR-код магазина</v>
      </c>
    </row>
    <row r="15557" spans="1:7" x14ac:dyDescent="0.25">
      <c r="A15557" t="s">
        <v>46193</v>
      </c>
      <c r="B15557" t="s">
        <v>47701</v>
      </c>
      <c r="C15557" t="s">
        <v>47702</v>
      </c>
      <c r="D15557" t="s">
        <v>47703</v>
      </c>
      <c r="E15557" t="s">
        <v>47704</v>
      </c>
      <c r="F15557" t="s">
        <v>47705</v>
      </c>
      <c r="G15557" s="2" t="str">
        <f>HYPERLINK("https://probpalata.gov.ru/files/ЮЛ780300362500000.jpeg","Скачать индивидуальный QR-код магазина")</f>
        <v>Скачать индивидуальный QR-код магазина</v>
      </c>
    </row>
    <row r="15558" spans="1:7" x14ac:dyDescent="0.25">
      <c r="A15558" t="s">
        <v>46193</v>
      </c>
      <c r="B15558" t="s">
        <v>47706</v>
      </c>
      <c r="C15558" t="s">
        <v>47707</v>
      </c>
      <c r="D15558" t="s">
        <v>47708</v>
      </c>
      <c r="E15558" t="s">
        <v>47709</v>
      </c>
      <c r="F15558" t="s">
        <v>47710</v>
      </c>
      <c r="G15558" s="2" t="str">
        <f>HYPERLINK("https://probpalata.gov.ru/files/ИП780301622800000.jpeg","Скачать индивидуальный QR-код магазина")</f>
        <v>Скачать индивидуальный QR-код магазина</v>
      </c>
    </row>
    <row r="15559" spans="1:7" x14ac:dyDescent="0.25">
      <c r="A15559" t="s">
        <v>46193</v>
      </c>
      <c r="B15559" t="s">
        <v>47711</v>
      </c>
      <c r="C15559" t="s">
        <v>47712</v>
      </c>
      <c r="D15559" t="s">
        <v>47713</v>
      </c>
      <c r="E15559" t="s">
        <v>47714</v>
      </c>
      <c r="F15559" t="s">
        <v>47715</v>
      </c>
      <c r="G15559" s="2" t="str">
        <f>HYPERLINK("https://probpalata.gov.ru/files/ЮЛ780301021500000.jpeg","Скачать индивидуальный QR-код магазина")</f>
        <v>Скачать индивидуальный QR-код магазина</v>
      </c>
    </row>
    <row r="15560" spans="1:7" x14ac:dyDescent="0.25">
      <c r="A15560" t="s">
        <v>46193</v>
      </c>
      <c r="B15560" t="s">
        <v>47716</v>
      </c>
      <c r="C15560" t="s">
        <v>25380</v>
      </c>
      <c r="D15560" t="s">
        <v>25381</v>
      </c>
      <c r="E15560" t="s">
        <v>25382</v>
      </c>
      <c r="F15560" t="s">
        <v>47717</v>
      </c>
      <c r="G15560" s="2" t="str">
        <f>HYPERLINK("https://probpalata.gov.ru/files/ЮЛ780300868000000.jpeg","Скачать индивидуальный QR-код магазина")</f>
        <v>Скачать индивидуальный QR-код магазина</v>
      </c>
    </row>
    <row r="15561" spans="1:7" x14ac:dyDescent="0.25">
      <c r="A15561" t="s">
        <v>46193</v>
      </c>
      <c r="B15561" t="s">
        <v>47718</v>
      </c>
      <c r="C15561" t="s">
        <v>25380</v>
      </c>
      <c r="D15561" t="s">
        <v>25381</v>
      </c>
      <c r="E15561" t="s">
        <v>25382</v>
      </c>
      <c r="F15561" t="s">
        <v>47719</v>
      </c>
      <c r="G15561" s="2" t="str">
        <f>HYPERLINK("https://probpalata.gov.ru/files/ЮЛ780300868000005.jpeg","Скачать индивидуальный QR-код магазина")</f>
        <v>Скачать индивидуальный QR-код магазина</v>
      </c>
    </row>
    <row r="15562" spans="1:7" x14ac:dyDescent="0.25">
      <c r="A15562" t="s">
        <v>46193</v>
      </c>
      <c r="B15562" t="s">
        <v>47720</v>
      </c>
      <c r="C15562" t="s">
        <v>25380</v>
      </c>
      <c r="D15562" t="s">
        <v>25381</v>
      </c>
      <c r="E15562" t="s">
        <v>25382</v>
      </c>
      <c r="F15562" t="s">
        <v>47721</v>
      </c>
      <c r="G15562" s="2" t="str">
        <f>HYPERLINK("https://probpalata.gov.ru/files/ЮЛ780300868000006.jpeg","Скачать индивидуальный QR-код магазина")</f>
        <v>Скачать индивидуальный QR-код магазина</v>
      </c>
    </row>
    <row r="15563" spans="1:7" x14ac:dyDescent="0.25">
      <c r="A15563" t="s">
        <v>46193</v>
      </c>
      <c r="B15563" t="s">
        <v>47722</v>
      </c>
      <c r="C15563" t="s">
        <v>25380</v>
      </c>
      <c r="D15563" t="s">
        <v>25381</v>
      </c>
      <c r="E15563" t="s">
        <v>25382</v>
      </c>
      <c r="F15563" t="s">
        <v>47723</v>
      </c>
      <c r="G15563" s="2" t="str">
        <f>HYPERLINK("https://probpalata.gov.ru/files/ЮЛ780300868000008.jpeg","Скачать индивидуальный QR-код магазина")</f>
        <v>Скачать индивидуальный QR-код магазина</v>
      </c>
    </row>
    <row r="15564" spans="1:7" x14ac:dyDescent="0.25">
      <c r="A15564" t="s">
        <v>46193</v>
      </c>
      <c r="B15564" t="s">
        <v>47724</v>
      </c>
      <c r="C15564" t="s">
        <v>25380</v>
      </c>
      <c r="D15564" t="s">
        <v>25381</v>
      </c>
      <c r="E15564" t="s">
        <v>25382</v>
      </c>
      <c r="F15564" t="s">
        <v>47725</v>
      </c>
      <c r="G15564" s="2" t="str">
        <f>HYPERLINK("https://probpalata.gov.ru/files/ЮЛ780300868000011.jpeg","Скачать индивидуальный QR-код магазина")</f>
        <v>Скачать индивидуальный QR-код магазина</v>
      </c>
    </row>
    <row r="15565" spans="1:7" x14ac:dyDescent="0.25">
      <c r="A15565" t="s">
        <v>46193</v>
      </c>
      <c r="B15565" t="s">
        <v>47726</v>
      </c>
      <c r="C15565" t="s">
        <v>25380</v>
      </c>
      <c r="D15565" t="s">
        <v>25381</v>
      </c>
      <c r="E15565" t="s">
        <v>25382</v>
      </c>
      <c r="F15565" t="s">
        <v>47727</v>
      </c>
      <c r="G15565" s="2" t="str">
        <f>HYPERLINK("https://probpalata.gov.ru/files/ЮЛ780300868000024.jpeg","Скачать индивидуальный QR-код магазина")</f>
        <v>Скачать индивидуальный QR-код магазина</v>
      </c>
    </row>
    <row r="15566" spans="1:7" x14ac:dyDescent="0.25">
      <c r="A15566" t="s">
        <v>46193</v>
      </c>
      <c r="B15566" t="s">
        <v>47728</v>
      </c>
      <c r="C15566" t="s">
        <v>25380</v>
      </c>
      <c r="D15566" t="s">
        <v>25381</v>
      </c>
      <c r="E15566" t="s">
        <v>25382</v>
      </c>
      <c r="F15566" t="s">
        <v>47729</v>
      </c>
      <c r="G15566" s="2" t="str">
        <f>HYPERLINK("https://probpalata.gov.ru/files/ЮЛ780300868000025.jpeg","Скачать индивидуальный QR-код магазина")</f>
        <v>Скачать индивидуальный QR-код магазина</v>
      </c>
    </row>
    <row r="15567" spans="1:7" x14ac:dyDescent="0.25">
      <c r="A15567" t="s">
        <v>46193</v>
      </c>
      <c r="B15567" t="s">
        <v>47730</v>
      </c>
      <c r="C15567" t="s">
        <v>25380</v>
      </c>
      <c r="D15567" t="s">
        <v>25381</v>
      </c>
      <c r="E15567" t="s">
        <v>25382</v>
      </c>
      <c r="F15567" t="s">
        <v>47731</v>
      </c>
      <c r="G15567" s="2" t="str">
        <f>HYPERLINK("https://probpalata.gov.ru/files/ЮЛ780300868000026.jpeg","Скачать индивидуальный QR-код магазина")</f>
        <v>Скачать индивидуальный QR-код магазина</v>
      </c>
    </row>
    <row r="15568" spans="1:7" x14ac:dyDescent="0.25">
      <c r="A15568" t="s">
        <v>46193</v>
      </c>
      <c r="B15568" t="s">
        <v>47732</v>
      </c>
      <c r="C15568" t="s">
        <v>25380</v>
      </c>
      <c r="D15568" t="s">
        <v>25381</v>
      </c>
      <c r="E15568" t="s">
        <v>25382</v>
      </c>
      <c r="F15568" t="s">
        <v>47733</v>
      </c>
      <c r="G15568" s="2" t="str">
        <f>HYPERLINK("https://probpalata.gov.ru/files/ЮЛ780300868000028.jpeg","Скачать индивидуальный QR-код магазина")</f>
        <v>Скачать индивидуальный QR-код магазина</v>
      </c>
    </row>
    <row r="15569" spans="1:7" x14ac:dyDescent="0.25">
      <c r="A15569" t="s">
        <v>46193</v>
      </c>
      <c r="B15569" t="s">
        <v>47734</v>
      </c>
      <c r="C15569" t="s">
        <v>47735</v>
      </c>
      <c r="D15569" t="s">
        <v>47736</v>
      </c>
      <c r="E15569" t="s">
        <v>47737</v>
      </c>
      <c r="F15569" t="s">
        <v>47738</v>
      </c>
      <c r="G15569" s="2" t="str">
        <f>HYPERLINK("https://probpalata.gov.ru/files/ЮЛ780301287600000.jpeg","Скачать индивидуальный QR-код магазина")</f>
        <v>Скачать индивидуальный QR-код магазина</v>
      </c>
    </row>
    <row r="15570" spans="1:7" x14ac:dyDescent="0.25">
      <c r="A15570" t="s">
        <v>46193</v>
      </c>
      <c r="B15570" t="s">
        <v>47739</v>
      </c>
      <c r="C15570" t="s">
        <v>47740</v>
      </c>
      <c r="D15570" t="s">
        <v>47741</v>
      </c>
      <c r="E15570" t="s">
        <v>47742</v>
      </c>
      <c r="F15570" t="s">
        <v>47743</v>
      </c>
      <c r="G15570" s="2" t="str">
        <f>HYPERLINK("https://probpalata.gov.ru/files/ЮЛ780300274300000.jpeg","Скачать индивидуальный QR-код магазина")</f>
        <v>Скачать индивидуальный QR-код магазина</v>
      </c>
    </row>
    <row r="15571" spans="1:7" x14ac:dyDescent="0.25">
      <c r="A15571" t="s">
        <v>46193</v>
      </c>
      <c r="B15571" t="s">
        <v>47744</v>
      </c>
      <c r="C15571" t="s">
        <v>47745</v>
      </c>
      <c r="D15571" t="s">
        <v>47746</v>
      </c>
      <c r="E15571" t="s">
        <v>47747</v>
      </c>
      <c r="F15571" t="s">
        <v>47748</v>
      </c>
      <c r="G15571" s="2" t="str">
        <f>HYPERLINK("https://probpalata.gov.ru/files/ЮЛ780300531700000.jpeg","Скачать индивидуальный QR-код магазина")</f>
        <v>Скачать индивидуальный QR-код магазина</v>
      </c>
    </row>
    <row r="15572" spans="1:7" x14ac:dyDescent="0.25">
      <c r="A15572" t="s">
        <v>46193</v>
      </c>
      <c r="B15572" t="s">
        <v>47749</v>
      </c>
      <c r="C15572" t="s">
        <v>32749</v>
      </c>
      <c r="D15572" t="s">
        <v>32750</v>
      </c>
      <c r="E15572" t="s">
        <v>32751</v>
      </c>
      <c r="F15572" t="s">
        <v>47750</v>
      </c>
      <c r="G15572" s="2" t="str">
        <f>HYPERLINK("https://probpalata.gov.ru/files/ЮЛ780301246700000.jpeg","Скачать индивидуальный QR-код магазина")</f>
        <v>Скачать индивидуальный QR-код магазина</v>
      </c>
    </row>
    <row r="15573" spans="1:7" x14ac:dyDescent="0.25">
      <c r="A15573" t="s">
        <v>46193</v>
      </c>
      <c r="B15573" t="s">
        <v>47751</v>
      </c>
      <c r="C15573" t="s">
        <v>32749</v>
      </c>
      <c r="D15573" t="s">
        <v>32750</v>
      </c>
      <c r="E15573" t="s">
        <v>32751</v>
      </c>
      <c r="F15573" t="s">
        <v>47752</v>
      </c>
      <c r="G15573" s="2" t="str">
        <f>HYPERLINK("https://probpalata.gov.ru/files/ЮЛ780301246700003.jpeg","Скачать индивидуальный QR-код магазина")</f>
        <v>Скачать индивидуальный QR-код магазина</v>
      </c>
    </row>
    <row r="15574" spans="1:7" x14ac:dyDescent="0.25">
      <c r="A15574" t="s">
        <v>46193</v>
      </c>
      <c r="B15574" t="s">
        <v>47753</v>
      </c>
      <c r="C15574" t="s">
        <v>32749</v>
      </c>
      <c r="D15574" t="s">
        <v>32750</v>
      </c>
      <c r="E15574" t="s">
        <v>32751</v>
      </c>
      <c r="F15574" t="s">
        <v>47754</v>
      </c>
      <c r="G15574" s="2" t="str">
        <f>HYPERLINK("https://probpalata.gov.ru/files/ЮЛ780301246700007.jpeg","Скачать индивидуальный QR-код магазина")</f>
        <v>Скачать индивидуальный QR-код магазина</v>
      </c>
    </row>
    <row r="15575" spans="1:7" x14ac:dyDescent="0.25">
      <c r="A15575" t="s">
        <v>46193</v>
      </c>
      <c r="B15575" t="s">
        <v>47755</v>
      </c>
      <c r="C15575" t="s">
        <v>32749</v>
      </c>
      <c r="D15575" t="s">
        <v>32750</v>
      </c>
      <c r="E15575" t="s">
        <v>32751</v>
      </c>
      <c r="F15575" t="s">
        <v>47756</v>
      </c>
      <c r="G15575" s="2" t="str">
        <f>HYPERLINK("https://probpalata.gov.ru/files/ЮЛ780301246700008.jpeg","Скачать индивидуальный QR-код магазина")</f>
        <v>Скачать индивидуальный QR-код магазина</v>
      </c>
    </row>
    <row r="15576" spans="1:7" x14ac:dyDescent="0.25">
      <c r="A15576" t="s">
        <v>46193</v>
      </c>
      <c r="B15576" t="s">
        <v>47757</v>
      </c>
      <c r="C15576" t="s">
        <v>47758</v>
      </c>
      <c r="D15576" t="s">
        <v>47759</v>
      </c>
      <c r="E15576" t="s">
        <v>47760</v>
      </c>
      <c r="F15576" t="s">
        <v>47761</v>
      </c>
      <c r="G15576" s="2" t="str">
        <f>HYPERLINK("https://probpalata.gov.ru/files/ЮЛ780300463900000.jpeg","Скачать индивидуальный QR-код магазина")</f>
        <v>Скачать индивидуальный QR-код магазина</v>
      </c>
    </row>
    <row r="15577" spans="1:7" x14ac:dyDescent="0.25">
      <c r="A15577" t="s">
        <v>46193</v>
      </c>
      <c r="B15577" t="s">
        <v>47762</v>
      </c>
      <c r="C15577" t="s">
        <v>47763</v>
      </c>
      <c r="D15577" t="s">
        <v>47764</v>
      </c>
      <c r="E15577" t="s">
        <v>47765</v>
      </c>
      <c r="F15577" t="s">
        <v>47766</v>
      </c>
      <c r="G15577" s="2" t="str">
        <f>HYPERLINK("https://probpalata.gov.ru/files/ЮЛ780303658800001.jpeg","Скачать индивидуальный QR-код магазина")</f>
        <v>Скачать индивидуальный QR-код магазина</v>
      </c>
    </row>
    <row r="15578" spans="1:7" x14ac:dyDescent="0.25">
      <c r="A15578" t="s">
        <v>46193</v>
      </c>
      <c r="B15578" t="s">
        <v>47762</v>
      </c>
      <c r="C15578" t="s">
        <v>47767</v>
      </c>
      <c r="D15578" t="s">
        <v>47768</v>
      </c>
      <c r="E15578" t="s">
        <v>47769</v>
      </c>
      <c r="F15578" t="s">
        <v>47770</v>
      </c>
      <c r="G15578" s="2" t="str">
        <f>HYPERLINK("https://probpalata.gov.ru/files/ЮЛ780303745200000.jpeg","Скачать индивидуальный QR-код магазина")</f>
        <v>Скачать индивидуальный QR-код магазина</v>
      </c>
    </row>
    <row r="15579" spans="1:7" x14ac:dyDescent="0.25">
      <c r="A15579" t="s">
        <v>46193</v>
      </c>
      <c r="B15579" t="s">
        <v>47771</v>
      </c>
      <c r="C15579" t="s">
        <v>47772</v>
      </c>
      <c r="D15579" t="s">
        <v>47773</v>
      </c>
      <c r="E15579" t="s">
        <v>47774</v>
      </c>
      <c r="F15579" t="s">
        <v>47775</v>
      </c>
      <c r="G15579" s="2" t="str">
        <f>HYPERLINK("https://probpalata.gov.ru/files/ИП780303196800000.jpeg","Скачать индивидуальный QR-код магазина")</f>
        <v>Скачать индивидуальный QR-код магазина</v>
      </c>
    </row>
    <row r="15580" spans="1:7" x14ac:dyDescent="0.25">
      <c r="A15580" t="s">
        <v>46193</v>
      </c>
      <c r="B15580" t="s">
        <v>47776</v>
      </c>
      <c r="C15580" t="s">
        <v>47777</v>
      </c>
      <c r="D15580" t="s">
        <v>47778</v>
      </c>
      <c r="E15580" t="s">
        <v>47779</v>
      </c>
      <c r="F15580" t="s">
        <v>47780</v>
      </c>
      <c r="G15580" s="2" t="str">
        <f>HYPERLINK("https://probpalata.gov.ru/files/ИП780301416400000.jpeg","Скачать индивидуальный QR-код магазина")</f>
        <v>Скачать индивидуальный QR-код магазина</v>
      </c>
    </row>
    <row r="15581" spans="1:7" x14ac:dyDescent="0.25">
      <c r="A15581" t="s">
        <v>46193</v>
      </c>
      <c r="B15581" t="s">
        <v>47781</v>
      </c>
      <c r="C15581" t="s">
        <v>47777</v>
      </c>
      <c r="D15581" t="s">
        <v>47778</v>
      </c>
      <c r="E15581" t="s">
        <v>47779</v>
      </c>
      <c r="F15581" t="s">
        <v>47782</v>
      </c>
      <c r="G15581" s="2" t="str">
        <f>HYPERLINK("https://probpalata.gov.ru/files/ИП780301416400001.jpeg","Скачать индивидуальный QR-код магазина")</f>
        <v>Скачать индивидуальный QR-код магазина</v>
      </c>
    </row>
    <row r="15582" spans="1:7" x14ac:dyDescent="0.25">
      <c r="A15582" t="s">
        <v>46193</v>
      </c>
      <c r="B15582" t="s">
        <v>47783</v>
      </c>
      <c r="C15582" t="s">
        <v>47777</v>
      </c>
      <c r="D15582" t="s">
        <v>47778</v>
      </c>
      <c r="E15582" t="s">
        <v>47779</v>
      </c>
      <c r="F15582" t="s">
        <v>47784</v>
      </c>
      <c r="G15582" s="2" t="str">
        <f>HYPERLINK("https://probpalata.gov.ru/files/ИП780301416400003.jpeg","Скачать индивидуальный QR-код магазина")</f>
        <v>Скачать индивидуальный QR-код магазина</v>
      </c>
    </row>
    <row r="15583" spans="1:7" x14ac:dyDescent="0.25">
      <c r="A15583" t="s">
        <v>46193</v>
      </c>
      <c r="B15583" t="s">
        <v>47785</v>
      </c>
      <c r="C15583" t="s">
        <v>47786</v>
      </c>
      <c r="D15583" t="s">
        <v>47787</v>
      </c>
      <c r="E15583" t="s">
        <v>47788</v>
      </c>
      <c r="F15583" t="s">
        <v>47789</v>
      </c>
      <c r="G15583" s="2" t="str">
        <f>HYPERLINK("https://probpalata.gov.ru/files/ИП780300717300000.jpeg","Скачать индивидуальный QR-код магазина")</f>
        <v>Скачать индивидуальный QR-код магазина</v>
      </c>
    </row>
    <row r="15584" spans="1:7" x14ac:dyDescent="0.25">
      <c r="A15584" t="s">
        <v>46193</v>
      </c>
      <c r="B15584" t="s">
        <v>47790</v>
      </c>
      <c r="C15584" t="s">
        <v>47791</v>
      </c>
      <c r="D15584" t="s">
        <v>47792</v>
      </c>
      <c r="E15584" t="s">
        <v>47793</v>
      </c>
      <c r="F15584" t="s">
        <v>47794</v>
      </c>
      <c r="G15584" s="2" t="str">
        <f>HYPERLINK("https://probpalata.gov.ru/files/ЮЛ780301390300000.jpeg","Скачать индивидуальный QR-код магазина")</f>
        <v>Скачать индивидуальный QR-код магазина</v>
      </c>
    </row>
    <row r="15585" spans="1:7" x14ac:dyDescent="0.25">
      <c r="A15585" t="s">
        <v>46193</v>
      </c>
      <c r="B15585" t="s">
        <v>47795</v>
      </c>
      <c r="C15585" t="s">
        <v>47796</v>
      </c>
      <c r="D15585" t="s">
        <v>47797</v>
      </c>
      <c r="E15585" t="s">
        <v>47798</v>
      </c>
      <c r="F15585" t="s">
        <v>47799</v>
      </c>
      <c r="G15585" s="2" t="str">
        <f>HYPERLINK("https://probpalata.gov.ru/files/ИП780300487300000.jpeg","Скачать индивидуальный QR-код магазина")</f>
        <v>Скачать индивидуальный QR-код магазина</v>
      </c>
    </row>
    <row r="15586" spans="1:7" x14ac:dyDescent="0.25">
      <c r="A15586" t="s">
        <v>46193</v>
      </c>
      <c r="B15586" t="s">
        <v>47800</v>
      </c>
      <c r="C15586" t="s">
        <v>47801</v>
      </c>
      <c r="D15586" t="s">
        <v>47802</v>
      </c>
      <c r="E15586" t="s">
        <v>47803</v>
      </c>
      <c r="F15586" t="s">
        <v>47804</v>
      </c>
      <c r="G15586" s="2" t="str">
        <f>HYPERLINK("https://probpalata.gov.ru/files/ИП780301629500000.jpeg","Скачать индивидуальный QR-код магазина")</f>
        <v>Скачать индивидуальный QR-код магазина</v>
      </c>
    </row>
    <row r="15587" spans="1:7" x14ac:dyDescent="0.25">
      <c r="A15587" t="s">
        <v>46193</v>
      </c>
      <c r="B15587" t="s">
        <v>47805</v>
      </c>
      <c r="C15587" t="s">
        <v>47806</v>
      </c>
      <c r="D15587" t="s">
        <v>47807</v>
      </c>
      <c r="E15587" t="s">
        <v>47808</v>
      </c>
      <c r="F15587" t="s">
        <v>47809</v>
      </c>
      <c r="G15587" s="2" t="str">
        <f>HYPERLINK("https://probpalata.gov.ru/files/ЮЛ780303172600000.jpeg","Скачать индивидуальный QR-код магазина")</f>
        <v>Скачать индивидуальный QR-код магазина</v>
      </c>
    </row>
    <row r="15588" spans="1:7" x14ac:dyDescent="0.25">
      <c r="A15588" t="s">
        <v>46193</v>
      </c>
      <c r="B15588" t="s">
        <v>47810</v>
      </c>
      <c r="C15588" t="s">
        <v>47806</v>
      </c>
      <c r="D15588" t="s">
        <v>47807</v>
      </c>
      <c r="E15588" t="s">
        <v>47808</v>
      </c>
      <c r="F15588" t="s">
        <v>47811</v>
      </c>
      <c r="G15588" s="2" t="str">
        <f>HYPERLINK("https://probpalata.gov.ru/files/ЮЛ780303172600001.jpeg","Скачать индивидуальный QR-код магазина")</f>
        <v>Скачать индивидуальный QR-код магазина</v>
      </c>
    </row>
    <row r="15589" spans="1:7" x14ac:dyDescent="0.25">
      <c r="A15589" t="s">
        <v>46193</v>
      </c>
      <c r="B15589" t="s">
        <v>47812</v>
      </c>
      <c r="C15589" t="s">
        <v>47813</v>
      </c>
      <c r="D15589" t="s">
        <v>47814</v>
      </c>
      <c r="E15589" t="s">
        <v>47815</v>
      </c>
      <c r="F15589" t="s">
        <v>47816</v>
      </c>
      <c r="G15589" s="2" t="str">
        <f>HYPERLINK("https://probpalata.gov.ru/files/ИП780303708800000.jpeg","Скачать индивидуальный QR-код магазина")</f>
        <v>Скачать индивидуальный QR-код магазина</v>
      </c>
    </row>
    <row r="15590" spans="1:7" x14ac:dyDescent="0.25">
      <c r="A15590" t="s">
        <v>46193</v>
      </c>
      <c r="B15590" t="s">
        <v>47817</v>
      </c>
      <c r="C15590" t="s">
        <v>4077</v>
      </c>
      <c r="D15590" t="s">
        <v>4078</v>
      </c>
      <c r="E15590" t="s">
        <v>4079</v>
      </c>
      <c r="F15590" t="s">
        <v>47818</v>
      </c>
      <c r="G15590" s="2" t="str">
        <f>HYPERLINK("https://probpalata.gov.ru/files/ЮЛ780300331800126.jpeg","Скачать индивидуальный QR-код магазина")</f>
        <v>Скачать индивидуальный QR-код магазина</v>
      </c>
    </row>
    <row r="15591" spans="1:7" x14ac:dyDescent="0.25">
      <c r="A15591" t="s">
        <v>46193</v>
      </c>
      <c r="B15591" t="s">
        <v>47819</v>
      </c>
      <c r="C15591" t="s">
        <v>4077</v>
      </c>
      <c r="D15591" t="s">
        <v>4078</v>
      </c>
      <c r="E15591" t="s">
        <v>4079</v>
      </c>
      <c r="F15591" t="s">
        <v>47820</v>
      </c>
      <c r="G15591" s="2" t="str">
        <f>HYPERLINK("https://probpalata.gov.ru/files/ЮЛ780300331800130.jpeg","Скачать индивидуальный QR-код магазина")</f>
        <v>Скачать индивидуальный QR-код магазина</v>
      </c>
    </row>
    <row r="15592" spans="1:7" x14ac:dyDescent="0.25">
      <c r="A15592" t="s">
        <v>46193</v>
      </c>
      <c r="B15592" t="s">
        <v>47821</v>
      </c>
      <c r="C15592" t="s">
        <v>4077</v>
      </c>
      <c r="D15592" t="s">
        <v>4078</v>
      </c>
      <c r="E15592" t="s">
        <v>4079</v>
      </c>
      <c r="F15592" t="s">
        <v>47822</v>
      </c>
      <c r="G15592" s="2" t="str">
        <f>HYPERLINK("https://probpalata.gov.ru/files/ЮЛ780300331800143.jpeg","Скачать индивидуальный QR-код магазина")</f>
        <v>Скачать индивидуальный QR-код магазина</v>
      </c>
    </row>
    <row r="15593" spans="1:7" x14ac:dyDescent="0.25">
      <c r="A15593" t="s">
        <v>46193</v>
      </c>
      <c r="B15593" t="s">
        <v>47823</v>
      </c>
      <c r="C15593" t="s">
        <v>4077</v>
      </c>
      <c r="D15593" t="s">
        <v>4078</v>
      </c>
      <c r="E15593" t="s">
        <v>4079</v>
      </c>
      <c r="F15593" t="s">
        <v>47824</v>
      </c>
      <c r="G15593" s="2" t="str">
        <f>HYPERLINK("https://probpalata.gov.ru/files/ЮЛ780300331800152.jpeg","Скачать индивидуальный QR-код магазина")</f>
        <v>Скачать индивидуальный QR-код магазина</v>
      </c>
    </row>
    <row r="15594" spans="1:7" x14ac:dyDescent="0.25">
      <c r="A15594" t="s">
        <v>46193</v>
      </c>
      <c r="B15594" t="s">
        <v>47825</v>
      </c>
      <c r="C15594" t="s">
        <v>1441</v>
      </c>
      <c r="D15594" t="s">
        <v>1442</v>
      </c>
      <c r="E15594" t="s">
        <v>1443</v>
      </c>
      <c r="F15594" t="s">
        <v>47826</v>
      </c>
      <c r="G15594" s="2" t="str">
        <f>HYPERLINK("https://probpalata.gov.ru/files/ЮЛ780300179700001.jpeg","Скачать индивидуальный QR-код магазина")</f>
        <v>Скачать индивидуальный QR-код магазина</v>
      </c>
    </row>
    <row r="15595" spans="1:7" x14ac:dyDescent="0.25">
      <c r="A15595" t="s">
        <v>46193</v>
      </c>
      <c r="B15595" t="s">
        <v>47827</v>
      </c>
      <c r="C15595" t="s">
        <v>1441</v>
      </c>
      <c r="D15595" t="s">
        <v>1442</v>
      </c>
      <c r="E15595" t="s">
        <v>1443</v>
      </c>
      <c r="F15595" t="s">
        <v>47828</v>
      </c>
      <c r="G15595" s="2" t="str">
        <f>HYPERLINK("https://probpalata.gov.ru/files/ЮЛ780300179700002.jpeg","Скачать индивидуальный QR-код магазина")</f>
        <v>Скачать индивидуальный QR-код магазина</v>
      </c>
    </row>
    <row r="15596" spans="1:7" x14ac:dyDescent="0.25">
      <c r="A15596" t="s">
        <v>46193</v>
      </c>
      <c r="B15596" t="s">
        <v>47829</v>
      </c>
      <c r="C15596" t="s">
        <v>1441</v>
      </c>
      <c r="D15596" t="s">
        <v>1442</v>
      </c>
      <c r="E15596" t="s">
        <v>1443</v>
      </c>
      <c r="F15596" t="s">
        <v>47830</v>
      </c>
      <c r="G15596" s="2" t="str">
        <f>HYPERLINK("https://probpalata.gov.ru/files/ЮЛ780300179700003.jpeg","Скачать индивидуальный QR-код магазина")</f>
        <v>Скачать индивидуальный QR-код магазина</v>
      </c>
    </row>
    <row r="15597" spans="1:7" x14ac:dyDescent="0.25">
      <c r="A15597" t="s">
        <v>46193</v>
      </c>
      <c r="B15597" t="s">
        <v>47831</v>
      </c>
      <c r="C15597" t="s">
        <v>1441</v>
      </c>
      <c r="D15597" t="s">
        <v>1442</v>
      </c>
      <c r="E15597" t="s">
        <v>1443</v>
      </c>
      <c r="F15597" t="s">
        <v>47832</v>
      </c>
      <c r="G15597" s="2" t="str">
        <f>HYPERLINK("https://probpalata.gov.ru/files/ЮЛ780300179700004.jpeg","Скачать индивидуальный QR-код магазина")</f>
        <v>Скачать индивидуальный QR-код магазина</v>
      </c>
    </row>
    <row r="15598" spans="1:7" x14ac:dyDescent="0.25">
      <c r="A15598" t="s">
        <v>46193</v>
      </c>
      <c r="B15598" t="s">
        <v>47833</v>
      </c>
      <c r="C15598" t="s">
        <v>1441</v>
      </c>
      <c r="D15598" t="s">
        <v>1442</v>
      </c>
      <c r="E15598" t="s">
        <v>1443</v>
      </c>
      <c r="F15598" t="s">
        <v>47834</v>
      </c>
      <c r="G15598" s="2" t="str">
        <f>HYPERLINK("https://probpalata.gov.ru/files/ЮЛ780300179700005.jpeg","Скачать индивидуальный QR-код магазина")</f>
        <v>Скачать индивидуальный QR-код магазина</v>
      </c>
    </row>
    <row r="15599" spans="1:7" x14ac:dyDescent="0.25">
      <c r="A15599" t="s">
        <v>46193</v>
      </c>
      <c r="B15599" t="s">
        <v>47835</v>
      </c>
      <c r="C15599" t="s">
        <v>1441</v>
      </c>
      <c r="D15599" t="s">
        <v>1442</v>
      </c>
      <c r="E15599" t="s">
        <v>1443</v>
      </c>
      <c r="F15599" t="s">
        <v>47836</v>
      </c>
      <c r="G15599" s="2" t="str">
        <f>HYPERLINK("https://probpalata.gov.ru/files/ЮЛ780300179700011.jpeg","Скачать индивидуальный QR-код магазина")</f>
        <v>Скачать индивидуальный QR-код магазина</v>
      </c>
    </row>
    <row r="15600" spans="1:7" x14ac:dyDescent="0.25">
      <c r="A15600" t="s">
        <v>46193</v>
      </c>
      <c r="B15600" t="s">
        <v>47837</v>
      </c>
      <c r="C15600" t="s">
        <v>1441</v>
      </c>
      <c r="D15600" t="s">
        <v>1442</v>
      </c>
      <c r="E15600" t="s">
        <v>1443</v>
      </c>
      <c r="F15600" t="s">
        <v>47838</v>
      </c>
      <c r="G15600" s="2" t="str">
        <f>HYPERLINK("https://probpalata.gov.ru/files/ЮЛ780300179700017.jpeg","Скачать индивидуальный QR-код магазина")</f>
        <v>Скачать индивидуальный QR-код магазина</v>
      </c>
    </row>
    <row r="15601" spans="1:7" x14ac:dyDescent="0.25">
      <c r="A15601" t="s">
        <v>46193</v>
      </c>
      <c r="B15601" t="s">
        <v>47839</v>
      </c>
      <c r="C15601" t="s">
        <v>1441</v>
      </c>
      <c r="D15601" t="s">
        <v>1442</v>
      </c>
      <c r="E15601" t="s">
        <v>1443</v>
      </c>
      <c r="F15601" t="s">
        <v>47840</v>
      </c>
      <c r="G15601" s="2" t="str">
        <f>HYPERLINK("https://probpalata.gov.ru/files/ЮЛ780300179700019.jpeg","Скачать индивидуальный QR-код магазина")</f>
        <v>Скачать индивидуальный QR-код магазина</v>
      </c>
    </row>
    <row r="15602" spans="1:7" x14ac:dyDescent="0.25">
      <c r="A15602" t="s">
        <v>46193</v>
      </c>
      <c r="B15602" t="s">
        <v>47841</v>
      </c>
      <c r="C15602" t="s">
        <v>1441</v>
      </c>
      <c r="D15602" t="s">
        <v>1442</v>
      </c>
      <c r="E15602" t="s">
        <v>1443</v>
      </c>
      <c r="F15602" t="s">
        <v>47842</v>
      </c>
      <c r="G15602" s="2" t="str">
        <f>HYPERLINK("https://probpalata.gov.ru/files/ЮЛ780300179700025.jpeg","Скачать индивидуальный QR-код магазина")</f>
        <v>Скачать индивидуальный QR-код магазина</v>
      </c>
    </row>
    <row r="15603" spans="1:7" x14ac:dyDescent="0.25">
      <c r="A15603" t="s">
        <v>46193</v>
      </c>
      <c r="B15603" t="s">
        <v>47843</v>
      </c>
      <c r="C15603" t="s">
        <v>1441</v>
      </c>
      <c r="D15603" t="s">
        <v>1442</v>
      </c>
      <c r="E15603" t="s">
        <v>1443</v>
      </c>
      <c r="F15603" t="s">
        <v>47844</v>
      </c>
      <c r="G15603" s="2" t="str">
        <f>HYPERLINK("https://probpalata.gov.ru/files/ЮЛ780300179700026.jpeg","Скачать индивидуальный QR-код магазина")</f>
        <v>Скачать индивидуальный QR-код магазина</v>
      </c>
    </row>
    <row r="15604" spans="1:7" x14ac:dyDescent="0.25">
      <c r="A15604" t="s">
        <v>46193</v>
      </c>
      <c r="B15604" t="s">
        <v>47845</v>
      </c>
      <c r="C15604" t="s">
        <v>1441</v>
      </c>
      <c r="D15604" t="s">
        <v>1442</v>
      </c>
      <c r="E15604" t="s">
        <v>1443</v>
      </c>
      <c r="F15604" t="s">
        <v>47846</v>
      </c>
      <c r="G15604" s="2" t="str">
        <f>HYPERLINK("https://probpalata.gov.ru/files/ЮЛ780300179700027.jpeg","Скачать индивидуальный QR-код магазина")</f>
        <v>Скачать индивидуальный QR-код магазина</v>
      </c>
    </row>
    <row r="15605" spans="1:7" x14ac:dyDescent="0.25">
      <c r="A15605" t="s">
        <v>46193</v>
      </c>
      <c r="B15605" t="s">
        <v>47847</v>
      </c>
      <c r="C15605" t="s">
        <v>1441</v>
      </c>
      <c r="D15605" t="s">
        <v>1442</v>
      </c>
      <c r="E15605" t="s">
        <v>1443</v>
      </c>
      <c r="F15605" t="s">
        <v>47848</v>
      </c>
      <c r="G15605" s="2" t="str">
        <f>HYPERLINK("https://probpalata.gov.ru/files/ЮЛ780300179700028.jpeg","Скачать индивидуальный QR-код магазина")</f>
        <v>Скачать индивидуальный QR-код магазина</v>
      </c>
    </row>
    <row r="15606" spans="1:7" x14ac:dyDescent="0.25">
      <c r="A15606" t="s">
        <v>46193</v>
      </c>
      <c r="B15606" t="s">
        <v>47849</v>
      </c>
      <c r="C15606" t="s">
        <v>1441</v>
      </c>
      <c r="D15606" t="s">
        <v>1442</v>
      </c>
      <c r="E15606" t="s">
        <v>1443</v>
      </c>
      <c r="F15606" t="s">
        <v>47850</v>
      </c>
      <c r="G15606" s="2" t="str">
        <f>HYPERLINK("https://probpalata.gov.ru/files/ЮЛ780300179700030.jpeg","Скачать индивидуальный QR-код магазина")</f>
        <v>Скачать индивидуальный QR-код магазина</v>
      </c>
    </row>
    <row r="15607" spans="1:7" x14ac:dyDescent="0.25">
      <c r="A15607" t="s">
        <v>46193</v>
      </c>
      <c r="B15607" t="s">
        <v>47851</v>
      </c>
      <c r="C15607" t="s">
        <v>1441</v>
      </c>
      <c r="D15607" t="s">
        <v>1442</v>
      </c>
      <c r="E15607" t="s">
        <v>1443</v>
      </c>
      <c r="F15607" t="s">
        <v>47852</v>
      </c>
      <c r="G15607" s="2" t="str">
        <f>HYPERLINK("https://probpalata.gov.ru/files/ЮЛ780300179700031.jpeg","Скачать индивидуальный QR-код магазина")</f>
        <v>Скачать индивидуальный QR-код магазина</v>
      </c>
    </row>
    <row r="15608" spans="1:7" x14ac:dyDescent="0.25">
      <c r="A15608" t="s">
        <v>46193</v>
      </c>
      <c r="B15608" t="s">
        <v>47853</v>
      </c>
      <c r="C15608" t="s">
        <v>1441</v>
      </c>
      <c r="D15608" t="s">
        <v>1442</v>
      </c>
      <c r="E15608" t="s">
        <v>1443</v>
      </c>
      <c r="F15608" t="s">
        <v>47854</v>
      </c>
      <c r="G15608" s="2" t="str">
        <f>HYPERLINK("https://probpalata.gov.ru/files/ЮЛ780300179700032.jpeg","Скачать индивидуальный QR-код магазина")</f>
        <v>Скачать индивидуальный QR-код магазина</v>
      </c>
    </row>
    <row r="15609" spans="1:7" x14ac:dyDescent="0.25">
      <c r="A15609" t="s">
        <v>46193</v>
      </c>
      <c r="B15609" t="s">
        <v>47855</v>
      </c>
      <c r="C15609" t="s">
        <v>1441</v>
      </c>
      <c r="D15609" t="s">
        <v>1442</v>
      </c>
      <c r="E15609" t="s">
        <v>1443</v>
      </c>
      <c r="F15609" t="s">
        <v>47856</v>
      </c>
      <c r="G15609" s="2" t="str">
        <f>HYPERLINK("https://probpalata.gov.ru/files/ЮЛ780300179700034.jpeg","Скачать индивидуальный QR-код магазина")</f>
        <v>Скачать индивидуальный QR-код магазина</v>
      </c>
    </row>
    <row r="15610" spans="1:7" x14ac:dyDescent="0.25">
      <c r="A15610" t="s">
        <v>46193</v>
      </c>
      <c r="B15610" t="s">
        <v>47857</v>
      </c>
      <c r="C15610" t="s">
        <v>1441</v>
      </c>
      <c r="D15610" t="s">
        <v>1442</v>
      </c>
      <c r="E15610" t="s">
        <v>1443</v>
      </c>
      <c r="F15610" t="s">
        <v>47858</v>
      </c>
      <c r="G15610" s="2" t="str">
        <f>HYPERLINK("https://probpalata.gov.ru/files/ЮЛ780300179700036.jpeg","Скачать индивидуальный QR-код магазина")</f>
        <v>Скачать индивидуальный QR-код магазина</v>
      </c>
    </row>
    <row r="15611" spans="1:7" x14ac:dyDescent="0.25">
      <c r="A15611" t="s">
        <v>46193</v>
      </c>
      <c r="B15611" t="s">
        <v>47859</v>
      </c>
      <c r="C15611" t="s">
        <v>47860</v>
      </c>
      <c r="D15611" t="s">
        <v>47861</v>
      </c>
      <c r="E15611" t="s">
        <v>47862</v>
      </c>
      <c r="F15611" t="s">
        <v>47863</v>
      </c>
      <c r="G15611" s="2" t="str">
        <f>HYPERLINK("https://probpalata.gov.ru/files/ЮЛ780300130500000.jpeg","Скачать индивидуальный QR-код магазина")</f>
        <v>Скачать индивидуальный QR-код магазина</v>
      </c>
    </row>
    <row r="15612" spans="1:7" x14ac:dyDescent="0.25">
      <c r="A15612" t="s">
        <v>46193</v>
      </c>
      <c r="B15612" t="s">
        <v>47864</v>
      </c>
      <c r="C15612" t="s">
        <v>47865</v>
      </c>
      <c r="D15612" t="s">
        <v>47866</v>
      </c>
      <c r="E15612" t="s">
        <v>47867</v>
      </c>
      <c r="F15612" t="s">
        <v>47868</v>
      </c>
      <c r="G15612" s="2" t="str">
        <f>HYPERLINK("https://probpalata.gov.ru/files/ИП780300363000000.jpeg","Скачать индивидуальный QR-код магазина")</f>
        <v>Скачать индивидуальный QR-код магазина</v>
      </c>
    </row>
    <row r="15613" spans="1:7" x14ac:dyDescent="0.25">
      <c r="A15613" t="s">
        <v>46193</v>
      </c>
      <c r="B15613" t="s">
        <v>47869</v>
      </c>
      <c r="C15613" t="s">
        <v>47865</v>
      </c>
      <c r="D15613" t="s">
        <v>47866</v>
      </c>
      <c r="E15613" t="s">
        <v>47867</v>
      </c>
      <c r="F15613" t="s">
        <v>47870</v>
      </c>
      <c r="G15613" s="2" t="str">
        <f>HYPERLINK("https://probpalata.gov.ru/files/ИП780300363000001.jpeg","Скачать индивидуальный QR-код магазина")</f>
        <v>Скачать индивидуальный QR-код магазина</v>
      </c>
    </row>
    <row r="15614" spans="1:7" x14ac:dyDescent="0.25">
      <c r="A15614" t="s">
        <v>46193</v>
      </c>
      <c r="B15614" t="s">
        <v>47871</v>
      </c>
      <c r="C15614" t="s">
        <v>47865</v>
      </c>
      <c r="D15614" t="s">
        <v>47866</v>
      </c>
      <c r="E15614" t="s">
        <v>47867</v>
      </c>
      <c r="F15614" t="s">
        <v>47872</v>
      </c>
      <c r="G15614" s="2" t="str">
        <f>HYPERLINK("https://probpalata.gov.ru/files/ИП780300363000002.jpeg","Скачать индивидуальный QR-код магазина")</f>
        <v>Скачать индивидуальный QR-код магазина</v>
      </c>
    </row>
    <row r="15615" spans="1:7" x14ac:dyDescent="0.25">
      <c r="A15615" t="s">
        <v>46193</v>
      </c>
      <c r="B15615" t="s">
        <v>47873</v>
      </c>
      <c r="C15615" t="s">
        <v>47874</v>
      </c>
      <c r="D15615" t="s">
        <v>47875</v>
      </c>
      <c r="E15615" t="s">
        <v>47876</v>
      </c>
      <c r="F15615" t="s">
        <v>47877</v>
      </c>
      <c r="G15615" s="2" t="str">
        <f>HYPERLINK("https://probpalata.gov.ru/files/ИП780303760300000.jpeg","Скачать индивидуальный QR-код магазина")</f>
        <v>Скачать индивидуальный QR-код магазина</v>
      </c>
    </row>
    <row r="15616" spans="1:7" x14ac:dyDescent="0.25">
      <c r="A15616" t="s">
        <v>46193</v>
      </c>
      <c r="B15616" t="s">
        <v>47878</v>
      </c>
      <c r="C15616" t="s">
        <v>47879</v>
      </c>
      <c r="D15616" t="s">
        <v>47880</v>
      </c>
      <c r="E15616" t="s">
        <v>47881</v>
      </c>
      <c r="F15616" t="s">
        <v>47882</v>
      </c>
      <c r="G15616" s="2" t="str">
        <f>HYPERLINK("https://probpalata.gov.ru/files/ИП780301472200000.jpeg","Скачать индивидуальный QR-код магазина")</f>
        <v>Скачать индивидуальный QR-код магазина</v>
      </c>
    </row>
    <row r="15617" spans="1:7" x14ac:dyDescent="0.25">
      <c r="A15617" t="s">
        <v>46193</v>
      </c>
      <c r="B15617" t="s">
        <v>47883</v>
      </c>
      <c r="C15617" t="s">
        <v>47884</v>
      </c>
      <c r="D15617" t="s">
        <v>47885</v>
      </c>
      <c r="E15617" t="s">
        <v>47886</v>
      </c>
      <c r="F15617" t="s">
        <v>47887</v>
      </c>
      <c r="G15617" s="2" t="str">
        <f>HYPERLINK("https://probpalata.gov.ru/files/ИП780303780000000.jpeg","Скачать индивидуальный QR-код магазина")</f>
        <v>Скачать индивидуальный QR-код магазина</v>
      </c>
    </row>
    <row r="15618" spans="1:7" x14ac:dyDescent="0.25">
      <c r="A15618" t="s">
        <v>46193</v>
      </c>
      <c r="B15618" t="s">
        <v>47888</v>
      </c>
      <c r="C15618" t="s">
        <v>47889</v>
      </c>
      <c r="D15618" t="s">
        <v>47890</v>
      </c>
      <c r="E15618" t="s">
        <v>47891</v>
      </c>
      <c r="F15618" t="s">
        <v>47892</v>
      </c>
      <c r="G15618" s="2" t="str">
        <f>HYPERLINK("https://probpalata.gov.ru/files/ЮЛ780300054900000.jpeg","Скачать индивидуальный QR-код магазина")</f>
        <v>Скачать индивидуальный QR-код магазина</v>
      </c>
    </row>
    <row r="15619" spans="1:7" x14ac:dyDescent="0.25">
      <c r="A15619" t="s">
        <v>46193</v>
      </c>
      <c r="B15619" t="s">
        <v>47893</v>
      </c>
      <c r="C15619" t="s">
        <v>20936</v>
      </c>
      <c r="D15619" t="s">
        <v>47894</v>
      </c>
      <c r="E15619" t="s">
        <v>47895</v>
      </c>
      <c r="F15619" t="s">
        <v>47896</v>
      </c>
      <c r="G15619" s="2" t="str">
        <f>HYPERLINK("https://probpalata.gov.ru/files/ЮЛ780301037500000.jpeg","Скачать индивидуальный QR-код магазина")</f>
        <v>Скачать индивидуальный QR-код магазина</v>
      </c>
    </row>
    <row r="15620" spans="1:7" x14ac:dyDescent="0.25">
      <c r="A15620" t="s">
        <v>46193</v>
      </c>
      <c r="B15620" t="s">
        <v>47897</v>
      </c>
      <c r="C15620" t="s">
        <v>47898</v>
      </c>
      <c r="D15620" t="s">
        <v>47899</v>
      </c>
      <c r="E15620" t="s">
        <v>47900</v>
      </c>
      <c r="F15620" t="s">
        <v>47901</v>
      </c>
      <c r="G15620" s="2" t="str">
        <f>HYPERLINK("https://probpalata.gov.ru/files/ИП780303552700000.jpeg","Скачать индивидуальный QR-код магазина")</f>
        <v>Скачать индивидуальный QR-код магазина</v>
      </c>
    </row>
    <row r="15621" spans="1:7" x14ac:dyDescent="0.25">
      <c r="A15621" t="s">
        <v>46193</v>
      </c>
      <c r="B15621" t="s">
        <v>47902</v>
      </c>
      <c r="C15621" t="s">
        <v>47903</v>
      </c>
      <c r="D15621" t="s">
        <v>47904</v>
      </c>
      <c r="E15621" t="s">
        <v>47905</v>
      </c>
      <c r="F15621" t="s">
        <v>47906</v>
      </c>
      <c r="G15621" s="2" t="str">
        <f>HYPERLINK("https://probpalata.gov.ru/files/ИП780300096400000.jpeg","Скачать индивидуальный QR-код магазина")</f>
        <v>Скачать индивидуальный QR-код магазина</v>
      </c>
    </row>
    <row r="15622" spans="1:7" x14ac:dyDescent="0.25">
      <c r="A15622" t="s">
        <v>46193</v>
      </c>
      <c r="B15622" t="s">
        <v>47907</v>
      </c>
      <c r="C15622" t="s">
        <v>47908</v>
      </c>
      <c r="D15622" t="s">
        <v>47909</v>
      </c>
      <c r="E15622" t="s">
        <v>47910</v>
      </c>
      <c r="F15622" t="s">
        <v>47911</v>
      </c>
      <c r="G15622" s="2" t="str">
        <f>HYPERLINK("https://probpalata.gov.ru/files/ИП780303595000000.jpeg","Скачать индивидуальный QR-код магазина")</f>
        <v>Скачать индивидуальный QR-код магазина</v>
      </c>
    </row>
    <row r="15623" spans="1:7" x14ac:dyDescent="0.25">
      <c r="A15623" t="s">
        <v>46193</v>
      </c>
      <c r="B15623" t="s">
        <v>47912</v>
      </c>
      <c r="C15623" t="s">
        <v>47913</v>
      </c>
      <c r="D15623" t="s">
        <v>47914</v>
      </c>
      <c r="E15623" t="s">
        <v>47915</v>
      </c>
      <c r="F15623" t="s">
        <v>47916</v>
      </c>
      <c r="G15623" s="2" t="str">
        <f>HYPERLINK("https://probpalata.gov.ru/files/ИП780303269800000.jpeg","Скачать индивидуальный QR-код магазина")</f>
        <v>Скачать индивидуальный QR-код магазина</v>
      </c>
    </row>
    <row r="15624" spans="1:7" x14ac:dyDescent="0.25">
      <c r="A15624" t="s">
        <v>46193</v>
      </c>
      <c r="B15624" t="s">
        <v>47917</v>
      </c>
      <c r="C15624" t="s">
        <v>47918</v>
      </c>
      <c r="D15624" t="s">
        <v>47919</v>
      </c>
      <c r="E15624" t="s">
        <v>47920</v>
      </c>
      <c r="F15624" t="s">
        <v>47921</v>
      </c>
      <c r="G15624" s="2" t="str">
        <f>HYPERLINK("https://probpalata.gov.ru/files/ИП780300561300000.jpeg","Скачать индивидуальный QR-код магазина")</f>
        <v>Скачать индивидуальный QR-код магазина</v>
      </c>
    </row>
    <row r="15625" spans="1:7" x14ac:dyDescent="0.25">
      <c r="A15625" t="s">
        <v>46193</v>
      </c>
      <c r="B15625" t="s">
        <v>47922</v>
      </c>
      <c r="C15625" t="s">
        <v>47918</v>
      </c>
      <c r="D15625" t="s">
        <v>47919</v>
      </c>
      <c r="E15625" t="s">
        <v>47920</v>
      </c>
      <c r="F15625" t="s">
        <v>47923</v>
      </c>
      <c r="G15625" s="2" t="str">
        <f>HYPERLINK("https://probpalata.gov.ru/files/ИП780300561300001.jpeg","Скачать индивидуальный QR-код магазина")</f>
        <v>Скачать индивидуальный QR-код магазина</v>
      </c>
    </row>
    <row r="15626" spans="1:7" x14ac:dyDescent="0.25">
      <c r="A15626" t="s">
        <v>46193</v>
      </c>
      <c r="B15626" t="s">
        <v>47924</v>
      </c>
      <c r="C15626" t="s">
        <v>47918</v>
      </c>
      <c r="D15626" t="s">
        <v>47919</v>
      </c>
      <c r="E15626" t="s">
        <v>47920</v>
      </c>
      <c r="F15626" t="s">
        <v>47925</v>
      </c>
      <c r="G15626" s="2" t="str">
        <f>HYPERLINK("https://probpalata.gov.ru/files/ИП780300561300002.jpeg","Скачать индивидуальный QR-код магазина")</f>
        <v>Скачать индивидуальный QR-код магазина</v>
      </c>
    </row>
    <row r="15627" spans="1:7" x14ac:dyDescent="0.25">
      <c r="A15627" t="s">
        <v>46193</v>
      </c>
      <c r="B15627" t="s">
        <v>47926</v>
      </c>
      <c r="C15627" t="s">
        <v>47918</v>
      </c>
      <c r="D15627" t="s">
        <v>47919</v>
      </c>
      <c r="E15627" t="s">
        <v>47920</v>
      </c>
      <c r="F15627" t="s">
        <v>47927</v>
      </c>
      <c r="G15627" s="2" t="str">
        <f>HYPERLINK("https://probpalata.gov.ru/files/ИП780300561300003.jpeg","Скачать индивидуальный QR-код магазина")</f>
        <v>Скачать индивидуальный QR-код магазина</v>
      </c>
    </row>
    <row r="15628" spans="1:7" x14ac:dyDescent="0.25">
      <c r="A15628" t="s">
        <v>46193</v>
      </c>
      <c r="B15628" t="s">
        <v>47928</v>
      </c>
      <c r="C15628" t="s">
        <v>47918</v>
      </c>
      <c r="D15628" t="s">
        <v>47919</v>
      </c>
      <c r="E15628" t="s">
        <v>47920</v>
      </c>
      <c r="F15628" t="s">
        <v>47929</v>
      </c>
      <c r="G15628" s="2" t="str">
        <f>HYPERLINK("https://probpalata.gov.ru/files/ИП780300561300004.jpeg","Скачать индивидуальный QR-код магазина")</f>
        <v>Скачать индивидуальный QR-код магазина</v>
      </c>
    </row>
    <row r="15629" spans="1:7" x14ac:dyDescent="0.25">
      <c r="A15629" t="s">
        <v>46193</v>
      </c>
      <c r="B15629" t="s">
        <v>47930</v>
      </c>
      <c r="C15629" t="s">
        <v>47918</v>
      </c>
      <c r="D15629" t="s">
        <v>47919</v>
      </c>
      <c r="E15629" t="s">
        <v>47920</v>
      </c>
      <c r="F15629" t="s">
        <v>47931</v>
      </c>
      <c r="G15629" s="2" t="str">
        <f>HYPERLINK("https://probpalata.gov.ru/files/ИП780300561300005.jpeg","Скачать индивидуальный QR-код магазина")</f>
        <v>Скачать индивидуальный QR-код магазина</v>
      </c>
    </row>
    <row r="15630" spans="1:7" x14ac:dyDescent="0.25">
      <c r="A15630" t="s">
        <v>46193</v>
      </c>
      <c r="B15630" t="s">
        <v>47932</v>
      </c>
      <c r="C15630" t="s">
        <v>47918</v>
      </c>
      <c r="D15630" t="s">
        <v>47919</v>
      </c>
      <c r="E15630" t="s">
        <v>47920</v>
      </c>
      <c r="F15630" t="s">
        <v>47933</v>
      </c>
      <c r="G15630" s="2" t="str">
        <f>HYPERLINK("https://probpalata.gov.ru/files/ИП780300561300008.jpeg","Скачать индивидуальный QR-код магазина")</f>
        <v>Скачать индивидуальный QR-код магазина</v>
      </c>
    </row>
    <row r="15631" spans="1:7" x14ac:dyDescent="0.25">
      <c r="A15631" t="s">
        <v>46193</v>
      </c>
      <c r="B15631" t="s">
        <v>47934</v>
      </c>
      <c r="C15631" t="s">
        <v>47935</v>
      </c>
      <c r="D15631" t="s">
        <v>47936</v>
      </c>
      <c r="E15631" t="s">
        <v>47937</v>
      </c>
      <c r="F15631" t="s">
        <v>47938</v>
      </c>
      <c r="G15631" s="2" t="str">
        <f>HYPERLINK("https://probpalata.gov.ru/files/ЮЛ780300387300000.jpeg","Скачать индивидуальный QR-код магазина")</f>
        <v>Скачать индивидуальный QR-код магазина</v>
      </c>
    </row>
    <row r="15632" spans="1:7" x14ac:dyDescent="0.25">
      <c r="A15632" t="s">
        <v>46193</v>
      </c>
      <c r="B15632" t="s">
        <v>47939</v>
      </c>
      <c r="C15632" t="s">
        <v>47935</v>
      </c>
      <c r="D15632" t="s">
        <v>47936</v>
      </c>
      <c r="E15632" t="s">
        <v>47937</v>
      </c>
      <c r="F15632" t="s">
        <v>47940</v>
      </c>
      <c r="G15632" s="2" t="str">
        <f>HYPERLINK("https://probpalata.gov.ru/files/ЮЛ780300387300001.jpeg","Скачать индивидуальный QR-код магазина")</f>
        <v>Скачать индивидуальный QR-код магазина</v>
      </c>
    </row>
    <row r="15633" spans="1:7" x14ac:dyDescent="0.25">
      <c r="A15633" t="s">
        <v>46193</v>
      </c>
      <c r="B15633" t="s">
        <v>47941</v>
      </c>
      <c r="C15633" t="s">
        <v>44846</v>
      </c>
      <c r="D15633" t="s">
        <v>47942</v>
      </c>
      <c r="E15633" t="s">
        <v>47943</v>
      </c>
      <c r="F15633" t="s">
        <v>47944</v>
      </c>
      <c r="G15633" s="2" t="str">
        <f>HYPERLINK("https://probpalata.gov.ru/files/ЮЛ780300561900000.jpeg","Скачать индивидуальный QR-код магазина")</f>
        <v>Скачать индивидуальный QR-код магазина</v>
      </c>
    </row>
    <row r="15634" spans="1:7" x14ac:dyDescent="0.25">
      <c r="A15634" t="s">
        <v>46193</v>
      </c>
      <c r="B15634" t="s">
        <v>47945</v>
      </c>
      <c r="C15634" t="s">
        <v>2204</v>
      </c>
      <c r="D15634" t="s">
        <v>47946</v>
      </c>
      <c r="E15634" t="s">
        <v>47947</v>
      </c>
      <c r="F15634" t="s">
        <v>47948</v>
      </c>
      <c r="G15634" s="2" t="str">
        <f>HYPERLINK("https://probpalata.gov.ru/files/ЮЛ780300949800000.jpeg","Скачать индивидуальный QR-код магазина")</f>
        <v>Скачать индивидуальный QR-код магазина</v>
      </c>
    </row>
    <row r="15635" spans="1:7" x14ac:dyDescent="0.25">
      <c r="A15635" t="s">
        <v>46193</v>
      </c>
      <c r="B15635" t="s">
        <v>47949</v>
      </c>
      <c r="C15635" t="s">
        <v>47950</v>
      </c>
      <c r="D15635" t="s">
        <v>47951</v>
      </c>
      <c r="E15635" t="s">
        <v>47952</v>
      </c>
      <c r="F15635" t="s">
        <v>47953</v>
      </c>
      <c r="G15635" s="2" t="str">
        <f>HYPERLINK("https://probpalata.gov.ru/files/ЮЛ780300029700000.jpeg","Скачать индивидуальный QR-код магазина")</f>
        <v>Скачать индивидуальный QR-код магазина</v>
      </c>
    </row>
    <row r="15636" spans="1:7" x14ac:dyDescent="0.25">
      <c r="A15636" t="s">
        <v>46193</v>
      </c>
      <c r="B15636" t="s">
        <v>47954</v>
      </c>
      <c r="C15636" t="s">
        <v>47955</v>
      </c>
      <c r="D15636" t="s">
        <v>47956</v>
      </c>
      <c r="E15636" t="s">
        <v>47957</v>
      </c>
      <c r="F15636" t="s">
        <v>47958</v>
      </c>
      <c r="G15636" s="2" t="str">
        <f>HYPERLINK("https://probpalata.gov.ru/files/ЮЛ780300329300000.jpeg","Скачать индивидуальный QR-код магазина")</f>
        <v>Скачать индивидуальный QR-код магазина</v>
      </c>
    </row>
    <row r="15637" spans="1:7" x14ac:dyDescent="0.25">
      <c r="A15637" t="s">
        <v>46193</v>
      </c>
      <c r="B15637" t="s">
        <v>47959</v>
      </c>
      <c r="C15637" t="s">
        <v>47960</v>
      </c>
      <c r="D15637" t="s">
        <v>47961</v>
      </c>
      <c r="E15637" t="s">
        <v>47962</v>
      </c>
      <c r="F15637" t="s">
        <v>47963</v>
      </c>
      <c r="G15637" s="2" t="str">
        <f>HYPERLINK("https://probpalata.gov.ru/files/ЮЛ780301581800000.jpeg","Скачать индивидуальный QR-код магазина")</f>
        <v>Скачать индивидуальный QR-код магазина</v>
      </c>
    </row>
    <row r="15638" spans="1:7" x14ac:dyDescent="0.25">
      <c r="A15638" t="s">
        <v>46193</v>
      </c>
      <c r="B15638" t="s">
        <v>47964</v>
      </c>
      <c r="C15638" t="s">
        <v>47965</v>
      </c>
      <c r="D15638" t="s">
        <v>47966</v>
      </c>
      <c r="E15638" t="s">
        <v>47967</v>
      </c>
      <c r="F15638" t="s">
        <v>47968</v>
      </c>
      <c r="G15638" s="2" t="str">
        <f>HYPERLINK("https://probpalata.gov.ru/files/ЮЛ780300474700000.jpeg","Скачать индивидуальный QR-код магазина")</f>
        <v>Скачать индивидуальный QR-код магазина</v>
      </c>
    </row>
    <row r="15639" spans="1:7" x14ac:dyDescent="0.25">
      <c r="A15639" t="s">
        <v>46193</v>
      </c>
      <c r="B15639" t="s">
        <v>47969</v>
      </c>
      <c r="C15639" t="s">
        <v>47970</v>
      </c>
      <c r="D15639" t="s">
        <v>47971</v>
      </c>
      <c r="E15639" t="s">
        <v>47972</v>
      </c>
      <c r="F15639" t="s">
        <v>47973</v>
      </c>
      <c r="G15639" s="2" t="str">
        <f>HYPERLINK("https://probpalata.gov.ru/files/ЮЛ780300377500000.jpeg","Скачать индивидуальный QR-код магазина")</f>
        <v>Скачать индивидуальный QR-код магазина</v>
      </c>
    </row>
    <row r="15640" spans="1:7" x14ac:dyDescent="0.25">
      <c r="A15640" t="s">
        <v>46193</v>
      </c>
      <c r="B15640" t="s">
        <v>47974</v>
      </c>
      <c r="C15640" t="s">
        <v>47970</v>
      </c>
      <c r="D15640" t="s">
        <v>47971</v>
      </c>
      <c r="E15640" t="s">
        <v>47972</v>
      </c>
      <c r="F15640" t="s">
        <v>47975</v>
      </c>
      <c r="G15640" s="2" t="str">
        <f>HYPERLINK("https://probpalata.gov.ru/files/ЮЛ780300377500001.jpeg","Скачать индивидуальный QR-код магазина")</f>
        <v>Скачать индивидуальный QR-код магазина</v>
      </c>
    </row>
    <row r="15641" spans="1:7" x14ac:dyDescent="0.25">
      <c r="A15641" t="s">
        <v>46193</v>
      </c>
      <c r="B15641" t="s">
        <v>47976</v>
      </c>
      <c r="C15641" t="s">
        <v>47970</v>
      </c>
      <c r="D15641" t="s">
        <v>47971</v>
      </c>
      <c r="E15641" t="s">
        <v>47972</v>
      </c>
      <c r="F15641" t="s">
        <v>47977</v>
      </c>
      <c r="G15641" s="2" t="str">
        <f>HYPERLINK("https://probpalata.gov.ru/files/ЮЛ780300377500002.jpeg","Скачать индивидуальный QR-код магазина")</f>
        <v>Скачать индивидуальный QR-код магазина</v>
      </c>
    </row>
    <row r="15642" spans="1:7" x14ac:dyDescent="0.25">
      <c r="A15642" t="s">
        <v>46193</v>
      </c>
      <c r="B15642" t="s">
        <v>47978</v>
      </c>
      <c r="C15642" t="s">
        <v>47970</v>
      </c>
      <c r="D15642" t="s">
        <v>47971</v>
      </c>
      <c r="E15642" t="s">
        <v>47972</v>
      </c>
      <c r="F15642" t="s">
        <v>47979</v>
      </c>
      <c r="G15642" s="2" t="str">
        <f>HYPERLINK("https://probpalata.gov.ru/files/ЮЛ780300377500003.jpeg","Скачать индивидуальный QR-код магазина")</f>
        <v>Скачать индивидуальный QR-код магазина</v>
      </c>
    </row>
    <row r="15643" spans="1:7" x14ac:dyDescent="0.25">
      <c r="A15643" t="s">
        <v>46193</v>
      </c>
      <c r="B15643" t="s">
        <v>47980</v>
      </c>
      <c r="C15643" t="s">
        <v>47970</v>
      </c>
      <c r="D15643" t="s">
        <v>47971</v>
      </c>
      <c r="E15643" t="s">
        <v>47972</v>
      </c>
      <c r="F15643" t="s">
        <v>47981</v>
      </c>
      <c r="G15643" s="2" t="str">
        <f>HYPERLINK("https://probpalata.gov.ru/files/ЮЛ780300377500004.jpeg","Скачать индивидуальный QR-код магазина")</f>
        <v>Скачать индивидуальный QR-код магазина</v>
      </c>
    </row>
    <row r="15644" spans="1:7" x14ac:dyDescent="0.25">
      <c r="A15644" t="s">
        <v>46193</v>
      </c>
      <c r="B15644" t="s">
        <v>47982</v>
      </c>
      <c r="C15644" t="s">
        <v>47970</v>
      </c>
      <c r="D15644" t="s">
        <v>47971</v>
      </c>
      <c r="E15644" t="s">
        <v>47972</v>
      </c>
      <c r="F15644" t="s">
        <v>47983</v>
      </c>
      <c r="G15644" s="2" t="str">
        <f>HYPERLINK("https://probpalata.gov.ru/files/ЮЛ780300377500005.jpeg","Скачать индивидуальный QR-код магазина")</f>
        <v>Скачать индивидуальный QR-код магазина</v>
      </c>
    </row>
    <row r="15645" spans="1:7" x14ac:dyDescent="0.25">
      <c r="A15645" t="s">
        <v>46193</v>
      </c>
      <c r="B15645" t="s">
        <v>47984</v>
      </c>
      <c r="C15645" t="s">
        <v>47985</v>
      </c>
      <c r="D15645" t="s">
        <v>47986</v>
      </c>
      <c r="E15645" t="s">
        <v>47987</v>
      </c>
      <c r="F15645" t="s">
        <v>47988</v>
      </c>
      <c r="G15645" s="2" t="str">
        <f>HYPERLINK("https://probpalata.gov.ru/files/ЮЛ780300943800000.jpeg","Скачать индивидуальный QR-код магазина")</f>
        <v>Скачать индивидуальный QR-код магазина</v>
      </c>
    </row>
    <row r="15646" spans="1:7" x14ac:dyDescent="0.25">
      <c r="A15646" t="s">
        <v>46193</v>
      </c>
      <c r="B15646" t="s">
        <v>47989</v>
      </c>
      <c r="C15646" t="s">
        <v>47990</v>
      </c>
      <c r="D15646" t="s">
        <v>47991</v>
      </c>
      <c r="E15646" t="s">
        <v>47992</v>
      </c>
      <c r="F15646" t="s">
        <v>47993</v>
      </c>
      <c r="G15646" s="2" t="str">
        <f>HYPERLINK("https://probpalata.gov.ru/files/ЮЛ780301070800000.jpeg","Скачать индивидуальный QR-код магазина")</f>
        <v>Скачать индивидуальный QR-код магазина</v>
      </c>
    </row>
    <row r="15647" spans="1:7" x14ac:dyDescent="0.25">
      <c r="A15647" t="s">
        <v>46193</v>
      </c>
      <c r="B15647" t="s">
        <v>47994</v>
      </c>
      <c r="C15647" t="s">
        <v>47995</v>
      </c>
      <c r="D15647" t="s">
        <v>47996</v>
      </c>
      <c r="E15647" t="s">
        <v>47997</v>
      </c>
      <c r="F15647" t="s">
        <v>47998</v>
      </c>
      <c r="G15647" s="2" t="str">
        <f>HYPERLINK("https://probpalata.gov.ru/files/ЮЛ780301460300000.jpeg","Скачать индивидуальный QR-код магазина")</f>
        <v>Скачать индивидуальный QR-код магазина</v>
      </c>
    </row>
    <row r="15648" spans="1:7" x14ac:dyDescent="0.25">
      <c r="A15648" t="s">
        <v>46193</v>
      </c>
      <c r="B15648" t="s">
        <v>47999</v>
      </c>
      <c r="C15648" t="s">
        <v>48000</v>
      </c>
      <c r="D15648" t="s">
        <v>48001</v>
      </c>
      <c r="E15648" t="s">
        <v>48002</v>
      </c>
      <c r="F15648" t="s">
        <v>48003</v>
      </c>
      <c r="G15648" s="2" t="str">
        <f>HYPERLINK("https://probpalata.gov.ru/files/ЮЛ780304095300000.jpeg","Скачать индивидуальный QR-код магазина")</f>
        <v>Скачать индивидуальный QR-код магазина</v>
      </c>
    </row>
    <row r="15649" spans="1:7" x14ac:dyDescent="0.25">
      <c r="A15649" t="s">
        <v>46193</v>
      </c>
      <c r="B15649" t="s">
        <v>48004</v>
      </c>
      <c r="C15649" t="s">
        <v>48005</v>
      </c>
      <c r="D15649" t="s">
        <v>48006</v>
      </c>
      <c r="E15649" t="s">
        <v>48007</v>
      </c>
      <c r="F15649" t="s">
        <v>48008</v>
      </c>
      <c r="G15649" s="2" t="str">
        <f>HYPERLINK("https://probpalata.gov.ru/files/ЮЛ780300584700000.jpeg","Скачать индивидуальный QR-код магазина")</f>
        <v>Скачать индивидуальный QR-код магазина</v>
      </c>
    </row>
    <row r="15650" spans="1:7" x14ac:dyDescent="0.25">
      <c r="A15650" t="s">
        <v>46193</v>
      </c>
      <c r="B15650" t="s">
        <v>48009</v>
      </c>
      <c r="C15650" t="s">
        <v>48010</v>
      </c>
      <c r="D15650" t="s">
        <v>48011</v>
      </c>
      <c r="E15650" t="s">
        <v>48012</v>
      </c>
      <c r="F15650" t="s">
        <v>48013</v>
      </c>
      <c r="G15650" s="2" t="str">
        <f>HYPERLINK("https://probpalata.gov.ru/files/ЮЛ780300390500000.jpeg","Скачать индивидуальный QR-код магазина")</f>
        <v>Скачать индивидуальный QR-код магазина</v>
      </c>
    </row>
    <row r="15651" spans="1:7" x14ac:dyDescent="0.25">
      <c r="A15651" t="s">
        <v>46193</v>
      </c>
      <c r="B15651" t="s">
        <v>48014</v>
      </c>
      <c r="C15651" t="s">
        <v>48010</v>
      </c>
      <c r="D15651" t="s">
        <v>48011</v>
      </c>
      <c r="E15651" t="s">
        <v>48012</v>
      </c>
      <c r="F15651" t="s">
        <v>48015</v>
      </c>
      <c r="G15651" s="2" t="str">
        <f>HYPERLINK("https://probpalata.gov.ru/files/ЮЛ780300390500001.jpeg","Скачать индивидуальный QR-код магазина")</f>
        <v>Скачать индивидуальный QR-код магазина</v>
      </c>
    </row>
    <row r="15652" spans="1:7" x14ac:dyDescent="0.25">
      <c r="A15652" t="s">
        <v>46193</v>
      </c>
      <c r="B15652" t="s">
        <v>48016</v>
      </c>
      <c r="C15652" t="s">
        <v>48017</v>
      </c>
      <c r="D15652" t="s">
        <v>48018</v>
      </c>
      <c r="E15652" t="s">
        <v>48019</v>
      </c>
      <c r="F15652" t="s">
        <v>48020</v>
      </c>
      <c r="G15652" s="2" t="str">
        <f>HYPERLINK("https://probpalata.gov.ru/files/ЮЛ780304038400000.jpeg","Скачать индивидуальный QR-код магазина")</f>
        <v>Скачать индивидуальный QR-код магазина</v>
      </c>
    </row>
    <row r="15653" spans="1:7" x14ac:dyDescent="0.25">
      <c r="A15653" t="s">
        <v>46193</v>
      </c>
      <c r="B15653" t="s">
        <v>48021</v>
      </c>
      <c r="C15653" t="s">
        <v>48022</v>
      </c>
      <c r="D15653" t="s">
        <v>48023</v>
      </c>
      <c r="E15653" t="s">
        <v>48024</v>
      </c>
      <c r="F15653" t="s">
        <v>48025</v>
      </c>
      <c r="G15653" s="2" t="str">
        <f>HYPERLINK("https://probpalata.gov.ru/files/ЮЛ780303214500000.jpeg","Скачать индивидуальный QR-код магазина")</f>
        <v>Скачать индивидуальный QR-код магазина</v>
      </c>
    </row>
    <row r="15654" spans="1:7" x14ac:dyDescent="0.25">
      <c r="A15654" t="s">
        <v>46193</v>
      </c>
      <c r="B15654" t="s">
        <v>48026</v>
      </c>
      <c r="C15654" t="s">
        <v>48027</v>
      </c>
      <c r="D15654" t="s">
        <v>48028</v>
      </c>
      <c r="E15654" t="s">
        <v>48029</v>
      </c>
      <c r="F15654" t="s">
        <v>48030</v>
      </c>
      <c r="G15654" s="2" t="str">
        <f>HYPERLINK("https://probpalata.gov.ru/files/ЮЛ780300730400000.jpeg","Скачать индивидуальный QR-код магазина")</f>
        <v>Скачать индивидуальный QR-код магазина</v>
      </c>
    </row>
    <row r="15655" spans="1:7" x14ac:dyDescent="0.25">
      <c r="A15655" t="s">
        <v>46193</v>
      </c>
      <c r="B15655" t="s">
        <v>48031</v>
      </c>
      <c r="C15655" t="s">
        <v>48027</v>
      </c>
      <c r="D15655" t="s">
        <v>48028</v>
      </c>
      <c r="E15655" t="s">
        <v>48029</v>
      </c>
      <c r="F15655" t="s">
        <v>48032</v>
      </c>
      <c r="G15655" s="2" t="str">
        <f>HYPERLINK("https://probpalata.gov.ru/files/ЮЛ780300730400001.jpeg","Скачать индивидуальный QR-код магазина")</f>
        <v>Скачать индивидуальный QR-код магазина</v>
      </c>
    </row>
    <row r="15656" spans="1:7" x14ac:dyDescent="0.25">
      <c r="A15656" t="s">
        <v>46193</v>
      </c>
      <c r="B15656" t="s">
        <v>48033</v>
      </c>
      <c r="C15656" t="s">
        <v>48034</v>
      </c>
      <c r="D15656" t="s">
        <v>48035</v>
      </c>
      <c r="E15656" t="s">
        <v>48036</v>
      </c>
      <c r="F15656" t="s">
        <v>48037</v>
      </c>
      <c r="G15656" s="2" t="str">
        <f>HYPERLINK("https://probpalata.gov.ru/files/ИП780303881200000.jpeg","Скачать индивидуальный QR-код магазина")</f>
        <v>Скачать индивидуальный QR-код магазина</v>
      </c>
    </row>
    <row r="15657" spans="1:7" x14ac:dyDescent="0.25">
      <c r="A15657" t="s">
        <v>46193</v>
      </c>
      <c r="B15657" t="s">
        <v>48038</v>
      </c>
      <c r="C15657" t="s">
        <v>48039</v>
      </c>
      <c r="D15657" t="s">
        <v>48040</v>
      </c>
      <c r="E15657" t="s">
        <v>48041</v>
      </c>
      <c r="F15657" t="s">
        <v>48042</v>
      </c>
      <c r="G15657" s="2" t="str">
        <f>HYPERLINK("https://probpalata.gov.ru/files/ЮЛ780300665600000.jpeg","Скачать индивидуальный QR-код магазина")</f>
        <v>Скачать индивидуальный QR-код магазина</v>
      </c>
    </row>
    <row r="15658" spans="1:7" x14ac:dyDescent="0.25">
      <c r="A15658" t="s">
        <v>46193</v>
      </c>
      <c r="B15658" t="s">
        <v>48043</v>
      </c>
      <c r="C15658" t="s">
        <v>48044</v>
      </c>
      <c r="D15658" t="s">
        <v>48045</v>
      </c>
      <c r="E15658" t="s">
        <v>48046</v>
      </c>
      <c r="F15658" t="s">
        <v>48047</v>
      </c>
      <c r="G15658" s="2" t="str">
        <f>HYPERLINK("https://probpalata.gov.ru/files/ИП780304099500000.jpeg","Скачать индивидуальный QR-код магазина")</f>
        <v>Скачать индивидуальный QR-код магазина</v>
      </c>
    </row>
    <row r="15659" spans="1:7" x14ac:dyDescent="0.25">
      <c r="A15659" t="s">
        <v>46193</v>
      </c>
      <c r="B15659" t="s">
        <v>48048</v>
      </c>
      <c r="C15659" t="s">
        <v>48044</v>
      </c>
      <c r="D15659" t="s">
        <v>48045</v>
      </c>
      <c r="E15659" t="s">
        <v>48046</v>
      </c>
      <c r="F15659" t="s">
        <v>48049</v>
      </c>
      <c r="G15659" s="2" t="str">
        <f>HYPERLINK("https://probpalata.gov.ru/files/ИП780304099500001.jpeg","Скачать индивидуальный QR-код магазина")</f>
        <v>Скачать индивидуальный QR-код магазина</v>
      </c>
    </row>
    <row r="15660" spans="1:7" x14ac:dyDescent="0.25">
      <c r="A15660" t="s">
        <v>46193</v>
      </c>
      <c r="B15660" t="s">
        <v>48050</v>
      </c>
      <c r="C15660" t="s">
        <v>48044</v>
      </c>
      <c r="D15660" t="s">
        <v>48045</v>
      </c>
      <c r="E15660" t="s">
        <v>48046</v>
      </c>
      <c r="F15660" t="s">
        <v>48051</v>
      </c>
      <c r="G15660" s="2" t="str">
        <f>HYPERLINK("https://probpalata.gov.ru/files/ИП780304099500002.jpeg","Скачать индивидуальный QR-код магазина")</f>
        <v>Скачать индивидуальный QR-код магазина</v>
      </c>
    </row>
    <row r="15661" spans="1:7" x14ac:dyDescent="0.25">
      <c r="A15661" t="s">
        <v>46193</v>
      </c>
      <c r="B15661" t="s">
        <v>48052</v>
      </c>
      <c r="C15661" t="s">
        <v>48044</v>
      </c>
      <c r="D15661" t="s">
        <v>48045</v>
      </c>
      <c r="E15661" t="s">
        <v>48046</v>
      </c>
      <c r="F15661" t="s">
        <v>48053</v>
      </c>
      <c r="G15661" s="2" t="str">
        <f>HYPERLINK("https://probpalata.gov.ru/files/ИП780304099500003.jpeg","Скачать индивидуальный QR-код магазина")</f>
        <v>Скачать индивидуальный QR-код магазина</v>
      </c>
    </row>
    <row r="15662" spans="1:7" x14ac:dyDescent="0.25">
      <c r="A15662" t="s">
        <v>46193</v>
      </c>
      <c r="B15662" t="s">
        <v>48054</v>
      </c>
      <c r="C15662" t="s">
        <v>48044</v>
      </c>
      <c r="D15662" t="s">
        <v>48045</v>
      </c>
      <c r="E15662" t="s">
        <v>48046</v>
      </c>
      <c r="F15662" t="s">
        <v>48055</v>
      </c>
      <c r="G15662" s="2" t="str">
        <f>HYPERLINK("https://probpalata.gov.ru/files/ИП780304099500004.jpeg","Скачать индивидуальный QR-код магазина")</f>
        <v>Скачать индивидуальный QR-код магазина</v>
      </c>
    </row>
    <row r="15663" spans="1:7" x14ac:dyDescent="0.25">
      <c r="A15663" t="s">
        <v>46193</v>
      </c>
      <c r="B15663" t="s">
        <v>48056</v>
      </c>
      <c r="C15663" t="s">
        <v>17941</v>
      </c>
      <c r="D15663" t="s">
        <v>17942</v>
      </c>
      <c r="E15663" t="s">
        <v>17943</v>
      </c>
      <c r="F15663" t="s">
        <v>48057</v>
      </c>
      <c r="G15663" s="2" t="str">
        <f>HYPERLINK("https://probpalata.gov.ru/files/ИП780300718300000.jpeg","Скачать индивидуальный QR-код магазина")</f>
        <v>Скачать индивидуальный QR-код магазина</v>
      </c>
    </row>
    <row r="15664" spans="1:7" x14ac:dyDescent="0.25">
      <c r="A15664" t="s">
        <v>46193</v>
      </c>
      <c r="B15664" t="s">
        <v>48058</v>
      </c>
      <c r="C15664" t="s">
        <v>17941</v>
      </c>
      <c r="D15664" t="s">
        <v>17942</v>
      </c>
      <c r="E15664" t="s">
        <v>17943</v>
      </c>
      <c r="F15664" t="s">
        <v>48059</v>
      </c>
      <c r="G15664" s="2" t="str">
        <f>HYPERLINK("https://probpalata.gov.ru/files/ИП780300718300006.jpeg","Скачать индивидуальный QR-код магазина")</f>
        <v>Скачать индивидуальный QR-код магазина</v>
      </c>
    </row>
    <row r="15665" spans="1:7" x14ac:dyDescent="0.25">
      <c r="A15665" t="s">
        <v>46193</v>
      </c>
      <c r="B15665" t="s">
        <v>48060</v>
      </c>
      <c r="C15665" t="s">
        <v>48061</v>
      </c>
      <c r="D15665" t="s">
        <v>48062</v>
      </c>
      <c r="E15665" t="s">
        <v>48063</v>
      </c>
      <c r="F15665" t="s">
        <v>48064</v>
      </c>
      <c r="G15665" s="2" t="str">
        <f>HYPERLINK("https://probpalata.gov.ru/files/ИП780301786200000.jpeg","Скачать индивидуальный QR-код магазина")</f>
        <v>Скачать индивидуальный QR-код магазина</v>
      </c>
    </row>
    <row r="15666" spans="1:7" x14ac:dyDescent="0.25">
      <c r="A15666" t="s">
        <v>46193</v>
      </c>
      <c r="B15666" t="s">
        <v>48065</v>
      </c>
      <c r="C15666" t="s">
        <v>48061</v>
      </c>
      <c r="D15666" t="s">
        <v>48062</v>
      </c>
      <c r="E15666" t="s">
        <v>48063</v>
      </c>
      <c r="F15666" t="s">
        <v>48066</v>
      </c>
      <c r="G15666" s="2" t="str">
        <f>HYPERLINK("https://probpalata.gov.ru/files/ИП780301786200001.jpeg","Скачать индивидуальный QR-код магазина")</f>
        <v>Скачать индивидуальный QR-код магазина</v>
      </c>
    </row>
    <row r="15667" spans="1:7" x14ac:dyDescent="0.25">
      <c r="A15667" t="s">
        <v>46193</v>
      </c>
      <c r="B15667" t="s">
        <v>48067</v>
      </c>
      <c r="C15667" t="s">
        <v>48061</v>
      </c>
      <c r="D15667" t="s">
        <v>48062</v>
      </c>
      <c r="E15667" t="s">
        <v>48063</v>
      </c>
      <c r="F15667" t="s">
        <v>48068</v>
      </c>
      <c r="G15667" s="2" t="str">
        <f>HYPERLINK("https://probpalata.gov.ru/files/ИП780301786200002.jpeg","Скачать индивидуальный QR-код магазина")</f>
        <v>Скачать индивидуальный QR-код магазина</v>
      </c>
    </row>
    <row r="15668" spans="1:7" x14ac:dyDescent="0.25">
      <c r="A15668" t="s">
        <v>46193</v>
      </c>
      <c r="B15668" t="s">
        <v>48069</v>
      </c>
      <c r="C15668" t="s">
        <v>48070</v>
      </c>
      <c r="D15668" t="s">
        <v>48071</v>
      </c>
      <c r="E15668" t="s">
        <v>48072</v>
      </c>
      <c r="F15668" t="s">
        <v>48073</v>
      </c>
      <c r="G15668" s="2" t="str">
        <f>HYPERLINK("https://probpalata.gov.ru/files/ИП780303261700000.jpeg","Скачать индивидуальный QR-код магазина")</f>
        <v>Скачать индивидуальный QR-код магазина</v>
      </c>
    </row>
    <row r="15669" spans="1:7" x14ac:dyDescent="0.25">
      <c r="A15669" t="s">
        <v>46193</v>
      </c>
      <c r="B15669" t="s">
        <v>48074</v>
      </c>
      <c r="C15669" t="s">
        <v>48075</v>
      </c>
      <c r="D15669" t="s">
        <v>48076</v>
      </c>
      <c r="E15669" t="s">
        <v>48077</v>
      </c>
      <c r="F15669" t="s">
        <v>48078</v>
      </c>
      <c r="G15669" s="2" t="str">
        <f>HYPERLINK("https://probpalata.gov.ru/files/ИП780303183500000.jpeg","Скачать индивидуальный QR-код магазина")</f>
        <v>Скачать индивидуальный QR-код магазина</v>
      </c>
    </row>
    <row r="15670" spans="1:7" x14ac:dyDescent="0.25">
      <c r="A15670" t="s">
        <v>46193</v>
      </c>
      <c r="B15670" t="s">
        <v>48079</v>
      </c>
      <c r="C15670" t="s">
        <v>48080</v>
      </c>
      <c r="D15670" t="s">
        <v>48081</v>
      </c>
      <c r="E15670" t="s">
        <v>48082</v>
      </c>
      <c r="F15670" t="s">
        <v>48083</v>
      </c>
      <c r="G15670" s="2" t="str">
        <f>HYPERLINK("https://probpalata.gov.ru/files/ИП780304019100000.jpeg","Скачать индивидуальный QR-код магазина")</f>
        <v>Скачать индивидуальный QR-код магазина</v>
      </c>
    </row>
    <row r="15671" spans="1:7" x14ac:dyDescent="0.25">
      <c r="A15671" t="s">
        <v>46193</v>
      </c>
      <c r="B15671" t="s">
        <v>48084</v>
      </c>
      <c r="C15671" t="s">
        <v>4084</v>
      </c>
      <c r="D15671" t="s">
        <v>4085</v>
      </c>
      <c r="E15671" t="s">
        <v>4086</v>
      </c>
      <c r="F15671" t="s">
        <v>48085</v>
      </c>
      <c r="G15671" s="2" t="str">
        <f>HYPERLINK("https://probpalata.gov.ru/files/ИП780303259200002.jpeg","Скачать индивидуальный QR-код магазина")</f>
        <v>Скачать индивидуальный QR-код магазина</v>
      </c>
    </row>
    <row r="15672" spans="1:7" x14ac:dyDescent="0.25">
      <c r="A15672" t="s">
        <v>46193</v>
      </c>
      <c r="B15672" t="s">
        <v>48086</v>
      </c>
      <c r="C15672" t="s">
        <v>25405</v>
      </c>
      <c r="D15672" t="s">
        <v>25406</v>
      </c>
      <c r="E15672" t="s">
        <v>25407</v>
      </c>
      <c r="F15672" t="s">
        <v>48087</v>
      </c>
      <c r="G15672" s="2" t="str">
        <f>HYPERLINK("https://probpalata.gov.ru/files/ИП780300322800001.jpeg","Скачать индивидуальный QR-код магазина")</f>
        <v>Скачать индивидуальный QR-код магазина</v>
      </c>
    </row>
    <row r="15673" spans="1:7" x14ac:dyDescent="0.25">
      <c r="A15673" t="s">
        <v>46193</v>
      </c>
      <c r="B15673" t="s">
        <v>48088</v>
      </c>
      <c r="C15673" t="s">
        <v>25405</v>
      </c>
      <c r="D15673" t="s">
        <v>25406</v>
      </c>
      <c r="E15673" t="s">
        <v>25407</v>
      </c>
      <c r="F15673" t="s">
        <v>48089</v>
      </c>
      <c r="G15673" s="2" t="str">
        <f>HYPERLINK("https://probpalata.gov.ru/files/ИП780300322800003.jpeg","Скачать индивидуальный QR-код магазина")</f>
        <v>Скачать индивидуальный QR-код магазина</v>
      </c>
    </row>
    <row r="15674" spans="1:7" x14ac:dyDescent="0.25">
      <c r="A15674" t="s">
        <v>46193</v>
      </c>
      <c r="B15674" t="s">
        <v>48090</v>
      </c>
      <c r="C15674" t="s">
        <v>48091</v>
      </c>
      <c r="D15674" t="s">
        <v>48092</v>
      </c>
      <c r="E15674" t="s">
        <v>48093</v>
      </c>
      <c r="F15674" t="s">
        <v>48094</v>
      </c>
      <c r="G15674" s="2" t="str">
        <f>HYPERLINK("https://probpalata.gov.ru/files/ИП780303242500000.jpeg","Скачать индивидуальный QR-код магазина")</f>
        <v>Скачать индивидуальный QR-код магазина</v>
      </c>
    </row>
    <row r="15675" spans="1:7" x14ac:dyDescent="0.25">
      <c r="A15675" t="s">
        <v>46193</v>
      </c>
      <c r="B15675" t="s">
        <v>48095</v>
      </c>
      <c r="C15675" t="s">
        <v>48096</v>
      </c>
      <c r="D15675" t="s">
        <v>48097</v>
      </c>
      <c r="E15675" t="s">
        <v>48098</v>
      </c>
      <c r="F15675" t="s">
        <v>48099</v>
      </c>
      <c r="G15675" s="2" t="str">
        <f>HYPERLINK("https://probpalata.gov.ru/files/ЮЛ780300243200000.jpeg","Скачать индивидуальный QR-код магазина")</f>
        <v>Скачать индивидуальный QR-код магазина</v>
      </c>
    </row>
    <row r="15676" spans="1:7" x14ac:dyDescent="0.25">
      <c r="A15676" t="s">
        <v>46193</v>
      </c>
      <c r="B15676" t="s">
        <v>48100</v>
      </c>
      <c r="C15676" t="s">
        <v>48096</v>
      </c>
      <c r="D15676" t="s">
        <v>48097</v>
      </c>
      <c r="E15676" t="s">
        <v>48098</v>
      </c>
      <c r="F15676" t="s">
        <v>48101</v>
      </c>
      <c r="G15676" s="2" t="str">
        <f>HYPERLINK("https://probpalata.gov.ru/files/ЮЛ780300243200005.jpeg","Скачать индивидуальный QR-код магазина")</f>
        <v>Скачать индивидуальный QR-код магазина</v>
      </c>
    </row>
    <row r="15677" spans="1:7" x14ac:dyDescent="0.25">
      <c r="A15677" t="s">
        <v>46193</v>
      </c>
      <c r="B15677" t="s">
        <v>48102</v>
      </c>
      <c r="C15677" t="s">
        <v>29818</v>
      </c>
      <c r="D15677" t="s">
        <v>48103</v>
      </c>
      <c r="E15677" t="s">
        <v>48104</v>
      </c>
      <c r="F15677" t="s">
        <v>48105</v>
      </c>
      <c r="G15677" s="2" t="str">
        <f>HYPERLINK("https://probpalata.gov.ru/files/ЮЛ780300446100002.jpeg","Скачать индивидуальный QR-код магазина")</f>
        <v>Скачать индивидуальный QR-код магазина</v>
      </c>
    </row>
    <row r="15678" spans="1:7" x14ac:dyDescent="0.25">
      <c r="A15678" t="s">
        <v>46193</v>
      </c>
      <c r="B15678" t="s">
        <v>48106</v>
      </c>
      <c r="C15678" t="s">
        <v>48107</v>
      </c>
      <c r="D15678" t="s">
        <v>48108</v>
      </c>
      <c r="E15678" t="s">
        <v>48109</v>
      </c>
      <c r="F15678" t="s">
        <v>48110</v>
      </c>
      <c r="G15678" s="2" t="str">
        <f>HYPERLINK("https://probpalata.gov.ru/files/ЮЛ780300411800000.jpeg","Скачать индивидуальный QR-код магазина")</f>
        <v>Скачать индивидуальный QR-код магазина</v>
      </c>
    </row>
    <row r="15679" spans="1:7" x14ac:dyDescent="0.25">
      <c r="A15679" t="s">
        <v>46193</v>
      </c>
      <c r="B15679" t="s">
        <v>48111</v>
      </c>
      <c r="C15679" t="s">
        <v>48107</v>
      </c>
      <c r="D15679" t="s">
        <v>48108</v>
      </c>
      <c r="E15679" t="s">
        <v>48109</v>
      </c>
      <c r="F15679" t="s">
        <v>48112</v>
      </c>
      <c r="G15679" s="2" t="str">
        <f>HYPERLINK("https://probpalata.gov.ru/files/ЮЛ780300411800001.jpeg","Скачать индивидуальный QR-код магазина")</f>
        <v>Скачать индивидуальный QR-код магазина</v>
      </c>
    </row>
    <row r="15680" spans="1:7" x14ac:dyDescent="0.25">
      <c r="A15680" t="s">
        <v>46193</v>
      </c>
      <c r="B15680" t="s">
        <v>48113</v>
      </c>
      <c r="C15680" t="s">
        <v>48107</v>
      </c>
      <c r="D15680" t="s">
        <v>48108</v>
      </c>
      <c r="E15680" t="s">
        <v>48109</v>
      </c>
      <c r="F15680" t="s">
        <v>48114</v>
      </c>
      <c r="G15680" s="2" t="str">
        <f>HYPERLINK("https://probpalata.gov.ru/files/ЮЛ780300411800002.jpeg","Скачать индивидуальный QR-код магазина")</f>
        <v>Скачать индивидуальный QR-код магазина</v>
      </c>
    </row>
    <row r="15681" spans="1:7" x14ac:dyDescent="0.25">
      <c r="A15681" t="s">
        <v>46193</v>
      </c>
      <c r="B15681" t="s">
        <v>48115</v>
      </c>
      <c r="C15681" t="s">
        <v>48116</v>
      </c>
      <c r="D15681" t="s">
        <v>48117</v>
      </c>
      <c r="E15681" t="s">
        <v>48118</v>
      </c>
      <c r="F15681" t="s">
        <v>48119</v>
      </c>
      <c r="G15681" s="2" t="str">
        <f>HYPERLINK("https://probpalata.gov.ru/files/ИП780300229500000.jpeg","Скачать индивидуальный QR-код магазина")</f>
        <v>Скачать индивидуальный QR-код магазина</v>
      </c>
    </row>
    <row r="15682" spans="1:7" x14ac:dyDescent="0.25">
      <c r="A15682" t="s">
        <v>46193</v>
      </c>
      <c r="B15682" t="s">
        <v>48120</v>
      </c>
      <c r="C15682" t="s">
        <v>48121</v>
      </c>
      <c r="D15682" t="s">
        <v>48122</v>
      </c>
      <c r="E15682" t="s">
        <v>48123</v>
      </c>
      <c r="F15682" t="s">
        <v>48124</v>
      </c>
      <c r="G15682" s="2" t="str">
        <f>HYPERLINK("https://probpalata.gov.ru/files/ЮЛ780301060000000.jpeg","Скачать индивидуальный QR-код магазина")</f>
        <v>Скачать индивидуальный QR-код магазина</v>
      </c>
    </row>
    <row r="15683" spans="1:7" x14ac:dyDescent="0.25">
      <c r="A15683" t="s">
        <v>46193</v>
      </c>
      <c r="B15683" t="s">
        <v>48125</v>
      </c>
      <c r="C15683" t="s">
        <v>48126</v>
      </c>
      <c r="D15683" t="s">
        <v>48127</v>
      </c>
      <c r="E15683" t="s">
        <v>48128</v>
      </c>
      <c r="F15683" t="s">
        <v>48129</v>
      </c>
      <c r="G15683" s="2" t="str">
        <f>HYPERLINK("https://probpalata.gov.ru/files/ЮЛ780301615400000.jpeg","Скачать индивидуальный QR-код магазина")</f>
        <v>Скачать индивидуальный QR-код магазина</v>
      </c>
    </row>
    <row r="15684" spans="1:7" x14ac:dyDescent="0.25">
      <c r="A15684" t="s">
        <v>46193</v>
      </c>
      <c r="B15684" t="s">
        <v>48130</v>
      </c>
      <c r="C15684" t="s">
        <v>48131</v>
      </c>
      <c r="D15684" t="s">
        <v>48132</v>
      </c>
      <c r="E15684" t="s">
        <v>48133</v>
      </c>
      <c r="F15684" t="s">
        <v>48134</v>
      </c>
      <c r="G15684" s="2" t="str">
        <f>HYPERLINK("https://probpalata.gov.ru/files/ЮЛ780301058900000.jpeg","Скачать индивидуальный QR-код магазина")</f>
        <v>Скачать индивидуальный QR-код магазина</v>
      </c>
    </row>
    <row r="15685" spans="1:7" x14ac:dyDescent="0.25">
      <c r="A15685" t="s">
        <v>46193</v>
      </c>
      <c r="B15685" t="s">
        <v>48135</v>
      </c>
      <c r="C15685" t="s">
        <v>48136</v>
      </c>
      <c r="D15685" t="s">
        <v>48137</v>
      </c>
      <c r="E15685" t="s">
        <v>48138</v>
      </c>
      <c r="F15685" t="s">
        <v>48139</v>
      </c>
      <c r="G15685" s="2" t="str">
        <f>HYPERLINK("https://probpalata.gov.ru/files/ЮЛ780300248500001.jpeg","Скачать индивидуальный QR-код магазина")</f>
        <v>Скачать индивидуальный QR-код магазина</v>
      </c>
    </row>
    <row r="15686" spans="1:7" x14ac:dyDescent="0.25">
      <c r="A15686" t="s">
        <v>46193</v>
      </c>
      <c r="B15686" t="s">
        <v>48140</v>
      </c>
      <c r="C15686" t="s">
        <v>48136</v>
      </c>
      <c r="D15686" t="s">
        <v>48137</v>
      </c>
      <c r="E15686" t="s">
        <v>48138</v>
      </c>
      <c r="F15686" t="s">
        <v>48141</v>
      </c>
      <c r="G15686" s="2" t="str">
        <f>HYPERLINK("https://probpalata.gov.ru/files/ЮЛ780300248500002.jpeg","Скачать индивидуальный QR-код магазина")</f>
        <v>Скачать индивидуальный QR-код магазина</v>
      </c>
    </row>
    <row r="15687" spans="1:7" x14ac:dyDescent="0.25">
      <c r="A15687" t="s">
        <v>46193</v>
      </c>
      <c r="B15687" t="s">
        <v>48142</v>
      </c>
      <c r="C15687" t="s">
        <v>791</v>
      </c>
      <c r="D15687" t="s">
        <v>792</v>
      </c>
      <c r="E15687" t="s">
        <v>793</v>
      </c>
      <c r="F15687" t="s">
        <v>48143</v>
      </c>
      <c r="G15687" s="2" t="str">
        <f>HYPERLINK("https://probpalata.gov.ru/files/ЮЛ780300323500000.jpeg","Скачать индивидуальный QR-код магазина")</f>
        <v>Скачать индивидуальный QR-код магазина</v>
      </c>
    </row>
    <row r="15688" spans="1:7" x14ac:dyDescent="0.25">
      <c r="A15688" t="s">
        <v>46193</v>
      </c>
      <c r="B15688" t="s">
        <v>48144</v>
      </c>
      <c r="C15688" t="s">
        <v>791</v>
      </c>
      <c r="D15688" t="s">
        <v>792</v>
      </c>
      <c r="E15688" t="s">
        <v>793</v>
      </c>
      <c r="F15688" t="s">
        <v>48145</v>
      </c>
      <c r="G15688" s="2" t="str">
        <f>HYPERLINK("https://probpalata.gov.ru/files/ЮЛ780300323500130.jpeg","Скачать индивидуальный QR-код магазина")</f>
        <v>Скачать индивидуальный QR-код магазина</v>
      </c>
    </row>
    <row r="15689" spans="1:7" x14ac:dyDescent="0.25">
      <c r="A15689" t="s">
        <v>46193</v>
      </c>
      <c r="B15689" t="s">
        <v>48146</v>
      </c>
      <c r="C15689" t="s">
        <v>791</v>
      </c>
      <c r="D15689" t="s">
        <v>792</v>
      </c>
      <c r="E15689" t="s">
        <v>793</v>
      </c>
      <c r="F15689" t="s">
        <v>48147</v>
      </c>
      <c r="G15689" s="2" t="str">
        <f>HYPERLINK("https://probpalata.gov.ru/files/ЮЛ780300323500131.jpeg","Скачать индивидуальный QR-код магазина")</f>
        <v>Скачать индивидуальный QR-код магазина</v>
      </c>
    </row>
    <row r="15690" spans="1:7" x14ac:dyDescent="0.25">
      <c r="A15690" t="s">
        <v>46193</v>
      </c>
      <c r="B15690" t="s">
        <v>48148</v>
      </c>
      <c r="C15690" t="s">
        <v>791</v>
      </c>
      <c r="D15690" t="s">
        <v>792</v>
      </c>
      <c r="E15690" t="s">
        <v>793</v>
      </c>
      <c r="F15690" t="s">
        <v>48149</v>
      </c>
      <c r="G15690" s="2" t="str">
        <f>HYPERLINK("https://probpalata.gov.ru/files/ЮЛ780300323500132.jpeg","Скачать индивидуальный QR-код магазина")</f>
        <v>Скачать индивидуальный QR-код магазина</v>
      </c>
    </row>
    <row r="15691" spans="1:7" x14ac:dyDescent="0.25">
      <c r="A15691" t="s">
        <v>46193</v>
      </c>
      <c r="B15691" t="s">
        <v>48150</v>
      </c>
      <c r="C15691" t="s">
        <v>791</v>
      </c>
      <c r="D15691" t="s">
        <v>792</v>
      </c>
      <c r="E15691" t="s">
        <v>793</v>
      </c>
      <c r="F15691" t="s">
        <v>48151</v>
      </c>
      <c r="G15691" s="2" t="str">
        <f>HYPERLINK("https://probpalata.gov.ru/files/ЮЛ780300323500134.jpeg","Скачать индивидуальный QR-код магазина")</f>
        <v>Скачать индивидуальный QR-код магазина</v>
      </c>
    </row>
    <row r="15692" spans="1:7" x14ac:dyDescent="0.25">
      <c r="A15692" t="s">
        <v>46193</v>
      </c>
      <c r="B15692" t="s">
        <v>48152</v>
      </c>
      <c r="C15692" t="s">
        <v>791</v>
      </c>
      <c r="D15692" t="s">
        <v>792</v>
      </c>
      <c r="E15692" t="s">
        <v>793</v>
      </c>
      <c r="F15692" t="s">
        <v>48153</v>
      </c>
      <c r="G15692" s="2" t="str">
        <f>HYPERLINK("https://probpalata.gov.ru/files/ЮЛ780300323500135.jpeg","Скачать индивидуальный QR-код магазина")</f>
        <v>Скачать индивидуальный QR-код магазина</v>
      </c>
    </row>
    <row r="15693" spans="1:7" x14ac:dyDescent="0.25">
      <c r="A15693" t="s">
        <v>46193</v>
      </c>
      <c r="B15693" t="s">
        <v>48154</v>
      </c>
      <c r="C15693" t="s">
        <v>791</v>
      </c>
      <c r="D15693" t="s">
        <v>792</v>
      </c>
      <c r="E15693" t="s">
        <v>793</v>
      </c>
      <c r="F15693" t="s">
        <v>48155</v>
      </c>
      <c r="G15693" s="2" t="str">
        <f>HYPERLINK("https://probpalata.gov.ru/files/ЮЛ780300323500136.jpeg","Скачать индивидуальный QR-код магазина")</f>
        <v>Скачать индивидуальный QR-код магазина</v>
      </c>
    </row>
    <row r="15694" spans="1:7" x14ac:dyDescent="0.25">
      <c r="A15694" t="s">
        <v>46193</v>
      </c>
      <c r="B15694" t="s">
        <v>48156</v>
      </c>
      <c r="C15694" t="s">
        <v>791</v>
      </c>
      <c r="D15694" t="s">
        <v>792</v>
      </c>
      <c r="E15694" t="s">
        <v>793</v>
      </c>
      <c r="F15694" t="s">
        <v>48157</v>
      </c>
      <c r="G15694" s="2" t="str">
        <f>HYPERLINK("https://probpalata.gov.ru/files/ЮЛ780300323500137.jpeg","Скачать индивидуальный QR-код магазина")</f>
        <v>Скачать индивидуальный QR-код магазина</v>
      </c>
    </row>
    <row r="15695" spans="1:7" x14ac:dyDescent="0.25">
      <c r="A15695" t="s">
        <v>46193</v>
      </c>
      <c r="B15695" t="s">
        <v>48158</v>
      </c>
      <c r="C15695" t="s">
        <v>791</v>
      </c>
      <c r="D15695" t="s">
        <v>792</v>
      </c>
      <c r="E15695" t="s">
        <v>793</v>
      </c>
      <c r="F15695" t="s">
        <v>48159</v>
      </c>
      <c r="G15695" s="2" t="str">
        <f>HYPERLINK("https://probpalata.gov.ru/files/ЮЛ780300323500138.jpeg","Скачать индивидуальный QR-код магазина")</f>
        <v>Скачать индивидуальный QR-код магазина</v>
      </c>
    </row>
    <row r="15696" spans="1:7" x14ac:dyDescent="0.25">
      <c r="A15696" t="s">
        <v>46193</v>
      </c>
      <c r="B15696" t="s">
        <v>48160</v>
      </c>
      <c r="C15696" t="s">
        <v>791</v>
      </c>
      <c r="D15696" t="s">
        <v>792</v>
      </c>
      <c r="E15696" t="s">
        <v>793</v>
      </c>
      <c r="F15696" t="s">
        <v>48161</v>
      </c>
      <c r="G15696" s="2" t="str">
        <f>HYPERLINK("https://probpalata.gov.ru/files/ЮЛ780300323500139.jpeg","Скачать индивидуальный QR-код магазина")</f>
        <v>Скачать индивидуальный QR-код магазина</v>
      </c>
    </row>
    <row r="15697" spans="1:7" x14ac:dyDescent="0.25">
      <c r="A15697" t="s">
        <v>46193</v>
      </c>
      <c r="B15697" t="s">
        <v>48162</v>
      </c>
      <c r="C15697" t="s">
        <v>791</v>
      </c>
      <c r="D15697" t="s">
        <v>792</v>
      </c>
      <c r="E15697" t="s">
        <v>793</v>
      </c>
      <c r="F15697" t="s">
        <v>48163</v>
      </c>
      <c r="G15697" s="2" t="str">
        <f>HYPERLINK("https://probpalata.gov.ru/files/ЮЛ780300323500140.jpeg","Скачать индивидуальный QR-код магазина")</f>
        <v>Скачать индивидуальный QR-код магазина</v>
      </c>
    </row>
    <row r="15698" spans="1:7" x14ac:dyDescent="0.25">
      <c r="A15698" t="s">
        <v>46193</v>
      </c>
      <c r="B15698" t="s">
        <v>48164</v>
      </c>
      <c r="C15698" t="s">
        <v>791</v>
      </c>
      <c r="D15698" t="s">
        <v>792</v>
      </c>
      <c r="E15698" t="s">
        <v>793</v>
      </c>
      <c r="F15698" t="s">
        <v>48165</v>
      </c>
      <c r="G15698" s="2" t="str">
        <f>HYPERLINK("https://probpalata.gov.ru/files/ЮЛ780300323500141.jpeg","Скачать индивидуальный QR-код магазина")</f>
        <v>Скачать индивидуальный QR-код магазина</v>
      </c>
    </row>
    <row r="15699" spans="1:7" x14ac:dyDescent="0.25">
      <c r="A15699" t="s">
        <v>46193</v>
      </c>
      <c r="B15699" t="s">
        <v>48166</v>
      </c>
      <c r="C15699" t="s">
        <v>791</v>
      </c>
      <c r="D15699" t="s">
        <v>792</v>
      </c>
      <c r="E15699" t="s">
        <v>793</v>
      </c>
      <c r="F15699" t="s">
        <v>48167</v>
      </c>
      <c r="G15699" s="2" t="str">
        <f>HYPERLINK("https://probpalata.gov.ru/files/ЮЛ780300323500142.jpeg","Скачать индивидуальный QR-код магазина")</f>
        <v>Скачать индивидуальный QR-код магазина</v>
      </c>
    </row>
    <row r="15700" spans="1:7" x14ac:dyDescent="0.25">
      <c r="A15700" t="s">
        <v>46193</v>
      </c>
      <c r="B15700" t="s">
        <v>48168</v>
      </c>
      <c r="C15700" t="s">
        <v>791</v>
      </c>
      <c r="D15700" t="s">
        <v>792</v>
      </c>
      <c r="E15700" t="s">
        <v>793</v>
      </c>
      <c r="F15700" t="s">
        <v>48169</v>
      </c>
      <c r="G15700" s="2" t="str">
        <f>HYPERLINK("https://probpalata.gov.ru/files/ЮЛ780300323500143.jpeg","Скачать индивидуальный QR-код магазина")</f>
        <v>Скачать индивидуальный QR-код магазина</v>
      </c>
    </row>
    <row r="15701" spans="1:7" x14ac:dyDescent="0.25">
      <c r="A15701" t="s">
        <v>46193</v>
      </c>
      <c r="B15701" t="s">
        <v>48170</v>
      </c>
      <c r="C15701" t="s">
        <v>791</v>
      </c>
      <c r="D15701" t="s">
        <v>792</v>
      </c>
      <c r="E15701" t="s">
        <v>793</v>
      </c>
      <c r="F15701" t="s">
        <v>48171</v>
      </c>
      <c r="G15701" s="2" t="str">
        <f>HYPERLINK("https://probpalata.gov.ru/files/ЮЛ780300323500144.jpeg","Скачать индивидуальный QR-код магазина")</f>
        <v>Скачать индивидуальный QR-код магазина</v>
      </c>
    </row>
    <row r="15702" spans="1:7" x14ac:dyDescent="0.25">
      <c r="A15702" t="s">
        <v>46193</v>
      </c>
      <c r="B15702" t="s">
        <v>48172</v>
      </c>
      <c r="C15702" t="s">
        <v>791</v>
      </c>
      <c r="D15702" t="s">
        <v>792</v>
      </c>
      <c r="E15702" t="s">
        <v>793</v>
      </c>
      <c r="F15702" t="s">
        <v>48173</v>
      </c>
      <c r="G15702" s="2" t="str">
        <f>HYPERLINK("https://probpalata.gov.ru/files/ЮЛ780300323500145.jpeg","Скачать индивидуальный QR-код магазина")</f>
        <v>Скачать индивидуальный QR-код магазина</v>
      </c>
    </row>
    <row r="15703" spans="1:7" x14ac:dyDescent="0.25">
      <c r="A15703" t="s">
        <v>46193</v>
      </c>
      <c r="B15703" t="s">
        <v>48174</v>
      </c>
      <c r="C15703" t="s">
        <v>791</v>
      </c>
      <c r="D15703" t="s">
        <v>792</v>
      </c>
      <c r="E15703" t="s">
        <v>793</v>
      </c>
      <c r="F15703" t="s">
        <v>48175</v>
      </c>
      <c r="G15703" s="2" t="str">
        <f>HYPERLINK("https://probpalata.gov.ru/files/ЮЛ780300323500146.jpeg","Скачать индивидуальный QR-код магазина")</f>
        <v>Скачать индивидуальный QR-код магазина</v>
      </c>
    </row>
    <row r="15704" spans="1:7" x14ac:dyDescent="0.25">
      <c r="A15704" t="s">
        <v>46193</v>
      </c>
      <c r="B15704" t="s">
        <v>48176</v>
      </c>
      <c r="C15704" t="s">
        <v>791</v>
      </c>
      <c r="D15704" t="s">
        <v>792</v>
      </c>
      <c r="E15704" t="s">
        <v>793</v>
      </c>
      <c r="F15704" t="s">
        <v>48177</v>
      </c>
      <c r="G15704" s="2" t="str">
        <f>HYPERLINK("https://probpalata.gov.ru/files/ЮЛ780300323500147.jpeg","Скачать индивидуальный QR-код магазина")</f>
        <v>Скачать индивидуальный QR-код магазина</v>
      </c>
    </row>
    <row r="15705" spans="1:7" x14ac:dyDescent="0.25">
      <c r="A15705" t="s">
        <v>46193</v>
      </c>
      <c r="B15705" t="s">
        <v>48178</v>
      </c>
      <c r="C15705" t="s">
        <v>791</v>
      </c>
      <c r="D15705" t="s">
        <v>792</v>
      </c>
      <c r="E15705" t="s">
        <v>793</v>
      </c>
      <c r="F15705" t="s">
        <v>48179</v>
      </c>
      <c r="G15705" s="2" t="str">
        <f>HYPERLINK("https://probpalata.gov.ru/files/ЮЛ780300323500148.jpeg","Скачать индивидуальный QR-код магазина")</f>
        <v>Скачать индивидуальный QR-код магазина</v>
      </c>
    </row>
    <row r="15706" spans="1:7" x14ac:dyDescent="0.25">
      <c r="A15706" t="s">
        <v>46193</v>
      </c>
      <c r="B15706" t="s">
        <v>48180</v>
      </c>
      <c r="C15706" t="s">
        <v>791</v>
      </c>
      <c r="D15706" t="s">
        <v>792</v>
      </c>
      <c r="E15706" t="s">
        <v>793</v>
      </c>
      <c r="F15706" t="s">
        <v>48181</v>
      </c>
      <c r="G15706" s="2" t="str">
        <f>HYPERLINK("https://probpalata.gov.ru/files/ЮЛ780300323500153.jpeg","Скачать индивидуальный QR-код магазина")</f>
        <v>Скачать индивидуальный QR-код магазина</v>
      </c>
    </row>
    <row r="15707" spans="1:7" x14ac:dyDescent="0.25">
      <c r="A15707" t="s">
        <v>46193</v>
      </c>
      <c r="B15707" t="s">
        <v>48182</v>
      </c>
      <c r="C15707" t="s">
        <v>791</v>
      </c>
      <c r="D15707" t="s">
        <v>792</v>
      </c>
      <c r="E15707" t="s">
        <v>793</v>
      </c>
      <c r="F15707" t="s">
        <v>48183</v>
      </c>
      <c r="G15707" s="2" t="str">
        <f>HYPERLINK("https://probpalata.gov.ru/files/ЮЛ780300323500154.jpeg","Скачать индивидуальный QR-код магазина")</f>
        <v>Скачать индивидуальный QR-код магазина</v>
      </c>
    </row>
    <row r="15708" spans="1:7" x14ac:dyDescent="0.25">
      <c r="A15708" t="s">
        <v>46193</v>
      </c>
      <c r="B15708" t="s">
        <v>48184</v>
      </c>
      <c r="C15708" t="s">
        <v>791</v>
      </c>
      <c r="D15708" t="s">
        <v>792</v>
      </c>
      <c r="E15708" t="s">
        <v>793</v>
      </c>
      <c r="F15708" t="s">
        <v>48185</v>
      </c>
      <c r="G15708" s="2" t="str">
        <f>HYPERLINK("https://probpalata.gov.ru/files/ЮЛ780300323500160.jpeg","Скачать индивидуальный QR-код магазина")</f>
        <v>Скачать индивидуальный QR-код магазина</v>
      </c>
    </row>
    <row r="15709" spans="1:7" x14ac:dyDescent="0.25">
      <c r="A15709" t="s">
        <v>46193</v>
      </c>
      <c r="B15709" t="s">
        <v>48186</v>
      </c>
      <c r="C15709" t="s">
        <v>791</v>
      </c>
      <c r="D15709" t="s">
        <v>792</v>
      </c>
      <c r="E15709" t="s">
        <v>793</v>
      </c>
      <c r="F15709" t="s">
        <v>48187</v>
      </c>
      <c r="G15709" s="2" t="str">
        <f>HYPERLINK("https://probpalata.gov.ru/files/ЮЛ780300323500161.jpeg","Скачать индивидуальный QR-код магазина")</f>
        <v>Скачать индивидуальный QR-код магазина</v>
      </c>
    </row>
    <row r="15710" spans="1:7" x14ac:dyDescent="0.25">
      <c r="A15710" t="s">
        <v>46193</v>
      </c>
      <c r="B15710" t="s">
        <v>48188</v>
      </c>
      <c r="C15710" t="s">
        <v>791</v>
      </c>
      <c r="D15710" t="s">
        <v>792</v>
      </c>
      <c r="E15710" t="s">
        <v>793</v>
      </c>
      <c r="F15710" t="s">
        <v>48189</v>
      </c>
      <c r="G15710" s="2" t="str">
        <f>HYPERLINK("https://probpalata.gov.ru/files/ЮЛ780300323500162.jpeg","Скачать индивидуальный QR-код магазина")</f>
        <v>Скачать индивидуальный QR-код магазина</v>
      </c>
    </row>
    <row r="15711" spans="1:7" x14ac:dyDescent="0.25">
      <c r="A15711" t="s">
        <v>46193</v>
      </c>
      <c r="B15711" t="s">
        <v>48190</v>
      </c>
      <c r="C15711" t="s">
        <v>791</v>
      </c>
      <c r="D15711" t="s">
        <v>792</v>
      </c>
      <c r="E15711" t="s">
        <v>793</v>
      </c>
      <c r="F15711" t="s">
        <v>48191</v>
      </c>
      <c r="G15711" s="2" t="str">
        <f>HYPERLINK("https://probpalata.gov.ru/files/ЮЛ780300323500164.jpeg","Скачать индивидуальный QR-код магазина")</f>
        <v>Скачать индивидуальный QR-код магазина</v>
      </c>
    </row>
    <row r="15712" spans="1:7" x14ac:dyDescent="0.25">
      <c r="A15712" t="s">
        <v>46193</v>
      </c>
      <c r="B15712" t="s">
        <v>48192</v>
      </c>
      <c r="C15712" t="s">
        <v>791</v>
      </c>
      <c r="D15712" t="s">
        <v>792</v>
      </c>
      <c r="E15712" t="s">
        <v>793</v>
      </c>
      <c r="F15712" t="s">
        <v>48193</v>
      </c>
      <c r="G15712" s="2" t="str">
        <f>HYPERLINK("https://probpalata.gov.ru/files/ЮЛ780300323500165.jpeg","Скачать индивидуальный QR-код магазина")</f>
        <v>Скачать индивидуальный QR-код магазина</v>
      </c>
    </row>
    <row r="15713" spans="1:7" x14ac:dyDescent="0.25">
      <c r="A15713" t="s">
        <v>46193</v>
      </c>
      <c r="B15713" t="s">
        <v>48194</v>
      </c>
      <c r="C15713" t="s">
        <v>791</v>
      </c>
      <c r="D15713" t="s">
        <v>792</v>
      </c>
      <c r="E15713" t="s">
        <v>793</v>
      </c>
      <c r="F15713" t="s">
        <v>48195</v>
      </c>
      <c r="G15713" s="2" t="str">
        <f>HYPERLINK("https://probpalata.gov.ru/files/ЮЛ780300323500166.jpeg","Скачать индивидуальный QR-код магазина")</f>
        <v>Скачать индивидуальный QR-код магазина</v>
      </c>
    </row>
    <row r="15714" spans="1:7" x14ac:dyDescent="0.25">
      <c r="A15714" t="s">
        <v>46193</v>
      </c>
      <c r="B15714" t="s">
        <v>48196</v>
      </c>
      <c r="C15714" t="s">
        <v>791</v>
      </c>
      <c r="D15714" t="s">
        <v>792</v>
      </c>
      <c r="E15714" t="s">
        <v>793</v>
      </c>
      <c r="F15714" t="s">
        <v>48197</v>
      </c>
      <c r="G15714" s="2" t="str">
        <f>HYPERLINK("https://probpalata.gov.ru/files/ЮЛ780300323500171.jpeg","Скачать индивидуальный QR-код магазина")</f>
        <v>Скачать индивидуальный QR-код магазина</v>
      </c>
    </row>
    <row r="15715" spans="1:7" x14ac:dyDescent="0.25">
      <c r="A15715" t="s">
        <v>46193</v>
      </c>
      <c r="B15715" t="s">
        <v>48198</v>
      </c>
      <c r="C15715" t="s">
        <v>791</v>
      </c>
      <c r="D15715" t="s">
        <v>792</v>
      </c>
      <c r="E15715" t="s">
        <v>793</v>
      </c>
      <c r="F15715" t="s">
        <v>48199</v>
      </c>
      <c r="G15715" s="2" t="str">
        <f>HYPERLINK("https://probpalata.gov.ru/files/ЮЛ780300323500172.jpeg","Скачать индивидуальный QR-код магазина")</f>
        <v>Скачать индивидуальный QR-код магазина</v>
      </c>
    </row>
    <row r="15716" spans="1:7" x14ac:dyDescent="0.25">
      <c r="A15716" t="s">
        <v>46193</v>
      </c>
      <c r="B15716" t="s">
        <v>48200</v>
      </c>
      <c r="C15716" t="s">
        <v>791</v>
      </c>
      <c r="D15716" t="s">
        <v>792</v>
      </c>
      <c r="E15716" t="s">
        <v>793</v>
      </c>
      <c r="F15716" t="s">
        <v>48201</v>
      </c>
      <c r="G15716" s="2" t="str">
        <f>HYPERLINK("https://probpalata.gov.ru/files/ЮЛ780300323500173.jpeg","Скачать индивидуальный QR-код магазина")</f>
        <v>Скачать индивидуальный QR-код магазина</v>
      </c>
    </row>
    <row r="15717" spans="1:7" x14ac:dyDescent="0.25">
      <c r="A15717" t="s">
        <v>46193</v>
      </c>
      <c r="B15717" t="s">
        <v>48202</v>
      </c>
      <c r="C15717" t="s">
        <v>791</v>
      </c>
      <c r="D15717" t="s">
        <v>792</v>
      </c>
      <c r="E15717" t="s">
        <v>793</v>
      </c>
      <c r="F15717" t="s">
        <v>48203</v>
      </c>
      <c r="G15717" s="2" t="str">
        <f>HYPERLINK("https://probpalata.gov.ru/files/ЮЛ780300323500174.jpeg","Скачать индивидуальный QR-код магазина")</f>
        <v>Скачать индивидуальный QR-код магазина</v>
      </c>
    </row>
    <row r="15718" spans="1:7" x14ac:dyDescent="0.25">
      <c r="A15718" t="s">
        <v>46193</v>
      </c>
      <c r="B15718" t="s">
        <v>48204</v>
      </c>
      <c r="C15718" t="s">
        <v>791</v>
      </c>
      <c r="D15718" t="s">
        <v>792</v>
      </c>
      <c r="E15718" t="s">
        <v>793</v>
      </c>
      <c r="F15718" t="s">
        <v>48205</v>
      </c>
      <c r="G15718" s="2" t="str">
        <f>HYPERLINK("https://probpalata.gov.ru/files/ЮЛ780300323500175.jpeg","Скачать индивидуальный QR-код магазина")</f>
        <v>Скачать индивидуальный QR-код магазина</v>
      </c>
    </row>
    <row r="15719" spans="1:7" x14ac:dyDescent="0.25">
      <c r="A15719" t="s">
        <v>46193</v>
      </c>
      <c r="B15719" t="s">
        <v>48206</v>
      </c>
      <c r="C15719" t="s">
        <v>791</v>
      </c>
      <c r="D15719" t="s">
        <v>792</v>
      </c>
      <c r="E15719" t="s">
        <v>793</v>
      </c>
      <c r="F15719" t="s">
        <v>48207</v>
      </c>
      <c r="G15719" s="2" t="str">
        <f>HYPERLINK("https://probpalata.gov.ru/files/ЮЛ780300323500190.jpeg","Скачать индивидуальный QR-код магазина")</f>
        <v>Скачать индивидуальный QR-код магазина</v>
      </c>
    </row>
    <row r="15720" spans="1:7" x14ac:dyDescent="0.25">
      <c r="A15720" t="s">
        <v>46193</v>
      </c>
      <c r="B15720" t="s">
        <v>48208</v>
      </c>
      <c r="C15720" t="s">
        <v>791</v>
      </c>
      <c r="D15720" t="s">
        <v>792</v>
      </c>
      <c r="E15720" t="s">
        <v>793</v>
      </c>
      <c r="F15720" t="s">
        <v>48209</v>
      </c>
      <c r="G15720" s="2" t="str">
        <f>HYPERLINK("https://probpalata.gov.ru/files/ЮЛ780300323500191.jpeg","Скачать индивидуальный QR-код магазина")</f>
        <v>Скачать индивидуальный QR-код магазина</v>
      </c>
    </row>
    <row r="15721" spans="1:7" x14ac:dyDescent="0.25">
      <c r="A15721" t="s">
        <v>46193</v>
      </c>
      <c r="B15721" t="s">
        <v>48210</v>
      </c>
      <c r="C15721" t="s">
        <v>791</v>
      </c>
      <c r="D15721" t="s">
        <v>792</v>
      </c>
      <c r="E15721" t="s">
        <v>793</v>
      </c>
      <c r="F15721" t="s">
        <v>48211</v>
      </c>
      <c r="G15721" s="2" t="str">
        <f>HYPERLINK("https://probpalata.gov.ru/files/ЮЛ780300323500192.jpeg","Скачать индивидуальный QR-код магазина")</f>
        <v>Скачать индивидуальный QR-код магазина</v>
      </c>
    </row>
    <row r="15722" spans="1:7" x14ac:dyDescent="0.25">
      <c r="A15722" t="s">
        <v>46193</v>
      </c>
      <c r="B15722" t="s">
        <v>48212</v>
      </c>
      <c r="C15722" t="s">
        <v>791</v>
      </c>
      <c r="D15722" t="s">
        <v>792</v>
      </c>
      <c r="E15722" t="s">
        <v>793</v>
      </c>
      <c r="F15722" t="s">
        <v>48213</v>
      </c>
      <c r="G15722" s="2" t="str">
        <f>HYPERLINK("https://probpalata.gov.ru/files/ЮЛ780300323500193.jpeg","Скачать индивидуальный QR-код магазина")</f>
        <v>Скачать индивидуальный QR-код магазина</v>
      </c>
    </row>
    <row r="15723" spans="1:7" x14ac:dyDescent="0.25">
      <c r="A15723" t="s">
        <v>46193</v>
      </c>
      <c r="B15723" t="s">
        <v>48214</v>
      </c>
      <c r="C15723" t="s">
        <v>791</v>
      </c>
      <c r="D15723" t="s">
        <v>792</v>
      </c>
      <c r="E15723" t="s">
        <v>793</v>
      </c>
      <c r="F15723" t="s">
        <v>48215</v>
      </c>
      <c r="G15723" s="2" t="str">
        <f>HYPERLINK("https://probpalata.gov.ru/files/ЮЛ780300323500194.jpeg","Скачать индивидуальный QR-код магазина")</f>
        <v>Скачать индивидуальный QR-код магазина</v>
      </c>
    </row>
    <row r="15724" spans="1:7" x14ac:dyDescent="0.25">
      <c r="A15724" t="s">
        <v>46193</v>
      </c>
      <c r="B15724" t="s">
        <v>48216</v>
      </c>
      <c r="C15724" t="s">
        <v>791</v>
      </c>
      <c r="D15724" t="s">
        <v>792</v>
      </c>
      <c r="E15724" t="s">
        <v>793</v>
      </c>
      <c r="F15724" t="s">
        <v>48217</v>
      </c>
      <c r="G15724" s="2" t="str">
        <f>HYPERLINK("https://probpalata.gov.ru/files/ЮЛ780300323500195.jpeg","Скачать индивидуальный QR-код магазина")</f>
        <v>Скачать индивидуальный QR-код магазина</v>
      </c>
    </row>
    <row r="15725" spans="1:7" x14ac:dyDescent="0.25">
      <c r="A15725" t="s">
        <v>46193</v>
      </c>
      <c r="B15725" t="s">
        <v>48218</v>
      </c>
      <c r="C15725" t="s">
        <v>791</v>
      </c>
      <c r="D15725" t="s">
        <v>792</v>
      </c>
      <c r="E15725" t="s">
        <v>793</v>
      </c>
      <c r="F15725" t="s">
        <v>48219</v>
      </c>
      <c r="G15725" s="2" t="str">
        <f>HYPERLINK("https://probpalata.gov.ru/files/ЮЛ780300323500196.jpeg","Скачать индивидуальный QR-код магазина")</f>
        <v>Скачать индивидуальный QR-код магазина</v>
      </c>
    </row>
    <row r="15726" spans="1:7" x14ac:dyDescent="0.25">
      <c r="A15726" t="s">
        <v>46193</v>
      </c>
      <c r="B15726" t="s">
        <v>48220</v>
      </c>
      <c r="C15726" t="s">
        <v>791</v>
      </c>
      <c r="D15726" t="s">
        <v>792</v>
      </c>
      <c r="E15726" t="s">
        <v>793</v>
      </c>
      <c r="F15726" t="s">
        <v>48221</v>
      </c>
      <c r="G15726" s="2" t="str">
        <f>HYPERLINK("https://probpalata.gov.ru/files/ЮЛ780300323500211.jpeg","Скачать индивидуальный QR-код магазина")</f>
        <v>Скачать индивидуальный QR-код магазина</v>
      </c>
    </row>
    <row r="15727" spans="1:7" x14ac:dyDescent="0.25">
      <c r="A15727" t="s">
        <v>46193</v>
      </c>
      <c r="B15727" t="s">
        <v>48222</v>
      </c>
      <c r="C15727" t="s">
        <v>791</v>
      </c>
      <c r="D15727" t="s">
        <v>792</v>
      </c>
      <c r="E15727" t="s">
        <v>793</v>
      </c>
      <c r="F15727" t="s">
        <v>48223</v>
      </c>
      <c r="G15727" s="2" t="str">
        <f>HYPERLINK("https://probpalata.gov.ru/files/ЮЛ780300323500212.jpeg","Скачать индивидуальный QR-код магазина")</f>
        <v>Скачать индивидуальный QR-код магазина</v>
      </c>
    </row>
    <row r="15728" spans="1:7" x14ac:dyDescent="0.25">
      <c r="A15728" t="s">
        <v>46193</v>
      </c>
      <c r="B15728" t="s">
        <v>48224</v>
      </c>
      <c r="C15728" t="s">
        <v>791</v>
      </c>
      <c r="D15728" t="s">
        <v>792</v>
      </c>
      <c r="E15728" t="s">
        <v>793</v>
      </c>
      <c r="F15728" t="s">
        <v>48225</v>
      </c>
      <c r="G15728" s="2" t="str">
        <f>HYPERLINK("https://probpalata.gov.ru/files/ЮЛ780300323500213.jpeg","Скачать индивидуальный QR-код магазина")</f>
        <v>Скачать индивидуальный QR-код магазина</v>
      </c>
    </row>
    <row r="15729" spans="1:7" x14ac:dyDescent="0.25">
      <c r="A15729" t="s">
        <v>46193</v>
      </c>
      <c r="B15729" t="s">
        <v>48226</v>
      </c>
      <c r="C15729" t="s">
        <v>791</v>
      </c>
      <c r="D15729" t="s">
        <v>792</v>
      </c>
      <c r="E15729" t="s">
        <v>793</v>
      </c>
      <c r="F15729" t="s">
        <v>48227</v>
      </c>
      <c r="G15729" s="2" t="str">
        <f>HYPERLINK("https://probpalata.gov.ru/files/ЮЛ780300323500214.jpeg","Скачать индивидуальный QR-код магазина")</f>
        <v>Скачать индивидуальный QR-код магазина</v>
      </c>
    </row>
    <row r="15730" spans="1:7" x14ac:dyDescent="0.25">
      <c r="A15730" t="s">
        <v>46193</v>
      </c>
      <c r="B15730" t="s">
        <v>48228</v>
      </c>
      <c r="C15730" t="s">
        <v>791</v>
      </c>
      <c r="D15730" t="s">
        <v>792</v>
      </c>
      <c r="E15730" t="s">
        <v>793</v>
      </c>
      <c r="F15730" t="s">
        <v>48229</v>
      </c>
      <c r="G15730" s="2" t="str">
        <f>HYPERLINK("https://probpalata.gov.ru/files/ЮЛ780300323500217.jpeg","Скачать индивидуальный QR-код магазина")</f>
        <v>Скачать индивидуальный QR-код магазина</v>
      </c>
    </row>
    <row r="15731" spans="1:7" x14ac:dyDescent="0.25">
      <c r="A15731" t="s">
        <v>46193</v>
      </c>
      <c r="B15731" t="s">
        <v>48230</v>
      </c>
      <c r="C15731" t="s">
        <v>791</v>
      </c>
      <c r="D15731" t="s">
        <v>792</v>
      </c>
      <c r="E15731" t="s">
        <v>793</v>
      </c>
      <c r="F15731" t="s">
        <v>48231</v>
      </c>
      <c r="G15731" s="2" t="str">
        <f>HYPERLINK("https://probpalata.gov.ru/files/ЮЛ780300323500218.jpeg","Скачать индивидуальный QR-код магазина")</f>
        <v>Скачать индивидуальный QR-код магазина</v>
      </c>
    </row>
    <row r="15732" spans="1:7" x14ac:dyDescent="0.25">
      <c r="A15732" t="s">
        <v>46193</v>
      </c>
      <c r="B15732" t="s">
        <v>48232</v>
      </c>
      <c r="C15732" t="s">
        <v>791</v>
      </c>
      <c r="D15732" t="s">
        <v>792</v>
      </c>
      <c r="E15732" t="s">
        <v>793</v>
      </c>
      <c r="F15732" t="s">
        <v>48233</v>
      </c>
      <c r="G15732" s="2" t="str">
        <f>HYPERLINK("https://probpalata.gov.ru/files/ЮЛ780300323500219.jpeg","Скачать индивидуальный QR-код магазина")</f>
        <v>Скачать индивидуальный QR-код магазина</v>
      </c>
    </row>
    <row r="15733" spans="1:7" x14ac:dyDescent="0.25">
      <c r="A15733" t="s">
        <v>46193</v>
      </c>
      <c r="B15733" t="s">
        <v>48234</v>
      </c>
      <c r="C15733" t="s">
        <v>791</v>
      </c>
      <c r="D15733" t="s">
        <v>792</v>
      </c>
      <c r="E15733" t="s">
        <v>793</v>
      </c>
      <c r="F15733" t="s">
        <v>48235</v>
      </c>
      <c r="G15733" s="2" t="str">
        <f>HYPERLINK("https://probpalata.gov.ru/files/ЮЛ780300323500220.jpeg","Скачать индивидуальный QR-код магазина")</f>
        <v>Скачать индивидуальный QR-код магазина</v>
      </c>
    </row>
    <row r="15734" spans="1:7" x14ac:dyDescent="0.25">
      <c r="A15734" t="s">
        <v>46193</v>
      </c>
      <c r="B15734" t="s">
        <v>48236</v>
      </c>
      <c r="C15734" t="s">
        <v>791</v>
      </c>
      <c r="D15734" t="s">
        <v>792</v>
      </c>
      <c r="E15734" t="s">
        <v>793</v>
      </c>
      <c r="F15734" t="s">
        <v>48237</v>
      </c>
      <c r="G15734" s="2" t="str">
        <f>HYPERLINK("https://probpalata.gov.ru/files/ЮЛ780300323500222.jpeg","Скачать индивидуальный QR-код магазина")</f>
        <v>Скачать индивидуальный QR-код магазина</v>
      </c>
    </row>
    <row r="15735" spans="1:7" x14ac:dyDescent="0.25">
      <c r="A15735" t="s">
        <v>46193</v>
      </c>
      <c r="B15735" t="s">
        <v>48238</v>
      </c>
      <c r="C15735" t="s">
        <v>791</v>
      </c>
      <c r="D15735" t="s">
        <v>792</v>
      </c>
      <c r="E15735" t="s">
        <v>793</v>
      </c>
      <c r="F15735" t="s">
        <v>48239</v>
      </c>
      <c r="G15735" s="2" t="str">
        <f>HYPERLINK("https://probpalata.gov.ru/files/ЮЛ780300323500224.jpeg","Скачать индивидуальный QR-код магазина")</f>
        <v>Скачать индивидуальный QR-код магазина</v>
      </c>
    </row>
    <row r="15736" spans="1:7" x14ac:dyDescent="0.25">
      <c r="A15736" t="s">
        <v>46193</v>
      </c>
      <c r="B15736" t="s">
        <v>48240</v>
      </c>
      <c r="C15736" t="s">
        <v>791</v>
      </c>
      <c r="D15736" t="s">
        <v>792</v>
      </c>
      <c r="E15736" t="s">
        <v>793</v>
      </c>
      <c r="F15736" t="s">
        <v>48241</v>
      </c>
      <c r="G15736" s="2" t="str">
        <f>HYPERLINK("https://probpalata.gov.ru/files/ЮЛ780300323500225.jpeg","Скачать индивидуальный QR-код магазина")</f>
        <v>Скачать индивидуальный QR-код магазина</v>
      </c>
    </row>
    <row r="15737" spans="1:7" x14ac:dyDescent="0.25">
      <c r="A15737" t="s">
        <v>46193</v>
      </c>
      <c r="B15737" t="s">
        <v>48242</v>
      </c>
      <c r="C15737" t="s">
        <v>48243</v>
      </c>
      <c r="D15737" t="s">
        <v>48244</v>
      </c>
      <c r="E15737" t="s">
        <v>48245</v>
      </c>
      <c r="F15737" t="s">
        <v>48246</v>
      </c>
      <c r="G15737" s="2" t="str">
        <f>HYPERLINK("https://probpalata.gov.ru/files/ЮЛ780303911800000.jpeg","Скачать индивидуальный QR-код магазина")</f>
        <v>Скачать индивидуальный QR-код магазина</v>
      </c>
    </row>
    <row r="15738" spans="1:7" x14ac:dyDescent="0.25">
      <c r="A15738" t="s">
        <v>46193</v>
      </c>
      <c r="B15738" t="s">
        <v>48247</v>
      </c>
      <c r="C15738" t="s">
        <v>48248</v>
      </c>
      <c r="D15738" t="s">
        <v>48249</v>
      </c>
      <c r="E15738" t="s">
        <v>48250</v>
      </c>
      <c r="F15738" t="s">
        <v>48251</v>
      </c>
      <c r="G15738" s="2" t="str">
        <f>HYPERLINK("https://probpalata.gov.ru/files/ИП470301124100000.jpeg","Скачать индивидуальный QR-код магазина")</f>
        <v>Скачать индивидуальный QR-код магазина</v>
      </c>
    </row>
    <row r="15739" spans="1:7" x14ac:dyDescent="0.25">
      <c r="A15739" t="s">
        <v>46193</v>
      </c>
      <c r="B15739" t="s">
        <v>48252</v>
      </c>
      <c r="C15739" t="s">
        <v>48248</v>
      </c>
      <c r="D15739" t="s">
        <v>48249</v>
      </c>
      <c r="E15739" t="s">
        <v>48250</v>
      </c>
      <c r="F15739" t="s">
        <v>48253</v>
      </c>
      <c r="G15739" s="2" t="str">
        <f>HYPERLINK("https://probpalata.gov.ru/files/ИП470301124100003.jpeg","Скачать индивидуальный QR-код магазина")</f>
        <v>Скачать индивидуальный QR-код магазина</v>
      </c>
    </row>
    <row r="15740" spans="1:7" x14ac:dyDescent="0.25">
      <c r="A15740" t="s">
        <v>46193</v>
      </c>
      <c r="B15740" t="s">
        <v>48254</v>
      </c>
      <c r="C15740" t="s">
        <v>48248</v>
      </c>
      <c r="D15740" t="s">
        <v>48249</v>
      </c>
      <c r="E15740" t="s">
        <v>48250</v>
      </c>
      <c r="F15740" t="s">
        <v>48255</v>
      </c>
      <c r="G15740" s="2" t="str">
        <f>HYPERLINK("https://probpalata.gov.ru/files/ИП470301124100004.jpeg","Скачать индивидуальный QR-код магазина")</f>
        <v>Скачать индивидуальный QR-код магазина</v>
      </c>
    </row>
    <row r="15741" spans="1:7" x14ac:dyDescent="0.25">
      <c r="A15741" t="s">
        <v>46193</v>
      </c>
      <c r="B15741" t="s">
        <v>48256</v>
      </c>
      <c r="C15741" t="s">
        <v>48248</v>
      </c>
      <c r="D15741" t="s">
        <v>48249</v>
      </c>
      <c r="E15741" t="s">
        <v>48250</v>
      </c>
      <c r="F15741" t="s">
        <v>48257</v>
      </c>
      <c r="G15741" s="2" t="str">
        <f>HYPERLINK("https://probpalata.gov.ru/files/ИП470301124100005.jpeg","Скачать индивидуальный QR-код магазина")</f>
        <v>Скачать индивидуальный QR-код магазина</v>
      </c>
    </row>
    <row r="15742" spans="1:7" x14ac:dyDescent="0.25">
      <c r="A15742" t="s">
        <v>46193</v>
      </c>
      <c r="B15742" t="s">
        <v>48258</v>
      </c>
      <c r="C15742" t="s">
        <v>48248</v>
      </c>
      <c r="D15742" t="s">
        <v>48249</v>
      </c>
      <c r="E15742" t="s">
        <v>48250</v>
      </c>
      <c r="F15742" t="s">
        <v>48259</v>
      </c>
      <c r="G15742" s="2" t="str">
        <f>HYPERLINK("https://probpalata.gov.ru/files/ИП470301124100006.jpeg","Скачать индивидуальный QR-код магазина")</f>
        <v>Скачать индивидуальный QR-код магазина</v>
      </c>
    </row>
    <row r="15743" spans="1:7" x14ac:dyDescent="0.25">
      <c r="A15743" t="s">
        <v>46193</v>
      </c>
      <c r="B15743" t="s">
        <v>48260</v>
      </c>
      <c r="C15743" t="s">
        <v>48248</v>
      </c>
      <c r="D15743" t="s">
        <v>48249</v>
      </c>
      <c r="E15743" t="s">
        <v>48250</v>
      </c>
      <c r="F15743" t="s">
        <v>48261</v>
      </c>
      <c r="G15743" s="2" t="str">
        <f>HYPERLINK("https://probpalata.gov.ru/files/ИП470301124100008.jpeg","Скачать индивидуальный QR-код магазина")</f>
        <v>Скачать индивидуальный QR-код магазина</v>
      </c>
    </row>
    <row r="15744" spans="1:7" x14ac:dyDescent="0.25">
      <c r="A15744" t="s">
        <v>46193</v>
      </c>
      <c r="B15744" t="s">
        <v>48262</v>
      </c>
      <c r="C15744" t="s">
        <v>48248</v>
      </c>
      <c r="D15744" t="s">
        <v>48249</v>
      </c>
      <c r="E15744" t="s">
        <v>48250</v>
      </c>
      <c r="F15744" t="s">
        <v>48263</v>
      </c>
      <c r="G15744" s="2" t="str">
        <f>HYPERLINK("https://probpalata.gov.ru/files/ИП470301124100009.jpeg","Скачать индивидуальный QR-код магазина")</f>
        <v>Скачать индивидуальный QR-код магазина</v>
      </c>
    </row>
    <row r="15745" spans="1:7" x14ac:dyDescent="0.25">
      <c r="A15745" t="s">
        <v>46193</v>
      </c>
      <c r="B15745" t="s">
        <v>48264</v>
      </c>
      <c r="C15745" t="s">
        <v>48248</v>
      </c>
      <c r="D15745" t="s">
        <v>48249</v>
      </c>
      <c r="E15745" t="s">
        <v>48250</v>
      </c>
      <c r="F15745" t="s">
        <v>48265</v>
      </c>
      <c r="G15745" s="2" t="str">
        <f>HYPERLINK("https://probpalata.gov.ru/files/ИП470301124100011.jpeg","Скачать индивидуальный QR-код магазина")</f>
        <v>Скачать индивидуальный QR-код магазина</v>
      </c>
    </row>
    <row r="15746" spans="1:7" x14ac:dyDescent="0.25">
      <c r="A15746" t="s">
        <v>46193</v>
      </c>
      <c r="B15746" t="s">
        <v>48266</v>
      </c>
      <c r="C15746" t="s">
        <v>48267</v>
      </c>
      <c r="D15746" t="s">
        <v>48268</v>
      </c>
      <c r="E15746" t="s">
        <v>48269</v>
      </c>
      <c r="F15746" t="s">
        <v>48270</v>
      </c>
      <c r="G15746" s="2" t="str">
        <f>HYPERLINK("https://probpalata.gov.ru/files/ИП780300891000000.jpeg","Скачать индивидуальный QR-код магазина")</f>
        <v>Скачать индивидуальный QR-код магазина</v>
      </c>
    </row>
    <row r="15747" spans="1:7" x14ac:dyDescent="0.25">
      <c r="A15747" t="s">
        <v>46193</v>
      </c>
      <c r="B15747" t="s">
        <v>48271</v>
      </c>
      <c r="C15747" t="s">
        <v>48267</v>
      </c>
      <c r="D15747" t="s">
        <v>48268</v>
      </c>
      <c r="E15747" t="s">
        <v>48269</v>
      </c>
      <c r="F15747" t="s">
        <v>48272</v>
      </c>
      <c r="G15747" s="2" t="str">
        <f>HYPERLINK("https://probpalata.gov.ru/files/ИП780300891000004.jpeg","Скачать индивидуальный QR-код магазина")</f>
        <v>Скачать индивидуальный QR-код магазина</v>
      </c>
    </row>
    <row r="15748" spans="1:7" x14ac:dyDescent="0.25">
      <c r="A15748" t="s">
        <v>46193</v>
      </c>
      <c r="B15748" t="s">
        <v>48273</v>
      </c>
      <c r="C15748" t="s">
        <v>48274</v>
      </c>
      <c r="D15748" t="s">
        <v>48275</v>
      </c>
      <c r="E15748" t="s">
        <v>48276</v>
      </c>
      <c r="F15748" t="s">
        <v>48277</v>
      </c>
      <c r="G15748" s="2" t="str">
        <f>HYPERLINK("https://probpalata.gov.ru/files/ИП780301218800000.jpeg","Скачать индивидуальный QR-код магазина")</f>
        <v>Скачать индивидуальный QR-код магазина</v>
      </c>
    </row>
    <row r="15749" spans="1:7" x14ac:dyDescent="0.25">
      <c r="A15749" t="s">
        <v>46193</v>
      </c>
      <c r="B15749" t="s">
        <v>48278</v>
      </c>
      <c r="C15749" t="s">
        <v>48274</v>
      </c>
      <c r="D15749" t="s">
        <v>48275</v>
      </c>
      <c r="E15749" t="s">
        <v>48276</v>
      </c>
      <c r="F15749" t="s">
        <v>48279</v>
      </c>
      <c r="G15749" s="2" t="str">
        <f>HYPERLINK("https://probpalata.gov.ru/files/ИП780301218800003.jpeg","Скачать индивидуальный QR-код магазина")</f>
        <v>Скачать индивидуальный QR-код магазина</v>
      </c>
    </row>
    <row r="15750" spans="1:7" x14ac:dyDescent="0.25">
      <c r="A15750" t="s">
        <v>46193</v>
      </c>
      <c r="B15750" t="s">
        <v>48280</v>
      </c>
      <c r="C15750" t="s">
        <v>48274</v>
      </c>
      <c r="D15750" t="s">
        <v>48275</v>
      </c>
      <c r="E15750" t="s">
        <v>48276</v>
      </c>
      <c r="F15750" t="s">
        <v>48281</v>
      </c>
      <c r="G15750" s="2" t="str">
        <f>HYPERLINK("https://probpalata.gov.ru/files/ИП780301218800004.jpeg","Скачать индивидуальный QR-код магазина")</f>
        <v>Скачать индивидуальный QR-код магазина</v>
      </c>
    </row>
    <row r="15751" spans="1:7" x14ac:dyDescent="0.25">
      <c r="A15751" t="s">
        <v>46193</v>
      </c>
      <c r="B15751" t="s">
        <v>48282</v>
      </c>
      <c r="C15751" t="s">
        <v>48274</v>
      </c>
      <c r="D15751" t="s">
        <v>48275</v>
      </c>
      <c r="E15751" t="s">
        <v>48276</v>
      </c>
      <c r="F15751" t="s">
        <v>48283</v>
      </c>
      <c r="G15751" s="2" t="str">
        <f>HYPERLINK("https://probpalata.gov.ru/files/ИП780301218800005.jpeg","Скачать индивидуальный QR-код магазина")</f>
        <v>Скачать индивидуальный QR-код магазина</v>
      </c>
    </row>
    <row r="15752" spans="1:7" x14ac:dyDescent="0.25">
      <c r="A15752" t="s">
        <v>46193</v>
      </c>
      <c r="B15752" t="s">
        <v>48284</v>
      </c>
      <c r="C15752" t="s">
        <v>48285</v>
      </c>
      <c r="D15752" t="s">
        <v>48286</v>
      </c>
      <c r="E15752" t="s">
        <v>48287</v>
      </c>
      <c r="F15752" t="s">
        <v>48288</v>
      </c>
      <c r="G15752" s="2" t="str">
        <f>HYPERLINK("https://probpalata.gov.ru/files/ИП780301330500000.jpeg","Скачать индивидуальный QR-код магазина")</f>
        <v>Скачать индивидуальный QR-код магазина</v>
      </c>
    </row>
    <row r="15753" spans="1:7" x14ac:dyDescent="0.25">
      <c r="A15753" t="s">
        <v>46193</v>
      </c>
      <c r="B15753" t="s">
        <v>48289</v>
      </c>
      <c r="C15753" t="s">
        <v>11902</v>
      </c>
      <c r="D15753" t="s">
        <v>48290</v>
      </c>
      <c r="E15753" t="s">
        <v>48291</v>
      </c>
      <c r="F15753" t="s">
        <v>48292</v>
      </c>
      <c r="G15753" s="2" t="str">
        <f>HYPERLINK("https://probpalata.gov.ru/files/ЮЛ780301430800000.jpeg","Скачать индивидуальный QR-код магазина")</f>
        <v>Скачать индивидуальный QR-код магазина</v>
      </c>
    </row>
    <row r="15754" spans="1:7" x14ac:dyDescent="0.25">
      <c r="A15754" t="s">
        <v>46193</v>
      </c>
      <c r="B15754" t="s">
        <v>48293</v>
      </c>
      <c r="C15754" t="s">
        <v>11902</v>
      </c>
      <c r="D15754" t="s">
        <v>48290</v>
      </c>
      <c r="E15754" t="s">
        <v>48291</v>
      </c>
      <c r="F15754" t="s">
        <v>48294</v>
      </c>
      <c r="G15754" s="2" t="str">
        <f>HYPERLINK("https://probpalata.gov.ru/files/ЮЛ780301430800002.jpeg","Скачать индивидуальный QR-код магазина")</f>
        <v>Скачать индивидуальный QR-код магазина</v>
      </c>
    </row>
    <row r="15755" spans="1:7" x14ac:dyDescent="0.25">
      <c r="A15755" t="s">
        <v>46193</v>
      </c>
      <c r="B15755" t="s">
        <v>48295</v>
      </c>
      <c r="C15755" t="s">
        <v>48296</v>
      </c>
      <c r="D15755" t="s">
        <v>48297</v>
      </c>
      <c r="E15755" t="s">
        <v>48298</v>
      </c>
      <c r="F15755" t="s">
        <v>48299</v>
      </c>
      <c r="G15755" s="2" t="str">
        <f>HYPERLINK("https://probpalata.gov.ru/files/ИП780303057500000.jpeg","Скачать индивидуальный QR-код магазина")</f>
        <v>Скачать индивидуальный QR-код магазина</v>
      </c>
    </row>
    <row r="15756" spans="1:7" x14ac:dyDescent="0.25">
      <c r="A15756" t="s">
        <v>46193</v>
      </c>
      <c r="B15756" t="s">
        <v>48300</v>
      </c>
      <c r="C15756" t="s">
        <v>48301</v>
      </c>
      <c r="D15756" t="s">
        <v>48302</v>
      </c>
      <c r="E15756" t="s">
        <v>48303</v>
      </c>
      <c r="F15756" t="s">
        <v>48304</v>
      </c>
      <c r="G15756" s="2" t="str">
        <f>HYPERLINK("https://probpalata.gov.ru/files/ЮЛ780300822500000.jpeg","Скачать индивидуальный QR-код магазина")</f>
        <v>Скачать индивидуальный QR-код магазина</v>
      </c>
    </row>
    <row r="15757" spans="1:7" x14ac:dyDescent="0.25">
      <c r="A15757" t="s">
        <v>46193</v>
      </c>
      <c r="B15757" t="s">
        <v>48305</v>
      </c>
      <c r="C15757" t="s">
        <v>48306</v>
      </c>
      <c r="D15757" t="s">
        <v>48307</v>
      </c>
      <c r="E15757" t="s">
        <v>48308</v>
      </c>
      <c r="F15757" t="s">
        <v>48309</v>
      </c>
      <c r="G15757" s="2" t="str">
        <f>HYPERLINK("https://probpalata.gov.ru/files/ЮЛ780301465300001.jpeg","Скачать индивидуальный QR-код магазина")</f>
        <v>Скачать индивидуальный QR-код магазина</v>
      </c>
    </row>
    <row r="15758" spans="1:7" x14ac:dyDescent="0.25">
      <c r="A15758" t="s">
        <v>46193</v>
      </c>
      <c r="B15758" t="s">
        <v>48310</v>
      </c>
      <c r="C15758" t="s">
        <v>48311</v>
      </c>
      <c r="D15758" t="s">
        <v>48312</v>
      </c>
      <c r="E15758" t="s">
        <v>48313</v>
      </c>
      <c r="F15758" t="s">
        <v>48314</v>
      </c>
      <c r="G15758" s="2" t="str">
        <f>HYPERLINK("https://probpalata.gov.ru/files/ЮЛ780300110800000.jpeg","Скачать индивидуальный QR-код магазина")</f>
        <v>Скачать индивидуальный QR-код магазина</v>
      </c>
    </row>
    <row r="15759" spans="1:7" x14ac:dyDescent="0.25">
      <c r="A15759" t="s">
        <v>46193</v>
      </c>
      <c r="B15759" t="s">
        <v>48315</v>
      </c>
      <c r="C15759" t="s">
        <v>48316</v>
      </c>
      <c r="D15759" t="s">
        <v>48317</v>
      </c>
      <c r="E15759" t="s">
        <v>48318</v>
      </c>
      <c r="F15759" t="s">
        <v>48319</v>
      </c>
      <c r="G15759" s="2" t="str">
        <f>HYPERLINK("https://probpalata.gov.ru/files/ЮЛ780303063200000.jpeg","Скачать индивидуальный QR-код магазина")</f>
        <v>Скачать индивидуальный QR-код магазина</v>
      </c>
    </row>
    <row r="15760" spans="1:7" x14ac:dyDescent="0.25">
      <c r="A15760" t="s">
        <v>46193</v>
      </c>
      <c r="B15760" t="s">
        <v>48320</v>
      </c>
      <c r="C15760" t="s">
        <v>48321</v>
      </c>
      <c r="D15760" t="s">
        <v>48322</v>
      </c>
      <c r="E15760" t="s">
        <v>48323</v>
      </c>
      <c r="F15760" t="s">
        <v>48324</v>
      </c>
      <c r="G15760" s="2" t="str">
        <f>HYPERLINK("https://probpalata.gov.ru/files/ЮЛ780302031200000.jpeg","Скачать индивидуальный QR-код магазина")</f>
        <v>Скачать индивидуальный QR-код магазина</v>
      </c>
    </row>
    <row r="15761" spans="1:7" x14ac:dyDescent="0.25">
      <c r="A15761" t="s">
        <v>46193</v>
      </c>
      <c r="B15761" t="s">
        <v>48325</v>
      </c>
      <c r="C15761" t="s">
        <v>48326</v>
      </c>
      <c r="D15761" t="s">
        <v>48327</v>
      </c>
      <c r="E15761" t="s">
        <v>48328</v>
      </c>
      <c r="F15761" t="s">
        <v>48329</v>
      </c>
      <c r="G15761" s="2" t="str">
        <f>HYPERLINK("https://probpalata.gov.ru/files/ЮЛ780302013000000.jpeg","Скачать индивидуальный QR-код магазина")</f>
        <v>Скачать индивидуальный QR-код магазина</v>
      </c>
    </row>
    <row r="15762" spans="1:7" x14ac:dyDescent="0.25">
      <c r="A15762" t="s">
        <v>46193</v>
      </c>
      <c r="B15762" t="s">
        <v>48330</v>
      </c>
      <c r="C15762" t="s">
        <v>48326</v>
      </c>
      <c r="D15762" t="s">
        <v>48327</v>
      </c>
      <c r="E15762" t="s">
        <v>48328</v>
      </c>
      <c r="F15762" t="s">
        <v>48331</v>
      </c>
      <c r="G15762" s="2" t="str">
        <f>HYPERLINK("https://probpalata.gov.ru/files/ЮЛ780302013000001.jpeg","Скачать индивидуальный QR-код магазина")</f>
        <v>Скачать индивидуальный QR-код магазина</v>
      </c>
    </row>
    <row r="15763" spans="1:7" x14ac:dyDescent="0.25">
      <c r="A15763" t="s">
        <v>46193</v>
      </c>
      <c r="B15763" t="s">
        <v>48332</v>
      </c>
      <c r="C15763" t="s">
        <v>48333</v>
      </c>
      <c r="D15763" t="s">
        <v>48334</v>
      </c>
      <c r="E15763" t="s">
        <v>48335</v>
      </c>
      <c r="F15763" t="s">
        <v>48336</v>
      </c>
      <c r="G15763" s="2" t="str">
        <f>HYPERLINK("https://probpalata.gov.ru/files/ЮЛ780301184600000.jpeg","Скачать индивидуальный QR-код магазина")</f>
        <v>Скачать индивидуальный QR-код магазина</v>
      </c>
    </row>
    <row r="15764" spans="1:7" x14ac:dyDescent="0.25">
      <c r="A15764" t="s">
        <v>46193</v>
      </c>
      <c r="B15764" t="s">
        <v>48337</v>
      </c>
      <c r="C15764" t="s">
        <v>25436</v>
      </c>
      <c r="D15764" t="s">
        <v>25437</v>
      </c>
      <c r="E15764" t="s">
        <v>25438</v>
      </c>
      <c r="F15764" t="s">
        <v>48338</v>
      </c>
      <c r="G15764" s="2" t="str">
        <f>HYPERLINK("https://probpalata.gov.ru/files/ЮЛ780300767800002.jpeg","Скачать индивидуальный QR-код магазина")</f>
        <v>Скачать индивидуальный QR-код магазина</v>
      </c>
    </row>
    <row r="15765" spans="1:7" x14ac:dyDescent="0.25">
      <c r="A15765" t="s">
        <v>46193</v>
      </c>
      <c r="B15765" t="s">
        <v>48339</v>
      </c>
      <c r="C15765" t="s">
        <v>48340</v>
      </c>
      <c r="D15765" t="s">
        <v>48341</v>
      </c>
      <c r="E15765" t="s">
        <v>48342</v>
      </c>
      <c r="F15765" t="s">
        <v>48343</v>
      </c>
      <c r="G15765" s="2" t="str">
        <f>HYPERLINK("https://probpalata.gov.ru/files/ЮЛ780300597900000.jpeg","Скачать индивидуальный QR-код магазина")</f>
        <v>Скачать индивидуальный QR-код магазина</v>
      </c>
    </row>
    <row r="15766" spans="1:7" x14ac:dyDescent="0.25">
      <c r="A15766" t="s">
        <v>46193</v>
      </c>
      <c r="B15766" t="s">
        <v>48344</v>
      </c>
      <c r="C15766" t="s">
        <v>32124</v>
      </c>
      <c r="D15766" t="s">
        <v>48345</v>
      </c>
      <c r="E15766" t="s">
        <v>48346</v>
      </c>
      <c r="F15766" t="s">
        <v>48347</v>
      </c>
      <c r="G15766" s="2" t="str">
        <f>HYPERLINK("https://probpalata.gov.ru/files/ЮЛ780301293900000.jpeg","Скачать индивидуальный QR-код магазина")</f>
        <v>Скачать индивидуальный QR-код магазина</v>
      </c>
    </row>
    <row r="15767" spans="1:7" x14ac:dyDescent="0.25">
      <c r="A15767" t="s">
        <v>46193</v>
      </c>
      <c r="B15767" t="s">
        <v>48348</v>
      </c>
      <c r="C15767" t="s">
        <v>48349</v>
      </c>
      <c r="D15767" t="s">
        <v>48350</v>
      </c>
      <c r="E15767" t="s">
        <v>48351</v>
      </c>
      <c r="F15767" t="s">
        <v>48352</v>
      </c>
      <c r="G15767" s="2" t="str">
        <f>HYPERLINK("https://probpalata.gov.ru/files/ЮЛ780300412700000.jpeg","Скачать индивидуальный QR-код магазина")</f>
        <v>Скачать индивидуальный QR-код магазина</v>
      </c>
    </row>
    <row r="15768" spans="1:7" x14ac:dyDescent="0.25">
      <c r="A15768" t="s">
        <v>46193</v>
      </c>
      <c r="B15768" t="s">
        <v>48353</v>
      </c>
      <c r="C15768" t="s">
        <v>48354</v>
      </c>
      <c r="D15768" t="s">
        <v>48355</v>
      </c>
      <c r="E15768" t="s">
        <v>48356</v>
      </c>
      <c r="F15768" t="s">
        <v>48357</v>
      </c>
      <c r="G15768" s="2" t="str">
        <f>HYPERLINK("https://probpalata.gov.ru/files/ЮЛ780301401400000.jpeg","Скачать индивидуальный QR-код магазина")</f>
        <v>Скачать индивидуальный QR-код магазина</v>
      </c>
    </row>
    <row r="15769" spans="1:7" x14ac:dyDescent="0.25">
      <c r="A15769" t="s">
        <v>46193</v>
      </c>
      <c r="B15769" t="s">
        <v>48358</v>
      </c>
      <c r="C15769" t="s">
        <v>48359</v>
      </c>
      <c r="D15769" t="s">
        <v>48360</v>
      </c>
      <c r="E15769" t="s">
        <v>48361</v>
      </c>
      <c r="F15769" t="s">
        <v>48362</v>
      </c>
      <c r="G15769" s="2" t="str">
        <f>HYPERLINK("https://probpalata.gov.ru/files/ЮЛ780300654800000.jpeg","Скачать индивидуальный QR-код магазина")</f>
        <v>Скачать индивидуальный QR-код магазина</v>
      </c>
    </row>
    <row r="15770" spans="1:7" x14ac:dyDescent="0.25">
      <c r="A15770" t="s">
        <v>46193</v>
      </c>
      <c r="B15770" t="s">
        <v>48363</v>
      </c>
      <c r="C15770" t="s">
        <v>48359</v>
      </c>
      <c r="D15770" t="s">
        <v>48360</v>
      </c>
      <c r="E15770" t="s">
        <v>48361</v>
      </c>
      <c r="F15770" t="s">
        <v>48364</v>
      </c>
      <c r="G15770" s="2" t="str">
        <f>HYPERLINK("https://probpalata.gov.ru/files/ЮЛ780300654800001.jpeg","Скачать индивидуальный QR-код магазина")</f>
        <v>Скачать индивидуальный QR-код магазина</v>
      </c>
    </row>
    <row r="15771" spans="1:7" x14ac:dyDescent="0.25">
      <c r="A15771" t="s">
        <v>46193</v>
      </c>
      <c r="B15771" t="s">
        <v>48365</v>
      </c>
      <c r="C15771" t="s">
        <v>48366</v>
      </c>
      <c r="D15771" t="s">
        <v>48367</v>
      </c>
      <c r="E15771" t="s">
        <v>48368</v>
      </c>
      <c r="F15771" t="s">
        <v>48369</v>
      </c>
      <c r="G15771" s="2" t="str">
        <f>HYPERLINK("https://probpalata.gov.ru/files/ЮЛ780300749900000.jpeg","Скачать индивидуальный QR-код магазина")</f>
        <v>Скачать индивидуальный QR-код магазина</v>
      </c>
    </row>
    <row r="15772" spans="1:7" x14ac:dyDescent="0.25">
      <c r="A15772" t="s">
        <v>46193</v>
      </c>
      <c r="B15772" t="s">
        <v>48370</v>
      </c>
      <c r="C15772" t="s">
        <v>48371</v>
      </c>
      <c r="D15772" t="s">
        <v>48372</v>
      </c>
      <c r="E15772" t="s">
        <v>48373</v>
      </c>
      <c r="F15772" t="s">
        <v>48374</v>
      </c>
      <c r="G15772" s="2" t="str">
        <f>HYPERLINK("https://probpalata.gov.ru/files/ЮЛ780300956000000.jpeg","Скачать индивидуальный QR-код магазина")</f>
        <v>Скачать индивидуальный QR-код магазина</v>
      </c>
    </row>
    <row r="15773" spans="1:7" x14ac:dyDescent="0.25">
      <c r="A15773" t="s">
        <v>46193</v>
      </c>
      <c r="B15773" t="s">
        <v>48375</v>
      </c>
      <c r="C15773" t="s">
        <v>25441</v>
      </c>
      <c r="D15773" t="s">
        <v>25442</v>
      </c>
      <c r="E15773" t="s">
        <v>25443</v>
      </c>
      <c r="F15773" t="s">
        <v>48376</v>
      </c>
      <c r="G15773" s="2" t="str">
        <f>HYPERLINK("https://probpalata.gov.ru/files/ЮЛ780301492400000.jpeg","Скачать индивидуальный QR-код магазина")</f>
        <v>Скачать индивидуальный QR-код магазина</v>
      </c>
    </row>
    <row r="15774" spans="1:7" x14ac:dyDescent="0.25">
      <c r="A15774" t="s">
        <v>46193</v>
      </c>
      <c r="B15774" t="s">
        <v>48377</v>
      </c>
      <c r="C15774" t="s">
        <v>17952</v>
      </c>
      <c r="D15774" t="s">
        <v>17953</v>
      </c>
      <c r="E15774" t="s">
        <v>17954</v>
      </c>
      <c r="F15774" t="s">
        <v>48378</v>
      </c>
      <c r="G15774" s="2" t="str">
        <f>HYPERLINK("https://probpalata.gov.ru/files/ЮЛ780300632700001.jpeg","Скачать индивидуальный QR-код магазина")</f>
        <v>Скачать индивидуальный QR-код магазина</v>
      </c>
    </row>
    <row r="15775" spans="1:7" x14ac:dyDescent="0.25">
      <c r="A15775" t="s">
        <v>46193</v>
      </c>
      <c r="B15775" t="s">
        <v>48379</v>
      </c>
      <c r="C15775" t="s">
        <v>17952</v>
      </c>
      <c r="D15775" t="s">
        <v>17953</v>
      </c>
      <c r="E15775" t="s">
        <v>17954</v>
      </c>
      <c r="F15775" t="s">
        <v>48380</v>
      </c>
      <c r="G15775" s="2" t="str">
        <f>HYPERLINK("https://probpalata.gov.ru/files/ЮЛ780300632700002.jpeg","Скачать индивидуальный QR-код магазина")</f>
        <v>Скачать индивидуальный QR-код магазина</v>
      </c>
    </row>
    <row r="15776" spans="1:7" x14ac:dyDescent="0.25">
      <c r="A15776" t="s">
        <v>46193</v>
      </c>
      <c r="B15776" t="s">
        <v>48381</v>
      </c>
      <c r="C15776" t="s">
        <v>17952</v>
      </c>
      <c r="D15776" t="s">
        <v>17953</v>
      </c>
      <c r="E15776" t="s">
        <v>17954</v>
      </c>
      <c r="F15776" t="s">
        <v>48382</v>
      </c>
      <c r="G15776" s="2" t="str">
        <f>HYPERLINK("https://probpalata.gov.ru/files/ЮЛ780300632700003.jpeg","Скачать индивидуальный QR-код магазина")</f>
        <v>Скачать индивидуальный QR-код магазина</v>
      </c>
    </row>
    <row r="15777" spans="1:7" x14ac:dyDescent="0.25">
      <c r="A15777" t="s">
        <v>46193</v>
      </c>
      <c r="B15777" t="s">
        <v>48383</v>
      </c>
      <c r="C15777" t="s">
        <v>17952</v>
      </c>
      <c r="D15777" t="s">
        <v>17953</v>
      </c>
      <c r="E15777" t="s">
        <v>17954</v>
      </c>
      <c r="F15777" t="s">
        <v>48384</v>
      </c>
      <c r="G15777" s="2" t="str">
        <f>HYPERLINK("https://probpalata.gov.ru/files/ЮЛ780300632700004.jpeg","Скачать индивидуальный QR-код магазина")</f>
        <v>Скачать индивидуальный QR-код магазина</v>
      </c>
    </row>
    <row r="15778" spans="1:7" x14ac:dyDescent="0.25">
      <c r="A15778" t="s">
        <v>46193</v>
      </c>
      <c r="B15778" t="s">
        <v>48385</v>
      </c>
      <c r="C15778" t="s">
        <v>17952</v>
      </c>
      <c r="D15778" t="s">
        <v>17953</v>
      </c>
      <c r="E15778" t="s">
        <v>17954</v>
      </c>
      <c r="F15778" t="s">
        <v>48386</v>
      </c>
      <c r="G15778" s="2" t="str">
        <f>HYPERLINK("https://probpalata.gov.ru/files/ЮЛ780300632700005.jpeg","Скачать индивидуальный QR-код магазина")</f>
        <v>Скачать индивидуальный QR-код магазина</v>
      </c>
    </row>
    <row r="15779" spans="1:7" x14ac:dyDescent="0.25">
      <c r="A15779" t="s">
        <v>46193</v>
      </c>
      <c r="B15779" t="s">
        <v>48387</v>
      </c>
      <c r="C15779" t="s">
        <v>17952</v>
      </c>
      <c r="D15779" t="s">
        <v>17953</v>
      </c>
      <c r="E15779" t="s">
        <v>17954</v>
      </c>
      <c r="F15779" t="s">
        <v>48388</v>
      </c>
      <c r="G15779" s="2" t="str">
        <f>HYPERLINK("https://probpalata.gov.ru/files/ЮЛ780300632700006.jpeg","Скачать индивидуальный QR-код магазина")</f>
        <v>Скачать индивидуальный QR-код магазина</v>
      </c>
    </row>
    <row r="15780" spans="1:7" x14ac:dyDescent="0.25">
      <c r="A15780" t="s">
        <v>46193</v>
      </c>
      <c r="B15780" t="s">
        <v>48389</v>
      </c>
      <c r="C15780" t="s">
        <v>17952</v>
      </c>
      <c r="D15780" t="s">
        <v>17953</v>
      </c>
      <c r="E15780" t="s">
        <v>17954</v>
      </c>
      <c r="F15780" t="s">
        <v>48390</v>
      </c>
      <c r="G15780" s="2" t="str">
        <f>HYPERLINK("https://probpalata.gov.ru/files/ЮЛ780300632700009.jpeg","Скачать индивидуальный QR-код магазина")</f>
        <v>Скачать индивидуальный QR-код магазина</v>
      </c>
    </row>
    <row r="15781" spans="1:7" x14ac:dyDescent="0.25">
      <c r="A15781" t="s">
        <v>46193</v>
      </c>
      <c r="B15781" t="s">
        <v>48391</v>
      </c>
      <c r="C15781" t="s">
        <v>48392</v>
      </c>
      <c r="D15781" t="s">
        <v>48393</v>
      </c>
      <c r="E15781" t="s">
        <v>48394</v>
      </c>
      <c r="F15781" t="s">
        <v>48395</v>
      </c>
      <c r="G15781" s="2" t="str">
        <f>HYPERLINK("https://probpalata.gov.ru/files/ЮЛ780300173800000.jpeg","Скачать индивидуальный QR-код магазина")</f>
        <v>Скачать индивидуальный QR-код магазина</v>
      </c>
    </row>
    <row r="15782" spans="1:7" x14ac:dyDescent="0.25">
      <c r="A15782" t="s">
        <v>46193</v>
      </c>
      <c r="B15782" t="s">
        <v>48396</v>
      </c>
      <c r="C15782" t="s">
        <v>48397</v>
      </c>
      <c r="D15782" t="s">
        <v>48398</v>
      </c>
      <c r="E15782" t="s">
        <v>48399</v>
      </c>
      <c r="F15782" t="s">
        <v>48400</v>
      </c>
      <c r="G15782" s="2" t="str">
        <f>HYPERLINK("https://probpalata.gov.ru/files/ЮЛ780301631200000.jpeg","Скачать индивидуальный QR-код магазина")</f>
        <v>Скачать индивидуальный QR-код магазина</v>
      </c>
    </row>
    <row r="15783" spans="1:7" x14ac:dyDescent="0.25">
      <c r="A15783" t="s">
        <v>46193</v>
      </c>
      <c r="B15783" t="s">
        <v>47345</v>
      </c>
      <c r="C15783" t="s">
        <v>25446</v>
      </c>
      <c r="D15783" t="s">
        <v>25447</v>
      </c>
      <c r="E15783" t="s">
        <v>25448</v>
      </c>
      <c r="F15783" t="s">
        <v>48401</v>
      </c>
      <c r="G15783" s="2" t="str">
        <f>HYPERLINK("https://probpalata.gov.ru/files/ЮЛ780301905700000.jpeg","Скачать индивидуальный QR-код магазина")</f>
        <v>Скачать индивидуальный QR-код магазина</v>
      </c>
    </row>
    <row r="15784" spans="1:7" x14ac:dyDescent="0.25">
      <c r="A15784" t="s">
        <v>46193</v>
      </c>
      <c r="B15784" t="s">
        <v>48402</v>
      </c>
      <c r="C15784" t="s">
        <v>48403</v>
      </c>
      <c r="D15784" t="s">
        <v>48404</v>
      </c>
      <c r="E15784" t="s">
        <v>48405</v>
      </c>
      <c r="F15784" t="s">
        <v>48406</v>
      </c>
      <c r="G15784" s="2" t="str">
        <f>HYPERLINK("https://probpalata.gov.ru/files/ЮЛ780303021500000.jpeg","Скачать индивидуальный QR-код магазина")</f>
        <v>Скачать индивидуальный QR-код магазина</v>
      </c>
    </row>
    <row r="15785" spans="1:7" x14ac:dyDescent="0.25">
      <c r="A15785" t="s">
        <v>46193</v>
      </c>
      <c r="B15785" t="s">
        <v>48407</v>
      </c>
      <c r="C15785" t="s">
        <v>48408</v>
      </c>
      <c r="D15785" t="s">
        <v>48409</v>
      </c>
      <c r="E15785" t="s">
        <v>48410</v>
      </c>
      <c r="F15785" t="s">
        <v>48411</v>
      </c>
      <c r="G15785" s="2" t="str">
        <f>HYPERLINK("https://probpalata.gov.ru/files/ЮЛ780303065900001.jpeg","Скачать индивидуальный QR-код магазина")</f>
        <v>Скачать индивидуальный QR-код магазина</v>
      </c>
    </row>
    <row r="15786" spans="1:7" x14ac:dyDescent="0.25">
      <c r="A15786" t="s">
        <v>46193</v>
      </c>
      <c r="B15786" t="s">
        <v>48412</v>
      </c>
      <c r="C15786" t="s">
        <v>48413</v>
      </c>
      <c r="D15786" t="s">
        <v>48414</v>
      </c>
      <c r="E15786" t="s">
        <v>48415</v>
      </c>
      <c r="F15786" t="s">
        <v>48416</v>
      </c>
      <c r="G15786" s="2" t="str">
        <f>HYPERLINK("https://probpalata.gov.ru/files/ЮЛ780303319600000.jpeg","Скачать индивидуальный QR-код магазина")</f>
        <v>Скачать индивидуальный QR-код магазина</v>
      </c>
    </row>
    <row r="15787" spans="1:7" x14ac:dyDescent="0.25">
      <c r="A15787" t="s">
        <v>46193</v>
      </c>
      <c r="B15787" t="s">
        <v>48417</v>
      </c>
      <c r="C15787" t="s">
        <v>48418</v>
      </c>
      <c r="D15787" t="s">
        <v>48419</v>
      </c>
      <c r="E15787" t="s">
        <v>48420</v>
      </c>
      <c r="F15787" t="s">
        <v>48421</v>
      </c>
      <c r="G15787" s="2" t="str">
        <f>HYPERLINK("https://probpalata.gov.ru/files/ЮЛ780303420600000.jpeg","Скачать индивидуальный QR-код магазина")</f>
        <v>Скачать индивидуальный QR-код магазина</v>
      </c>
    </row>
    <row r="15788" spans="1:7" x14ac:dyDescent="0.25">
      <c r="A15788" t="s">
        <v>46193</v>
      </c>
      <c r="B15788" t="s">
        <v>48422</v>
      </c>
      <c r="C15788" t="s">
        <v>48423</v>
      </c>
      <c r="D15788" t="s">
        <v>48424</v>
      </c>
      <c r="E15788" t="s">
        <v>48425</v>
      </c>
      <c r="F15788" t="s">
        <v>48426</v>
      </c>
      <c r="G15788" s="2" t="str">
        <f>HYPERLINK("https://probpalata.gov.ru/files/ИП780300857000002.jpeg","Скачать индивидуальный QR-код магазина")</f>
        <v>Скачать индивидуальный QR-код магазина</v>
      </c>
    </row>
    <row r="15789" spans="1:7" x14ac:dyDescent="0.25">
      <c r="A15789" t="s">
        <v>46193</v>
      </c>
      <c r="B15789" t="s">
        <v>48427</v>
      </c>
      <c r="C15789" t="s">
        <v>48423</v>
      </c>
      <c r="D15789" t="s">
        <v>48424</v>
      </c>
      <c r="E15789" t="s">
        <v>48425</v>
      </c>
      <c r="F15789" t="s">
        <v>48428</v>
      </c>
      <c r="G15789" s="2" t="str">
        <f>HYPERLINK("https://probpalata.gov.ru/files/ИП780300857000004.jpeg","Скачать индивидуальный QR-код магазина")</f>
        <v>Скачать индивидуальный QR-код магазина</v>
      </c>
    </row>
    <row r="15790" spans="1:7" x14ac:dyDescent="0.25">
      <c r="A15790" t="s">
        <v>46193</v>
      </c>
      <c r="B15790" t="s">
        <v>48429</v>
      </c>
      <c r="C15790" t="s">
        <v>48430</v>
      </c>
      <c r="D15790" t="s">
        <v>48431</v>
      </c>
      <c r="E15790" t="s">
        <v>48432</v>
      </c>
      <c r="F15790" t="s">
        <v>48433</v>
      </c>
      <c r="G15790" s="2" t="str">
        <f>HYPERLINK("https://probpalata.gov.ru/files/ИП780301352900000.jpeg","Скачать индивидуальный QR-код магазина")</f>
        <v>Скачать индивидуальный QR-код магазина</v>
      </c>
    </row>
    <row r="15791" spans="1:7" x14ac:dyDescent="0.25">
      <c r="A15791" t="s">
        <v>46193</v>
      </c>
      <c r="B15791" t="s">
        <v>48434</v>
      </c>
      <c r="C15791" t="s">
        <v>48435</v>
      </c>
      <c r="D15791" t="s">
        <v>48436</v>
      </c>
      <c r="E15791" t="s">
        <v>48437</v>
      </c>
      <c r="F15791" t="s">
        <v>48438</v>
      </c>
      <c r="G15791" s="2" t="str">
        <f>HYPERLINK("https://probpalata.gov.ru/files/ИП780300422600000.jpeg","Скачать индивидуальный QR-код магазина")</f>
        <v>Скачать индивидуальный QR-код магазина</v>
      </c>
    </row>
    <row r="15792" spans="1:7" x14ac:dyDescent="0.25">
      <c r="A15792" t="s">
        <v>46193</v>
      </c>
      <c r="B15792" t="s">
        <v>48439</v>
      </c>
      <c r="C15792" t="s">
        <v>48440</v>
      </c>
      <c r="D15792" t="s">
        <v>48441</v>
      </c>
      <c r="E15792" t="s">
        <v>48442</v>
      </c>
      <c r="F15792" t="s">
        <v>48443</v>
      </c>
      <c r="G15792" s="2" t="str">
        <f>HYPERLINK("https://probpalata.gov.ru/files/ИП780301465800000.jpeg","Скачать индивидуальный QR-код магазина")</f>
        <v>Скачать индивидуальный QR-код магазина</v>
      </c>
    </row>
    <row r="15793" spans="1:7" x14ac:dyDescent="0.25">
      <c r="A15793" t="s">
        <v>46193</v>
      </c>
      <c r="B15793" t="s">
        <v>48444</v>
      </c>
      <c r="C15793" t="s">
        <v>48445</v>
      </c>
      <c r="D15793" t="s">
        <v>48446</v>
      </c>
      <c r="E15793" t="s">
        <v>48447</v>
      </c>
      <c r="F15793" t="s">
        <v>48448</v>
      </c>
      <c r="G15793" s="2" t="str">
        <f>HYPERLINK("https://probpalata.gov.ru/files/ИП780304033100000.jpeg","Скачать индивидуальный QR-код магазина")</f>
        <v>Скачать индивидуальный QR-код магазина</v>
      </c>
    </row>
    <row r="15794" spans="1:7" x14ac:dyDescent="0.25">
      <c r="A15794" t="s">
        <v>46193</v>
      </c>
      <c r="B15794" t="s">
        <v>48449</v>
      </c>
      <c r="C15794" t="s">
        <v>48450</v>
      </c>
      <c r="D15794" t="s">
        <v>48451</v>
      </c>
      <c r="E15794" t="s">
        <v>48452</v>
      </c>
      <c r="F15794" t="s">
        <v>48453</v>
      </c>
      <c r="G15794" s="2" t="str">
        <f>HYPERLINK("https://probpalata.gov.ru/files/ИП780303390500000.jpeg","Скачать индивидуальный QR-код магазина")</f>
        <v>Скачать индивидуальный QR-код магазина</v>
      </c>
    </row>
    <row r="15795" spans="1:7" x14ac:dyDescent="0.25">
      <c r="A15795" t="s">
        <v>46193</v>
      </c>
      <c r="B15795" t="s">
        <v>48454</v>
      </c>
      <c r="C15795" t="s">
        <v>48455</v>
      </c>
      <c r="D15795" t="s">
        <v>48456</v>
      </c>
      <c r="E15795" t="s">
        <v>48457</v>
      </c>
      <c r="F15795" t="s">
        <v>48458</v>
      </c>
      <c r="G15795" s="2" t="str">
        <f>HYPERLINK("https://probpalata.gov.ru/files/ИП780300489900002.jpeg","Скачать индивидуальный QR-код магазина")</f>
        <v>Скачать индивидуальный QR-код магазина</v>
      </c>
    </row>
    <row r="15796" spans="1:7" x14ac:dyDescent="0.25">
      <c r="A15796" t="s">
        <v>46193</v>
      </c>
      <c r="B15796" t="s">
        <v>48459</v>
      </c>
      <c r="C15796" t="s">
        <v>48455</v>
      </c>
      <c r="D15796" t="s">
        <v>48456</v>
      </c>
      <c r="E15796" t="s">
        <v>48457</v>
      </c>
      <c r="F15796" t="s">
        <v>48460</v>
      </c>
      <c r="G15796" s="2" t="str">
        <f>HYPERLINK("https://probpalata.gov.ru/files/ИП780300489900004.jpeg","Скачать индивидуальный QR-код магазина")</f>
        <v>Скачать индивидуальный QR-код магазина</v>
      </c>
    </row>
    <row r="15797" spans="1:7" x14ac:dyDescent="0.25">
      <c r="A15797" t="s">
        <v>46193</v>
      </c>
      <c r="B15797" t="s">
        <v>48461</v>
      </c>
      <c r="C15797" t="s">
        <v>48455</v>
      </c>
      <c r="D15797" t="s">
        <v>48456</v>
      </c>
      <c r="E15797" t="s">
        <v>48457</v>
      </c>
      <c r="F15797" t="s">
        <v>48462</v>
      </c>
      <c r="G15797" s="2" t="str">
        <f>HYPERLINK("https://probpalata.gov.ru/files/ИП780300489900005.jpeg","Скачать индивидуальный QR-код магазина")</f>
        <v>Скачать индивидуальный QR-код магазина</v>
      </c>
    </row>
    <row r="15798" spans="1:7" x14ac:dyDescent="0.25">
      <c r="A15798" t="s">
        <v>46193</v>
      </c>
      <c r="B15798" t="s">
        <v>48463</v>
      </c>
      <c r="C15798" t="s">
        <v>48464</v>
      </c>
      <c r="D15798" t="s">
        <v>48465</v>
      </c>
      <c r="E15798" t="s">
        <v>48466</v>
      </c>
      <c r="F15798" t="s">
        <v>48467</v>
      </c>
      <c r="G15798" s="2" t="str">
        <f>HYPERLINK("https://probpalata.gov.ru/files/ИП780303205800000.jpeg","Скачать индивидуальный QR-код магазина")</f>
        <v>Скачать индивидуальный QR-код магазина</v>
      </c>
    </row>
    <row r="15799" spans="1:7" x14ac:dyDescent="0.25">
      <c r="A15799" t="s">
        <v>46193</v>
      </c>
      <c r="B15799" t="s">
        <v>48468</v>
      </c>
      <c r="C15799" t="s">
        <v>48469</v>
      </c>
      <c r="D15799" t="s">
        <v>48470</v>
      </c>
      <c r="E15799" t="s">
        <v>48471</v>
      </c>
      <c r="F15799" t="s">
        <v>48472</v>
      </c>
      <c r="G15799" s="2" t="str">
        <f>HYPERLINK("https://probpalata.gov.ru/files/ИП780304021000000.jpeg","Скачать индивидуальный QR-код магазина")</f>
        <v>Скачать индивидуальный QR-код магазина</v>
      </c>
    </row>
    <row r="15800" spans="1:7" x14ac:dyDescent="0.25">
      <c r="A15800" t="s">
        <v>46193</v>
      </c>
      <c r="B15800" t="s">
        <v>48473</v>
      </c>
      <c r="C15800" t="s">
        <v>48469</v>
      </c>
      <c r="D15800" t="s">
        <v>48470</v>
      </c>
      <c r="E15800" t="s">
        <v>48471</v>
      </c>
      <c r="F15800" t="s">
        <v>48474</v>
      </c>
      <c r="G15800" s="2" t="str">
        <f>HYPERLINK("https://probpalata.gov.ru/files/ИП780304021000002.jpeg","Скачать индивидуальный QR-код магазина")</f>
        <v>Скачать индивидуальный QR-код магазина</v>
      </c>
    </row>
    <row r="15801" spans="1:7" x14ac:dyDescent="0.25">
      <c r="A15801" t="s">
        <v>46193</v>
      </c>
      <c r="B15801" t="s">
        <v>48475</v>
      </c>
      <c r="C15801" t="s">
        <v>48476</v>
      </c>
      <c r="D15801" t="s">
        <v>48477</v>
      </c>
      <c r="E15801" t="s">
        <v>48478</v>
      </c>
      <c r="F15801" t="s">
        <v>48479</v>
      </c>
      <c r="G15801" s="2" t="str">
        <f>HYPERLINK("https://probpalata.gov.ru/files/ЮЛ780300035100000.jpeg","Скачать индивидуальный QR-код магазина")</f>
        <v>Скачать индивидуальный QR-код магазина</v>
      </c>
    </row>
    <row r="15802" spans="1:7" x14ac:dyDescent="0.25">
      <c r="A15802" t="s">
        <v>46193</v>
      </c>
      <c r="B15802" t="s">
        <v>48480</v>
      </c>
      <c r="C15802" t="s">
        <v>48481</v>
      </c>
      <c r="D15802" t="s">
        <v>48482</v>
      </c>
      <c r="E15802" t="s">
        <v>48483</v>
      </c>
      <c r="F15802" t="s">
        <v>48484</v>
      </c>
      <c r="G15802" s="2" t="str">
        <f>HYPERLINK("https://probpalata.gov.ru/files/ИП780300164600000.jpeg","Скачать индивидуальный QR-код магазина")</f>
        <v>Скачать индивидуальный QR-код магазина</v>
      </c>
    </row>
    <row r="15803" spans="1:7" x14ac:dyDescent="0.25">
      <c r="A15803" t="s">
        <v>46193</v>
      </c>
      <c r="B15803" t="s">
        <v>48485</v>
      </c>
      <c r="C15803" t="s">
        <v>48486</v>
      </c>
      <c r="D15803" t="s">
        <v>48487</v>
      </c>
      <c r="E15803" t="s">
        <v>48488</v>
      </c>
      <c r="F15803" t="s">
        <v>48489</v>
      </c>
      <c r="G15803" s="2" t="str">
        <f>HYPERLINK("https://probpalata.gov.ru/files/ИП780303673600000.jpeg","Скачать индивидуальный QR-код магазина")</f>
        <v>Скачать индивидуальный QR-код магазина</v>
      </c>
    </row>
    <row r="15804" spans="1:7" x14ac:dyDescent="0.25">
      <c r="A15804" t="s">
        <v>46193</v>
      </c>
      <c r="B15804" t="s">
        <v>48490</v>
      </c>
      <c r="C15804" t="s">
        <v>48491</v>
      </c>
      <c r="D15804" t="s">
        <v>48492</v>
      </c>
      <c r="E15804" t="s">
        <v>48493</v>
      </c>
      <c r="F15804" t="s">
        <v>48494</v>
      </c>
      <c r="G15804" s="2" t="str">
        <f>HYPERLINK("https://probpalata.gov.ru/files/ИП780301114900000.jpeg","Скачать индивидуальный QR-код магазина")</f>
        <v>Скачать индивидуальный QR-код магазина</v>
      </c>
    </row>
    <row r="15805" spans="1:7" x14ac:dyDescent="0.25">
      <c r="A15805" t="s">
        <v>46193</v>
      </c>
      <c r="B15805" t="s">
        <v>48495</v>
      </c>
      <c r="C15805" t="s">
        <v>48496</v>
      </c>
      <c r="D15805" t="s">
        <v>48497</v>
      </c>
      <c r="E15805" t="s">
        <v>48498</v>
      </c>
      <c r="F15805" t="s">
        <v>48499</v>
      </c>
      <c r="G15805" s="2" t="str">
        <f>HYPERLINK("https://probpalata.gov.ru/files/ИП780303838800000.jpeg","Скачать индивидуальный QR-код магазина")</f>
        <v>Скачать индивидуальный QR-код магазина</v>
      </c>
    </row>
    <row r="15806" spans="1:7" x14ac:dyDescent="0.25">
      <c r="A15806" t="s">
        <v>46193</v>
      </c>
      <c r="B15806" t="s">
        <v>48500</v>
      </c>
      <c r="C15806" t="s">
        <v>48501</v>
      </c>
      <c r="D15806" t="s">
        <v>48502</v>
      </c>
      <c r="E15806" t="s">
        <v>48503</v>
      </c>
      <c r="F15806" t="s">
        <v>48504</v>
      </c>
      <c r="G15806" s="2" t="str">
        <f>HYPERLINK("https://probpalata.gov.ru/files/ИП780303626400000.jpeg","Скачать индивидуальный QR-код магазина")</f>
        <v>Скачать индивидуальный QR-код магазина</v>
      </c>
    </row>
    <row r="15807" spans="1:7" x14ac:dyDescent="0.25">
      <c r="A15807" t="s">
        <v>46193</v>
      </c>
      <c r="B15807" t="s">
        <v>48505</v>
      </c>
      <c r="C15807" t="s">
        <v>48506</v>
      </c>
      <c r="D15807" t="s">
        <v>48507</v>
      </c>
      <c r="E15807" t="s">
        <v>48508</v>
      </c>
      <c r="F15807" t="s">
        <v>48509</v>
      </c>
      <c r="G15807" s="2" t="str">
        <f>HYPERLINK("https://probpalata.gov.ru/files/ЮЛ780300545300000.jpeg","Скачать индивидуальный QR-код магазина")</f>
        <v>Скачать индивидуальный QR-код магазина</v>
      </c>
    </row>
    <row r="15808" spans="1:7" x14ac:dyDescent="0.25">
      <c r="A15808" t="s">
        <v>46193</v>
      </c>
      <c r="B15808" t="s">
        <v>48510</v>
      </c>
      <c r="C15808" t="s">
        <v>48511</v>
      </c>
      <c r="D15808" t="s">
        <v>48512</v>
      </c>
      <c r="E15808" t="s">
        <v>48513</v>
      </c>
      <c r="F15808" t="s">
        <v>48514</v>
      </c>
      <c r="G15808" s="2" t="str">
        <f>HYPERLINK("https://probpalata.gov.ru/files/ЮЛ780300044900000.jpeg","Скачать индивидуальный QR-код магазина")</f>
        <v>Скачать индивидуальный QR-код магазина</v>
      </c>
    </row>
    <row r="15809" spans="1:7" x14ac:dyDescent="0.25">
      <c r="A15809" t="s">
        <v>46193</v>
      </c>
      <c r="B15809" t="s">
        <v>48515</v>
      </c>
      <c r="C15809" t="s">
        <v>48516</v>
      </c>
      <c r="D15809" t="s">
        <v>48517</v>
      </c>
      <c r="E15809" t="s">
        <v>48518</v>
      </c>
      <c r="F15809" t="s">
        <v>48519</v>
      </c>
      <c r="G15809" s="2" t="str">
        <f>HYPERLINK("https://probpalata.gov.ru/files/ИП780303720100000.jpeg","Скачать индивидуальный QR-код магазина")</f>
        <v>Скачать индивидуальный QR-код магазина</v>
      </c>
    </row>
    <row r="15810" spans="1:7" x14ac:dyDescent="0.25">
      <c r="A15810" t="s">
        <v>46193</v>
      </c>
      <c r="B15810" t="s">
        <v>48520</v>
      </c>
      <c r="C15810" t="s">
        <v>48521</v>
      </c>
      <c r="D15810" t="s">
        <v>48522</v>
      </c>
      <c r="E15810" t="s">
        <v>48523</v>
      </c>
      <c r="F15810" t="s">
        <v>48524</v>
      </c>
      <c r="G15810" s="2" t="str">
        <f>HYPERLINK("https://probpalata.gov.ru/files/ЮЛ780300483000000.jpeg","Скачать индивидуальный QR-код магазина")</f>
        <v>Скачать индивидуальный QR-код магазина</v>
      </c>
    </row>
    <row r="15811" spans="1:7" x14ac:dyDescent="0.25">
      <c r="A15811" t="s">
        <v>46193</v>
      </c>
      <c r="B15811" t="s">
        <v>48525</v>
      </c>
      <c r="C15811" t="s">
        <v>48526</v>
      </c>
      <c r="D15811" t="s">
        <v>48527</v>
      </c>
      <c r="E15811" t="s">
        <v>48528</v>
      </c>
      <c r="F15811" t="s">
        <v>48529</v>
      </c>
      <c r="G15811" s="2" t="str">
        <f>HYPERLINK("https://probpalata.gov.ru/files/ЮЛ780301813100000.jpeg","Скачать индивидуальный QR-код магазина")</f>
        <v>Скачать индивидуальный QR-код магазина</v>
      </c>
    </row>
    <row r="15812" spans="1:7" x14ac:dyDescent="0.25">
      <c r="A15812" t="s">
        <v>46193</v>
      </c>
      <c r="B15812" t="s">
        <v>48530</v>
      </c>
      <c r="C15812" t="s">
        <v>798</v>
      </c>
      <c r="D15812" t="s">
        <v>799</v>
      </c>
      <c r="E15812" t="s">
        <v>800</v>
      </c>
      <c r="F15812" t="s">
        <v>48531</v>
      </c>
      <c r="G15812" s="2" t="str">
        <f>HYPERLINK("https://probpalata.gov.ru/files/ЮЛ780300308200017.jpeg","Скачать индивидуальный QR-код магазина")</f>
        <v>Скачать индивидуальный QR-код магазина</v>
      </c>
    </row>
    <row r="15813" spans="1:7" x14ac:dyDescent="0.25">
      <c r="A15813" t="s">
        <v>46193</v>
      </c>
      <c r="B15813" t="s">
        <v>48532</v>
      </c>
      <c r="C15813" t="s">
        <v>798</v>
      </c>
      <c r="D15813" t="s">
        <v>799</v>
      </c>
      <c r="E15813" t="s">
        <v>800</v>
      </c>
      <c r="F15813" t="s">
        <v>48533</v>
      </c>
      <c r="G15813" s="2" t="str">
        <f>HYPERLINK("https://probpalata.gov.ru/files/ЮЛ780300308200088.jpeg","Скачать индивидуальный QR-код магазина")</f>
        <v>Скачать индивидуальный QR-код магазина</v>
      </c>
    </row>
    <row r="15814" spans="1:7" x14ac:dyDescent="0.25">
      <c r="A15814" t="s">
        <v>46193</v>
      </c>
      <c r="B15814" t="s">
        <v>48534</v>
      </c>
      <c r="C15814" t="s">
        <v>798</v>
      </c>
      <c r="D15814" t="s">
        <v>799</v>
      </c>
      <c r="E15814" t="s">
        <v>800</v>
      </c>
      <c r="F15814" t="s">
        <v>48535</v>
      </c>
      <c r="G15814" s="2" t="str">
        <f>HYPERLINK("https://probpalata.gov.ru/files/ЮЛ780300308200089.jpeg","Скачать индивидуальный QR-код магазина")</f>
        <v>Скачать индивидуальный QR-код магазина</v>
      </c>
    </row>
    <row r="15815" spans="1:7" x14ac:dyDescent="0.25">
      <c r="A15815" t="s">
        <v>46193</v>
      </c>
      <c r="B15815" t="s">
        <v>48536</v>
      </c>
      <c r="C15815" t="s">
        <v>798</v>
      </c>
      <c r="D15815" t="s">
        <v>799</v>
      </c>
      <c r="E15815" t="s">
        <v>800</v>
      </c>
      <c r="F15815" t="s">
        <v>48537</v>
      </c>
      <c r="G15815" s="2" t="str">
        <f>HYPERLINK("https://probpalata.gov.ru/files/ЮЛ780300308200105.jpeg","Скачать индивидуальный QR-код магазина")</f>
        <v>Скачать индивидуальный QR-код магазина</v>
      </c>
    </row>
    <row r="15816" spans="1:7" x14ac:dyDescent="0.25">
      <c r="A15816" t="s">
        <v>46193</v>
      </c>
      <c r="B15816" t="s">
        <v>48538</v>
      </c>
      <c r="C15816" t="s">
        <v>798</v>
      </c>
      <c r="D15816" t="s">
        <v>799</v>
      </c>
      <c r="E15816" t="s">
        <v>800</v>
      </c>
      <c r="F15816" t="s">
        <v>48539</v>
      </c>
      <c r="G15816" s="2" t="str">
        <f>HYPERLINK("https://probpalata.gov.ru/files/ЮЛ780300308200107.jpeg","Скачать индивидуальный QR-код магазина")</f>
        <v>Скачать индивидуальный QR-код магазина</v>
      </c>
    </row>
    <row r="15817" spans="1:7" x14ac:dyDescent="0.25">
      <c r="A15817" t="s">
        <v>46193</v>
      </c>
      <c r="B15817" t="s">
        <v>48540</v>
      </c>
      <c r="C15817" t="s">
        <v>798</v>
      </c>
      <c r="D15817" t="s">
        <v>799</v>
      </c>
      <c r="E15817" t="s">
        <v>800</v>
      </c>
      <c r="F15817" t="s">
        <v>48541</v>
      </c>
      <c r="G15817" s="2" t="str">
        <f>HYPERLINK("https://probpalata.gov.ru/files/ЮЛ780300308200110.jpeg","Скачать индивидуальный QR-код магазина")</f>
        <v>Скачать индивидуальный QR-код магазина</v>
      </c>
    </row>
    <row r="15818" spans="1:7" x14ac:dyDescent="0.25">
      <c r="A15818" t="s">
        <v>46193</v>
      </c>
      <c r="B15818" t="s">
        <v>48542</v>
      </c>
      <c r="C15818" t="s">
        <v>798</v>
      </c>
      <c r="D15818" t="s">
        <v>799</v>
      </c>
      <c r="E15818" t="s">
        <v>800</v>
      </c>
      <c r="F15818" t="s">
        <v>48543</v>
      </c>
      <c r="G15818" s="2" t="str">
        <f>HYPERLINK("https://probpalata.gov.ru/files/ЮЛ780300308200111.jpeg","Скачать индивидуальный QR-код магазина")</f>
        <v>Скачать индивидуальный QR-код магазина</v>
      </c>
    </row>
    <row r="15819" spans="1:7" x14ac:dyDescent="0.25">
      <c r="A15819" t="s">
        <v>46193</v>
      </c>
      <c r="B15819" t="s">
        <v>48544</v>
      </c>
      <c r="C15819" t="s">
        <v>798</v>
      </c>
      <c r="D15819" t="s">
        <v>799</v>
      </c>
      <c r="E15819" t="s">
        <v>800</v>
      </c>
      <c r="F15819" t="s">
        <v>48545</v>
      </c>
      <c r="G15819" s="2" t="str">
        <f>HYPERLINK("https://probpalata.gov.ru/files/ЮЛ780300308200112.jpeg","Скачать индивидуальный QR-код магазина")</f>
        <v>Скачать индивидуальный QR-код магазина</v>
      </c>
    </row>
    <row r="15820" spans="1:7" x14ac:dyDescent="0.25">
      <c r="A15820" t="s">
        <v>46193</v>
      </c>
      <c r="B15820" t="s">
        <v>48546</v>
      </c>
      <c r="C15820" t="s">
        <v>798</v>
      </c>
      <c r="D15820" t="s">
        <v>799</v>
      </c>
      <c r="E15820" t="s">
        <v>800</v>
      </c>
      <c r="F15820" t="s">
        <v>48547</v>
      </c>
      <c r="G15820" s="2" t="str">
        <f>HYPERLINK("https://probpalata.gov.ru/files/ЮЛ780300308200113.jpeg","Скачать индивидуальный QR-код магазина")</f>
        <v>Скачать индивидуальный QR-код магазина</v>
      </c>
    </row>
    <row r="15821" spans="1:7" x14ac:dyDescent="0.25">
      <c r="A15821" t="s">
        <v>46193</v>
      </c>
      <c r="B15821" t="s">
        <v>48548</v>
      </c>
      <c r="C15821" t="s">
        <v>798</v>
      </c>
      <c r="D15821" t="s">
        <v>799</v>
      </c>
      <c r="E15821" t="s">
        <v>800</v>
      </c>
      <c r="F15821" t="s">
        <v>48549</v>
      </c>
      <c r="G15821" s="2" t="str">
        <f>HYPERLINK("https://probpalata.gov.ru/files/ЮЛ780300308200114.jpeg","Скачать индивидуальный QR-код магазина")</f>
        <v>Скачать индивидуальный QR-код магазина</v>
      </c>
    </row>
    <row r="15822" spans="1:7" x14ac:dyDescent="0.25">
      <c r="A15822" t="s">
        <v>46193</v>
      </c>
      <c r="B15822" t="s">
        <v>48550</v>
      </c>
      <c r="C15822" t="s">
        <v>798</v>
      </c>
      <c r="D15822" t="s">
        <v>799</v>
      </c>
      <c r="E15822" t="s">
        <v>800</v>
      </c>
      <c r="F15822" t="s">
        <v>48551</v>
      </c>
      <c r="G15822" s="2" t="str">
        <f>HYPERLINK("https://probpalata.gov.ru/files/ЮЛ780300308200118.jpeg","Скачать индивидуальный QR-код магазина")</f>
        <v>Скачать индивидуальный QR-код магазина</v>
      </c>
    </row>
    <row r="15823" spans="1:7" x14ac:dyDescent="0.25">
      <c r="A15823" t="s">
        <v>46193</v>
      </c>
      <c r="B15823" t="s">
        <v>48552</v>
      </c>
      <c r="C15823" t="s">
        <v>798</v>
      </c>
      <c r="D15823" t="s">
        <v>799</v>
      </c>
      <c r="E15823" t="s">
        <v>800</v>
      </c>
      <c r="F15823" t="s">
        <v>48553</v>
      </c>
      <c r="G15823" s="2" t="str">
        <f>HYPERLINK("https://probpalata.gov.ru/files/ЮЛ780300308200147.jpeg","Скачать индивидуальный QR-код магазина")</f>
        <v>Скачать индивидуальный QR-код магазина</v>
      </c>
    </row>
    <row r="15824" spans="1:7" x14ac:dyDescent="0.25">
      <c r="A15824" t="s">
        <v>46193</v>
      </c>
      <c r="B15824" t="s">
        <v>48554</v>
      </c>
      <c r="C15824" t="s">
        <v>798</v>
      </c>
      <c r="D15824" t="s">
        <v>799</v>
      </c>
      <c r="E15824" t="s">
        <v>800</v>
      </c>
      <c r="F15824" t="s">
        <v>48555</v>
      </c>
      <c r="G15824" s="2" t="str">
        <f>HYPERLINK("https://probpalata.gov.ru/files/ЮЛ780300308200155.jpeg","Скачать индивидуальный QR-код магазина")</f>
        <v>Скачать индивидуальный QR-код магазина</v>
      </c>
    </row>
    <row r="15825" spans="1:7" x14ac:dyDescent="0.25">
      <c r="A15825" t="s">
        <v>46193</v>
      </c>
      <c r="B15825" t="s">
        <v>48556</v>
      </c>
      <c r="C15825" t="s">
        <v>798</v>
      </c>
      <c r="D15825" t="s">
        <v>799</v>
      </c>
      <c r="E15825" t="s">
        <v>800</v>
      </c>
      <c r="F15825" t="s">
        <v>48557</v>
      </c>
      <c r="G15825" s="2" t="str">
        <f>HYPERLINK("https://probpalata.gov.ru/files/ЮЛ780300308200195.jpeg","Скачать индивидуальный QR-код магазина")</f>
        <v>Скачать индивидуальный QR-код магазина</v>
      </c>
    </row>
    <row r="15826" spans="1:7" x14ac:dyDescent="0.25">
      <c r="A15826" t="s">
        <v>46193</v>
      </c>
      <c r="B15826" t="s">
        <v>48558</v>
      </c>
      <c r="C15826" t="s">
        <v>798</v>
      </c>
      <c r="D15826" t="s">
        <v>799</v>
      </c>
      <c r="E15826" t="s">
        <v>800</v>
      </c>
      <c r="F15826" t="s">
        <v>48559</v>
      </c>
      <c r="G15826" s="2" t="str">
        <f>HYPERLINK("https://probpalata.gov.ru/files/ЮЛ780300308200246.jpeg","Скачать индивидуальный QR-код магазина")</f>
        <v>Скачать индивидуальный QR-код магазина</v>
      </c>
    </row>
    <row r="15827" spans="1:7" x14ac:dyDescent="0.25">
      <c r="A15827" t="s">
        <v>46193</v>
      </c>
      <c r="B15827" t="s">
        <v>48560</v>
      </c>
      <c r="C15827" t="s">
        <v>798</v>
      </c>
      <c r="D15827" t="s">
        <v>799</v>
      </c>
      <c r="E15827" t="s">
        <v>800</v>
      </c>
      <c r="F15827" t="s">
        <v>48561</v>
      </c>
      <c r="G15827" s="2" t="str">
        <f>HYPERLINK("https://probpalata.gov.ru/files/ЮЛ780300308200307.jpeg","Скачать индивидуальный QR-код магазина")</f>
        <v>Скачать индивидуальный QR-код магазина</v>
      </c>
    </row>
    <row r="15828" spans="1:7" x14ac:dyDescent="0.25">
      <c r="A15828" t="s">
        <v>46193</v>
      </c>
      <c r="B15828" t="s">
        <v>48562</v>
      </c>
      <c r="C15828" t="s">
        <v>798</v>
      </c>
      <c r="D15828" t="s">
        <v>799</v>
      </c>
      <c r="E15828" t="s">
        <v>800</v>
      </c>
      <c r="F15828" t="s">
        <v>48563</v>
      </c>
      <c r="G15828" s="2" t="str">
        <f>HYPERLINK("https://probpalata.gov.ru/files/ЮЛ780300308200317.jpeg","Скачать индивидуальный QR-код магазина")</f>
        <v>Скачать индивидуальный QR-код магазина</v>
      </c>
    </row>
    <row r="15829" spans="1:7" x14ac:dyDescent="0.25">
      <c r="A15829" t="s">
        <v>46193</v>
      </c>
      <c r="B15829" t="s">
        <v>48564</v>
      </c>
      <c r="C15829" t="s">
        <v>798</v>
      </c>
      <c r="D15829" t="s">
        <v>799</v>
      </c>
      <c r="E15829" t="s">
        <v>800</v>
      </c>
      <c r="F15829" t="s">
        <v>48565</v>
      </c>
      <c r="G15829" s="2" t="str">
        <f>HYPERLINK("https://probpalata.gov.ru/files/ЮЛ780300308200329.jpeg","Скачать индивидуальный QR-код магазина")</f>
        <v>Скачать индивидуальный QR-код магазина</v>
      </c>
    </row>
    <row r="15830" spans="1:7" x14ac:dyDescent="0.25">
      <c r="A15830" t="s">
        <v>46193</v>
      </c>
      <c r="B15830" t="s">
        <v>48566</v>
      </c>
      <c r="C15830" t="s">
        <v>798</v>
      </c>
      <c r="D15830" t="s">
        <v>799</v>
      </c>
      <c r="E15830" t="s">
        <v>800</v>
      </c>
      <c r="F15830" t="s">
        <v>48567</v>
      </c>
      <c r="G15830" s="2" t="str">
        <f>HYPERLINK("https://probpalata.gov.ru/files/ЮЛ780300308200384.jpeg","Скачать индивидуальный QR-код магазина")</f>
        <v>Скачать индивидуальный QR-код магазина</v>
      </c>
    </row>
    <row r="15831" spans="1:7" x14ac:dyDescent="0.25">
      <c r="A15831" t="s">
        <v>46193</v>
      </c>
      <c r="B15831" t="s">
        <v>47631</v>
      </c>
      <c r="C15831" t="s">
        <v>798</v>
      </c>
      <c r="D15831" t="s">
        <v>799</v>
      </c>
      <c r="E15831" t="s">
        <v>800</v>
      </c>
      <c r="F15831" t="s">
        <v>48568</v>
      </c>
      <c r="G15831" s="2" t="str">
        <f>HYPERLINK("https://probpalata.gov.ru/files/ЮЛ780300308200385.jpeg","Скачать индивидуальный QR-код магазина")</f>
        <v>Скачать индивидуальный QR-код магазина</v>
      </c>
    </row>
    <row r="15832" spans="1:7" x14ac:dyDescent="0.25">
      <c r="A15832" t="s">
        <v>46193</v>
      </c>
      <c r="B15832" t="s">
        <v>48569</v>
      </c>
      <c r="C15832" t="s">
        <v>798</v>
      </c>
      <c r="D15832" t="s">
        <v>799</v>
      </c>
      <c r="E15832" t="s">
        <v>800</v>
      </c>
      <c r="F15832" t="s">
        <v>48570</v>
      </c>
      <c r="G15832" s="2" t="str">
        <f>HYPERLINK("https://probpalata.gov.ru/files/ЮЛ780300308200387.jpeg","Скачать индивидуальный QR-код магазина")</f>
        <v>Скачать индивидуальный QR-код магазина</v>
      </c>
    </row>
    <row r="15833" spans="1:7" x14ac:dyDescent="0.25">
      <c r="A15833" t="s">
        <v>46193</v>
      </c>
      <c r="B15833" t="s">
        <v>48571</v>
      </c>
      <c r="C15833" t="s">
        <v>798</v>
      </c>
      <c r="D15833" t="s">
        <v>799</v>
      </c>
      <c r="E15833" t="s">
        <v>800</v>
      </c>
      <c r="F15833" t="s">
        <v>48572</v>
      </c>
      <c r="G15833" s="2" t="str">
        <f>HYPERLINK("https://probpalata.gov.ru/files/ЮЛ780300308200589.jpeg","Скачать индивидуальный QR-код магазина")</f>
        <v>Скачать индивидуальный QR-код магазина</v>
      </c>
    </row>
    <row r="15834" spans="1:7" x14ac:dyDescent="0.25">
      <c r="A15834" t="s">
        <v>46193</v>
      </c>
      <c r="B15834" t="s">
        <v>48573</v>
      </c>
      <c r="C15834" t="s">
        <v>798</v>
      </c>
      <c r="D15834" t="s">
        <v>799</v>
      </c>
      <c r="E15834" t="s">
        <v>800</v>
      </c>
      <c r="F15834" t="s">
        <v>48574</v>
      </c>
      <c r="G15834" s="2" t="str">
        <f>HYPERLINK("https://probpalata.gov.ru/files/ЮЛ780300308200594.jpeg","Скачать индивидуальный QR-код магазина")</f>
        <v>Скачать индивидуальный QR-код магазина</v>
      </c>
    </row>
    <row r="15835" spans="1:7" x14ac:dyDescent="0.25">
      <c r="A15835" t="s">
        <v>46193</v>
      </c>
      <c r="B15835" t="s">
        <v>48575</v>
      </c>
      <c r="C15835" t="s">
        <v>798</v>
      </c>
      <c r="D15835" t="s">
        <v>799</v>
      </c>
      <c r="E15835" t="s">
        <v>800</v>
      </c>
      <c r="F15835" t="s">
        <v>48576</v>
      </c>
      <c r="G15835" s="2" t="str">
        <f>HYPERLINK("https://probpalata.gov.ru/files/ЮЛ780300308200605.jpeg","Скачать индивидуальный QR-код магазина")</f>
        <v>Скачать индивидуальный QR-код магазина</v>
      </c>
    </row>
    <row r="15836" spans="1:7" x14ac:dyDescent="0.25">
      <c r="A15836" t="s">
        <v>46193</v>
      </c>
      <c r="B15836" t="s">
        <v>48577</v>
      </c>
      <c r="C15836" t="s">
        <v>798</v>
      </c>
      <c r="D15836" t="s">
        <v>799</v>
      </c>
      <c r="E15836" t="s">
        <v>800</v>
      </c>
      <c r="F15836" t="s">
        <v>48578</v>
      </c>
      <c r="G15836" s="2" t="str">
        <f>HYPERLINK("https://probpalata.gov.ru/files/ЮЛ780300308200612.jpeg","Скачать индивидуальный QR-код магазина")</f>
        <v>Скачать индивидуальный QR-код магазина</v>
      </c>
    </row>
    <row r="15837" spans="1:7" x14ac:dyDescent="0.25">
      <c r="A15837" t="s">
        <v>46193</v>
      </c>
      <c r="B15837" t="s">
        <v>48579</v>
      </c>
      <c r="C15837" t="s">
        <v>798</v>
      </c>
      <c r="D15837" t="s">
        <v>799</v>
      </c>
      <c r="E15837" t="s">
        <v>800</v>
      </c>
      <c r="F15837" t="s">
        <v>48580</v>
      </c>
      <c r="G15837" s="2" t="str">
        <f>HYPERLINK("https://probpalata.gov.ru/files/ЮЛ780300308200617.jpeg","Скачать индивидуальный QR-код магазина")</f>
        <v>Скачать индивидуальный QR-код магазина</v>
      </c>
    </row>
    <row r="15838" spans="1:7" x14ac:dyDescent="0.25">
      <c r="A15838" t="s">
        <v>46193</v>
      </c>
      <c r="B15838" t="s">
        <v>48581</v>
      </c>
      <c r="C15838" t="s">
        <v>798</v>
      </c>
      <c r="D15838" t="s">
        <v>799</v>
      </c>
      <c r="E15838" t="s">
        <v>800</v>
      </c>
      <c r="F15838" t="s">
        <v>48582</v>
      </c>
      <c r="G15838" s="2" t="str">
        <f>HYPERLINK("https://probpalata.gov.ru/files/ЮЛ780300308200650.jpeg","Скачать индивидуальный QR-код магазина")</f>
        <v>Скачать индивидуальный QR-код магазина</v>
      </c>
    </row>
    <row r="15839" spans="1:7" x14ac:dyDescent="0.25">
      <c r="A15839" t="s">
        <v>46193</v>
      </c>
      <c r="B15839" t="s">
        <v>48583</v>
      </c>
      <c r="C15839" t="s">
        <v>798</v>
      </c>
      <c r="D15839" t="s">
        <v>799</v>
      </c>
      <c r="E15839" t="s">
        <v>800</v>
      </c>
      <c r="F15839" t="s">
        <v>48584</v>
      </c>
      <c r="G15839" s="2" t="str">
        <f>HYPERLINK("https://probpalata.gov.ru/files/ЮЛ780300308200661.jpeg","Скачать индивидуальный QR-код магазина")</f>
        <v>Скачать индивидуальный QR-код магазина</v>
      </c>
    </row>
    <row r="15840" spans="1:7" x14ac:dyDescent="0.25">
      <c r="A15840" t="s">
        <v>46193</v>
      </c>
      <c r="B15840" t="s">
        <v>48585</v>
      </c>
      <c r="C15840" t="s">
        <v>798</v>
      </c>
      <c r="D15840" t="s">
        <v>799</v>
      </c>
      <c r="E15840" t="s">
        <v>800</v>
      </c>
      <c r="F15840" t="s">
        <v>48586</v>
      </c>
      <c r="G15840" s="2" t="str">
        <f>HYPERLINK("https://probpalata.gov.ru/files/ЮЛ780300308200692.jpeg","Скачать индивидуальный QR-код магазина")</f>
        <v>Скачать индивидуальный QR-код магазина</v>
      </c>
    </row>
    <row r="15841" spans="1:7" x14ac:dyDescent="0.25">
      <c r="A15841" t="s">
        <v>46193</v>
      </c>
      <c r="B15841" t="s">
        <v>48587</v>
      </c>
      <c r="C15841" t="s">
        <v>798</v>
      </c>
      <c r="D15841" t="s">
        <v>799</v>
      </c>
      <c r="E15841" t="s">
        <v>800</v>
      </c>
      <c r="F15841" t="s">
        <v>48588</v>
      </c>
      <c r="G15841" s="2" t="str">
        <f>HYPERLINK("https://probpalata.gov.ru/files/ЮЛ780300308200727.jpeg","Скачать индивидуальный QR-код магазина")</f>
        <v>Скачать индивидуальный QR-код магазина</v>
      </c>
    </row>
    <row r="15842" spans="1:7" x14ac:dyDescent="0.25">
      <c r="A15842" t="s">
        <v>46193</v>
      </c>
      <c r="B15842" t="s">
        <v>48589</v>
      </c>
      <c r="C15842" t="s">
        <v>798</v>
      </c>
      <c r="D15842" t="s">
        <v>799</v>
      </c>
      <c r="E15842" t="s">
        <v>800</v>
      </c>
      <c r="F15842" t="s">
        <v>48590</v>
      </c>
      <c r="G15842" s="2" t="str">
        <f>HYPERLINK("https://probpalata.gov.ru/files/ЮЛ780300308200731.jpeg","Скачать индивидуальный QR-код магазина")</f>
        <v>Скачать индивидуальный QR-код магазина</v>
      </c>
    </row>
    <row r="15843" spans="1:7" x14ac:dyDescent="0.25">
      <c r="A15843" t="s">
        <v>46193</v>
      </c>
      <c r="B15843" t="s">
        <v>48591</v>
      </c>
      <c r="C15843" t="s">
        <v>798</v>
      </c>
      <c r="D15843" t="s">
        <v>799</v>
      </c>
      <c r="E15843" t="s">
        <v>800</v>
      </c>
      <c r="F15843" t="s">
        <v>48592</v>
      </c>
      <c r="G15843" s="2" t="str">
        <f>HYPERLINK("https://probpalata.gov.ru/files/ЮЛ780300308200765.jpeg","Скачать индивидуальный QR-код магазина")</f>
        <v>Скачать индивидуальный QR-код магазина</v>
      </c>
    </row>
    <row r="15844" spans="1:7" x14ac:dyDescent="0.25">
      <c r="A15844" t="s">
        <v>46193</v>
      </c>
      <c r="B15844" t="s">
        <v>48593</v>
      </c>
      <c r="C15844" t="s">
        <v>798</v>
      </c>
      <c r="D15844" t="s">
        <v>799</v>
      </c>
      <c r="E15844" t="s">
        <v>800</v>
      </c>
      <c r="F15844" t="s">
        <v>48594</v>
      </c>
      <c r="G15844" s="2" t="str">
        <f>HYPERLINK("https://probpalata.gov.ru/files/ЮЛ780300308200776.jpeg","Скачать индивидуальный QR-код магазина")</f>
        <v>Скачать индивидуальный QR-код магазина</v>
      </c>
    </row>
    <row r="15845" spans="1:7" x14ac:dyDescent="0.25">
      <c r="A15845" t="s">
        <v>46193</v>
      </c>
      <c r="B15845" t="s">
        <v>48595</v>
      </c>
      <c r="C15845" t="s">
        <v>798</v>
      </c>
      <c r="D15845" t="s">
        <v>799</v>
      </c>
      <c r="E15845" t="s">
        <v>800</v>
      </c>
      <c r="F15845" t="s">
        <v>48596</v>
      </c>
      <c r="G15845" s="2" t="str">
        <f>HYPERLINK("https://probpalata.gov.ru/files/ЮЛ780300308200780.jpeg","Скачать индивидуальный QR-код магазина")</f>
        <v>Скачать индивидуальный QR-код магазина</v>
      </c>
    </row>
    <row r="15846" spans="1:7" x14ac:dyDescent="0.25">
      <c r="A15846" t="s">
        <v>46193</v>
      </c>
      <c r="B15846" t="s">
        <v>48597</v>
      </c>
      <c r="C15846" t="s">
        <v>798</v>
      </c>
      <c r="D15846" t="s">
        <v>799</v>
      </c>
      <c r="E15846" t="s">
        <v>800</v>
      </c>
      <c r="F15846" t="s">
        <v>48598</v>
      </c>
      <c r="G15846" s="2" t="str">
        <f>HYPERLINK("https://probpalata.gov.ru/files/ЮЛ780300308200791.jpeg","Скачать индивидуальный QR-код магазина")</f>
        <v>Скачать индивидуальный QR-код магазина</v>
      </c>
    </row>
    <row r="15847" spans="1:7" x14ac:dyDescent="0.25">
      <c r="A15847" t="s">
        <v>46193</v>
      </c>
      <c r="B15847" t="s">
        <v>48599</v>
      </c>
      <c r="C15847" t="s">
        <v>798</v>
      </c>
      <c r="D15847" t="s">
        <v>799</v>
      </c>
      <c r="E15847" t="s">
        <v>800</v>
      </c>
      <c r="F15847" t="s">
        <v>48600</v>
      </c>
      <c r="G15847" s="2" t="str">
        <f>HYPERLINK("https://probpalata.gov.ru/files/ЮЛ780300308200793.jpeg","Скачать индивидуальный QR-код магазина")</f>
        <v>Скачать индивидуальный QR-код магазина</v>
      </c>
    </row>
    <row r="15848" spans="1:7" x14ac:dyDescent="0.25">
      <c r="A15848" t="s">
        <v>46193</v>
      </c>
      <c r="B15848" t="s">
        <v>48601</v>
      </c>
      <c r="C15848" t="s">
        <v>798</v>
      </c>
      <c r="D15848" t="s">
        <v>799</v>
      </c>
      <c r="E15848" t="s">
        <v>800</v>
      </c>
      <c r="F15848" t="s">
        <v>48602</v>
      </c>
      <c r="G15848" s="2" t="str">
        <f>HYPERLINK("https://probpalata.gov.ru/files/ЮЛ780300308200794.jpeg","Скачать индивидуальный QR-код магазина")</f>
        <v>Скачать индивидуальный QR-код магазина</v>
      </c>
    </row>
    <row r="15849" spans="1:7" x14ac:dyDescent="0.25">
      <c r="A15849" t="s">
        <v>46193</v>
      </c>
      <c r="B15849" t="s">
        <v>48603</v>
      </c>
      <c r="C15849" t="s">
        <v>798</v>
      </c>
      <c r="D15849" t="s">
        <v>799</v>
      </c>
      <c r="E15849" t="s">
        <v>800</v>
      </c>
      <c r="F15849" t="s">
        <v>48604</v>
      </c>
      <c r="G15849" s="2" t="str">
        <f>HYPERLINK("https://probpalata.gov.ru/files/ЮЛ780300308200795.jpeg","Скачать индивидуальный QR-код магазина")</f>
        <v>Скачать индивидуальный QR-код магазина</v>
      </c>
    </row>
    <row r="15850" spans="1:7" x14ac:dyDescent="0.25">
      <c r="A15850" t="s">
        <v>46193</v>
      </c>
      <c r="B15850" t="s">
        <v>48605</v>
      </c>
      <c r="C15850" t="s">
        <v>798</v>
      </c>
      <c r="D15850" t="s">
        <v>799</v>
      </c>
      <c r="E15850" t="s">
        <v>800</v>
      </c>
      <c r="F15850" t="s">
        <v>48606</v>
      </c>
      <c r="G15850" s="2" t="str">
        <f>HYPERLINK("https://probpalata.gov.ru/files/ЮЛ780300308200801.jpeg","Скачать индивидуальный QR-код магазина")</f>
        <v>Скачать индивидуальный QR-код магазина</v>
      </c>
    </row>
    <row r="15851" spans="1:7" x14ac:dyDescent="0.25">
      <c r="A15851" t="s">
        <v>46193</v>
      </c>
      <c r="B15851" t="s">
        <v>48607</v>
      </c>
      <c r="C15851" t="s">
        <v>798</v>
      </c>
      <c r="D15851" t="s">
        <v>799</v>
      </c>
      <c r="E15851" t="s">
        <v>800</v>
      </c>
      <c r="F15851" t="s">
        <v>48608</v>
      </c>
      <c r="G15851" s="2" t="str">
        <f>HYPERLINK("https://probpalata.gov.ru/files/ЮЛ780300308200833.jpeg","Скачать индивидуальный QR-код магазина")</f>
        <v>Скачать индивидуальный QR-код магазина</v>
      </c>
    </row>
    <row r="15852" spans="1:7" x14ac:dyDescent="0.25">
      <c r="A15852" t="s">
        <v>46193</v>
      </c>
      <c r="B15852" t="s">
        <v>48609</v>
      </c>
      <c r="C15852" t="s">
        <v>798</v>
      </c>
      <c r="D15852" t="s">
        <v>799</v>
      </c>
      <c r="E15852" t="s">
        <v>800</v>
      </c>
      <c r="F15852" t="s">
        <v>48610</v>
      </c>
      <c r="G15852" s="2" t="str">
        <f>HYPERLINK("https://probpalata.gov.ru/files/ЮЛ780300308200834.jpeg","Скачать индивидуальный QR-код магазина")</f>
        <v>Скачать индивидуальный QR-код магазина</v>
      </c>
    </row>
    <row r="15853" spans="1:7" x14ac:dyDescent="0.25">
      <c r="A15853" t="s">
        <v>46193</v>
      </c>
      <c r="B15853" t="s">
        <v>48611</v>
      </c>
      <c r="C15853" t="s">
        <v>798</v>
      </c>
      <c r="D15853" t="s">
        <v>799</v>
      </c>
      <c r="E15853" t="s">
        <v>800</v>
      </c>
      <c r="F15853" t="s">
        <v>48612</v>
      </c>
      <c r="G15853" s="2" t="str">
        <f>HYPERLINK("https://probpalata.gov.ru/files/ЮЛ780300308200875.jpeg","Скачать индивидуальный QR-код магазина")</f>
        <v>Скачать индивидуальный QR-код магазина</v>
      </c>
    </row>
    <row r="15854" spans="1:7" x14ac:dyDescent="0.25">
      <c r="A15854" t="s">
        <v>46193</v>
      </c>
      <c r="B15854" t="s">
        <v>48613</v>
      </c>
      <c r="C15854" t="s">
        <v>798</v>
      </c>
      <c r="D15854" t="s">
        <v>799</v>
      </c>
      <c r="E15854" t="s">
        <v>800</v>
      </c>
      <c r="F15854" t="s">
        <v>48614</v>
      </c>
      <c r="G15854" s="2" t="str">
        <f>HYPERLINK("https://probpalata.gov.ru/files/ЮЛ780300308200897.jpeg","Скачать индивидуальный QR-код магазина")</f>
        <v>Скачать индивидуальный QR-код магазина</v>
      </c>
    </row>
    <row r="15855" spans="1:7" x14ac:dyDescent="0.25">
      <c r="A15855" t="s">
        <v>46193</v>
      </c>
      <c r="B15855" t="s">
        <v>48615</v>
      </c>
      <c r="C15855" t="s">
        <v>798</v>
      </c>
      <c r="D15855" t="s">
        <v>799</v>
      </c>
      <c r="E15855" t="s">
        <v>800</v>
      </c>
      <c r="F15855" t="s">
        <v>48616</v>
      </c>
      <c r="G15855" s="2" t="str">
        <f>HYPERLINK("https://probpalata.gov.ru/files/ЮЛ780300308200898.jpeg","Скачать индивидуальный QR-код магазина")</f>
        <v>Скачать индивидуальный QR-код магазина</v>
      </c>
    </row>
    <row r="15856" spans="1:7" x14ac:dyDescent="0.25">
      <c r="A15856" t="s">
        <v>46193</v>
      </c>
      <c r="B15856" t="s">
        <v>48617</v>
      </c>
      <c r="C15856" t="s">
        <v>798</v>
      </c>
      <c r="D15856" t="s">
        <v>799</v>
      </c>
      <c r="E15856" t="s">
        <v>800</v>
      </c>
      <c r="F15856" t="s">
        <v>48618</v>
      </c>
      <c r="G15856" s="2" t="str">
        <f>HYPERLINK("https://probpalata.gov.ru/files/ЮЛ780300308201009.jpeg","Скачать индивидуальный QR-код магазина")</f>
        <v>Скачать индивидуальный QR-код магазина</v>
      </c>
    </row>
    <row r="15857" spans="1:7" x14ac:dyDescent="0.25">
      <c r="A15857" t="s">
        <v>46193</v>
      </c>
      <c r="B15857" t="s">
        <v>48619</v>
      </c>
      <c r="C15857" t="s">
        <v>798</v>
      </c>
      <c r="D15857" t="s">
        <v>799</v>
      </c>
      <c r="E15857" t="s">
        <v>800</v>
      </c>
      <c r="F15857" t="s">
        <v>48620</v>
      </c>
      <c r="G15857" s="2" t="str">
        <f>HYPERLINK("https://probpalata.gov.ru/files/ЮЛ780300308201022.jpeg","Скачать индивидуальный QR-код магазина")</f>
        <v>Скачать индивидуальный QR-код магазина</v>
      </c>
    </row>
    <row r="15858" spans="1:7" x14ac:dyDescent="0.25">
      <c r="A15858" t="s">
        <v>46193</v>
      </c>
      <c r="B15858" t="s">
        <v>48621</v>
      </c>
      <c r="C15858" t="s">
        <v>798</v>
      </c>
      <c r="D15858" t="s">
        <v>799</v>
      </c>
      <c r="E15858" t="s">
        <v>800</v>
      </c>
      <c r="F15858" t="s">
        <v>48622</v>
      </c>
      <c r="G15858" s="2" t="str">
        <f>HYPERLINK("https://probpalata.gov.ru/files/ЮЛ780300308201026.jpeg","Скачать индивидуальный QR-код магазина")</f>
        <v>Скачать индивидуальный QR-код магазина</v>
      </c>
    </row>
    <row r="15859" spans="1:7" x14ac:dyDescent="0.25">
      <c r="A15859" t="s">
        <v>46193</v>
      </c>
      <c r="B15859" t="s">
        <v>48623</v>
      </c>
      <c r="C15859" t="s">
        <v>798</v>
      </c>
      <c r="D15859" t="s">
        <v>799</v>
      </c>
      <c r="E15859" t="s">
        <v>800</v>
      </c>
      <c r="F15859" t="s">
        <v>48624</v>
      </c>
      <c r="G15859" s="2" t="str">
        <f>HYPERLINK("https://probpalata.gov.ru/files/ЮЛ780300308201028.jpeg","Скачать индивидуальный QR-код магазина")</f>
        <v>Скачать индивидуальный QR-код магазина</v>
      </c>
    </row>
    <row r="15860" spans="1:7" x14ac:dyDescent="0.25">
      <c r="A15860" t="s">
        <v>46193</v>
      </c>
      <c r="B15860" t="s">
        <v>48625</v>
      </c>
      <c r="C15860" t="s">
        <v>798</v>
      </c>
      <c r="D15860" t="s">
        <v>799</v>
      </c>
      <c r="E15860" t="s">
        <v>800</v>
      </c>
      <c r="F15860" t="s">
        <v>48626</v>
      </c>
      <c r="G15860" s="2" t="str">
        <f>HYPERLINK("https://probpalata.gov.ru/files/ЮЛ780300308201029.jpeg","Скачать индивидуальный QR-код магазина")</f>
        <v>Скачать индивидуальный QR-код магазина</v>
      </c>
    </row>
    <row r="15861" spans="1:7" x14ac:dyDescent="0.25">
      <c r="A15861" t="s">
        <v>46193</v>
      </c>
      <c r="B15861" t="s">
        <v>48627</v>
      </c>
      <c r="C15861" t="s">
        <v>798</v>
      </c>
      <c r="D15861" t="s">
        <v>799</v>
      </c>
      <c r="E15861" t="s">
        <v>800</v>
      </c>
      <c r="F15861" t="s">
        <v>48628</v>
      </c>
      <c r="G15861" s="2" t="str">
        <f>HYPERLINK("https://probpalata.gov.ru/files/ЮЛ780300308201055.jpeg","Скачать индивидуальный QR-код магазина")</f>
        <v>Скачать индивидуальный QR-код магазина</v>
      </c>
    </row>
    <row r="15862" spans="1:7" x14ac:dyDescent="0.25">
      <c r="A15862" t="s">
        <v>46193</v>
      </c>
      <c r="B15862" t="s">
        <v>48629</v>
      </c>
      <c r="C15862" t="s">
        <v>798</v>
      </c>
      <c r="D15862" t="s">
        <v>799</v>
      </c>
      <c r="E15862" t="s">
        <v>800</v>
      </c>
      <c r="F15862" t="s">
        <v>48630</v>
      </c>
      <c r="G15862" s="2" t="str">
        <f>HYPERLINK("https://probpalata.gov.ru/files/ЮЛ780300308201068.jpeg","Скачать индивидуальный QR-код магазина")</f>
        <v>Скачать индивидуальный QR-код магазина</v>
      </c>
    </row>
    <row r="15863" spans="1:7" x14ac:dyDescent="0.25">
      <c r="A15863" t="s">
        <v>46193</v>
      </c>
      <c r="B15863" t="s">
        <v>48631</v>
      </c>
      <c r="C15863" t="s">
        <v>798</v>
      </c>
      <c r="D15863" t="s">
        <v>799</v>
      </c>
      <c r="E15863" t="s">
        <v>800</v>
      </c>
      <c r="F15863" t="s">
        <v>48632</v>
      </c>
      <c r="G15863" s="2" t="str">
        <f>HYPERLINK("https://probpalata.gov.ru/files/ЮЛ780300308201092.jpeg","Скачать индивидуальный QR-код магазина")</f>
        <v>Скачать индивидуальный QR-код магазина</v>
      </c>
    </row>
    <row r="15864" spans="1:7" x14ac:dyDescent="0.25">
      <c r="A15864" t="s">
        <v>46193</v>
      </c>
      <c r="B15864" t="s">
        <v>48633</v>
      </c>
      <c r="C15864" t="s">
        <v>798</v>
      </c>
      <c r="D15864" t="s">
        <v>799</v>
      </c>
      <c r="E15864" t="s">
        <v>800</v>
      </c>
      <c r="F15864" t="s">
        <v>48634</v>
      </c>
      <c r="G15864" s="2" t="str">
        <f>HYPERLINK("https://probpalata.gov.ru/files/ЮЛ780300308201137.jpeg","Скачать индивидуальный QR-код магазина")</f>
        <v>Скачать индивидуальный QR-код магазина</v>
      </c>
    </row>
    <row r="15865" spans="1:7" x14ac:dyDescent="0.25">
      <c r="A15865" t="s">
        <v>46193</v>
      </c>
      <c r="B15865" t="s">
        <v>48635</v>
      </c>
      <c r="C15865" t="s">
        <v>798</v>
      </c>
      <c r="D15865" t="s">
        <v>799</v>
      </c>
      <c r="E15865" t="s">
        <v>800</v>
      </c>
      <c r="F15865" t="s">
        <v>48636</v>
      </c>
      <c r="G15865" s="2" t="str">
        <f>HYPERLINK("https://probpalata.gov.ru/files/ЮЛ780300308201171.jpeg","Скачать индивидуальный QR-код магазина")</f>
        <v>Скачать индивидуальный QR-код магазина</v>
      </c>
    </row>
    <row r="15866" spans="1:7" x14ac:dyDescent="0.25">
      <c r="A15866" t="s">
        <v>46193</v>
      </c>
      <c r="B15866" t="s">
        <v>48637</v>
      </c>
      <c r="C15866" t="s">
        <v>798</v>
      </c>
      <c r="D15866" t="s">
        <v>799</v>
      </c>
      <c r="E15866" t="s">
        <v>800</v>
      </c>
      <c r="F15866" t="s">
        <v>48638</v>
      </c>
      <c r="G15866" s="2" t="str">
        <f>HYPERLINK("https://probpalata.gov.ru/files/ЮЛ780300308201176.jpeg","Скачать индивидуальный QR-код магазина")</f>
        <v>Скачать индивидуальный QR-код магазина</v>
      </c>
    </row>
    <row r="15867" spans="1:7" x14ac:dyDescent="0.25">
      <c r="A15867" t="s">
        <v>46193</v>
      </c>
      <c r="B15867" t="s">
        <v>48639</v>
      </c>
      <c r="C15867" t="s">
        <v>798</v>
      </c>
      <c r="D15867" t="s">
        <v>799</v>
      </c>
      <c r="E15867" t="s">
        <v>800</v>
      </c>
      <c r="F15867" t="s">
        <v>48640</v>
      </c>
      <c r="G15867" s="2" t="str">
        <f>HYPERLINK("https://probpalata.gov.ru/files/ЮЛ780300308201179.jpeg","Скачать индивидуальный QR-код магазина")</f>
        <v>Скачать индивидуальный QR-код магазина</v>
      </c>
    </row>
    <row r="15868" spans="1:7" x14ac:dyDescent="0.25">
      <c r="A15868" t="s">
        <v>46193</v>
      </c>
      <c r="B15868" t="s">
        <v>48641</v>
      </c>
      <c r="C15868" t="s">
        <v>798</v>
      </c>
      <c r="D15868" t="s">
        <v>799</v>
      </c>
      <c r="E15868" t="s">
        <v>800</v>
      </c>
      <c r="F15868" t="s">
        <v>48642</v>
      </c>
      <c r="G15868" s="2" t="str">
        <f>HYPERLINK("https://probpalata.gov.ru/files/ЮЛ780300308201184.jpeg","Скачать индивидуальный QR-код магазина")</f>
        <v>Скачать индивидуальный QR-код магазина</v>
      </c>
    </row>
    <row r="15869" spans="1:7" x14ac:dyDescent="0.25">
      <c r="A15869" t="s">
        <v>46193</v>
      </c>
      <c r="B15869" t="s">
        <v>48643</v>
      </c>
      <c r="C15869" t="s">
        <v>798</v>
      </c>
      <c r="D15869" t="s">
        <v>799</v>
      </c>
      <c r="E15869" t="s">
        <v>800</v>
      </c>
      <c r="F15869" t="s">
        <v>48644</v>
      </c>
      <c r="G15869" s="2" t="str">
        <f>HYPERLINK("https://probpalata.gov.ru/files/ЮЛ780300308201231.jpeg","Скачать индивидуальный QR-код магазина")</f>
        <v>Скачать индивидуальный QR-код магазина</v>
      </c>
    </row>
    <row r="15870" spans="1:7" x14ac:dyDescent="0.25">
      <c r="A15870" t="s">
        <v>46193</v>
      </c>
      <c r="B15870" t="s">
        <v>48645</v>
      </c>
      <c r="C15870" t="s">
        <v>48646</v>
      </c>
      <c r="D15870" t="s">
        <v>48647</v>
      </c>
      <c r="E15870" t="s">
        <v>48648</v>
      </c>
      <c r="F15870" t="s">
        <v>48649</v>
      </c>
      <c r="G15870" s="2" t="str">
        <f>HYPERLINK("https://probpalata.gov.ru/files/ИП780304006300000.jpeg","Скачать индивидуальный QR-код магазина")</f>
        <v>Скачать индивидуальный QR-код магазина</v>
      </c>
    </row>
    <row r="15871" spans="1:7" x14ac:dyDescent="0.25">
      <c r="A15871" t="s">
        <v>46193</v>
      </c>
      <c r="B15871" t="s">
        <v>48650</v>
      </c>
      <c r="C15871" t="s">
        <v>9483</v>
      </c>
      <c r="D15871" t="s">
        <v>9484</v>
      </c>
      <c r="E15871" t="s">
        <v>9485</v>
      </c>
      <c r="F15871" t="s">
        <v>48651</v>
      </c>
      <c r="G15871" s="2" t="str">
        <f>HYPERLINK("https://probpalata.gov.ru/files/ЮЛ780300379600000.jpeg","Скачать индивидуальный QR-код магазина")</f>
        <v>Скачать индивидуальный QR-код магазина</v>
      </c>
    </row>
    <row r="15872" spans="1:7" x14ac:dyDescent="0.25">
      <c r="A15872" t="s">
        <v>46193</v>
      </c>
      <c r="B15872" t="s">
        <v>48652</v>
      </c>
      <c r="C15872" t="s">
        <v>9483</v>
      </c>
      <c r="D15872" t="s">
        <v>9484</v>
      </c>
      <c r="E15872" t="s">
        <v>9485</v>
      </c>
      <c r="F15872" t="s">
        <v>48653</v>
      </c>
      <c r="G15872" s="2" t="str">
        <f>HYPERLINK("https://probpalata.gov.ru/files/ЮЛ780300379600001.jpeg","Скачать индивидуальный QR-код магазина")</f>
        <v>Скачать индивидуальный QR-код магазина</v>
      </c>
    </row>
    <row r="15873" spans="1:7" x14ac:dyDescent="0.25">
      <c r="A15873" t="s">
        <v>46193</v>
      </c>
      <c r="B15873" t="s">
        <v>48654</v>
      </c>
      <c r="C15873" t="s">
        <v>9483</v>
      </c>
      <c r="D15873" t="s">
        <v>9484</v>
      </c>
      <c r="E15873" t="s">
        <v>9485</v>
      </c>
      <c r="F15873" t="s">
        <v>48655</v>
      </c>
      <c r="G15873" s="2" t="str">
        <f>HYPERLINK("https://probpalata.gov.ru/files/ЮЛ780300379600002.jpeg","Скачать индивидуальный QR-код магазина")</f>
        <v>Скачать индивидуальный QR-код магазина</v>
      </c>
    </row>
    <row r="15874" spans="1:7" x14ac:dyDescent="0.25">
      <c r="A15874" t="s">
        <v>46193</v>
      </c>
      <c r="B15874" t="s">
        <v>48656</v>
      </c>
      <c r="C15874" t="s">
        <v>9483</v>
      </c>
      <c r="D15874" t="s">
        <v>9484</v>
      </c>
      <c r="E15874" t="s">
        <v>9485</v>
      </c>
      <c r="F15874" t="s">
        <v>48657</v>
      </c>
      <c r="G15874" s="2" t="str">
        <f>HYPERLINK("https://probpalata.gov.ru/files/ЮЛ780300379600003.jpeg","Скачать индивидуальный QR-код магазина")</f>
        <v>Скачать индивидуальный QR-код магазина</v>
      </c>
    </row>
    <row r="15875" spans="1:7" x14ac:dyDescent="0.25">
      <c r="A15875" t="s">
        <v>46193</v>
      </c>
      <c r="B15875" t="s">
        <v>48658</v>
      </c>
      <c r="C15875" t="s">
        <v>9483</v>
      </c>
      <c r="D15875" t="s">
        <v>9484</v>
      </c>
      <c r="E15875" t="s">
        <v>9485</v>
      </c>
      <c r="F15875" t="s">
        <v>48659</v>
      </c>
      <c r="G15875" s="2" t="str">
        <f>HYPERLINK("https://probpalata.gov.ru/files/ЮЛ780300379600004.jpeg","Скачать индивидуальный QR-код магазина")</f>
        <v>Скачать индивидуальный QR-код магазина</v>
      </c>
    </row>
    <row r="15876" spans="1:7" x14ac:dyDescent="0.25">
      <c r="A15876" t="s">
        <v>46193</v>
      </c>
      <c r="B15876" t="s">
        <v>48146</v>
      </c>
      <c r="C15876" t="s">
        <v>9483</v>
      </c>
      <c r="D15876" t="s">
        <v>9484</v>
      </c>
      <c r="E15876" t="s">
        <v>9485</v>
      </c>
      <c r="F15876" t="s">
        <v>48660</v>
      </c>
      <c r="G15876" s="2" t="str">
        <f>HYPERLINK("https://probpalata.gov.ru/files/ЮЛ780300379600015.jpeg","Скачать индивидуальный QR-код магазина")</f>
        <v>Скачать индивидуальный QR-код магазина</v>
      </c>
    </row>
    <row r="15877" spans="1:7" x14ac:dyDescent="0.25">
      <c r="A15877" t="s">
        <v>46193</v>
      </c>
      <c r="B15877" t="s">
        <v>48661</v>
      </c>
      <c r="C15877" t="s">
        <v>9483</v>
      </c>
      <c r="D15877" t="s">
        <v>9484</v>
      </c>
      <c r="E15877" t="s">
        <v>9485</v>
      </c>
      <c r="F15877" t="s">
        <v>48662</v>
      </c>
      <c r="G15877" s="2" t="str">
        <f>HYPERLINK("https://probpalata.gov.ru/files/ЮЛ780300379600039.jpeg","Скачать индивидуальный QR-код магазина")</f>
        <v>Скачать индивидуальный QR-код магазина</v>
      </c>
    </row>
    <row r="15878" spans="1:7" x14ac:dyDescent="0.25">
      <c r="A15878" t="s">
        <v>46193</v>
      </c>
      <c r="B15878" t="s">
        <v>48222</v>
      </c>
      <c r="C15878" t="s">
        <v>9483</v>
      </c>
      <c r="D15878" t="s">
        <v>9484</v>
      </c>
      <c r="E15878" t="s">
        <v>9485</v>
      </c>
      <c r="F15878" t="s">
        <v>48663</v>
      </c>
      <c r="G15878" s="2" t="str">
        <f>HYPERLINK("https://probpalata.gov.ru/files/ЮЛ780300379600040.jpeg","Скачать индивидуальный QR-код магазина")</f>
        <v>Скачать индивидуальный QR-код магазина</v>
      </c>
    </row>
    <row r="15879" spans="1:7" x14ac:dyDescent="0.25">
      <c r="A15879" t="s">
        <v>46193</v>
      </c>
      <c r="B15879" t="s">
        <v>48664</v>
      </c>
      <c r="C15879" t="s">
        <v>9483</v>
      </c>
      <c r="D15879" t="s">
        <v>9484</v>
      </c>
      <c r="E15879" t="s">
        <v>9485</v>
      </c>
      <c r="F15879" t="s">
        <v>48665</v>
      </c>
      <c r="G15879" s="2" t="str">
        <f>HYPERLINK("https://probpalata.gov.ru/files/ЮЛ780300379600041.jpeg","Скачать индивидуальный QR-код магазина")</f>
        <v>Скачать индивидуальный QR-код магазина</v>
      </c>
    </row>
    <row r="15880" spans="1:7" x14ac:dyDescent="0.25">
      <c r="A15880" t="s">
        <v>46193</v>
      </c>
      <c r="B15880" t="s">
        <v>48666</v>
      </c>
      <c r="C15880" t="s">
        <v>9483</v>
      </c>
      <c r="D15880" t="s">
        <v>9484</v>
      </c>
      <c r="E15880" t="s">
        <v>9485</v>
      </c>
      <c r="F15880" t="s">
        <v>48667</v>
      </c>
      <c r="G15880" s="2" t="str">
        <f>HYPERLINK("https://probpalata.gov.ru/files/ЮЛ780300379600043.jpeg","Скачать индивидуальный QR-код магазина")</f>
        <v>Скачать индивидуальный QR-код магазина</v>
      </c>
    </row>
    <row r="15881" spans="1:7" x14ac:dyDescent="0.25">
      <c r="A15881" t="s">
        <v>46193</v>
      </c>
      <c r="B15881" t="s">
        <v>48668</v>
      </c>
      <c r="C15881" t="s">
        <v>9483</v>
      </c>
      <c r="D15881" t="s">
        <v>9484</v>
      </c>
      <c r="E15881" t="s">
        <v>9485</v>
      </c>
      <c r="F15881" t="s">
        <v>48669</v>
      </c>
      <c r="G15881" s="2" t="str">
        <f>HYPERLINK("https://probpalata.gov.ru/files/ЮЛ780300379600049.jpeg","Скачать индивидуальный QR-код магазина")</f>
        <v>Скачать индивидуальный QR-код магазина</v>
      </c>
    </row>
    <row r="15882" spans="1:7" x14ac:dyDescent="0.25">
      <c r="A15882" t="s">
        <v>46193</v>
      </c>
      <c r="B15882" t="s">
        <v>48192</v>
      </c>
      <c r="C15882" t="s">
        <v>9483</v>
      </c>
      <c r="D15882" t="s">
        <v>9484</v>
      </c>
      <c r="E15882" t="s">
        <v>9485</v>
      </c>
      <c r="F15882" t="s">
        <v>48670</v>
      </c>
      <c r="G15882" s="2" t="str">
        <f>HYPERLINK("https://probpalata.gov.ru/files/ЮЛ780300379600051.jpeg","Скачать индивидуальный QR-код магазина")</f>
        <v>Скачать индивидуальный QR-код магазина</v>
      </c>
    </row>
    <row r="15883" spans="1:7" x14ac:dyDescent="0.25">
      <c r="A15883" t="s">
        <v>46193</v>
      </c>
      <c r="B15883" t="s">
        <v>48194</v>
      </c>
      <c r="C15883" t="s">
        <v>9483</v>
      </c>
      <c r="D15883" t="s">
        <v>9484</v>
      </c>
      <c r="E15883" t="s">
        <v>9485</v>
      </c>
      <c r="F15883" t="s">
        <v>48671</v>
      </c>
      <c r="G15883" s="2" t="str">
        <f>HYPERLINK("https://probpalata.gov.ru/files/ЮЛ780300379600052.jpeg","Скачать индивидуальный QR-код магазина")</f>
        <v>Скачать индивидуальный QR-код магазина</v>
      </c>
    </row>
    <row r="15884" spans="1:7" x14ac:dyDescent="0.25">
      <c r="A15884" t="s">
        <v>46193</v>
      </c>
      <c r="B15884" t="s">
        <v>48200</v>
      </c>
      <c r="C15884" t="s">
        <v>9483</v>
      </c>
      <c r="D15884" t="s">
        <v>9484</v>
      </c>
      <c r="E15884" t="s">
        <v>9485</v>
      </c>
      <c r="F15884" t="s">
        <v>48672</v>
      </c>
      <c r="G15884" s="2" t="str">
        <f>HYPERLINK("https://probpalata.gov.ru/files/ЮЛ780300379600070.jpeg","Скачать индивидуальный QR-код магазина")</f>
        <v>Скачать индивидуальный QR-код магазина</v>
      </c>
    </row>
    <row r="15885" spans="1:7" x14ac:dyDescent="0.25">
      <c r="A15885" t="s">
        <v>46193</v>
      </c>
      <c r="B15885" t="s">
        <v>48673</v>
      </c>
      <c r="C15885" t="s">
        <v>9483</v>
      </c>
      <c r="D15885" t="s">
        <v>9484</v>
      </c>
      <c r="E15885" t="s">
        <v>9485</v>
      </c>
      <c r="F15885" t="s">
        <v>48674</v>
      </c>
      <c r="G15885" s="2" t="str">
        <f>HYPERLINK("https://probpalata.gov.ru/files/ЮЛ780300379600071.jpeg","Скачать индивидуальный QR-код магазина")</f>
        <v>Скачать индивидуальный QR-код магазина</v>
      </c>
    </row>
    <row r="15886" spans="1:7" x14ac:dyDescent="0.25">
      <c r="A15886" t="s">
        <v>46193</v>
      </c>
      <c r="B15886" t="s">
        <v>48675</v>
      </c>
      <c r="C15886" t="s">
        <v>9483</v>
      </c>
      <c r="D15886" t="s">
        <v>9484</v>
      </c>
      <c r="E15886" t="s">
        <v>9485</v>
      </c>
      <c r="F15886" t="s">
        <v>48676</v>
      </c>
      <c r="G15886" s="2" t="str">
        <f>HYPERLINK("https://probpalata.gov.ru/files/ЮЛ780300379600073.jpeg","Скачать индивидуальный QR-код магазина")</f>
        <v>Скачать индивидуальный QR-код магазина</v>
      </c>
    </row>
    <row r="15887" spans="1:7" x14ac:dyDescent="0.25">
      <c r="A15887" t="s">
        <v>46193</v>
      </c>
      <c r="B15887" t="s">
        <v>48198</v>
      </c>
      <c r="C15887" t="s">
        <v>9483</v>
      </c>
      <c r="D15887" t="s">
        <v>9484</v>
      </c>
      <c r="E15887" t="s">
        <v>9485</v>
      </c>
      <c r="F15887" t="s">
        <v>48677</v>
      </c>
      <c r="G15887" s="2" t="str">
        <f>HYPERLINK("https://probpalata.gov.ru/files/ЮЛ780300379600074.jpeg","Скачать индивидуальный QR-код магазина")</f>
        <v>Скачать индивидуальный QR-код магазина</v>
      </c>
    </row>
    <row r="15888" spans="1:7" x14ac:dyDescent="0.25">
      <c r="A15888" t="s">
        <v>46193</v>
      </c>
      <c r="B15888" t="s">
        <v>48678</v>
      </c>
      <c r="C15888" t="s">
        <v>9483</v>
      </c>
      <c r="D15888" t="s">
        <v>9484</v>
      </c>
      <c r="E15888" t="s">
        <v>9485</v>
      </c>
      <c r="F15888" t="s">
        <v>48679</v>
      </c>
      <c r="G15888" s="2" t="str">
        <f>HYPERLINK("https://probpalata.gov.ru/files/ЮЛ780300379600076.jpeg","Скачать индивидуальный QR-код магазина")</f>
        <v>Скачать индивидуальный QR-код магазина</v>
      </c>
    </row>
    <row r="15889" spans="1:7" x14ac:dyDescent="0.25">
      <c r="A15889" t="s">
        <v>46193</v>
      </c>
      <c r="B15889" t="s">
        <v>48680</v>
      </c>
      <c r="C15889" t="s">
        <v>9483</v>
      </c>
      <c r="D15889" t="s">
        <v>9484</v>
      </c>
      <c r="E15889" t="s">
        <v>9485</v>
      </c>
      <c r="F15889" t="s">
        <v>48681</v>
      </c>
      <c r="G15889" s="2" t="str">
        <f>HYPERLINK("https://probpalata.gov.ru/files/ЮЛ780300379600077.jpeg","Скачать индивидуальный QR-код магазина")</f>
        <v>Скачать индивидуальный QR-код магазина</v>
      </c>
    </row>
    <row r="15890" spans="1:7" x14ac:dyDescent="0.25">
      <c r="A15890" t="s">
        <v>46193</v>
      </c>
      <c r="B15890" t="s">
        <v>48682</v>
      </c>
      <c r="C15890" t="s">
        <v>9483</v>
      </c>
      <c r="D15890" t="s">
        <v>9484</v>
      </c>
      <c r="E15890" t="s">
        <v>9485</v>
      </c>
      <c r="F15890" t="s">
        <v>48683</v>
      </c>
      <c r="G15890" s="2" t="str">
        <f>HYPERLINK("https://probpalata.gov.ru/files/ЮЛ780300379600078.jpeg","Скачать индивидуальный QR-код магазина")</f>
        <v>Скачать индивидуальный QR-код магазина</v>
      </c>
    </row>
    <row r="15891" spans="1:7" x14ac:dyDescent="0.25">
      <c r="A15891" t="s">
        <v>46193</v>
      </c>
      <c r="B15891" t="s">
        <v>48684</v>
      </c>
      <c r="C15891" t="s">
        <v>9483</v>
      </c>
      <c r="D15891" t="s">
        <v>9484</v>
      </c>
      <c r="E15891" t="s">
        <v>9485</v>
      </c>
      <c r="F15891" t="s">
        <v>48685</v>
      </c>
      <c r="G15891" s="2" t="str">
        <f>HYPERLINK("https://probpalata.gov.ru/files/ЮЛ780300379600080.jpeg","Скачать индивидуальный QR-код магазина")</f>
        <v>Скачать индивидуальный QR-код магазина</v>
      </c>
    </row>
    <row r="15892" spans="1:7" x14ac:dyDescent="0.25">
      <c r="A15892" t="s">
        <v>46193</v>
      </c>
      <c r="B15892" t="s">
        <v>48686</v>
      </c>
      <c r="C15892" t="s">
        <v>9483</v>
      </c>
      <c r="D15892" t="s">
        <v>9484</v>
      </c>
      <c r="E15892" t="s">
        <v>9485</v>
      </c>
      <c r="F15892" t="s">
        <v>48687</v>
      </c>
      <c r="G15892" s="2" t="str">
        <f>HYPERLINK("https://probpalata.gov.ru/files/ЮЛ780300379600081.jpeg","Скачать индивидуальный QR-код магазина")</f>
        <v>Скачать индивидуальный QR-код магазина</v>
      </c>
    </row>
    <row r="15893" spans="1:7" x14ac:dyDescent="0.25">
      <c r="A15893" t="s">
        <v>46193</v>
      </c>
      <c r="B15893" t="s">
        <v>48220</v>
      </c>
      <c r="C15893" t="s">
        <v>9483</v>
      </c>
      <c r="D15893" t="s">
        <v>9484</v>
      </c>
      <c r="E15893" t="s">
        <v>9485</v>
      </c>
      <c r="F15893" t="s">
        <v>48688</v>
      </c>
      <c r="G15893" s="2" t="str">
        <f>HYPERLINK("https://probpalata.gov.ru/files/ЮЛ780300379600082.jpeg","Скачать индивидуальный QR-код магазина")</f>
        <v>Скачать индивидуальный QR-код магазина</v>
      </c>
    </row>
    <row r="15894" spans="1:7" x14ac:dyDescent="0.25">
      <c r="A15894" t="s">
        <v>46193</v>
      </c>
      <c r="B15894" t="s">
        <v>48210</v>
      </c>
      <c r="C15894" t="s">
        <v>9483</v>
      </c>
      <c r="D15894" t="s">
        <v>9484</v>
      </c>
      <c r="E15894" t="s">
        <v>9485</v>
      </c>
      <c r="F15894" t="s">
        <v>48689</v>
      </c>
      <c r="G15894" s="2" t="str">
        <f>HYPERLINK("https://probpalata.gov.ru/files/ЮЛ780300379600083.jpeg","Скачать индивидуальный QR-код магазина")</f>
        <v>Скачать индивидуальный QR-код магазина</v>
      </c>
    </row>
    <row r="15895" spans="1:7" x14ac:dyDescent="0.25">
      <c r="A15895" t="s">
        <v>46193</v>
      </c>
      <c r="B15895" t="s">
        <v>48690</v>
      </c>
      <c r="C15895" t="s">
        <v>9483</v>
      </c>
      <c r="D15895" t="s">
        <v>9484</v>
      </c>
      <c r="E15895" t="s">
        <v>9485</v>
      </c>
      <c r="F15895" t="s">
        <v>48691</v>
      </c>
      <c r="G15895" s="2" t="str">
        <f>HYPERLINK("https://probpalata.gov.ru/files/ЮЛ780300379600084.jpeg","Скачать индивидуальный QR-код магазина")</f>
        <v>Скачать индивидуальный QR-код магазина</v>
      </c>
    </row>
    <row r="15896" spans="1:7" x14ac:dyDescent="0.25">
      <c r="A15896" t="s">
        <v>46193</v>
      </c>
      <c r="B15896" t="s">
        <v>48692</v>
      </c>
      <c r="C15896" t="s">
        <v>9483</v>
      </c>
      <c r="D15896" t="s">
        <v>9484</v>
      </c>
      <c r="E15896" t="s">
        <v>9485</v>
      </c>
      <c r="F15896" t="s">
        <v>48693</v>
      </c>
      <c r="G15896" s="2" t="str">
        <f>HYPERLINK("https://probpalata.gov.ru/files/ЮЛ780300379600085.jpeg","Скачать индивидуальный QR-код магазина")</f>
        <v>Скачать индивидуальный QR-код магазина</v>
      </c>
    </row>
    <row r="15897" spans="1:7" x14ac:dyDescent="0.25">
      <c r="A15897" t="s">
        <v>46193</v>
      </c>
      <c r="B15897" t="s">
        <v>48694</v>
      </c>
      <c r="C15897" t="s">
        <v>9483</v>
      </c>
      <c r="D15897" t="s">
        <v>9484</v>
      </c>
      <c r="E15897" t="s">
        <v>9485</v>
      </c>
      <c r="F15897" t="s">
        <v>48695</v>
      </c>
      <c r="G15897" s="2" t="str">
        <f>HYPERLINK("https://probpalata.gov.ru/files/ЮЛ780300379600086.jpeg","Скачать индивидуальный QR-код магазина")</f>
        <v>Скачать индивидуальный QR-код магазина</v>
      </c>
    </row>
    <row r="15898" spans="1:7" x14ac:dyDescent="0.25">
      <c r="A15898" t="s">
        <v>46193</v>
      </c>
      <c r="B15898" t="s">
        <v>48166</v>
      </c>
      <c r="C15898" t="s">
        <v>9483</v>
      </c>
      <c r="D15898" t="s">
        <v>9484</v>
      </c>
      <c r="E15898" t="s">
        <v>9485</v>
      </c>
      <c r="F15898" t="s">
        <v>48696</v>
      </c>
      <c r="G15898" s="2" t="str">
        <f>HYPERLINK("https://probpalata.gov.ru/files/ЮЛ780300379600087.jpeg","Скачать индивидуальный QR-код магазина")</f>
        <v>Скачать индивидуальный QR-код магазина</v>
      </c>
    </row>
    <row r="15899" spans="1:7" x14ac:dyDescent="0.25">
      <c r="A15899" t="s">
        <v>46193</v>
      </c>
      <c r="B15899" t="s">
        <v>48212</v>
      </c>
      <c r="C15899" t="s">
        <v>9483</v>
      </c>
      <c r="D15899" t="s">
        <v>9484</v>
      </c>
      <c r="E15899" t="s">
        <v>9485</v>
      </c>
      <c r="F15899" t="s">
        <v>48697</v>
      </c>
      <c r="G15899" s="2" t="str">
        <f>HYPERLINK("https://probpalata.gov.ru/files/ЮЛ780300379600088.jpeg","Скачать индивидуальный QR-код магазина")</f>
        <v>Скачать индивидуальный QR-код магазина</v>
      </c>
    </row>
    <row r="15900" spans="1:7" x14ac:dyDescent="0.25">
      <c r="A15900" t="s">
        <v>46193</v>
      </c>
      <c r="B15900" t="s">
        <v>48216</v>
      </c>
      <c r="C15900" t="s">
        <v>9483</v>
      </c>
      <c r="D15900" t="s">
        <v>9484</v>
      </c>
      <c r="E15900" t="s">
        <v>9485</v>
      </c>
      <c r="F15900" t="s">
        <v>48698</v>
      </c>
      <c r="G15900" s="2" t="str">
        <f>HYPERLINK("https://probpalata.gov.ru/files/ЮЛ780300379600090.jpeg","Скачать индивидуальный QR-код магазина")</f>
        <v>Скачать индивидуальный QR-код магазина</v>
      </c>
    </row>
    <row r="15901" spans="1:7" x14ac:dyDescent="0.25">
      <c r="A15901" t="s">
        <v>46193</v>
      </c>
      <c r="B15901" t="s">
        <v>48168</v>
      </c>
      <c r="C15901" t="s">
        <v>9483</v>
      </c>
      <c r="D15901" t="s">
        <v>9484</v>
      </c>
      <c r="E15901" t="s">
        <v>9485</v>
      </c>
      <c r="F15901" t="s">
        <v>48699</v>
      </c>
      <c r="G15901" s="2" t="str">
        <f>HYPERLINK("https://probpalata.gov.ru/files/ЮЛ780300379600091.jpeg","Скачать индивидуальный QR-код магазина")</f>
        <v>Скачать индивидуальный QR-код магазина</v>
      </c>
    </row>
    <row r="15902" spans="1:7" x14ac:dyDescent="0.25">
      <c r="A15902" t="s">
        <v>46193</v>
      </c>
      <c r="B15902" t="s">
        <v>48700</v>
      </c>
      <c r="C15902" t="s">
        <v>9483</v>
      </c>
      <c r="D15902" t="s">
        <v>9484</v>
      </c>
      <c r="E15902" t="s">
        <v>9485</v>
      </c>
      <c r="F15902" t="s">
        <v>48701</v>
      </c>
      <c r="G15902" s="2" t="str">
        <f>HYPERLINK("https://probpalata.gov.ru/files/ЮЛ780300379600092.jpeg","Скачать индивидуальный QR-код магазина")</f>
        <v>Скачать индивидуальный QR-код магазина</v>
      </c>
    </row>
    <row r="15903" spans="1:7" x14ac:dyDescent="0.25">
      <c r="A15903" t="s">
        <v>46193</v>
      </c>
      <c r="B15903" t="s">
        <v>48702</v>
      </c>
      <c r="C15903" t="s">
        <v>9483</v>
      </c>
      <c r="D15903" t="s">
        <v>9484</v>
      </c>
      <c r="E15903" t="s">
        <v>9485</v>
      </c>
      <c r="F15903" t="s">
        <v>48703</v>
      </c>
      <c r="G15903" s="2" t="str">
        <f>HYPERLINK("https://probpalata.gov.ru/files/ЮЛ780300379600093.jpeg","Скачать индивидуальный QR-код магазина")</f>
        <v>Скачать индивидуальный QR-код магазина</v>
      </c>
    </row>
    <row r="15904" spans="1:7" x14ac:dyDescent="0.25">
      <c r="A15904" t="s">
        <v>46193</v>
      </c>
      <c r="B15904" t="s">
        <v>48704</v>
      </c>
      <c r="C15904" t="s">
        <v>9483</v>
      </c>
      <c r="D15904" t="s">
        <v>9484</v>
      </c>
      <c r="E15904" t="s">
        <v>9485</v>
      </c>
      <c r="F15904" t="s">
        <v>48705</v>
      </c>
      <c r="G15904" s="2" t="str">
        <f>HYPERLINK("https://probpalata.gov.ru/files/ЮЛ780300379600094.jpeg","Скачать индивидуальный QR-код магазина")</f>
        <v>Скачать индивидуальный QR-код магазина</v>
      </c>
    </row>
    <row r="15905" spans="1:7" x14ac:dyDescent="0.25">
      <c r="A15905" t="s">
        <v>46193</v>
      </c>
      <c r="B15905" t="s">
        <v>48224</v>
      </c>
      <c r="C15905" t="s">
        <v>9483</v>
      </c>
      <c r="D15905" t="s">
        <v>9484</v>
      </c>
      <c r="E15905" t="s">
        <v>9485</v>
      </c>
      <c r="F15905" t="s">
        <v>48706</v>
      </c>
      <c r="G15905" s="2" t="str">
        <f>HYPERLINK("https://probpalata.gov.ru/files/ЮЛ780300379600095.jpeg","Скачать индивидуальный QR-код магазина")</f>
        <v>Скачать индивидуальный QR-код магазина</v>
      </c>
    </row>
    <row r="15906" spans="1:7" x14ac:dyDescent="0.25">
      <c r="A15906" t="s">
        <v>46193</v>
      </c>
      <c r="B15906" t="s">
        <v>48707</v>
      </c>
      <c r="C15906" t="s">
        <v>9483</v>
      </c>
      <c r="D15906" t="s">
        <v>9484</v>
      </c>
      <c r="E15906" t="s">
        <v>9485</v>
      </c>
      <c r="F15906" t="s">
        <v>48708</v>
      </c>
      <c r="G15906" s="2" t="str">
        <f>HYPERLINK("https://probpalata.gov.ru/files/ЮЛ780300379600096.jpeg","Скачать индивидуальный QR-код магазина")</f>
        <v>Скачать индивидуальный QR-код магазина</v>
      </c>
    </row>
    <row r="15907" spans="1:7" x14ac:dyDescent="0.25">
      <c r="A15907" t="s">
        <v>46193</v>
      </c>
      <c r="B15907" t="s">
        <v>48709</v>
      </c>
      <c r="C15907" t="s">
        <v>9483</v>
      </c>
      <c r="D15907" t="s">
        <v>9484</v>
      </c>
      <c r="E15907" t="s">
        <v>9485</v>
      </c>
      <c r="F15907" t="s">
        <v>48710</v>
      </c>
      <c r="G15907" s="2" t="str">
        <f>HYPERLINK("https://probpalata.gov.ru/files/ЮЛ780300379600097.jpeg","Скачать индивидуальный QR-код магазина")</f>
        <v>Скачать индивидуальный QR-код магазина</v>
      </c>
    </row>
    <row r="15908" spans="1:7" x14ac:dyDescent="0.25">
      <c r="A15908" t="s">
        <v>46193</v>
      </c>
      <c r="B15908" t="s">
        <v>48228</v>
      </c>
      <c r="C15908" t="s">
        <v>9483</v>
      </c>
      <c r="D15908" t="s">
        <v>9484</v>
      </c>
      <c r="E15908" t="s">
        <v>9485</v>
      </c>
      <c r="F15908" t="s">
        <v>48711</v>
      </c>
      <c r="G15908" s="2" t="str">
        <f>HYPERLINK("https://probpalata.gov.ru/files/ЮЛ780300379600100.jpeg","Скачать индивидуальный QR-код магазина")</f>
        <v>Скачать индивидуальный QR-код магазина</v>
      </c>
    </row>
    <row r="15909" spans="1:7" x14ac:dyDescent="0.25">
      <c r="A15909" t="s">
        <v>46193</v>
      </c>
      <c r="B15909" t="s">
        <v>48712</v>
      </c>
      <c r="C15909" t="s">
        <v>9483</v>
      </c>
      <c r="D15909" t="s">
        <v>9484</v>
      </c>
      <c r="E15909" t="s">
        <v>9485</v>
      </c>
      <c r="F15909" t="s">
        <v>48713</v>
      </c>
      <c r="G15909" s="2" t="str">
        <f>HYPERLINK("https://probpalata.gov.ru/files/ЮЛ780300379600104.jpeg","Скачать индивидуальный QR-код магазина")</f>
        <v>Скачать индивидуальный QR-код магазина</v>
      </c>
    </row>
    <row r="15910" spans="1:7" x14ac:dyDescent="0.25">
      <c r="A15910" t="s">
        <v>46193</v>
      </c>
      <c r="B15910" t="s">
        <v>48182</v>
      </c>
      <c r="C15910" t="s">
        <v>9483</v>
      </c>
      <c r="D15910" t="s">
        <v>9484</v>
      </c>
      <c r="E15910" t="s">
        <v>9485</v>
      </c>
      <c r="F15910" t="s">
        <v>48714</v>
      </c>
      <c r="G15910" s="2" t="str">
        <f>HYPERLINK("https://probpalata.gov.ru/files/ЮЛ780300379600105.jpeg","Скачать индивидуальный QR-код магазина")</f>
        <v>Скачать индивидуальный QR-код магазина</v>
      </c>
    </row>
    <row r="15911" spans="1:7" x14ac:dyDescent="0.25">
      <c r="A15911" t="s">
        <v>46193</v>
      </c>
      <c r="B15911" t="s">
        <v>48715</v>
      </c>
      <c r="C15911" t="s">
        <v>9483</v>
      </c>
      <c r="D15911" t="s">
        <v>9484</v>
      </c>
      <c r="E15911" t="s">
        <v>9485</v>
      </c>
      <c r="F15911" t="s">
        <v>48716</v>
      </c>
      <c r="G15911" s="2" t="str">
        <f>HYPERLINK("https://probpalata.gov.ru/files/ЮЛ780300379600107.jpeg","Скачать индивидуальный QR-код магазина")</f>
        <v>Скачать индивидуальный QR-код магазина</v>
      </c>
    </row>
    <row r="15912" spans="1:7" x14ac:dyDescent="0.25">
      <c r="A15912" t="s">
        <v>46193</v>
      </c>
      <c r="B15912" t="s">
        <v>48717</v>
      </c>
      <c r="C15912" t="s">
        <v>9483</v>
      </c>
      <c r="D15912" t="s">
        <v>9484</v>
      </c>
      <c r="E15912" t="s">
        <v>9485</v>
      </c>
      <c r="F15912" t="s">
        <v>48718</v>
      </c>
      <c r="G15912" s="2" t="str">
        <f>HYPERLINK("https://probpalata.gov.ru/files/ЮЛ780300379600108.jpeg","Скачать индивидуальный QR-код магазина")</f>
        <v>Скачать индивидуальный QR-код магазина</v>
      </c>
    </row>
    <row r="15913" spans="1:7" x14ac:dyDescent="0.25">
      <c r="A15913" t="s">
        <v>46193</v>
      </c>
      <c r="B15913" t="s">
        <v>48186</v>
      </c>
      <c r="C15913" t="s">
        <v>9483</v>
      </c>
      <c r="D15913" t="s">
        <v>9484</v>
      </c>
      <c r="E15913" t="s">
        <v>9485</v>
      </c>
      <c r="F15913" t="s">
        <v>48719</v>
      </c>
      <c r="G15913" s="2" t="str">
        <f>HYPERLINK("https://probpalata.gov.ru/files/ЮЛ780300379600109.jpeg","Скачать индивидуальный QR-код магазина")</f>
        <v>Скачать индивидуальный QR-код магазина</v>
      </c>
    </row>
    <row r="15914" spans="1:7" x14ac:dyDescent="0.25">
      <c r="A15914" t="s">
        <v>46193</v>
      </c>
      <c r="B15914" t="s">
        <v>48720</v>
      </c>
      <c r="C15914" t="s">
        <v>9483</v>
      </c>
      <c r="D15914" t="s">
        <v>9484</v>
      </c>
      <c r="E15914" t="s">
        <v>9485</v>
      </c>
      <c r="F15914" t="s">
        <v>48721</v>
      </c>
      <c r="G15914" s="2" t="str">
        <f>HYPERLINK("https://probpalata.gov.ru/files/ЮЛ780300379600110.jpeg","Скачать индивидуальный QR-код магазина")</f>
        <v>Скачать индивидуальный QR-код магазина</v>
      </c>
    </row>
    <row r="15915" spans="1:7" x14ac:dyDescent="0.25">
      <c r="A15915" t="s">
        <v>46193</v>
      </c>
      <c r="B15915" t="s">
        <v>48722</v>
      </c>
      <c r="C15915" t="s">
        <v>9483</v>
      </c>
      <c r="D15915" t="s">
        <v>9484</v>
      </c>
      <c r="E15915" t="s">
        <v>9485</v>
      </c>
      <c r="F15915" t="s">
        <v>48723</v>
      </c>
      <c r="G15915" s="2" t="str">
        <f>HYPERLINK("https://probpalata.gov.ru/files/ЮЛ780300379600112.jpeg","Скачать индивидуальный QR-код магазина")</f>
        <v>Скачать индивидуальный QR-код магазина</v>
      </c>
    </row>
    <row r="15916" spans="1:7" x14ac:dyDescent="0.25">
      <c r="A15916" t="s">
        <v>46193</v>
      </c>
      <c r="B15916" t="s">
        <v>48724</v>
      </c>
      <c r="C15916" t="s">
        <v>9483</v>
      </c>
      <c r="D15916" t="s">
        <v>9484</v>
      </c>
      <c r="E15916" t="s">
        <v>9485</v>
      </c>
      <c r="F15916" t="s">
        <v>48725</v>
      </c>
      <c r="G15916" s="2" t="str">
        <f>HYPERLINK("https://probpalata.gov.ru/files/ЮЛ780300379600114.jpeg","Скачать индивидуальный QR-код магазина")</f>
        <v>Скачать индивидуальный QR-код магазина</v>
      </c>
    </row>
    <row r="15917" spans="1:7" x14ac:dyDescent="0.25">
      <c r="A15917" t="s">
        <v>46193</v>
      </c>
      <c r="B15917" t="s">
        <v>48726</v>
      </c>
      <c r="C15917" t="s">
        <v>9483</v>
      </c>
      <c r="D15917" t="s">
        <v>9484</v>
      </c>
      <c r="E15917" t="s">
        <v>9485</v>
      </c>
      <c r="F15917" t="s">
        <v>48727</v>
      </c>
      <c r="G15917" s="2" t="str">
        <f>HYPERLINK("https://probpalata.gov.ru/files/ЮЛ780300379600121.jpeg","Скачать индивидуальный QR-код магазина")</f>
        <v>Скачать индивидуальный QR-код магазина</v>
      </c>
    </row>
    <row r="15918" spans="1:7" x14ac:dyDescent="0.25">
      <c r="A15918" t="s">
        <v>46193</v>
      </c>
      <c r="B15918" t="s">
        <v>48232</v>
      </c>
      <c r="C15918" t="s">
        <v>9483</v>
      </c>
      <c r="D15918" t="s">
        <v>9484</v>
      </c>
      <c r="E15918" t="s">
        <v>9485</v>
      </c>
      <c r="F15918" t="s">
        <v>48728</v>
      </c>
      <c r="G15918" s="2" t="str">
        <f>HYPERLINK("https://probpalata.gov.ru/files/ЮЛ780300379600122.jpeg","Скачать индивидуальный QR-код магазина")</f>
        <v>Скачать индивидуальный QR-код магазина</v>
      </c>
    </row>
    <row r="15919" spans="1:7" x14ac:dyDescent="0.25">
      <c r="A15919" t="s">
        <v>46193</v>
      </c>
      <c r="B15919" t="s">
        <v>48729</v>
      </c>
      <c r="C15919" t="s">
        <v>9483</v>
      </c>
      <c r="D15919" t="s">
        <v>9484</v>
      </c>
      <c r="E15919" t="s">
        <v>9485</v>
      </c>
      <c r="F15919" t="s">
        <v>48730</v>
      </c>
      <c r="G15919" s="2" t="str">
        <f>HYPERLINK("https://probpalata.gov.ru/files/ЮЛ780300379600126.jpeg","Скачать индивидуальный QR-код магазина")</f>
        <v>Скачать индивидуальный QR-код магазина</v>
      </c>
    </row>
    <row r="15920" spans="1:7" x14ac:dyDescent="0.25">
      <c r="A15920" t="s">
        <v>46193</v>
      </c>
      <c r="B15920" t="s">
        <v>48731</v>
      </c>
      <c r="C15920" t="s">
        <v>9483</v>
      </c>
      <c r="D15920" t="s">
        <v>9484</v>
      </c>
      <c r="E15920" t="s">
        <v>9485</v>
      </c>
      <c r="F15920" t="s">
        <v>48732</v>
      </c>
      <c r="G15920" s="2" t="str">
        <f>HYPERLINK("https://probpalata.gov.ru/files/ЮЛ780300379600129.jpeg","Скачать индивидуальный QR-код магазина")</f>
        <v>Скачать индивидуальный QR-код магазина</v>
      </c>
    </row>
    <row r="15921" spans="1:7" x14ac:dyDescent="0.25">
      <c r="A15921" t="s">
        <v>46193</v>
      </c>
      <c r="B15921" t="s">
        <v>48236</v>
      </c>
      <c r="C15921" t="s">
        <v>9483</v>
      </c>
      <c r="D15921" t="s">
        <v>9484</v>
      </c>
      <c r="E15921" t="s">
        <v>9485</v>
      </c>
      <c r="F15921" t="s">
        <v>48733</v>
      </c>
      <c r="G15921" s="2" t="str">
        <f>HYPERLINK("https://probpalata.gov.ru/files/ЮЛ780300379600130.jpeg","Скачать индивидуальный QR-код магазина")</f>
        <v>Скачать индивидуальный QR-код магазина</v>
      </c>
    </row>
    <row r="15922" spans="1:7" x14ac:dyDescent="0.25">
      <c r="A15922" t="s">
        <v>46193</v>
      </c>
      <c r="B15922" t="s">
        <v>48734</v>
      </c>
      <c r="C15922" t="s">
        <v>9483</v>
      </c>
      <c r="D15922" t="s">
        <v>9484</v>
      </c>
      <c r="E15922" t="s">
        <v>9485</v>
      </c>
      <c r="F15922" t="s">
        <v>48735</v>
      </c>
      <c r="G15922" s="2" t="str">
        <f>HYPERLINK("https://probpalata.gov.ru/files/ЮЛ780300379600133.jpeg","Скачать индивидуальный QR-код магазина")</f>
        <v>Скачать индивидуальный QR-код магазина</v>
      </c>
    </row>
    <row r="15923" spans="1:7" x14ac:dyDescent="0.25">
      <c r="A15923" t="s">
        <v>46193</v>
      </c>
      <c r="B15923" t="s">
        <v>48736</v>
      </c>
      <c r="C15923" t="s">
        <v>9483</v>
      </c>
      <c r="D15923" t="s">
        <v>9484</v>
      </c>
      <c r="E15923" t="s">
        <v>9485</v>
      </c>
      <c r="F15923" t="s">
        <v>48737</v>
      </c>
      <c r="G15923" s="2" t="str">
        <f>HYPERLINK("https://probpalata.gov.ru/files/ЮЛ780300379600134.jpeg","Скачать индивидуальный QR-код магазина")</f>
        <v>Скачать индивидуальный QR-код магазина</v>
      </c>
    </row>
    <row r="15924" spans="1:7" x14ac:dyDescent="0.25">
      <c r="A15924" t="s">
        <v>46193</v>
      </c>
      <c r="B15924" t="s">
        <v>48240</v>
      </c>
      <c r="C15924" t="s">
        <v>9483</v>
      </c>
      <c r="D15924" t="s">
        <v>9484</v>
      </c>
      <c r="E15924" t="s">
        <v>9485</v>
      </c>
      <c r="F15924" t="s">
        <v>48738</v>
      </c>
      <c r="G15924" s="2" t="str">
        <f>HYPERLINK("https://probpalata.gov.ru/files/ЮЛ780300379600143.jpeg","Скачать индивидуальный QR-код магазина")</f>
        <v>Скачать индивидуальный QR-код магазина</v>
      </c>
    </row>
    <row r="15925" spans="1:7" x14ac:dyDescent="0.25">
      <c r="A15925" t="s">
        <v>46193</v>
      </c>
      <c r="B15925" t="s">
        <v>48739</v>
      </c>
      <c r="C15925" t="s">
        <v>823</v>
      </c>
      <c r="D15925" t="s">
        <v>824</v>
      </c>
      <c r="E15925" t="s">
        <v>825</v>
      </c>
      <c r="F15925" t="s">
        <v>48740</v>
      </c>
      <c r="G15925" s="2" t="str">
        <f>HYPERLINK("https://probpalata.gov.ru/files/ЮЛ780300363500000.jpeg","Скачать индивидуальный QR-код магазина")</f>
        <v>Скачать индивидуальный QR-код магазина</v>
      </c>
    </row>
    <row r="15926" spans="1:7" x14ac:dyDescent="0.25">
      <c r="A15926" t="s">
        <v>46193</v>
      </c>
      <c r="B15926" t="s">
        <v>48741</v>
      </c>
      <c r="C15926" t="s">
        <v>823</v>
      </c>
      <c r="D15926" t="s">
        <v>824</v>
      </c>
      <c r="E15926" t="s">
        <v>825</v>
      </c>
      <c r="F15926" t="s">
        <v>48742</v>
      </c>
      <c r="G15926" s="2" t="str">
        <f>HYPERLINK("https://probpalata.gov.ru/files/ЮЛ780300363500345.jpeg","Скачать индивидуальный QR-код магазина")</f>
        <v>Скачать индивидуальный QR-код магазина</v>
      </c>
    </row>
    <row r="15927" spans="1:7" x14ac:dyDescent="0.25">
      <c r="A15927" t="s">
        <v>46193</v>
      </c>
      <c r="B15927" t="s">
        <v>48743</v>
      </c>
      <c r="C15927" t="s">
        <v>823</v>
      </c>
      <c r="D15927" t="s">
        <v>824</v>
      </c>
      <c r="E15927" t="s">
        <v>825</v>
      </c>
      <c r="F15927" t="s">
        <v>48744</v>
      </c>
      <c r="G15927" s="2" t="str">
        <f>HYPERLINK("https://probpalata.gov.ru/files/ЮЛ780300363500346.jpeg","Скачать индивидуальный QR-код магазина")</f>
        <v>Скачать индивидуальный QR-код магазина</v>
      </c>
    </row>
    <row r="15928" spans="1:7" x14ac:dyDescent="0.25">
      <c r="A15928" t="s">
        <v>46193</v>
      </c>
      <c r="B15928" t="s">
        <v>48745</v>
      </c>
      <c r="C15928" t="s">
        <v>823</v>
      </c>
      <c r="D15928" t="s">
        <v>824</v>
      </c>
      <c r="E15928" t="s">
        <v>825</v>
      </c>
      <c r="F15928" t="s">
        <v>48746</v>
      </c>
      <c r="G15928" s="2" t="str">
        <f>HYPERLINK("https://probpalata.gov.ru/files/ЮЛ780300363500347.jpeg","Скачать индивидуальный QR-код магазина")</f>
        <v>Скачать индивидуальный QR-код магазина</v>
      </c>
    </row>
    <row r="15929" spans="1:7" x14ac:dyDescent="0.25">
      <c r="A15929" t="s">
        <v>46193</v>
      </c>
      <c r="B15929" t="s">
        <v>48700</v>
      </c>
      <c r="C15929" t="s">
        <v>823</v>
      </c>
      <c r="D15929" t="s">
        <v>824</v>
      </c>
      <c r="E15929" t="s">
        <v>825</v>
      </c>
      <c r="F15929" t="s">
        <v>48747</v>
      </c>
      <c r="G15929" s="2" t="str">
        <f>HYPERLINK("https://probpalata.gov.ru/files/ЮЛ780300363500350.jpeg","Скачать индивидуальный QR-код магазина")</f>
        <v>Скачать индивидуальный QR-код магазина</v>
      </c>
    </row>
    <row r="15930" spans="1:7" x14ac:dyDescent="0.25">
      <c r="A15930" t="s">
        <v>46193</v>
      </c>
      <c r="B15930" t="s">
        <v>48748</v>
      </c>
      <c r="C15930" t="s">
        <v>823</v>
      </c>
      <c r="D15930" t="s">
        <v>824</v>
      </c>
      <c r="E15930" t="s">
        <v>825</v>
      </c>
      <c r="F15930" t="s">
        <v>48749</v>
      </c>
      <c r="G15930" s="2" t="str">
        <f>HYPERLINK("https://probpalata.gov.ru/files/ЮЛ780300363500351.jpeg","Скачать индивидуальный QR-код магазина")</f>
        <v>Скачать индивидуальный QR-код магазина</v>
      </c>
    </row>
    <row r="15931" spans="1:7" x14ac:dyDescent="0.25">
      <c r="A15931" t="s">
        <v>46193</v>
      </c>
      <c r="B15931" t="s">
        <v>48750</v>
      </c>
      <c r="C15931" t="s">
        <v>823</v>
      </c>
      <c r="D15931" t="s">
        <v>824</v>
      </c>
      <c r="E15931" t="s">
        <v>825</v>
      </c>
      <c r="F15931" t="s">
        <v>48751</v>
      </c>
      <c r="G15931" s="2" t="str">
        <f>HYPERLINK("https://probpalata.gov.ru/files/ЮЛ780300363500352.jpeg","Скачать индивидуальный QR-код магазина")</f>
        <v>Скачать индивидуальный QR-код магазина</v>
      </c>
    </row>
    <row r="15932" spans="1:7" x14ac:dyDescent="0.25">
      <c r="A15932" t="s">
        <v>46193</v>
      </c>
      <c r="B15932" t="s">
        <v>48752</v>
      </c>
      <c r="C15932" t="s">
        <v>823</v>
      </c>
      <c r="D15932" t="s">
        <v>824</v>
      </c>
      <c r="E15932" t="s">
        <v>825</v>
      </c>
      <c r="F15932" t="s">
        <v>48753</v>
      </c>
      <c r="G15932" s="2" t="str">
        <f>HYPERLINK("https://probpalata.gov.ru/files/ЮЛ780300363500353.jpeg","Скачать индивидуальный QR-код магазина")</f>
        <v>Скачать индивидуальный QR-код магазина</v>
      </c>
    </row>
    <row r="15933" spans="1:7" x14ac:dyDescent="0.25">
      <c r="A15933" t="s">
        <v>46193</v>
      </c>
      <c r="B15933" t="s">
        <v>48216</v>
      </c>
      <c r="C15933" t="s">
        <v>823</v>
      </c>
      <c r="D15933" t="s">
        <v>824</v>
      </c>
      <c r="E15933" t="s">
        <v>825</v>
      </c>
      <c r="F15933" t="s">
        <v>48754</v>
      </c>
      <c r="G15933" s="2" t="str">
        <f>HYPERLINK("https://probpalata.gov.ru/files/ЮЛ780300363500354.jpeg","Скачать индивидуальный QR-код магазина")</f>
        <v>Скачать индивидуальный QR-код магазина</v>
      </c>
    </row>
    <row r="15934" spans="1:7" x14ac:dyDescent="0.25">
      <c r="A15934" t="s">
        <v>46193</v>
      </c>
      <c r="B15934" t="s">
        <v>48755</v>
      </c>
      <c r="C15934" t="s">
        <v>823</v>
      </c>
      <c r="D15934" t="s">
        <v>824</v>
      </c>
      <c r="E15934" t="s">
        <v>825</v>
      </c>
      <c r="F15934" t="s">
        <v>48756</v>
      </c>
      <c r="G15934" s="2" t="str">
        <f>HYPERLINK("https://probpalata.gov.ru/files/ЮЛ780300363500356.jpeg","Скачать индивидуальный QR-код магазина")</f>
        <v>Скачать индивидуальный QR-код магазина</v>
      </c>
    </row>
    <row r="15935" spans="1:7" x14ac:dyDescent="0.25">
      <c r="A15935" t="s">
        <v>46193</v>
      </c>
      <c r="B15935" t="s">
        <v>48757</v>
      </c>
      <c r="C15935" t="s">
        <v>823</v>
      </c>
      <c r="D15935" t="s">
        <v>824</v>
      </c>
      <c r="E15935" t="s">
        <v>825</v>
      </c>
      <c r="F15935" t="s">
        <v>48758</v>
      </c>
      <c r="G15935" s="2" t="str">
        <f>HYPERLINK("https://probpalata.gov.ru/files/ЮЛ780300363500357.jpeg","Скачать индивидуальный QR-код магазина")</f>
        <v>Скачать индивидуальный QR-код магазина</v>
      </c>
    </row>
    <row r="15936" spans="1:7" x14ac:dyDescent="0.25">
      <c r="A15936" t="s">
        <v>46193</v>
      </c>
      <c r="B15936" t="s">
        <v>48210</v>
      </c>
      <c r="C15936" t="s">
        <v>823</v>
      </c>
      <c r="D15936" t="s">
        <v>824</v>
      </c>
      <c r="E15936" t="s">
        <v>825</v>
      </c>
      <c r="F15936" t="s">
        <v>48759</v>
      </c>
      <c r="G15936" s="2" t="str">
        <f>HYPERLINK("https://probpalata.gov.ru/files/ЮЛ780300363500358.jpeg","Скачать индивидуальный QR-код магазина")</f>
        <v>Скачать индивидуальный QR-код магазина</v>
      </c>
    </row>
    <row r="15937" spans="1:7" x14ac:dyDescent="0.25">
      <c r="A15937" t="s">
        <v>46193</v>
      </c>
      <c r="B15937" t="s">
        <v>48760</v>
      </c>
      <c r="C15937" t="s">
        <v>823</v>
      </c>
      <c r="D15937" t="s">
        <v>824</v>
      </c>
      <c r="E15937" t="s">
        <v>825</v>
      </c>
      <c r="F15937" t="s">
        <v>48761</v>
      </c>
      <c r="G15937" s="2" t="str">
        <f>HYPERLINK("https://probpalata.gov.ru/files/ЮЛ780300363500359.jpeg","Скачать индивидуальный QR-код магазина")</f>
        <v>Скачать индивидуальный QR-код магазина</v>
      </c>
    </row>
    <row r="15938" spans="1:7" x14ac:dyDescent="0.25">
      <c r="A15938" t="s">
        <v>46193</v>
      </c>
      <c r="B15938" t="s">
        <v>48180</v>
      </c>
      <c r="C15938" t="s">
        <v>823</v>
      </c>
      <c r="D15938" t="s">
        <v>824</v>
      </c>
      <c r="E15938" t="s">
        <v>825</v>
      </c>
      <c r="F15938" t="s">
        <v>48762</v>
      </c>
      <c r="G15938" s="2" t="str">
        <f>HYPERLINK("https://probpalata.gov.ru/files/ЮЛ780300363500360.jpeg","Скачать индивидуальный QR-код магазина")</f>
        <v>Скачать индивидуальный QR-код магазина</v>
      </c>
    </row>
    <row r="15939" spans="1:7" x14ac:dyDescent="0.25">
      <c r="A15939" t="s">
        <v>46193</v>
      </c>
      <c r="B15939" t="s">
        <v>48763</v>
      </c>
      <c r="C15939" t="s">
        <v>823</v>
      </c>
      <c r="D15939" t="s">
        <v>824</v>
      </c>
      <c r="E15939" t="s">
        <v>825</v>
      </c>
      <c r="F15939" t="s">
        <v>48764</v>
      </c>
      <c r="G15939" s="2" t="str">
        <f>HYPERLINK("https://probpalata.gov.ru/files/ЮЛ780300363500361.jpeg","Скачать индивидуальный QR-код магазина")</f>
        <v>Скачать индивидуальный QR-код магазина</v>
      </c>
    </row>
    <row r="15940" spans="1:7" x14ac:dyDescent="0.25">
      <c r="A15940" t="s">
        <v>46193</v>
      </c>
      <c r="B15940" t="s">
        <v>48765</v>
      </c>
      <c r="C15940" t="s">
        <v>823</v>
      </c>
      <c r="D15940" t="s">
        <v>824</v>
      </c>
      <c r="E15940" t="s">
        <v>825</v>
      </c>
      <c r="F15940" t="s">
        <v>48766</v>
      </c>
      <c r="G15940" s="2" t="str">
        <f>HYPERLINK("https://probpalata.gov.ru/files/ЮЛ780300363500362.jpeg","Скачать индивидуальный QR-код магазина")</f>
        <v>Скачать индивидуальный QR-код магазина</v>
      </c>
    </row>
    <row r="15941" spans="1:7" x14ac:dyDescent="0.25">
      <c r="A15941" t="s">
        <v>46193</v>
      </c>
      <c r="B15941" t="s">
        <v>48729</v>
      </c>
      <c r="C15941" t="s">
        <v>823</v>
      </c>
      <c r="D15941" t="s">
        <v>824</v>
      </c>
      <c r="E15941" t="s">
        <v>825</v>
      </c>
      <c r="F15941" t="s">
        <v>48767</v>
      </c>
      <c r="G15941" s="2" t="str">
        <f>HYPERLINK("https://probpalata.gov.ru/files/ЮЛ780300363500363.jpeg","Скачать индивидуальный QR-код магазина")</f>
        <v>Скачать индивидуальный QR-код магазина</v>
      </c>
    </row>
    <row r="15942" spans="1:7" x14ac:dyDescent="0.25">
      <c r="A15942" t="s">
        <v>46193</v>
      </c>
      <c r="B15942" t="s">
        <v>48224</v>
      </c>
      <c r="C15942" t="s">
        <v>823</v>
      </c>
      <c r="D15942" t="s">
        <v>824</v>
      </c>
      <c r="E15942" t="s">
        <v>825</v>
      </c>
      <c r="F15942" t="s">
        <v>48768</v>
      </c>
      <c r="G15942" s="2" t="str">
        <f>HYPERLINK("https://probpalata.gov.ru/files/ЮЛ780300363500364.jpeg","Скачать индивидуальный QR-код магазина")</f>
        <v>Скачать индивидуальный QR-код магазина</v>
      </c>
    </row>
    <row r="15943" spans="1:7" x14ac:dyDescent="0.25">
      <c r="A15943" t="s">
        <v>46193</v>
      </c>
      <c r="B15943" t="s">
        <v>48228</v>
      </c>
      <c r="C15943" t="s">
        <v>823</v>
      </c>
      <c r="D15943" t="s">
        <v>824</v>
      </c>
      <c r="E15943" t="s">
        <v>825</v>
      </c>
      <c r="F15943" t="s">
        <v>48769</v>
      </c>
      <c r="G15943" s="2" t="str">
        <f>HYPERLINK("https://probpalata.gov.ru/files/ЮЛ780300363500365.jpeg","Скачать индивидуальный QR-код магазина")</f>
        <v>Скачать индивидуальный QR-код магазина</v>
      </c>
    </row>
    <row r="15944" spans="1:7" x14ac:dyDescent="0.25">
      <c r="A15944" t="s">
        <v>46193</v>
      </c>
      <c r="B15944" t="s">
        <v>48770</v>
      </c>
      <c r="C15944" t="s">
        <v>823</v>
      </c>
      <c r="D15944" t="s">
        <v>824</v>
      </c>
      <c r="E15944" t="s">
        <v>825</v>
      </c>
      <c r="F15944" t="s">
        <v>48771</v>
      </c>
      <c r="G15944" s="2" t="str">
        <f>HYPERLINK("https://probpalata.gov.ru/files/ЮЛ780300363500366.jpeg","Скачать индивидуальный QR-код магазина")</f>
        <v>Скачать индивидуальный QR-код магазина</v>
      </c>
    </row>
    <row r="15945" spans="1:7" x14ac:dyDescent="0.25">
      <c r="A15945" t="s">
        <v>46193</v>
      </c>
      <c r="B15945" t="s">
        <v>48772</v>
      </c>
      <c r="C15945" t="s">
        <v>17916</v>
      </c>
      <c r="D15945" t="s">
        <v>48773</v>
      </c>
      <c r="E15945" t="s">
        <v>48774</v>
      </c>
      <c r="F15945" t="s">
        <v>48775</v>
      </c>
      <c r="G15945" s="2" t="str">
        <f>HYPERLINK("https://probpalata.gov.ru/files/ЮЛ780301359600000.jpeg","Скачать индивидуальный QR-код магазина")</f>
        <v>Скачать индивидуальный QR-код магазина</v>
      </c>
    </row>
    <row r="15946" spans="1:7" x14ac:dyDescent="0.25">
      <c r="A15946" t="s">
        <v>46193</v>
      </c>
      <c r="B15946" t="s">
        <v>48776</v>
      </c>
      <c r="C15946" t="s">
        <v>17916</v>
      </c>
      <c r="D15946" t="s">
        <v>48773</v>
      </c>
      <c r="E15946" t="s">
        <v>48774</v>
      </c>
      <c r="F15946" t="s">
        <v>48777</v>
      </c>
      <c r="G15946" s="2" t="str">
        <f>HYPERLINK("https://probpalata.gov.ru/files/ЮЛ780301359600001.jpeg","Скачать индивидуальный QR-код магазина")</f>
        <v>Скачать индивидуальный QR-код магазина</v>
      </c>
    </row>
    <row r="15947" spans="1:7" x14ac:dyDescent="0.25">
      <c r="A15947" t="s">
        <v>46193</v>
      </c>
      <c r="B15947" t="s">
        <v>48778</v>
      </c>
      <c r="C15947" t="s">
        <v>48779</v>
      </c>
      <c r="D15947" t="s">
        <v>48780</v>
      </c>
      <c r="E15947" t="s">
        <v>48781</v>
      </c>
      <c r="F15947" t="s">
        <v>48782</v>
      </c>
      <c r="G15947" s="2" t="str">
        <f>HYPERLINK("https://probpalata.gov.ru/files/ЮЛ780300606400000.jpeg","Скачать индивидуальный QR-код магазина")</f>
        <v>Скачать индивидуальный QR-код магазина</v>
      </c>
    </row>
    <row r="15948" spans="1:7" x14ac:dyDescent="0.25">
      <c r="A15948" t="s">
        <v>46193</v>
      </c>
      <c r="B15948" t="s">
        <v>48783</v>
      </c>
      <c r="C15948" t="s">
        <v>48784</v>
      </c>
      <c r="D15948" t="s">
        <v>48785</v>
      </c>
      <c r="E15948" t="s">
        <v>48786</v>
      </c>
      <c r="F15948" t="s">
        <v>48787</v>
      </c>
      <c r="G15948" s="2" t="str">
        <f>HYPERLINK("https://probpalata.gov.ru/files/ЮЛ780300848900000.jpeg","Скачать индивидуальный QR-код магазина")</f>
        <v>Скачать индивидуальный QR-код магазина</v>
      </c>
    </row>
    <row r="15949" spans="1:7" x14ac:dyDescent="0.25">
      <c r="A15949" t="s">
        <v>46193</v>
      </c>
      <c r="B15949" t="s">
        <v>48788</v>
      </c>
      <c r="C15949" t="s">
        <v>48789</v>
      </c>
      <c r="D15949" t="s">
        <v>48790</v>
      </c>
      <c r="E15949" t="s">
        <v>48791</v>
      </c>
      <c r="F15949" t="s">
        <v>48792</v>
      </c>
      <c r="G15949" s="2" t="str">
        <f>HYPERLINK("https://probpalata.gov.ru/files/ЮЛ780301460900000.jpeg","Скачать индивидуальный QR-код магазина")</f>
        <v>Скачать индивидуальный QR-код магазина</v>
      </c>
    </row>
    <row r="15950" spans="1:7" x14ac:dyDescent="0.25">
      <c r="A15950" t="s">
        <v>46193</v>
      </c>
      <c r="B15950" t="s">
        <v>48793</v>
      </c>
      <c r="C15950" t="s">
        <v>48794</v>
      </c>
      <c r="D15950" t="s">
        <v>48795</v>
      </c>
      <c r="E15950" t="s">
        <v>48796</v>
      </c>
      <c r="F15950" t="s">
        <v>48797</v>
      </c>
      <c r="G15950" s="2" t="str">
        <f>HYPERLINK("https://probpalata.gov.ru/files/ЮЛ780300282200000.jpeg","Скачать индивидуальный QR-код магазина")</f>
        <v>Скачать индивидуальный QR-код магазина</v>
      </c>
    </row>
    <row r="15951" spans="1:7" x14ac:dyDescent="0.25">
      <c r="A15951" t="s">
        <v>46193</v>
      </c>
      <c r="B15951" t="s">
        <v>48798</v>
      </c>
      <c r="C15951" t="s">
        <v>48799</v>
      </c>
      <c r="D15951" t="s">
        <v>48800</v>
      </c>
      <c r="E15951" t="s">
        <v>48801</v>
      </c>
      <c r="F15951" t="s">
        <v>48802</v>
      </c>
      <c r="G15951" s="2" t="str">
        <f>HYPERLINK("https://probpalata.gov.ru/files/ЮЛ780300604200000.jpeg","Скачать индивидуальный QR-код магазина")</f>
        <v>Скачать индивидуальный QR-код магазина</v>
      </c>
    </row>
    <row r="15952" spans="1:7" x14ac:dyDescent="0.25">
      <c r="A15952" t="s">
        <v>46193</v>
      </c>
      <c r="B15952" t="s">
        <v>48803</v>
      </c>
      <c r="C15952" t="s">
        <v>48804</v>
      </c>
      <c r="D15952" t="s">
        <v>48805</v>
      </c>
      <c r="E15952" t="s">
        <v>48806</v>
      </c>
      <c r="F15952" t="s">
        <v>48807</v>
      </c>
      <c r="G15952" s="2" t="str">
        <f>HYPERLINK("https://probpalata.gov.ru/files/ЮЛ780303739300000.jpeg","Скачать индивидуальный QR-код магазина")</f>
        <v>Скачать индивидуальный QR-код магазина</v>
      </c>
    </row>
    <row r="15953" spans="1:7" x14ac:dyDescent="0.25">
      <c r="A15953" t="s">
        <v>46193</v>
      </c>
      <c r="B15953" t="s">
        <v>48808</v>
      </c>
      <c r="C15953" t="s">
        <v>48809</v>
      </c>
      <c r="D15953" t="s">
        <v>48810</v>
      </c>
      <c r="E15953" t="s">
        <v>48811</v>
      </c>
      <c r="F15953" t="s">
        <v>48812</v>
      </c>
      <c r="G15953" s="2" t="str">
        <f>HYPERLINK("https://probpalata.gov.ru/files/ИП780301611800000.jpeg","Скачать индивидуальный QR-код магазина")</f>
        <v>Скачать индивидуальный QR-код магазина</v>
      </c>
    </row>
    <row r="15954" spans="1:7" x14ac:dyDescent="0.25">
      <c r="A15954" t="s">
        <v>46193</v>
      </c>
      <c r="B15954" t="s">
        <v>48813</v>
      </c>
      <c r="C15954" t="s">
        <v>18008</v>
      </c>
      <c r="D15954" t="s">
        <v>18009</v>
      </c>
      <c r="E15954" t="s">
        <v>18010</v>
      </c>
      <c r="F15954" t="s">
        <v>48814</v>
      </c>
      <c r="G15954" s="2" t="str">
        <f>HYPERLINK("https://probpalata.gov.ru/files/ИП780300084400000.jpeg","Скачать индивидуальный QR-код магазина")</f>
        <v>Скачать индивидуальный QR-код магазина</v>
      </c>
    </row>
    <row r="15955" spans="1:7" x14ac:dyDescent="0.25">
      <c r="A15955" t="s">
        <v>46193</v>
      </c>
      <c r="B15955" t="s">
        <v>48815</v>
      </c>
      <c r="C15955" t="s">
        <v>18008</v>
      </c>
      <c r="D15955" t="s">
        <v>18009</v>
      </c>
      <c r="E15955" t="s">
        <v>18010</v>
      </c>
      <c r="F15955" t="s">
        <v>48816</v>
      </c>
      <c r="G15955" s="2" t="str">
        <f>HYPERLINK("https://probpalata.gov.ru/files/ИП780300084400001.jpeg","Скачать индивидуальный QR-код магазина")</f>
        <v>Скачать индивидуальный QR-код магазина</v>
      </c>
    </row>
    <row r="15956" spans="1:7" x14ac:dyDescent="0.25">
      <c r="A15956" t="s">
        <v>46193</v>
      </c>
      <c r="B15956" t="s">
        <v>48817</v>
      </c>
      <c r="C15956" t="s">
        <v>18008</v>
      </c>
      <c r="D15956" t="s">
        <v>18009</v>
      </c>
      <c r="E15956" t="s">
        <v>18010</v>
      </c>
      <c r="F15956" t="s">
        <v>48818</v>
      </c>
      <c r="G15956" s="2" t="str">
        <f>HYPERLINK("https://probpalata.gov.ru/files/ИП780300084400002.jpeg","Скачать индивидуальный QR-код магазина")</f>
        <v>Скачать индивидуальный QR-код магазина</v>
      </c>
    </row>
    <row r="15957" spans="1:7" x14ac:dyDescent="0.25">
      <c r="A15957" t="s">
        <v>46193</v>
      </c>
      <c r="B15957" t="s">
        <v>48819</v>
      </c>
      <c r="C15957" t="s">
        <v>18008</v>
      </c>
      <c r="D15957" t="s">
        <v>18009</v>
      </c>
      <c r="E15957" t="s">
        <v>18010</v>
      </c>
      <c r="F15957" t="s">
        <v>48820</v>
      </c>
      <c r="G15957" s="2" t="str">
        <f>HYPERLINK("https://probpalata.gov.ru/files/ИП780300084400004.jpeg","Скачать индивидуальный QR-код магазина")</f>
        <v>Скачать индивидуальный QR-код магазина</v>
      </c>
    </row>
    <row r="15958" spans="1:7" x14ac:dyDescent="0.25">
      <c r="A15958" t="s">
        <v>46193</v>
      </c>
      <c r="B15958" t="s">
        <v>48821</v>
      </c>
      <c r="C15958" t="s">
        <v>18008</v>
      </c>
      <c r="D15958" t="s">
        <v>18009</v>
      </c>
      <c r="E15958" t="s">
        <v>18010</v>
      </c>
      <c r="F15958" t="s">
        <v>48822</v>
      </c>
      <c r="G15958" s="2" t="str">
        <f>HYPERLINK("https://probpalata.gov.ru/files/ИП780300084400005.jpeg","Скачать индивидуальный QR-код магазина")</f>
        <v>Скачать индивидуальный QR-код магазина</v>
      </c>
    </row>
    <row r="15959" spans="1:7" x14ac:dyDescent="0.25">
      <c r="A15959" t="s">
        <v>46193</v>
      </c>
      <c r="B15959" t="s">
        <v>48823</v>
      </c>
      <c r="C15959" t="s">
        <v>18008</v>
      </c>
      <c r="D15959" t="s">
        <v>18009</v>
      </c>
      <c r="E15959" t="s">
        <v>18010</v>
      </c>
      <c r="F15959" t="s">
        <v>48824</v>
      </c>
      <c r="G15959" s="2" t="str">
        <f>HYPERLINK("https://probpalata.gov.ru/files/ИП780300084400007.jpeg","Скачать индивидуальный QR-код магазина")</f>
        <v>Скачать индивидуальный QR-код магазина</v>
      </c>
    </row>
    <row r="15960" spans="1:7" x14ac:dyDescent="0.25">
      <c r="A15960" t="s">
        <v>46193</v>
      </c>
      <c r="B15960" t="s">
        <v>48825</v>
      </c>
      <c r="C15960" t="s">
        <v>18008</v>
      </c>
      <c r="D15960" t="s">
        <v>18009</v>
      </c>
      <c r="E15960" t="s">
        <v>18010</v>
      </c>
      <c r="F15960" t="s">
        <v>48826</v>
      </c>
      <c r="G15960" s="2" t="str">
        <f>HYPERLINK("https://probpalata.gov.ru/files/ИП780300084400008.jpeg","Скачать индивидуальный QR-код магазина")</f>
        <v>Скачать индивидуальный QR-код магазина</v>
      </c>
    </row>
    <row r="15961" spans="1:7" x14ac:dyDescent="0.25">
      <c r="A15961" t="s">
        <v>46193</v>
      </c>
      <c r="B15961" t="s">
        <v>48827</v>
      </c>
      <c r="C15961" t="s">
        <v>18008</v>
      </c>
      <c r="D15961" t="s">
        <v>18009</v>
      </c>
      <c r="E15961" t="s">
        <v>18010</v>
      </c>
      <c r="F15961" t="s">
        <v>48828</v>
      </c>
      <c r="G15961" s="2" t="str">
        <f>HYPERLINK("https://probpalata.gov.ru/files/ИП780300084400009.jpeg","Скачать индивидуальный QR-код магазина")</f>
        <v>Скачать индивидуальный QR-код магазина</v>
      </c>
    </row>
    <row r="15962" spans="1:7" x14ac:dyDescent="0.25">
      <c r="A15962" t="s">
        <v>46193</v>
      </c>
      <c r="B15962" t="s">
        <v>48829</v>
      </c>
      <c r="C15962" t="s">
        <v>48830</v>
      </c>
      <c r="D15962" t="s">
        <v>48831</v>
      </c>
      <c r="E15962" t="s">
        <v>48832</v>
      </c>
      <c r="F15962" t="s">
        <v>48833</v>
      </c>
      <c r="G15962" s="2" t="str">
        <f>HYPERLINK("https://probpalata.gov.ru/files/ИП780303926200000.jpeg","Скачать индивидуальный QR-код магазина")</f>
        <v>Скачать индивидуальный QR-код магазина</v>
      </c>
    </row>
    <row r="15963" spans="1:7" x14ac:dyDescent="0.25">
      <c r="A15963" t="s">
        <v>46193</v>
      </c>
      <c r="B15963" t="s">
        <v>48834</v>
      </c>
      <c r="C15963" t="s">
        <v>48835</v>
      </c>
      <c r="D15963" t="s">
        <v>48836</v>
      </c>
      <c r="E15963" t="s">
        <v>48837</v>
      </c>
      <c r="F15963" t="s">
        <v>48838</v>
      </c>
      <c r="G15963" s="2" t="str">
        <f>HYPERLINK("https://probpalata.gov.ru/files/ИП470301426700000.jpeg","Скачать индивидуальный QR-код магазина")</f>
        <v>Скачать индивидуальный QR-код магазина</v>
      </c>
    </row>
    <row r="15964" spans="1:7" x14ac:dyDescent="0.25">
      <c r="A15964" t="s">
        <v>46193</v>
      </c>
      <c r="B15964" t="s">
        <v>48839</v>
      </c>
      <c r="C15964" t="s">
        <v>48840</v>
      </c>
      <c r="D15964" t="s">
        <v>48841</v>
      </c>
      <c r="E15964" t="s">
        <v>48842</v>
      </c>
      <c r="F15964" t="s">
        <v>48843</v>
      </c>
      <c r="G15964" s="2" t="str">
        <f>HYPERLINK("https://probpalata.gov.ru/files/ЮЛ780300065200000.jpeg","Скачать индивидуальный QR-код магазина")</f>
        <v>Скачать индивидуальный QR-код магазина</v>
      </c>
    </row>
    <row r="15965" spans="1:7" x14ac:dyDescent="0.25">
      <c r="A15965" t="s">
        <v>46193</v>
      </c>
      <c r="B15965" t="s">
        <v>48844</v>
      </c>
      <c r="C15965" t="s">
        <v>48840</v>
      </c>
      <c r="D15965" t="s">
        <v>48841</v>
      </c>
      <c r="E15965" t="s">
        <v>48842</v>
      </c>
      <c r="F15965" t="s">
        <v>48845</v>
      </c>
      <c r="G15965" s="2" t="str">
        <f>HYPERLINK("https://probpalata.gov.ru/files/ЮЛ780300065200001.jpeg","Скачать индивидуальный QR-код магазина")</f>
        <v>Скачать индивидуальный QR-код магазина</v>
      </c>
    </row>
    <row r="15966" spans="1:7" x14ac:dyDescent="0.25">
      <c r="A15966" t="s">
        <v>46193</v>
      </c>
      <c r="B15966" t="s">
        <v>48846</v>
      </c>
      <c r="C15966" t="s">
        <v>1490</v>
      </c>
      <c r="D15966" t="s">
        <v>1491</v>
      </c>
      <c r="E15966" t="s">
        <v>1492</v>
      </c>
      <c r="F15966" t="s">
        <v>48847</v>
      </c>
      <c r="G15966" s="2" t="str">
        <f>HYPERLINK("https://probpalata.gov.ru/files/ЮЛ780301261200000.jpeg","Скачать индивидуальный QR-код магазина")</f>
        <v>Скачать индивидуальный QR-код магазина</v>
      </c>
    </row>
    <row r="15967" spans="1:7" x14ac:dyDescent="0.25">
      <c r="A15967" t="s">
        <v>46193</v>
      </c>
      <c r="B15967" t="s">
        <v>48848</v>
      </c>
      <c r="C15967" t="s">
        <v>1490</v>
      </c>
      <c r="D15967" t="s">
        <v>1491</v>
      </c>
      <c r="E15967" t="s">
        <v>1492</v>
      </c>
      <c r="F15967" t="s">
        <v>48849</v>
      </c>
      <c r="G15967" s="2" t="str">
        <f>HYPERLINK("https://probpalata.gov.ru/files/ЮЛ780301261200027.jpeg","Скачать индивидуальный QR-код магазина")</f>
        <v>Скачать индивидуальный QR-код магазина</v>
      </c>
    </row>
    <row r="15968" spans="1:7" x14ac:dyDescent="0.25">
      <c r="A15968" t="s">
        <v>46193</v>
      </c>
      <c r="B15968" t="s">
        <v>48850</v>
      </c>
      <c r="C15968" t="s">
        <v>1490</v>
      </c>
      <c r="D15968" t="s">
        <v>1491</v>
      </c>
      <c r="E15968" t="s">
        <v>1492</v>
      </c>
      <c r="F15968" t="s">
        <v>48851</v>
      </c>
      <c r="G15968" s="2" t="str">
        <f>HYPERLINK("https://probpalata.gov.ru/files/ЮЛ780301261200031.jpeg","Скачать индивидуальный QR-код магазина")</f>
        <v>Скачать индивидуальный QR-код магазина</v>
      </c>
    </row>
    <row r="15969" spans="1:7" x14ac:dyDescent="0.25">
      <c r="A15969" t="s">
        <v>46193</v>
      </c>
      <c r="B15969" t="s">
        <v>48852</v>
      </c>
      <c r="C15969" t="s">
        <v>1490</v>
      </c>
      <c r="D15969" t="s">
        <v>1491</v>
      </c>
      <c r="E15969" t="s">
        <v>1492</v>
      </c>
      <c r="F15969" t="s">
        <v>48853</v>
      </c>
      <c r="G15969" s="2" t="str">
        <f>HYPERLINK("https://probpalata.gov.ru/files/ЮЛ780301261200034.jpeg","Скачать индивидуальный QR-код магазина")</f>
        <v>Скачать индивидуальный QR-код магазина</v>
      </c>
    </row>
    <row r="15970" spans="1:7" x14ac:dyDescent="0.25">
      <c r="A15970" t="s">
        <v>46193</v>
      </c>
      <c r="B15970" t="s">
        <v>48854</v>
      </c>
      <c r="C15970" t="s">
        <v>1490</v>
      </c>
      <c r="D15970" t="s">
        <v>1491</v>
      </c>
      <c r="E15970" t="s">
        <v>1492</v>
      </c>
      <c r="F15970" t="s">
        <v>48855</v>
      </c>
      <c r="G15970" s="2" t="str">
        <f>HYPERLINK("https://probpalata.gov.ru/files/ЮЛ780301261200040.jpeg","Скачать индивидуальный QR-код магазина")</f>
        <v>Скачать индивидуальный QR-код магазина</v>
      </c>
    </row>
    <row r="15971" spans="1:7" x14ac:dyDescent="0.25">
      <c r="A15971" t="s">
        <v>46193</v>
      </c>
      <c r="B15971" t="s">
        <v>48856</v>
      </c>
      <c r="C15971" t="s">
        <v>48857</v>
      </c>
      <c r="D15971" t="s">
        <v>48858</v>
      </c>
      <c r="E15971" t="s">
        <v>48859</v>
      </c>
      <c r="F15971" t="s">
        <v>48860</v>
      </c>
      <c r="G15971" s="2" t="str">
        <f>HYPERLINK("https://probpalata.gov.ru/files/ЮЛ780301737100000.jpeg","Скачать индивидуальный QR-код магазина")</f>
        <v>Скачать индивидуальный QR-код магазина</v>
      </c>
    </row>
    <row r="15972" spans="1:7" x14ac:dyDescent="0.25">
      <c r="A15972" t="s">
        <v>46193</v>
      </c>
      <c r="B15972" t="s">
        <v>48861</v>
      </c>
      <c r="C15972" t="s">
        <v>48857</v>
      </c>
      <c r="D15972" t="s">
        <v>48858</v>
      </c>
      <c r="E15972" t="s">
        <v>48859</v>
      </c>
      <c r="F15972" t="s">
        <v>48862</v>
      </c>
      <c r="G15972" s="2" t="str">
        <f>HYPERLINK("https://probpalata.gov.ru/files/ЮЛ780301737100001.jpeg","Скачать индивидуальный QR-код магазина")</f>
        <v>Скачать индивидуальный QR-код магазина</v>
      </c>
    </row>
    <row r="15973" spans="1:7" x14ac:dyDescent="0.25">
      <c r="A15973" t="s">
        <v>46193</v>
      </c>
      <c r="B15973" t="s">
        <v>48863</v>
      </c>
      <c r="C15973" t="s">
        <v>48857</v>
      </c>
      <c r="D15973" t="s">
        <v>48858</v>
      </c>
      <c r="E15973" t="s">
        <v>48859</v>
      </c>
      <c r="F15973" t="s">
        <v>48864</v>
      </c>
      <c r="G15973" s="2" t="str">
        <f>HYPERLINK("https://probpalata.gov.ru/files/ЮЛ780301737100010.jpeg","Скачать индивидуальный QR-код магазина")</f>
        <v>Скачать индивидуальный QR-код магазина</v>
      </c>
    </row>
    <row r="15974" spans="1:7" x14ac:dyDescent="0.25">
      <c r="A15974" t="s">
        <v>46193</v>
      </c>
      <c r="B15974" t="s">
        <v>48865</v>
      </c>
      <c r="C15974" t="s">
        <v>48857</v>
      </c>
      <c r="D15974" t="s">
        <v>48858</v>
      </c>
      <c r="E15974" t="s">
        <v>48859</v>
      </c>
      <c r="F15974" t="s">
        <v>48866</v>
      </c>
      <c r="G15974" s="2" t="str">
        <f>HYPERLINK("https://probpalata.gov.ru/files/ЮЛ780301737100012.jpeg","Скачать индивидуальный QR-код магазина")</f>
        <v>Скачать индивидуальный QR-код магазина</v>
      </c>
    </row>
    <row r="15975" spans="1:7" x14ac:dyDescent="0.25">
      <c r="A15975" t="s">
        <v>46193</v>
      </c>
      <c r="B15975" t="s">
        <v>48867</v>
      </c>
      <c r="C15975" t="s">
        <v>48868</v>
      </c>
      <c r="D15975" t="s">
        <v>48869</v>
      </c>
      <c r="E15975" t="s">
        <v>48870</v>
      </c>
      <c r="F15975" t="s">
        <v>48871</v>
      </c>
      <c r="G15975" s="2" t="str">
        <f>HYPERLINK("https://probpalata.gov.ru/files/ЮЛ780300547600000.jpeg","Скачать индивидуальный QR-код магазина")</f>
        <v>Скачать индивидуальный QR-код магазина</v>
      </c>
    </row>
    <row r="15976" spans="1:7" x14ac:dyDescent="0.25">
      <c r="A15976" t="s">
        <v>46193</v>
      </c>
      <c r="B15976" t="s">
        <v>48872</v>
      </c>
      <c r="C15976" t="s">
        <v>48873</v>
      </c>
      <c r="D15976" t="s">
        <v>48874</v>
      </c>
      <c r="E15976" t="s">
        <v>48875</v>
      </c>
      <c r="F15976" t="s">
        <v>48876</v>
      </c>
      <c r="G15976" s="2" t="str">
        <f>HYPERLINK("https://probpalata.gov.ru/files/ЮЛ780300410100000.jpeg","Скачать индивидуальный QR-код магазина")</f>
        <v>Скачать индивидуальный QR-код магазина</v>
      </c>
    </row>
    <row r="15977" spans="1:7" x14ac:dyDescent="0.25">
      <c r="A15977" t="s">
        <v>46193</v>
      </c>
      <c r="B15977" t="s">
        <v>48877</v>
      </c>
      <c r="C15977" t="s">
        <v>48878</v>
      </c>
      <c r="D15977" t="s">
        <v>48879</v>
      </c>
      <c r="E15977" t="s">
        <v>48880</v>
      </c>
      <c r="F15977" t="s">
        <v>48881</v>
      </c>
      <c r="G15977" s="2" t="str">
        <f>HYPERLINK("https://probpalata.gov.ru/files/ЮЛ780300204100000.jpeg","Скачать индивидуальный QR-код магазина")</f>
        <v>Скачать индивидуальный QR-код магазина</v>
      </c>
    </row>
    <row r="15978" spans="1:7" x14ac:dyDescent="0.25">
      <c r="A15978" t="s">
        <v>46193</v>
      </c>
      <c r="B15978" t="s">
        <v>48882</v>
      </c>
      <c r="C15978" t="s">
        <v>48883</v>
      </c>
      <c r="D15978" t="s">
        <v>48884</v>
      </c>
      <c r="E15978" t="s">
        <v>48885</v>
      </c>
      <c r="F15978" t="s">
        <v>48886</v>
      </c>
      <c r="G15978" s="2" t="str">
        <f>HYPERLINK("https://probpalata.gov.ru/files/ИП780303616000000.jpeg","Скачать индивидуальный QR-код магазина")</f>
        <v>Скачать индивидуальный QR-код магазина</v>
      </c>
    </row>
    <row r="15979" spans="1:7" x14ac:dyDescent="0.25">
      <c r="A15979" t="s">
        <v>46193</v>
      </c>
      <c r="B15979" t="s">
        <v>48887</v>
      </c>
      <c r="C15979" t="s">
        <v>48888</v>
      </c>
      <c r="D15979" t="s">
        <v>48889</v>
      </c>
      <c r="E15979" t="s">
        <v>48890</v>
      </c>
      <c r="F15979" t="s">
        <v>48891</v>
      </c>
      <c r="G15979" s="2" t="str">
        <f>HYPERLINK("https://probpalata.gov.ru/files/ИП780301618200000.jpeg","Скачать индивидуальный QR-код магазина")</f>
        <v>Скачать индивидуальный QR-код магазина</v>
      </c>
    </row>
    <row r="15980" spans="1:7" x14ac:dyDescent="0.25">
      <c r="A15980" t="s">
        <v>46193</v>
      </c>
      <c r="B15980" t="s">
        <v>48892</v>
      </c>
      <c r="C15980" t="s">
        <v>48893</v>
      </c>
      <c r="D15980" t="s">
        <v>48894</v>
      </c>
      <c r="E15980" t="s">
        <v>48895</v>
      </c>
      <c r="F15980" t="s">
        <v>48896</v>
      </c>
      <c r="G15980" s="2" t="str">
        <f>HYPERLINK("https://probpalata.gov.ru/files/ИП780303633700000.jpeg","Скачать индивидуальный QR-код магазина")</f>
        <v>Скачать индивидуальный QR-код магазина</v>
      </c>
    </row>
    <row r="15981" spans="1:7" x14ac:dyDescent="0.25">
      <c r="A15981" t="s">
        <v>46193</v>
      </c>
      <c r="B15981" t="s">
        <v>48897</v>
      </c>
      <c r="C15981" t="s">
        <v>48898</v>
      </c>
      <c r="D15981" t="s">
        <v>48899</v>
      </c>
      <c r="E15981" t="s">
        <v>48900</v>
      </c>
      <c r="F15981" t="s">
        <v>48901</v>
      </c>
      <c r="G15981" s="2" t="str">
        <f>HYPERLINK("https://probpalata.gov.ru/files/ЮЛ780303844600000.jpeg","Скачать индивидуальный QR-код магазина")</f>
        <v>Скачать индивидуальный QR-код магазина</v>
      </c>
    </row>
    <row r="15982" spans="1:7" x14ac:dyDescent="0.25">
      <c r="A15982" t="s">
        <v>46193</v>
      </c>
      <c r="B15982" t="s">
        <v>48902</v>
      </c>
      <c r="C15982" t="s">
        <v>48903</v>
      </c>
      <c r="D15982" t="s">
        <v>48904</v>
      </c>
      <c r="E15982" t="s">
        <v>48905</v>
      </c>
      <c r="F15982" t="s">
        <v>48906</v>
      </c>
      <c r="G15982" s="2" t="str">
        <f>HYPERLINK("https://probpalata.gov.ru/files/ЮЛ780300544400000.jpeg","Скачать индивидуальный QR-код магазина")</f>
        <v>Скачать индивидуальный QR-код магазина</v>
      </c>
    </row>
    <row r="15983" spans="1:7" x14ac:dyDescent="0.25">
      <c r="A15983" t="s">
        <v>46193</v>
      </c>
      <c r="B15983" t="s">
        <v>48907</v>
      </c>
      <c r="C15983" t="s">
        <v>48908</v>
      </c>
      <c r="D15983" t="s">
        <v>48909</v>
      </c>
      <c r="E15983" t="s">
        <v>48910</v>
      </c>
      <c r="F15983" t="s">
        <v>48911</v>
      </c>
      <c r="G15983" s="2" t="str">
        <f>HYPERLINK("https://probpalata.gov.ru/files/ИП780300853200001.jpeg","Скачать индивидуальный QR-код магазина")</f>
        <v>Скачать индивидуальный QR-код магазина</v>
      </c>
    </row>
    <row r="15984" spans="1:7" x14ac:dyDescent="0.25">
      <c r="A15984" t="s">
        <v>46193</v>
      </c>
      <c r="B15984" t="s">
        <v>48912</v>
      </c>
      <c r="C15984" t="s">
        <v>48913</v>
      </c>
      <c r="D15984" t="s">
        <v>48914</v>
      </c>
      <c r="E15984" t="s">
        <v>48915</v>
      </c>
      <c r="F15984" t="s">
        <v>48916</v>
      </c>
      <c r="G15984" s="2" t="str">
        <f>HYPERLINK("https://probpalata.gov.ru/files/ИП780303470000000.jpeg","Скачать индивидуальный QR-код магазина")</f>
        <v>Скачать индивидуальный QR-код магазина</v>
      </c>
    </row>
    <row r="15985" spans="1:7" x14ac:dyDescent="0.25">
      <c r="A15985" t="s">
        <v>46193</v>
      </c>
      <c r="B15985" t="s">
        <v>48917</v>
      </c>
      <c r="C15985" t="s">
        <v>48918</v>
      </c>
      <c r="D15985" t="s">
        <v>48919</v>
      </c>
      <c r="E15985" t="s">
        <v>48920</v>
      </c>
      <c r="F15985" t="s">
        <v>48921</v>
      </c>
      <c r="G15985" s="2" t="str">
        <f>HYPERLINK("https://probpalata.gov.ru/files/ЮЛ780301477700000.jpeg","Скачать индивидуальный QR-код магазина")</f>
        <v>Скачать индивидуальный QR-код магазина</v>
      </c>
    </row>
    <row r="15986" spans="1:7" x14ac:dyDescent="0.25">
      <c r="A15986" t="s">
        <v>46193</v>
      </c>
      <c r="B15986" t="s">
        <v>48922</v>
      </c>
      <c r="C15986" t="s">
        <v>48923</v>
      </c>
      <c r="D15986" t="s">
        <v>48924</v>
      </c>
      <c r="E15986" t="s">
        <v>48925</v>
      </c>
      <c r="F15986" t="s">
        <v>48926</v>
      </c>
      <c r="G15986" s="2" t="str">
        <f>HYPERLINK("https://probpalata.gov.ru/files/ИП780301420300000.jpeg","Скачать индивидуальный QR-код магазина")</f>
        <v>Скачать индивидуальный QR-код магазина</v>
      </c>
    </row>
    <row r="15987" spans="1:7" x14ac:dyDescent="0.25">
      <c r="A15987" t="s">
        <v>46193</v>
      </c>
      <c r="B15987" t="s">
        <v>48927</v>
      </c>
      <c r="C15987" t="s">
        <v>48928</v>
      </c>
      <c r="D15987" t="s">
        <v>48929</v>
      </c>
      <c r="E15987" t="s">
        <v>48930</v>
      </c>
      <c r="F15987" t="s">
        <v>48931</v>
      </c>
      <c r="G15987" s="2" t="str">
        <f>HYPERLINK("https://probpalata.gov.ru/files/ИП780301339300000.jpeg","Скачать индивидуальный QR-код магазина")</f>
        <v>Скачать индивидуальный QR-код магазина</v>
      </c>
    </row>
    <row r="15988" spans="1:7" x14ac:dyDescent="0.25">
      <c r="A15988" t="s">
        <v>46193</v>
      </c>
      <c r="B15988" t="s">
        <v>48932</v>
      </c>
      <c r="C15988" t="s">
        <v>48933</v>
      </c>
      <c r="D15988" t="s">
        <v>48934</v>
      </c>
      <c r="E15988" t="s">
        <v>48935</v>
      </c>
      <c r="F15988" t="s">
        <v>48936</v>
      </c>
      <c r="G15988" s="2" t="str">
        <f>HYPERLINK("https://probpalata.gov.ru/files/ИП780301460500000.jpeg","Скачать индивидуальный QR-код магазина")</f>
        <v>Скачать индивидуальный QR-код магазина</v>
      </c>
    </row>
    <row r="15989" spans="1:7" x14ac:dyDescent="0.25">
      <c r="A15989" t="s">
        <v>46193</v>
      </c>
      <c r="B15989" t="s">
        <v>48937</v>
      </c>
      <c r="C15989" t="s">
        <v>48938</v>
      </c>
      <c r="D15989" t="s">
        <v>48939</v>
      </c>
      <c r="E15989" t="s">
        <v>48940</v>
      </c>
      <c r="F15989" t="s">
        <v>48941</v>
      </c>
      <c r="G15989" s="2" t="str">
        <f>HYPERLINK("https://probpalata.gov.ru/files/ЮЛ780300281000000.jpeg","Скачать индивидуальный QR-код магазина")</f>
        <v>Скачать индивидуальный QR-код магазина</v>
      </c>
    </row>
    <row r="15990" spans="1:7" x14ac:dyDescent="0.25">
      <c r="A15990" t="s">
        <v>46193</v>
      </c>
      <c r="B15990" t="s">
        <v>48942</v>
      </c>
      <c r="C15990" t="s">
        <v>48938</v>
      </c>
      <c r="D15990" t="s">
        <v>48939</v>
      </c>
      <c r="E15990" t="s">
        <v>48940</v>
      </c>
      <c r="F15990" t="s">
        <v>48943</v>
      </c>
      <c r="G15990" s="2" t="str">
        <f>HYPERLINK("https://probpalata.gov.ru/files/ЮЛ780300281000001.jpeg","Скачать индивидуальный QR-код магазина")</f>
        <v>Скачать индивидуальный QR-код магазина</v>
      </c>
    </row>
    <row r="15991" spans="1:7" x14ac:dyDescent="0.25">
      <c r="A15991" t="s">
        <v>46193</v>
      </c>
      <c r="B15991" t="s">
        <v>48944</v>
      </c>
      <c r="C15991" t="s">
        <v>48945</v>
      </c>
      <c r="D15991" t="s">
        <v>48946</v>
      </c>
      <c r="E15991" t="s">
        <v>48947</v>
      </c>
      <c r="F15991" t="s">
        <v>48948</v>
      </c>
      <c r="G15991" s="2" t="str">
        <f>HYPERLINK("https://probpalata.gov.ru/files/ИП780301190900000.jpeg","Скачать индивидуальный QR-код магазина")</f>
        <v>Скачать индивидуальный QR-код магазина</v>
      </c>
    </row>
    <row r="15992" spans="1:7" x14ac:dyDescent="0.25">
      <c r="A15992" t="s">
        <v>46193</v>
      </c>
      <c r="B15992" t="s">
        <v>48949</v>
      </c>
      <c r="C15992" t="s">
        <v>48945</v>
      </c>
      <c r="D15992" t="s">
        <v>48946</v>
      </c>
      <c r="E15992" t="s">
        <v>48947</v>
      </c>
      <c r="F15992" t="s">
        <v>48950</v>
      </c>
      <c r="G15992" s="2" t="str">
        <f>HYPERLINK("https://probpalata.gov.ru/files/ИП780301190900002.jpeg","Скачать индивидуальный QR-код магазина")</f>
        <v>Скачать индивидуальный QR-код магазина</v>
      </c>
    </row>
    <row r="15993" spans="1:7" x14ac:dyDescent="0.25">
      <c r="A15993" t="s">
        <v>46193</v>
      </c>
      <c r="B15993" t="s">
        <v>48951</v>
      </c>
      <c r="C15993" t="s">
        <v>48945</v>
      </c>
      <c r="D15993" t="s">
        <v>48946</v>
      </c>
      <c r="E15993" t="s">
        <v>48947</v>
      </c>
      <c r="F15993" t="s">
        <v>48952</v>
      </c>
      <c r="G15993" s="2" t="str">
        <f>HYPERLINK("https://probpalata.gov.ru/files/ИП780301190900003.jpeg","Скачать индивидуальный QR-код магазина")</f>
        <v>Скачать индивидуальный QR-код магазина</v>
      </c>
    </row>
    <row r="15994" spans="1:7" x14ac:dyDescent="0.25">
      <c r="A15994" t="s">
        <v>46193</v>
      </c>
      <c r="B15994" t="s">
        <v>48953</v>
      </c>
      <c r="C15994" t="s">
        <v>48945</v>
      </c>
      <c r="D15994" t="s">
        <v>48946</v>
      </c>
      <c r="E15994" t="s">
        <v>48947</v>
      </c>
      <c r="F15994" t="s">
        <v>48954</v>
      </c>
      <c r="G15994" s="2" t="str">
        <f>HYPERLINK("https://probpalata.gov.ru/files/ИП780301190900004.jpeg","Скачать индивидуальный QR-код магазина")</f>
        <v>Скачать индивидуальный QR-код магазина</v>
      </c>
    </row>
    <row r="15995" spans="1:7" x14ac:dyDescent="0.25">
      <c r="A15995" t="s">
        <v>46193</v>
      </c>
      <c r="B15995" t="s">
        <v>48955</v>
      </c>
      <c r="C15995" t="s">
        <v>48945</v>
      </c>
      <c r="D15995" t="s">
        <v>48946</v>
      </c>
      <c r="E15995" t="s">
        <v>48947</v>
      </c>
      <c r="F15995" t="s">
        <v>48956</v>
      </c>
      <c r="G15995" s="2" t="str">
        <f>HYPERLINK("https://probpalata.gov.ru/files/ИП780301190900005.jpeg","Скачать индивидуальный QR-код магазина")</f>
        <v>Скачать индивидуальный QR-код магазина</v>
      </c>
    </row>
    <row r="15996" spans="1:7" x14ac:dyDescent="0.25">
      <c r="A15996" t="s">
        <v>46193</v>
      </c>
      <c r="B15996" t="s">
        <v>48957</v>
      </c>
      <c r="C15996" t="s">
        <v>48958</v>
      </c>
      <c r="D15996" t="s">
        <v>48959</v>
      </c>
      <c r="E15996" t="s">
        <v>48960</v>
      </c>
      <c r="F15996" t="s">
        <v>48961</v>
      </c>
      <c r="G15996" s="2" t="str">
        <f>HYPERLINK("https://probpalata.gov.ru/files/ЮЛ780301211100001.jpeg","Скачать индивидуальный QR-код магазина")</f>
        <v>Скачать индивидуальный QR-код магазина</v>
      </c>
    </row>
    <row r="15997" spans="1:7" x14ac:dyDescent="0.25">
      <c r="A15997" t="s">
        <v>46193</v>
      </c>
      <c r="B15997" t="s">
        <v>48962</v>
      </c>
      <c r="C15997" t="s">
        <v>48958</v>
      </c>
      <c r="D15997" t="s">
        <v>48959</v>
      </c>
      <c r="E15997" t="s">
        <v>48960</v>
      </c>
      <c r="F15997" t="s">
        <v>48963</v>
      </c>
      <c r="G15997" s="2" t="str">
        <f>HYPERLINK("https://probpalata.gov.ru/files/ЮЛ780301211100002.jpeg","Скачать индивидуальный QR-код магазина")</f>
        <v>Скачать индивидуальный QR-код магазина</v>
      </c>
    </row>
    <row r="15998" spans="1:7" x14ac:dyDescent="0.25">
      <c r="A15998" t="s">
        <v>46193</v>
      </c>
      <c r="B15998" t="s">
        <v>48964</v>
      </c>
      <c r="C15998" t="s">
        <v>48965</v>
      </c>
      <c r="D15998" t="s">
        <v>48966</v>
      </c>
      <c r="E15998" t="s">
        <v>48967</v>
      </c>
      <c r="F15998" t="s">
        <v>48968</v>
      </c>
      <c r="G15998" s="2" t="str">
        <f>HYPERLINK("https://probpalata.gov.ru/files/ЮЛ780300316700002.jpeg","Скачать индивидуальный QR-код магазина")</f>
        <v>Скачать индивидуальный QR-код магазина</v>
      </c>
    </row>
    <row r="15999" spans="1:7" x14ac:dyDescent="0.25">
      <c r="A15999" t="s">
        <v>46193</v>
      </c>
      <c r="B15999" t="s">
        <v>48969</v>
      </c>
      <c r="C15999" t="s">
        <v>48970</v>
      </c>
      <c r="D15999" t="s">
        <v>48971</v>
      </c>
      <c r="E15999" t="s">
        <v>48972</v>
      </c>
      <c r="F15999" t="s">
        <v>48973</v>
      </c>
      <c r="G15999" s="2" t="str">
        <f>HYPERLINK("https://probpalata.gov.ru/files/ИП780300893600000.jpeg","Скачать индивидуальный QR-код магазина")</f>
        <v>Скачать индивидуальный QR-код магазина</v>
      </c>
    </row>
    <row r="16000" spans="1:7" x14ac:dyDescent="0.25">
      <c r="A16000" t="s">
        <v>46193</v>
      </c>
      <c r="B16000" t="s">
        <v>48974</v>
      </c>
      <c r="C16000" t="s">
        <v>48970</v>
      </c>
      <c r="D16000" t="s">
        <v>48971</v>
      </c>
      <c r="E16000" t="s">
        <v>48972</v>
      </c>
      <c r="F16000" t="s">
        <v>48975</v>
      </c>
      <c r="G16000" s="2" t="str">
        <f>HYPERLINK("https://probpalata.gov.ru/files/ИП780300893600004.jpeg","Скачать индивидуальный QR-код магазина")</f>
        <v>Скачать индивидуальный QR-код магазина</v>
      </c>
    </row>
    <row r="16001" spans="1:7" x14ac:dyDescent="0.25">
      <c r="A16001" t="s">
        <v>46193</v>
      </c>
      <c r="B16001" t="s">
        <v>48976</v>
      </c>
      <c r="C16001" t="s">
        <v>48977</v>
      </c>
      <c r="D16001" t="s">
        <v>48978</v>
      </c>
      <c r="E16001" t="s">
        <v>48979</v>
      </c>
      <c r="F16001" t="s">
        <v>48980</v>
      </c>
      <c r="G16001" s="2" t="str">
        <f>HYPERLINK("https://probpalata.gov.ru/files/ЮЛ780301947800000.jpeg","Скачать индивидуальный QR-код магазина")</f>
        <v>Скачать индивидуальный QR-код магазина</v>
      </c>
    </row>
    <row r="16002" spans="1:7" x14ac:dyDescent="0.25">
      <c r="A16002" t="s">
        <v>46193</v>
      </c>
      <c r="B16002" t="s">
        <v>48981</v>
      </c>
      <c r="C16002" t="s">
        <v>48982</v>
      </c>
      <c r="D16002" t="s">
        <v>48983</v>
      </c>
      <c r="E16002" t="s">
        <v>48984</v>
      </c>
      <c r="F16002" t="s">
        <v>48985</v>
      </c>
      <c r="G16002" s="2" t="str">
        <f>HYPERLINK("https://probpalata.gov.ru/files/ИП780301277600000.jpeg","Скачать индивидуальный QR-код магазина")</f>
        <v>Скачать индивидуальный QR-код магазина</v>
      </c>
    </row>
    <row r="16003" spans="1:7" x14ac:dyDescent="0.25">
      <c r="A16003" t="s">
        <v>46193</v>
      </c>
      <c r="B16003" t="s">
        <v>48986</v>
      </c>
      <c r="C16003" t="s">
        <v>48982</v>
      </c>
      <c r="D16003" t="s">
        <v>48983</v>
      </c>
      <c r="E16003" t="s">
        <v>48984</v>
      </c>
      <c r="F16003" t="s">
        <v>48987</v>
      </c>
      <c r="G16003" s="2" t="str">
        <f>HYPERLINK("https://probpalata.gov.ru/files/ИП780301277600001.jpeg","Скачать индивидуальный QR-код магазина")</f>
        <v>Скачать индивидуальный QR-код магазина</v>
      </c>
    </row>
    <row r="16004" spans="1:7" x14ac:dyDescent="0.25">
      <c r="A16004" t="s">
        <v>46193</v>
      </c>
      <c r="B16004" t="s">
        <v>48988</v>
      </c>
      <c r="C16004" t="s">
        <v>48989</v>
      </c>
      <c r="D16004" t="s">
        <v>48990</v>
      </c>
      <c r="E16004" t="s">
        <v>48991</v>
      </c>
      <c r="F16004" t="s">
        <v>48992</v>
      </c>
      <c r="G16004" s="2" t="str">
        <f>HYPERLINK("https://probpalata.gov.ru/files/ИП780304070300000.jpeg","Скачать индивидуальный QR-код магазина")</f>
        <v>Скачать индивидуальный QR-код магазина</v>
      </c>
    </row>
    <row r="16005" spans="1:7" x14ac:dyDescent="0.25">
      <c r="A16005" t="s">
        <v>46193</v>
      </c>
      <c r="B16005" t="s">
        <v>48993</v>
      </c>
      <c r="C16005" t="s">
        <v>48994</v>
      </c>
      <c r="D16005" t="s">
        <v>48995</v>
      </c>
      <c r="E16005" t="s">
        <v>48996</v>
      </c>
      <c r="F16005" t="s">
        <v>48997</v>
      </c>
      <c r="G16005" s="2" t="str">
        <f>HYPERLINK("https://probpalata.gov.ru/files/ЮЛ780300385600000.jpeg","Скачать индивидуальный QR-код магазина")</f>
        <v>Скачать индивидуальный QR-код магазина</v>
      </c>
    </row>
    <row r="16006" spans="1:7" x14ac:dyDescent="0.25">
      <c r="A16006" t="s">
        <v>46193</v>
      </c>
      <c r="B16006" t="s">
        <v>48998</v>
      </c>
      <c r="C16006" t="s">
        <v>48999</v>
      </c>
      <c r="D16006" t="s">
        <v>49000</v>
      </c>
      <c r="E16006" t="s">
        <v>49001</v>
      </c>
      <c r="F16006" t="s">
        <v>49002</v>
      </c>
      <c r="G16006" s="2" t="str">
        <f>HYPERLINK("https://probpalata.gov.ru/files/ИП780303071100000.jpeg","Скачать индивидуальный QR-код магазина")</f>
        <v>Скачать индивидуальный QR-код магазина</v>
      </c>
    </row>
    <row r="16007" spans="1:7" x14ac:dyDescent="0.25">
      <c r="A16007" t="s">
        <v>46193</v>
      </c>
      <c r="B16007" t="s">
        <v>47265</v>
      </c>
      <c r="C16007" t="s">
        <v>49003</v>
      </c>
      <c r="D16007" t="s">
        <v>49004</v>
      </c>
      <c r="E16007" t="s">
        <v>49005</v>
      </c>
      <c r="F16007" t="s">
        <v>49006</v>
      </c>
      <c r="G16007" s="2" t="str">
        <f>HYPERLINK("https://probpalata.gov.ru/files/ИП780300666900000.jpeg","Скачать индивидуальный QR-код магазина")</f>
        <v>Скачать индивидуальный QR-код магазина</v>
      </c>
    </row>
    <row r="16008" spans="1:7" x14ac:dyDescent="0.25">
      <c r="A16008" t="s">
        <v>46193</v>
      </c>
      <c r="B16008" t="s">
        <v>49007</v>
      </c>
      <c r="C16008" t="s">
        <v>49008</v>
      </c>
      <c r="D16008" t="s">
        <v>49009</v>
      </c>
      <c r="E16008" t="s">
        <v>49010</v>
      </c>
      <c r="F16008" t="s">
        <v>49011</v>
      </c>
      <c r="G16008" s="2" t="str">
        <f>HYPERLINK("https://probpalata.gov.ru/files/ЮЛ780301894700000.jpeg","Скачать индивидуальный QR-код магазина")</f>
        <v>Скачать индивидуальный QR-код магазина</v>
      </c>
    </row>
    <row r="16009" spans="1:7" x14ac:dyDescent="0.25">
      <c r="A16009" t="s">
        <v>46193</v>
      </c>
      <c r="B16009" t="s">
        <v>49012</v>
      </c>
      <c r="C16009" t="s">
        <v>49013</v>
      </c>
      <c r="D16009" t="s">
        <v>49014</v>
      </c>
      <c r="E16009" t="s">
        <v>49015</v>
      </c>
      <c r="F16009" t="s">
        <v>49016</v>
      </c>
      <c r="G16009" s="2" t="str">
        <f>HYPERLINK("https://probpalata.gov.ru/files/ЮЛ780300099400000.jpeg","Скачать индивидуальный QR-код магазина")</f>
        <v>Скачать индивидуальный QR-код магазина</v>
      </c>
    </row>
    <row r="16010" spans="1:7" x14ac:dyDescent="0.25">
      <c r="A16010" t="s">
        <v>46193</v>
      </c>
      <c r="B16010" t="s">
        <v>49017</v>
      </c>
      <c r="C16010" t="s">
        <v>49018</v>
      </c>
      <c r="D16010" t="s">
        <v>49019</v>
      </c>
      <c r="E16010" t="s">
        <v>49020</v>
      </c>
      <c r="F16010" t="s">
        <v>49021</v>
      </c>
      <c r="G16010" s="2" t="str">
        <f>HYPERLINK("https://probpalata.gov.ru/files/ЮЛ780300364500001.jpeg","Скачать индивидуальный QR-код магазина")</f>
        <v>Скачать индивидуальный QR-код магазина</v>
      </c>
    </row>
    <row r="16011" spans="1:7" x14ac:dyDescent="0.25">
      <c r="A16011" t="s">
        <v>46193</v>
      </c>
      <c r="B16011" t="s">
        <v>49022</v>
      </c>
      <c r="C16011" t="s">
        <v>49018</v>
      </c>
      <c r="D16011" t="s">
        <v>49019</v>
      </c>
      <c r="E16011" t="s">
        <v>49020</v>
      </c>
      <c r="F16011" t="s">
        <v>49023</v>
      </c>
      <c r="G16011" s="2" t="str">
        <f>HYPERLINK("https://probpalata.gov.ru/files/ЮЛ780300364500010.jpeg","Скачать индивидуальный QR-код магазина")</f>
        <v>Скачать индивидуальный QR-код магазина</v>
      </c>
    </row>
    <row r="16012" spans="1:7" x14ac:dyDescent="0.25">
      <c r="A16012" t="s">
        <v>46193</v>
      </c>
      <c r="B16012" t="s">
        <v>49024</v>
      </c>
      <c r="C16012" t="s">
        <v>49018</v>
      </c>
      <c r="D16012" t="s">
        <v>49019</v>
      </c>
      <c r="E16012" t="s">
        <v>49020</v>
      </c>
      <c r="F16012" t="s">
        <v>49025</v>
      </c>
      <c r="G16012" s="2" t="str">
        <f>HYPERLINK("https://probpalata.gov.ru/files/ЮЛ780300364500011.jpeg","Скачать индивидуальный QR-код магазина")</f>
        <v>Скачать индивидуальный QR-код магазина</v>
      </c>
    </row>
    <row r="16013" spans="1:7" x14ac:dyDescent="0.25">
      <c r="A16013" t="s">
        <v>46193</v>
      </c>
      <c r="B16013" t="s">
        <v>49026</v>
      </c>
      <c r="C16013" t="s">
        <v>49027</v>
      </c>
      <c r="D16013" t="s">
        <v>49028</v>
      </c>
      <c r="E16013" t="s">
        <v>49029</v>
      </c>
      <c r="F16013" t="s">
        <v>49030</v>
      </c>
      <c r="G16013" s="2" t="str">
        <f>HYPERLINK("https://probpalata.gov.ru/files/ЮЛ780300272700000.jpeg","Скачать индивидуальный QR-код магазина")</f>
        <v>Скачать индивидуальный QR-код магазина</v>
      </c>
    </row>
    <row r="16014" spans="1:7" x14ac:dyDescent="0.25">
      <c r="A16014" t="s">
        <v>46193</v>
      </c>
      <c r="B16014" t="s">
        <v>49031</v>
      </c>
      <c r="C16014" t="s">
        <v>49032</v>
      </c>
      <c r="D16014" t="s">
        <v>49033</v>
      </c>
      <c r="E16014" t="s">
        <v>49034</v>
      </c>
      <c r="F16014" t="s">
        <v>49035</v>
      </c>
      <c r="G16014" s="2" t="str">
        <f>HYPERLINK("https://probpalata.gov.ru/files/ЮЛ780301216300000.jpeg","Скачать индивидуальный QR-код магазина")</f>
        <v>Скачать индивидуальный QR-код магазина</v>
      </c>
    </row>
    <row r="16015" spans="1:7" x14ac:dyDescent="0.25">
      <c r="A16015" t="s">
        <v>46193</v>
      </c>
      <c r="B16015" t="s">
        <v>49036</v>
      </c>
      <c r="C16015" t="s">
        <v>49037</v>
      </c>
      <c r="D16015" t="s">
        <v>49038</v>
      </c>
      <c r="E16015" t="s">
        <v>49039</v>
      </c>
      <c r="F16015" t="s">
        <v>49040</v>
      </c>
      <c r="G16015" s="2" t="str">
        <f>HYPERLINK("https://probpalata.gov.ru/files/ИП780303713000000.jpeg","Скачать индивидуальный QR-код магазина")</f>
        <v>Скачать индивидуальный QR-код магазина</v>
      </c>
    </row>
    <row r="16016" spans="1:7" x14ac:dyDescent="0.25">
      <c r="A16016" t="s">
        <v>46193</v>
      </c>
      <c r="B16016" t="s">
        <v>49041</v>
      </c>
      <c r="C16016" t="s">
        <v>49042</v>
      </c>
      <c r="D16016" t="s">
        <v>49043</v>
      </c>
      <c r="E16016" t="s">
        <v>49044</v>
      </c>
      <c r="F16016" t="s">
        <v>49045</v>
      </c>
      <c r="G16016" s="2" t="str">
        <f>HYPERLINK("https://probpalata.gov.ru/files/ИП780301022100000.jpeg","Скачать индивидуальный QR-код магазина")</f>
        <v>Скачать индивидуальный QR-код магазина</v>
      </c>
    </row>
    <row r="16017" spans="1:7" x14ac:dyDescent="0.25">
      <c r="A16017" t="s">
        <v>46193</v>
      </c>
      <c r="B16017" t="s">
        <v>49046</v>
      </c>
      <c r="C16017" t="s">
        <v>49047</v>
      </c>
      <c r="D16017" t="s">
        <v>49048</v>
      </c>
      <c r="E16017" t="s">
        <v>49049</v>
      </c>
      <c r="F16017" t="s">
        <v>49050</v>
      </c>
      <c r="G16017" s="2" t="str">
        <f>HYPERLINK("https://probpalata.gov.ru/files/ИП780301024300000.jpeg","Скачать индивидуальный QR-код магазина")</f>
        <v>Скачать индивидуальный QR-код магазина</v>
      </c>
    </row>
    <row r="16018" spans="1:7" x14ac:dyDescent="0.25">
      <c r="A16018" t="s">
        <v>46193</v>
      </c>
      <c r="B16018" t="s">
        <v>49051</v>
      </c>
      <c r="C16018" t="s">
        <v>49052</v>
      </c>
      <c r="D16018" t="s">
        <v>49053</v>
      </c>
      <c r="E16018" t="s">
        <v>49054</v>
      </c>
      <c r="F16018" t="s">
        <v>49055</v>
      </c>
      <c r="G16018" s="2" t="str">
        <f>HYPERLINK("https://probpalata.gov.ru/files/ИП780300054600000.jpeg","Скачать индивидуальный QR-код магазина")</f>
        <v>Скачать индивидуальный QR-код магазина</v>
      </c>
    </row>
    <row r="16019" spans="1:7" x14ac:dyDescent="0.25">
      <c r="A16019" t="s">
        <v>46193</v>
      </c>
      <c r="B16019" t="s">
        <v>49056</v>
      </c>
      <c r="C16019" t="s">
        <v>49057</v>
      </c>
      <c r="D16019" t="s">
        <v>49058</v>
      </c>
      <c r="E16019" t="s">
        <v>49059</v>
      </c>
      <c r="F16019" t="s">
        <v>49060</v>
      </c>
      <c r="G16019" s="2" t="str">
        <f>HYPERLINK("https://probpalata.gov.ru/files/ИП470300440800000.jpeg","Скачать индивидуальный QR-код магазина")</f>
        <v>Скачать индивидуальный QR-код магазина</v>
      </c>
    </row>
    <row r="16020" spans="1:7" x14ac:dyDescent="0.25">
      <c r="A16020" t="s">
        <v>46193</v>
      </c>
      <c r="B16020" t="s">
        <v>49061</v>
      </c>
      <c r="C16020" t="s">
        <v>49062</v>
      </c>
      <c r="D16020" t="s">
        <v>49063</v>
      </c>
      <c r="E16020" t="s">
        <v>49064</v>
      </c>
      <c r="F16020" t="s">
        <v>49065</v>
      </c>
      <c r="G16020" s="2" t="str">
        <f>HYPERLINK("https://probpalata.gov.ru/files/ЮЛ780300364100000.jpeg","Скачать индивидуальный QR-код магазина")</f>
        <v>Скачать индивидуальный QR-код магазина</v>
      </c>
    </row>
    <row r="16021" spans="1:7" x14ac:dyDescent="0.25">
      <c r="A16021" t="s">
        <v>46193</v>
      </c>
      <c r="B16021" t="s">
        <v>49066</v>
      </c>
      <c r="C16021" t="s">
        <v>49067</v>
      </c>
      <c r="D16021" t="s">
        <v>49068</v>
      </c>
      <c r="E16021" t="s">
        <v>49069</v>
      </c>
      <c r="F16021" t="s">
        <v>49070</v>
      </c>
      <c r="G16021" s="2" t="str">
        <f>HYPERLINK("https://probpalata.gov.ru/files/ЮЛ780300140100000.jpeg","Скачать индивидуальный QR-код магазина")</f>
        <v>Скачать индивидуальный QR-код магазина</v>
      </c>
    </row>
    <row r="16022" spans="1:7" x14ac:dyDescent="0.25">
      <c r="A16022" t="s">
        <v>46193</v>
      </c>
      <c r="B16022" t="s">
        <v>49071</v>
      </c>
      <c r="C16022" t="s">
        <v>49072</v>
      </c>
      <c r="D16022" t="s">
        <v>49073</v>
      </c>
      <c r="E16022" t="s">
        <v>49074</v>
      </c>
      <c r="F16022" t="s">
        <v>49075</v>
      </c>
      <c r="G16022" s="2" t="str">
        <f>HYPERLINK("https://probpalata.gov.ru/files/ЮЛ780300369900000.jpeg","Скачать индивидуальный QR-код магазина")</f>
        <v>Скачать индивидуальный QR-код магазина</v>
      </c>
    </row>
    <row r="16023" spans="1:7" x14ac:dyDescent="0.25">
      <c r="A16023" t="s">
        <v>46193</v>
      </c>
      <c r="B16023" t="s">
        <v>49076</v>
      </c>
      <c r="C16023" t="s">
        <v>49077</v>
      </c>
      <c r="D16023" t="s">
        <v>49078</v>
      </c>
      <c r="E16023" t="s">
        <v>49079</v>
      </c>
      <c r="F16023" t="s">
        <v>49080</v>
      </c>
      <c r="G16023" s="2" t="str">
        <f>HYPERLINK("https://probpalata.gov.ru/files/ЮЛ780300892100000.jpeg","Скачать индивидуальный QR-код магазина")</f>
        <v>Скачать индивидуальный QR-код магазина</v>
      </c>
    </row>
    <row r="16024" spans="1:7" x14ac:dyDescent="0.25">
      <c r="A16024" t="s">
        <v>46193</v>
      </c>
      <c r="B16024" t="s">
        <v>49081</v>
      </c>
      <c r="C16024" t="s">
        <v>49082</v>
      </c>
      <c r="D16024" t="s">
        <v>49083</v>
      </c>
      <c r="E16024" t="s">
        <v>49084</v>
      </c>
      <c r="F16024" t="s">
        <v>49085</v>
      </c>
      <c r="G16024" s="2" t="str">
        <f>HYPERLINK("https://probpalata.gov.ru/files/ЮЛ780303507900001.jpeg","Скачать индивидуальный QR-код магазина")</f>
        <v>Скачать индивидуальный QR-код магазина</v>
      </c>
    </row>
    <row r="16025" spans="1:7" x14ac:dyDescent="0.25">
      <c r="A16025" t="s">
        <v>46193</v>
      </c>
      <c r="B16025" t="s">
        <v>49086</v>
      </c>
      <c r="C16025" t="s">
        <v>49082</v>
      </c>
      <c r="D16025" t="s">
        <v>49083</v>
      </c>
      <c r="E16025" t="s">
        <v>49084</v>
      </c>
      <c r="F16025" t="s">
        <v>49087</v>
      </c>
      <c r="G16025" s="2" t="str">
        <f>HYPERLINK("https://probpalata.gov.ru/files/ЮЛ780303507900002.jpeg","Скачать индивидуальный QR-код магазина")</f>
        <v>Скачать индивидуальный QR-код магазина</v>
      </c>
    </row>
    <row r="16026" spans="1:7" x14ac:dyDescent="0.25">
      <c r="A16026" t="s">
        <v>46193</v>
      </c>
      <c r="B16026" t="s">
        <v>49088</v>
      </c>
      <c r="C16026" t="s">
        <v>49082</v>
      </c>
      <c r="D16026" t="s">
        <v>49083</v>
      </c>
      <c r="E16026" t="s">
        <v>49084</v>
      </c>
      <c r="F16026" t="s">
        <v>49089</v>
      </c>
      <c r="G16026" s="2" t="str">
        <f>HYPERLINK("https://probpalata.gov.ru/files/ЮЛ780303507900003.jpeg","Скачать индивидуальный QR-код магазина")</f>
        <v>Скачать индивидуальный QR-код магазина</v>
      </c>
    </row>
    <row r="16027" spans="1:7" x14ac:dyDescent="0.25">
      <c r="A16027" t="s">
        <v>46193</v>
      </c>
      <c r="B16027" t="s">
        <v>49090</v>
      </c>
      <c r="C16027" t="s">
        <v>49091</v>
      </c>
      <c r="D16027" t="s">
        <v>49092</v>
      </c>
      <c r="E16027" t="s">
        <v>49093</v>
      </c>
      <c r="F16027" t="s">
        <v>49094</v>
      </c>
      <c r="G16027" s="2" t="str">
        <f>HYPERLINK("https://probpalata.gov.ru/files/ЮЛ780303430200000.jpeg","Скачать индивидуальный QR-код магазина")</f>
        <v>Скачать индивидуальный QR-код магазина</v>
      </c>
    </row>
    <row r="16028" spans="1:7" x14ac:dyDescent="0.25">
      <c r="A16028" t="s">
        <v>46193</v>
      </c>
      <c r="B16028" t="s">
        <v>49095</v>
      </c>
      <c r="C16028" t="s">
        <v>49096</v>
      </c>
      <c r="D16028" t="s">
        <v>49097</v>
      </c>
      <c r="E16028" t="s">
        <v>49098</v>
      </c>
      <c r="F16028" t="s">
        <v>49099</v>
      </c>
      <c r="G16028" s="2" t="str">
        <f>HYPERLINK("https://probpalata.gov.ru/files/ЮЛ780303686900000.jpeg","Скачать индивидуальный QR-код магазина")</f>
        <v>Скачать индивидуальный QR-код магазина</v>
      </c>
    </row>
    <row r="16029" spans="1:7" x14ac:dyDescent="0.25">
      <c r="A16029" t="s">
        <v>46193</v>
      </c>
      <c r="B16029" t="s">
        <v>49100</v>
      </c>
      <c r="C16029" t="s">
        <v>49096</v>
      </c>
      <c r="D16029" t="s">
        <v>49097</v>
      </c>
      <c r="E16029" t="s">
        <v>49098</v>
      </c>
      <c r="F16029" t="s">
        <v>49101</v>
      </c>
      <c r="G16029" s="2" t="str">
        <f>HYPERLINK("https://probpalata.gov.ru/files/ЮЛ780303686900001.jpeg","Скачать индивидуальный QR-код магазина")</f>
        <v>Скачать индивидуальный QR-код магазина</v>
      </c>
    </row>
    <row r="16030" spans="1:7" x14ac:dyDescent="0.25">
      <c r="A16030" t="s">
        <v>46193</v>
      </c>
      <c r="B16030" t="s">
        <v>49102</v>
      </c>
      <c r="C16030" t="s">
        <v>49103</v>
      </c>
      <c r="D16030" t="s">
        <v>49104</v>
      </c>
      <c r="E16030" t="s">
        <v>49105</v>
      </c>
      <c r="F16030" t="s">
        <v>49106</v>
      </c>
      <c r="G16030" s="2" t="str">
        <f>HYPERLINK("https://probpalata.gov.ru/files/ЮЛ780304060800000.jpeg","Скачать индивидуальный QR-код магазина")</f>
        <v>Скачать индивидуальный QR-код магазина</v>
      </c>
    </row>
    <row r="16031" spans="1:7" x14ac:dyDescent="0.25">
      <c r="A16031" t="s">
        <v>46193</v>
      </c>
      <c r="B16031" t="s">
        <v>49107</v>
      </c>
      <c r="C16031" t="s">
        <v>49103</v>
      </c>
      <c r="D16031" t="s">
        <v>49104</v>
      </c>
      <c r="E16031" t="s">
        <v>49105</v>
      </c>
      <c r="F16031" t="s">
        <v>49108</v>
      </c>
      <c r="G16031" s="2" t="str">
        <f>HYPERLINK("https://probpalata.gov.ru/files/ЮЛ780304060800001.jpeg","Скачать индивидуальный QR-код магазина")</f>
        <v>Скачать индивидуальный QR-код магазина</v>
      </c>
    </row>
    <row r="16032" spans="1:7" x14ac:dyDescent="0.25">
      <c r="A16032" t="s">
        <v>46193</v>
      </c>
      <c r="B16032" t="s">
        <v>49109</v>
      </c>
      <c r="C16032" t="s">
        <v>49110</v>
      </c>
      <c r="D16032" t="s">
        <v>49111</v>
      </c>
      <c r="E16032" t="s">
        <v>49112</v>
      </c>
      <c r="F16032" t="s">
        <v>49113</v>
      </c>
      <c r="G16032" s="2" t="str">
        <f>HYPERLINK("https://probpalata.gov.ru/files/ЮЛ780303952300000.jpeg","Скачать индивидуальный QR-код магазина")</f>
        <v>Скачать индивидуальный QR-код магазина</v>
      </c>
    </row>
    <row r="16033" spans="1:7" x14ac:dyDescent="0.25">
      <c r="A16033" t="s">
        <v>46193</v>
      </c>
      <c r="B16033" t="s">
        <v>49114</v>
      </c>
      <c r="C16033" t="s">
        <v>49115</v>
      </c>
      <c r="D16033" t="s">
        <v>49116</v>
      </c>
      <c r="E16033" t="s">
        <v>49117</v>
      </c>
      <c r="F16033" t="s">
        <v>49118</v>
      </c>
      <c r="G16033" s="2" t="str">
        <f>HYPERLINK("https://probpalata.gov.ru/files/ЮЛ780300814100000.jpeg","Скачать индивидуальный QR-код магазина")</f>
        <v>Скачать индивидуальный QR-код магазина</v>
      </c>
    </row>
    <row r="16034" spans="1:7" x14ac:dyDescent="0.25">
      <c r="A16034" t="s">
        <v>46193</v>
      </c>
      <c r="B16034" t="s">
        <v>49119</v>
      </c>
      <c r="C16034" t="s">
        <v>49120</v>
      </c>
      <c r="D16034" t="s">
        <v>49121</v>
      </c>
      <c r="E16034" t="s">
        <v>49122</v>
      </c>
      <c r="F16034" t="s">
        <v>49123</v>
      </c>
      <c r="G16034" s="2" t="str">
        <f>HYPERLINK("https://probpalata.gov.ru/files/ЮЛ780300358100000.jpeg","Скачать индивидуальный QR-код магазина")</f>
        <v>Скачать индивидуальный QR-код магазина</v>
      </c>
    </row>
    <row r="16035" spans="1:7" x14ac:dyDescent="0.25">
      <c r="A16035" t="s">
        <v>46193</v>
      </c>
      <c r="B16035" t="s">
        <v>49124</v>
      </c>
      <c r="C16035" t="s">
        <v>49125</v>
      </c>
      <c r="D16035" t="s">
        <v>49126</v>
      </c>
      <c r="E16035" t="s">
        <v>49127</v>
      </c>
      <c r="F16035" t="s">
        <v>49128</v>
      </c>
      <c r="G16035" s="2" t="str">
        <f>HYPERLINK("https://probpalata.gov.ru/files/ЮЛ780301068900000.jpeg","Скачать индивидуальный QR-код магазина")</f>
        <v>Скачать индивидуальный QR-код магазина</v>
      </c>
    </row>
    <row r="16036" spans="1:7" x14ac:dyDescent="0.25">
      <c r="A16036" t="s">
        <v>46193</v>
      </c>
      <c r="B16036" t="s">
        <v>49129</v>
      </c>
      <c r="C16036" t="s">
        <v>5250</v>
      </c>
      <c r="D16036" t="s">
        <v>5251</v>
      </c>
      <c r="E16036" t="s">
        <v>5252</v>
      </c>
      <c r="F16036" t="s">
        <v>49130</v>
      </c>
      <c r="G16036" s="2" t="str">
        <f>HYPERLINK("https://probpalata.gov.ru/files/ИП780303664800004.jpeg","Скачать индивидуальный QR-код магазина")</f>
        <v>Скачать индивидуальный QR-код магазина</v>
      </c>
    </row>
    <row r="16037" spans="1:7" x14ac:dyDescent="0.25">
      <c r="A16037" t="s">
        <v>46193</v>
      </c>
      <c r="B16037" t="s">
        <v>49131</v>
      </c>
      <c r="C16037" t="s">
        <v>5250</v>
      </c>
      <c r="D16037" t="s">
        <v>5251</v>
      </c>
      <c r="E16037" t="s">
        <v>5252</v>
      </c>
      <c r="F16037" t="s">
        <v>49132</v>
      </c>
      <c r="G16037" s="2" t="str">
        <f>HYPERLINK("https://probpalata.gov.ru/files/ИП780303664800006.jpeg","Скачать индивидуальный QR-код магазина")</f>
        <v>Скачать индивидуальный QR-код магазина</v>
      </c>
    </row>
    <row r="16038" spans="1:7" x14ac:dyDescent="0.25">
      <c r="A16038" t="s">
        <v>46193</v>
      </c>
      <c r="B16038" t="s">
        <v>49133</v>
      </c>
      <c r="C16038" t="s">
        <v>5250</v>
      </c>
      <c r="D16038" t="s">
        <v>5251</v>
      </c>
      <c r="E16038" t="s">
        <v>5252</v>
      </c>
      <c r="F16038" t="s">
        <v>49134</v>
      </c>
      <c r="G16038" s="2" t="str">
        <f>HYPERLINK("https://probpalata.gov.ru/files/ИП780303664800007.jpeg","Скачать индивидуальный QR-код магазина")</f>
        <v>Скачать индивидуальный QR-код магазина</v>
      </c>
    </row>
    <row r="16039" spans="1:7" x14ac:dyDescent="0.25">
      <c r="A16039" t="s">
        <v>46193</v>
      </c>
      <c r="B16039" t="s">
        <v>49135</v>
      </c>
      <c r="C16039" t="s">
        <v>5250</v>
      </c>
      <c r="D16039" t="s">
        <v>5251</v>
      </c>
      <c r="E16039" t="s">
        <v>5252</v>
      </c>
      <c r="F16039" t="s">
        <v>49136</v>
      </c>
      <c r="G16039" s="2" t="str">
        <f>HYPERLINK("https://probpalata.gov.ru/files/ИП780303664800009.jpeg","Скачать индивидуальный QR-код магазина")</f>
        <v>Скачать индивидуальный QR-код магазина</v>
      </c>
    </row>
    <row r="16040" spans="1:7" x14ac:dyDescent="0.25">
      <c r="A16040" t="s">
        <v>46193</v>
      </c>
      <c r="B16040" t="s">
        <v>49137</v>
      </c>
      <c r="C16040" t="s">
        <v>5250</v>
      </c>
      <c r="D16040" t="s">
        <v>5251</v>
      </c>
      <c r="E16040" t="s">
        <v>5252</v>
      </c>
      <c r="F16040" t="s">
        <v>49138</v>
      </c>
      <c r="G16040" s="2" t="str">
        <f>HYPERLINK("https://probpalata.gov.ru/files/ИП780303664800010.jpeg","Скачать индивидуальный QR-код магазина")</f>
        <v>Скачать индивидуальный QR-код магазина</v>
      </c>
    </row>
    <row r="16041" spans="1:7" x14ac:dyDescent="0.25">
      <c r="A16041" t="s">
        <v>46193</v>
      </c>
      <c r="B16041" t="s">
        <v>49139</v>
      </c>
      <c r="C16041" t="s">
        <v>5250</v>
      </c>
      <c r="D16041" t="s">
        <v>5251</v>
      </c>
      <c r="E16041" t="s">
        <v>5252</v>
      </c>
      <c r="F16041" t="s">
        <v>49140</v>
      </c>
      <c r="G16041" s="2" t="str">
        <f>HYPERLINK("https://probpalata.gov.ru/files/ИП780303664800011.jpeg","Скачать индивидуальный QR-код магазина")</f>
        <v>Скачать индивидуальный QR-код магазина</v>
      </c>
    </row>
    <row r="16042" spans="1:7" x14ac:dyDescent="0.25">
      <c r="A16042" t="s">
        <v>46193</v>
      </c>
      <c r="B16042" t="s">
        <v>49141</v>
      </c>
      <c r="C16042" t="s">
        <v>5250</v>
      </c>
      <c r="D16042" t="s">
        <v>5251</v>
      </c>
      <c r="E16042" t="s">
        <v>5252</v>
      </c>
      <c r="F16042" t="s">
        <v>49142</v>
      </c>
      <c r="G16042" s="2" t="str">
        <f>HYPERLINK("https://probpalata.gov.ru/files/ИП780303664800014.jpeg","Скачать индивидуальный QR-код магазина")</f>
        <v>Скачать индивидуальный QR-код магазина</v>
      </c>
    </row>
    <row r="16043" spans="1:7" x14ac:dyDescent="0.25">
      <c r="A16043" t="s">
        <v>46193</v>
      </c>
      <c r="B16043" t="s">
        <v>49143</v>
      </c>
      <c r="C16043" t="s">
        <v>5250</v>
      </c>
      <c r="D16043" t="s">
        <v>5251</v>
      </c>
      <c r="E16043" t="s">
        <v>5252</v>
      </c>
      <c r="F16043" t="s">
        <v>49144</v>
      </c>
      <c r="G16043" s="2" t="str">
        <f>HYPERLINK("https://probpalata.gov.ru/files/ИП780303664800015.jpeg","Скачать индивидуальный QR-код магазина")</f>
        <v>Скачать индивидуальный QR-код магазина</v>
      </c>
    </row>
    <row r="16044" spans="1:7" x14ac:dyDescent="0.25">
      <c r="A16044" t="s">
        <v>46193</v>
      </c>
      <c r="B16044" t="s">
        <v>49145</v>
      </c>
      <c r="C16044" t="s">
        <v>49146</v>
      </c>
      <c r="D16044" t="s">
        <v>49147</v>
      </c>
      <c r="E16044" t="s">
        <v>49148</v>
      </c>
      <c r="F16044" t="s">
        <v>49149</v>
      </c>
      <c r="G16044" s="2" t="str">
        <f>HYPERLINK("https://probpalata.gov.ru/files/ИП780303965700000.jpeg","Скачать индивидуальный QR-код магазина")</f>
        <v>Скачать индивидуальный QR-код магазина</v>
      </c>
    </row>
    <row r="16045" spans="1:7" x14ac:dyDescent="0.25">
      <c r="A16045" t="s">
        <v>46193</v>
      </c>
      <c r="B16045" t="s">
        <v>49150</v>
      </c>
      <c r="C16045" t="s">
        <v>49151</v>
      </c>
      <c r="D16045" t="s">
        <v>49152</v>
      </c>
      <c r="E16045" t="s">
        <v>49153</v>
      </c>
      <c r="F16045" t="s">
        <v>49154</v>
      </c>
      <c r="G16045" s="2" t="str">
        <f>HYPERLINK("https://probpalata.gov.ru/files/ЮЛ780300235100002.jpeg","Скачать индивидуальный QR-код магазина")</f>
        <v>Скачать индивидуальный QR-код магазина</v>
      </c>
    </row>
    <row r="16046" spans="1:7" x14ac:dyDescent="0.25">
      <c r="A16046" t="s">
        <v>46193</v>
      </c>
      <c r="B16046" t="s">
        <v>49155</v>
      </c>
      <c r="C16046" t="s">
        <v>49151</v>
      </c>
      <c r="D16046" t="s">
        <v>49152</v>
      </c>
      <c r="E16046" t="s">
        <v>49153</v>
      </c>
      <c r="F16046" t="s">
        <v>49156</v>
      </c>
      <c r="G16046" s="2" t="str">
        <f>HYPERLINK("https://probpalata.gov.ru/files/ЮЛ780300235100003.jpeg","Скачать индивидуальный QR-код магазина")</f>
        <v>Скачать индивидуальный QR-код магазина</v>
      </c>
    </row>
    <row r="16047" spans="1:7" x14ac:dyDescent="0.25">
      <c r="A16047" t="s">
        <v>46193</v>
      </c>
      <c r="B16047" t="s">
        <v>49157</v>
      </c>
      <c r="C16047" t="s">
        <v>49158</v>
      </c>
      <c r="D16047" t="s">
        <v>49159</v>
      </c>
      <c r="E16047" t="s">
        <v>49160</v>
      </c>
      <c r="F16047" t="s">
        <v>49161</v>
      </c>
      <c r="G16047" s="2" t="str">
        <f>HYPERLINK("https://probpalata.gov.ru/files/ЮЛ780301260900001.jpeg","Скачать индивидуальный QR-код магазина")</f>
        <v>Скачать индивидуальный QR-код магазина</v>
      </c>
    </row>
    <row r="16048" spans="1:7" x14ac:dyDescent="0.25">
      <c r="A16048" t="s">
        <v>46193</v>
      </c>
      <c r="B16048" t="s">
        <v>49162</v>
      </c>
      <c r="C16048" t="s">
        <v>49158</v>
      </c>
      <c r="D16048" t="s">
        <v>49159</v>
      </c>
      <c r="E16048" t="s">
        <v>49160</v>
      </c>
      <c r="F16048" t="s">
        <v>49163</v>
      </c>
      <c r="G16048" s="2" t="str">
        <f>HYPERLINK("https://probpalata.gov.ru/files/ЮЛ780301260900003.jpeg","Скачать индивидуальный QR-код магазина")</f>
        <v>Скачать индивидуальный QR-код магазина</v>
      </c>
    </row>
    <row r="16049" spans="1:7" x14ac:dyDescent="0.25">
      <c r="A16049" t="s">
        <v>46193</v>
      </c>
      <c r="B16049" t="s">
        <v>49164</v>
      </c>
      <c r="C16049" t="s">
        <v>49165</v>
      </c>
      <c r="D16049" t="s">
        <v>49166</v>
      </c>
      <c r="E16049" t="s">
        <v>49167</v>
      </c>
      <c r="F16049" t="s">
        <v>49168</v>
      </c>
      <c r="G16049" s="2" t="str">
        <f>HYPERLINK("https://probpalata.gov.ru/files/ЮЛ780300136800000.jpeg","Скачать индивидуальный QR-код магазина")</f>
        <v>Скачать индивидуальный QR-код магазина</v>
      </c>
    </row>
    <row r="16050" spans="1:7" x14ac:dyDescent="0.25">
      <c r="A16050" t="s">
        <v>46193</v>
      </c>
      <c r="B16050" t="s">
        <v>49169</v>
      </c>
      <c r="C16050" t="s">
        <v>49170</v>
      </c>
      <c r="D16050" t="s">
        <v>49171</v>
      </c>
      <c r="E16050" t="s">
        <v>49172</v>
      </c>
      <c r="F16050" t="s">
        <v>49173</v>
      </c>
      <c r="G16050" s="2" t="str">
        <f>HYPERLINK("https://probpalata.gov.ru/files/ЮЛ780301367600000.jpeg","Скачать индивидуальный QR-код магазина")</f>
        <v>Скачать индивидуальный QR-код магазина</v>
      </c>
    </row>
    <row r="16051" spans="1:7" x14ac:dyDescent="0.25">
      <c r="A16051" t="s">
        <v>46193</v>
      </c>
      <c r="B16051" t="s">
        <v>49174</v>
      </c>
      <c r="C16051" t="s">
        <v>11902</v>
      </c>
      <c r="D16051" t="s">
        <v>49175</v>
      </c>
      <c r="E16051" t="s">
        <v>49176</v>
      </c>
      <c r="F16051" t="s">
        <v>49177</v>
      </c>
      <c r="G16051" s="2" t="str">
        <f>HYPERLINK("https://probpalata.gov.ru/files/ЮЛ780300057400000.jpeg","Скачать индивидуальный QR-код магазина")</f>
        <v>Скачать индивидуальный QR-код магазина</v>
      </c>
    </row>
    <row r="16052" spans="1:7" x14ac:dyDescent="0.25">
      <c r="A16052" t="s">
        <v>46193</v>
      </c>
      <c r="B16052" t="s">
        <v>49178</v>
      </c>
      <c r="C16052" t="s">
        <v>49179</v>
      </c>
      <c r="D16052" t="s">
        <v>49180</v>
      </c>
      <c r="E16052" t="s">
        <v>49181</v>
      </c>
      <c r="F16052" t="s">
        <v>49182</v>
      </c>
      <c r="G16052" s="2" t="str">
        <f>HYPERLINK("https://probpalata.gov.ru/files/ЮЛ780300314600000.jpeg","Скачать индивидуальный QR-код магазина")</f>
        <v>Скачать индивидуальный QR-код магазина</v>
      </c>
    </row>
    <row r="16053" spans="1:7" x14ac:dyDescent="0.25">
      <c r="A16053" t="s">
        <v>46193</v>
      </c>
      <c r="B16053" t="s">
        <v>49183</v>
      </c>
      <c r="C16053" t="s">
        <v>49184</v>
      </c>
      <c r="D16053" t="s">
        <v>49185</v>
      </c>
      <c r="E16053" t="s">
        <v>49186</v>
      </c>
      <c r="F16053" t="s">
        <v>49187</v>
      </c>
      <c r="G16053" s="2" t="str">
        <f>HYPERLINK("https://probpalata.gov.ru/files/ЮЛ780300316900003.jpeg","Скачать индивидуальный QR-код магазина")</f>
        <v>Скачать индивидуальный QR-код магазина</v>
      </c>
    </row>
    <row r="16054" spans="1:7" x14ac:dyDescent="0.25">
      <c r="A16054" t="s">
        <v>46193</v>
      </c>
      <c r="B16054" t="s">
        <v>49188</v>
      </c>
      <c r="C16054" t="s">
        <v>49184</v>
      </c>
      <c r="D16054" t="s">
        <v>49185</v>
      </c>
      <c r="E16054" t="s">
        <v>49186</v>
      </c>
      <c r="F16054" t="s">
        <v>49189</v>
      </c>
      <c r="G16054" s="2" t="str">
        <f>HYPERLINK("https://probpalata.gov.ru/files/ЮЛ780300316900005.jpeg","Скачать индивидуальный QR-код магазина")</f>
        <v>Скачать индивидуальный QR-код магазина</v>
      </c>
    </row>
    <row r="16055" spans="1:7" x14ac:dyDescent="0.25">
      <c r="A16055" t="s">
        <v>46193</v>
      </c>
      <c r="B16055" t="s">
        <v>49190</v>
      </c>
      <c r="C16055" t="s">
        <v>49191</v>
      </c>
      <c r="D16055" t="s">
        <v>49192</v>
      </c>
      <c r="E16055" t="s">
        <v>49193</v>
      </c>
      <c r="F16055" t="s">
        <v>49194</v>
      </c>
      <c r="G16055" s="2" t="str">
        <f>HYPERLINK("https://probpalata.gov.ru/files/ЮЛ780301567100000.jpeg","Скачать индивидуальный QR-код магазина")</f>
        <v>Скачать индивидуальный QR-код магазина</v>
      </c>
    </row>
    <row r="16056" spans="1:7" x14ac:dyDescent="0.25">
      <c r="A16056" t="s">
        <v>46193</v>
      </c>
      <c r="B16056" t="s">
        <v>49195</v>
      </c>
      <c r="C16056" t="s">
        <v>49196</v>
      </c>
      <c r="D16056" t="s">
        <v>49197</v>
      </c>
      <c r="E16056" t="s">
        <v>49198</v>
      </c>
      <c r="F16056" t="s">
        <v>49199</v>
      </c>
      <c r="G16056" s="2" t="str">
        <f>HYPERLINK("https://probpalata.gov.ru/files/ЮЛ780302037800000.jpeg","Скачать индивидуальный QR-код магазина")</f>
        <v>Скачать индивидуальный QR-код магазина</v>
      </c>
    </row>
    <row r="16057" spans="1:7" x14ac:dyDescent="0.25">
      <c r="A16057" t="s">
        <v>46193</v>
      </c>
      <c r="B16057" t="s">
        <v>49200</v>
      </c>
      <c r="C16057" t="s">
        <v>49201</v>
      </c>
      <c r="D16057" t="s">
        <v>49202</v>
      </c>
      <c r="E16057" t="s">
        <v>49203</v>
      </c>
      <c r="F16057" t="s">
        <v>49204</v>
      </c>
      <c r="G16057" s="2" t="str">
        <f>HYPERLINK("https://probpalata.gov.ru/files/ЮЛ780301416200000.jpeg","Скачать индивидуальный QR-код магазина")</f>
        <v>Скачать индивидуальный QR-код магазина</v>
      </c>
    </row>
    <row r="16058" spans="1:7" x14ac:dyDescent="0.25">
      <c r="A16058" t="s">
        <v>46193</v>
      </c>
      <c r="B16058" t="s">
        <v>49205</v>
      </c>
      <c r="C16058" t="s">
        <v>2204</v>
      </c>
      <c r="D16058" t="s">
        <v>49206</v>
      </c>
      <c r="E16058" t="s">
        <v>49207</v>
      </c>
      <c r="F16058" t="s">
        <v>49208</v>
      </c>
      <c r="G16058" s="2" t="str">
        <f>HYPERLINK("https://probpalata.gov.ru/files/ЮЛ780300968400000.jpeg","Скачать индивидуальный QR-код магазина")</f>
        <v>Скачать индивидуальный QR-код магазина</v>
      </c>
    </row>
    <row r="16059" spans="1:7" x14ac:dyDescent="0.25">
      <c r="A16059" t="s">
        <v>46193</v>
      </c>
      <c r="B16059" t="s">
        <v>49209</v>
      </c>
      <c r="C16059" t="s">
        <v>2204</v>
      </c>
      <c r="D16059" t="s">
        <v>49206</v>
      </c>
      <c r="E16059" t="s">
        <v>49207</v>
      </c>
      <c r="F16059" t="s">
        <v>49210</v>
      </c>
      <c r="G16059" s="2" t="str">
        <f>HYPERLINK("https://probpalata.gov.ru/files/ЮЛ780300968400005.jpeg","Скачать индивидуальный QR-код магазина")</f>
        <v>Скачать индивидуальный QR-код магазина</v>
      </c>
    </row>
    <row r="16060" spans="1:7" x14ac:dyDescent="0.25">
      <c r="A16060" t="s">
        <v>46193</v>
      </c>
      <c r="B16060" t="s">
        <v>49211</v>
      </c>
      <c r="C16060" t="s">
        <v>49212</v>
      </c>
      <c r="D16060" t="s">
        <v>49213</v>
      </c>
      <c r="E16060" t="s">
        <v>49214</v>
      </c>
      <c r="F16060" t="s">
        <v>49215</v>
      </c>
      <c r="G16060" s="2" t="str">
        <f>HYPERLINK("https://probpalata.gov.ru/files/ЮЛ780300750400000.jpeg","Скачать индивидуальный QR-код магазина")</f>
        <v>Скачать индивидуальный QR-код магазина</v>
      </c>
    </row>
    <row r="16061" spans="1:7" x14ac:dyDescent="0.25">
      <c r="A16061" t="s">
        <v>46193</v>
      </c>
      <c r="B16061" t="s">
        <v>49216</v>
      </c>
      <c r="C16061" t="s">
        <v>49212</v>
      </c>
      <c r="D16061" t="s">
        <v>49213</v>
      </c>
      <c r="E16061" t="s">
        <v>49214</v>
      </c>
      <c r="F16061" t="s">
        <v>49217</v>
      </c>
      <c r="G16061" s="2" t="str">
        <f>HYPERLINK("https://probpalata.gov.ru/files/ЮЛ780300750400001.jpeg","Скачать индивидуальный QR-код магазина")</f>
        <v>Скачать индивидуальный QR-код магазина</v>
      </c>
    </row>
    <row r="16062" spans="1:7" x14ac:dyDescent="0.25">
      <c r="A16062" t="s">
        <v>46193</v>
      </c>
      <c r="B16062" t="s">
        <v>49218</v>
      </c>
      <c r="C16062" t="s">
        <v>49212</v>
      </c>
      <c r="D16062" t="s">
        <v>49213</v>
      </c>
      <c r="E16062" t="s">
        <v>49214</v>
      </c>
      <c r="F16062" t="s">
        <v>49219</v>
      </c>
      <c r="G16062" s="2" t="str">
        <f>HYPERLINK("https://probpalata.gov.ru/files/ЮЛ780300750400003.jpeg","Скачать индивидуальный QR-код магазина")</f>
        <v>Скачать индивидуальный QR-код магазина</v>
      </c>
    </row>
    <row r="16063" spans="1:7" x14ac:dyDescent="0.25">
      <c r="A16063" t="s">
        <v>46193</v>
      </c>
      <c r="B16063" t="s">
        <v>49220</v>
      </c>
      <c r="C16063" t="s">
        <v>49212</v>
      </c>
      <c r="D16063" t="s">
        <v>49213</v>
      </c>
      <c r="E16063" t="s">
        <v>49214</v>
      </c>
      <c r="F16063" t="s">
        <v>49221</v>
      </c>
      <c r="G16063" s="2" t="str">
        <f>HYPERLINK("https://probpalata.gov.ru/files/ЮЛ780300750400004.jpeg","Скачать индивидуальный QR-код магазина")</f>
        <v>Скачать индивидуальный QR-код магазина</v>
      </c>
    </row>
    <row r="16064" spans="1:7" x14ac:dyDescent="0.25">
      <c r="A16064" t="s">
        <v>46193</v>
      </c>
      <c r="B16064" t="s">
        <v>49209</v>
      </c>
      <c r="C16064" t="s">
        <v>49212</v>
      </c>
      <c r="D16064" t="s">
        <v>49213</v>
      </c>
      <c r="E16064" t="s">
        <v>49214</v>
      </c>
      <c r="F16064" t="s">
        <v>49222</v>
      </c>
      <c r="G16064" s="2" t="str">
        <f>HYPERLINK("https://probpalata.gov.ru/files/ЮЛ780300750400005.jpeg","Скачать индивидуальный QR-код магазина")</f>
        <v>Скачать индивидуальный QR-код магазина</v>
      </c>
    </row>
    <row r="16065" spans="1:7" x14ac:dyDescent="0.25">
      <c r="A16065" t="s">
        <v>46193</v>
      </c>
      <c r="B16065" t="s">
        <v>49223</v>
      </c>
      <c r="C16065" t="s">
        <v>49224</v>
      </c>
      <c r="D16065" t="s">
        <v>49225</v>
      </c>
      <c r="E16065" t="s">
        <v>49226</v>
      </c>
      <c r="F16065" t="s">
        <v>49227</v>
      </c>
      <c r="G16065" s="2" t="str">
        <f>HYPERLINK("https://probpalata.gov.ru/files/ЮЛ780303209000000.jpeg","Скачать индивидуальный QR-код магазина")</f>
        <v>Скачать индивидуальный QR-код магазина</v>
      </c>
    </row>
    <row r="16066" spans="1:7" x14ac:dyDescent="0.25">
      <c r="A16066" t="s">
        <v>46193</v>
      </c>
      <c r="B16066" t="s">
        <v>49228</v>
      </c>
      <c r="C16066" t="s">
        <v>49229</v>
      </c>
      <c r="D16066" t="s">
        <v>49230</v>
      </c>
      <c r="E16066" t="s">
        <v>49231</v>
      </c>
      <c r="F16066" t="s">
        <v>49232</v>
      </c>
      <c r="G16066" s="2" t="str">
        <f>HYPERLINK("https://probpalata.gov.ru/files/ЮЛ780303325800000.jpeg","Скачать индивидуальный QR-код магазина")</f>
        <v>Скачать индивидуальный QR-код магазина</v>
      </c>
    </row>
    <row r="16067" spans="1:7" x14ac:dyDescent="0.25">
      <c r="A16067" t="s">
        <v>46193</v>
      </c>
      <c r="B16067" t="s">
        <v>49233</v>
      </c>
      <c r="C16067" t="s">
        <v>25618</v>
      </c>
      <c r="D16067" t="s">
        <v>25619</v>
      </c>
      <c r="E16067" t="s">
        <v>25620</v>
      </c>
      <c r="F16067" t="s">
        <v>49234</v>
      </c>
      <c r="G16067" s="2" t="str">
        <f>HYPERLINK("https://probpalata.gov.ru/files/ЮЛ780300880400001.jpeg","Скачать индивидуальный QR-код магазина")</f>
        <v>Скачать индивидуальный QR-код магазина</v>
      </c>
    </row>
    <row r="16068" spans="1:7" x14ac:dyDescent="0.25">
      <c r="A16068" t="s">
        <v>46193</v>
      </c>
      <c r="B16068" t="s">
        <v>49235</v>
      </c>
      <c r="C16068" t="s">
        <v>49236</v>
      </c>
      <c r="D16068" t="s">
        <v>49237</v>
      </c>
      <c r="E16068" t="s">
        <v>49238</v>
      </c>
      <c r="F16068" t="s">
        <v>49239</v>
      </c>
      <c r="G16068" s="2" t="str">
        <f>HYPERLINK("https://probpalata.gov.ru/files/ЮЛ780301427400000.jpeg","Скачать индивидуальный QR-код магазина")</f>
        <v>Скачать индивидуальный QR-код магазина</v>
      </c>
    </row>
    <row r="16069" spans="1:7" x14ac:dyDescent="0.25">
      <c r="A16069" t="s">
        <v>46193</v>
      </c>
      <c r="B16069" t="s">
        <v>49240</v>
      </c>
      <c r="C16069" t="s">
        <v>49241</v>
      </c>
      <c r="D16069" t="s">
        <v>49242</v>
      </c>
      <c r="E16069" t="s">
        <v>49243</v>
      </c>
      <c r="F16069" t="s">
        <v>49244</v>
      </c>
      <c r="G16069" s="2" t="str">
        <f>HYPERLINK("https://probpalata.gov.ru/files/ЮЛ780301372700000.jpeg","Скачать индивидуальный QR-код магазина")</f>
        <v>Скачать индивидуальный QR-код магазина</v>
      </c>
    </row>
    <row r="16070" spans="1:7" x14ac:dyDescent="0.25">
      <c r="A16070" t="s">
        <v>46193</v>
      </c>
      <c r="B16070" t="s">
        <v>49245</v>
      </c>
      <c r="C16070" t="s">
        <v>49241</v>
      </c>
      <c r="D16070" t="s">
        <v>49242</v>
      </c>
      <c r="E16070" t="s">
        <v>49243</v>
      </c>
      <c r="F16070" t="s">
        <v>49246</v>
      </c>
      <c r="G16070" s="2" t="str">
        <f>HYPERLINK("https://probpalata.gov.ru/files/ЮЛ780301372700001.jpeg","Скачать индивидуальный QR-код магазина")</f>
        <v>Скачать индивидуальный QR-код магазина</v>
      </c>
    </row>
    <row r="16071" spans="1:7" x14ac:dyDescent="0.25">
      <c r="A16071" t="s">
        <v>46193</v>
      </c>
      <c r="B16071" t="s">
        <v>49247</v>
      </c>
      <c r="C16071" t="s">
        <v>49248</v>
      </c>
      <c r="D16071" t="s">
        <v>49249</v>
      </c>
      <c r="E16071" t="s">
        <v>49250</v>
      </c>
      <c r="F16071" t="s">
        <v>49251</v>
      </c>
      <c r="G16071" s="2" t="str">
        <f>HYPERLINK("https://probpalata.gov.ru/files/ЮЛ780303831200000.jpeg","Скачать индивидуальный QR-код магазина")</f>
        <v>Скачать индивидуальный QR-код магазина</v>
      </c>
    </row>
    <row r="16072" spans="1:7" x14ac:dyDescent="0.25">
      <c r="A16072" t="s">
        <v>46193</v>
      </c>
      <c r="B16072" t="s">
        <v>49252</v>
      </c>
      <c r="C16072" t="s">
        <v>49253</v>
      </c>
      <c r="D16072" t="s">
        <v>49254</v>
      </c>
      <c r="E16072" t="s">
        <v>49255</v>
      </c>
      <c r="F16072" t="s">
        <v>49256</v>
      </c>
      <c r="G16072" s="2" t="str">
        <f>HYPERLINK("https://probpalata.gov.ru/files/ЮЛ780301595800000.jpeg","Скачать индивидуальный QR-код магазина")</f>
        <v>Скачать индивидуальный QR-код магазина</v>
      </c>
    </row>
    <row r="16073" spans="1:7" x14ac:dyDescent="0.25">
      <c r="A16073" t="s">
        <v>46193</v>
      </c>
      <c r="B16073" t="s">
        <v>49257</v>
      </c>
      <c r="C16073" t="s">
        <v>49258</v>
      </c>
      <c r="D16073" t="s">
        <v>49259</v>
      </c>
      <c r="E16073" t="s">
        <v>49260</v>
      </c>
      <c r="F16073" t="s">
        <v>49261</v>
      </c>
      <c r="G16073" s="2" t="str">
        <f>HYPERLINK("https://probpalata.gov.ru/files/ЮЛ780300884900000.jpeg","Скачать индивидуальный QR-код магазина")</f>
        <v>Скачать индивидуальный QR-код магазина</v>
      </c>
    </row>
    <row r="16074" spans="1:7" x14ac:dyDescent="0.25">
      <c r="A16074" t="s">
        <v>46193</v>
      </c>
      <c r="B16074" t="s">
        <v>49262</v>
      </c>
      <c r="C16074" t="s">
        <v>49263</v>
      </c>
      <c r="D16074" t="s">
        <v>49264</v>
      </c>
      <c r="E16074" t="s">
        <v>49265</v>
      </c>
      <c r="F16074" t="s">
        <v>49266</v>
      </c>
      <c r="G16074" s="2" t="str">
        <f>HYPERLINK("https://probpalata.gov.ru/files/ЮЛ780300889300000.jpeg","Скачать индивидуальный QR-код магазина")</f>
        <v>Скачать индивидуальный QR-код магазина</v>
      </c>
    </row>
    <row r="16075" spans="1:7" x14ac:dyDescent="0.25">
      <c r="A16075" t="s">
        <v>46193</v>
      </c>
      <c r="B16075" t="s">
        <v>49267</v>
      </c>
      <c r="C16075" t="s">
        <v>49268</v>
      </c>
      <c r="D16075" t="s">
        <v>49269</v>
      </c>
      <c r="E16075" t="s">
        <v>49270</v>
      </c>
      <c r="F16075" t="s">
        <v>49271</v>
      </c>
      <c r="G16075" s="2" t="str">
        <f>HYPERLINK("https://probpalata.gov.ru/files/ЮЛ780301277900000.jpeg","Скачать индивидуальный QR-код магазина")</f>
        <v>Скачать индивидуальный QR-код магазина</v>
      </c>
    </row>
    <row r="16076" spans="1:7" x14ac:dyDescent="0.25">
      <c r="A16076" t="s">
        <v>46193</v>
      </c>
      <c r="B16076" t="s">
        <v>49272</v>
      </c>
      <c r="C16076" t="s">
        <v>49273</v>
      </c>
      <c r="D16076" t="s">
        <v>49274</v>
      </c>
      <c r="E16076" t="s">
        <v>49275</v>
      </c>
      <c r="F16076" t="s">
        <v>49276</v>
      </c>
      <c r="G16076" s="2" t="str">
        <f>HYPERLINK("https://probpalata.gov.ru/files/ЮЛ780301732300000.jpeg","Скачать индивидуальный QR-код магазина")</f>
        <v>Скачать индивидуальный QR-код магазина</v>
      </c>
    </row>
    <row r="16077" spans="1:7" x14ac:dyDescent="0.25">
      <c r="A16077" t="s">
        <v>46193</v>
      </c>
      <c r="B16077" t="s">
        <v>49277</v>
      </c>
      <c r="C16077" t="s">
        <v>49273</v>
      </c>
      <c r="D16077" t="s">
        <v>49274</v>
      </c>
      <c r="E16077" t="s">
        <v>49275</v>
      </c>
      <c r="F16077" t="s">
        <v>49278</v>
      </c>
      <c r="G16077" s="2" t="str">
        <f>HYPERLINK("https://probpalata.gov.ru/files/ЮЛ780301732300001.jpeg","Скачать индивидуальный QR-код магазина")</f>
        <v>Скачать индивидуальный QR-код магазина</v>
      </c>
    </row>
    <row r="16078" spans="1:7" x14ac:dyDescent="0.25">
      <c r="A16078" t="s">
        <v>46193</v>
      </c>
      <c r="B16078" t="s">
        <v>49279</v>
      </c>
      <c r="C16078" t="s">
        <v>49280</v>
      </c>
      <c r="D16078" t="s">
        <v>49281</v>
      </c>
      <c r="E16078" t="s">
        <v>49282</v>
      </c>
      <c r="F16078" t="s">
        <v>49283</v>
      </c>
      <c r="G16078" s="2" t="str">
        <f>HYPERLINK("https://probpalata.gov.ru/files/ЮЛ780301368400000.jpeg","Скачать индивидуальный QR-код магазина")</f>
        <v>Скачать индивидуальный QR-код магазина</v>
      </c>
    </row>
    <row r="16079" spans="1:7" x14ac:dyDescent="0.25">
      <c r="A16079" t="s">
        <v>46193</v>
      </c>
      <c r="B16079" t="s">
        <v>49284</v>
      </c>
      <c r="C16079" t="s">
        <v>49280</v>
      </c>
      <c r="D16079" t="s">
        <v>49281</v>
      </c>
      <c r="E16079" t="s">
        <v>49282</v>
      </c>
      <c r="F16079" t="s">
        <v>49285</v>
      </c>
      <c r="G16079" s="2" t="str">
        <f>HYPERLINK("https://probpalata.gov.ru/files/ЮЛ780301368400001.jpeg","Скачать индивидуальный QR-код магазина")</f>
        <v>Скачать индивидуальный QR-код магазина</v>
      </c>
    </row>
    <row r="16080" spans="1:7" x14ac:dyDescent="0.25">
      <c r="A16080" t="s">
        <v>46193</v>
      </c>
      <c r="B16080" t="s">
        <v>49286</v>
      </c>
      <c r="C16080" t="s">
        <v>49287</v>
      </c>
      <c r="D16080" t="s">
        <v>49288</v>
      </c>
      <c r="E16080" t="s">
        <v>49289</v>
      </c>
      <c r="F16080" t="s">
        <v>49290</v>
      </c>
      <c r="G16080" s="2" t="str">
        <f>HYPERLINK("https://probpalata.gov.ru/files/ЮЛ780301065100000.jpeg","Скачать индивидуальный QR-код магазина")</f>
        <v>Скачать индивидуальный QR-код магазина</v>
      </c>
    </row>
    <row r="16081" spans="1:7" x14ac:dyDescent="0.25">
      <c r="A16081" t="s">
        <v>46193</v>
      </c>
      <c r="B16081" t="s">
        <v>49291</v>
      </c>
      <c r="C16081" t="s">
        <v>49292</v>
      </c>
      <c r="D16081" t="s">
        <v>49293</v>
      </c>
      <c r="E16081" t="s">
        <v>49294</v>
      </c>
      <c r="F16081" t="s">
        <v>49295</v>
      </c>
      <c r="G16081" s="2" t="str">
        <f>HYPERLINK("https://probpalata.gov.ru/files/ЮЛ780300957500000.jpeg","Скачать индивидуальный QR-код магазина")</f>
        <v>Скачать индивидуальный QR-код магазина</v>
      </c>
    </row>
    <row r="16082" spans="1:7" x14ac:dyDescent="0.25">
      <c r="A16082" t="s">
        <v>46193</v>
      </c>
      <c r="B16082" t="s">
        <v>49296</v>
      </c>
      <c r="C16082" t="s">
        <v>49297</v>
      </c>
      <c r="D16082" t="s">
        <v>49298</v>
      </c>
      <c r="E16082" t="s">
        <v>49299</v>
      </c>
      <c r="F16082" t="s">
        <v>49300</v>
      </c>
      <c r="G16082" s="2" t="str">
        <f>HYPERLINK("https://probpalata.gov.ru/files/ЮЛ780302037600000.jpeg","Скачать индивидуальный QR-код магазина")</f>
        <v>Скачать индивидуальный QR-код магазина</v>
      </c>
    </row>
    <row r="16083" spans="1:7" x14ac:dyDescent="0.25">
      <c r="A16083" t="s">
        <v>46193</v>
      </c>
      <c r="B16083" t="s">
        <v>49301</v>
      </c>
      <c r="C16083" t="s">
        <v>49302</v>
      </c>
      <c r="D16083" t="s">
        <v>49303</v>
      </c>
      <c r="E16083" t="s">
        <v>49304</v>
      </c>
      <c r="F16083" t="s">
        <v>49305</v>
      </c>
      <c r="G16083" s="2" t="str">
        <f>HYPERLINK("https://probpalata.gov.ru/files/ЮЛ780300597500000.jpeg","Скачать индивидуальный QR-код магазина")</f>
        <v>Скачать индивидуальный QR-код магазина</v>
      </c>
    </row>
    <row r="16084" spans="1:7" x14ac:dyDescent="0.25">
      <c r="A16084" t="s">
        <v>46193</v>
      </c>
      <c r="B16084" t="s">
        <v>49306</v>
      </c>
      <c r="C16084" t="s">
        <v>49307</v>
      </c>
      <c r="D16084" t="s">
        <v>49308</v>
      </c>
      <c r="E16084" t="s">
        <v>49309</v>
      </c>
      <c r="F16084" t="s">
        <v>49310</v>
      </c>
      <c r="G16084" s="2" t="str">
        <f>HYPERLINK("https://probpalata.gov.ru/files/ЮЛ780300409600000.jpeg","Скачать индивидуальный QR-код магазина")</f>
        <v>Скачать индивидуальный QR-код магазина</v>
      </c>
    </row>
    <row r="16085" spans="1:7" x14ac:dyDescent="0.25">
      <c r="A16085" t="s">
        <v>46193</v>
      </c>
      <c r="B16085" t="s">
        <v>49311</v>
      </c>
      <c r="C16085" t="s">
        <v>49312</v>
      </c>
      <c r="D16085" t="s">
        <v>49313</v>
      </c>
      <c r="E16085" t="s">
        <v>49314</v>
      </c>
      <c r="F16085" t="s">
        <v>49315</v>
      </c>
      <c r="G16085" s="2" t="str">
        <f>HYPERLINK("https://probpalata.gov.ru/files/ЮЛ780301523800001.jpeg","Скачать индивидуальный QR-код магазина")</f>
        <v>Скачать индивидуальный QR-код магазина</v>
      </c>
    </row>
    <row r="16086" spans="1:7" x14ac:dyDescent="0.25">
      <c r="A16086" t="s">
        <v>46193</v>
      </c>
      <c r="B16086" t="s">
        <v>49316</v>
      </c>
      <c r="C16086" t="s">
        <v>49317</v>
      </c>
      <c r="D16086" t="s">
        <v>49318</v>
      </c>
      <c r="E16086" t="s">
        <v>49319</v>
      </c>
      <c r="F16086" t="s">
        <v>49320</v>
      </c>
      <c r="G16086" s="2" t="str">
        <f>HYPERLINK("https://probpalata.gov.ru/files/ЮЛ780301958500000.jpeg","Скачать индивидуальный QR-код магазина")</f>
        <v>Скачать индивидуальный QR-код магазина</v>
      </c>
    </row>
    <row r="16087" spans="1:7" x14ac:dyDescent="0.25">
      <c r="A16087" t="s">
        <v>46193</v>
      </c>
      <c r="B16087" t="s">
        <v>49321</v>
      </c>
      <c r="C16087" t="s">
        <v>18013</v>
      </c>
      <c r="D16087" t="s">
        <v>18014</v>
      </c>
      <c r="E16087" t="s">
        <v>18015</v>
      </c>
      <c r="F16087" t="s">
        <v>49322</v>
      </c>
      <c r="G16087" s="2" t="str">
        <f>HYPERLINK("https://probpalata.gov.ru/files/ЮЛ780301146700001.jpeg","Скачать индивидуальный QR-код магазина")</f>
        <v>Скачать индивидуальный QR-код магазина</v>
      </c>
    </row>
    <row r="16088" spans="1:7" x14ac:dyDescent="0.25">
      <c r="A16088" t="s">
        <v>46193</v>
      </c>
      <c r="B16088" t="s">
        <v>49323</v>
      </c>
      <c r="C16088" t="s">
        <v>18013</v>
      </c>
      <c r="D16088" t="s">
        <v>18014</v>
      </c>
      <c r="E16088" t="s">
        <v>18015</v>
      </c>
      <c r="F16088" t="s">
        <v>49324</v>
      </c>
      <c r="G16088" s="2" t="str">
        <f>HYPERLINK("https://probpalata.gov.ru/files/ЮЛ780301146700003.jpeg","Скачать индивидуальный QR-код магазина")</f>
        <v>Скачать индивидуальный QR-код магазина</v>
      </c>
    </row>
    <row r="16089" spans="1:7" x14ac:dyDescent="0.25">
      <c r="A16089" t="s">
        <v>46193</v>
      </c>
      <c r="B16089" t="s">
        <v>48056</v>
      </c>
      <c r="C16089" t="s">
        <v>18013</v>
      </c>
      <c r="D16089" t="s">
        <v>18014</v>
      </c>
      <c r="E16089" t="s">
        <v>18015</v>
      </c>
      <c r="F16089" t="s">
        <v>49325</v>
      </c>
      <c r="G16089" s="2" t="str">
        <f>HYPERLINK("https://probpalata.gov.ru/files/ЮЛ780301146700014.jpeg","Скачать индивидуальный QR-код магазина")</f>
        <v>Скачать индивидуальный QR-код магазина</v>
      </c>
    </row>
    <row r="16090" spans="1:7" x14ac:dyDescent="0.25">
      <c r="A16090" t="s">
        <v>46193</v>
      </c>
      <c r="B16090" t="s">
        <v>49326</v>
      </c>
      <c r="C16090" t="s">
        <v>49327</v>
      </c>
      <c r="D16090" t="s">
        <v>49328</v>
      </c>
      <c r="E16090" t="s">
        <v>49329</v>
      </c>
      <c r="F16090" t="s">
        <v>49330</v>
      </c>
      <c r="G16090" s="2" t="str">
        <f>HYPERLINK("https://probpalata.gov.ru/files/ЮЛ780303496600000.jpeg","Скачать индивидуальный QR-код магазина")</f>
        <v>Скачать индивидуальный QR-код магазина</v>
      </c>
    </row>
    <row r="16091" spans="1:7" x14ac:dyDescent="0.25">
      <c r="A16091" t="s">
        <v>46193</v>
      </c>
      <c r="B16091" t="s">
        <v>49331</v>
      </c>
      <c r="C16091" t="s">
        <v>49332</v>
      </c>
      <c r="D16091" t="s">
        <v>49333</v>
      </c>
      <c r="E16091" t="s">
        <v>49334</v>
      </c>
      <c r="F16091" t="s">
        <v>49335</v>
      </c>
      <c r="G16091" s="2" t="str">
        <f>HYPERLINK("https://probpalata.gov.ru/files/ЮЛ780304019500000.jpeg","Скачать индивидуальный QR-код магазина")</f>
        <v>Скачать индивидуальный QR-код магазина</v>
      </c>
    </row>
    <row r="16092" spans="1:7" x14ac:dyDescent="0.25">
      <c r="A16092" t="s">
        <v>46193</v>
      </c>
      <c r="B16092" t="s">
        <v>49336</v>
      </c>
      <c r="C16092" t="s">
        <v>49337</v>
      </c>
      <c r="D16092" t="s">
        <v>49338</v>
      </c>
      <c r="E16092" t="s">
        <v>49339</v>
      </c>
      <c r="F16092" t="s">
        <v>49340</v>
      </c>
      <c r="G16092" s="2" t="str">
        <f>HYPERLINK("https://probpalata.gov.ru/files/ЮЛ780300359500000.jpeg","Скачать индивидуальный QR-код магазина")</f>
        <v>Скачать индивидуальный QR-код магазина</v>
      </c>
    </row>
    <row r="16093" spans="1:7" x14ac:dyDescent="0.25">
      <c r="A16093" t="s">
        <v>46193</v>
      </c>
      <c r="B16093" t="s">
        <v>49341</v>
      </c>
      <c r="C16093" t="s">
        <v>49342</v>
      </c>
      <c r="D16093" t="s">
        <v>49343</v>
      </c>
      <c r="E16093" t="s">
        <v>49344</v>
      </c>
      <c r="F16093" t="s">
        <v>49345</v>
      </c>
      <c r="G16093" s="2" t="str">
        <f>HYPERLINK("https://probpalata.gov.ru/files/ИП780304011700000.jpeg","Скачать индивидуальный QR-код магазина")</f>
        <v>Скачать индивидуальный QR-код магазина</v>
      </c>
    </row>
    <row r="16094" spans="1:7" x14ac:dyDescent="0.25">
      <c r="A16094" t="s">
        <v>46193</v>
      </c>
      <c r="B16094" t="s">
        <v>49346</v>
      </c>
      <c r="C16094" t="s">
        <v>49347</v>
      </c>
      <c r="D16094" t="s">
        <v>49348</v>
      </c>
      <c r="E16094" t="s">
        <v>49349</v>
      </c>
      <c r="F16094" t="s">
        <v>49350</v>
      </c>
      <c r="G16094" s="2" t="str">
        <f>HYPERLINK("https://probpalata.gov.ru/files/ИП780303641900000.jpeg","Скачать индивидуальный QR-код магазина")</f>
        <v>Скачать индивидуальный QR-код магазина</v>
      </c>
    </row>
    <row r="16095" spans="1:7" x14ac:dyDescent="0.25">
      <c r="A16095" t="s">
        <v>46193</v>
      </c>
      <c r="B16095" t="s">
        <v>49351</v>
      </c>
      <c r="C16095" t="s">
        <v>9875</v>
      </c>
      <c r="D16095" t="s">
        <v>9876</v>
      </c>
      <c r="E16095" t="s">
        <v>9877</v>
      </c>
      <c r="F16095" t="s">
        <v>49352</v>
      </c>
      <c r="G16095" s="2" t="str">
        <f>HYPERLINK("https://probpalata.gov.ru/files/ИП410901097600003.jpeg","Скачать индивидуальный QR-код магазина")</f>
        <v>Скачать индивидуальный QR-код магазина</v>
      </c>
    </row>
    <row r="16096" spans="1:7" x14ac:dyDescent="0.25">
      <c r="A16096" t="s">
        <v>46193</v>
      </c>
      <c r="B16096" t="s">
        <v>49353</v>
      </c>
      <c r="C16096" t="s">
        <v>15574</v>
      </c>
      <c r="D16096" t="s">
        <v>15575</v>
      </c>
      <c r="E16096" t="s">
        <v>15576</v>
      </c>
      <c r="F16096" t="s">
        <v>49354</v>
      </c>
      <c r="G16096" s="2" t="str">
        <f>HYPERLINK("https://probpalata.gov.ru/files/ИП820400991100012.jpeg","Скачать индивидуальный QR-код магазина")</f>
        <v>Скачать индивидуальный QR-код магазина</v>
      </c>
    </row>
    <row r="16097" spans="1:7" x14ac:dyDescent="0.25">
      <c r="A16097" t="s">
        <v>46193</v>
      </c>
      <c r="B16097" t="s">
        <v>49355</v>
      </c>
      <c r="C16097" t="s">
        <v>25770</v>
      </c>
      <c r="D16097" t="s">
        <v>25771</v>
      </c>
      <c r="E16097" t="s">
        <v>25772</v>
      </c>
      <c r="F16097" t="s">
        <v>49356</v>
      </c>
      <c r="G16097" s="2" t="str">
        <f>HYPERLINK("https://probpalata.gov.ru/files/ЮЛ770101527400002.jpeg","Скачать индивидуальный QR-код магазина")</f>
        <v>Скачать индивидуальный QR-код магазина</v>
      </c>
    </row>
    <row r="16098" spans="1:7" x14ac:dyDescent="0.25">
      <c r="A16098" t="s">
        <v>46193</v>
      </c>
      <c r="B16098" t="s">
        <v>49357</v>
      </c>
      <c r="C16098" t="s">
        <v>25888</v>
      </c>
      <c r="D16098" t="s">
        <v>25889</v>
      </c>
      <c r="E16098" t="s">
        <v>25890</v>
      </c>
      <c r="F16098" t="s">
        <v>49358</v>
      </c>
      <c r="G16098" s="2" t="str">
        <f>HYPERLINK("https://probpalata.gov.ru/files/ЮЛ770103167400003.jpeg","Скачать индивидуальный QR-код магазина")</f>
        <v>Скачать индивидуальный QR-код магазина</v>
      </c>
    </row>
    <row r="16099" spans="1:7" x14ac:dyDescent="0.25">
      <c r="A16099" t="s">
        <v>46193</v>
      </c>
      <c r="B16099" t="s">
        <v>49359</v>
      </c>
      <c r="C16099" t="s">
        <v>25984</v>
      </c>
      <c r="D16099" t="s">
        <v>25985</v>
      </c>
      <c r="E16099" t="s">
        <v>25986</v>
      </c>
      <c r="F16099" t="s">
        <v>49360</v>
      </c>
      <c r="G16099" s="2" t="str">
        <f>HYPERLINK("https://probpalata.gov.ru/files/ЮЛ770103198500003.jpeg","Скачать индивидуальный QR-код магазина")</f>
        <v>Скачать индивидуальный QR-код магазина</v>
      </c>
    </row>
    <row r="16100" spans="1:7" x14ac:dyDescent="0.25">
      <c r="A16100" t="s">
        <v>46193</v>
      </c>
      <c r="B16100" t="s">
        <v>49361</v>
      </c>
      <c r="C16100" t="s">
        <v>25984</v>
      </c>
      <c r="D16100" t="s">
        <v>25985</v>
      </c>
      <c r="E16100" t="s">
        <v>25986</v>
      </c>
      <c r="F16100" t="s">
        <v>49362</v>
      </c>
      <c r="G16100" s="2" t="str">
        <f>HYPERLINK("https://probpalata.gov.ru/files/ЮЛ770103198500004.jpeg","Скачать индивидуальный QR-код магазина")</f>
        <v>Скачать индивидуальный QR-код магазина</v>
      </c>
    </row>
    <row r="16101" spans="1:7" x14ac:dyDescent="0.25">
      <c r="A16101" t="s">
        <v>46193</v>
      </c>
      <c r="B16101" t="s">
        <v>49363</v>
      </c>
      <c r="C16101" t="s">
        <v>27592</v>
      </c>
      <c r="D16101" t="s">
        <v>46178</v>
      </c>
      <c r="E16101" t="s">
        <v>46179</v>
      </c>
      <c r="F16101" t="s">
        <v>49364</v>
      </c>
      <c r="G16101" s="2" t="str">
        <f>HYPERLINK("https://probpalata.gov.ru/files/ЮЛ770103720500002.jpeg","Скачать индивидуальный QR-код магазина")</f>
        <v>Скачать индивидуальный QR-код магазина</v>
      </c>
    </row>
    <row r="16102" spans="1:7" x14ac:dyDescent="0.25">
      <c r="A16102" t="s">
        <v>46193</v>
      </c>
      <c r="B16102" t="s">
        <v>49365</v>
      </c>
      <c r="C16102" t="s">
        <v>25998</v>
      </c>
      <c r="D16102" t="s">
        <v>25999</v>
      </c>
      <c r="E16102" t="s">
        <v>26000</v>
      </c>
      <c r="F16102" t="s">
        <v>49366</v>
      </c>
      <c r="G16102" s="2" t="str">
        <f>HYPERLINK("https://probpalata.gov.ru/files/ЮЛ770103800100014.jpeg","Скачать индивидуальный QR-код магазина")</f>
        <v>Скачать индивидуальный QR-код магазина</v>
      </c>
    </row>
    <row r="16103" spans="1:7" x14ac:dyDescent="0.25">
      <c r="A16103" t="s">
        <v>46193</v>
      </c>
      <c r="B16103" t="s">
        <v>49367</v>
      </c>
      <c r="C16103" t="s">
        <v>26040</v>
      </c>
      <c r="D16103" t="s">
        <v>26041</v>
      </c>
      <c r="E16103" t="s">
        <v>26042</v>
      </c>
      <c r="F16103" t="s">
        <v>49368</v>
      </c>
      <c r="G16103" s="2" t="str">
        <f>HYPERLINK("https://probpalata.gov.ru/files/ЮЛ770100639400003.jpeg","Скачать индивидуальный QR-код магазина")</f>
        <v>Скачать индивидуальный QR-код магазина</v>
      </c>
    </row>
    <row r="16104" spans="1:7" x14ac:dyDescent="0.25">
      <c r="A16104" t="s">
        <v>46193</v>
      </c>
      <c r="B16104" t="s">
        <v>49369</v>
      </c>
      <c r="C16104" t="s">
        <v>26080</v>
      </c>
      <c r="D16104" t="s">
        <v>26081</v>
      </c>
      <c r="E16104" t="s">
        <v>26082</v>
      </c>
      <c r="F16104" t="s">
        <v>49370</v>
      </c>
      <c r="G16104" s="2" t="str">
        <f>HYPERLINK("https://probpalata.gov.ru/files/ЮЛ770100668800020.jpeg","Скачать индивидуальный QR-код магазина")</f>
        <v>Скачать индивидуальный QR-код магазина</v>
      </c>
    </row>
    <row r="16105" spans="1:7" x14ac:dyDescent="0.25">
      <c r="A16105" t="s">
        <v>46193</v>
      </c>
      <c r="B16105" t="s">
        <v>49371</v>
      </c>
      <c r="C16105" t="s">
        <v>26080</v>
      </c>
      <c r="D16105" t="s">
        <v>26081</v>
      </c>
      <c r="E16105" t="s">
        <v>26082</v>
      </c>
      <c r="F16105" t="s">
        <v>49372</v>
      </c>
      <c r="G16105" s="2" t="str">
        <f>HYPERLINK("https://probpalata.gov.ru/files/ЮЛ770100668800021.jpeg","Скачать индивидуальный QR-код магазина")</f>
        <v>Скачать индивидуальный QR-код магазина</v>
      </c>
    </row>
    <row r="16106" spans="1:7" x14ac:dyDescent="0.25">
      <c r="A16106" t="s">
        <v>46193</v>
      </c>
      <c r="B16106" t="s">
        <v>49373</v>
      </c>
      <c r="C16106" t="s">
        <v>26080</v>
      </c>
      <c r="D16106" t="s">
        <v>26081</v>
      </c>
      <c r="E16106" t="s">
        <v>26082</v>
      </c>
      <c r="F16106" t="s">
        <v>49374</v>
      </c>
      <c r="G16106" s="2" t="str">
        <f>HYPERLINK("https://probpalata.gov.ru/files/ЮЛ770100668800035.jpeg","Скачать индивидуальный QR-код магазина")</f>
        <v>Скачать индивидуальный QR-код магазина</v>
      </c>
    </row>
    <row r="16107" spans="1:7" x14ac:dyDescent="0.25">
      <c r="A16107" t="s">
        <v>46193</v>
      </c>
      <c r="B16107" t="s">
        <v>49375</v>
      </c>
      <c r="C16107" t="s">
        <v>26080</v>
      </c>
      <c r="D16107" t="s">
        <v>26081</v>
      </c>
      <c r="E16107" t="s">
        <v>26082</v>
      </c>
      <c r="F16107" t="s">
        <v>49376</v>
      </c>
      <c r="G16107" s="2" t="str">
        <f>HYPERLINK("https://probpalata.gov.ru/files/ЮЛ770100668800040.jpeg","Скачать индивидуальный QR-код магазина")</f>
        <v>Скачать индивидуальный QR-код магазина</v>
      </c>
    </row>
    <row r="16108" spans="1:7" x14ac:dyDescent="0.25">
      <c r="A16108" t="s">
        <v>46193</v>
      </c>
      <c r="B16108" t="s">
        <v>49377</v>
      </c>
      <c r="C16108" t="s">
        <v>26080</v>
      </c>
      <c r="D16108" t="s">
        <v>26081</v>
      </c>
      <c r="E16108" t="s">
        <v>26082</v>
      </c>
      <c r="F16108" t="s">
        <v>49378</v>
      </c>
      <c r="G16108" s="2" t="str">
        <f>HYPERLINK("https://probpalata.gov.ru/files/ЮЛ770100668800045.jpeg","Скачать индивидуальный QR-код магазина")</f>
        <v>Скачать индивидуальный QR-код магазина</v>
      </c>
    </row>
    <row r="16109" spans="1:7" x14ac:dyDescent="0.25">
      <c r="A16109" t="s">
        <v>46193</v>
      </c>
      <c r="B16109" t="s">
        <v>49379</v>
      </c>
      <c r="C16109" t="s">
        <v>26080</v>
      </c>
      <c r="D16109" t="s">
        <v>26081</v>
      </c>
      <c r="E16109" t="s">
        <v>26082</v>
      </c>
      <c r="F16109" t="s">
        <v>49380</v>
      </c>
      <c r="G16109" s="2" t="str">
        <f>HYPERLINK("https://probpalata.gov.ru/files/ЮЛ770100668800046.jpeg","Скачать индивидуальный QR-код магазина")</f>
        <v>Скачать индивидуальный QR-код магазина</v>
      </c>
    </row>
    <row r="16110" spans="1:7" x14ac:dyDescent="0.25">
      <c r="A16110" t="s">
        <v>46193</v>
      </c>
      <c r="B16110" t="s">
        <v>49381</v>
      </c>
      <c r="C16110" t="s">
        <v>26149</v>
      </c>
      <c r="D16110" t="s">
        <v>26150</v>
      </c>
      <c r="E16110" t="s">
        <v>26151</v>
      </c>
      <c r="F16110" t="s">
        <v>49382</v>
      </c>
      <c r="G16110" s="2" t="str">
        <f>HYPERLINK("https://probpalata.gov.ru/files/ЮЛ770101919300001.jpeg","Скачать индивидуальный QR-код магазина")</f>
        <v>Скачать индивидуальный QR-код магазина</v>
      </c>
    </row>
    <row r="16111" spans="1:7" x14ac:dyDescent="0.25">
      <c r="A16111" t="s">
        <v>46193</v>
      </c>
      <c r="B16111" t="s">
        <v>49383</v>
      </c>
      <c r="C16111" t="s">
        <v>26154</v>
      </c>
      <c r="D16111" t="s">
        <v>26155</v>
      </c>
      <c r="E16111" t="s">
        <v>26156</v>
      </c>
      <c r="F16111" t="s">
        <v>49384</v>
      </c>
      <c r="G16111" s="2" t="str">
        <f>HYPERLINK("https://probpalata.gov.ru/files/ЮЛ770100243700002.jpeg","Скачать индивидуальный QR-код магазина")</f>
        <v>Скачать индивидуальный QR-код магазина</v>
      </c>
    </row>
    <row r="16112" spans="1:7" x14ac:dyDescent="0.25">
      <c r="A16112" t="s">
        <v>46193</v>
      </c>
      <c r="B16112" t="s">
        <v>49385</v>
      </c>
      <c r="C16112" t="s">
        <v>1501</v>
      </c>
      <c r="D16112" t="s">
        <v>1502</v>
      </c>
      <c r="E16112" t="s">
        <v>1503</v>
      </c>
      <c r="F16112" t="s">
        <v>49386</v>
      </c>
      <c r="G16112" s="2" t="str">
        <f>HYPERLINK("https://probpalata.gov.ru/files/ЮЛ770100439200165.jpeg","Скачать индивидуальный QR-код магазина")</f>
        <v>Скачать индивидуальный QR-код магазина</v>
      </c>
    </row>
    <row r="16113" spans="1:7" x14ac:dyDescent="0.25">
      <c r="A16113" t="s">
        <v>46193</v>
      </c>
      <c r="B16113" t="s">
        <v>49387</v>
      </c>
      <c r="C16113" t="s">
        <v>1501</v>
      </c>
      <c r="D16113" t="s">
        <v>1502</v>
      </c>
      <c r="E16113" t="s">
        <v>1503</v>
      </c>
      <c r="F16113" t="s">
        <v>49388</v>
      </c>
      <c r="G16113" s="2" t="str">
        <f>HYPERLINK("https://probpalata.gov.ru/files/ЮЛ770100439200169.jpeg","Скачать индивидуальный QR-код магазина")</f>
        <v>Скачать индивидуальный QR-код магазина</v>
      </c>
    </row>
    <row r="16114" spans="1:7" x14ac:dyDescent="0.25">
      <c r="A16114" t="s">
        <v>46193</v>
      </c>
      <c r="B16114" t="s">
        <v>49389</v>
      </c>
      <c r="C16114" t="s">
        <v>1501</v>
      </c>
      <c r="D16114" t="s">
        <v>1502</v>
      </c>
      <c r="E16114" t="s">
        <v>1503</v>
      </c>
      <c r="F16114" t="s">
        <v>49390</v>
      </c>
      <c r="G16114" s="2" t="str">
        <f>HYPERLINK("https://probpalata.gov.ru/files/ЮЛ770100439200190.jpeg","Скачать индивидуальный QR-код магазина")</f>
        <v>Скачать индивидуальный QR-код магазина</v>
      </c>
    </row>
    <row r="16115" spans="1:7" x14ac:dyDescent="0.25">
      <c r="A16115" t="s">
        <v>46193</v>
      </c>
      <c r="B16115" t="s">
        <v>49391</v>
      </c>
      <c r="C16115" t="s">
        <v>1501</v>
      </c>
      <c r="D16115" t="s">
        <v>1502</v>
      </c>
      <c r="E16115" t="s">
        <v>1503</v>
      </c>
      <c r="F16115" t="s">
        <v>49392</v>
      </c>
      <c r="G16115" s="2" t="str">
        <f>HYPERLINK("https://probpalata.gov.ru/files/ЮЛ770100439200201.jpeg","Скачать индивидуальный QR-код магазина")</f>
        <v>Скачать индивидуальный QR-код магазина</v>
      </c>
    </row>
    <row r="16116" spans="1:7" x14ac:dyDescent="0.25">
      <c r="A16116" t="s">
        <v>46193</v>
      </c>
      <c r="B16116" t="s">
        <v>49393</v>
      </c>
      <c r="C16116" t="s">
        <v>1501</v>
      </c>
      <c r="D16116" t="s">
        <v>1502</v>
      </c>
      <c r="E16116" t="s">
        <v>1503</v>
      </c>
      <c r="F16116" t="s">
        <v>49394</v>
      </c>
      <c r="G16116" s="2" t="str">
        <f>HYPERLINK("https://probpalata.gov.ru/files/ЮЛ770100439200215.jpeg","Скачать индивидуальный QR-код магазина")</f>
        <v>Скачать индивидуальный QR-код магазина</v>
      </c>
    </row>
    <row r="16117" spans="1:7" x14ac:dyDescent="0.25">
      <c r="A16117" t="s">
        <v>46193</v>
      </c>
      <c r="B16117" t="s">
        <v>49395</v>
      </c>
      <c r="C16117" t="s">
        <v>1501</v>
      </c>
      <c r="D16117" t="s">
        <v>1502</v>
      </c>
      <c r="E16117" t="s">
        <v>1503</v>
      </c>
      <c r="F16117" t="s">
        <v>49396</v>
      </c>
      <c r="G16117" s="2" t="str">
        <f>HYPERLINK("https://probpalata.gov.ru/files/ЮЛ770100439200233.jpeg","Скачать индивидуальный QR-код магазина")</f>
        <v>Скачать индивидуальный QR-код магазина</v>
      </c>
    </row>
    <row r="16118" spans="1:7" x14ac:dyDescent="0.25">
      <c r="A16118" t="s">
        <v>46193</v>
      </c>
      <c r="B16118" t="s">
        <v>49397</v>
      </c>
      <c r="C16118" t="s">
        <v>1501</v>
      </c>
      <c r="D16118" t="s">
        <v>1502</v>
      </c>
      <c r="E16118" t="s">
        <v>1503</v>
      </c>
      <c r="F16118" t="s">
        <v>49398</v>
      </c>
      <c r="G16118" s="2" t="str">
        <f>HYPERLINK("https://probpalata.gov.ru/files/ЮЛ770100439200238.jpeg","Скачать индивидуальный QR-код магазина")</f>
        <v>Скачать индивидуальный QR-код магазина</v>
      </c>
    </row>
    <row r="16119" spans="1:7" x14ac:dyDescent="0.25">
      <c r="A16119" t="s">
        <v>46193</v>
      </c>
      <c r="B16119" t="s">
        <v>49399</v>
      </c>
      <c r="C16119" t="s">
        <v>1501</v>
      </c>
      <c r="D16119" t="s">
        <v>1502</v>
      </c>
      <c r="E16119" t="s">
        <v>1503</v>
      </c>
      <c r="F16119" t="s">
        <v>49400</v>
      </c>
      <c r="G16119" s="2" t="str">
        <f>HYPERLINK("https://probpalata.gov.ru/files/ЮЛ770100439200270.jpeg","Скачать индивидуальный QR-код магазина")</f>
        <v>Скачать индивидуальный QR-код магазина</v>
      </c>
    </row>
    <row r="16120" spans="1:7" x14ac:dyDescent="0.25">
      <c r="A16120" t="s">
        <v>46193</v>
      </c>
      <c r="B16120" t="s">
        <v>49401</v>
      </c>
      <c r="C16120" t="s">
        <v>1501</v>
      </c>
      <c r="D16120" t="s">
        <v>1502</v>
      </c>
      <c r="E16120" t="s">
        <v>1503</v>
      </c>
      <c r="F16120" t="s">
        <v>49402</v>
      </c>
      <c r="G16120" s="2" t="str">
        <f>HYPERLINK("https://probpalata.gov.ru/files/ЮЛ770100439200278.jpeg","Скачать индивидуальный QR-код магазина")</f>
        <v>Скачать индивидуальный QR-код магазина</v>
      </c>
    </row>
    <row r="16121" spans="1:7" x14ac:dyDescent="0.25">
      <c r="A16121" t="s">
        <v>46193</v>
      </c>
      <c r="B16121" t="s">
        <v>49403</v>
      </c>
      <c r="C16121" t="s">
        <v>7852</v>
      </c>
      <c r="D16121" t="s">
        <v>7853</v>
      </c>
      <c r="E16121" t="s">
        <v>7854</v>
      </c>
      <c r="F16121" t="s">
        <v>49404</v>
      </c>
      <c r="G16121" s="2" t="str">
        <f>HYPERLINK("https://probpalata.gov.ru/files/ЮЛ770100029500016.jpeg","Скачать индивидуальный QR-код магазина")</f>
        <v>Скачать индивидуальный QR-код магазина</v>
      </c>
    </row>
    <row r="16122" spans="1:7" x14ac:dyDescent="0.25">
      <c r="A16122" t="s">
        <v>46193</v>
      </c>
      <c r="B16122" t="s">
        <v>49405</v>
      </c>
      <c r="C16122" t="s">
        <v>26391</v>
      </c>
      <c r="D16122" t="s">
        <v>26392</v>
      </c>
      <c r="E16122" t="s">
        <v>26393</v>
      </c>
      <c r="F16122" t="s">
        <v>49406</v>
      </c>
      <c r="G16122" s="2" t="str">
        <f>HYPERLINK("https://probpalata.gov.ru/files/ЮЛ770103185800001.jpeg","Скачать индивидуальный QR-код магазина")</f>
        <v>Скачать индивидуальный QR-код магазина</v>
      </c>
    </row>
    <row r="16123" spans="1:7" x14ac:dyDescent="0.25">
      <c r="A16123" t="s">
        <v>46193</v>
      </c>
      <c r="B16123" t="s">
        <v>49407</v>
      </c>
      <c r="C16123" t="s">
        <v>26401</v>
      </c>
      <c r="D16123" t="s">
        <v>26402</v>
      </c>
      <c r="E16123" t="s">
        <v>26403</v>
      </c>
      <c r="F16123" t="s">
        <v>49408</v>
      </c>
      <c r="G16123" s="2" t="str">
        <f>HYPERLINK("https://probpalata.gov.ru/files/ЮЛ770100938700022.jpeg","Скачать индивидуальный QR-код магазина")</f>
        <v>Скачать индивидуальный QR-код магазина</v>
      </c>
    </row>
    <row r="16124" spans="1:7" x14ac:dyDescent="0.25">
      <c r="A16124" t="s">
        <v>46193</v>
      </c>
      <c r="B16124" t="s">
        <v>49409</v>
      </c>
      <c r="C16124" t="s">
        <v>26401</v>
      </c>
      <c r="D16124" t="s">
        <v>26402</v>
      </c>
      <c r="E16124" t="s">
        <v>26403</v>
      </c>
      <c r="F16124" t="s">
        <v>49410</v>
      </c>
      <c r="G16124" s="2" t="str">
        <f>HYPERLINK("https://probpalata.gov.ru/files/ЮЛ770100938700031.jpeg","Скачать индивидуальный QR-код магазина")</f>
        <v>Скачать индивидуальный QR-код магазина</v>
      </c>
    </row>
    <row r="16125" spans="1:7" x14ac:dyDescent="0.25">
      <c r="A16125" t="s">
        <v>46193</v>
      </c>
      <c r="B16125" t="s">
        <v>49411</v>
      </c>
      <c r="C16125" t="s">
        <v>26401</v>
      </c>
      <c r="D16125" t="s">
        <v>26402</v>
      </c>
      <c r="E16125" t="s">
        <v>26403</v>
      </c>
      <c r="F16125" t="s">
        <v>49412</v>
      </c>
      <c r="G16125" s="2" t="str">
        <f>HYPERLINK("https://probpalata.gov.ru/files/ЮЛ770100938700073.jpeg","Скачать индивидуальный QR-код магазина")</f>
        <v>Скачать индивидуальный QR-код магазина</v>
      </c>
    </row>
    <row r="16126" spans="1:7" x14ac:dyDescent="0.25">
      <c r="A16126" t="s">
        <v>46193</v>
      </c>
      <c r="B16126" t="s">
        <v>49413</v>
      </c>
      <c r="C16126" t="s">
        <v>26853</v>
      </c>
      <c r="D16126" t="s">
        <v>26854</v>
      </c>
      <c r="E16126" t="s">
        <v>26855</v>
      </c>
      <c r="F16126" t="s">
        <v>49414</v>
      </c>
      <c r="G16126" s="2" t="str">
        <f>HYPERLINK("https://probpalata.gov.ru/files/ЮЛ770100242600037.jpeg","Скачать индивидуальный QR-код магазина")</f>
        <v>Скачать индивидуальный QR-код магазина</v>
      </c>
    </row>
    <row r="16127" spans="1:7" x14ac:dyDescent="0.25">
      <c r="A16127" t="s">
        <v>46193</v>
      </c>
      <c r="B16127" t="s">
        <v>49415</v>
      </c>
      <c r="C16127" t="s">
        <v>26853</v>
      </c>
      <c r="D16127" t="s">
        <v>26854</v>
      </c>
      <c r="E16127" t="s">
        <v>26855</v>
      </c>
      <c r="F16127" t="s">
        <v>49416</v>
      </c>
      <c r="G16127" s="2" t="str">
        <f>HYPERLINK("https://probpalata.gov.ru/files/ЮЛ770100242600056.jpeg","Скачать индивидуальный QR-код магазина")</f>
        <v>Скачать индивидуальный QR-код магазина</v>
      </c>
    </row>
    <row r="16128" spans="1:7" x14ac:dyDescent="0.25">
      <c r="A16128" t="s">
        <v>46193</v>
      </c>
      <c r="B16128" t="s">
        <v>49417</v>
      </c>
      <c r="C16128" t="s">
        <v>26853</v>
      </c>
      <c r="D16128" t="s">
        <v>26854</v>
      </c>
      <c r="E16128" t="s">
        <v>26855</v>
      </c>
      <c r="F16128" t="s">
        <v>49418</v>
      </c>
      <c r="G16128" s="2" t="str">
        <f>HYPERLINK("https://probpalata.gov.ru/files/ЮЛ770100242600062.jpeg","Скачать индивидуальный QR-код магазина")</f>
        <v>Скачать индивидуальный QR-код магазина</v>
      </c>
    </row>
    <row r="16129" spans="1:7" x14ac:dyDescent="0.25">
      <c r="A16129" t="s">
        <v>46193</v>
      </c>
      <c r="B16129" t="s">
        <v>49419</v>
      </c>
      <c r="C16129" t="s">
        <v>1853</v>
      </c>
      <c r="D16129" t="s">
        <v>1854</v>
      </c>
      <c r="E16129" t="s">
        <v>1855</v>
      </c>
      <c r="F16129" t="s">
        <v>49420</v>
      </c>
      <c r="G16129" s="2" t="str">
        <f>HYPERLINK("https://probpalata.gov.ru/files/ЮЛ770104000500015.jpeg","Скачать индивидуальный QR-код магазина")</f>
        <v>Скачать индивидуальный QR-код магазина</v>
      </c>
    </row>
    <row r="16130" spans="1:7" x14ac:dyDescent="0.25">
      <c r="A16130" t="s">
        <v>46193</v>
      </c>
      <c r="B16130" t="s">
        <v>47108</v>
      </c>
      <c r="C16130" t="s">
        <v>1853</v>
      </c>
      <c r="D16130" t="s">
        <v>1854</v>
      </c>
      <c r="E16130" t="s">
        <v>1855</v>
      </c>
      <c r="F16130" t="s">
        <v>49421</v>
      </c>
      <c r="G16130" s="2" t="str">
        <f>HYPERLINK("https://probpalata.gov.ru/files/ЮЛ770104000500016.jpeg","Скачать индивидуальный QR-код магазина")</f>
        <v>Скачать индивидуальный QR-код магазина</v>
      </c>
    </row>
    <row r="16131" spans="1:7" x14ac:dyDescent="0.25">
      <c r="A16131" t="s">
        <v>49422</v>
      </c>
      <c r="B16131" t="s">
        <v>49423</v>
      </c>
      <c r="C16131" t="s">
        <v>3236</v>
      </c>
      <c r="D16131" t="s">
        <v>3237</v>
      </c>
      <c r="E16131" t="s">
        <v>3238</v>
      </c>
      <c r="F16131" t="s">
        <v>49424</v>
      </c>
      <c r="G16131" s="2" t="str">
        <f>HYPERLINK("https://probpalata.gov.ru/files/ИП020603403600002.jpeg","Скачать индивидуальный QR-код магазина")</f>
        <v>Скачать индивидуальный QR-код магазина</v>
      </c>
    </row>
    <row r="16132" spans="1:7" x14ac:dyDescent="0.25">
      <c r="A16132" t="s">
        <v>49422</v>
      </c>
      <c r="B16132" t="s">
        <v>49425</v>
      </c>
      <c r="C16132" t="s">
        <v>3236</v>
      </c>
      <c r="D16132" t="s">
        <v>3237</v>
      </c>
      <c r="E16132" t="s">
        <v>3238</v>
      </c>
      <c r="F16132" t="s">
        <v>49426</v>
      </c>
      <c r="G16132" s="2" t="str">
        <f>HYPERLINK("https://probpalata.gov.ru/files/ИП020603403600004.jpeg","Скачать индивидуальный QR-код магазина")</f>
        <v>Скачать индивидуальный QR-код магазина</v>
      </c>
    </row>
    <row r="16133" spans="1:7" x14ac:dyDescent="0.25">
      <c r="A16133" t="s">
        <v>49422</v>
      </c>
      <c r="B16133" t="s">
        <v>49427</v>
      </c>
      <c r="C16133" t="s">
        <v>3236</v>
      </c>
      <c r="D16133" t="s">
        <v>3237</v>
      </c>
      <c r="E16133" t="s">
        <v>3238</v>
      </c>
      <c r="F16133" t="s">
        <v>49428</v>
      </c>
      <c r="G16133" s="2" t="str">
        <f>HYPERLINK("https://probpalata.gov.ru/files/ИП020603403600005.jpeg","Скачать индивидуальный QR-код магазина")</f>
        <v>Скачать индивидуальный QR-код магазина</v>
      </c>
    </row>
    <row r="16134" spans="1:7" x14ac:dyDescent="0.25">
      <c r="A16134" t="s">
        <v>49422</v>
      </c>
      <c r="B16134" t="s">
        <v>49429</v>
      </c>
      <c r="C16134" t="s">
        <v>3236</v>
      </c>
      <c r="D16134" t="s">
        <v>3237</v>
      </c>
      <c r="E16134" t="s">
        <v>3238</v>
      </c>
      <c r="F16134" t="s">
        <v>49430</v>
      </c>
      <c r="G16134" s="2" t="str">
        <f>HYPERLINK("https://probpalata.gov.ru/files/ИП020603403600008.jpeg","Скачать индивидуальный QR-код магазина")</f>
        <v>Скачать индивидуальный QR-код магазина</v>
      </c>
    </row>
    <row r="16135" spans="1:7" x14ac:dyDescent="0.25">
      <c r="A16135" t="s">
        <v>49422</v>
      </c>
      <c r="B16135" t="s">
        <v>49431</v>
      </c>
      <c r="C16135" t="s">
        <v>49432</v>
      </c>
      <c r="D16135" t="s">
        <v>49433</v>
      </c>
      <c r="E16135" t="s">
        <v>49434</v>
      </c>
      <c r="F16135" t="s">
        <v>49435</v>
      </c>
      <c r="G16135" s="2" t="str">
        <f>HYPERLINK("https://probpalata.gov.ru/files/ИП770100515300000.jpeg","Скачать индивидуальный QR-код магазина")</f>
        <v>Скачать индивидуальный QR-код магазина</v>
      </c>
    </row>
    <row r="16136" spans="1:7" x14ac:dyDescent="0.25">
      <c r="A16136" t="s">
        <v>49422</v>
      </c>
      <c r="B16136" t="s">
        <v>49436</v>
      </c>
      <c r="C16136" t="s">
        <v>49432</v>
      </c>
      <c r="D16136" t="s">
        <v>49433</v>
      </c>
      <c r="E16136" t="s">
        <v>49434</v>
      </c>
      <c r="F16136" t="s">
        <v>49437</v>
      </c>
      <c r="G16136" s="2" t="str">
        <f>HYPERLINK("https://probpalata.gov.ru/files/ИП770100515300001.jpeg","Скачать индивидуальный QR-код магазина")</f>
        <v>Скачать индивидуальный QR-код магазина</v>
      </c>
    </row>
    <row r="16137" spans="1:7" x14ac:dyDescent="0.25">
      <c r="A16137" t="s">
        <v>49422</v>
      </c>
      <c r="B16137" t="s">
        <v>49438</v>
      </c>
      <c r="C16137" t="s">
        <v>49432</v>
      </c>
      <c r="D16137" t="s">
        <v>49433</v>
      </c>
      <c r="E16137" t="s">
        <v>49434</v>
      </c>
      <c r="F16137" t="s">
        <v>49439</v>
      </c>
      <c r="G16137" s="2" t="str">
        <f>HYPERLINK("https://probpalata.gov.ru/files/ИП770100515300002.jpeg","Скачать индивидуальный QR-код магазина")</f>
        <v>Скачать индивидуальный QR-код магазина</v>
      </c>
    </row>
    <row r="16138" spans="1:7" x14ac:dyDescent="0.25">
      <c r="A16138" t="s">
        <v>49422</v>
      </c>
      <c r="B16138" t="s">
        <v>49440</v>
      </c>
      <c r="C16138" t="s">
        <v>49432</v>
      </c>
      <c r="D16138" t="s">
        <v>49433</v>
      </c>
      <c r="E16138" t="s">
        <v>49434</v>
      </c>
      <c r="F16138" t="s">
        <v>49441</v>
      </c>
      <c r="G16138" s="2" t="str">
        <f>HYPERLINK("https://probpalata.gov.ru/files/ИП770100515300003.jpeg","Скачать индивидуальный QR-код магазина")</f>
        <v>Скачать индивидуальный QR-код магазина</v>
      </c>
    </row>
    <row r="16139" spans="1:7" x14ac:dyDescent="0.25">
      <c r="A16139" t="s">
        <v>49422</v>
      </c>
      <c r="B16139" t="s">
        <v>49442</v>
      </c>
      <c r="C16139" t="s">
        <v>6443</v>
      </c>
      <c r="D16139" t="s">
        <v>6444</v>
      </c>
      <c r="E16139" t="s">
        <v>6445</v>
      </c>
      <c r="F16139" t="s">
        <v>49443</v>
      </c>
      <c r="G16139" s="2" t="str">
        <f>HYPERLINK("https://probpalata.gov.ru/files/ИП520600153500011.jpeg","Скачать индивидуальный QR-код магазина")</f>
        <v>Скачать индивидуальный QR-код магазина</v>
      </c>
    </row>
    <row r="16140" spans="1:7" x14ac:dyDescent="0.25">
      <c r="A16140" t="s">
        <v>49422</v>
      </c>
      <c r="B16140" t="s">
        <v>49444</v>
      </c>
      <c r="C16140" t="s">
        <v>49445</v>
      </c>
      <c r="D16140" t="s">
        <v>49446</v>
      </c>
      <c r="E16140" t="s">
        <v>49447</v>
      </c>
      <c r="F16140" t="s">
        <v>49448</v>
      </c>
      <c r="G16140" s="2" t="str">
        <f>HYPERLINK("https://probpalata.gov.ru/files/ИП640603239500000.jpeg","Скачать индивидуальный QR-код магазина")</f>
        <v>Скачать индивидуальный QR-код магазина</v>
      </c>
    </row>
    <row r="16141" spans="1:7" x14ac:dyDescent="0.25">
      <c r="A16141" t="s">
        <v>49422</v>
      </c>
      <c r="B16141" t="s">
        <v>49449</v>
      </c>
      <c r="C16141" t="s">
        <v>2185</v>
      </c>
      <c r="D16141" t="s">
        <v>2186</v>
      </c>
      <c r="E16141" t="s">
        <v>2187</v>
      </c>
      <c r="F16141" t="s">
        <v>49450</v>
      </c>
      <c r="G16141" s="2" t="str">
        <f>HYPERLINK("https://probpalata.gov.ru/files/ЮЛ480100215000020.jpeg","Скачать индивидуальный QR-код магазина")</f>
        <v>Скачать индивидуальный QR-код магазина</v>
      </c>
    </row>
    <row r="16142" spans="1:7" x14ac:dyDescent="0.25">
      <c r="A16142" t="s">
        <v>49422</v>
      </c>
      <c r="B16142" t="s">
        <v>49451</v>
      </c>
      <c r="C16142" t="s">
        <v>2185</v>
      </c>
      <c r="D16142" t="s">
        <v>2186</v>
      </c>
      <c r="E16142" t="s">
        <v>2187</v>
      </c>
      <c r="F16142" t="s">
        <v>49452</v>
      </c>
      <c r="G16142" s="2" t="str">
        <f>HYPERLINK("https://probpalata.gov.ru/files/ЮЛ480100215000047.jpeg","Скачать индивидуальный QR-код магазина")</f>
        <v>Скачать индивидуальный QR-код магазина</v>
      </c>
    </row>
    <row r="16143" spans="1:7" x14ac:dyDescent="0.25">
      <c r="A16143" t="s">
        <v>49422</v>
      </c>
      <c r="B16143" t="s">
        <v>49453</v>
      </c>
      <c r="C16143" t="s">
        <v>671</v>
      </c>
      <c r="D16143" t="s">
        <v>672</v>
      </c>
      <c r="E16143" t="s">
        <v>673</v>
      </c>
      <c r="F16143" t="s">
        <v>49454</v>
      </c>
      <c r="G16143" s="2" t="str">
        <f>HYPERLINK("https://probpalata.gov.ru/files/ИП500100445500022.jpeg","Скачать индивидуальный QR-код магазина")</f>
        <v>Скачать индивидуальный QR-код магазина</v>
      </c>
    </row>
    <row r="16144" spans="1:7" x14ac:dyDescent="0.25">
      <c r="A16144" t="s">
        <v>49422</v>
      </c>
      <c r="B16144" t="s">
        <v>49455</v>
      </c>
      <c r="C16144" t="s">
        <v>671</v>
      </c>
      <c r="D16144" t="s">
        <v>672</v>
      </c>
      <c r="E16144" t="s">
        <v>673</v>
      </c>
      <c r="F16144" t="s">
        <v>49456</v>
      </c>
      <c r="G16144" s="2" t="str">
        <f>HYPERLINK("https://probpalata.gov.ru/files/ИП500100445500106.jpeg","Скачать индивидуальный QR-код магазина")</f>
        <v>Скачать индивидуальный QR-код магазина</v>
      </c>
    </row>
    <row r="16145" spans="1:7" x14ac:dyDescent="0.25">
      <c r="A16145" t="s">
        <v>49422</v>
      </c>
      <c r="B16145" t="s">
        <v>49457</v>
      </c>
      <c r="C16145" t="s">
        <v>671</v>
      </c>
      <c r="D16145" t="s">
        <v>672</v>
      </c>
      <c r="E16145" t="s">
        <v>673</v>
      </c>
      <c r="F16145" t="s">
        <v>49458</v>
      </c>
      <c r="G16145" s="2" t="str">
        <f>HYPERLINK("https://probpalata.gov.ru/files/ИП500100445500108.jpeg","Скачать индивидуальный QR-код магазина")</f>
        <v>Скачать индивидуальный QR-код магазина</v>
      </c>
    </row>
    <row r="16146" spans="1:7" x14ac:dyDescent="0.25">
      <c r="A16146" t="s">
        <v>49422</v>
      </c>
      <c r="B16146" t="s">
        <v>49459</v>
      </c>
      <c r="C16146" t="s">
        <v>1735</v>
      </c>
      <c r="D16146" t="s">
        <v>1736</v>
      </c>
      <c r="E16146" t="s">
        <v>1737</v>
      </c>
      <c r="F16146" t="s">
        <v>49460</v>
      </c>
      <c r="G16146" s="2" t="str">
        <f>HYPERLINK("https://probpalata.gov.ru/files/ЮЛ520603376600131.jpeg","Скачать индивидуальный QR-код магазина")</f>
        <v>Скачать индивидуальный QR-код магазина</v>
      </c>
    </row>
    <row r="16147" spans="1:7" x14ac:dyDescent="0.25">
      <c r="A16147" t="s">
        <v>49422</v>
      </c>
      <c r="B16147" t="s">
        <v>49461</v>
      </c>
      <c r="C16147" t="s">
        <v>703</v>
      </c>
      <c r="D16147" t="s">
        <v>704</v>
      </c>
      <c r="E16147" t="s">
        <v>705</v>
      </c>
      <c r="F16147" t="s">
        <v>49462</v>
      </c>
      <c r="G16147" s="2" t="str">
        <f>HYPERLINK("https://probpalata.gov.ru/files/ИП610400426600024.jpeg","Скачать индивидуальный QR-код магазина")</f>
        <v>Скачать индивидуальный QR-код магазина</v>
      </c>
    </row>
    <row r="16148" spans="1:7" x14ac:dyDescent="0.25">
      <c r="A16148" t="s">
        <v>49422</v>
      </c>
      <c r="B16148" t="s">
        <v>49463</v>
      </c>
      <c r="C16148" t="s">
        <v>33949</v>
      </c>
      <c r="D16148" t="s">
        <v>33950</v>
      </c>
      <c r="E16148" t="s">
        <v>33951</v>
      </c>
      <c r="F16148" t="s">
        <v>49464</v>
      </c>
      <c r="G16148" s="2" t="str">
        <f>HYPERLINK("https://probpalata.gov.ru/files/ИП630603381400016.jpeg","Скачать индивидуальный QR-код магазина")</f>
        <v>Скачать индивидуальный QR-код магазина</v>
      </c>
    </row>
    <row r="16149" spans="1:7" x14ac:dyDescent="0.25">
      <c r="A16149" t="s">
        <v>49422</v>
      </c>
      <c r="B16149" t="s">
        <v>49465</v>
      </c>
      <c r="C16149" t="s">
        <v>2197</v>
      </c>
      <c r="D16149" t="s">
        <v>2198</v>
      </c>
      <c r="E16149" t="s">
        <v>2199</v>
      </c>
      <c r="F16149" t="s">
        <v>49466</v>
      </c>
      <c r="G16149" s="2" t="str">
        <f>HYPERLINK("https://probpalata.gov.ru/files/ИП630601425400106.jpeg","Скачать индивидуальный QR-код магазина")</f>
        <v>Скачать индивидуальный QR-код магазина</v>
      </c>
    </row>
    <row r="16150" spans="1:7" x14ac:dyDescent="0.25">
      <c r="A16150" t="s">
        <v>49422</v>
      </c>
      <c r="B16150" t="s">
        <v>49467</v>
      </c>
      <c r="C16150" t="s">
        <v>37700</v>
      </c>
      <c r="D16150" t="s">
        <v>37701</v>
      </c>
      <c r="E16150" t="s">
        <v>37702</v>
      </c>
      <c r="F16150" t="s">
        <v>49468</v>
      </c>
      <c r="G16150" s="2" t="str">
        <f>HYPERLINK("https://probpalata.gov.ru/files/ИП630600633500007.jpeg","Скачать индивидуальный QR-код магазина")</f>
        <v>Скачать индивидуальный QR-код магазина</v>
      </c>
    </row>
    <row r="16151" spans="1:7" x14ac:dyDescent="0.25">
      <c r="A16151" t="s">
        <v>49422</v>
      </c>
      <c r="B16151" t="s">
        <v>49469</v>
      </c>
      <c r="C16151" t="s">
        <v>37700</v>
      </c>
      <c r="D16151" t="s">
        <v>37701</v>
      </c>
      <c r="E16151" t="s">
        <v>37702</v>
      </c>
      <c r="F16151" t="s">
        <v>49470</v>
      </c>
      <c r="G16151" s="2" t="str">
        <f>HYPERLINK("https://probpalata.gov.ru/files/ИП630600633500008.jpeg","Скачать индивидуальный QR-код магазина")</f>
        <v>Скачать индивидуальный QR-код магазина</v>
      </c>
    </row>
    <row r="16152" spans="1:7" x14ac:dyDescent="0.25">
      <c r="A16152" t="s">
        <v>49422</v>
      </c>
      <c r="B16152" t="s">
        <v>49471</v>
      </c>
      <c r="C16152" t="s">
        <v>37700</v>
      </c>
      <c r="D16152" t="s">
        <v>37701</v>
      </c>
      <c r="E16152" t="s">
        <v>37702</v>
      </c>
      <c r="F16152" t="s">
        <v>49472</v>
      </c>
      <c r="G16152" s="2" t="str">
        <f>HYPERLINK("https://probpalata.gov.ru/files/ИП630600633500010.jpeg","Скачать индивидуальный QR-код магазина")</f>
        <v>Скачать индивидуальный QR-код магазина</v>
      </c>
    </row>
    <row r="16153" spans="1:7" x14ac:dyDescent="0.25">
      <c r="A16153" t="s">
        <v>49422</v>
      </c>
      <c r="B16153" t="s">
        <v>49473</v>
      </c>
      <c r="C16153" t="s">
        <v>3828</v>
      </c>
      <c r="D16153" t="s">
        <v>3829</v>
      </c>
      <c r="E16153" t="s">
        <v>3830</v>
      </c>
      <c r="F16153" t="s">
        <v>49474</v>
      </c>
      <c r="G16153" s="2" t="str">
        <f>HYPERLINK("https://probpalata.gov.ru/files/ЮЛ630603373600002.jpeg","Скачать индивидуальный QR-код магазина")</f>
        <v>Скачать индивидуальный QR-код магазина</v>
      </c>
    </row>
    <row r="16154" spans="1:7" x14ac:dyDescent="0.25">
      <c r="A16154" t="s">
        <v>49422</v>
      </c>
      <c r="B16154" t="s">
        <v>49475</v>
      </c>
      <c r="C16154" t="s">
        <v>3828</v>
      </c>
      <c r="D16154" t="s">
        <v>3829</v>
      </c>
      <c r="E16154" t="s">
        <v>3830</v>
      </c>
      <c r="F16154" t="s">
        <v>49476</v>
      </c>
      <c r="G16154" s="2" t="str">
        <f>HYPERLINK("https://probpalata.gov.ru/files/ЮЛ630603373600003.jpeg","Скачать индивидуальный QR-код магазина")</f>
        <v>Скачать индивидуальный QR-код магазина</v>
      </c>
    </row>
    <row r="16155" spans="1:7" x14ac:dyDescent="0.25">
      <c r="A16155" t="s">
        <v>49422</v>
      </c>
      <c r="B16155" t="s">
        <v>49477</v>
      </c>
      <c r="C16155" t="s">
        <v>3828</v>
      </c>
      <c r="D16155" t="s">
        <v>3829</v>
      </c>
      <c r="E16155" t="s">
        <v>3830</v>
      </c>
      <c r="F16155" t="s">
        <v>49478</v>
      </c>
      <c r="G16155" s="2" t="str">
        <f>HYPERLINK("https://probpalata.gov.ru/files/ЮЛ630603373600006.jpeg","Скачать индивидуальный QR-код магазина")</f>
        <v>Скачать индивидуальный QR-код магазина</v>
      </c>
    </row>
    <row r="16156" spans="1:7" x14ac:dyDescent="0.25">
      <c r="A16156" t="s">
        <v>49422</v>
      </c>
      <c r="B16156" t="s">
        <v>49479</v>
      </c>
      <c r="C16156" t="s">
        <v>3828</v>
      </c>
      <c r="D16156" t="s">
        <v>3829</v>
      </c>
      <c r="E16156" t="s">
        <v>3830</v>
      </c>
      <c r="F16156" t="s">
        <v>49480</v>
      </c>
      <c r="G16156" s="2" t="str">
        <f>HYPERLINK("https://probpalata.gov.ru/files/ЮЛ630603373600057.jpeg","Скачать индивидуальный QR-код магазина")</f>
        <v>Скачать индивидуальный QR-код магазина</v>
      </c>
    </row>
    <row r="16157" spans="1:7" x14ac:dyDescent="0.25">
      <c r="A16157" t="s">
        <v>49422</v>
      </c>
      <c r="B16157" t="s">
        <v>49481</v>
      </c>
      <c r="C16157" t="s">
        <v>49482</v>
      </c>
      <c r="D16157" t="s">
        <v>49483</v>
      </c>
      <c r="E16157" t="s">
        <v>49484</v>
      </c>
      <c r="F16157" t="s">
        <v>49485</v>
      </c>
      <c r="G16157" s="2" t="str">
        <f>HYPERLINK("https://probpalata.gov.ru/files/ЮЛ630600189900002.jpeg","Скачать индивидуальный QR-код магазина")</f>
        <v>Скачать индивидуальный QR-код магазина</v>
      </c>
    </row>
    <row r="16158" spans="1:7" x14ac:dyDescent="0.25">
      <c r="A16158" t="s">
        <v>49422</v>
      </c>
      <c r="B16158" t="s">
        <v>49486</v>
      </c>
      <c r="C16158" t="s">
        <v>49482</v>
      </c>
      <c r="D16158" t="s">
        <v>49483</v>
      </c>
      <c r="E16158" t="s">
        <v>49484</v>
      </c>
      <c r="F16158" t="s">
        <v>49487</v>
      </c>
      <c r="G16158" s="2" t="str">
        <f>HYPERLINK("https://probpalata.gov.ru/files/ЮЛ630600189900003.jpeg","Скачать индивидуальный QR-код магазина")</f>
        <v>Скачать индивидуальный QR-код магазина</v>
      </c>
    </row>
    <row r="16159" spans="1:7" x14ac:dyDescent="0.25">
      <c r="A16159" t="s">
        <v>49422</v>
      </c>
      <c r="B16159" t="s">
        <v>49488</v>
      </c>
      <c r="C16159" t="s">
        <v>49482</v>
      </c>
      <c r="D16159" t="s">
        <v>49483</v>
      </c>
      <c r="E16159" t="s">
        <v>49484</v>
      </c>
      <c r="F16159" t="s">
        <v>49489</v>
      </c>
      <c r="G16159" s="2" t="str">
        <f>HYPERLINK("https://probpalata.gov.ru/files/ЮЛ630600189900005.jpeg","Скачать индивидуальный QR-код магазина")</f>
        <v>Скачать индивидуальный QR-код магазина</v>
      </c>
    </row>
    <row r="16160" spans="1:7" x14ac:dyDescent="0.25">
      <c r="A16160" t="s">
        <v>49422</v>
      </c>
      <c r="B16160" t="s">
        <v>49490</v>
      </c>
      <c r="C16160" t="s">
        <v>49482</v>
      </c>
      <c r="D16160" t="s">
        <v>49483</v>
      </c>
      <c r="E16160" t="s">
        <v>49484</v>
      </c>
      <c r="F16160" t="s">
        <v>49491</v>
      </c>
      <c r="G16160" s="2" t="str">
        <f>HYPERLINK("https://probpalata.gov.ru/files/ЮЛ630600189900006.jpeg","Скачать индивидуальный QR-код магазина")</f>
        <v>Скачать индивидуальный QR-код магазина</v>
      </c>
    </row>
    <row r="16161" spans="1:7" x14ac:dyDescent="0.25">
      <c r="A16161" t="s">
        <v>49422</v>
      </c>
      <c r="B16161" t="s">
        <v>49492</v>
      </c>
      <c r="C16161" t="s">
        <v>49482</v>
      </c>
      <c r="D16161" t="s">
        <v>49483</v>
      </c>
      <c r="E16161" t="s">
        <v>49484</v>
      </c>
      <c r="F16161" t="s">
        <v>49493</v>
      </c>
      <c r="G16161" s="2" t="str">
        <f>HYPERLINK("https://probpalata.gov.ru/files/ЮЛ630600189900007.jpeg","Скачать индивидуальный QR-код магазина")</f>
        <v>Скачать индивидуальный QR-код магазина</v>
      </c>
    </row>
    <row r="16162" spans="1:7" x14ac:dyDescent="0.25">
      <c r="A16162" t="s">
        <v>49422</v>
      </c>
      <c r="B16162" t="s">
        <v>49494</v>
      </c>
      <c r="C16162" t="s">
        <v>49482</v>
      </c>
      <c r="D16162" t="s">
        <v>49483</v>
      </c>
      <c r="E16162" t="s">
        <v>49484</v>
      </c>
      <c r="F16162" t="s">
        <v>49495</v>
      </c>
      <c r="G16162" s="2" t="str">
        <f>HYPERLINK("https://probpalata.gov.ru/files/ЮЛ630600189900008.jpeg","Скачать индивидуальный QR-код магазина")</f>
        <v>Скачать индивидуальный QR-код магазина</v>
      </c>
    </row>
    <row r="16163" spans="1:7" x14ac:dyDescent="0.25">
      <c r="A16163" t="s">
        <v>49422</v>
      </c>
      <c r="B16163" t="s">
        <v>49496</v>
      </c>
      <c r="C16163" t="s">
        <v>49482</v>
      </c>
      <c r="D16163" t="s">
        <v>49483</v>
      </c>
      <c r="E16163" t="s">
        <v>49484</v>
      </c>
      <c r="F16163" t="s">
        <v>49497</v>
      </c>
      <c r="G16163" s="2" t="str">
        <f>HYPERLINK("https://probpalata.gov.ru/files/ЮЛ630600189900009.jpeg","Скачать индивидуальный QR-код магазина")</f>
        <v>Скачать индивидуальный QR-код магазина</v>
      </c>
    </row>
    <row r="16164" spans="1:7" x14ac:dyDescent="0.25">
      <c r="A16164" t="s">
        <v>49422</v>
      </c>
      <c r="B16164" t="s">
        <v>49498</v>
      </c>
      <c r="C16164" t="s">
        <v>49482</v>
      </c>
      <c r="D16164" t="s">
        <v>49483</v>
      </c>
      <c r="E16164" t="s">
        <v>49484</v>
      </c>
      <c r="F16164" t="s">
        <v>49499</v>
      </c>
      <c r="G16164" s="2" t="str">
        <f>HYPERLINK("https://probpalata.gov.ru/files/ЮЛ630600189900010.jpeg","Скачать индивидуальный QR-код магазина")</f>
        <v>Скачать индивидуальный QR-код магазина</v>
      </c>
    </row>
    <row r="16165" spans="1:7" x14ac:dyDescent="0.25">
      <c r="A16165" t="s">
        <v>49422</v>
      </c>
      <c r="B16165" t="s">
        <v>49500</v>
      </c>
      <c r="C16165" t="s">
        <v>49482</v>
      </c>
      <c r="D16165" t="s">
        <v>49483</v>
      </c>
      <c r="E16165" t="s">
        <v>49484</v>
      </c>
      <c r="F16165" t="s">
        <v>49501</v>
      </c>
      <c r="G16165" s="2" t="str">
        <f>HYPERLINK("https://probpalata.gov.ru/files/ЮЛ630600189900011.jpeg","Скачать индивидуальный QR-код магазина")</f>
        <v>Скачать индивидуальный QR-код магазина</v>
      </c>
    </row>
    <row r="16166" spans="1:7" x14ac:dyDescent="0.25">
      <c r="A16166" t="s">
        <v>49422</v>
      </c>
      <c r="B16166" t="s">
        <v>49502</v>
      </c>
      <c r="C16166" t="s">
        <v>49482</v>
      </c>
      <c r="D16166" t="s">
        <v>49483</v>
      </c>
      <c r="E16166" t="s">
        <v>49484</v>
      </c>
      <c r="F16166" t="s">
        <v>49503</v>
      </c>
      <c r="G16166" s="2" t="str">
        <f>HYPERLINK("https://probpalata.gov.ru/files/ЮЛ630600189900012.jpeg","Скачать индивидуальный QR-код магазина")</f>
        <v>Скачать индивидуальный QR-код магазина</v>
      </c>
    </row>
    <row r="16167" spans="1:7" x14ac:dyDescent="0.25">
      <c r="A16167" t="s">
        <v>49422</v>
      </c>
      <c r="B16167" t="s">
        <v>49504</v>
      </c>
      <c r="C16167" t="s">
        <v>49482</v>
      </c>
      <c r="D16167" t="s">
        <v>49483</v>
      </c>
      <c r="E16167" t="s">
        <v>49484</v>
      </c>
      <c r="F16167" t="s">
        <v>49505</v>
      </c>
      <c r="G16167" s="2" t="str">
        <f>HYPERLINK("https://probpalata.gov.ru/files/ЮЛ630600189900013.jpeg","Скачать индивидуальный QR-код магазина")</f>
        <v>Скачать индивидуальный QR-код магазина</v>
      </c>
    </row>
    <row r="16168" spans="1:7" x14ac:dyDescent="0.25">
      <c r="A16168" t="s">
        <v>49422</v>
      </c>
      <c r="B16168" t="s">
        <v>49506</v>
      </c>
      <c r="C16168" t="s">
        <v>49482</v>
      </c>
      <c r="D16168" t="s">
        <v>49483</v>
      </c>
      <c r="E16168" t="s">
        <v>49484</v>
      </c>
      <c r="F16168" t="s">
        <v>49507</v>
      </c>
      <c r="G16168" s="2" t="str">
        <f>HYPERLINK("https://probpalata.gov.ru/files/ЮЛ630600189900014.jpeg","Скачать индивидуальный QR-код магазина")</f>
        <v>Скачать индивидуальный QR-код магазина</v>
      </c>
    </row>
    <row r="16169" spans="1:7" x14ac:dyDescent="0.25">
      <c r="A16169" t="s">
        <v>49422</v>
      </c>
      <c r="B16169" t="s">
        <v>49508</v>
      </c>
      <c r="C16169" t="s">
        <v>49482</v>
      </c>
      <c r="D16169" t="s">
        <v>49483</v>
      </c>
      <c r="E16169" t="s">
        <v>49484</v>
      </c>
      <c r="F16169" t="s">
        <v>49509</v>
      </c>
      <c r="G16169" s="2" t="str">
        <f>HYPERLINK("https://probpalata.gov.ru/files/ЮЛ630600189900015.jpeg","Скачать индивидуальный QR-код магазина")</f>
        <v>Скачать индивидуальный QR-код магазина</v>
      </c>
    </row>
    <row r="16170" spans="1:7" x14ac:dyDescent="0.25">
      <c r="A16170" t="s">
        <v>49422</v>
      </c>
      <c r="B16170" t="s">
        <v>49510</v>
      </c>
      <c r="C16170" t="s">
        <v>49482</v>
      </c>
      <c r="D16170" t="s">
        <v>49483</v>
      </c>
      <c r="E16170" t="s">
        <v>49484</v>
      </c>
      <c r="F16170" t="s">
        <v>49511</v>
      </c>
      <c r="G16170" s="2" t="str">
        <f>HYPERLINK("https://probpalata.gov.ru/files/ЮЛ630600189900016.jpeg","Скачать индивидуальный QR-код магазина")</f>
        <v>Скачать индивидуальный QR-код магазина</v>
      </c>
    </row>
    <row r="16171" spans="1:7" x14ac:dyDescent="0.25">
      <c r="A16171" t="s">
        <v>49422</v>
      </c>
      <c r="B16171" t="s">
        <v>49512</v>
      </c>
      <c r="C16171" t="s">
        <v>49482</v>
      </c>
      <c r="D16171" t="s">
        <v>49483</v>
      </c>
      <c r="E16171" t="s">
        <v>49484</v>
      </c>
      <c r="F16171" t="s">
        <v>49513</v>
      </c>
      <c r="G16171" s="2" t="str">
        <f>HYPERLINK("https://probpalata.gov.ru/files/ЮЛ630600189900017.jpeg","Скачать индивидуальный QR-код магазина")</f>
        <v>Скачать индивидуальный QR-код магазина</v>
      </c>
    </row>
    <row r="16172" spans="1:7" x14ac:dyDescent="0.25">
      <c r="A16172" t="s">
        <v>49422</v>
      </c>
      <c r="B16172" t="s">
        <v>49514</v>
      </c>
      <c r="C16172" t="s">
        <v>49482</v>
      </c>
      <c r="D16172" t="s">
        <v>49483</v>
      </c>
      <c r="E16172" t="s">
        <v>49484</v>
      </c>
      <c r="F16172" t="s">
        <v>49515</v>
      </c>
      <c r="G16172" s="2" t="str">
        <f>HYPERLINK("https://probpalata.gov.ru/files/ЮЛ630600189900018.jpeg","Скачать индивидуальный QR-код магазина")</f>
        <v>Скачать индивидуальный QR-код магазина</v>
      </c>
    </row>
    <row r="16173" spans="1:7" x14ac:dyDescent="0.25">
      <c r="A16173" t="s">
        <v>49422</v>
      </c>
      <c r="B16173" t="s">
        <v>49516</v>
      </c>
      <c r="C16173" t="s">
        <v>49482</v>
      </c>
      <c r="D16173" t="s">
        <v>49483</v>
      </c>
      <c r="E16173" t="s">
        <v>49484</v>
      </c>
      <c r="F16173" t="s">
        <v>49517</v>
      </c>
      <c r="G16173" s="2" t="str">
        <f>HYPERLINK("https://probpalata.gov.ru/files/ЮЛ630600189900019.jpeg","Скачать индивидуальный QR-код магазина")</f>
        <v>Скачать индивидуальный QR-код магазина</v>
      </c>
    </row>
    <row r="16174" spans="1:7" x14ac:dyDescent="0.25">
      <c r="A16174" t="s">
        <v>49422</v>
      </c>
      <c r="B16174" t="s">
        <v>49518</v>
      </c>
      <c r="C16174" t="s">
        <v>49482</v>
      </c>
      <c r="D16174" t="s">
        <v>49483</v>
      </c>
      <c r="E16174" t="s">
        <v>49484</v>
      </c>
      <c r="F16174" t="s">
        <v>49519</v>
      </c>
      <c r="G16174" s="2" t="str">
        <f>HYPERLINK("https://probpalata.gov.ru/files/ЮЛ630600189900020.jpeg","Скачать индивидуальный QR-код магазина")</f>
        <v>Скачать индивидуальный QR-код магазина</v>
      </c>
    </row>
    <row r="16175" spans="1:7" x14ac:dyDescent="0.25">
      <c r="A16175" t="s">
        <v>49422</v>
      </c>
      <c r="B16175" t="s">
        <v>49520</v>
      </c>
      <c r="C16175" t="s">
        <v>49482</v>
      </c>
      <c r="D16175" t="s">
        <v>49483</v>
      </c>
      <c r="E16175" t="s">
        <v>49484</v>
      </c>
      <c r="F16175" t="s">
        <v>49521</v>
      </c>
      <c r="G16175" s="2" t="str">
        <f>HYPERLINK("https://probpalata.gov.ru/files/ЮЛ630600189900021.jpeg","Скачать индивидуальный QR-код магазина")</f>
        <v>Скачать индивидуальный QR-код магазина</v>
      </c>
    </row>
    <row r="16176" spans="1:7" x14ac:dyDescent="0.25">
      <c r="A16176" t="s">
        <v>49422</v>
      </c>
      <c r="B16176" t="s">
        <v>49522</v>
      </c>
      <c r="C16176" t="s">
        <v>49482</v>
      </c>
      <c r="D16176" t="s">
        <v>49483</v>
      </c>
      <c r="E16176" t="s">
        <v>49484</v>
      </c>
      <c r="F16176" t="s">
        <v>49523</v>
      </c>
      <c r="G16176" s="2" t="str">
        <f>HYPERLINK("https://probpalata.gov.ru/files/ЮЛ630600189900022.jpeg","Скачать индивидуальный QR-код магазина")</f>
        <v>Скачать индивидуальный QR-код магазина</v>
      </c>
    </row>
    <row r="16177" spans="1:7" x14ac:dyDescent="0.25">
      <c r="A16177" t="s">
        <v>49422</v>
      </c>
      <c r="B16177" t="s">
        <v>49524</v>
      </c>
      <c r="C16177" t="s">
        <v>49482</v>
      </c>
      <c r="D16177" t="s">
        <v>49483</v>
      </c>
      <c r="E16177" t="s">
        <v>49484</v>
      </c>
      <c r="F16177" t="s">
        <v>49525</v>
      </c>
      <c r="G16177" s="2" t="str">
        <f>HYPERLINK("https://probpalata.gov.ru/files/ЮЛ630600189900023.jpeg","Скачать индивидуальный QR-код магазина")</f>
        <v>Скачать индивидуальный QR-код магазина</v>
      </c>
    </row>
    <row r="16178" spans="1:7" x14ac:dyDescent="0.25">
      <c r="A16178" t="s">
        <v>49422</v>
      </c>
      <c r="B16178" t="s">
        <v>49526</v>
      </c>
      <c r="C16178" t="s">
        <v>49527</v>
      </c>
      <c r="D16178" t="s">
        <v>49528</v>
      </c>
      <c r="E16178" t="s">
        <v>49529</v>
      </c>
      <c r="F16178" t="s">
        <v>49530</v>
      </c>
      <c r="G16178" s="2" t="str">
        <f>HYPERLINK("https://probpalata.gov.ru/files/ИП630604007400000.jpeg","Скачать индивидуальный QR-код магазина")</f>
        <v>Скачать индивидуальный QR-код магазина</v>
      </c>
    </row>
    <row r="16179" spans="1:7" x14ac:dyDescent="0.25">
      <c r="A16179" t="s">
        <v>49422</v>
      </c>
      <c r="B16179" t="s">
        <v>49531</v>
      </c>
      <c r="C16179" t="s">
        <v>42492</v>
      </c>
      <c r="D16179" t="s">
        <v>42493</v>
      </c>
      <c r="E16179" t="s">
        <v>42494</v>
      </c>
      <c r="F16179" t="s">
        <v>49532</v>
      </c>
      <c r="G16179" s="2" t="str">
        <f>HYPERLINK("https://probpalata.gov.ru/files/ЮЛ630603246700001.jpeg","Скачать индивидуальный QR-код магазина")</f>
        <v>Скачать индивидуальный QR-код магазина</v>
      </c>
    </row>
    <row r="16180" spans="1:7" x14ac:dyDescent="0.25">
      <c r="A16180" t="s">
        <v>49422</v>
      </c>
      <c r="B16180" t="s">
        <v>49533</v>
      </c>
      <c r="C16180" t="s">
        <v>42492</v>
      </c>
      <c r="D16180" t="s">
        <v>42493</v>
      </c>
      <c r="E16180" t="s">
        <v>42494</v>
      </c>
      <c r="F16180" t="s">
        <v>49534</v>
      </c>
      <c r="G16180" s="2" t="str">
        <f>HYPERLINK("https://probpalata.gov.ru/files/ЮЛ630603246700002.jpeg","Скачать индивидуальный QR-код магазина")</f>
        <v>Скачать индивидуальный QR-код магазина</v>
      </c>
    </row>
    <row r="16181" spans="1:7" x14ac:dyDescent="0.25">
      <c r="A16181" t="s">
        <v>49422</v>
      </c>
      <c r="B16181" t="s">
        <v>49535</v>
      </c>
      <c r="C16181" t="s">
        <v>49536</v>
      </c>
      <c r="D16181" t="s">
        <v>49537</v>
      </c>
      <c r="E16181" t="s">
        <v>49538</v>
      </c>
      <c r="F16181" t="s">
        <v>49539</v>
      </c>
      <c r="G16181" s="2" t="str">
        <f>HYPERLINK("https://probpalata.gov.ru/files/ИП640601484900000.jpeg","Скачать индивидуальный QR-код магазина")</f>
        <v>Скачать индивидуальный QR-код магазина</v>
      </c>
    </row>
    <row r="16182" spans="1:7" x14ac:dyDescent="0.25">
      <c r="A16182" t="s">
        <v>49422</v>
      </c>
      <c r="B16182" t="s">
        <v>49540</v>
      </c>
      <c r="C16182" t="s">
        <v>49541</v>
      </c>
      <c r="D16182" t="s">
        <v>49542</v>
      </c>
      <c r="E16182" t="s">
        <v>49543</v>
      </c>
      <c r="F16182" t="s">
        <v>49544</v>
      </c>
      <c r="G16182" s="2" t="str">
        <f>HYPERLINK("https://probpalata.gov.ru/files/ИП640600938500000.jpeg","Скачать индивидуальный QR-код магазина")</f>
        <v>Скачать индивидуальный QR-код магазина</v>
      </c>
    </row>
    <row r="16183" spans="1:7" x14ac:dyDescent="0.25">
      <c r="A16183" t="s">
        <v>49422</v>
      </c>
      <c r="B16183" t="s">
        <v>49545</v>
      </c>
      <c r="C16183" t="s">
        <v>49541</v>
      </c>
      <c r="D16183" t="s">
        <v>49542</v>
      </c>
      <c r="E16183" t="s">
        <v>49543</v>
      </c>
      <c r="F16183" t="s">
        <v>49546</v>
      </c>
      <c r="G16183" s="2" t="str">
        <f>HYPERLINK("https://probpalata.gov.ru/files/ИП640600938500007.jpeg","Скачать индивидуальный QR-код магазина")</f>
        <v>Скачать индивидуальный QR-код магазина</v>
      </c>
    </row>
    <row r="16184" spans="1:7" x14ac:dyDescent="0.25">
      <c r="A16184" t="s">
        <v>49422</v>
      </c>
      <c r="B16184" t="s">
        <v>49547</v>
      </c>
      <c r="C16184" t="s">
        <v>49541</v>
      </c>
      <c r="D16184" t="s">
        <v>49542</v>
      </c>
      <c r="E16184" t="s">
        <v>49543</v>
      </c>
      <c r="F16184" t="s">
        <v>49548</v>
      </c>
      <c r="G16184" s="2" t="str">
        <f>HYPERLINK("https://probpalata.gov.ru/files/ИП640600938500008.jpeg","Скачать индивидуальный QR-код магазина")</f>
        <v>Скачать индивидуальный QR-код магазина</v>
      </c>
    </row>
    <row r="16185" spans="1:7" x14ac:dyDescent="0.25">
      <c r="A16185" t="s">
        <v>49422</v>
      </c>
      <c r="B16185" t="s">
        <v>49549</v>
      </c>
      <c r="C16185" t="s">
        <v>49550</v>
      </c>
      <c r="D16185" t="s">
        <v>49551</v>
      </c>
      <c r="E16185" t="s">
        <v>49552</v>
      </c>
      <c r="F16185" t="s">
        <v>49553</v>
      </c>
      <c r="G16185" s="2" t="str">
        <f>HYPERLINK("https://probpalata.gov.ru/files/ИП640600072000000.jpeg","Скачать индивидуальный QR-код магазина")</f>
        <v>Скачать индивидуальный QR-код магазина</v>
      </c>
    </row>
    <row r="16186" spans="1:7" x14ac:dyDescent="0.25">
      <c r="A16186" t="s">
        <v>49422</v>
      </c>
      <c r="B16186" t="s">
        <v>49554</v>
      </c>
      <c r="C16186" t="s">
        <v>49555</v>
      </c>
      <c r="D16186" t="s">
        <v>49556</v>
      </c>
      <c r="E16186" t="s">
        <v>49557</v>
      </c>
      <c r="F16186" t="s">
        <v>49558</v>
      </c>
      <c r="G16186" s="2" t="str">
        <f>HYPERLINK("https://probpalata.gov.ru/files/ИП640603519700000.jpeg","Скачать индивидуальный QR-код магазина")</f>
        <v>Скачать индивидуальный QR-код магазина</v>
      </c>
    </row>
    <row r="16187" spans="1:7" x14ac:dyDescent="0.25">
      <c r="A16187" t="s">
        <v>49422</v>
      </c>
      <c r="B16187" t="s">
        <v>49559</v>
      </c>
      <c r="C16187" t="s">
        <v>49560</v>
      </c>
      <c r="D16187" t="s">
        <v>49561</v>
      </c>
      <c r="E16187" t="s">
        <v>49562</v>
      </c>
      <c r="F16187" t="s">
        <v>49563</v>
      </c>
      <c r="G16187" s="2" t="str">
        <f>HYPERLINK("https://probpalata.gov.ru/files/ИП640600486700000.jpeg","Скачать индивидуальный QR-код магазина")</f>
        <v>Скачать индивидуальный QR-код магазина</v>
      </c>
    </row>
    <row r="16188" spans="1:7" x14ac:dyDescent="0.25">
      <c r="A16188" t="s">
        <v>49422</v>
      </c>
      <c r="B16188" t="s">
        <v>49559</v>
      </c>
      <c r="C16188" t="s">
        <v>49564</v>
      </c>
      <c r="D16188" t="s">
        <v>49565</v>
      </c>
      <c r="E16188" t="s">
        <v>49566</v>
      </c>
      <c r="F16188" t="s">
        <v>49567</v>
      </c>
      <c r="G16188" s="2" t="str">
        <f>HYPERLINK("https://probpalata.gov.ru/files/ИП640600811900000.jpeg","Скачать индивидуальный QR-код магазина")</f>
        <v>Скачать индивидуальный QR-код магазина</v>
      </c>
    </row>
    <row r="16189" spans="1:7" x14ac:dyDescent="0.25">
      <c r="A16189" t="s">
        <v>49422</v>
      </c>
      <c r="B16189" t="s">
        <v>49568</v>
      </c>
      <c r="C16189" t="s">
        <v>49569</v>
      </c>
      <c r="D16189" t="s">
        <v>49570</v>
      </c>
      <c r="E16189" t="s">
        <v>49571</v>
      </c>
      <c r="F16189" t="s">
        <v>49572</v>
      </c>
      <c r="G16189" s="2" t="str">
        <f>HYPERLINK("https://probpalata.gov.ru/files/ИП640600271200000.jpeg","Скачать индивидуальный QR-код магазина")</f>
        <v>Скачать индивидуальный QR-код магазина</v>
      </c>
    </row>
    <row r="16190" spans="1:7" x14ac:dyDescent="0.25">
      <c r="A16190" t="s">
        <v>49422</v>
      </c>
      <c r="B16190" t="s">
        <v>49573</v>
      </c>
      <c r="C16190" t="s">
        <v>49574</v>
      </c>
      <c r="D16190" t="s">
        <v>49575</v>
      </c>
      <c r="E16190" t="s">
        <v>49576</v>
      </c>
      <c r="F16190" t="s">
        <v>49577</v>
      </c>
      <c r="G16190" s="2" t="str">
        <f>HYPERLINK("https://probpalata.gov.ru/files/ИП640600163500000.jpeg","Скачать индивидуальный QR-код магазина")</f>
        <v>Скачать индивидуальный QR-код магазина</v>
      </c>
    </row>
    <row r="16191" spans="1:7" x14ac:dyDescent="0.25">
      <c r="A16191" t="s">
        <v>49422</v>
      </c>
      <c r="B16191" t="s">
        <v>49578</v>
      </c>
      <c r="C16191" t="s">
        <v>49579</v>
      </c>
      <c r="D16191" t="s">
        <v>49580</v>
      </c>
      <c r="E16191" t="s">
        <v>49581</v>
      </c>
      <c r="F16191" t="s">
        <v>49582</v>
      </c>
      <c r="G16191" s="2" t="str">
        <f>HYPERLINK("https://probpalata.gov.ru/files/ИП640603369400000.jpeg","Скачать индивидуальный QR-код магазина")</f>
        <v>Скачать индивидуальный QR-код магазина</v>
      </c>
    </row>
    <row r="16192" spans="1:7" x14ac:dyDescent="0.25">
      <c r="A16192" t="s">
        <v>49422</v>
      </c>
      <c r="B16192" t="s">
        <v>49583</v>
      </c>
      <c r="C16192" t="s">
        <v>49584</v>
      </c>
      <c r="D16192" t="s">
        <v>49585</v>
      </c>
      <c r="E16192" t="s">
        <v>49586</v>
      </c>
      <c r="F16192" t="s">
        <v>49587</v>
      </c>
      <c r="G16192" s="2" t="str">
        <f>HYPERLINK("https://probpalata.gov.ru/files/ИП640602000800000.jpeg","Скачать индивидуальный QR-код магазина")</f>
        <v>Скачать индивидуальный QR-код магазина</v>
      </c>
    </row>
    <row r="16193" spans="1:7" x14ac:dyDescent="0.25">
      <c r="A16193" t="s">
        <v>49422</v>
      </c>
      <c r="B16193" t="s">
        <v>49588</v>
      </c>
      <c r="C16193" t="s">
        <v>49589</v>
      </c>
      <c r="D16193" t="s">
        <v>49590</v>
      </c>
      <c r="E16193" t="s">
        <v>49591</v>
      </c>
      <c r="F16193" t="s">
        <v>49592</v>
      </c>
      <c r="G16193" s="2" t="str">
        <f>HYPERLINK("https://probpalata.gov.ru/files/ИП640603506200000.jpeg","Скачать индивидуальный QR-код магазина")</f>
        <v>Скачать индивидуальный QR-код магазина</v>
      </c>
    </row>
    <row r="16194" spans="1:7" x14ac:dyDescent="0.25">
      <c r="A16194" t="s">
        <v>49422</v>
      </c>
      <c r="B16194" t="s">
        <v>49593</v>
      </c>
      <c r="C16194" t="s">
        <v>49589</v>
      </c>
      <c r="D16194" t="s">
        <v>49590</v>
      </c>
      <c r="E16194" t="s">
        <v>49591</v>
      </c>
      <c r="F16194" t="s">
        <v>49594</v>
      </c>
      <c r="G16194" s="2" t="str">
        <f>HYPERLINK("https://probpalata.gov.ru/files/ИП640603506200001.jpeg","Скачать индивидуальный QR-код магазина")</f>
        <v>Скачать индивидуальный QR-код магазина</v>
      </c>
    </row>
    <row r="16195" spans="1:7" x14ac:dyDescent="0.25">
      <c r="A16195" t="s">
        <v>49422</v>
      </c>
      <c r="B16195" t="s">
        <v>49595</v>
      </c>
      <c r="C16195" t="s">
        <v>49589</v>
      </c>
      <c r="D16195" t="s">
        <v>49590</v>
      </c>
      <c r="E16195" t="s">
        <v>49591</v>
      </c>
      <c r="F16195" t="s">
        <v>49596</v>
      </c>
      <c r="G16195" s="2" t="str">
        <f>HYPERLINK("https://probpalata.gov.ru/files/ИП640603506200002.jpeg","Скачать индивидуальный QR-код магазина")</f>
        <v>Скачать индивидуальный QR-код магазина</v>
      </c>
    </row>
    <row r="16196" spans="1:7" x14ac:dyDescent="0.25">
      <c r="A16196" t="s">
        <v>49422</v>
      </c>
      <c r="B16196" t="s">
        <v>49597</v>
      </c>
      <c r="C16196" t="s">
        <v>49589</v>
      </c>
      <c r="D16196" t="s">
        <v>49590</v>
      </c>
      <c r="E16196" t="s">
        <v>49591</v>
      </c>
      <c r="F16196" t="s">
        <v>49598</v>
      </c>
      <c r="G16196" s="2" t="str">
        <f>HYPERLINK("https://probpalata.gov.ru/files/ИП640603506200003.jpeg","Скачать индивидуальный QR-код магазина")</f>
        <v>Скачать индивидуальный QR-код магазина</v>
      </c>
    </row>
    <row r="16197" spans="1:7" x14ac:dyDescent="0.25">
      <c r="A16197" t="s">
        <v>49422</v>
      </c>
      <c r="B16197" t="s">
        <v>49599</v>
      </c>
      <c r="C16197" t="s">
        <v>49600</v>
      </c>
      <c r="D16197" t="s">
        <v>49601</v>
      </c>
      <c r="E16197" t="s">
        <v>49602</v>
      </c>
      <c r="F16197" t="s">
        <v>49603</v>
      </c>
      <c r="G16197" s="2" t="str">
        <f>HYPERLINK("https://probpalata.gov.ru/files/ИП640600658900001.jpeg","Скачать индивидуальный QR-код магазина")</f>
        <v>Скачать индивидуальный QR-код магазина</v>
      </c>
    </row>
    <row r="16198" spans="1:7" x14ac:dyDescent="0.25">
      <c r="A16198" t="s">
        <v>49422</v>
      </c>
      <c r="B16198" t="s">
        <v>49604</v>
      </c>
      <c r="C16198" t="s">
        <v>49605</v>
      </c>
      <c r="D16198" t="s">
        <v>49606</v>
      </c>
      <c r="E16198" t="s">
        <v>49607</v>
      </c>
      <c r="F16198" t="s">
        <v>49608</v>
      </c>
      <c r="G16198" s="2" t="str">
        <f>HYPERLINK("https://probpalata.gov.ru/files/ИП640601215800000.jpeg","Скачать индивидуальный QR-код магазина")</f>
        <v>Скачать индивидуальный QR-код магазина</v>
      </c>
    </row>
    <row r="16199" spans="1:7" x14ac:dyDescent="0.25">
      <c r="A16199" t="s">
        <v>49422</v>
      </c>
      <c r="B16199" t="s">
        <v>49609</v>
      </c>
      <c r="C16199" t="s">
        <v>49610</v>
      </c>
      <c r="D16199" t="s">
        <v>49611</v>
      </c>
      <c r="E16199" t="s">
        <v>49612</v>
      </c>
      <c r="F16199" t="s">
        <v>49613</v>
      </c>
      <c r="G16199" s="2" t="str">
        <f>HYPERLINK("https://probpalata.gov.ru/files/ИП640603230600000.jpeg","Скачать индивидуальный QR-код магазина")</f>
        <v>Скачать индивидуальный QR-код магазина</v>
      </c>
    </row>
    <row r="16200" spans="1:7" x14ac:dyDescent="0.25">
      <c r="A16200" t="s">
        <v>49422</v>
      </c>
      <c r="B16200" t="s">
        <v>49614</v>
      </c>
      <c r="C16200" t="s">
        <v>49610</v>
      </c>
      <c r="D16200" t="s">
        <v>49611</v>
      </c>
      <c r="E16200" t="s">
        <v>49612</v>
      </c>
      <c r="F16200" t="s">
        <v>49615</v>
      </c>
      <c r="G16200" s="2" t="str">
        <f>HYPERLINK("https://probpalata.gov.ru/files/ИП640603230600002.jpeg","Скачать индивидуальный QR-код магазина")</f>
        <v>Скачать индивидуальный QR-код магазина</v>
      </c>
    </row>
    <row r="16201" spans="1:7" x14ac:dyDescent="0.25">
      <c r="A16201" t="s">
        <v>49422</v>
      </c>
      <c r="B16201" t="s">
        <v>49616</v>
      </c>
      <c r="C16201" t="s">
        <v>49617</v>
      </c>
      <c r="D16201" t="s">
        <v>49618</v>
      </c>
      <c r="E16201" t="s">
        <v>49619</v>
      </c>
      <c r="F16201" t="s">
        <v>49620</v>
      </c>
      <c r="G16201" s="2" t="str">
        <f>HYPERLINK("https://probpalata.gov.ru/files/ИП640600154600000.jpeg","Скачать индивидуальный QR-код магазина")</f>
        <v>Скачать индивидуальный QR-код магазина</v>
      </c>
    </row>
    <row r="16202" spans="1:7" x14ac:dyDescent="0.25">
      <c r="A16202" t="s">
        <v>49422</v>
      </c>
      <c r="B16202" t="s">
        <v>49578</v>
      </c>
      <c r="C16202" t="s">
        <v>49617</v>
      </c>
      <c r="D16202" t="s">
        <v>49618</v>
      </c>
      <c r="E16202" t="s">
        <v>49619</v>
      </c>
      <c r="F16202" t="s">
        <v>49621</v>
      </c>
      <c r="G16202" s="2" t="str">
        <f>HYPERLINK("https://probpalata.gov.ru/files/ИП640600154600001.jpeg","Скачать индивидуальный QR-код магазина")</f>
        <v>Скачать индивидуальный QR-код магазина</v>
      </c>
    </row>
    <row r="16203" spans="1:7" x14ac:dyDescent="0.25">
      <c r="A16203" t="s">
        <v>49422</v>
      </c>
      <c r="B16203" t="s">
        <v>49622</v>
      </c>
      <c r="C16203" t="s">
        <v>49617</v>
      </c>
      <c r="D16203" t="s">
        <v>49618</v>
      </c>
      <c r="E16203" t="s">
        <v>49619</v>
      </c>
      <c r="F16203" t="s">
        <v>49623</v>
      </c>
      <c r="G16203" s="2" t="str">
        <f>HYPERLINK("https://probpalata.gov.ru/files/ИП640600154600002.jpeg","Скачать индивидуальный QR-код магазина")</f>
        <v>Скачать индивидуальный QR-код магазина</v>
      </c>
    </row>
    <row r="16204" spans="1:7" x14ac:dyDescent="0.25">
      <c r="A16204" t="s">
        <v>49422</v>
      </c>
      <c r="B16204" t="s">
        <v>49599</v>
      </c>
      <c r="C16204" t="s">
        <v>49617</v>
      </c>
      <c r="D16204" t="s">
        <v>49618</v>
      </c>
      <c r="E16204" t="s">
        <v>49619</v>
      </c>
      <c r="F16204" t="s">
        <v>49624</v>
      </c>
      <c r="G16204" s="2" t="str">
        <f>HYPERLINK("https://probpalata.gov.ru/files/ИП640600154600003.jpeg","Скачать индивидуальный QR-код магазина")</f>
        <v>Скачать индивидуальный QR-код магазина</v>
      </c>
    </row>
    <row r="16205" spans="1:7" x14ac:dyDescent="0.25">
      <c r="A16205" t="s">
        <v>49422</v>
      </c>
      <c r="B16205" t="s">
        <v>49625</v>
      </c>
      <c r="C16205" t="s">
        <v>49617</v>
      </c>
      <c r="D16205" t="s">
        <v>49618</v>
      </c>
      <c r="E16205" t="s">
        <v>49619</v>
      </c>
      <c r="F16205" t="s">
        <v>49626</v>
      </c>
      <c r="G16205" s="2" t="str">
        <f>HYPERLINK("https://probpalata.gov.ru/files/ИП640600154600006.jpeg","Скачать индивидуальный QR-код магазина")</f>
        <v>Скачать индивидуальный QR-код магазина</v>
      </c>
    </row>
    <row r="16206" spans="1:7" x14ac:dyDescent="0.25">
      <c r="A16206" t="s">
        <v>49422</v>
      </c>
      <c r="B16206" t="s">
        <v>49627</v>
      </c>
      <c r="C16206" t="s">
        <v>49628</v>
      </c>
      <c r="D16206" t="s">
        <v>49629</v>
      </c>
      <c r="E16206" t="s">
        <v>49630</v>
      </c>
      <c r="F16206" t="s">
        <v>49631</v>
      </c>
      <c r="G16206" s="2" t="str">
        <f>HYPERLINK("https://probpalata.gov.ru/files/ИП640603700400000.jpeg","Скачать индивидуальный QR-код магазина")</f>
        <v>Скачать индивидуальный QR-код магазина</v>
      </c>
    </row>
    <row r="16207" spans="1:7" x14ac:dyDescent="0.25">
      <c r="A16207" t="s">
        <v>49422</v>
      </c>
      <c r="B16207" t="s">
        <v>49632</v>
      </c>
      <c r="C16207" t="s">
        <v>49633</v>
      </c>
      <c r="D16207" t="s">
        <v>49634</v>
      </c>
      <c r="E16207" t="s">
        <v>49635</v>
      </c>
      <c r="F16207" t="s">
        <v>49636</v>
      </c>
      <c r="G16207" s="2" t="str">
        <f>HYPERLINK("https://probpalata.gov.ru/files/ИП640600995900000.jpeg","Скачать индивидуальный QR-код магазина")</f>
        <v>Скачать индивидуальный QR-код магазина</v>
      </c>
    </row>
    <row r="16208" spans="1:7" x14ac:dyDescent="0.25">
      <c r="A16208" t="s">
        <v>49422</v>
      </c>
      <c r="B16208" t="s">
        <v>49637</v>
      </c>
      <c r="C16208" t="s">
        <v>49633</v>
      </c>
      <c r="D16208" t="s">
        <v>49634</v>
      </c>
      <c r="E16208" t="s">
        <v>49635</v>
      </c>
      <c r="F16208" t="s">
        <v>49638</v>
      </c>
      <c r="G16208" s="2" t="str">
        <f>HYPERLINK("https://probpalata.gov.ru/files/ИП640600995900001.jpeg","Скачать индивидуальный QR-код магазина")</f>
        <v>Скачать индивидуальный QR-код магазина</v>
      </c>
    </row>
    <row r="16209" spans="1:7" x14ac:dyDescent="0.25">
      <c r="A16209" t="s">
        <v>49422</v>
      </c>
      <c r="B16209" t="s">
        <v>49639</v>
      </c>
      <c r="C16209" t="s">
        <v>49633</v>
      </c>
      <c r="D16209" t="s">
        <v>49634</v>
      </c>
      <c r="E16209" t="s">
        <v>49635</v>
      </c>
      <c r="F16209" t="s">
        <v>49640</v>
      </c>
      <c r="G16209" s="2" t="str">
        <f>HYPERLINK("https://probpalata.gov.ru/files/ИП640600995900003.jpeg","Скачать индивидуальный QR-код магазина")</f>
        <v>Скачать индивидуальный QR-код магазина</v>
      </c>
    </row>
    <row r="16210" spans="1:7" x14ac:dyDescent="0.25">
      <c r="A16210" t="s">
        <v>49422</v>
      </c>
      <c r="B16210" t="s">
        <v>49641</v>
      </c>
      <c r="C16210" t="s">
        <v>49633</v>
      </c>
      <c r="D16210" t="s">
        <v>49634</v>
      </c>
      <c r="E16210" t="s">
        <v>49635</v>
      </c>
      <c r="F16210" t="s">
        <v>49642</v>
      </c>
      <c r="G16210" s="2" t="str">
        <f>HYPERLINK("https://probpalata.gov.ru/files/ИП640600995900004.jpeg","Скачать индивидуальный QR-код магазина")</f>
        <v>Скачать индивидуальный QR-код магазина</v>
      </c>
    </row>
    <row r="16211" spans="1:7" x14ac:dyDescent="0.25">
      <c r="A16211" t="s">
        <v>49422</v>
      </c>
      <c r="B16211" t="s">
        <v>49643</v>
      </c>
      <c r="C16211" t="s">
        <v>49633</v>
      </c>
      <c r="D16211" t="s">
        <v>49634</v>
      </c>
      <c r="E16211" t="s">
        <v>49635</v>
      </c>
      <c r="F16211" t="s">
        <v>49644</v>
      </c>
      <c r="G16211" s="2" t="str">
        <f>HYPERLINK("https://probpalata.gov.ru/files/ИП640600995900005.jpeg","Скачать индивидуальный QR-код магазина")</f>
        <v>Скачать индивидуальный QR-код магазина</v>
      </c>
    </row>
    <row r="16212" spans="1:7" x14ac:dyDescent="0.25">
      <c r="A16212" t="s">
        <v>49422</v>
      </c>
      <c r="B16212" t="s">
        <v>49645</v>
      </c>
      <c r="C16212" t="s">
        <v>49633</v>
      </c>
      <c r="D16212" t="s">
        <v>49634</v>
      </c>
      <c r="E16212" t="s">
        <v>49635</v>
      </c>
      <c r="F16212" t="s">
        <v>49646</v>
      </c>
      <c r="G16212" s="2" t="str">
        <f>HYPERLINK("https://probpalata.gov.ru/files/ИП640600995900006.jpeg","Скачать индивидуальный QR-код магазина")</f>
        <v>Скачать индивидуальный QR-код магазина</v>
      </c>
    </row>
    <row r="16213" spans="1:7" x14ac:dyDescent="0.25">
      <c r="A16213" t="s">
        <v>49422</v>
      </c>
      <c r="B16213" t="s">
        <v>49647</v>
      </c>
      <c r="C16213" t="s">
        <v>49648</v>
      </c>
      <c r="D16213" t="s">
        <v>49649</v>
      </c>
      <c r="E16213" t="s">
        <v>49650</v>
      </c>
      <c r="F16213" t="s">
        <v>49651</v>
      </c>
      <c r="G16213" s="2" t="str">
        <f>HYPERLINK("https://probpalata.gov.ru/files/ИП640600526000000.jpeg","Скачать индивидуальный QR-код магазина")</f>
        <v>Скачать индивидуальный QR-код магазина</v>
      </c>
    </row>
    <row r="16214" spans="1:7" x14ac:dyDescent="0.25">
      <c r="A16214" t="s">
        <v>49422</v>
      </c>
      <c r="B16214" t="s">
        <v>49652</v>
      </c>
      <c r="C16214" t="s">
        <v>49648</v>
      </c>
      <c r="D16214" t="s">
        <v>49649</v>
      </c>
      <c r="E16214" t="s">
        <v>49650</v>
      </c>
      <c r="F16214" t="s">
        <v>49653</v>
      </c>
      <c r="G16214" s="2" t="str">
        <f>HYPERLINK("https://probpalata.gov.ru/files/ИП640600526000001.jpeg","Скачать индивидуальный QR-код магазина")</f>
        <v>Скачать индивидуальный QR-код магазина</v>
      </c>
    </row>
    <row r="16215" spans="1:7" x14ac:dyDescent="0.25">
      <c r="A16215" t="s">
        <v>49422</v>
      </c>
      <c r="B16215" t="s">
        <v>49654</v>
      </c>
      <c r="C16215" t="s">
        <v>49648</v>
      </c>
      <c r="D16215" t="s">
        <v>49649</v>
      </c>
      <c r="E16215" t="s">
        <v>49650</v>
      </c>
      <c r="F16215" t="s">
        <v>49655</v>
      </c>
      <c r="G16215" s="2" t="str">
        <f>HYPERLINK("https://probpalata.gov.ru/files/ИП640600526000002.jpeg","Скачать индивидуальный QR-код магазина")</f>
        <v>Скачать индивидуальный QR-код магазина</v>
      </c>
    </row>
    <row r="16216" spans="1:7" x14ac:dyDescent="0.25">
      <c r="A16216" t="s">
        <v>49422</v>
      </c>
      <c r="B16216" t="s">
        <v>49656</v>
      </c>
      <c r="C16216" t="s">
        <v>49648</v>
      </c>
      <c r="D16216" t="s">
        <v>49649</v>
      </c>
      <c r="E16216" t="s">
        <v>49650</v>
      </c>
      <c r="F16216" t="s">
        <v>49657</v>
      </c>
      <c r="G16216" s="2" t="str">
        <f>HYPERLINK("https://probpalata.gov.ru/files/ИП640600526000004.jpeg","Скачать индивидуальный QR-код магазина")</f>
        <v>Скачать индивидуальный QR-код магазина</v>
      </c>
    </row>
    <row r="16217" spans="1:7" x14ac:dyDescent="0.25">
      <c r="A16217" t="s">
        <v>49422</v>
      </c>
      <c r="B16217" t="s">
        <v>49658</v>
      </c>
      <c r="C16217" t="s">
        <v>49659</v>
      </c>
      <c r="D16217" t="s">
        <v>49660</v>
      </c>
      <c r="E16217" t="s">
        <v>49661</v>
      </c>
      <c r="F16217" t="s">
        <v>49662</v>
      </c>
      <c r="G16217" s="2" t="str">
        <f>HYPERLINK("https://probpalata.gov.ru/files/ИП640600173700000.jpeg","Скачать индивидуальный QR-код магазина")</f>
        <v>Скачать индивидуальный QR-код магазина</v>
      </c>
    </row>
    <row r="16218" spans="1:7" x14ac:dyDescent="0.25">
      <c r="A16218" t="s">
        <v>49422</v>
      </c>
      <c r="B16218" t="s">
        <v>49663</v>
      </c>
      <c r="C16218" t="s">
        <v>49659</v>
      </c>
      <c r="D16218" t="s">
        <v>49660</v>
      </c>
      <c r="E16218" t="s">
        <v>49661</v>
      </c>
      <c r="F16218" t="s">
        <v>49664</v>
      </c>
      <c r="G16218" s="2" t="str">
        <f>HYPERLINK("https://probpalata.gov.ru/files/ИП640600173700001.jpeg","Скачать индивидуальный QR-код магазина")</f>
        <v>Скачать индивидуальный QR-код магазина</v>
      </c>
    </row>
    <row r="16219" spans="1:7" x14ac:dyDescent="0.25">
      <c r="A16219" t="s">
        <v>49422</v>
      </c>
      <c r="B16219" t="s">
        <v>49654</v>
      </c>
      <c r="C16219" t="s">
        <v>49659</v>
      </c>
      <c r="D16219" t="s">
        <v>49660</v>
      </c>
      <c r="E16219" t="s">
        <v>49661</v>
      </c>
      <c r="F16219" t="s">
        <v>49665</v>
      </c>
      <c r="G16219" s="2" t="str">
        <f>HYPERLINK("https://probpalata.gov.ru/files/ИП640600173700002.jpeg","Скачать индивидуальный QR-код магазина")</f>
        <v>Скачать индивидуальный QR-код магазина</v>
      </c>
    </row>
    <row r="16220" spans="1:7" x14ac:dyDescent="0.25">
      <c r="A16220" t="s">
        <v>49422</v>
      </c>
      <c r="B16220" t="s">
        <v>49666</v>
      </c>
      <c r="C16220" t="s">
        <v>49659</v>
      </c>
      <c r="D16220" t="s">
        <v>49660</v>
      </c>
      <c r="E16220" t="s">
        <v>49661</v>
      </c>
      <c r="F16220" t="s">
        <v>49667</v>
      </c>
      <c r="G16220" s="2" t="str">
        <f>HYPERLINK("https://probpalata.gov.ru/files/ИП640600173700003.jpeg","Скачать индивидуальный QR-код магазина")</f>
        <v>Скачать индивидуальный QR-код магазина</v>
      </c>
    </row>
    <row r="16221" spans="1:7" x14ac:dyDescent="0.25">
      <c r="A16221" t="s">
        <v>49422</v>
      </c>
      <c r="B16221" t="s">
        <v>49654</v>
      </c>
      <c r="C16221" t="s">
        <v>49668</v>
      </c>
      <c r="D16221" t="s">
        <v>49669</v>
      </c>
      <c r="E16221" t="s">
        <v>49670</v>
      </c>
      <c r="F16221" t="s">
        <v>49671</v>
      </c>
      <c r="G16221" s="2" t="str">
        <f>HYPERLINK("https://probpalata.gov.ru/files/ИП640600369100000.jpeg","Скачать индивидуальный QR-код магазина")</f>
        <v>Скачать индивидуальный QR-код магазина</v>
      </c>
    </row>
    <row r="16222" spans="1:7" x14ac:dyDescent="0.25">
      <c r="A16222" t="s">
        <v>49422</v>
      </c>
      <c r="B16222" t="s">
        <v>49672</v>
      </c>
      <c r="C16222" t="s">
        <v>49673</v>
      </c>
      <c r="D16222" t="s">
        <v>49674</v>
      </c>
      <c r="E16222" t="s">
        <v>49675</v>
      </c>
      <c r="F16222" t="s">
        <v>49676</v>
      </c>
      <c r="G16222" s="2" t="str">
        <f>HYPERLINK("https://probpalata.gov.ru/files/ИП640600367900000.jpeg","Скачать индивидуальный QR-код магазина")</f>
        <v>Скачать индивидуальный QR-код магазина</v>
      </c>
    </row>
    <row r="16223" spans="1:7" x14ac:dyDescent="0.25">
      <c r="A16223" t="s">
        <v>49422</v>
      </c>
      <c r="B16223" t="s">
        <v>49677</v>
      </c>
      <c r="C16223" t="s">
        <v>49678</v>
      </c>
      <c r="D16223" t="s">
        <v>49679</v>
      </c>
      <c r="E16223" t="s">
        <v>49680</v>
      </c>
      <c r="F16223" t="s">
        <v>49681</v>
      </c>
      <c r="G16223" s="2" t="str">
        <f>HYPERLINK("https://probpalata.gov.ru/files/ИП640601059000000.jpeg","Скачать индивидуальный QR-код магазина")</f>
        <v>Скачать индивидуальный QR-код магазина</v>
      </c>
    </row>
    <row r="16224" spans="1:7" x14ac:dyDescent="0.25">
      <c r="A16224" t="s">
        <v>49422</v>
      </c>
      <c r="B16224" t="s">
        <v>49682</v>
      </c>
      <c r="C16224" t="s">
        <v>49683</v>
      </c>
      <c r="D16224" t="s">
        <v>49684</v>
      </c>
      <c r="E16224" t="s">
        <v>49685</v>
      </c>
      <c r="F16224" t="s">
        <v>49686</v>
      </c>
      <c r="G16224" s="2" t="str">
        <f>HYPERLINK("https://probpalata.gov.ru/files/ИП640603238300000.jpeg","Скачать индивидуальный QR-код магазина")</f>
        <v>Скачать индивидуальный QR-код магазина</v>
      </c>
    </row>
    <row r="16225" spans="1:7" x14ac:dyDescent="0.25">
      <c r="A16225" t="s">
        <v>49422</v>
      </c>
      <c r="B16225" t="s">
        <v>49687</v>
      </c>
      <c r="C16225" t="s">
        <v>49688</v>
      </c>
      <c r="D16225" t="s">
        <v>49689</v>
      </c>
      <c r="E16225" t="s">
        <v>49690</v>
      </c>
      <c r="F16225" t="s">
        <v>49691</v>
      </c>
      <c r="G16225" s="2" t="str">
        <f>HYPERLINK("https://probpalata.gov.ru/files/ИП640601560300000.jpeg","Скачать индивидуальный QR-код магазина")</f>
        <v>Скачать индивидуальный QR-код магазина</v>
      </c>
    </row>
    <row r="16226" spans="1:7" x14ac:dyDescent="0.25">
      <c r="A16226" t="s">
        <v>49422</v>
      </c>
      <c r="B16226" t="s">
        <v>49692</v>
      </c>
      <c r="C16226" t="s">
        <v>49693</v>
      </c>
      <c r="D16226" t="s">
        <v>49694</v>
      </c>
      <c r="E16226" t="s">
        <v>49695</v>
      </c>
      <c r="F16226" t="s">
        <v>49696</v>
      </c>
      <c r="G16226" s="2" t="str">
        <f>HYPERLINK("https://probpalata.gov.ru/files/ИП640603390900000.jpeg","Скачать индивидуальный QR-код магазина")</f>
        <v>Скачать индивидуальный QR-код магазина</v>
      </c>
    </row>
    <row r="16227" spans="1:7" x14ac:dyDescent="0.25">
      <c r="A16227" t="s">
        <v>49422</v>
      </c>
      <c r="B16227" t="s">
        <v>49697</v>
      </c>
      <c r="C16227" t="s">
        <v>49698</v>
      </c>
      <c r="D16227" t="s">
        <v>49699</v>
      </c>
      <c r="E16227" t="s">
        <v>49700</v>
      </c>
      <c r="F16227" t="s">
        <v>49701</v>
      </c>
      <c r="G16227" s="2" t="str">
        <f>HYPERLINK("https://probpalata.gov.ru/files/ИП640600220900001.jpeg","Скачать индивидуальный QR-код магазина")</f>
        <v>Скачать индивидуальный QR-код магазина</v>
      </c>
    </row>
    <row r="16228" spans="1:7" x14ac:dyDescent="0.25">
      <c r="A16228" t="s">
        <v>49422</v>
      </c>
      <c r="B16228" t="s">
        <v>49702</v>
      </c>
      <c r="C16228" t="s">
        <v>49703</v>
      </c>
      <c r="D16228" t="s">
        <v>49704</v>
      </c>
      <c r="E16228" t="s">
        <v>49705</v>
      </c>
      <c r="F16228" t="s">
        <v>49706</v>
      </c>
      <c r="G16228" s="2" t="str">
        <f>HYPERLINK("https://probpalata.gov.ru/files/ИП640603968500000.jpeg","Скачать индивидуальный QR-код магазина")</f>
        <v>Скачать индивидуальный QR-код магазина</v>
      </c>
    </row>
    <row r="16229" spans="1:7" x14ac:dyDescent="0.25">
      <c r="A16229" t="s">
        <v>49422</v>
      </c>
      <c r="B16229" t="s">
        <v>49707</v>
      </c>
      <c r="C16229" t="s">
        <v>49708</v>
      </c>
      <c r="D16229" t="s">
        <v>49709</v>
      </c>
      <c r="E16229" t="s">
        <v>49710</v>
      </c>
      <c r="F16229" t="s">
        <v>49711</v>
      </c>
      <c r="G16229" s="2" t="str">
        <f>HYPERLINK("https://probpalata.gov.ru/files/ИП640601131000000.jpeg","Скачать индивидуальный QR-код магазина")</f>
        <v>Скачать индивидуальный QR-код магазина</v>
      </c>
    </row>
    <row r="16230" spans="1:7" x14ac:dyDescent="0.25">
      <c r="A16230" t="s">
        <v>49422</v>
      </c>
      <c r="B16230" t="s">
        <v>49712</v>
      </c>
      <c r="C16230" t="s">
        <v>49713</v>
      </c>
      <c r="D16230" t="s">
        <v>49714</v>
      </c>
      <c r="E16230" t="s">
        <v>49715</v>
      </c>
      <c r="F16230" t="s">
        <v>49716</v>
      </c>
      <c r="G16230" s="2" t="str">
        <f>HYPERLINK("https://probpalata.gov.ru/files/ИП640600353200000.jpeg","Скачать индивидуальный QR-код магазина")</f>
        <v>Скачать индивидуальный QR-код магазина</v>
      </c>
    </row>
    <row r="16231" spans="1:7" x14ac:dyDescent="0.25">
      <c r="A16231" t="s">
        <v>49422</v>
      </c>
      <c r="B16231" t="s">
        <v>49717</v>
      </c>
      <c r="C16231" t="s">
        <v>49718</v>
      </c>
      <c r="D16231" t="s">
        <v>49719</v>
      </c>
      <c r="E16231" t="s">
        <v>49720</v>
      </c>
      <c r="F16231" t="s">
        <v>49721</v>
      </c>
      <c r="G16231" s="2" t="str">
        <f>HYPERLINK("https://probpalata.gov.ru/files/ИП640600894000000.jpeg","Скачать индивидуальный QR-код магазина")</f>
        <v>Скачать индивидуальный QR-код магазина</v>
      </c>
    </row>
    <row r="16232" spans="1:7" x14ac:dyDescent="0.25">
      <c r="A16232" t="s">
        <v>49422</v>
      </c>
      <c r="B16232" t="s">
        <v>49722</v>
      </c>
      <c r="C16232" t="s">
        <v>49723</v>
      </c>
      <c r="D16232" t="s">
        <v>49724</v>
      </c>
      <c r="E16232" t="s">
        <v>49725</v>
      </c>
      <c r="F16232" t="s">
        <v>49726</v>
      </c>
      <c r="G16232" s="2" t="str">
        <f>HYPERLINK("https://probpalata.gov.ru/files/ИП640600917000000.jpeg","Скачать индивидуальный QR-код магазина")</f>
        <v>Скачать индивидуальный QR-код магазина</v>
      </c>
    </row>
    <row r="16233" spans="1:7" x14ac:dyDescent="0.25">
      <c r="A16233" t="s">
        <v>49422</v>
      </c>
      <c r="B16233" t="s">
        <v>49712</v>
      </c>
      <c r="C16233" t="s">
        <v>49727</v>
      </c>
      <c r="D16233" t="s">
        <v>49728</v>
      </c>
      <c r="E16233" t="s">
        <v>49729</v>
      </c>
      <c r="F16233" t="s">
        <v>49730</v>
      </c>
      <c r="G16233" s="2" t="str">
        <f>HYPERLINK("https://probpalata.gov.ru/files/ИП640600445800000.jpeg","Скачать индивидуальный QR-код магазина")</f>
        <v>Скачать индивидуальный QR-код магазина</v>
      </c>
    </row>
    <row r="16234" spans="1:7" x14ac:dyDescent="0.25">
      <c r="A16234" t="s">
        <v>49422</v>
      </c>
      <c r="B16234" t="s">
        <v>49731</v>
      </c>
      <c r="C16234" t="s">
        <v>49732</v>
      </c>
      <c r="D16234" t="s">
        <v>49733</v>
      </c>
      <c r="E16234" t="s">
        <v>49734</v>
      </c>
      <c r="F16234" t="s">
        <v>49735</v>
      </c>
      <c r="G16234" s="2" t="str">
        <f>HYPERLINK("https://probpalata.gov.ru/files/ИП640600225100000.jpeg","Скачать индивидуальный QR-код магазина")</f>
        <v>Скачать индивидуальный QR-код магазина</v>
      </c>
    </row>
    <row r="16235" spans="1:7" x14ac:dyDescent="0.25">
      <c r="A16235" t="s">
        <v>49422</v>
      </c>
      <c r="B16235" t="s">
        <v>49736</v>
      </c>
      <c r="C16235" t="s">
        <v>49732</v>
      </c>
      <c r="D16235" t="s">
        <v>49733</v>
      </c>
      <c r="E16235" t="s">
        <v>49734</v>
      </c>
      <c r="F16235" t="s">
        <v>49737</v>
      </c>
      <c r="G16235" s="2" t="str">
        <f>HYPERLINK("https://probpalata.gov.ru/files/ИП640600225100001.jpeg","Скачать индивидуальный QR-код магазина")</f>
        <v>Скачать индивидуальный QR-код магазина</v>
      </c>
    </row>
    <row r="16236" spans="1:7" x14ac:dyDescent="0.25">
      <c r="A16236" t="s">
        <v>49422</v>
      </c>
      <c r="B16236" t="s">
        <v>49738</v>
      </c>
      <c r="C16236" t="s">
        <v>49739</v>
      </c>
      <c r="D16236" t="s">
        <v>49740</v>
      </c>
      <c r="E16236" t="s">
        <v>49741</v>
      </c>
      <c r="F16236" t="s">
        <v>49742</v>
      </c>
      <c r="G16236" s="2" t="str">
        <f>HYPERLINK("https://probpalata.gov.ru/files/ИП640603302500000.jpeg","Скачать индивидуальный QR-код магазина")</f>
        <v>Скачать индивидуальный QR-код магазина</v>
      </c>
    </row>
    <row r="16237" spans="1:7" x14ac:dyDescent="0.25">
      <c r="A16237" t="s">
        <v>49422</v>
      </c>
      <c r="B16237" t="s">
        <v>49743</v>
      </c>
      <c r="C16237" t="s">
        <v>34621</v>
      </c>
      <c r="D16237" t="s">
        <v>34622</v>
      </c>
      <c r="E16237" t="s">
        <v>34623</v>
      </c>
      <c r="F16237" t="s">
        <v>49744</v>
      </c>
      <c r="G16237" s="2" t="str">
        <f>HYPERLINK("https://probpalata.gov.ru/files/ИП640601186100000.jpeg","Скачать индивидуальный QR-код магазина")</f>
        <v>Скачать индивидуальный QR-код магазина</v>
      </c>
    </row>
    <row r="16238" spans="1:7" x14ac:dyDescent="0.25">
      <c r="A16238" t="s">
        <v>49422</v>
      </c>
      <c r="B16238" t="s">
        <v>49745</v>
      </c>
      <c r="C16238" t="s">
        <v>20666</v>
      </c>
      <c r="D16238" t="s">
        <v>20667</v>
      </c>
      <c r="E16238" t="s">
        <v>20668</v>
      </c>
      <c r="F16238" t="s">
        <v>49746</v>
      </c>
      <c r="G16238" s="2" t="str">
        <f>HYPERLINK("https://probpalata.gov.ru/files/ИП640600381100000.jpeg","Скачать индивидуальный QR-код магазина")</f>
        <v>Скачать индивидуальный QR-код магазина</v>
      </c>
    </row>
    <row r="16239" spans="1:7" x14ac:dyDescent="0.25">
      <c r="A16239" t="s">
        <v>49422</v>
      </c>
      <c r="B16239" t="s">
        <v>49747</v>
      </c>
      <c r="C16239" t="s">
        <v>20666</v>
      </c>
      <c r="D16239" t="s">
        <v>20667</v>
      </c>
      <c r="E16239" t="s">
        <v>20668</v>
      </c>
      <c r="F16239" t="s">
        <v>49748</v>
      </c>
      <c r="G16239" s="2" t="str">
        <f>HYPERLINK("https://probpalata.gov.ru/files/ИП640600381100001.jpeg","Скачать индивидуальный QR-код магазина")</f>
        <v>Скачать индивидуальный QR-код магазина</v>
      </c>
    </row>
    <row r="16240" spans="1:7" x14ac:dyDescent="0.25">
      <c r="A16240" t="s">
        <v>49422</v>
      </c>
      <c r="B16240" t="s">
        <v>49749</v>
      </c>
      <c r="C16240" t="s">
        <v>20666</v>
      </c>
      <c r="D16240" t="s">
        <v>20667</v>
      </c>
      <c r="E16240" t="s">
        <v>20668</v>
      </c>
      <c r="F16240" t="s">
        <v>49750</v>
      </c>
      <c r="G16240" s="2" t="str">
        <f>HYPERLINK("https://probpalata.gov.ru/files/ИП640600381100002.jpeg","Скачать индивидуальный QR-код магазина")</f>
        <v>Скачать индивидуальный QR-код магазина</v>
      </c>
    </row>
    <row r="16241" spans="1:7" x14ac:dyDescent="0.25">
      <c r="A16241" t="s">
        <v>49422</v>
      </c>
      <c r="B16241" t="s">
        <v>49751</v>
      </c>
      <c r="C16241" t="s">
        <v>49752</v>
      </c>
      <c r="D16241" t="s">
        <v>49753</v>
      </c>
      <c r="E16241" t="s">
        <v>49754</v>
      </c>
      <c r="F16241" t="s">
        <v>49755</v>
      </c>
      <c r="G16241" s="2" t="str">
        <f>HYPERLINK("https://probpalata.gov.ru/files/ИП640600203800000.jpeg","Скачать индивидуальный QR-код магазина")</f>
        <v>Скачать индивидуальный QR-код магазина</v>
      </c>
    </row>
    <row r="16242" spans="1:7" x14ac:dyDescent="0.25">
      <c r="A16242" t="s">
        <v>49422</v>
      </c>
      <c r="B16242" t="s">
        <v>49756</v>
      </c>
      <c r="C16242" t="s">
        <v>49757</v>
      </c>
      <c r="D16242" t="s">
        <v>49758</v>
      </c>
      <c r="E16242" t="s">
        <v>49759</v>
      </c>
      <c r="F16242" t="s">
        <v>49760</v>
      </c>
      <c r="G16242" s="2" t="str">
        <f>HYPERLINK("https://probpalata.gov.ru/files/ИП640600041400000.jpeg","Скачать индивидуальный QR-код магазина")</f>
        <v>Скачать индивидуальный QR-код магазина</v>
      </c>
    </row>
    <row r="16243" spans="1:7" x14ac:dyDescent="0.25">
      <c r="A16243" t="s">
        <v>49422</v>
      </c>
      <c r="B16243" t="s">
        <v>49761</v>
      </c>
      <c r="C16243" t="s">
        <v>3634</v>
      </c>
      <c r="D16243" t="s">
        <v>49762</v>
      </c>
      <c r="E16243" t="s">
        <v>49763</v>
      </c>
      <c r="F16243" t="s">
        <v>49764</v>
      </c>
      <c r="G16243" s="2" t="str">
        <f>HYPERLINK("https://probpalata.gov.ru/files/ЮЛ640600808200000.jpeg","Скачать индивидуальный QR-код магазина")</f>
        <v>Скачать индивидуальный QR-код магазина</v>
      </c>
    </row>
    <row r="16244" spans="1:7" x14ac:dyDescent="0.25">
      <c r="A16244" t="s">
        <v>49422</v>
      </c>
      <c r="B16244" t="s">
        <v>49765</v>
      </c>
      <c r="C16244" t="s">
        <v>49766</v>
      </c>
      <c r="D16244" t="s">
        <v>49767</v>
      </c>
      <c r="E16244" t="s">
        <v>49768</v>
      </c>
      <c r="F16244" t="s">
        <v>49769</v>
      </c>
      <c r="G16244" s="2" t="str">
        <f>HYPERLINK("https://probpalata.gov.ru/files/ЮЛ640603663400000.jpeg","Скачать индивидуальный QR-код магазина")</f>
        <v>Скачать индивидуальный QR-код магазина</v>
      </c>
    </row>
    <row r="16245" spans="1:7" x14ac:dyDescent="0.25">
      <c r="A16245" t="s">
        <v>49422</v>
      </c>
      <c r="B16245" t="s">
        <v>49770</v>
      </c>
      <c r="C16245" t="s">
        <v>49771</v>
      </c>
      <c r="D16245" t="s">
        <v>49772</v>
      </c>
      <c r="E16245" t="s">
        <v>49773</v>
      </c>
      <c r="F16245" t="s">
        <v>49774</v>
      </c>
      <c r="G16245" s="2" t="str">
        <f>HYPERLINK("https://probpalata.gov.ru/files/ИП640600807400000.jpeg","Скачать индивидуальный QR-код магазина")</f>
        <v>Скачать индивидуальный QR-код магазина</v>
      </c>
    </row>
    <row r="16246" spans="1:7" x14ac:dyDescent="0.25">
      <c r="A16246" t="s">
        <v>49422</v>
      </c>
      <c r="B16246" t="s">
        <v>49775</v>
      </c>
      <c r="C16246" t="s">
        <v>49771</v>
      </c>
      <c r="D16246" t="s">
        <v>49772</v>
      </c>
      <c r="E16246" t="s">
        <v>49773</v>
      </c>
      <c r="F16246" t="s">
        <v>49776</v>
      </c>
      <c r="G16246" s="2" t="str">
        <f>HYPERLINK("https://probpalata.gov.ru/files/ИП640600807400002.jpeg","Скачать индивидуальный QR-код магазина")</f>
        <v>Скачать индивидуальный QR-код магазина</v>
      </c>
    </row>
    <row r="16247" spans="1:7" x14ac:dyDescent="0.25">
      <c r="A16247" t="s">
        <v>49422</v>
      </c>
      <c r="B16247" t="s">
        <v>49777</v>
      </c>
      <c r="C16247" t="s">
        <v>49771</v>
      </c>
      <c r="D16247" t="s">
        <v>49772</v>
      </c>
      <c r="E16247" t="s">
        <v>49773</v>
      </c>
      <c r="F16247" t="s">
        <v>49778</v>
      </c>
      <c r="G16247" s="2" t="str">
        <f>HYPERLINK("https://probpalata.gov.ru/files/ИП640600807400003.jpeg","Скачать индивидуальный QR-код магазина")</f>
        <v>Скачать индивидуальный QR-код магазина</v>
      </c>
    </row>
    <row r="16248" spans="1:7" x14ac:dyDescent="0.25">
      <c r="A16248" t="s">
        <v>49422</v>
      </c>
      <c r="B16248" t="s">
        <v>49779</v>
      </c>
      <c r="C16248" t="s">
        <v>49771</v>
      </c>
      <c r="D16248" t="s">
        <v>49772</v>
      </c>
      <c r="E16248" t="s">
        <v>49773</v>
      </c>
      <c r="F16248" t="s">
        <v>49780</v>
      </c>
      <c r="G16248" s="2" t="str">
        <f>HYPERLINK("https://probpalata.gov.ru/files/ИП640600807400004.jpeg","Скачать индивидуальный QR-код магазина")</f>
        <v>Скачать индивидуальный QR-код магазина</v>
      </c>
    </row>
    <row r="16249" spans="1:7" x14ac:dyDescent="0.25">
      <c r="A16249" t="s">
        <v>49422</v>
      </c>
      <c r="B16249" t="s">
        <v>49781</v>
      </c>
      <c r="C16249" t="s">
        <v>49782</v>
      </c>
      <c r="D16249" t="s">
        <v>49783</v>
      </c>
      <c r="E16249" t="s">
        <v>49784</v>
      </c>
      <c r="F16249" t="s">
        <v>49785</v>
      </c>
      <c r="G16249" s="2" t="str">
        <f>HYPERLINK("https://probpalata.gov.ru/files/ЮЛ640603716200006.jpeg","Скачать индивидуальный QR-код магазина")</f>
        <v>Скачать индивидуальный QR-код магазина</v>
      </c>
    </row>
    <row r="16250" spans="1:7" x14ac:dyDescent="0.25">
      <c r="A16250" t="s">
        <v>49422</v>
      </c>
      <c r="B16250" t="s">
        <v>49526</v>
      </c>
      <c r="C16250" t="s">
        <v>49786</v>
      </c>
      <c r="D16250" t="s">
        <v>49787</v>
      </c>
      <c r="E16250" t="s">
        <v>49788</v>
      </c>
      <c r="F16250" t="s">
        <v>49789</v>
      </c>
      <c r="G16250" s="2" t="str">
        <f>HYPERLINK("https://probpalata.gov.ru/files/ЮЛ640603809600000.jpeg","Скачать индивидуальный QR-код магазина")</f>
        <v>Скачать индивидуальный QR-код магазина</v>
      </c>
    </row>
    <row r="16251" spans="1:7" x14ac:dyDescent="0.25">
      <c r="A16251" t="s">
        <v>49422</v>
      </c>
      <c r="B16251" t="s">
        <v>49790</v>
      </c>
      <c r="C16251" t="s">
        <v>49791</v>
      </c>
      <c r="D16251" t="s">
        <v>49792</v>
      </c>
      <c r="E16251" t="s">
        <v>49793</v>
      </c>
      <c r="F16251" t="s">
        <v>49794</v>
      </c>
      <c r="G16251" s="2" t="str">
        <f>HYPERLINK("https://probpalata.gov.ru/files/ИП640603603400000.jpeg","Скачать индивидуальный QR-код магазина")</f>
        <v>Скачать индивидуальный QR-код магазина</v>
      </c>
    </row>
    <row r="16252" spans="1:7" x14ac:dyDescent="0.25">
      <c r="A16252" t="s">
        <v>49422</v>
      </c>
      <c r="B16252" t="s">
        <v>49795</v>
      </c>
      <c r="C16252" t="s">
        <v>49791</v>
      </c>
      <c r="D16252" t="s">
        <v>49792</v>
      </c>
      <c r="E16252" t="s">
        <v>49793</v>
      </c>
      <c r="F16252" t="s">
        <v>49796</v>
      </c>
      <c r="G16252" s="2" t="str">
        <f>HYPERLINK("https://probpalata.gov.ru/files/ИП640603603400001.jpeg","Скачать индивидуальный QR-код магазина")</f>
        <v>Скачать индивидуальный QR-код магазина</v>
      </c>
    </row>
    <row r="16253" spans="1:7" x14ac:dyDescent="0.25">
      <c r="A16253" t="s">
        <v>49422</v>
      </c>
      <c r="B16253" t="s">
        <v>49797</v>
      </c>
      <c r="C16253" t="s">
        <v>49791</v>
      </c>
      <c r="D16253" t="s">
        <v>49792</v>
      </c>
      <c r="E16253" t="s">
        <v>49793</v>
      </c>
      <c r="F16253" t="s">
        <v>49798</v>
      </c>
      <c r="G16253" s="2" t="str">
        <f>HYPERLINK("https://probpalata.gov.ru/files/ИП640603603400002.jpeg","Скачать индивидуальный QR-код магазина")</f>
        <v>Скачать индивидуальный QR-код магазина</v>
      </c>
    </row>
    <row r="16254" spans="1:7" x14ac:dyDescent="0.25">
      <c r="A16254" t="s">
        <v>49422</v>
      </c>
      <c r="B16254" t="s">
        <v>49799</v>
      </c>
      <c r="C16254" t="s">
        <v>49791</v>
      </c>
      <c r="D16254" t="s">
        <v>49792</v>
      </c>
      <c r="E16254" t="s">
        <v>49793</v>
      </c>
      <c r="F16254" t="s">
        <v>49800</v>
      </c>
      <c r="G16254" s="2" t="str">
        <f>HYPERLINK("https://probpalata.gov.ru/files/ИП640603603400003.jpeg","Скачать индивидуальный QR-код магазина")</f>
        <v>Скачать индивидуальный QR-код магазина</v>
      </c>
    </row>
    <row r="16255" spans="1:7" x14ac:dyDescent="0.25">
      <c r="A16255" t="s">
        <v>49422</v>
      </c>
      <c r="B16255" t="s">
        <v>49801</v>
      </c>
      <c r="C16255" t="s">
        <v>49802</v>
      </c>
      <c r="D16255" t="s">
        <v>49803</v>
      </c>
      <c r="E16255" t="s">
        <v>49804</v>
      </c>
      <c r="F16255" t="s">
        <v>49805</v>
      </c>
      <c r="G16255" s="2" t="str">
        <f>HYPERLINK("https://probpalata.gov.ru/files/ИП640600217400003.jpeg","Скачать индивидуальный QR-код магазина")</f>
        <v>Скачать индивидуальный QR-код магазина</v>
      </c>
    </row>
    <row r="16256" spans="1:7" x14ac:dyDescent="0.25">
      <c r="A16256" t="s">
        <v>49422</v>
      </c>
      <c r="B16256" t="s">
        <v>49465</v>
      </c>
      <c r="C16256" t="s">
        <v>49802</v>
      </c>
      <c r="D16256" t="s">
        <v>49803</v>
      </c>
      <c r="E16256" t="s">
        <v>49804</v>
      </c>
      <c r="F16256" t="s">
        <v>49806</v>
      </c>
      <c r="G16256" s="2" t="str">
        <f>HYPERLINK("https://probpalata.gov.ru/files/ИП640600217400005.jpeg","Скачать индивидуальный QR-код магазина")</f>
        <v>Скачать индивидуальный QR-код магазина</v>
      </c>
    </row>
    <row r="16257" spans="1:7" x14ac:dyDescent="0.25">
      <c r="A16257" t="s">
        <v>49422</v>
      </c>
      <c r="B16257" t="s">
        <v>49465</v>
      </c>
      <c r="C16257" t="s">
        <v>49802</v>
      </c>
      <c r="D16257" t="s">
        <v>49803</v>
      </c>
      <c r="E16257" t="s">
        <v>49804</v>
      </c>
      <c r="F16257" t="s">
        <v>49807</v>
      </c>
      <c r="G16257" s="2" t="str">
        <f>HYPERLINK("https://probpalata.gov.ru/files/ИП640600217400006.jpeg","Скачать индивидуальный QR-код магазина")</f>
        <v>Скачать индивидуальный QR-код магазина</v>
      </c>
    </row>
    <row r="16258" spans="1:7" x14ac:dyDescent="0.25">
      <c r="A16258" t="s">
        <v>49422</v>
      </c>
      <c r="B16258" t="s">
        <v>49808</v>
      </c>
      <c r="C16258" t="s">
        <v>49802</v>
      </c>
      <c r="D16258" t="s">
        <v>49803</v>
      </c>
      <c r="E16258" t="s">
        <v>49804</v>
      </c>
      <c r="F16258" t="s">
        <v>49809</v>
      </c>
      <c r="G16258" s="2" t="str">
        <f>HYPERLINK("https://probpalata.gov.ru/files/ИП640600217400008.jpeg","Скачать индивидуальный QR-код магазина")</f>
        <v>Скачать индивидуальный QR-код магазина</v>
      </c>
    </row>
    <row r="16259" spans="1:7" x14ac:dyDescent="0.25">
      <c r="A16259" t="s">
        <v>49422</v>
      </c>
      <c r="B16259" t="s">
        <v>49810</v>
      </c>
      <c r="C16259" t="s">
        <v>49811</v>
      </c>
      <c r="D16259" t="s">
        <v>49812</v>
      </c>
      <c r="E16259" t="s">
        <v>49813</v>
      </c>
      <c r="F16259" t="s">
        <v>49814</v>
      </c>
      <c r="G16259" s="2" t="str">
        <f>HYPERLINK("https://probpalata.gov.ru/files/ИП640600106600000.jpeg","Скачать индивидуальный QR-код магазина")</f>
        <v>Скачать индивидуальный QR-код магазина</v>
      </c>
    </row>
    <row r="16260" spans="1:7" x14ac:dyDescent="0.25">
      <c r="A16260" t="s">
        <v>49422</v>
      </c>
      <c r="B16260" t="s">
        <v>49815</v>
      </c>
      <c r="C16260" t="s">
        <v>16153</v>
      </c>
      <c r="D16260" t="s">
        <v>49816</v>
      </c>
      <c r="E16260" t="s">
        <v>49817</v>
      </c>
      <c r="F16260" t="s">
        <v>49818</v>
      </c>
      <c r="G16260" s="2" t="str">
        <f>HYPERLINK("https://probpalata.gov.ru/files/ЮЛ640600258200000.jpeg","Скачать индивидуальный QR-код магазина")</f>
        <v>Скачать индивидуальный QR-код магазина</v>
      </c>
    </row>
    <row r="16261" spans="1:7" x14ac:dyDescent="0.25">
      <c r="A16261" t="s">
        <v>49422</v>
      </c>
      <c r="B16261" t="s">
        <v>49819</v>
      </c>
      <c r="C16261" t="s">
        <v>49820</v>
      </c>
      <c r="D16261" t="s">
        <v>49821</v>
      </c>
      <c r="E16261" t="s">
        <v>49822</v>
      </c>
      <c r="F16261" t="s">
        <v>49823</v>
      </c>
      <c r="G16261" s="2" t="str">
        <f>HYPERLINK("https://probpalata.gov.ru/files/ИП640603245800000.jpeg","Скачать индивидуальный QR-код магазина")</f>
        <v>Скачать индивидуальный QR-код магазина</v>
      </c>
    </row>
    <row r="16262" spans="1:7" x14ac:dyDescent="0.25">
      <c r="A16262" t="s">
        <v>49422</v>
      </c>
      <c r="B16262" t="s">
        <v>49824</v>
      </c>
      <c r="C16262" t="s">
        <v>49825</v>
      </c>
      <c r="D16262" t="s">
        <v>49826</v>
      </c>
      <c r="E16262" t="s">
        <v>49827</v>
      </c>
      <c r="F16262" t="s">
        <v>49828</v>
      </c>
      <c r="G16262" s="2" t="str">
        <f>HYPERLINK("https://probpalata.gov.ru/files/ИП640603330100000.jpeg","Скачать индивидуальный QR-код магазина")</f>
        <v>Скачать индивидуальный QR-код магазина</v>
      </c>
    </row>
    <row r="16263" spans="1:7" x14ac:dyDescent="0.25">
      <c r="A16263" t="s">
        <v>49422</v>
      </c>
      <c r="B16263" t="s">
        <v>49829</v>
      </c>
      <c r="C16263" t="s">
        <v>49825</v>
      </c>
      <c r="D16263" t="s">
        <v>49826</v>
      </c>
      <c r="E16263" t="s">
        <v>49827</v>
      </c>
      <c r="F16263" t="s">
        <v>49830</v>
      </c>
      <c r="G16263" s="2" t="str">
        <f>HYPERLINK("https://probpalata.gov.ru/files/ИП640603330100001.jpeg","Скачать индивидуальный QR-код магазина")</f>
        <v>Скачать индивидуальный QR-код магазина</v>
      </c>
    </row>
    <row r="16264" spans="1:7" x14ac:dyDescent="0.25">
      <c r="A16264" t="s">
        <v>49422</v>
      </c>
      <c r="B16264" t="s">
        <v>49510</v>
      </c>
      <c r="C16264" t="s">
        <v>49825</v>
      </c>
      <c r="D16264" t="s">
        <v>49826</v>
      </c>
      <c r="E16264" t="s">
        <v>49827</v>
      </c>
      <c r="F16264" t="s">
        <v>49831</v>
      </c>
      <c r="G16264" s="2" t="str">
        <f>HYPERLINK("https://probpalata.gov.ru/files/ИП640603330100002.jpeg","Скачать индивидуальный QR-код магазина")</f>
        <v>Скачать индивидуальный QR-код магазина</v>
      </c>
    </row>
    <row r="16265" spans="1:7" x14ac:dyDescent="0.25">
      <c r="A16265" t="s">
        <v>49422</v>
      </c>
      <c r="B16265" t="s">
        <v>49832</v>
      </c>
      <c r="C16265" t="s">
        <v>49833</v>
      </c>
      <c r="D16265" t="s">
        <v>49834</v>
      </c>
      <c r="E16265" t="s">
        <v>49835</v>
      </c>
      <c r="F16265" t="s">
        <v>49836</v>
      </c>
      <c r="G16265" s="2" t="str">
        <f>HYPERLINK("https://probpalata.gov.ru/files/ИП640600540000000.jpeg","Скачать индивидуальный QR-код магазина")</f>
        <v>Скачать индивидуальный QR-код магазина</v>
      </c>
    </row>
    <row r="16266" spans="1:7" x14ac:dyDescent="0.25">
      <c r="A16266" t="s">
        <v>49422</v>
      </c>
      <c r="B16266" t="s">
        <v>49837</v>
      </c>
      <c r="C16266" t="s">
        <v>49833</v>
      </c>
      <c r="D16266" t="s">
        <v>49834</v>
      </c>
      <c r="E16266" t="s">
        <v>49835</v>
      </c>
      <c r="F16266" t="s">
        <v>49838</v>
      </c>
      <c r="G16266" s="2" t="str">
        <f>HYPERLINK("https://probpalata.gov.ru/files/ИП640600540000002.jpeg","Скачать индивидуальный QR-код магазина")</f>
        <v>Скачать индивидуальный QR-код магазина</v>
      </c>
    </row>
    <row r="16267" spans="1:7" x14ac:dyDescent="0.25">
      <c r="A16267" t="s">
        <v>49422</v>
      </c>
      <c r="B16267" t="s">
        <v>49839</v>
      </c>
      <c r="C16267" t="s">
        <v>49833</v>
      </c>
      <c r="D16267" t="s">
        <v>49834</v>
      </c>
      <c r="E16267" t="s">
        <v>49835</v>
      </c>
      <c r="F16267" t="s">
        <v>49840</v>
      </c>
      <c r="G16267" s="2" t="str">
        <f>HYPERLINK("https://probpalata.gov.ru/files/ИП640600540000007.jpeg","Скачать индивидуальный QR-код магазина")</f>
        <v>Скачать индивидуальный QR-код магазина</v>
      </c>
    </row>
    <row r="16268" spans="1:7" x14ac:dyDescent="0.25">
      <c r="A16268" t="s">
        <v>49422</v>
      </c>
      <c r="B16268" t="s">
        <v>49841</v>
      </c>
      <c r="C16268" t="s">
        <v>49833</v>
      </c>
      <c r="D16268" t="s">
        <v>49834</v>
      </c>
      <c r="E16268" t="s">
        <v>49835</v>
      </c>
      <c r="F16268" t="s">
        <v>49842</v>
      </c>
      <c r="G16268" s="2" t="str">
        <f>HYPERLINK("https://probpalata.gov.ru/files/ИП640600540000008.jpeg","Скачать индивидуальный QR-код магазина")</f>
        <v>Скачать индивидуальный QR-код магазина</v>
      </c>
    </row>
    <row r="16269" spans="1:7" x14ac:dyDescent="0.25">
      <c r="A16269" t="s">
        <v>49422</v>
      </c>
      <c r="B16269" t="s">
        <v>49843</v>
      </c>
      <c r="C16269" t="s">
        <v>49833</v>
      </c>
      <c r="D16269" t="s">
        <v>49834</v>
      </c>
      <c r="E16269" t="s">
        <v>49835</v>
      </c>
      <c r="F16269" t="s">
        <v>49844</v>
      </c>
      <c r="G16269" s="2" t="str">
        <f>HYPERLINK("https://probpalata.gov.ru/files/ИП640600540000009.jpeg","Скачать индивидуальный QR-код магазина")</f>
        <v>Скачать индивидуальный QR-код магазина</v>
      </c>
    </row>
    <row r="16270" spans="1:7" x14ac:dyDescent="0.25">
      <c r="A16270" t="s">
        <v>49422</v>
      </c>
      <c r="B16270" t="s">
        <v>49845</v>
      </c>
      <c r="C16270" t="s">
        <v>49833</v>
      </c>
      <c r="D16270" t="s">
        <v>49834</v>
      </c>
      <c r="E16270" t="s">
        <v>49835</v>
      </c>
      <c r="F16270" t="s">
        <v>49846</v>
      </c>
      <c r="G16270" s="2" t="str">
        <f>HYPERLINK("https://probpalata.gov.ru/files/ИП640600540000010.jpeg","Скачать индивидуальный QR-код магазина")</f>
        <v>Скачать индивидуальный QR-код магазина</v>
      </c>
    </row>
    <row r="16271" spans="1:7" x14ac:dyDescent="0.25">
      <c r="A16271" t="s">
        <v>49422</v>
      </c>
      <c r="B16271" t="s">
        <v>49847</v>
      </c>
      <c r="C16271" t="s">
        <v>49833</v>
      </c>
      <c r="D16271" t="s">
        <v>49834</v>
      </c>
      <c r="E16271" t="s">
        <v>49835</v>
      </c>
      <c r="F16271" t="s">
        <v>49848</v>
      </c>
      <c r="G16271" s="2" t="str">
        <f>HYPERLINK("https://probpalata.gov.ru/files/ИП640600540000011.jpeg","Скачать индивидуальный QR-код магазина")</f>
        <v>Скачать индивидуальный QR-код магазина</v>
      </c>
    </row>
    <row r="16272" spans="1:7" x14ac:dyDescent="0.25">
      <c r="A16272" t="s">
        <v>49422</v>
      </c>
      <c r="B16272" t="s">
        <v>49849</v>
      </c>
      <c r="C16272" t="s">
        <v>49833</v>
      </c>
      <c r="D16272" t="s">
        <v>49834</v>
      </c>
      <c r="E16272" t="s">
        <v>49835</v>
      </c>
      <c r="F16272" t="s">
        <v>49850</v>
      </c>
      <c r="G16272" s="2" t="str">
        <f>HYPERLINK("https://probpalata.gov.ru/files/ИП640600540000012.jpeg","Скачать индивидуальный QR-код магазина")</f>
        <v>Скачать индивидуальный QR-код магазина</v>
      </c>
    </row>
    <row r="16273" spans="1:7" x14ac:dyDescent="0.25">
      <c r="A16273" t="s">
        <v>49422</v>
      </c>
      <c r="B16273" t="s">
        <v>49851</v>
      </c>
      <c r="C16273" t="s">
        <v>49833</v>
      </c>
      <c r="D16273" t="s">
        <v>49834</v>
      </c>
      <c r="E16273" t="s">
        <v>49835</v>
      </c>
      <c r="F16273" t="s">
        <v>49852</v>
      </c>
      <c r="G16273" s="2" t="str">
        <f>HYPERLINK("https://probpalata.gov.ru/files/ИП640600540000013.jpeg","Скачать индивидуальный QR-код магазина")</f>
        <v>Скачать индивидуальный QR-код магазина</v>
      </c>
    </row>
    <row r="16274" spans="1:7" x14ac:dyDescent="0.25">
      <c r="A16274" t="s">
        <v>49422</v>
      </c>
      <c r="B16274" t="s">
        <v>49853</v>
      </c>
      <c r="C16274" t="s">
        <v>49854</v>
      </c>
      <c r="D16274" t="s">
        <v>49855</v>
      </c>
      <c r="E16274" t="s">
        <v>49856</v>
      </c>
      <c r="F16274" t="s">
        <v>49857</v>
      </c>
      <c r="G16274" s="2" t="str">
        <f>HYPERLINK("https://probpalata.gov.ru/files/ИП640600053200000.jpeg","Скачать индивидуальный QR-код магазина")</f>
        <v>Скачать индивидуальный QR-код магазина</v>
      </c>
    </row>
    <row r="16275" spans="1:7" x14ac:dyDescent="0.25">
      <c r="A16275" t="s">
        <v>49422</v>
      </c>
      <c r="B16275" t="s">
        <v>49858</v>
      </c>
      <c r="C16275" t="s">
        <v>49854</v>
      </c>
      <c r="D16275" t="s">
        <v>49855</v>
      </c>
      <c r="E16275" t="s">
        <v>49856</v>
      </c>
      <c r="F16275" t="s">
        <v>49859</v>
      </c>
      <c r="G16275" s="2" t="str">
        <f>HYPERLINK("https://probpalata.gov.ru/files/ИП640600053200001.jpeg","Скачать индивидуальный QR-код магазина")</f>
        <v>Скачать индивидуальный QR-код магазина</v>
      </c>
    </row>
    <row r="16276" spans="1:7" x14ac:dyDescent="0.25">
      <c r="A16276" t="s">
        <v>49422</v>
      </c>
      <c r="B16276" t="s">
        <v>49860</v>
      </c>
      <c r="C16276" t="s">
        <v>49861</v>
      </c>
      <c r="D16276" t="s">
        <v>49862</v>
      </c>
      <c r="E16276" t="s">
        <v>49863</v>
      </c>
      <c r="F16276" t="s">
        <v>49864</v>
      </c>
      <c r="G16276" s="2" t="str">
        <f>HYPERLINK("https://probpalata.gov.ru/files/ИП640600456400000.jpeg","Скачать индивидуальный QR-код магазина")</f>
        <v>Скачать индивидуальный QR-код магазина</v>
      </c>
    </row>
    <row r="16277" spans="1:7" x14ac:dyDescent="0.25">
      <c r="A16277" t="s">
        <v>49422</v>
      </c>
      <c r="B16277" t="s">
        <v>49865</v>
      </c>
      <c r="C16277" t="s">
        <v>49866</v>
      </c>
      <c r="D16277" t="s">
        <v>49867</v>
      </c>
      <c r="E16277" t="s">
        <v>49868</v>
      </c>
      <c r="F16277" t="s">
        <v>49869</v>
      </c>
      <c r="G16277" s="2" t="str">
        <f>HYPERLINK("https://probpalata.gov.ru/files/ИП640601162800000.jpeg","Скачать индивидуальный QR-код магазина")</f>
        <v>Скачать индивидуальный QR-код магазина</v>
      </c>
    </row>
    <row r="16278" spans="1:7" x14ac:dyDescent="0.25">
      <c r="A16278" t="s">
        <v>49422</v>
      </c>
      <c r="B16278" t="s">
        <v>49442</v>
      </c>
      <c r="C16278" t="s">
        <v>49870</v>
      </c>
      <c r="D16278" t="s">
        <v>49871</v>
      </c>
      <c r="E16278" t="s">
        <v>49872</v>
      </c>
      <c r="F16278" t="s">
        <v>49873</v>
      </c>
      <c r="G16278" s="2" t="str">
        <f>HYPERLINK("https://probpalata.gov.ru/files/ИП640600170900000.jpeg","Скачать индивидуальный QR-код магазина")</f>
        <v>Скачать индивидуальный QR-код магазина</v>
      </c>
    </row>
    <row r="16279" spans="1:7" x14ac:dyDescent="0.25">
      <c r="A16279" t="s">
        <v>49422</v>
      </c>
      <c r="B16279" t="s">
        <v>49874</v>
      </c>
      <c r="C16279" t="s">
        <v>49870</v>
      </c>
      <c r="D16279" t="s">
        <v>49871</v>
      </c>
      <c r="E16279" t="s">
        <v>49872</v>
      </c>
      <c r="F16279" t="s">
        <v>49875</v>
      </c>
      <c r="G16279" s="2" t="str">
        <f>HYPERLINK("https://probpalata.gov.ru/files/ИП640600170900001.jpeg","Скачать индивидуальный QR-код магазина")</f>
        <v>Скачать индивидуальный QR-код магазина</v>
      </c>
    </row>
    <row r="16280" spans="1:7" x14ac:dyDescent="0.25">
      <c r="A16280" t="s">
        <v>49422</v>
      </c>
      <c r="B16280" t="s">
        <v>49876</v>
      </c>
      <c r="C16280" t="s">
        <v>49870</v>
      </c>
      <c r="D16280" t="s">
        <v>49871</v>
      </c>
      <c r="E16280" t="s">
        <v>49872</v>
      </c>
      <c r="F16280" t="s">
        <v>49877</v>
      </c>
      <c r="G16280" s="2" t="str">
        <f>HYPERLINK("https://probpalata.gov.ru/files/ИП640600170900002.jpeg","Скачать индивидуальный QR-код магазина")</f>
        <v>Скачать индивидуальный QR-код магазина</v>
      </c>
    </row>
    <row r="16281" spans="1:7" x14ac:dyDescent="0.25">
      <c r="A16281" t="s">
        <v>49422</v>
      </c>
      <c r="B16281" t="s">
        <v>49878</v>
      </c>
      <c r="C16281" t="s">
        <v>49870</v>
      </c>
      <c r="D16281" t="s">
        <v>49871</v>
      </c>
      <c r="E16281" t="s">
        <v>49872</v>
      </c>
      <c r="F16281" t="s">
        <v>49879</v>
      </c>
      <c r="G16281" s="2" t="str">
        <f>HYPERLINK("https://probpalata.gov.ru/files/ИП640600170900003.jpeg","Скачать индивидуальный QR-код магазина")</f>
        <v>Скачать индивидуальный QR-код магазина</v>
      </c>
    </row>
    <row r="16282" spans="1:7" x14ac:dyDescent="0.25">
      <c r="A16282" t="s">
        <v>49422</v>
      </c>
      <c r="B16282" t="s">
        <v>49880</v>
      </c>
      <c r="C16282" t="s">
        <v>49870</v>
      </c>
      <c r="D16282" t="s">
        <v>49871</v>
      </c>
      <c r="E16282" t="s">
        <v>49872</v>
      </c>
      <c r="F16282" t="s">
        <v>49881</v>
      </c>
      <c r="G16282" s="2" t="str">
        <f>HYPERLINK("https://probpalata.gov.ru/files/ИП640600170900004.jpeg","Скачать индивидуальный QR-код магазина")</f>
        <v>Скачать индивидуальный QR-код магазина</v>
      </c>
    </row>
    <row r="16283" spans="1:7" x14ac:dyDescent="0.25">
      <c r="A16283" t="s">
        <v>49422</v>
      </c>
      <c r="B16283" t="s">
        <v>49876</v>
      </c>
      <c r="C16283" t="s">
        <v>49870</v>
      </c>
      <c r="D16283" t="s">
        <v>49871</v>
      </c>
      <c r="E16283" t="s">
        <v>49872</v>
      </c>
      <c r="F16283" t="s">
        <v>49882</v>
      </c>
      <c r="G16283" s="2" t="str">
        <f>HYPERLINK("https://probpalata.gov.ru/files/ИП640600170900005.jpeg","Скачать индивидуальный QR-код магазина")</f>
        <v>Скачать индивидуальный QR-код магазина</v>
      </c>
    </row>
    <row r="16284" spans="1:7" x14ac:dyDescent="0.25">
      <c r="A16284" t="s">
        <v>49422</v>
      </c>
      <c r="B16284" t="s">
        <v>49874</v>
      </c>
      <c r="C16284" t="s">
        <v>49870</v>
      </c>
      <c r="D16284" t="s">
        <v>49871</v>
      </c>
      <c r="E16284" t="s">
        <v>49872</v>
      </c>
      <c r="F16284" t="s">
        <v>49883</v>
      </c>
      <c r="G16284" s="2" t="str">
        <f>HYPERLINK("https://probpalata.gov.ru/files/ИП640600170900006.jpeg","Скачать индивидуальный QR-код магазина")</f>
        <v>Скачать индивидуальный QR-код магазина</v>
      </c>
    </row>
    <row r="16285" spans="1:7" x14ac:dyDescent="0.25">
      <c r="A16285" t="s">
        <v>49422</v>
      </c>
      <c r="B16285" t="s">
        <v>49465</v>
      </c>
      <c r="C16285" t="s">
        <v>49870</v>
      </c>
      <c r="D16285" t="s">
        <v>49871</v>
      </c>
      <c r="E16285" t="s">
        <v>49872</v>
      </c>
      <c r="F16285" t="s">
        <v>49884</v>
      </c>
      <c r="G16285" s="2" t="str">
        <f>HYPERLINK("https://probpalata.gov.ru/files/ИП640600170900007.jpeg","Скачать индивидуальный QR-код магазина")</f>
        <v>Скачать индивидуальный QR-код магазина</v>
      </c>
    </row>
    <row r="16286" spans="1:7" x14ac:dyDescent="0.25">
      <c r="A16286" t="s">
        <v>49422</v>
      </c>
      <c r="B16286" t="s">
        <v>49885</v>
      </c>
      <c r="C16286" t="s">
        <v>49886</v>
      </c>
      <c r="D16286" t="s">
        <v>49887</v>
      </c>
      <c r="E16286" t="s">
        <v>49888</v>
      </c>
      <c r="F16286" t="s">
        <v>49889</v>
      </c>
      <c r="G16286" s="2" t="str">
        <f>HYPERLINK("https://probpalata.gov.ru/files/ИП640600159500000.jpeg","Скачать индивидуальный QR-код магазина")</f>
        <v>Скачать индивидуальный QR-код магазина</v>
      </c>
    </row>
    <row r="16287" spans="1:7" x14ac:dyDescent="0.25">
      <c r="A16287" t="s">
        <v>49422</v>
      </c>
      <c r="B16287" t="s">
        <v>49890</v>
      </c>
      <c r="C16287" t="s">
        <v>49891</v>
      </c>
      <c r="D16287" t="s">
        <v>49892</v>
      </c>
      <c r="E16287" t="s">
        <v>49893</v>
      </c>
      <c r="F16287" t="s">
        <v>49894</v>
      </c>
      <c r="G16287" s="2" t="str">
        <f>HYPERLINK("https://probpalata.gov.ru/files/ИП640600048100000.jpeg","Скачать индивидуальный QR-код магазина")</f>
        <v>Скачать индивидуальный QR-код магазина</v>
      </c>
    </row>
    <row r="16288" spans="1:7" x14ac:dyDescent="0.25">
      <c r="A16288" t="s">
        <v>49422</v>
      </c>
      <c r="B16288" t="s">
        <v>49895</v>
      </c>
      <c r="C16288" t="s">
        <v>49891</v>
      </c>
      <c r="D16288" t="s">
        <v>49892</v>
      </c>
      <c r="E16288" t="s">
        <v>49893</v>
      </c>
      <c r="F16288" t="s">
        <v>49896</v>
      </c>
      <c r="G16288" s="2" t="str">
        <f>HYPERLINK("https://probpalata.gov.ru/files/ИП640600048100001.jpeg","Скачать индивидуальный QR-код магазина")</f>
        <v>Скачать индивидуальный QR-код магазина</v>
      </c>
    </row>
    <row r="16289" spans="1:7" x14ac:dyDescent="0.25">
      <c r="A16289" t="s">
        <v>49422</v>
      </c>
      <c r="B16289" t="s">
        <v>49897</v>
      </c>
      <c r="C16289" t="s">
        <v>49891</v>
      </c>
      <c r="D16289" t="s">
        <v>49892</v>
      </c>
      <c r="E16289" t="s">
        <v>49893</v>
      </c>
      <c r="F16289" t="s">
        <v>49898</v>
      </c>
      <c r="G16289" s="2" t="str">
        <f>HYPERLINK("https://probpalata.gov.ru/files/ИП640600048100003.jpeg","Скачать индивидуальный QR-код магазина")</f>
        <v>Скачать индивидуальный QR-код магазина</v>
      </c>
    </row>
    <row r="16290" spans="1:7" x14ac:dyDescent="0.25">
      <c r="A16290" t="s">
        <v>49422</v>
      </c>
      <c r="B16290" t="s">
        <v>49874</v>
      </c>
      <c r="C16290" t="s">
        <v>49891</v>
      </c>
      <c r="D16290" t="s">
        <v>49892</v>
      </c>
      <c r="E16290" t="s">
        <v>49893</v>
      </c>
      <c r="F16290" t="s">
        <v>49899</v>
      </c>
      <c r="G16290" s="2" t="str">
        <f>HYPERLINK("https://probpalata.gov.ru/files/ИП640600048100006.jpeg","Скачать индивидуальный QR-код магазина")</f>
        <v>Скачать индивидуальный QR-код магазина</v>
      </c>
    </row>
    <row r="16291" spans="1:7" x14ac:dyDescent="0.25">
      <c r="A16291" t="s">
        <v>49422</v>
      </c>
      <c r="B16291" t="s">
        <v>49900</v>
      </c>
      <c r="C16291" t="s">
        <v>49901</v>
      </c>
      <c r="D16291" t="s">
        <v>49902</v>
      </c>
      <c r="E16291" t="s">
        <v>49903</v>
      </c>
      <c r="F16291" t="s">
        <v>49904</v>
      </c>
      <c r="G16291" s="2" t="str">
        <f>HYPERLINK("https://probpalata.gov.ru/files/ИП640600123400000.jpeg","Скачать индивидуальный QR-код магазина")</f>
        <v>Скачать индивидуальный QR-код магазина</v>
      </c>
    </row>
    <row r="16292" spans="1:7" x14ac:dyDescent="0.25">
      <c r="A16292" t="s">
        <v>49422</v>
      </c>
      <c r="B16292" t="s">
        <v>49905</v>
      </c>
      <c r="C16292" t="s">
        <v>49901</v>
      </c>
      <c r="D16292" t="s">
        <v>49902</v>
      </c>
      <c r="E16292" t="s">
        <v>49903</v>
      </c>
      <c r="F16292" t="s">
        <v>49906</v>
      </c>
      <c r="G16292" s="2" t="str">
        <f>HYPERLINK("https://probpalata.gov.ru/files/ИП640600123400001.jpeg","Скачать индивидуальный QR-код магазина")</f>
        <v>Скачать индивидуальный QR-код магазина</v>
      </c>
    </row>
    <row r="16293" spans="1:7" x14ac:dyDescent="0.25">
      <c r="A16293" t="s">
        <v>49422</v>
      </c>
      <c r="B16293" t="s">
        <v>49907</v>
      </c>
      <c r="C16293" t="s">
        <v>49908</v>
      </c>
      <c r="D16293" t="s">
        <v>49909</v>
      </c>
      <c r="E16293" t="s">
        <v>49910</v>
      </c>
      <c r="F16293" t="s">
        <v>49911</v>
      </c>
      <c r="G16293" s="2" t="str">
        <f>HYPERLINK("https://probpalata.gov.ru/files/ИП640600131100000.jpeg","Скачать индивидуальный QR-код магазина")</f>
        <v>Скачать индивидуальный QR-код магазина</v>
      </c>
    </row>
    <row r="16294" spans="1:7" x14ac:dyDescent="0.25">
      <c r="A16294" t="s">
        <v>49422</v>
      </c>
      <c r="B16294" t="s">
        <v>49912</v>
      </c>
      <c r="C16294" t="s">
        <v>49908</v>
      </c>
      <c r="D16294" t="s">
        <v>49909</v>
      </c>
      <c r="E16294" t="s">
        <v>49910</v>
      </c>
      <c r="F16294" t="s">
        <v>49913</v>
      </c>
      <c r="G16294" s="2" t="str">
        <f>HYPERLINK("https://probpalata.gov.ru/files/ИП640600131100001.jpeg","Скачать индивидуальный QR-код магазина")</f>
        <v>Скачать индивидуальный QR-код магазина</v>
      </c>
    </row>
    <row r="16295" spans="1:7" x14ac:dyDescent="0.25">
      <c r="A16295" t="s">
        <v>49422</v>
      </c>
      <c r="B16295" t="s">
        <v>49914</v>
      </c>
      <c r="C16295" t="s">
        <v>49908</v>
      </c>
      <c r="D16295" t="s">
        <v>49909</v>
      </c>
      <c r="E16295" t="s">
        <v>49910</v>
      </c>
      <c r="F16295" t="s">
        <v>49915</v>
      </c>
      <c r="G16295" s="2" t="str">
        <f>HYPERLINK("https://probpalata.gov.ru/files/ИП640600131100003.jpeg","Скачать индивидуальный QR-код магазина")</f>
        <v>Скачать индивидуальный QR-код магазина</v>
      </c>
    </row>
    <row r="16296" spans="1:7" x14ac:dyDescent="0.25">
      <c r="A16296" t="s">
        <v>49422</v>
      </c>
      <c r="B16296" t="s">
        <v>49916</v>
      </c>
      <c r="C16296" t="s">
        <v>49908</v>
      </c>
      <c r="D16296" t="s">
        <v>49909</v>
      </c>
      <c r="E16296" t="s">
        <v>49910</v>
      </c>
      <c r="F16296" t="s">
        <v>49917</v>
      </c>
      <c r="G16296" s="2" t="str">
        <f>HYPERLINK("https://probpalata.gov.ru/files/ИП640600131100004.jpeg","Скачать индивидуальный QR-код магазина")</f>
        <v>Скачать индивидуальный QR-код магазина</v>
      </c>
    </row>
    <row r="16297" spans="1:7" x14ac:dyDescent="0.25">
      <c r="A16297" t="s">
        <v>49422</v>
      </c>
      <c r="B16297" t="s">
        <v>49918</v>
      </c>
      <c r="C16297" t="s">
        <v>34631</v>
      </c>
      <c r="D16297" t="s">
        <v>34632</v>
      </c>
      <c r="E16297" t="s">
        <v>34633</v>
      </c>
      <c r="F16297" t="s">
        <v>49919</v>
      </c>
      <c r="G16297" s="2" t="str">
        <f>HYPERLINK("https://probpalata.gov.ru/files/ИП640603195400001.jpeg","Скачать индивидуальный QR-код магазина")</f>
        <v>Скачать индивидуальный QR-код магазина</v>
      </c>
    </row>
    <row r="16298" spans="1:7" x14ac:dyDescent="0.25">
      <c r="A16298" t="s">
        <v>49422</v>
      </c>
      <c r="B16298" t="s">
        <v>49920</v>
      </c>
      <c r="C16298" t="s">
        <v>34631</v>
      </c>
      <c r="D16298" t="s">
        <v>34632</v>
      </c>
      <c r="E16298" t="s">
        <v>34633</v>
      </c>
      <c r="F16298" t="s">
        <v>49921</v>
      </c>
      <c r="G16298" s="2" t="str">
        <f>HYPERLINK("https://probpalata.gov.ru/files/ИП640603195400002.jpeg","Скачать индивидуальный QR-код магазина")</f>
        <v>Скачать индивидуальный QR-код магазина</v>
      </c>
    </row>
    <row r="16299" spans="1:7" x14ac:dyDescent="0.25">
      <c r="A16299" t="s">
        <v>49422</v>
      </c>
      <c r="B16299" t="s">
        <v>49922</v>
      </c>
      <c r="C16299" t="s">
        <v>49923</v>
      </c>
      <c r="D16299" t="s">
        <v>49924</v>
      </c>
      <c r="E16299" t="s">
        <v>49925</v>
      </c>
      <c r="F16299" t="s">
        <v>49926</v>
      </c>
      <c r="G16299" s="2" t="str">
        <f>HYPERLINK("https://probpalata.gov.ru/files/ЮЛ640600734000000.jpeg","Скачать индивидуальный QR-код магазина")</f>
        <v>Скачать индивидуальный QR-код магазина</v>
      </c>
    </row>
    <row r="16300" spans="1:7" x14ac:dyDescent="0.25">
      <c r="A16300" t="s">
        <v>49422</v>
      </c>
      <c r="B16300" t="s">
        <v>49927</v>
      </c>
      <c r="C16300" t="s">
        <v>49923</v>
      </c>
      <c r="D16300" t="s">
        <v>49924</v>
      </c>
      <c r="E16300" t="s">
        <v>49925</v>
      </c>
      <c r="F16300" t="s">
        <v>49928</v>
      </c>
      <c r="G16300" s="2" t="str">
        <f>HYPERLINK("https://probpalata.gov.ru/files/ЮЛ640600734000001.jpeg","Скачать индивидуальный QR-код магазина")</f>
        <v>Скачать индивидуальный QR-код магазина</v>
      </c>
    </row>
    <row r="16301" spans="1:7" x14ac:dyDescent="0.25">
      <c r="A16301" t="s">
        <v>49422</v>
      </c>
      <c r="B16301" t="s">
        <v>49929</v>
      </c>
      <c r="C16301" t="s">
        <v>49923</v>
      </c>
      <c r="D16301" t="s">
        <v>49924</v>
      </c>
      <c r="E16301" t="s">
        <v>49925</v>
      </c>
      <c r="F16301" t="s">
        <v>49930</v>
      </c>
      <c r="G16301" s="2" t="str">
        <f>HYPERLINK("https://probpalata.gov.ru/files/ЮЛ640600734000002.jpeg","Скачать индивидуальный QR-код магазина")</f>
        <v>Скачать индивидуальный QR-код магазина</v>
      </c>
    </row>
    <row r="16302" spans="1:7" x14ac:dyDescent="0.25">
      <c r="A16302" t="s">
        <v>49422</v>
      </c>
      <c r="B16302" t="s">
        <v>49927</v>
      </c>
      <c r="C16302" t="s">
        <v>49923</v>
      </c>
      <c r="D16302" t="s">
        <v>49924</v>
      </c>
      <c r="E16302" t="s">
        <v>49925</v>
      </c>
      <c r="F16302" t="s">
        <v>49931</v>
      </c>
      <c r="G16302" s="2" t="str">
        <f>HYPERLINK("https://probpalata.gov.ru/files/ЮЛ640600734000003.jpeg","Скачать индивидуальный QR-код магазина")</f>
        <v>Скачать индивидуальный QR-код магазина</v>
      </c>
    </row>
    <row r="16303" spans="1:7" x14ac:dyDescent="0.25">
      <c r="A16303" t="s">
        <v>49422</v>
      </c>
      <c r="B16303" t="s">
        <v>49927</v>
      </c>
      <c r="C16303" t="s">
        <v>49923</v>
      </c>
      <c r="D16303" t="s">
        <v>49924</v>
      </c>
      <c r="E16303" t="s">
        <v>49925</v>
      </c>
      <c r="F16303" t="s">
        <v>49932</v>
      </c>
      <c r="G16303" s="2" t="str">
        <f>HYPERLINK("https://probpalata.gov.ru/files/ЮЛ640600734000004.jpeg","Скачать индивидуальный QR-код магазина")</f>
        <v>Скачать индивидуальный QR-код магазина</v>
      </c>
    </row>
    <row r="16304" spans="1:7" x14ac:dyDescent="0.25">
      <c r="A16304" t="s">
        <v>49422</v>
      </c>
      <c r="B16304" t="s">
        <v>49933</v>
      </c>
      <c r="C16304" t="s">
        <v>49923</v>
      </c>
      <c r="D16304" t="s">
        <v>49924</v>
      </c>
      <c r="E16304" t="s">
        <v>49925</v>
      </c>
      <c r="F16304" t="s">
        <v>49934</v>
      </c>
      <c r="G16304" s="2" t="str">
        <f>HYPERLINK("https://probpalata.gov.ru/files/ЮЛ640600734000006.jpeg","Скачать индивидуальный QR-код магазина")</f>
        <v>Скачать индивидуальный QR-код магазина</v>
      </c>
    </row>
    <row r="16305" spans="1:7" x14ac:dyDescent="0.25">
      <c r="A16305" t="s">
        <v>49422</v>
      </c>
      <c r="B16305" t="s">
        <v>49935</v>
      </c>
      <c r="C16305" t="s">
        <v>49923</v>
      </c>
      <c r="D16305" t="s">
        <v>49924</v>
      </c>
      <c r="E16305" t="s">
        <v>49925</v>
      </c>
      <c r="F16305" t="s">
        <v>49936</v>
      </c>
      <c r="G16305" s="2" t="str">
        <f>HYPERLINK("https://probpalata.gov.ru/files/ЮЛ640600734000007.jpeg","Скачать индивидуальный QR-код магазина")</f>
        <v>Скачать индивидуальный QR-код магазина</v>
      </c>
    </row>
    <row r="16306" spans="1:7" x14ac:dyDescent="0.25">
      <c r="A16306" t="s">
        <v>49422</v>
      </c>
      <c r="B16306" t="s">
        <v>49937</v>
      </c>
      <c r="C16306" t="s">
        <v>49923</v>
      </c>
      <c r="D16306" t="s">
        <v>49924</v>
      </c>
      <c r="E16306" t="s">
        <v>49925</v>
      </c>
      <c r="F16306" t="s">
        <v>49938</v>
      </c>
      <c r="G16306" s="2" t="str">
        <f>HYPERLINK("https://probpalata.gov.ru/files/ЮЛ640600734000008.jpeg","Скачать индивидуальный QR-код магазина")</f>
        <v>Скачать индивидуальный QR-код магазина</v>
      </c>
    </row>
    <row r="16307" spans="1:7" x14ac:dyDescent="0.25">
      <c r="A16307" t="s">
        <v>49422</v>
      </c>
      <c r="B16307" t="s">
        <v>49939</v>
      </c>
      <c r="C16307" t="s">
        <v>49923</v>
      </c>
      <c r="D16307" t="s">
        <v>49924</v>
      </c>
      <c r="E16307" t="s">
        <v>49925</v>
      </c>
      <c r="F16307" t="s">
        <v>49940</v>
      </c>
      <c r="G16307" s="2" t="str">
        <f>HYPERLINK("https://probpalata.gov.ru/files/ЮЛ640600734000009.jpeg","Скачать индивидуальный QR-код магазина")</f>
        <v>Скачать индивидуальный QR-код магазина</v>
      </c>
    </row>
    <row r="16308" spans="1:7" x14ac:dyDescent="0.25">
      <c r="A16308" t="s">
        <v>49422</v>
      </c>
      <c r="B16308" t="s">
        <v>49941</v>
      </c>
      <c r="C16308" t="s">
        <v>49923</v>
      </c>
      <c r="D16308" t="s">
        <v>49924</v>
      </c>
      <c r="E16308" t="s">
        <v>49925</v>
      </c>
      <c r="F16308" t="s">
        <v>49942</v>
      </c>
      <c r="G16308" s="2" t="str">
        <f>HYPERLINK("https://probpalata.gov.ru/files/ЮЛ640600734000010.jpeg","Скачать индивидуальный QR-код магазина")</f>
        <v>Скачать индивидуальный QR-код магазина</v>
      </c>
    </row>
    <row r="16309" spans="1:7" x14ac:dyDescent="0.25">
      <c r="A16309" t="s">
        <v>49422</v>
      </c>
      <c r="B16309" t="s">
        <v>49943</v>
      </c>
      <c r="C16309" t="s">
        <v>49923</v>
      </c>
      <c r="D16309" t="s">
        <v>49924</v>
      </c>
      <c r="E16309" t="s">
        <v>49925</v>
      </c>
      <c r="F16309" t="s">
        <v>49944</v>
      </c>
      <c r="G16309" s="2" t="str">
        <f>HYPERLINK("https://probpalata.gov.ru/files/ЮЛ640600734000011.jpeg","Скачать индивидуальный QR-код магазина")</f>
        <v>Скачать индивидуальный QR-код магазина</v>
      </c>
    </row>
    <row r="16310" spans="1:7" x14ac:dyDescent="0.25">
      <c r="A16310" t="s">
        <v>49422</v>
      </c>
      <c r="B16310" t="s">
        <v>49945</v>
      </c>
      <c r="C16310" t="s">
        <v>49923</v>
      </c>
      <c r="D16310" t="s">
        <v>49924</v>
      </c>
      <c r="E16310" t="s">
        <v>49925</v>
      </c>
      <c r="F16310" t="s">
        <v>49946</v>
      </c>
      <c r="G16310" s="2" t="str">
        <f>HYPERLINK("https://probpalata.gov.ru/files/ЮЛ640600734000012.jpeg","Скачать индивидуальный QR-код магазина")</f>
        <v>Скачать индивидуальный QR-код магазина</v>
      </c>
    </row>
    <row r="16311" spans="1:7" x14ac:dyDescent="0.25">
      <c r="A16311" t="s">
        <v>49422</v>
      </c>
      <c r="B16311" t="s">
        <v>49947</v>
      </c>
      <c r="C16311" t="s">
        <v>49948</v>
      </c>
      <c r="D16311" t="s">
        <v>49949</v>
      </c>
      <c r="E16311" t="s">
        <v>49950</v>
      </c>
      <c r="F16311" t="s">
        <v>49951</v>
      </c>
      <c r="G16311" s="2" t="str">
        <f>HYPERLINK("https://probpalata.gov.ru/files/ИП640601652100000.jpeg","Скачать индивидуальный QR-код магазина")</f>
        <v>Скачать индивидуальный QR-код магазина</v>
      </c>
    </row>
    <row r="16312" spans="1:7" x14ac:dyDescent="0.25">
      <c r="A16312" t="s">
        <v>49422</v>
      </c>
      <c r="B16312" t="s">
        <v>49952</v>
      </c>
      <c r="C16312" t="s">
        <v>49953</v>
      </c>
      <c r="D16312" t="s">
        <v>49954</v>
      </c>
      <c r="E16312" t="s">
        <v>49955</v>
      </c>
      <c r="F16312" t="s">
        <v>49956</v>
      </c>
      <c r="G16312" s="2" t="str">
        <f>HYPERLINK("https://probpalata.gov.ru/files/ИП640603310000000.jpeg","Скачать индивидуальный QR-код магазина")</f>
        <v>Скачать индивидуальный QR-код магазина</v>
      </c>
    </row>
    <row r="16313" spans="1:7" x14ac:dyDescent="0.25">
      <c r="A16313" t="s">
        <v>49422</v>
      </c>
      <c r="B16313" t="s">
        <v>49957</v>
      </c>
      <c r="C16313" t="s">
        <v>49958</v>
      </c>
      <c r="D16313" t="s">
        <v>49959</v>
      </c>
      <c r="E16313" t="s">
        <v>49960</v>
      </c>
      <c r="F16313" t="s">
        <v>49961</v>
      </c>
      <c r="G16313" s="2" t="str">
        <f>HYPERLINK("https://probpalata.gov.ru/files/ЮЛ640601799700000.jpeg","Скачать индивидуальный QR-код магазина")</f>
        <v>Скачать индивидуальный QR-код магазина</v>
      </c>
    </row>
    <row r="16314" spans="1:7" x14ac:dyDescent="0.25">
      <c r="A16314" t="s">
        <v>49422</v>
      </c>
      <c r="B16314" t="s">
        <v>49962</v>
      </c>
      <c r="C16314" t="s">
        <v>49963</v>
      </c>
      <c r="D16314" t="s">
        <v>49964</v>
      </c>
      <c r="E16314" t="s">
        <v>49965</v>
      </c>
      <c r="F16314" t="s">
        <v>49966</v>
      </c>
      <c r="G16314" s="2" t="str">
        <f>HYPERLINK("https://probpalata.gov.ru/files/ИП640603506100000.jpeg","Скачать индивидуальный QR-код магазина")</f>
        <v>Скачать индивидуальный QR-код магазина</v>
      </c>
    </row>
    <row r="16315" spans="1:7" x14ac:dyDescent="0.25">
      <c r="A16315" t="s">
        <v>49422</v>
      </c>
      <c r="B16315" t="s">
        <v>49967</v>
      </c>
      <c r="C16315" t="s">
        <v>49968</v>
      </c>
      <c r="D16315" t="s">
        <v>49969</v>
      </c>
      <c r="E16315" t="s">
        <v>49970</v>
      </c>
      <c r="F16315" t="s">
        <v>49971</v>
      </c>
      <c r="G16315" s="2" t="str">
        <f>HYPERLINK("https://probpalata.gov.ru/files/ИП640600867800000.jpeg","Скачать индивидуальный QR-код магазина")</f>
        <v>Скачать индивидуальный QR-код магазина</v>
      </c>
    </row>
    <row r="16316" spans="1:7" x14ac:dyDescent="0.25">
      <c r="A16316" t="s">
        <v>49422</v>
      </c>
      <c r="B16316" t="s">
        <v>49972</v>
      </c>
      <c r="C16316" t="s">
        <v>49968</v>
      </c>
      <c r="D16316" t="s">
        <v>49969</v>
      </c>
      <c r="E16316" t="s">
        <v>49970</v>
      </c>
      <c r="F16316" t="s">
        <v>49973</v>
      </c>
      <c r="G16316" s="2" t="str">
        <f>HYPERLINK("https://probpalata.gov.ru/files/ИП640600867800003.jpeg","Скачать индивидуальный QR-код магазина")</f>
        <v>Скачать индивидуальный QR-код магазина</v>
      </c>
    </row>
    <row r="16317" spans="1:7" x14ac:dyDescent="0.25">
      <c r="A16317" t="s">
        <v>49422</v>
      </c>
      <c r="B16317" t="s">
        <v>49974</v>
      </c>
      <c r="C16317" t="s">
        <v>49968</v>
      </c>
      <c r="D16317" t="s">
        <v>49969</v>
      </c>
      <c r="E16317" t="s">
        <v>49970</v>
      </c>
      <c r="F16317" t="s">
        <v>49975</v>
      </c>
      <c r="G16317" s="2" t="str">
        <f>HYPERLINK("https://probpalata.gov.ru/files/ИП640600867800005.jpeg","Скачать индивидуальный QR-код магазина")</f>
        <v>Скачать индивидуальный QR-код магазина</v>
      </c>
    </row>
    <row r="16318" spans="1:7" x14ac:dyDescent="0.25">
      <c r="A16318" t="s">
        <v>49422</v>
      </c>
      <c r="B16318" t="s">
        <v>49976</v>
      </c>
      <c r="C16318" t="s">
        <v>49968</v>
      </c>
      <c r="D16318" t="s">
        <v>49969</v>
      </c>
      <c r="E16318" t="s">
        <v>49970</v>
      </c>
      <c r="F16318" t="s">
        <v>49977</v>
      </c>
      <c r="G16318" s="2" t="str">
        <f>HYPERLINK("https://probpalata.gov.ru/files/ИП640600867800006.jpeg","Скачать индивидуальный QR-код магазина")</f>
        <v>Скачать индивидуальный QR-код магазина</v>
      </c>
    </row>
    <row r="16319" spans="1:7" x14ac:dyDescent="0.25">
      <c r="A16319" t="s">
        <v>49422</v>
      </c>
      <c r="B16319" t="s">
        <v>49978</v>
      </c>
      <c r="C16319" t="s">
        <v>49968</v>
      </c>
      <c r="D16319" t="s">
        <v>49969</v>
      </c>
      <c r="E16319" t="s">
        <v>49970</v>
      </c>
      <c r="F16319" t="s">
        <v>49979</v>
      </c>
      <c r="G16319" s="2" t="str">
        <f>HYPERLINK("https://probpalata.gov.ru/files/ИП640600867800007.jpeg","Скачать индивидуальный QR-код магазина")</f>
        <v>Скачать индивидуальный QR-код магазина</v>
      </c>
    </row>
    <row r="16320" spans="1:7" x14ac:dyDescent="0.25">
      <c r="A16320" t="s">
        <v>49422</v>
      </c>
      <c r="B16320" t="s">
        <v>49980</v>
      </c>
      <c r="C16320" t="s">
        <v>49968</v>
      </c>
      <c r="D16320" t="s">
        <v>49969</v>
      </c>
      <c r="E16320" t="s">
        <v>49970</v>
      </c>
      <c r="F16320" t="s">
        <v>49981</v>
      </c>
      <c r="G16320" s="2" t="str">
        <f>HYPERLINK("https://probpalata.gov.ru/files/ИП640600867800008.jpeg","Скачать индивидуальный QR-код магазина")</f>
        <v>Скачать индивидуальный QR-код магазина</v>
      </c>
    </row>
    <row r="16321" spans="1:7" x14ac:dyDescent="0.25">
      <c r="A16321" t="s">
        <v>49422</v>
      </c>
      <c r="B16321" t="s">
        <v>49982</v>
      </c>
      <c r="C16321" t="s">
        <v>49968</v>
      </c>
      <c r="D16321" t="s">
        <v>49969</v>
      </c>
      <c r="E16321" t="s">
        <v>49970</v>
      </c>
      <c r="F16321" t="s">
        <v>49983</v>
      </c>
      <c r="G16321" s="2" t="str">
        <f>HYPERLINK("https://probpalata.gov.ru/files/ИП640600867800009.jpeg","Скачать индивидуальный QR-код магазина")</f>
        <v>Скачать индивидуальный QR-код магазина</v>
      </c>
    </row>
    <row r="16322" spans="1:7" x14ac:dyDescent="0.25">
      <c r="A16322" t="s">
        <v>49422</v>
      </c>
      <c r="B16322" t="s">
        <v>49984</v>
      </c>
      <c r="C16322" t="s">
        <v>49968</v>
      </c>
      <c r="D16322" t="s">
        <v>49969</v>
      </c>
      <c r="E16322" t="s">
        <v>49970</v>
      </c>
      <c r="F16322" t="s">
        <v>49985</v>
      </c>
      <c r="G16322" s="2" t="str">
        <f>HYPERLINK("https://probpalata.gov.ru/files/ИП640600867800010.jpeg","Скачать индивидуальный QR-код магазина")</f>
        <v>Скачать индивидуальный QR-код магазина</v>
      </c>
    </row>
    <row r="16323" spans="1:7" x14ac:dyDescent="0.25">
      <c r="A16323" t="s">
        <v>49422</v>
      </c>
      <c r="B16323" t="s">
        <v>49986</v>
      </c>
      <c r="C16323" t="s">
        <v>49987</v>
      </c>
      <c r="D16323" t="s">
        <v>49988</v>
      </c>
      <c r="E16323" t="s">
        <v>49989</v>
      </c>
      <c r="F16323" t="s">
        <v>49990</v>
      </c>
      <c r="G16323" s="2" t="str">
        <f>HYPERLINK("https://probpalata.gov.ru/files/ИП640600177900000.jpeg","Скачать индивидуальный QR-код магазина")</f>
        <v>Скачать индивидуальный QR-код магазина</v>
      </c>
    </row>
    <row r="16324" spans="1:7" x14ac:dyDescent="0.25">
      <c r="A16324" t="s">
        <v>49422</v>
      </c>
      <c r="B16324" t="s">
        <v>49991</v>
      </c>
      <c r="C16324" t="s">
        <v>49992</v>
      </c>
      <c r="D16324" t="s">
        <v>49993</v>
      </c>
      <c r="E16324" t="s">
        <v>49994</v>
      </c>
      <c r="F16324" t="s">
        <v>49995</v>
      </c>
      <c r="G16324" s="2" t="str">
        <f>HYPERLINK("https://probpalata.gov.ru/files/ИП640600380400000.jpeg","Скачать индивидуальный QR-код магазина")</f>
        <v>Скачать индивидуальный QR-код магазина</v>
      </c>
    </row>
    <row r="16325" spans="1:7" x14ac:dyDescent="0.25">
      <c r="A16325" t="s">
        <v>49422</v>
      </c>
      <c r="B16325" t="s">
        <v>49996</v>
      </c>
      <c r="C16325" t="s">
        <v>49992</v>
      </c>
      <c r="D16325" t="s">
        <v>49993</v>
      </c>
      <c r="E16325" t="s">
        <v>49994</v>
      </c>
      <c r="F16325" t="s">
        <v>49997</v>
      </c>
      <c r="G16325" s="2" t="str">
        <f>HYPERLINK("https://probpalata.gov.ru/files/ИП640600380400034.jpeg","Скачать индивидуальный QR-код магазина")</f>
        <v>Скачать индивидуальный QR-код магазина</v>
      </c>
    </row>
    <row r="16326" spans="1:7" x14ac:dyDescent="0.25">
      <c r="A16326" t="s">
        <v>49422</v>
      </c>
      <c r="B16326" t="s">
        <v>49998</v>
      </c>
      <c r="C16326" t="s">
        <v>49999</v>
      </c>
      <c r="D16326" t="s">
        <v>50000</v>
      </c>
      <c r="E16326" t="s">
        <v>50001</v>
      </c>
      <c r="F16326" t="s">
        <v>50002</v>
      </c>
      <c r="G16326" s="2" t="str">
        <f>HYPERLINK("https://probpalata.gov.ru/files/ИП640600013900001.jpeg","Скачать индивидуальный QR-код магазина")</f>
        <v>Скачать индивидуальный QR-код магазина</v>
      </c>
    </row>
    <row r="16327" spans="1:7" x14ac:dyDescent="0.25">
      <c r="A16327" t="s">
        <v>49422</v>
      </c>
      <c r="B16327" t="s">
        <v>50003</v>
      </c>
      <c r="C16327" t="s">
        <v>49999</v>
      </c>
      <c r="D16327" t="s">
        <v>50000</v>
      </c>
      <c r="E16327" t="s">
        <v>50001</v>
      </c>
      <c r="F16327" t="s">
        <v>50004</v>
      </c>
      <c r="G16327" s="2" t="str">
        <f>HYPERLINK("https://probpalata.gov.ru/files/ИП640600013900003.jpeg","Скачать индивидуальный QR-код магазина")</f>
        <v>Скачать индивидуальный QR-код магазина</v>
      </c>
    </row>
    <row r="16328" spans="1:7" x14ac:dyDescent="0.25">
      <c r="A16328" t="s">
        <v>49422</v>
      </c>
      <c r="B16328" t="s">
        <v>50005</v>
      </c>
      <c r="C16328" t="s">
        <v>50006</v>
      </c>
      <c r="D16328" t="s">
        <v>50007</v>
      </c>
      <c r="E16328" t="s">
        <v>50008</v>
      </c>
      <c r="F16328" t="s">
        <v>50009</v>
      </c>
      <c r="G16328" s="2" t="str">
        <f>HYPERLINK("https://probpalata.gov.ru/files/ИП640600599400000.jpeg","Скачать индивидуальный QR-код магазина")</f>
        <v>Скачать индивидуальный QR-код магазина</v>
      </c>
    </row>
    <row r="16329" spans="1:7" x14ac:dyDescent="0.25">
      <c r="A16329" t="s">
        <v>49422</v>
      </c>
      <c r="B16329" t="s">
        <v>50010</v>
      </c>
      <c r="C16329" t="s">
        <v>50006</v>
      </c>
      <c r="D16329" t="s">
        <v>50007</v>
      </c>
      <c r="E16329" t="s">
        <v>50008</v>
      </c>
      <c r="F16329" t="s">
        <v>50011</v>
      </c>
      <c r="G16329" s="2" t="str">
        <f>HYPERLINK("https://probpalata.gov.ru/files/ИП640600599400001.jpeg","Скачать индивидуальный QR-код магазина")</f>
        <v>Скачать индивидуальный QR-код магазина</v>
      </c>
    </row>
    <row r="16330" spans="1:7" x14ac:dyDescent="0.25">
      <c r="A16330" t="s">
        <v>49422</v>
      </c>
      <c r="B16330" t="s">
        <v>50012</v>
      </c>
      <c r="C16330" t="s">
        <v>50006</v>
      </c>
      <c r="D16330" t="s">
        <v>50007</v>
      </c>
      <c r="E16330" t="s">
        <v>50008</v>
      </c>
      <c r="F16330" t="s">
        <v>50013</v>
      </c>
      <c r="G16330" s="2" t="str">
        <f>HYPERLINK("https://probpalata.gov.ru/files/ИП640600599400002.jpeg","Скачать индивидуальный QR-код магазина")</f>
        <v>Скачать индивидуальный QR-код магазина</v>
      </c>
    </row>
    <row r="16331" spans="1:7" x14ac:dyDescent="0.25">
      <c r="A16331" t="s">
        <v>49422</v>
      </c>
      <c r="B16331" t="s">
        <v>50014</v>
      </c>
      <c r="C16331" t="s">
        <v>50015</v>
      </c>
      <c r="D16331" t="s">
        <v>50016</v>
      </c>
      <c r="E16331" t="s">
        <v>50017</v>
      </c>
      <c r="F16331" t="s">
        <v>50018</v>
      </c>
      <c r="G16331" s="2" t="str">
        <f>HYPERLINK("https://probpalata.gov.ru/files/ИП640600749000000.jpeg","Скачать индивидуальный QR-код магазина")</f>
        <v>Скачать индивидуальный QR-код магазина</v>
      </c>
    </row>
    <row r="16332" spans="1:7" x14ac:dyDescent="0.25">
      <c r="A16332" t="s">
        <v>49422</v>
      </c>
      <c r="B16332" t="s">
        <v>50019</v>
      </c>
      <c r="C16332" t="s">
        <v>50020</v>
      </c>
      <c r="D16332" t="s">
        <v>50021</v>
      </c>
      <c r="E16332" t="s">
        <v>50022</v>
      </c>
      <c r="F16332" t="s">
        <v>50023</v>
      </c>
      <c r="G16332" s="2" t="str">
        <f>HYPERLINK("https://probpalata.gov.ru/files/ИП640601744600000.jpeg","Скачать индивидуальный QR-код магазина")</f>
        <v>Скачать индивидуальный QR-код магазина</v>
      </c>
    </row>
    <row r="16333" spans="1:7" x14ac:dyDescent="0.25">
      <c r="A16333" t="s">
        <v>49422</v>
      </c>
      <c r="B16333" t="s">
        <v>50024</v>
      </c>
      <c r="C16333" t="s">
        <v>50020</v>
      </c>
      <c r="D16333" t="s">
        <v>50021</v>
      </c>
      <c r="E16333" t="s">
        <v>50022</v>
      </c>
      <c r="F16333" t="s">
        <v>50025</v>
      </c>
      <c r="G16333" s="2" t="str">
        <f>HYPERLINK("https://probpalata.gov.ru/files/ИП640601744600002.jpeg","Скачать индивидуальный QR-код магазина")</f>
        <v>Скачать индивидуальный QR-код магазина</v>
      </c>
    </row>
    <row r="16334" spans="1:7" x14ac:dyDescent="0.25">
      <c r="A16334" t="s">
        <v>49422</v>
      </c>
      <c r="B16334" t="s">
        <v>49465</v>
      </c>
      <c r="C16334" t="s">
        <v>50020</v>
      </c>
      <c r="D16334" t="s">
        <v>50021</v>
      </c>
      <c r="E16334" t="s">
        <v>50022</v>
      </c>
      <c r="F16334" t="s">
        <v>50026</v>
      </c>
      <c r="G16334" s="2" t="str">
        <f>HYPERLINK("https://probpalata.gov.ru/files/ИП640601744600004.jpeg","Скачать индивидуальный QR-код магазина")</f>
        <v>Скачать индивидуальный QR-код магазина</v>
      </c>
    </row>
    <row r="16335" spans="1:7" x14ac:dyDescent="0.25">
      <c r="A16335" t="s">
        <v>49422</v>
      </c>
      <c r="B16335" t="s">
        <v>50027</v>
      </c>
      <c r="C16335" t="s">
        <v>50020</v>
      </c>
      <c r="D16335" t="s">
        <v>50021</v>
      </c>
      <c r="E16335" t="s">
        <v>50022</v>
      </c>
      <c r="F16335" t="s">
        <v>50028</v>
      </c>
      <c r="G16335" s="2" t="str">
        <f>HYPERLINK("https://probpalata.gov.ru/files/ИП640601744600005.jpeg","Скачать индивидуальный QR-код магазина")</f>
        <v>Скачать индивидуальный QR-код магазина</v>
      </c>
    </row>
    <row r="16336" spans="1:7" x14ac:dyDescent="0.25">
      <c r="A16336" t="s">
        <v>49422</v>
      </c>
      <c r="B16336" t="s">
        <v>50029</v>
      </c>
      <c r="C16336" t="s">
        <v>50020</v>
      </c>
      <c r="D16336" t="s">
        <v>50021</v>
      </c>
      <c r="E16336" t="s">
        <v>50022</v>
      </c>
      <c r="F16336" t="s">
        <v>50030</v>
      </c>
      <c r="G16336" s="2" t="str">
        <f>HYPERLINK("https://probpalata.gov.ru/files/ИП640601744600007.jpeg","Скачать индивидуальный QR-код магазина")</f>
        <v>Скачать индивидуальный QR-код магазина</v>
      </c>
    </row>
    <row r="16337" spans="1:7" x14ac:dyDescent="0.25">
      <c r="A16337" t="s">
        <v>49422</v>
      </c>
      <c r="B16337" t="s">
        <v>50031</v>
      </c>
      <c r="C16337" t="s">
        <v>50032</v>
      </c>
      <c r="D16337" t="s">
        <v>50033</v>
      </c>
      <c r="E16337" t="s">
        <v>50034</v>
      </c>
      <c r="F16337" t="s">
        <v>50035</v>
      </c>
      <c r="G16337" s="2" t="str">
        <f>HYPERLINK("https://probpalata.gov.ru/files/ЮЛ640600712800000.jpeg","Скачать индивидуальный QR-код магазина")</f>
        <v>Скачать индивидуальный QR-код магазина</v>
      </c>
    </row>
    <row r="16338" spans="1:7" x14ac:dyDescent="0.25">
      <c r="A16338" t="s">
        <v>49422</v>
      </c>
      <c r="B16338" t="s">
        <v>50036</v>
      </c>
      <c r="C16338" t="s">
        <v>50037</v>
      </c>
      <c r="D16338" t="s">
        <v>50038</v>
      </c>
      <c r="E16338" t="s">
        <v>50039</v>
      </c>
      <c r="F16338" t="s">
        <v>50040</v>
      </c>
      <c r="G16338" s="2" t="str">
        <f>HYPERLINK("https://probpalata.gov.ru/files/ИП640600314500000.jpeg","Скачать индивидуальный QR-код магазина")</f>
        <v>Скачать индивидуальный QR-код магазина</v>
      </c>
    </row>
    <row r="16339" spans="1:7" x14ac:dyDescent="0.25">
      <c r="A16339" t="s">
        <v>49422</v>
      </c>
      <c r="B16339" t="s">
        <v>49991</v>
      </c>
      <c r="C16339" t="s">
        <v>50041</v>
      </c>
      <c r="D16339" t="s">
        <v>50042</v>
      </c>
      <c r="E16339" t="s">
        <v>50043</v>
      </c>
      <c r="F16339" t="s">
        <v>50044</v>
      </c>
      <c r="G16339" s="2" t="str">
        <f>HYPERLINK("https://probpalata.gov.ru/files/ИП640603488700000.jpeg","Скачать индивидуальный QR-код магазина")</f>
        <v>Скачать индивидуальный QR-код магазина</v>
      </c>
    </row>
    <row r="16340" spans="1:7" x14ac:dyDescent="0.25">
      <c r="A16340" t="s">
        <v>49422</v>
      </c>
      <c r="B16340" t="s">
        <v>49996</v>
      </c>
      <c r="C16340" t="s">
        <v>50041</v>
      </c>
      <c r="D16340" t="s">
        <v>50042</v>
      </c>
      <c r="E16340" t="s">
        <v>50043</v>
      </c>
      <c r="F16340" t="s">
        <v>50045</v>
      </c>
      <c r="G16340" s="2" t="str">
        <f>HYPERLINK("https://probpalata.gov.ru/files/ИП640603488700001.jpeg","Скачать индивидуальный QR-код магазина")</f>
        <v>Скачать индивидуальный QR-код магазина</v>
      </c>
    </row>
    <row r="16341" spans="1:7" x14ac:dyDescent="0.25">
      <c r="A16341" t="s">
        <v>49422</v>
      </c>
      <c r="B16341" t="s">
        <v>50046</v>
      </c>
      <c r="C16341" t="s">
        <v>50047</v>
      </c>
      <c r="D16341" t="s">
        <v>50048</v>
      </c>
      <c r="E16341" t="s">
        <v>50049</v>
      </c>
      <c r="F16341" t="s">
        <v>50050</v>
      </c>
      <c r="G16341" s="2" t="str">
        <f>HYPERLINK("https://probpalata.gov.ru/files/ИП640600227700000.jpeg","Скачать индивидуальный QR-код магазина")</f>
        <v>Скачать индивидуальный QR-код магазина</v>
      </c>
    </row>
    <row r="16342" spans="1:7" x14ac:dyDescent="0.25">
      <c r="A16342" t="s">
        <v>49422</v>
      </c>
      <c r="B16342" t="s">
        <v>50051</v>
      </c>
      <c r="C16342" t="s">
        <v>50052</v>
      </c>
      <c r="D16342" t="s">
        <v>50053</v>
      </c>
      <c r="E16342" t="s">
        <v>50054</v>
      </c>
      <c r="F16342" t="s">
        <v>50055</v>
      </c>
      <c r="G16342" s="2" t="str">
        <f>HYPERLINK("https://probpalata.gov.ru/files/ИП640603985900000.jpeg","Скачать индивидуальный QR-код магазина")</f>
        <v>Скачать индивидуальный QR-код магазина</v>
      </c>
    </row>
    <row r="16343" spans="1:7" x14ac:dyDescent="0.25">
      <c r="A16343" t="s">
        <v>49422</v>
      </c>
      <c r="B16343" t="s">
        <v>50056</v>
      </c>
      <c r="C16343" t="s">
        <v>50057</v>
      </c>
      <c r="D16343" t="s">
        <v>50058</v>
      </c>
      <c r="E16343" t="s">
        <v>50059</v>
      </c>
      <c r="F16343" t="s">
        <v>50060</v>
      </c>
      <c r="G16343" s="2" t="str">
        <f>HYPERLINK("https://probpalata.gov.ru/files/ЮЛ640600623400000.jpeg","Скачать индивидуальный QR-код магазина")</f>
        <v>Скачать индивидуальный QR-код магазина</v>
      </c>
    </row>
    <row r="16344" spans="1:7" x14ac:dyDescent="0.25">
      <c r="A16344" t="s">
        <v>49422</v>
      </c>
      <c r="B16344" t="s">
        <v>50061</v>
      </c>
      <c r="C16344" t="s">
        <v>713</v>
      </c>
      <c r="D16344" t="s">
        <v>714</v>
      </c>
      <c r="E16344" t="s">
        <v>715</v>
      </c>
      <c r="F16344" t="s">
        <v>50062</v>
      </c>
      <c r="G16344" s="2" t="str">
        <f>HYPERLINK("https://probpalata.gov.ru/files/ЮЛ770101216600151.jpeg","Скачать индивидуальный QR-код магазина")</f>
        <v>Скачать индивидуальный QR-код магазина</v>
      </c>
    </row>
    <row r="16345" spans="1:7" x14ac:dyDescent="0.25">
      <c r="A16345" t="s">
        <v>49422</v>
      </c>
      <c r="B16345" t="s">
        <v>50063</v>
      </c>
      <c r="C16345" t="s">
        <v>713</v>
      </c>
      <c r="D16345" t="s">
        <v>714</v>
      </c>
      <c r="E16345" t="s">
        <v>715</v>
      </c>
      <c r="F16345" t="s">
        <v>50064</v>
      </c>
      <c r="G16345" s="2" t="str">
        <f>HYPERLINK("https://probpalata.gov.ru/files/ЮЛ770101216600367.jpeg","Скачать индивидуальный QR-код магазина")</f>
        <v>Скачать индивидуальный QR-код магазина</v>
      </c>
    </row>
    <row r="16346" spans="1:7" x14ac:dyDescent="0.25">
      <c r="A16346" t="s">
        <v>49422</v>
      </c>
      <c r="B16346" t="s">
        <v>50065</v>
      </c>
      <c r="C16346" t="s">
        <v>713</v>
      </c>
      <c r="D16346" t="s">
        <v>714</v>
      </c>
      <c r="E16346" t="s">
        <v>715</v>
      </c>
      <c r="F16346" t="s">
        <v>50066</v>
      </c>
      <c r="G16346" s="2" t="str">
        <f>HYPERLINK("https://probpalata.gov.ru/files/ЮЛ770101216600373.jpeg","Скачать индивидуальный QR-код магазина")</f>
        <v>Скачать индивидуальный QR-код магазина</v>
      </c>
    </row>
    <row r="16347" spans="1:7" x14ac:dyDescent="0.25">
      <c r="A16347" t="s">
        <v>49422</v>
      </c>
      <c r="B16347" t="s">
        <v>50067</v>
      </c>
      <c r="C16347" t="s">
        <v>713</v>
      </c>
      <c r="D16347" t="s">
        <v>714</v>
      </c>
      <c r="E16347" t="s">
        <v>715</v>
      </c>
      <c r="F16347" t="s">
        <v>50068</v>
      </c>
      <c r="G16347" s="2" t="str">
        <f>HYPERLINK("https://probpalata.gov.ru/files/ЮЛ770101216600424.jpeg","Скачать индивидуальный QR-код магазина")</f>
        <v>Скачать индивидуальный QR-код магазина</v>
      </c>
    </row>
    <row r="16348" spans="1:7" x14ac:dyDescent="0.25">
      <c r="A16348" t="s">
        <v>49422</v>
      </c>
      <c r="B16348" t="s">
        <v>50069</v>
      </c>
      <c r="C16348" t="s">
        <v>713</v>
      </c>
      <c r="D16348" t="s">
        <v>714</v>
      </c>
      <c r="E16348" t="s">
        <v>715</v>
      </c>
      <c r="F16348" t="s">
        <v>50070</v>
      </c>
      <c r="G16348" s="2" t="str">
        <f>HYPERLINK("https://probpalata.gov.ru/files/ЮЛ770101216600472.jpeg","Скачать индивидуальный QR-код магазина")</f>
        <v>Скачать индивидуальный QR-код магазина</v>
      </c>
    </row>
    <row r="16349" spans="1:7" x14ac:dyDescent="0.25">
      <c r="A16349" t="s">
        <v>49422</v>
      </c>
      <c r="B16349" t="s">
        <v>50071</v>
      </c>
      <c r="C16349" t="s">
        <v>713</v>
      </c>
      <c r="D16349" t="s">
        <v>714</v>
      </c>
      <c r="E16349" t="s">
        <v>715</v>
      </c>
      <c r="F16349" t="s">
        <v>50072</v>
      </c>
      <c r="G16349" s="2" t="str">
        <f>HYPERLINK("https://probpalata.gov.ru/files/ЮЛ770101216600505.jpeg","Скачать индивидуальный QR-код магазина")</f>
        <v>Скачать индивидуальный QR-код магазина</v>
      </c>
    </row>
    <row r="16350" spans="1:7" x14ac:dyDescent="0.25">
      <c r="A16350" t="s">
        <v>49422</v>
      </c>
      <c r="B16350" t="s">
        <v>50073</v>
      </c>
      <c r="C16350" t="s">
        <v>713</v>
      </c>
      <c r="D16350" t="s">
        <v>714</v>
      </c>
      <c r="E16350" t="s">
        <v>715</v>
      </c>
      <c r="F16350" t="s">
        <v>50074</v>
      </c>
      <c r="G16350" s="2" t="str">
        <f>HYPERLINK("https://probpalata.gov.ru/files/ЮЛ770101216600542.jpeg","Скачать индивидуальный QR-код магазина")</f>
        <v>Скачать индивидуальный QR-код магазина</v>
      </c>
    </row>
    <row r="16351" spans="1:7" x14ac:dyDescent="0.25">
      <c r="A16351" t="s">
        <v>49422</v>
      </c>
      <c r="B16351" t="s">
        <v>50075</v>
      </c>
      <c r="C16351" t="s">
        <v>713</v>
      </c>
      <c r="D16351" t="s">
        <v>714</v>
      </c>
      <c r="E16351" t="s">
        <v>715</v>
      </c>
      <c r="F16351" t="s">
        <v>50076</v>
      </c>
      <c r="G16351" s="2" t="str">
        <f>HYPERLINK("https://probpalata.gov.ru/files/ЮЛ770101216600589.jpeg","Скачать индивидуальный QR-код магазина")</f>
        <v>Скачать индивидуальный QR-код магазина</v>
      </c>
    </row>
    <row r="16352" spans="1:7" x14ac:dyDescent="0.25">
      <c r="A16352" t="s">
        <v>49422</v>
      </c>
      <c r="B16352" t="s">
        <v>50077</v>
      </c>
      <c r="C16352" t="s">
        <v>713</v>
      </c>
      <c r="D16352" t="s">
        <v>714</v>
      </c>
      <c r="E16352" t="s">
        <v>715</v>
      </c>
      <c r="F16352" t="s">
        <v>50078</v>
      </c>
      <c r="G16352" s="2" t="str">
        <f>HYPERLINK("https://probpalata.gov.ru/files/ЮЛ770101216600610.jpeg","Скачать индивидуальный QR-код магазина")</f>
        <v>Скачать индивидуальный QR-код магазина</v>
      </c>
    </row>
    <row r="16353" spans="1:7" x14ac:dyDescent="0.25">
      <c r="A16353" t="s">
        <v>49422</v>
      </c>
      <c r="B16353" t="s">
        <v>50079</v>
      </c>
      <c r="C16353" t="s">
        <v>713</v>
      </c>
      <c r="D16353" t="s">
        <v>714</v>
      </c>
      <c r="E16353" t="s">
        <v>715</v>
      </c>
      <c r="F16353" t="s">
        <v>50080</v>
      </c>
      <c r="G16353" s="2" t="str">
        <f>HYPERLINK("https://probpalata.gov.ru/files/ЮЛ770101216600691.jpeg","Скачать индивидуальный QR-код магазина")</f>
        <v>Скачать индивидуальный QR-код магазина</v>
      </c>
    </row>
    <row r="16354" spans="1:7" x14ac:dyDescent="0.25">
      <c r="A16354" t="s">
        <v>49422</v>
      </c>
      <c r="B16354" t="s">
        <v>50081</v>
      </c>
      <c r="C16354" t="s">
        <v>713</v>
      </c>
      <c r="D16354" t="s">
        <v>714</v>
      </c>
      <c r="E16354" t="s">
        <v>715</v>
      </c>
      <c r="F16354" t="s">
        <v>50082</v>
      </c>
      <c r="G16354" s="2" t="str">
        <f>HYPERLINK("https://probpalata.gov.ru/files/ЮЛ770101216600721.jpeg","Скачать индивидуальный QR-код магазина")</f>
        <v>Скачать индивидуальный QR-код магазина</v>
      </c>
    </row>
    <row r="16355" spans="1:7" x14ac:dyDescent="0.25">
      <c r="A16355" t="s">
        <v>49422</v>
      </c>
      <c r="B16355" t="s">
        <v>50083</v>
      </c>
      <c r="C16355" t="s">
        <v>713</v>
      </c>
      <c r="D16355" t="s">
        <v>714</v>
      </c>
      <c r="E16355" t="s">
        <v>715</v>
      </c>
      <c r="F16355" t="s">
        <v>50084</v>
      </c>
      <c r="G16355" s="2" t="str">
        <f>HYPERLINK("https://probpalata.gov.ru/files/ЮЛ770101216600739.jpeg","Скачать индивидуальный QR-код магазина")</f>
        <v>Скачать индивидуальный QR-код магазина</v>
      </c>
    </row>
    <row r="16356" spans="1:7" x14ac:dyDescent="0.25">
      <c r="A16356" t="s">
        <v>49422</v>
      </c>
      <c r="B16356" t="s">
        <v>50085</v>
      </c>
      <c r="C16356" t="s">
        <v>713</v>
      </c>
      <c r="D16356" t="s">
        <v>714</v>
      </c>
      <c r="E16356" t="s">
        <v>715</v>
      </c>
      <c r="F16356" t="s">
        <v>50086</v>
      </c>
      <c r="G16356" s="2" t="str">
        <f>HYPERLINK("https://probpalata.gov.ru/files/ЮЛ770101216600791.jpeg","Скачать индивидуальный QR-код магазина")</f>
        <v>Скачать индивидуальный QR-код магазина</v>
      </c>
    </row>
    <row r="16357" spans="1:7" x14ac:dyDescent="0.25">
      <c r="A16357" t="s">
        <v>49422</v>
      </c>
      <c r="B16357" t="s">
        <v>50087</v>
      </c>
      <c r="C16357" t="s">
        <v>713</v>
      </c>
      <c r="D16357" t="s">
        <v>714</v>
      </c>
      <c r="E16357" t="s">
        <v>715</v>
      </c>
      <c r="F16357" t="s">
        <v>50088</v>
      </c>
      <c r="G16357" s="2" t="str">
        <f>HYPERLINK("https://probpalata.gov.ru/files/ЮЛ770101216600854.jpeg","Скачать индивидуальный QR-код магазина")</f>
        <v>Скачать индивидуальный QR-код магазина</v>
      </c>
    </row>
    <row r="16358" spans="1:7" x14ac:dyDescent="0.25">
      <c r="A16358" t="s">
        <v>49422</v>
      </c>
      <c r="B16358" t="s">
        <v>50089</v>
      </c>
      <c r="C16358" t="s">
        <v>713</v>
      </c>
      <c r="D16358" t="s">
        <v>714</v>
      </c>
      <c r="E16358" t="s">
        <v>715</v>
      </c>
      <c r="F16358" t="s">
        <v>50090</v>
      </c>
      <c r="G16358" s="2" t="str">
        <f>HYPERLINK("https://probpalata.gov.ru/files/ЮЛ770101216600957.jpeg","Скачать индивидуальный QR-код магазина")</f>
        <v>Скачать индивидуальный QR-код магазина</v>
      </c>
    </row>
    <row r="16359" spans="1:7" x14ac:dyDescent="0.25">
      <c r="A16359" t="s">
        <v>49422</v>
      </c>
      <c r="B16359" t="s">
        <v>50091</v>
      </c>
      <c r="C16359" t="s">
        <v>713</v>
      </c>
      <c r="D16359" t="s">
        <v>714</v>
      </c>
      <c r="E16359" t="s">
        <v>715</v>
      </c>
      <c r="F16359" t="s">
        <v>50092</v>
      </c>
      <c r="G16359" s="2" t="str">
        <f>HYPERLINK("https://probpalata.gov.ru/files/ЮЛ770101216600989.jpeg","Скачать индивидуальный QR-код магазина")</f>
        <v>Скачать индивидуальный QR-код магазина</v>
      </c>
    </row>
    <row r="16360" spans="1:7" x14ac:dyDescent="0.25">
      <c r="A16360" t="s">
        <v>49422</v>
      </c>
      <c r="B16360" t="s">
        <v>50093</v>
      </c>
      <c r="C16360" t="s">
        <v>3916</v>
      </c>
      <c r="D16360" t="s">
        <v>3917</v>
      </c>
      <c r="E16360" t="s">
        <v>3918</v>
      </c>
      <c r="F16360" t="s">
        <v>50094</v>
      </c>
      <c r="G16360" s="2" t="str">
        <f>HYPERLINK("https://probpalata.gov.ru/files/ЮЛ770103164400005.jpeg","Скачать индивидуальный QR-код магазина")</f>
        <v>Скачать индивидуальный QR-код магазина</v>
      </c>
    </row>
    <row r="16361" spans="1:7" x14ac:dyDescent="0.25">
      <c r="A16361" t="s">
        <v>49422</v>
      </c>
      <c r="B16361" t="s">
        <v>49743</v>
      </c>
      <c r="C16361" t="s">
        <v>3916</v>
      </c>
      <c r="D16361" t="s">
        <v>3917</v>
      </c>
      <c r="E16361" t="s">
        <v>3918</v>
      </c>
      <c r="F16361" t="s">
        <v>50095</v>
      </c>
      <c r="G16361" s="2" t="str">
        <f>HYPERLINK("https://probpalata.gov.ru/files/ЮЛ770103164400038.jpeg","Скачать индивидуальный QR-код магазина")</f>
        <v>Скачать индивидуальный QR-код магазина</v>
      </c>
    </row>
    <row r="16362" spans="1:7" x14ac:dyDescent="0.25">
      <c r="A16362" t="s">
        <v>49422</v>
      </c>
      <c r="B16362" t="s">
        <v>50096</v>
      </c>
      <c r="C16362" t="s">
        <v>3916</v>
      </c>
      <c r="D16362" t="s">
        <v>3917</v>
      </c>
      <c r="E16362" t="s">
        <v>3918</v>
      </c>
      <c r="F16362" t="s">
        <v>50097</v>
      </c>
      <c r="G16362" s="2" t="str">
        <f>HYPERLINK("https://probpalata.gov.ru/files/ЮЛ770103164400039.jpeg","Скачать индивидуальный QR-код магазина")</f>
        <v>Скачать индивидуальный QR-код магазина</v>
      </c>
    </row>
    <row r="16363" spans="1:7" x14ac:dyDescent="0.25">
      <c r="A16363" t="s">
        <v>49422</v>
      </c>
      <c r="B16363" t="s">
        <v>50098</v>
      </c>
      <c r="C16363" t="s">
        <v>3916</v>
      </c>
      <c r="D16363" t="s">
        <v>3917</v>
      </c>
      <c r="E16363" t="s">
        <v>3918</v>
      </c>
      <c r="F16363" t="s">
        <v>50099</v>
      </c>
      <c r="G16363" s="2" t="str">
        <f>HYPERLINK("https://probpalata.gov.ru/files/ЮЛ770103164400041.jpeg","Скачать индивидуальный QR-код магазина")</f>
        <v>Скачать индивидуальный QR-код магазина</v>
      </c>
    </row>
    <row r="16364" spans="1:7" x14ac:dyDescent="0.25">
      <c r="A16364" t="s">
        <v>49422</v>
      </c>
      <c r="B16364" t="s">
        <v>50100</v>
      </c>
      <c r="C16364" t="s">
        <v>3916</v>
      </c>
      <c r="D16364" t="s">
        <v>3917</v>
      </c>
      <c r="E16364" t="s">
        <v>3918</v>
      </c>
      <c r="F16364" t="s">
        <v>50101</v>
      </c>
      <c r="G16364" s="2" t="str">
        <f>HYPERLINK("https://probpalata.gov.ru/files/ЮЛ770103164400043.jpeg","Скачать индивидуальный QR-код магазина")</f>
        <v>Скачать индивидуальный QR-код магазина</v>
      </c>
    </row>
    <row r="16365" spans="1:7" x14ac:dyDescent="0.25">
      <c r="A16365" t="s">
        <v>49422</v>
      </c>
      <c r="B16365" t="s">
        <v>50102</v>
      </c>
      <c r="C16365" t="s">
        <v>3916</v>
      </c>
      <c r="D16365" t="s">
        <v>3917</v>
      </c>
      <c r="E16365" t="s">
        <v>3918</v>
      </c>
      <c r="F16365" t="s">
        <v>50103</v>
      </c>
      <c r="G16365" s="2" t="str">
        <f>HYPERLINK("https://probpalata.gov.ru/files/ЮЛ770103164400044.jpeg","Скачать индивидуальный QR-код магазина")</f>
        <v>Скачать индивидуальный QR-код магазина</v>
      </c>
    </row>
    <row r="16366" spans="1:7" x14ac:dyDescent="0.25">
      <c r="A16366" t="s">
        <v>49422</v>
      </c>
      <c r="B16366" t="s">
        <v>50104</v>
      </c>
      <c r="C16366" t="s">
        <v>3916</v>
      </c>
      <c r="D16366" t="s">
        <v>3917</v>
      </c>
      <c r="E16366" t="s">
        <v>3918</v>
      </c>
      <c r="F16366" t="s">
        <v>50105</v>
      </c>
      <c r="G16366" s="2" t="str">
        <f>HYPERLINK("https://probpalata.gov.ru/files/ЮЛ770103164400046.jpeg","Скачать индивидуальный QR-код магазина")</f>
        <v>Скачать индивидуальный QR-код магазина</v>
      </c>
    </row>
    <row r="16367" spans="1:7" x14ac:dyDescent="0.25">
      <c r="A16367" t="s">
        <v>49422</v>
      </c>
      <c r="B16367" t="s">
        <v>50106</v>
      </c>
      <c r="C16367" t="s">
        <v>3916</v>
      </c>
      <c r="D16367" t="s">
        <v>3917</v>
      </c>
      <c r="E16367" t="s">
        <v>3918</v>
      </c>
      <c r="F16367" t="s">
        <v>50107</v>
      </c>
      <c r="G16367" s="2" t="str">
        <f>HYPERLINK("https://probpalata.gov.ru/files/ЮЛ770103164400047.jpeg","Скачать индивидуальный QR-код магазина")</f>
        <v>Скачать индивидуальный QR-код магазина</v>
      </c>
    </row>
    <row r="16368" spans="1:7" x14ac:dyDescent="0.25">
      <c r="A16368" t="s">
        <v>49422</v>
      </c>
      <c r="B16368" t="s">
        <v>50108</v>
      </c>
      <c r="C16368" t="s">
        <v>3916</v>
      </c>
      <c r="D16368" t="s">
        <v>3917</v>
      </c>
      <c r="E16368" t="s">
        <v>3918</v>
      </c>
      <c r="F16368" t="s">
        <v>50109</v>
      </c>
      <c r="G16368" s="2" t="str">
        <f>HYPERLINK("https://probpalata.gov.ru/files/ЮЛ770103164400049.jpeg","Скачать индивидуальный QR-код магазина")</f>
        <v>Скачать индивидуальный QR-код магазина</v>
      </c>
    </row>
    <row r="16369" spans="1:7" x14ac:dyDescent="0.25">
      <c r="A16369" t="s">
        <v>49422</v>
      </c>
      <c r="B16369" t="s">
        <v>50110</v>
      </c>
      <c r="C16369" t="s">
        <v>3916</v>
      </c>
      <c r="D16369" t="s">
        <v>3917</v>
      </c>
      <c r="E16369" t="s">
        <v>3918</v>
      </c>
      <c r="F16369" t="s">
        <v>50111</v>
      </c>
      <c r="G16369" s="2" t="str">
        <f>HYPERLINK("https://probpalata.gov.ru/files/ЮЛ770103164400050.jpeg","Скачать индивидуальный QR-код магазина")</f>
        <v>Скачать индивидуальный QR-код магазина</v>
      </c>
    </row>
    <row r="16370" spans="1:7" x14ac:dyDescent="0.25">
      <c r="A16370" t="s">
        <v>49422</v>
      </c>
      <c r="B16370" t="s">
        <v>50112</v>
      </c>
      <c r="C16370" t="s">
        <v>3916</v>
      </c>
      <c r="D16370" t="s">
        <v>3917</v>
      </c>
      <c r="E16370" t="s">
        <v>3918</v>
      </c>
      <c r="F16370" t="s">
        <v>50113</v>
      </c>
      <c r="G16370" s="2" t="str">
        <f>HYPERLINK("https://probpalata.gov.ru/files/ЮЛ770103164400059.jpeg","Скачать индивидуальный QR-код магазина")</f>
        <v>Скачать индивидуальный QR-код магазина</v>
      </c>
    </row>
    <row r="16371" spans="1:7" x14ac:dyDescent="0.25">
      <c r="A16371" t="s">
        <v>49422</v>
      </c>
      <c r="B16371" t="s">
        <v>50114</v>
      </c>
      <c r="C16371" t="s">
        <v>3916</v>
      </c>
      <c r="D16371" t="s">
        <v>3917</v>
      </c>
      <c r="E16371" t="s">
        <v>3918</v>
      </c>
      <c r="F16371" t="s">
        <v>50115</v>
      </c>
      <c r="G16371" s="2" t="str">
        <f>HYPERLINK("https://probpalata.gov.ru/files/ЮЛ770103164400060.jpeg","Скачать индивидуальный QR-код магазина")</f>
        <v>Скачать индивидуальный QR-код магазина</v>
      </c>
    </row>
    <row r="16372" spans="1:7" x14ac:dyDescent="0.25">
      <c r="A16372" t="s">
        <v>49422</v>
      </c>
      <c r="B16372" t="s">
        <v>50116</v>
      </c>
      <c r="C16372" t="s">
        <v>3916</v>
      </c>
      <c r="D16372" t="s">
        <v>3917</v>
      </c>
      <c r="E16372" t="s">
        <v>3918</v>
      </c>
      <c r="F16372" t="s">
        <v>50117</v>
      </c>
      <c r="G16372" s="2" t="str">
        <f>HYPERLINK("https://probpalata.gov.ru/files/ЮЛ770103164400061.jpeg","Скачать индивидуальный QR-код магазина")</f>
        <v>Скачать индивидуальный QR-код магазина</v>
      </c>
    </row>
    <row r="16373" spans="1:7" x14ac:dyDescent="0.25">
      <c r="A16373" t="s">
        <v>49422</v>
      </c>
      <c r="B16373" t="s">
        <v>50118</v>
      </c>
      <c r="C16373" t="s">
        <v>3916</v>
      </c>
      <c r="D16373" t="s">
        <v>3917</v>
      </c>
      <c r="E16373" t="s">
        <v>3918</v>
      </c>
      <c r="F16373" t="s">
        <v>50119</v>
      </c>
      <c r="G16373" s="2" t="str">
        <f>HYPERLINK("https://probpalata.gov.ru/files/ЮЛ770103164400062.jpeg","Скачать индивидуальный QR-код магазина")</f>
        <v>Скачать индивидуальный QR-код магазина</v>
      </c>
    </row>
    <row r="16374" spans="1:7" x14ac:dyDescent="0.25">
      <c r="A16374" t="s">
        <v>49422</v>
      </c>
      <c r="B16374" t="s">
        <v>50120</v>
      </c>
      <c r="C16374" t="s">
        <v>3916</v>
      </c>
      <c r="D16374" t="s">
        <v>3917</v>
      </c>
      <c r="E16374" t="s">
        <v>3918</v>
      </c>
      <c r="F16374" t="s">
        <v>50121</v>
      </c>
      <c r="G16374" s="2" t="str">
        <f>HYPERLINK("https://probpalata.gov.ru/files/ЮЛ770103164400063.jpeg","Скачать индивидуальный QR-код магазина")</f>
        <v>Скачать индивидуальный QR-код магазина</v>
      </c>
    </row>
    <row r="16375" spans="1:7" x14ac:dyDescent="0.25">
      <c r="A16375" t="s">
        <v>49422</v>
      </c>
      <c r="B16375" t="s">
        <v>50122</v>
      </c>
      <c r="C16375" t="s">
        <v>3916</v>
      </c>
      <c r="D16375" t="s">
        <v>3917</v>
      </c>
      <c r="E16375" t="s">
        <v>3918</v>
      </c>
      <c r="F16375" t="s">
        <v>50123</v>
      </c>
      <c r="G16375" s="2" t="str">
        <f>HYPERLINK("https://probpalata.gov.ru/files/ЮЛ770103164400064.jpeg","Скачать индивидуальный QR-код магазина")</f>
        <v>Скачать индивидуальный QR-код магазина</v>
      </c>
    </row>
    <row r="16376" spans="1:7" x14ac:dyDescent="0.25">
      <c r="A16376" t="s">
        <v>49422</v>
      </c>
      <c r="B16376" t="s">
        <v>50124</v>
      </c>
      <c r="C16376" t="s">
        <v>3916</v>
      </c>
      <c r="D16376" t="s">
        <v>3917</v>
      </c>
      <c r="E16376" t="s">
        <v>3918</v>
      </c>
      <c r="F16376" t="s">
        <v>50125</v>
      </c>
      <c r="G16376" s="2" t="str">
        <f>HYPERLINK("https://probpalata.gov.ru/files/ЮЛ770103164400066.jpeg","Скачать индивидуальный QR-код магазина")</f>
        <v>Скачать индивидуальный QR-код магазина</v>
      </c>
    </row>
    <row r="16377" spans="1:7" x14ac:dyDescent="0.25">
      <c r="A16377" t="s">
        <v>49422</v>
      </c>
      <c r="B16377" t="s">
        <v>50126</v>
      </c>
      <c r="C16377" t="s">
        <v>3916</v>
      </c>
      <c r="D16377" t="s">
        <v>3917</v>
      </c>
      <c r="E16377" t="s">
        <v>3918</v>
      </c>
      <c r="F16377" t="s">
        <v>50127</v>
      </c>
      <c r="G16377" s="2" t="str">
        <f>HYPERLINK("https://probpalata.gov.ru/files/ЮЛ770103164400067.jpeg","Скачать индивидуальный QR-код магазина")</f>
        <v>Скачать индивидуальный QR-код магазина</v>
      </c>
    </row>
    <row r="16378" spans="1:7" x14ac:dyDescent="0.25">
      <c r="A16378" t="s">
        <v>49422</v>
      </c>
      <c r="B16378" t="s">
        <v>50128</v>
      </c>
      <c r="C16378" t="s">
        <v>3916</v>
      </c>
      <c r="D16378" t="s">
        <v>3917</v>
      </c>
      <c r="E16378" t="s">
        <v>3918</v>
      </c>
      <c r="F16378" t="s">
        <v>50129</v>
      </c>
      <c r="G16378" s="2" t="str">
        <f>HYPERLINK("https://probpalata.gov.ru/files/ЮЛ770103164400068.jpeg","Скачать индивидуальный QR-код магазина")</f>
        <v>Скачать индивидуальный QR-код магазина</v>
      </c>
    </row>
    <row r="16379" spans="1:7" x14ac:dyDescent="0.25">
      <c r="A16379" t="s">
        <v>49422</v>
      </c>
      <c r="B16379" t="s">
        <v>50130</v>
      </c>
      <c r="C16379" t="s">
        <v>1416</v>
      </c>
      <c r="D16379" t="s">
        <v>1417</v>
      </c>
      <c r="E16379" t="s">
        <v>1418</v>
      </c>
      <c r="F16379" t="s">
        <v>50131</v>
      </c>
      <c r="G16379" s="2" t="str">
        <f>HYPERLINK("https://probpalata.gov.ru/files/ЮЛ770100419400092.jpeg","Скачать индивидуальный QR-код магазина")</f>
        <v>Скачать индивидуальный QR-код магазина</v>
      </c>
    </row>
    <row r="16380" spans="1:7" x14ac:dyDescent="0.25">
      <c r="A16380" t="s">
        <v>49422</v>
      </c>
      <c r="B16380" t="s">
        <v>50132</v>
      </c>
      <c r="C16380" t="s">
        <v>1416</v>
      </c>
      <c r="D16380" t="s">
        <v>1417</v>
      </c>
      <c r="E16380" t="s">
        <v>1418</v>
      </c>
      <c r="F16380" t="s">
        <v>50133</v>
      </c>
      <c r="G16380" s="2" t="str">
        <f>HYPERLINK("https://probpalata.gov.ru/files/ЮЛ770100419400100.jpeg","Скачать индивидуальный QR-код магазина")</f>
        <v>Скачать индивидуальный QR-код магазина</v>
      </c>
    </row>
    <row r="16381" spans="1:7" x14ac:dyDescent="0.25">
      <c r="A16381" t="s">
        <v>49422</v>
      </c>
      <c r="B16381" t="s">
        <v>50134</v>
      </c>
      <c r="C16381" t="s">
        <v>1416</v>
      </c>
      <c r="D16381" t="s">
        <v>1417</v>
      </c>
      <c r="E16381" t="s">
        <v>1418</v>
      </c>
      <c r="F16381" t="s">
        <v>50135</v>
      </c>
      <c r="G16381" s="2" t="str">
        <f>HYPERLINK("https://probpalata.gov.ru/files/ЮЛ770100419400105.jpeg","Скачать индивидуальный QR-код магазина")</f>
        <v>Скачать индивидуальный QR-код магазина</v>
      </c>
    </row>
    <row r="16382" spans="1:7" x14ac:dyDescent="0.25">
      <c r="A16382" t="s">
        <v>49422</v>
      </c>
      <c r="B16382" t="s">
        <v>50136</v>
      </c>
      <c r="C16382" t="s">
        <v>1416</v>
      </c>
      <c r="D16382" t="s">
        <v>1417</v>
      </c>
      <c r="E16382" t="s">
        <v>1418</v>
      </c>
      <c r="F16382" t="s">
        <v>50137</v>
      </c>
      <c r="G16382" s="2" t="str">
        <f>HYPERLINK("https://probpalata.gov.ru/files/ЮЛ770100419400106.jpeg","Скачать индивидуальный QR-код магазина")</f>
        <v>Скачать индивидуальный QR-код магазина</v>
      </c>
    </row>
    <row r="16383" spans="1:7" x14ac:dyDescent="0.25">
      <c r="A16383" t="s">
        <v>49422</v>
      </c>
      <c r="B16383" t="s">
        <v>49599</v>
      </c>
      <c r="C16383" t="s">
        <v>748</v>
      </c>
      <c r="D16383" t="s">
        <v>749</v>
      </c>
      <c r="E16383" t="s">
        <v>750</v>
      </c>
      <c r="F16383" t="s">
        <v>50138</v>
      </c>
      <c r="G16383" s="2" t="str">
        <f>HYPERLINK("https://probpalata.gov.ru/files/ЮЛ770100193500243.jpeg","Скачать индивидуальный QR-код магазина")</f>
        <v>Скачать индивидуальный QR-код магазина</v>
      </c>
    </row>
    <row r="16384" spans="1:7" x14ac:dyDescent="0.25">
      <c r="A16384" t="s">
        <v>49422</v>
      </c>
      <c r="B16384" t="s">
        <v>50139</v>
      </c>
      <c r="C16384" t="s">
        <v>748</v>
      </c>
      <c r="D16384" t="s">
        <v>749</v>
      </c>
      <c r="E16384" t="s">
        <v>750</v>
      </c>
      <c r="F16384" t="s">
        <v>50140</v>
      </c>
      <c r="G16384" s="2" t="str">
        <f>HYPERLINK("https://probpalata.gov.ru/files/ЮЛ770100193500244.jpeg","Скачать индивидуальный QR-код магазина")</f>
        <v>Скачать индивидуальный QR-код магазина</v>
      </c>
    </row>
    <row r="16385" spans="1:7" x14ac:dyDescent="0.25">
      <c r="A16385" t="s">
        <v>49422</v>
      </c>
      <c r="B16385" t="s">
        <v>50141</v>
      </c>
      <c r="C16385" t="s">
        <v>748</v>
      </c>
      <c r="D16385" t="s">
        <v>749</v>
      </c>
      <c r="E16385" t="s">
        <v>750</v>
      </c>
      <c r="F16385" t="s">
        <v>50142</v>
      </c>
      <c r="G16385" s="2" t="str">
        <f>HYPERLINK("https://probpalata.gov.ru/files/ЮЛ770100193500245.jpeg","Скачать индивидуальный QR-код магазина")</f>
        <v>Скачать индивидуальный QR-код магазина</v>
      </c>
    </row>
    <row r="16386" spans="1:7" x14ac:dyDescent="0.25">
      <c r="A16386" t="s">
        <v>49422</v>
      </c>
      <c r="B16386" t="s">
        <v>50143</v>
      </c>
      <c r="C16386" t="s">
        <v>748</v>
      </c>
      <c r="D16386" t="s">
        <v>749</v>
      </c>
      <c r="E16386" t="s">
        <v>750</v>
      </c>
      <c r="F16386" t="s">
        <v>50144</v>
      </c>
      <c r="G16386" s="2" t="str">
        <f>HYPERLINK("https://probpalata.gov.ru/files/ЮЛ770100193500246.jpeg","Скачать индивидуальный QR-код магазина")</f>
        <v>Скачать индивидуальный QR-код магазина</v>
      </c>
    </row>
    <row r="16387" spans="1:7" x14ac:dyDescent="0.25">
      <c r="A16387" t="s">
        <v>49422</v>
      </c>
      <c r="B16387" t="s">
        <v>50145</v>
      </c>
      <c r="C16387" t="s">
        <v>748</v>
      </c>
      <c r="D16387" t="s">
        <v>749</v>
      </c>
      <c r="E16387" t="s">
        <v>750</v>
      </c>
      <c r="F16387" t="s">
        <v>50146</v>
      </c>
      <c r="G16387" s="2" t="str">
        <f>HYPERLINK("https://probpalata.gov.ru/files/ЮЛ770100193500247.jpeg","Скачать индивидуальный QR-код магазина")</f>
        <v>Скачать индивидуальный QR-код магазина</v>
      </c>
    </row>
    <row r="16388" spans="1:7" x14ac:dyDescent="0.25">
      <c r="A16388" t="s">
        <v>49422</v>
      </c>
      <c r="B16388" t="s">
        <v>50147</v>
      </c>
      <c r="C16388" t="s">
        <v>748</v>
      </c>
      <c r="D16388" t="s">
        <v>749</v>
      </c>
      <c r="E16388" t="s">
        <v>750</v>
      </c>
      <c r="F16388" t="s">
        <v>50148</v>
      </c>
      <c r="G16388" s="2" t="str">
        <f>HYPERLINK("https://probpalata.gov.ru/files/ЮЛ770100193500248.jpeg","Скачать индивидуальный QR-код магазина")</f>
        <v>Скачать индивидуальный QR-код магазина</v>
      </c>
    </row>
    <row r="16389" spans="1:7" x14ac:dyDescent="0.25">
      <c r="A16389" t="s">
        <v>49422</v>
      </c>
      <c r="B16389" t="s">
        <v>50149</v>
      </c>
      <c r="C16389" t="s">
        <v>748</v>
      </c>
      <c r="D16389" t="s">
        <v>749</v>
      </c>
      <c r="E16389" t="s">
        <v>750</v>
      </c>
      <c r="F16389" t="s">
        <v>50150</v>
      </c>
      <c r="G16389" s="2" t="str">
        <f>HYPERLINK("https://probpalata.gov.ru/files/ЮЛ770100193500591.jpeg","Скачать индивидуальный QR-код магазина")</f>
        <v>Скачать индивидуальный QR-код магазина</v>
      </c>
    </row>
    <row r="16390" spans="1:7" x14ac:dyDescent="0.25">
      <c r="A16390" t="s">
        <v>49422</v>
      </c>
      <c r="B16390" t="s">
        <v>50151</v>
      </c>
      <c r="C16390" t="s">
        <v>748</v>
      </c>
      <c r="D16390" t="s">
        <v>749</v>
      </c>
      <c r="E16390" t="s">
        <v>750</v>
      </c>
      <c r="F16390" t="s">
        <v>50152</v>
      </c>
      <c r="G16390" s="2" t="str">
        <f>HYPERLINK("https://probpalata.gov.ru/files/ЮЛ770100193500642.jpeg","Скачать индивидуальный QR-код магазина")</f>
        <v>Скачать индивидуальный QR-код магазина</v>
      </c>
    </row>
    <row r="16391" spans="1:7" x14ac:dyDescent="0.25">
      <c r="A16391" t="s">
        <v>49422</v>
      </c>
      <c r="B16391" t="s">
        <v>50153</v>
      </c>
      <c r="C16391" t="s">
        <v>748</v>
      </c>
      <c r="D16391" t="s">
        <v>749</v>
      </c>
      <c r="E16391" t="s">
        <v>750</v>
      </c>
      <c r="F16391" t="s">
        <v>50154</v>
      </c>
      <c r="G16391" s="2" t="str">
        <f>HYPERLINK("https://probpalata.gov.ru/files/ЮЛ770100193500783.jpeg","Скачать индивидуальный QR-код магазина")</f>
        <v>Скачать индивидуальный QR-код магазина</v>
      </c>
    </row>
    <row r="16392" spans="1:7" x14ac:dyDescent="0.25">
      <c r="A16392" t="s">
        <v>49422</v>
      </c>
      <c r="B16392" t="s">
        <v>50155</v>
      </c>
      <c r="C16392" t="s">
        <v>748</v>
      </c>
      <c r="D16392" t="s">
        <v>749</v>
      </c>
      <c r="E16392" t="s">
        <v>750</v>
      </c>
      <c r="F16392" t="s">
        <v>50156</v>
      </c>
      <c r="G16392" s="2" t="str">
        <f>HYPERLINK("https://probpalata.gov.ru/files/ЮЛ770100193500792.jpeg","Скачать индивидуальный QR-код магазина")</f>
        <v>Скачать индивидуальный QR-код магазина</v>
      </c>
    </row>
    <row r="16393" spans="1:7" x14ac:dyDescent="0.25">
      <c r="A16393" t="s">
        <v>49422</v>
      </c>
      <c r="B16393" t="s">
        <v>50157</v>
      </c>
      <c r="C16393" t="s">
        <v>773</v>
      </c>
      <c r="D16393" t="s">
        <v>774</v>
      </c>
      <c r="E16393" t="s">
        <v>775</v>
      </c>
      <c r="F16393" t="s">
        <v>50158</v>
      </c>
      <c r="G16393" s="2" t="str">
        <f>HYPERLINK("https://probpalata.gov.ru/files/ЮЛ780300131300044.jpeg","Скачать индивидуальный QR-код магазина")</f>
        <v>Скачать индивидуальный QR-код магазина</v>
      </c>
    </row>
    <row r="16394" spans="1:7" x14ac:dyDescent="0.25">
      <c r="A16394" t="s">
        <v>49422</v>
      </c>
      <c r="B16394" t="s">
        <v>49588</v>
      </c>
      <c r="C16394" t="s">
        <v>773</v>
      </c>
      <c r="D16394" t="s">
        <v>774</v>
      </c>
      <c r="E16394" t="s">
        <v>775</v>
      </c>
      <c r="F16394" t="s">
        <v>50159</v>
      </c>
      <c r="G16394" s="2" t="str">
        <f>HYPERLINK("https://probpalata.gov.ru/files/ЮЛ780300131300045.jpeg","Скачать индивидуальный QR-код магазина")</f>
        <v>Скачать индивидуальный QR-код магазина</v>
      </c>
    </row>
    <row r="16395" spans="1:7" x14ac:dyDescent="0.25">
      <c r="A16395" t="s">
        <v>49422</v>
      </c>
      <c r="B16395" t="s">
        <v>50160</v>
      </c>
      <c r="C16395" t="s">
        <v>773</v>
      </c>
      <c r="D16395" t="s">
        <v>774</v>
      </c>
      <c r="E16395" t="s">
        <v>775</v>
      </c>
      <c r="F16395" t="s">
        <v>50161</v>
      </c>
      <c r="G16395" s="2" t="str">
        <f>HYPERLINK("https://probpalata.gov.ru/files/ЮЛ780300131300048.jpeg","Скачать индивидуальный QR-код магазина")</f>
        <v>Скачать индивидуальный QR-код магазина</v>
      </c>
    </row>
    <row r="16396" spans="1:7" x14ac:dyDescent="0.25">
      <c r="A16396" t="s">
        <v>49422</v>
      </c>
      <c r="B16396" t="s">
        <v>50162</v>
      </c>
      <c r="C16396" t="s">
        <v>773</v>
      </c>
      <c r="D16396" t="s">
        <v>774</v>
      </c>
      <c r="E16396" t="s">
        <v>775</v>
      </c>
      <c r="F16396" t="s">
        <v>50163</v>
      </c>
      <c r="G16396" s="2" t="str">
        <f>HYPERLINK("https://probpalata.gov.ru/files/ЮЛ780300131300051.jpeg","Скачать индивидуальный QR-код магазина")</f>
        <v>Скачать индивидуальный QR-код магазина</v>
      </c>
    </row>
    <row r="16397" spans="1:7" x14ac:dyDescent="0.25">
      <c r="A16397" t="s">
        <v>49422</v>
      </c>
      <c r="B16397" t="s">
        <v>50164</v>
      </c>
      <c r="C16397" t="s">
        <v>773</v>
      </c>
      <c r="D16397" t="s">
        <v>774</v>
      </c>
      <c r="E16397" t="s">
        <v>775</v>
      </c>
      <c r="F16397" t="s">
        <v>50165</v>
      </c>
      <c r="G16397" s="2" t="str">
        <f>HYPERLINK("https://probpalata.gov.ru/files/ЮЛ780300131300557.jpeg","Скачать индивидуальный QR-код магазина")</f>
        <v>Скачать индивидуальный QR-код магазина</v>
      </c>
    </row>
    <row r="16398" spans="1:7" x14ac:dyDescent="0.25">
      <c r="A16398" t="s">
        <v>49422</v>
      </c>
      <c r="B16398" t="s">
        <v>50166</v>
      </c>
      <c r="C16398" t="s">
        <v>773</v>
      </c>
      <c r="D16398" t="s">
        <v>774</v>
      </c>
      <c r="E16398" t="s">
        <v>775</v>
      </c>
      <c r="F16398" t="s">
        <v>50167</v>
      </c>
      <c r="G16398" s="2" t="str">
        <f>HYPERLINK("https://probpalata.gov.ru/files/ЮЛ780300131300575.jpeg","Скачать индивидуальный QR-код магазина")</f>
        <v>Скачать индивидуальный QR-код магазина</v>
      </c>
    </row>
    <row r="16399" spans="1:7" x14ac:dyDescent="0.25">
      <c r="A16399" t="s">
        <v>49422</v>
      </c>
      <c r="B16399" t="s">
        <v>50168</v>
      </c>
      <c r="C16399" t="s">
        <v>787</v>
      </c>
      <c r="D16399" t="s">
        <v>788</v>
      </c>
      <c r="E16399" t="s">
        <v>789</v>
      </c>
      <c r="F16399" t="s">
        <v>50169</v>
      </c>
      <c r="G16399" s="2" t="str">
        <f>HYPERLINK("https://probpalata.gov.ru/files/ЮЛ780300328000109.jpeg","Скачать индивидуальный QR-код магазина")</f>
        <v>Скачать индивидуальный QR-код магазина</v>
      </c>
    </row>
    <row r="16400" spans="1:7" x14ac:dyDescent="0.25">
      <c r="A16400" t="s">
        <v>49422</v>
      </c>
      <c r="B16400" t="s">
        <v>50170</v>
      </c>
      <c r="C16400" t="s">
        <v>4077</v>
      </c>
      <c r="D16400" t="s">
        <v>4078</v>
      </c>
      <c r="E16400" t="s">
        <v>4079</v>
      </c>
      <c r="F16400" t="s">
        <v>50171</v>
      </c>
      <c r="G16400" s="2" t="str">
        <f>HYPERLINK("https://probpalata.gov.ru/files/ЮЛ780300331800049.jpeg","Скачать индивидуальный QR-код магазина")</f>
        <v>Скачать индивидуальный QR-код магазина</v>
      </c>
    </row>
    <row r="16401" spans="1:7" x14ac:dyDescent="0.25">
      <c r="A16401" t="s">
        <v>49422</v>
      </c>
      <c r="B16401" t="s">
        <v>50166</v>
      </c>
      <c r="C16401" t="s">
        <v>4077</v>
      </c>
      <c r="D16401" t="s">
        <v>4078</v>
      </c>
      <c r="E16401" t="s">
        <v>4079</v>
      </c>
      <c r="F16401" t="s">
        <v>50172</v>
      </c>
      <c r="G16401" s="2" t="str">
        <f>HYPERLINK("https://probpalata.gov.ru/files/ЮЛ780300331800050.jpeg","Скачать индивидуальный QR-код магазина")</f>
        <v>Скачать индивидуальный QR-код магазина</v>
      </c>
    </row>
    <row r="16402" spans="1:7" x14ac:dyDescent="0.25">
      <c r="A16402" t="s">
        <v>49422</v>
      </c>
      <c r="B16402" t="s">
        <v>49588</v>
      </c>
      <c r="C16402" t="s">
        <v>798</v>
      </c>
      <c r="D16402" t="s">
        <v>799</v>
      </c>
      <c r="E16402" t="s">
        <v>800</v>
      </c>
      <c r="F16402" t="s">
        <v>50173</v>
      </c>
      <c r="G16402" s="2" t="str">
        <f>HYPERLINK("https://probpalata.gov.ru/files/ЮЛ780300308200024.jpeg","Скачать индивидуальный QR-код магазина")</f>
        <v>Скачать индивидуальный QR-код магазина</v>
      </c>
    </row>
    <row r="16403" spans="1:7" x14ac:dyDescent="0.25">
      <c r="A16403" t="s">
        <v>49422</v>
      </c>
      <c r="B16403" t="s">
        <v>50174</v>
      </c>
      <c r="C16403" t="s">
        <v>798</v>
      </c>
      <c r="D16403" t="s">
        <v>799</v>
      </c>
      <c r="E16403" t="s">
        <v>800</v>
      </c>
      <c r="F16403" t="s">
        <v>50175</v>
      </c>
      <c r="G16403" s="2" t="str">
        <f>HYPERLINK("https://probpalata.gov.ru/files/ЮЛ780300308200025.jpeg","Скачать индивидуальный QR-код магазина")</f>
        <v>Скачать индивидуальный QR-код магазина</v>
      </c>
    </row>
    <row r="16404" spans="1:7" x14ac:dyDescent="0.25">
      <c r="A16404" t="s">
        <v>49422</v>
      </c>
      <c r="B16404" t="s">
        <v>50176</v>
      </c>
      <c r="C16404" t="s">
        <v>798</v>
      </c>
      <c r="D16404" t="s">
        <v>799</v>
      </c>
      <c r="E16404" t="s">
        <v>800</v>
      </c>
      <c r="F16404" t="s">
        <v>50177</v>
      </c>
      <c r="G16404" s="2" t="str">
        <f>HYPERLINK("https://probpalata.gov.ru/files/ЮЛ780300308200150.jpeg","Скачать индивидуальный QR-код магазина")</f>
        <v>Скачать индивидуальный QR-код магазина</v>
      </c>
    </row>
    <row r="16405" spans="1:7" x14ac:dyDescent="0.25">
      <c r="A16405" t="s">
        <v>49422</v>
      </c>
      <c r="B16405" t="s">
        <v>50178</v>
      </c>
      <c r="C16405" t="s">
        <v>798</v>
      </c>
      <c r="D16405" t="s">
        <v>799</v>
      </c>
      <c r="E16405" t="s">
        <v>800</v>
      </c>
      <c r="F16405" t="s">
        <v>50179</v>
      </c>
      <c r="G16405" s="2" t="str">
        <f>HYPERLINK("https://probpalata.gov.ru/files/ЮЛ780300308200269.jpeg","Скачать индивидуальный QR-код магазина")</f>
        <v>Скачать индивидуальный QR-код магазина</v>
      </c>
    </row>
    <row r="16406" spans="1:7" x14ac:dyDescent="0.25">
      <c r="A16406" t="s">
        <v>49422</v>
      </c>
      <c r="B16406" t="s">
        <v>50180</v>
      </c>
      <c r="C16406" t="s">
        <v>798</v>
      </c>
      <c r="D16406" t="s">
        <v>799</v>
      </c>
      <c r="E16406" t="s">
        <v>800</v>
      </c>
      <c r="F16406" t="s">
        <v>50181</v>
      </c>
      <c r="G16406" s="2" t="str">
        <f>HYPERLINK("https://probpalata.gov.ru/files/ЮЛ780300308200399.jpeg","Скачать индивидуальный QR-код магазина")</f>
        <v>Скачать индивидуальный QR-код магазина</v>
      </c>
    </row>
    <row r="16407" spans="1:7" x14ac:dyDescent="0.25">
      <c r="A16407" t="s">
        <v>49422</v>
      </c>
      <c r="B16407" t="s">
        <v>50182</v>
      </c>
      <c r="C16407" t="s">
        <v>798</v>
      </c>
      <c r="D16407" t="s">
        <v>799</v>
      </c>
      <c r="E16407" t="s">
        <v>800</v>
      </c>
      <c r="F16407" t="s">
        <v>50183</v>
      </c>
      <c r="G16407" s="2" t="str">
        <f>HYPERLINK("https://probpalata.gov.ru/files/ЮЛ780300308200415.jpeg","Скачать индивидуальный QR-код магазина")</f>
        <v>Скачать индивидуальный QR-код магазина</v>
      </c>
    </row>
    <row r="16408" spans="1:7" x14ac:dyDescent="0.25">
      <c r="A16408" t="s">
        <v>49422</v>
      </c>
      <c r="B16408" t="s">
        <v>50184</v>
      </c>
      <c r="C16408" t="s">
        <v>798</v>
      </c>
      <c r="D16408" t="s">
        <v>799</v>
      </c>
      <c r="E16408" t="s">
        <v>800</v>
      </c>
      <c r="F16408" t="s">
        <v>50185</v>
      </c>
      <c r="G16408" s="2" t="str">
        <f>HYPERLINK("https://probpalata.gov.ru/files/ЮЛ780300308200417.jpeg","Скачать индивидуальный QR-код магазина")</f>
        <v>Скачать индивидуальный QR-код магазина</v>
      </c>
    </row>
    <row r="16409" spans="1:7" x14ac:dyDescent="0.25">
      <c r="A16409" t="s">
        <v>49422</v>
      </c>
      <c r="B16409" t="s">
        <v>50186</v>
      </c>
      <c r="C16409" t="s">
        <v>798</v>
      </c>
      <c r="D16409" t="s">
        <v>799</v>
      </c>
      <c r="E16409" t="s">
        <v>800</v>
      </c>
      <c r="F16409" t="s">
        <v>50187</v>
      </c>
      <c r="G16409" s="2" t="str">
        <f>HYPERLINK("https://probpalata.gov.ru/files/ЮЛ780300308200419.jpeg","Скачать индивидуальный QR-код магазина")</f>
        <v>Скачать индивидуальный QR-код магазина</v>
      </c>
    </row>
    <row r="16410" spans="1:7" x14ac:dyDescent="0.25">
      <c r="A16410" t="s">
        <v>49422</v>
      </c>
      <c r="B16410" t="s">
        <v>50188</v>
      </c>
      <c r="C16410" t="s">
        <v>798</v>
      </c>
      <c r="D16410" t="s">
        <v>799</v>
      </c>
      <c r="E16410" t="s">
        <v>800</v>
      </c>
      <c r="F16410" t="s">
        <v>50189</v>
      </c>
      <c r="G16410" s="2" t="str">
        <f>HYPERLINK("https://probpalata.gov.ru/files/ЮЛ780300308200421.jpeg","Скачать индивидуальный QR-код магазина")</f>
        <v>Скачать индивидуальный QR-код магазина</v>
      </c>
    </row>
    <row r="16411" spans="1:7" x14ac:dyDescent="0.25">
      <c r="A16411" t="s">
        <v>49422</v>
      </c>
      <c r="B16411" t="s">
        <v>49996</v>
      </c>
      <c r="C16411" t="s">
        <v>798</v>
      </c>
      <c r="D16411" t="s">
        <v>799</v>
      </c>
      <c r="E16411" t="s">
        <v>800</v>
      </c>
      <c r="F16411" t="s">
        <v>50190</v>
      </c>
      <c r="G16411" s="2" t="str">
        <f>HYPERLINK("https://probpalata.gov.ru/files/ЮЛ780300308200422.jpeg","Скачать индивидуальный QR-код магазина")</f>
        <v>Скачать индивидуальный QR-код магазина</v>
      </c>
    </row>
    <row r="16412" spans="1:7" x14ac:dyDescent="0.25">
      <c r="A16412" t="s">
        <v>49422</v>
      </c>
      <c r="B16412" t="s">
        <v>50191</v>
      </c>
      <c r="C16412" t="s">
        <v>798</v>
      </c>
      <c r="D16412" t="s">
        <v>799</v>
      </c>
      <c r="E16412" t="s">
        <v>800</v>
      </c>
      <c r="F16412" t="s">
        <v>50192</v>
      </c>
      <c r="G16412" s="2" t="str">
        <f>HYPERLINK("https://probpalata.gov.ru/files/ЮЛ780300308200423.jpeg","Скачать индивидуальный QR-код магазина")</f>
        <v>Скачать индивидуальный QR-код магазина</v>
      </c>
    </row>
    <row r="16413" spans="1:7" x14ac:dyDescent="0.25">
      <c r="A16413" t="s">
        <v>49422</v>
      </c>
      <c r="B16413" t="s">
        <v>50193</v>
      </c>
      <c r="C16413" t="s">
        <v>798</v>
      </c>
      <c r="D16413" t="s">
        <v>799</v>
      </c>
      <c r="E16413" t="s">
        <v>800</v>
      </c>
      <c r="F16413" t="s">
        <v>50194</v>
      </c>
      <c r="G16413" s="2" t="str">
        <f>HYPERLINK("https://probpalata.gov.ru/files/ЮЛ780300308200430.jpeg","Скачать индивидуальный QR-код магазина")</f>
        <v>Скачать индивидуальный QR-код магазина</v>
      </c>
    </row>
    <row r="16414" spans="1:7" x14ac:dyDescent="0.25">
      <c r="A16414" t="s">
        <v>49422</v>
      </c>
      <c r="B16414" t="s">
        <v>49627</v>
      </c>
      <c r="C16414" t="s">
        <v>798</v>
      </c>
      <c r="D16414" t="s">
        <v>799</v>
      </c>
      <c r="E16414" t="s">
        <v>800</v>
      </c>
      <c r="F16414" t="s">
        <v>50195</v>
      </c>
      <c r="G16414" s="2" t="str">
        <f>HYPERLINK("https://probpalata.gov.ru/files/ЮЛ780300308200435.jpeg","Скачать индивидуальный QR-код магазина")</f>
        <v>Скачать индивидуальный QR-код магазина</v>
      </c>
    </row>
    <row r="16415" spans="1:7" x14ac:dyDescent="0.25">
      <c r="A16415" t="s">
        <v>49422</v>
      </c>
      <c r="B16415" t="s">
        <v>50196</v>
      </c>
      <c r="C16415" t="s">
        <v>798</v>
      </c>
      <c r="D16415" t="s">
        <v>799</v>
      </c>
      <c r="E16415" t="s">
        <v>800</v>
      </c>
      <c r="F16415" t="s">
        <v>50197</v>
      </c>
      <c r="G16415" s="2" t="str">
        <f>HYPERLINK("https://probpalata.gov.ru/files/ЮЛ780300308200551.jpeg","Скачать индивидуальный QR-код магазина")</f>
        <v>Скачать индивидуальный QR-код магазина</v>
      </c>
    </row>
    <row r="16416" spans="1:7" x14ac:dyDescent="0.25">
      <c r="A16416" t="s">
        <v>49422</v>
      </c>
      <c r="B16416" t="s">
        <v>50198</v>
      </c>
      <c r="C16416" t="s">
        <v>798</v>
      </c>
      <c r="D16416" t="s">
        <v>799</v>
      </c>
      <c r="E16416" t="s">
        <v>800</v>
      </c>
      <c r="F16416" t="s">
        <v>50199</v>
      </c>
      <c r="G16416" s="2" t="str">
        <f>HYPERLINK("https://probpalata.gov.ru/files/ЮЛ780300308200609.jpeg","Скачать индивидуальный QR-код магазина")</f>
        <v>Скачать индивидуальный QR-код магазина</v>
      </c>
    </row>
    <row r="16417" spans="1:7" x14ac:dyDescent="0.25">
      <c r="A16417" t="s">
        <v>49422</v>
      </c>
      <c r="B16417" t="s">
        <v>50200</v>
      </c>
      <c r="C16417" t="s">
        <v>798</v>
      </c>
      <c r="D16417" t="s">
        <v>799</v>
      </c>
      <c r="E16417" t="s">
        <v>800</v>
      </c>
      <c r="F16417" t="s">
        <v>50201</v>
      </c>
      <c r="G16417" s="2" t="str">
        <f>HYPERLINK("https://probpalata.gov.ru/files/ЮЛ780300308200742.jpeg","Скачать индивидуальный QR-код магазина")</f>
        <v>Скачать индивидуальный QR-код магазина</v>
      </c>
    </row>
    <row r="16418" spans="1:7" x14ac:dyDescent="0.25">
      <c r="A16418" t="s">
        <v>49422</v>
      </c>
      <c r="B16418" t="s">
        <v>50202</v>
      </c>
      <c r="C16418" t="s">
        <v>798</v>
      </c>
      <c r="D16418" t="s">
        <v>799</v>
      </c>
      <c r="E16418" t="s">
        <v>800</v>
      </c>
      <c r="F16418" t="s">
        <v>50203</v>
      </c>
      <c r="G16418" s="2" t="str">
        <f>HYPERLINK("https://probpalata.gov.ru/files/ЮЛ780300308200772.jpeg","Скачать индивидуальный QR-код магазина")</f>
        <v>Скачать индивидуальный QR-код магазина</v>
      </c>
    </row>
    <row r="16419" spans="1:7" x14ac:dyDescent="0.25">
      <c r="A16419" t="s">
        <v>49422</v>
      </c>
      <c r="B16419" t="s">
        <v>50204</v>
      </c>
      <c r="C16419" t="s">
        <v>798</v>
      </c>
      <c r="D16419" t="s">
        <v>799</v>
      </c>
      <c r="E16419" t="s">
        <v>800</v>
      </c>
      <c r="F16419" t="s">
        <v>50205</v>
      </c>
      <c r="G16419" s="2" t="str">
        <f>HYPERLINK("https://probpalata.gov.ru/files/ЮЛ780300308200804.jpeg","Скачать индивидуальный QR-код магазина")</f>
        <v>Скачать индивидуальный QR-код магазина</v>
      </c>
    </row>
    <row r="16420" spans="1:7" x14ac:dyDescent="0.25">
      <c r="A16420" t="s">
        <v>49422</v>
      </c>
      <c r="B16420" t="s">
        <v>50206</v>
      </c>
      <c r="C16420" t="s">
        <v>1490</v>
      </c>
      <c r="D16420" t="s">
        <v>1491</v>
      </c>
      <c r="E16420" t="s">
        <v>1492</v>
      </c>
      <c r="F16420" t="s">
        <v>50207</v>
      </c>
      <c r="G16420" s="2" t="str">
        <f>HYPERLINK("https://probpalata.gov.ru/files/ЮЛ780301261200070.jpeg","Скачать индивидуальный QR-код магазина")</f>
        <v>Скачать индивидуальный QR-код магазина</v>
      </c>
    </row>
    <row r="16421" spans="1:7" x14ac:dyDescent="0.25">
      <c r="A16421" t="s">
        <v>49422</v>
      </c>
      <c r="B16421" t="s">
        <v>50208</v>
      </c>
      <c r="C16421" t="s">
        <v>50209</v>
      </c>
      <c r="D16421" t="s">
        <v>50210</v>
      </c>
      <c r="E16421" t="s">
        <v>50211</v>
      </c>
      <c r="F16421" t="s">
        <v>50212</v>
      </c>
      <c r="G16421" s="2" t="str">
        <f>HYPERLINK("https://probpalata.gov.ru/files/ИП630600896700000.jpeg","Скачать индивидуальный QR-код магазина")</f>
        <v>Скачать индивидуальный QR-код магазина</v>
      </c>
    </row>
    <row r="16422" spans="1:7" x14ac:dyDescent="0.25">
      <c r="A16422" t="s">
        <v>49422</v>
      </c>
      <c r="B16422" t="s">
        <v>50213</v>
      </c>
      <c r="C16422" t="s">
        <v>50214</v>
      </c>
      <c r="D16422" t="s">
        <v>50215</v>
      </c>
      <c r="E16422" t="s">
        <v>50216</v>
      </c>
      <c r="F16422" t="s">
        <v>50217</v>
      </c>
      <c r="G16422" s="2" t="str">
        <f>HYPERLINK("https://probpalata.gov.ru/files/ИП640603023100000.jpeg","Скачать индивидуальный QR-код магазина")</f>
        <v>Скачать индивидуальный QR-код магазина</v>
      </c>
    </row>
    <row r="16423" spans="1:7" x14ac:dyDescent="0.25">
      <c r="A16423" t="s">
        <v>49422</v>
      </c>
      <c r="B16423" t="s">
        <v>49702</v>
      </c>
      <c r="C16423" t="s">
        <v>15574</v>
      </c>
      <c r="D16423" t="s">
        <v>15575</v>
      </c>
      <c r="E16423" t="s">
        <v>15576</v>
      </c>
      <c r="F16423" t="s">
        <v>50218</v>
      </c>
      <c r="G16423" s="2" t="str">
        <f>HYPERLINK("https://probpalata.gov.ru/files/ИП820400991100006.jpeg","Скачать индивидуальный QR-код магазина")</f>
        <v>Скачать индивидуальный QR-код магазина</v>
      </c>
    </row>
    <row r="16424" spans="1:7" x14ac:dyDescent="0.25">
      <c r="A16424" t="s">
        <v>49422</v>
      </c>
      <c r="B16424" t="s">
        <v>50219</v>
      </c>
      <c r="C16424" t="s">
        <v>1501</v>
      </c>
      <c r="D16424" t="s">
        <v>1502</v>
      </c>
      <c r="E16424" t="s">
        <v>1503</v>
      </c>
      <c r="F16424" t="s">
        <v>50220</v>
      </c>
      <c r="G16424" s="2" t="str">
        <f>HYPERLINK("https://probpalata.gov.ru/files/ЮЛ770100439200189.jpeg","Скачать индивидуальный QR-код магазина")</f>
        <v>Скачать индивидуальный QR-код магазина</v>
      </c>
    </row>
    <row r="16425" spans="1:7" x14ac:dyDescent="0.25">
      <c r="A16425" t="s">
        <v>49422</v>
      </c>
      <c r="B16425" t="s">
        <v>50221</v>
      </c>
      <c r="C16425" t="s">
        <v>1501</v>
      </c>
      <c r="D16425" t="s">
        <v>1502</v>
      </c>
      <c r="E16425" t="s">
        <v>1503</v>
      </c>
      <c r="F16425" t="s">
        <v>50222</v>
      </c>
      <c r="G16425" s="2" t="str">
        <f>HYPERLINK("https://probpalata.gov.ru/files/ЮЛ770100439200205.jpeg","Скачать индивидуальный QR-код магазина")</f>
        <v>Скачать индивидуальный QR-код магазина</v>
      </c>
    </row>
    <row r="16426" spans="1:7" x14ac:dyDescent="0.25">
      <c r="A16426" t="s">
        <v>49422</v>
      </c>
      <c r="B16426" t="s">
        <v>50223</v>
      </c>
      <c r="C16426" t="s">
        <v>4158</v>
      </c>
      <c r="D16426" t="s">
        <v>4159</v>
      </c>
      <c r="E16426" t="s">
        <v>4160</v>
      </c>
      <c r="F16426" t="s">
        <v>50224</v>
      </c>
      <c r="G16426" s="2" t="str">
        <f>HYPERLINK("https://probpalata.gov.ru/files/ЮЛ770100418900043.jpeg","Скачать индивидуальный QR-код магазина")</f>
        <v>Скачать индивидуальный QR-код магазина</v>
      </c>
    </row>
    <row r="16427" spans="1:7" x14ac:dyDescent="0.25">
      <c r="A16427" t="s">
        <v>49422</v>
      </c>
      <c r="B16427" t="s">
        <v>50225</v>
      </c>
      <c r="C16427" t="s">
        <v>4158</v>
      </c>
      <c r="D16427" t="s">
        <v>4159</v>
      </c>
      <c r="E16427" t="s">
        <v>4160</v>
      </c>
      <c r="F16427" t="s">
        <v>50226</v>
      </c>
      <c r="G16427" s="2" t="str">
        <f>HYPERLINK("https://probpalata.gov.ru/files/ЮЛ770100418900044.jpeg","Скачать индивидуальный QR-код магазина")</f>
        <v>Скачать индивидуальный QR-код магазина</v>
      </c>
    </row>
    <row r="16428" spans="1:7" x14ac:dyDescent="0.25">
      <c r="A16428" t="s">
        <v>49422</v>
      </c>
      <c r="B16428" t="s">
        <v>50227</v>
      </c>
      <c r="C16428" t="s">
        <v>4158</v>
      </c>
      <c r="D16428" t="s">
        <v>4159</v>
      </c>
      <c r="E16428" t="s">
        <v>4160</v>
      </c>
      <c r="F16428" t="s">
        <v>50228</v>
      </c>
      <c r="G16428" s="2" t="str">
        <f>HYPERLINK("https://probpalata.gov.ru/files/ЮЛ770100418900045.jpeg","Скачать индивидуальный QR-код магазина")</f>
        <v>Скачать индивидуальный QR-код магазина</v>
      </c>
    </row>
    <row r="16429" spans="1:7" x14ac:dyDescent="0.25">
      <c r="A16429" t="s">
        <v>49422</v>
      </c>
      <c r="B16429" t="s">
        <v>50229</v>
      </c>
      <c r="C16429" t="s">
        <v>4158</v>
      </c>
      <c r="D16429" t="s">
        <v>4159</v>
      </c>
      <c r="E16429" t="s">
        <v>4160</v>
      </c>
      <c r="F16429" t="s">
        <v>50230</v>
      </c>
      <c r="G16429" s="2" t="str">
        <f>HYPERLINK("https://probpalata.gov.ru/files/ЮЛ770100418900046.jpeg","Скачать индивидуальный QR-код магазина")</f>
        <v>Скачать индивидуальный QR-код магазина</v>
      </c>
    </row>
    <row r="16430" spans="1:7" x14ac:dyDescent="0.25">
      <c r="A16430" t="s">
        <v>49422</v>
      </c>
      <c r="B16430" t="s">
        <v>50231</v>
      </c>
      <c r="C16430" t="s">
        <v>4158</v>
      </c>
      <c r="D16430" t="s">
        <v>4159</v>
      </c>
      <c r="E16430" t="s">
        <v>4160</v>
      </c>
      <c r="F16430" t="s">
        <v>50232</v>
      </c>
      <c r="G16430" s="2" t="str">
        <f>HYPERLINK("https://probpalata.gov.ru/files/ЮЛ770100418900047.jpeg","Скачать индивидуальный QR-код магазина")</f>
        <v>Скачать индивидуальный QR-код магазина</v>
      </c>
    </row>
    <row r="16431" spans="1:7" x14ac:dyDescent="0.25">
      <c r="A16431" t="s">
        <v>49422</v>
      </c>
      <c r="B16431" t="s">
        <v>50233</v>
      </c>
      <c r="C16431" t="s">
        <v>4158</v>
      </c>
      <c r="D16431" t="s">
        <v>4159</v>
      </c>
      <c r="E16431" t="s">
        <v>4160</v>
      </c>
      <c r="F16431" t="s">
        <v>50234</v>
      </c>
      <c r="G16431" s="2" t="str">
        <f>HYPERLINK("https://probpalata.gov.ru/files/ЮЛ770100418900048.jpeg","Скачать индивидуальный QR-код магазина")</f>
        <v>Скачать индивидуальный QR-код магазина</v>
      </c>
    </row>
    <row r="16432" spans="1:7" x14ac:dyDescent="0.25">
      <c r="A16432" t="s">
        <v>49422</v>
      </c>
      <c r="B16432" t="s">
        <v>50235</v>
      </c>
      <c r="C16432" t="s">
        <v>4158</v>
      </c>
      <c r="D16432" t="s">
        <v>4159</v>
      </c>
      <c r="E16432" t="s">
        <v>4160</v>
      </c>
      <c r="F16432" t="s">
        <v>50236</v>
      </c>
      <c r="G16432" s="2" t="str">
        <f>HYPERLINK("https://probpalata.gov.ru/files/ЮЛ770100418900049.jpeg","Скачать индивидуальный QR-код магазина")</f>
        <v>Скачать индивидуальный QR-код магазина</v>
      </c>
    </row>
    <row r="16433" spans="1:7" x14ac:dyDescent="0.25">
      <c r="A16433" t="s">
        <v>49422</v>
      </c>
      <c r="B16433" t="s">
        <v>50237</v>
      </c>
      <c r="C16433" t="s">
        <v>4158</v>
      </c>
      <c r="D16433" t="s">
        <v>4159</v>
      </c>
      <c r="E16433" t="s">
        <v>4160</v>
      </c>
      <c r="F16433" t="s">
        <v>50238</v>
      </c>
      <c r="G16433" s="2" t="str">
        <f>HYPERLINK("https://probpalata.gov.ru/files/ЮЛ770100418900050.jpeg","Скачать индивидуальный QR-код магазина")</f>
        <v>Скачать индивидуальный QR-код магазина</v>
      </c>
    </row>
    <row r="16434" spans="1:7" x14ac:dyDescent="0.25">
      <c r="A16434" t="s">
        <v>49422</v>
      </c>
      <c r="B16434" t="s">
        <v>50239</v>
      </c>
      <c r="C16434" t="s">
        <v>4158</v>
      </c>
      <c r="D16434" t="s">
        <v>4159</v>
      </c>
      <c r="E16434" t="s">
        <v>4160</v>
      </c>
      <c r="F16434" t="s">
        <v>50240</v>
      </c>
      <c r="G16434" s="2" t="str">
        <f>HYPERLINK("https://probpalata.gov.ru/files/ЮЛ770100418900052.jpeg","Скачать индивидуальный QR-код магазина")</f>
        <v>Скачать индивидуальный QR-код магазина</v>
      </c>
    </row>
    <row r="16435" spans="1:7" x14ac:dyDescent="0.25">
      <c r="A16435" t="s">
        <v>49422</v>
      </c>
      <c r="B16435" t="s">
        <v>50241</v>
      </c>
      <c r="C16435" t="s">
        <v>4158</v>
      </c>
      <c r="D16435" t="s">
        <v>4159</v>
      </c>
      <c r="E16435" t="s">
        <v>4160</v>
      </c>
      <c r="F16435" t="s">
        <v>50242</v>
      </c>
      <c r="G16435" s="2" t="str">
        <f>HYPERLINK("https://probpalata.gov.ru/files/ЮЛ770100418900053.jpeg","Скачать индивидуальный QR-код магазина")</f>
        <v>Скачать индивидуальный QR-код магазина</v>
      </c>
    </row>
    <row r="16436" spans="1:7" x14ac:dyDescent="0.25">
      <c r="A16436" t="s">
        <v>49422</v>
      </c>
      <c r="B16436" t="s">
        <v>50243</v>
      </c>
      <c r="C16436" t="s">
        <v>4158</v>
      </c>
      <c r="D16436" t="s">
        <v>4159</v>
      </c>
      <c r="E16436" t="s">
        <v>4160</v>
      </c>
      <c r="F16436" t="s">
        <v>50244</v>
      </c>
      <c r="G16436" s="2" t="str">
        <f>HYPERLINK("https://probpalata.gov.ru/files/ЮЛ770100418900054.jpeg","Скачать индивидуальный QR-код магазина")</f>
        <v>Скачать индивидуальный QR-код магазина</v>
      </c>
    </row>
    <row r="16437" spans="1:7" x14ac:dyDescent="0.25">
      <c r="A16437" t="s">
        <v>49422</v>
      </c>
      <c r="B16437" t="s">
        <v>50245</v>
      </c>
      <c r="C16437" t="s">
        <v>4158</v>
      </c>
      <c r="D16437" t="s">
        <v>4159</v>
      </c>
      <c r="E16437" t="s">
        <v>4160</v>
      </c>
      <c r="F16437" t="s">
        <v>50246</v>
      </c>
      <c r="G16437" s="2" t="str">
        <f>HYPERLINK("https://probpalata.gov.ru/files/ЮЛ770100418900055.jpeg","Скачать индивидуальный QR-код магазина")</f>
        <v>Скачать индивидуальный QR-код магазина</v>
      </c>
    </row>
    <row r="16438" spans="1:7" x14ac:dyDescent="0.25">
      <c r="A16438" t="s">
        <v>49422</v>
      </c>
      <c r="B16438" t="s">
        <v>50247</v>
      </c>
      <c r="C16438" t="s">
        <v>4158</v>
      </c>
      <c r="D16438" t="s">
        <v>4159</v>
      </c>
      <c r="E16438" t="s">
        <v>4160</v>
      </c>
      <c r="F16438" t="s">
        <v>50248</v>
      </c>
      <c r="G16438" s="2" t="str">
        <f>HYPERLINK("https://probpalata.gov.ru/files/ЮЛ770100418900057.jpeg","Скачать индивидуальный QR-код магазина")</f>
        <v>Скачать индивидуальный QR-код магазина</v>
      </c>
    </row>
    <row r="16439" spans="1:7" x14ac:dyDescent="0.25">
      <c r="A16439" t="s">
        <v>49422</v>
      </c>
      <c r="B16439" t="s">
        <v>50249</v>
      </c>
      <c r="C16439" t="s">
        <v>4158</v>
      </c>
      <c r="D16439" t="s">
        <v>4159</v>
      </c>
      <c r="E16439" t="s">
        <v>4160</v>
      </c>
      <c r="F16439" t="s">
        <v>50250</v>
      </c>
      <c r="G16439" s="2" t="str">
        <f>HYPERLINK("https://probpalata.gov.ru/files/ЮЛ770100418900058.jpeg","Скачать индивидуальный QR-код магазина")</f>
        <v>Скачать индивидуальный QR-код магазина</v>
      </c>
    </row>
    <row r="16440" spans="1:7" x14ac:dyDescent="0.25">
      <c r="A16440" t="s">
        <v>49422</v>
      </c>
      <c r="B16440" t="s">
        <v>50251</v>
      </c>
      <c r="C16440" t="s">
        <v>4158</v>
      </c>
      <c r="D16440" t="s">
        <v>4159</v>
      </c>
      <c r="E16440" t="s">
        <v>4160</v>
      </c>
      <c r="F16440" t="s">
        <v>50252</v>
      </c>
      <c r="G16440" s="2" t="str">
        <f>HYPERLINK("https://probpalata.gov.ru/files/ЮЛ770100418900059.jpeg","Скачать индивидуальный QR-код магазина")</f>
        <v>Скачать индивидуальный QR-код магазина</v>
      </c>
    </row>
    <row r="16441" spans="1:7" x14ac:dyDescent="0.25">
      <c r="A16441" t="s">
        <v>49422</v>
      </c>
      <c r="B16441" t="s">
        <v>50253</v>
      </c>
      <c r="C16441" t="s">
        <v>4158</v>
      </c>
      <c r="D16441" t="s">
        <v>4159</v>
      </c>
      <c r="E16441" t="s">
        <v>4160</v>
      </c>
      <c r="F16441" t="s">
        <v>50254</v>
      </c>
      <c r="G16441" s="2" t="str">
        <f>HYPERLINK("https://probpalata.gov.ru/files/ЮЛ770100418900060.jpeg","Скачать индивидуальный QR-код магазина")</f>
        <v>Скачать индивидуальный QR-код магазина</v>
      </c>
    </row>
    <row r="16442" spans="1:7" x14ac:dyDescent="0.25">
      <c r="A16442" t="s">
        <v>49422</v>
      </c>
      <c r="B16442" t="s">
        <v>50255</v>
      </c>
      <c r="C16442" t="s">
        <v>4158</v>
      </c>
      <c r="D16442" t="s">
        <v>4159</v>
      </c>
      <c r="E16442" t="s">
        <v>4160</v>
      </c>
      <c r="F16442" t="s">
        <v>50256</v>
      </c>
      <c r="G16442" s="2" t="str">
        <f>HYPERLINK("https://probpalata.gov.ru/files/ЮЛ770100418900061.jpeg","Скачать индивидуальный QR-код магазина")</f>
        <v>Скачать индивидуальный QR-код магазина</v>
      </c>
    </row>
    <row r="16443" spans="1:7" x14ac:dyDescent="0.25">
      <c r="A16443" t="s">
        <v>49422</v>
      </c>
      <c r="B16443" t="s">
        <v>50257</v>
      </c>
      <c r="C16443" t="s">
        <v>4158</v>
      </c>
      <c r="D16443" t="s">
        <v>4159</v>
      </c>
      <c r="E16443" t="s">
        <v>4160</v>
      </c>
      <c r="F16443" t="s">
        <v>50258</v>
      </c>
      <c r="G16443" s="2" t="str">
        <f>HYPERLINK("https://probpalata.gov.ru/files/ЮЛ770100418900062.jpeg","Скачать индивидуальный QR-код магазина")</f>
        <v>Скачать индивидуальный QR-код магазина</v>
      </c>
    </row>
    <row r="16444" spans="1:7" x14ac:dyDescent="0.25">
      <c r="A16444" t="s">
        <v>49422</v>
      </c>
      <c r="B16444" t="s">
        <v>50259</v>
      </c>
      <c r="C16444" t="s">
        <v>4158</v>
      </c>
      <c r="D16444" t="s">
        <v>4159</v>
      </c>
      <c r="E16444" t="s">
        <v>4160</v>
      </c>
      <c r="F16444" t="s">
        <v>50260</v>
      </c>
      <c r="G16444" s="2" t="str">
        <f>HYPERLINK("https://probpalata.gov.ru/files/ЮЛ770100418900064.jpeg","Скачать индивидуальный QR-код магазина")</f>
        <v>Скачать индивидуальный QR-код магазина</v>
      </c>
    </row>
    <row r="16445" spans="1:7" x14ac:dyDescent="0.25">
      <c r="A16445" t="s">
        <v>49422</v>
      </c>
      <c r="B16445" t="s">
        <v>50261</v>
      </c>
      <c r="C16445" t="s">
        <v>4158</v>
      </c>
      <c r="D16445" t="s">
        <v>4159</v>
      </c>
      <c r="E16445" t="s">
        <v>4160</v>
      </c>
      <c r="F16445" t="s">
        <v>50262</v>
      </c>
      <c r="G16445" s="2" t="str">
        <f>HYPERLINK("https://probpalata.gov.ru/files/ЮЛ770100418900066.jpeg","Скачать индивидуальный QR-код магазина")</f>
        <v>Скачать индивидуальный QR-код магазина</v>
      </c>
    </row>
    <row r="16446" spans="1:7" x14ac:dyDescent="0.25">
      <c r="A16446" t="s">
        <v>49422</v>
      </c>
      <c r="B16446" t="s">
        <v>50102</v>
      </c>
      <c r="C16446" t="s">
        <v>4158</v>
      </c>
      <c r="D16446" t="s">
        <v>4159</v>
      </c>
      <c r="E16446" t="s">
        <v>4160</v>
      </c>
      <c r="F16446" t="s">
        <v>50263</v>
      </c>
      <c r="G16446" s="2" t="str">
        <f>HYPERLINK("https://probpalata.gov.ru/files/ЮЛ770100418900068.jpeg","Скачать индивидуальный QR-код магазина")</f>
        <v>Скачать индивидуальный QR-код магазина</v>
      </c>
    </row>
    <row r="16447" spans="1:7" x14ac:dyDescent="0.25">
      <c r="A16447" t="s">
        <v>49422</v>
      </c>
      <c r="B16447" t="s">
        <v>50264</v>
      </c>
      <c r="C16447" t="s">
        <v>4158</v>
      </c>
      <c r="D16447" t="s">
        <v>4159</v>
      </c>
      <c r="E16447" t="s">
        <v>4160</v>
      </c>
      <c r="F16447" t="s">
        <v>50265</v>
      </c>
      <c r="G16447" s="2" t="str">
        <f>HYPERLINK("https://probpalata.gov.ru/files/ЮЛ770100418900069.jpeg","Скачать индивидуальный QR-код магазина")</f>
        <v>Скачать индивидуальный QR-код магазина</v>
      </c>
    </row>
    <row r="16448" spans="1:7" x14ac:dyDescent="0.25">
      <c r="A16448" t="s">
        <v>50266</v>
      </c>
      <c r="B16448" t="s">
        <v>50267</v>
      </c>
      <c r="C16448" t="s">
        <v>843</v>
      </c>
      <c r="D16448" t="s">
        <v>844</v>
      </c>
      <c r="E16448" t="s">
        <v>845</v>
      </c>
      <c r="F16448" t="s">
        <v>50268</v>
      </c>
      <c r="G16448" s="2" t="str">
        <f>HYPERLINK("https://probpalata.gov.ru/files/ИП250903190200001.jpeg","Скачать индивидуальный QR-код магазина")</f>
        <v>Скачать индивидуальный QR-код магазина</v>
      </c>
    </row>
    <row r="16449" spans="1:7" x14ac:dyDescent="0.25">
      <c r="A16449" t="s">
        <v>50266</v>
      </c>
      <c r="B16449" t="s">
        <v>50269</v>
      </c>
      <c r="C16449" t="s">
        <v>843</v>
      </c>
      <c r="D16449" t="s">
        <v>844</v>
      </c>
      <c r="E16449" t="s">
        <v>845</v>
      </c>
      <c r="F16449" t="s">
        <v>50270</v>
      </c>
      <c r="G16449" s="2" t="str">
        <f>HYPERLINK("https://probpalata.gov.ru/files/ИП250903190200002.jpeg","Скачать индивидуальный QR-код магазина")</f>
        <v>Скачать индивидуальный QR-код магазина</v>
      </c>
    </row>
    <row r="16450" spans="1:7" x14ac:dyDescent="0.25">
      <c r="A16450" t="s">
        <v>50266</v>
      </c>
      <c r="B16450" t="s">
        <v>50271</v>
      </c>
      <c r="C16450" t="s">
        <v>843</v>
      </c>
      <c r="D16450" t="s">
        <v>844</v>
      </c>
      <c r="E16450" t="s">
        <v>845</v>
      </c>
      <c r="F16450" t="s">
        <v>50272</v>
      </c>
      <c r="G16450" s="2" t="str">
        <f>HYPERLINK("https://probpalata.gov.ru/files/ИП250903190200003.jpeg","Скачать индивидуальный QR-код магазина")</f>
        <v>Скачать индивидуальный QR-код магазина</v>
      </c>
    </row>
    <row r="16451" spans="1:7" x14ac:dyDescent="0.25">
      <c r="A16451" t="s">
        <v>50266</v>
      </c>
      <c r="B16451" t="s">
        <v>50273</v>
      </c>
      <c r="C16451" t="s">
        <v>843</v>
      </c>
      <c r="D16451" t="s">
        <v>844</v>
      </c>
      <c r="E16451" t="s">
        <v>845</v>
      </c>
      <c r="F16451" t="s">
        <v>50274</v>
      </c>
      <c r="G16451" s="2" t="str">
        <f>HYPERLINK("https://probpalata.gov.ru/files/ИП250903190200004.jpeg","Скачать индивидуальный QR-код магазина")</f>
        <v>Скачать индивидуальный QR-код магазина</v>
      </c>
    </row>
    <row r="16452" spans="1:7" x14ac:dyDescent="0.25">
      <c r="A16452" t="s">
        <v>50266</v>
      </c>
      <c r="B16452" t="s">
        <v>50275</v>
      </c>
      <c r="C16452" t="s">
        <v>843</v>
      </c>
      <c r="D16452" t="s">
        <v>844</v>
      </c>
      <c r="E16452" t="s">
        <v>845</v>
      </c>
      <c r="F16452" t="s">
        <v>50276</v>
      </c>
      <c r="G16452" s="2" t="str">
        <f>HYPERLINK("https://probpalata.gov.ru/files/ИП250903190200005.jpeg","Скачать индивидуальный QR-код магазина")</f>
        <v>Скачать индивидуальный QR-код магазина</v>
      </c>
    </row>
    <row r="16453" spans="1:7" x14ac:dyDescent="0.25">
      <c r="A16453" t="s">
        <v>50266</v>
      </c>
      <c r="B16453" t="s">
        <v>50277</v>
      </c>
      <c r="C16453" t="s">
        <v>843</v>
      </c>
      <c r="D16453" t="s">
        <v>844</v>
      </c>
      <c r="E16453" t="s">
        <v>845</v>
      </c>
      <c r="F16453" t="s">
        <v>50278</v>
      </c>
      <c r="G16453" s="2" t="str">
        <f>HYPERLINK("https://probpalata.gov.ru/files/ИП250903190200006.jpeg","Скачать индивидуальный QR-код магазина")</f>
        <v>Скачать индивидуальный QR-код магазина</v>
      </c>
    </row>
    <row r="16454" spans="1:7" x14ac:dyDescent="0.25">
      <c r="A16454" t="s">
        <v>50266</v>
      </c>
      <c r="B16454" t="s">
        <v>50279</v>
      </c>
      <c r="C16454" t="s">
        <v>843</v>
      </c>
      <c r="D16454" t="s">
        <v>844</v>
      </c>
      <c r="E16454" t="s">
        <v>845</v>
      </c>
      <c r="F16454" t="s">
        <v>50280</v>
      </c>
      <c r="G16454" s="2" t="str">
        <f>HYPERLINK("https://probpalata.gov.ru/files/ИП250903190200008.jpeg","Скачать индивидуальный QR-код магазина")</f>
        <v>Скачать индивидуальный QR-код магазина</v>
      </c>
    </row>
    <row r="16455" spans="1:7" x14ac:dyDescent="0.25">
      <c r="A16455" t="s">
        <v>50266</v>
      </c>
      <c r="B16455" t="s">
        <v>50281</v>
      </c>
      <c r="C16455" t="s">
        <v>843</v>
      </c>
      <c r="D16455" t="s">
        <v>844</v>
      </c>
      <c r="E16455" t="s">
        <v>845</v>
      </c>
      <c r="F16455" t="s">
        <v>50282</v>
      </c>
      <c r="G16455" s="2" t="str">
        <f>HYPERLINK("https://probpalata.gov.ru/files/ИП250903190200009.jpeg","Скачать индивидуальный QR-код магазина")</f>
        <v>Скачать индивидуальный QR-код магазина</v>
      </c>
    </row>
    <row r="16456" spans="1:7" x14ac:dyDescent="0.25">
      <c r="A16456" t="s">
        <v>50266</v>
      </c>
      <c r="B16456" t="s">
        <v>50283</v>
      </c>
      <c r="C16456" t="s">
        <v>843</v>
      </c>
      <c r="D16456" t="s">
        <v>844</v>
      </c>
      <c r="E16456" t="s">
        <v>845</v>
      </c>
      <c r="F16456" t="s">
        <v>50284</v>
      </c>
      <c r="G16456" s="2" t="str">
        <f>HYPERLINK("https://probpalata.gov.ru/files/ИП250903190200010.jpeg","Скачать индивидуальный QR-код магазина")</f>
        <v>Скачать индивидуальный QR-код магазина</v>
      </c>
    </row>
    <row r="16457" spans="1:7" x14ac:dyDescent="0.25">
      <c r="A16457" t="s">
        <v>50266</v>
      </c>
      <c r="B16457" t="s">
        <v>50285</v>
      </c>
      <c r="C16457" t="s">
        <v>843</v>
      </c>
      <c r="D16457" t="s">
        <v>844</v>
      </c>
      <c r="E16457" t="s">
        <v>845</v>
      </c>
      <c r="F16457" t="s">
        <v>50286</v>
      </c>
      <c r="G16457" s="2" t="str">
        <f>HYPERLINK("https://probpalata.gov.ru/files/ИП250903190200018.jpeg","Скачать индивидуальный QR-код магазина")</f>
        <v>Скачать индивидуальный QR-код магазина</v>
      </c>
    </row>
    <row r="16458" spans="1:7" x14ac:dyDescent="0.25">
      <c r="A16458" t="s">
        <v>50266</v>
      </c>
      <c r="B16458" t="s">
        <v>50287</v>
      </c>
      <c r="C16458" t="s">
        <v>50288</v>
      </c>
      <c r="D16458" t="s">
        <v>50289</v>
      </c>
      <c r="E16458" t="s">
        <v>50290</v>
      </c>
      <c r="F16458" t="s">
        <v>50291</v>
      </c>
      <c r="G16458" s="2" t="str">
        <f>HYPERLINK("https://probpalata.gov.ru/files/ИП270900021200002.jpeg","Скачать индивидуальный QR-код магазина")</f>
        <v>Скачать индивидуальный QR-код магазина</v>
      </c>
    </row>
    <row r="16459" spans="1:7" x14ac:dyDescent="0.25">
      <c r="A16459" t="s">
        <v>50266</v>
      </c>
      <c r="B16459" t="s">
        <v>50292</v>
      </c>
      <c r="C16459" t="s">
        <v>863</v>
      </c>
      <c r="D16459" t="s">
        <v>864</v>
      </c>
      <c r="E16459" t="s">
        <v>865</v>
      </c>
      <c r="F16459" t="s">
        <v>50293</v>
      </c>
      <c r="G16459" s="2" t="str">
        <f>HYPERLINK("https://probpalata.gov.ru/files/ЮЛ270900211200079.jpeg","Скачать индивидуальный QR-код магазина")</f>
        <v>Скачать индивидуальный QR-код магазина</v>
      </c>
    </row>
    <row r="16460" spans="1:7" x14ac:dyDescent="0.25">
      <c r="A16460" t="s">
        <v>50266</v>
      </c>
      <c r="B16460" t="s">
        <v>50294</v>
      </c>
      <c r="C16460" t="s">
        <v>885</v>
      </c>
      <c r="D16460" t="s">
        <v>886</v>
      </c>
      <c r="E16460" t="s">
        <v>887</v>
      </c>
      <c r="F16460" t="s">
        <v>50295</v>
      </c>
      <c r="G16460" s="2" t="str">
        <f>HYPERLINK("https://probpalata.gov.ru/files/ИП270900018300004.jpeg","Скачать индивидуальный QR-код магазина")</f>
        <v>Скачать индивидуальный QR-код магазина</v>
      </c>
    </row>
    <row r="16461" spans="1:7" x14ac:dyDescent="0.25">
      <c r="A16461" t="s">
        <v>50266</v>
      </c>
      <c r="B16461" t="s">
        <v>50296</v>
      </c>
      <c r="C16461" t="s">
        <v>2286</v>
      </c>
      <c r="D16461" t="s">
        <v>50297</v>
      </c>
      <c r="E16461" t="s">
        <v>50298</v>
      </c>
      <c r="F16461" t="s">
        <v>50299</v>
      </c>
      <c r="G16461" s="2" t="str">
        <f>HYPERLINK("https://probpalata.gov.ru/files/ЮЛ650903588000000.jpeg","Скачать индивидуальный QR-код магазина")</f>
        <v>Скачать индивидуальный QR-код магазина</v>
      </c>
    </row>
    <row r="16462" spans="1:7" x14ac:dyDescent="0.25">
      <c r="A16462" t="s">
        <v>50266</v>
      </c>
      <c r="B16462" t="s">
        <v>50300</v>
      </c>
      <c r="C16462" t="s">
        <v>50301</v>
      </c>
      <c r="D16462" t="s">
        <v>50302</v>
      </c>
      <c r="E16462" t="s">
        <v>50303</v>
      </c>
      <c r="F16462" t="s">
        <v>50304</v>
      </c>
      <c r="G16462" s="2" t="str">
        <f>HYPERLINK("https://probpalata.gov.ru/files/ИП650900584500000.jpeg","Скачать индивидуальный QR-код магазина")</f>
        <v>Скачать индивидуальный QR-код магазина</v>
      </c>
    </row>
    <row r="16463" spans="1:7" x14ac:dyDescent="0.25">
      <c r="A16463" t="s">
        <v>50266</v>
      </c>
      <c r="B16463" t="s">
        <v>50305</v>
      </c>
      <c r="C16463" t="s">
        <v>50306</v>
      </c>
      <c r="D16463" t="s">
        <v>50307</v>
      </c>
      <c r="E16463" t="s">
        <v>50308</v>
      </c>
      <c r="F16463" t="s">
        <v>50309</v>
      </c>
      <c r="G16463" s="2" t="str">
        <f>HYPERLINK("https://probpalata.gov.ru/files/ИП650904120400000.jpeg","Скачать индивидуальный QR-код магазина")</f>
        <v>Скачать индивидуальный QR-код магазина</v>
      </c>
    </row>
    <row r="16464" spans="1:7" x14ac:dyDescent="0.25">
      <c r="A16464" t="s">
        <v>50266</v>
      </c>
      <c r="B16464" t="s">
        <v>50310</v>
      </c>
      <c r="C16464" t="s">
        <v>50311</v>
      </c>
      <c r="D16464" t="s">
        <v>50312</v>
      </c>
      <c r="E16464" t="s">
        <v>50313</v>
      </c>
      <c r="F16464" t="s">
        <v>50314</v>
      </c>
      <c r="G16464" s="2" t="str">
        <f>HYPERLINK("https://probpalata.gov.ru/files/ИП650903028300000.jpeg","Скачать индивидуальный QR-код магазина")</f>
        <v>Скачать индивидуальный QR-код магазина</v>
      </c>
    </row>
    <row r="16465" spans="1:7" x14ac:dyDescent="0.25">
      <c r="A16465" t="s">
        <v>50266</v>
      </c>
      <c r="B16465" t="s">
        <v>50315</v>
      </c>
      <c r="C16465" t="s">
        <v>50316</v>
      </c>
      <c r="D16465" t="s">
        <v>50317</v>
      </c>
      <c r="E16465" t="s">
        <v>50318</v>
      </c>
      <c r="F16465" t="s">
        <v>50319</v>
      </c>
      <c r="G16465" s="2" t="str">
        <f>HYPERLINK("https://probpalata.gov.ru/files/ИП650900997100000.jpeg","Скачать индивидуальный QR-код магазина")</f>
        <v>Скачать индивидуальный QR-код магазина</v>
      </c>
    </row>
    <row r="16466" spans="1:7" x14ac:dyDescent="0.25">
      <c r="A16466" t="s">
        <v>50266</v>
      </c>
      <c r="B16466" t="s">
        <v>50320</v>
      </c>
      <c r="C16466" t="s">
        <v>50321</v>
      </c>
      <c r="D16466" t="s">
        <v>50322</v>
      </c>
      <c r="E16466" t="s">
        <v>50323</v>
      </c>
      <c r="F16466" t="s">
        <v>50324</v>
      </c>
      <c r="G16466" s="2" t="str">
        <f>HYPERLINK("https://probpalata.gov.ru/files/ИП650900051100000.jpeg","Скачать индивидуальный QR-код магазина")</f>
        <v>Скачать индивидуальный QR-код магазина</v>
      </c>
    </row>
    <row r="16467" spans="1:7" x14ac:dyDescent="0.25">
      <c r="A16467" t="s">
        <v>50266</v>
      </c>
      <c r="B16467" t="s">
        <v>50325</v>
      </c>
      <c r="C16467" t="s">
        <v>50326</v>
      </c>
      <c r="D16467" t="s">
        <v>50327</v>
      </c>
      <c r="E16467" t="s">
        <v>50328</v>
      </c>
      <c r="F16467" t="s">
        <v>50329</v>
      </c>
      <c r="G16467" s="2" t="str">
        <f>HYPERLINK("https://probpalata.gov.ru/files/ИП650901088000000.jpeg","Скачать индивидуальный QR-код магазина")</f>
        <v>Скачать индивидуальный QR-код магазина</v>
      </c>
    </row>
    <row r="16468" spans="1:7" x14ac:dyDescent="0.25">
      <c r="A16468" t="s">
        <v>50266</v>
      </c>
      <c r="B16468" t="s">
        <v>50330</v>
      </c>
      <c r="C16468" t="s">
        <v>50331</v>
      </c>
      <c r="D16468" t="s">
        <v>50332</v>
      </c>
      <c r="E16468" t="s">
        <v>50333</v>
      </c>
      <c r="F16468" t="s">
        <v>50334</v>
      </c>
      <c r="G16468" s="2" t="str">
        <f>HYPERLINK("https://probpalata.gov.ru/files/ИП650900140800000.jpeg","Скачать индивидуальный QR-код магазина")</f>
        <v>Скачать индивидуальный QR-код магазина</v>
      </c>
    </row>
    <row r="16469" spans="1:7" x14ac:dyDescent="0.25">
      <c r="A16469" t="s">
        <v>50266</v>
      </c>
      <c r="B16469" t="s">
        <v>50335</v>
      </c>
      <c r="C16469" t="s">
        <v>6039</v>
      </c>
      <c r="D16469" t="s">
        <v>6040</v>
      </c>
      <c r="E16469" t="s">
        <v>6041</v>
      </c>
      <c r="F16469" t="s">
        <v>50336</v>
      </c>
      <c r="G16469" s="2" t="str">
        <f>HYPERLINK("https://probpalata.gov.ru/files/ИП770101425100005.jpeg","Скачать индивидуальный QR-код магазина")</f>
        <v>Скачать индивидуальный QR-код магазина</v>
      </c>
    </row>
    <row r="16470" spans="1:7" x14ac:dyDescent="0.25">
      <c r="A16470" t="s">
        <v>50266</v>
      </c>
      <c r="B16470" t="s">
        <v>50337</v>
      </c>
      <c r="C16470" t="s">
        <v>6039</v>
      </c>
      <c r="D16470" t="s">
        <v>6040</v>
      </c>
      <c r="E16470" t="s">
        <v>6041</v>
      </c>
      <c r="F16470" t="s">
        <v>50338</v>
      </c>
      <c r="G16470" s="2" t="str">
        <f>HYPERLINK("https://probpalata.gov.ru/files/ИП770101425100006.jpeg","Скачать индивидуальный QR-код магазина")</f>
        <v>Скачать индивидуальный QR-код магазина</v>
      </c>
    </row>
    <row r="16471" spans="1:7" x14ac:dyDescent="0.25">
      <c r="A16471" t="s">
        <v>50266</v>
      </c>
      <c r="B16471" t="s">
        <v>50339</v>
      </c>
      <c r="C16471" t="s">
        <v>50340</v>
      </c>
      <c r="D16471" t="s">
        <v>50341</v>
      </c>
      <c r="E16471" t="s">
        <v>50342</v>
      </c>
      <c r="F16471" t="s">
        <v>50343</v>
      </c>
      <c r="G16471" s="2" t="str">
        <f>HYPERLINK("https://probpalata.gov.ru/files/ИП650900001300000.jpeg","Скачать индивидуальный QR-код магазина")</f>
        <v>Скачать индивидуальный QR-код магазина</v>
      </c>
    </row>
    <row r="16472" spans="1:7" x14ac:dyDescent="0.25">
      <c r="A16472" t="s">
        <v>50266</v>
      </c>
      <c r="B16472" t="s">
        <v>50344</v>
      </c>
      <c r="C16472" t="s">
        <v>50345</v>
      </c>
      <c r="D16472" t="s">
        <v>50346</v>
      </c>
      <c r="E16472" t="s">
        <v>50347</v>
      </c>
      <c r="F16472" t="s">
        <v>50348</v>
      </c>
      <c r="G16472" s="2" t="str">
        <f>HYPERLINK("https://probpalata.gov.ru/files/ИП650900674000000.jpeg","Скачать индивидуальный QR-код магазина")</f>
        <v>Скачать индивидуальный QR-код магазина</v>
      </c>
    </row>
    <row r="16473" spans="1:7" x14ac:dyDescent="0.25">
      <c r="A16473" t="s">
        <v>50266</v>
      </c>
      <c r="B16473" t="s">
        <v>50349</v>
      </c>
      <c r="C16473" t="s">
        <v>50350</v>
      </c>
      <c r="D16473" t="s">
        <v>50351</v>
      </c>
      <c r="E16473" t="s">
        <v>50352</v>
      </c>
      <c r="F16473" t="s">
        <v>50353</v>
      </c>
      <c r="G16473" s="2" t="str">
        <f>HYPERLINK("https://probpalata.gov.ru/files/ИП650903056200000.jpeg","Скачать индивидуальный QR-код магазина")</f>
        <v>Скачать индивидуальный QR-код магазина</v>
      </c>
    </row>
    <row r="16474" spans="1:7" x14ac:dyDescent="0.25">
      <c r="A16474" t="s">
        <v>50266</v>
      </c>
      <c r="B16474" t="s">
        <v>50354</v>
      </c>
      <c r="C16474" t="s">
        <v>50355</v>
      </c>
      <c r="D16474" t="s">
        <v>50356</v>
      </c>
      <c r="E16474" t="s">
        <v>50357</v>
      </c>
      <c r="F16474" t="s">
        <v>50358</v>
      </c>
      <c r="G16474" s="2" t="str">
        <f>HYPERLINK("https://probpalata.gov.ru/files/ИП650900288900002.jpeg","Скачать индивидуальный QR-код магазина")</f>
        <v>Скачать индивидуальный QR-код магазина</v>
      </c>
    </row>
    <row r="16475" spans="1:7" x14ac:dyDescent="0.25">
      <c r="A16475" t="s">
        <v>50266</v>
      </c>
      <c r="B16475" t="s">
        <v>50359</v>
      </c>
      <c r="C16475" t="s">
        <v>50360</v>
      </c>
      <c r="D16475" t="s">
        <v>50361</v>
      </c>
      <c r="E16475" t="s">
        <v>50362</v>
      </c>
      <c r="F16475" t="s">
        <v>50363</v>
      </c>
      <c r="G16475" s="2" t="str">
        <f>HYPERLINK("https://probpalata.gov.ru/files/ИП650900125400002.jpeg","Скачать индивидуальный QR-код магазина")</f>
        <v>Скачать индивидуальный QR-код магазина</v>
      </c>
    </row>
    <row r="16476" spans="1:7" x14ac:dyDescent="0.25">
      <c r="A16476" t="s">
        <v>50266</v>
      </c>
      <c r="B16476" t="s">
        <v>50364</v>
      </c>
      <c r="C16476" t="s">
        <v>50360</v>
      </c>
      <c r="D16476" t="s">
        <v>50361</v>
      </c>
      <c r="E16476" t="s">
        <v>50362</v>
      </c>
      <c r="F16476" t="s">
        <v>50365</v>
      </c>
      <c r="G16476" s="2" t="str">
        <f>HYPERLINK("https://probpalata.gov.ru/files/ИП650900125400004.jpeg","Скачать индивидуальный QR-код магазина")</f>
        <v>Скачать индивидуальный QR-код магазина</v>
      </c>
    </row>
    <row r="16477" spans="1:7" x14ac:dyDescent="0.25">
      <c r="A16477" t="s">
        <v>50266</v>
      </c>
      <c r="B16477" t="s">
        <v>50366</v>
      </c>
      <c r="C16477" t="s">
        <v>50360</v>
      </c>
      <c r="D16477" t="s">
        <v>50361</v>
      </c>
      <c r="E16477" t="s">
        <v>50362</v>
      </c>
      <c r="F16477" t="s">
        <v>50367</v>
      </c>
      <c r="G16477" s="2" t="str">
        <f>HYPERLINK("https://probpalata.gov.ru/files/ИП650900125400007.jpeg","Скачать индивидуальный QR-код магазина")</f>
        <v>Скачать индивидуальный QR-код магазина</v>
      </c>
    </row>
    <row r="16478" spans="1:7" x14ac:dyDescent="0.25">
      <c r="A16478" t="s">
        <v>50266</v>
      </c>
      <c r="B16478" t="s">
        <v>50368</v>
      </c>
      <c r="C16478" t="s">
        <v>50360</v>
      </c>
      <c r="D16478" t="s">
        <v>50361</v>
      </c>
      <c r="E16478" t="s">
        <v>50362</v>
      </c>
      <c r="F16478" t="s">
        <v>50369</v>
      </c>
      <c r="G16478" s="2" t="str">
        <f>HYPERLINK("https://probpalata.gov.ru/files/ИП650900125400008.jpeg","Скачать индивидуальный QR-код магазина")</f>
        <v>Скачать индивидуальный QR-код магазина</v>
      </c>
    </row>
    <row r="16479" spans="1:7" x14ac:dyDescent="0.25">
      <c r="A16479" t="s">
        <v>50266</v>
      </c>
      <c r="B16479" t="s">
        <v>50370</v>
      </c>
      <c r="C16479" t="s">
        <v>50360</v>
      </c>
      <c r="D16479" t="s">
        <v>50361</v>
      </c>
      <c r="E16479" t="s">
        <v>50362</v>
      </c>
      <c r="F16479" t="s">
        <v>50371</v>
      </c>
      <c r="G16479" s="2" t="str">
        <f>HYPERLINK("https://probpalata.gov.ru/files/ИП650900125400009.jpeg","Скачать индивидуальный QR-код магазина")</f>
        <v>Скачать индивидуальный QR-код магазина</v>
      </c>
    </row>
    <row r="16480" spans="1:7" x14ac:dyDescent="0.25">
      <c r="A16480" t="s">
        <v>50266</v>
      </c>
      <c r="B16480" t="s">
        <v>50372</v>
      </c>
      <c r="C16480" t="s">
        <v>50360</v>
      </c>
      <c r="D16480" t="s">
        <v>50361</v>
      </c>
      <c r="E16480" t="s">
        <v>50362</v>
      </c>
      <c r="F16480" t="s">
        <v>50373</v>
      </c>
      <c r="G16480" s="2" t="str">
        <f>HYPERLINK("https://probpalata.gov.ru/files/ИП650900125400010.jpeg","Скачать индивидуальный QR-код магазина")</f>
        <v>Скачать индивидуальный QR-код магазина</v>
      </c>
    </row>
    <row r="16481" spans="1:7" x14ac:dyDescent="0.25">
      <c r="A16481" t="s">
        <v>50266</v>
      </c>
      <c r="B16481" t="s">
        <v>50374</v>
      </c>
      <c r="C16481" t="s">
        <v>50360</v>
      </c>
      <c r="D16481" t="s">
        <v>50361</v>
      </c>
      <c r="E16481" t="s">
        <v>50362</v>
      </c>
      <c r="F16481" t="s">
        <v>50375</v>
      </c>
      <c r="G16481" s="2" t="str">
        <f>HYPERLINK("https://probpalata.gov.ru/files/ИП650900125400011.jpeg","Скачать индивидуальный QR-код магазина")</f>
        <v>Скачать индивидуальный QR-код магазина</v>
      </c>
    </row>
    <row r="16482" spans="1:7" x14ac:dyDescent="0.25">
      <c r="A16482" t="s">
        <v>50266</v>
      </c>
      <c r="B16482" t="s">
        <v>50376</v>
      </c>
      <c r="C16482" t="s">
        <v>50377</v>
      </c>
      <c r="D16482" t="s">
        <v>50378</v>
      </c>
      <c r="E16482" t="s">
        <v>50379</v>
      </c>
      <c r="F16482" t="s">
        <v>50380</v>
      </c>
      <c r="G16482" s="2" t="str">
        <f>HYPERLINK("https://probpalata.gov.ru/files/ИП650900428200000.jpeg","Скачать индивидуальный QR-код магазина")</f>
        <v>Скачать индивидуальный QR-код магазина</v>
      </c>
    </row>
    <row r="16483" spans="1:7" x14ac:dyDescent="0.25">
      <c r="A16483" t="s">
        <v>50266</v>
      </c>
      <c r="B16483" t="s">
        <v>50381</v>
      </c>
      <c r="C16483" t="s">
        <v>1416</v>
      </c>
      <c r="D16483" t="s">
        <v>1417</v>
      </c>
      <c r="E16483" t="s">
        <v>1418</v>
      </c>
      <c r="F16483" t="s">
        <v>50382</v>
      </c>
      <c r="G16483" s="2" t="str">
        <f>HYPERLINK("https://probpalata.gov.ru/files/ЮЛ770100419400225.jpeg","Скачать индивидуальный QR-код магазина")</f>
        <v>Скачать индивидуальный QR-код магазина</v>
      </c>
    </row>
    <row r="16484" spans="1:7" x14ac:dyDescent="0.25">
      <c r="A16484" t="s">
        <v>50266</v>
      </c>
      <c r="B16484" t="s">
        <v>50383</v>
      </c>
      <c r="C16484" t="s">
        <v>748</v>
      </c>
      <c r="D16484" t="s">
        <v>749</v>
      </c>
      <c r="E16484" t="s">
        <v>750</v>
      </c>
      <c r="F16484" t="s">
        <v>50384</v>
      </c>
      <c r="G16484" s="2" t="str">
        <f>HYPERLINK("https://probpalata.gov.ru/files/ЮЛ770100193500249.jpeg","Скачать индивидуальный QR-код магазина")</f>
        <v>Скачать индивидуальный QR-код магазина</v>
      </c>
    </row>
    <row r="16485" spans="1:7" x14ac:dyDescent="0.25">
      <c r="A16485" t="s">
        <v>50266</v>
      </c>
      <c r="B16485" t="s">
        <v>50385</v>
      </c>
      <c r="C16485" t="s">
        <v>748</v>
      </c>
      <c r="D16485" t="s">
        <v>749</v>
      </c>
      <c r="E16485" t="s">
        <v>750</v>
      </c>
      <c r="F16485" t="s">
        <v>50386</v>
      </c>
      <c r="G16485" s="2" t="str">
        <f>HYPERLINK("https://probpalata.gov.ru/files/ЮЛ770100193500250.jpeg","Скачать индивидуальный QR-код магазина")</f>
        <v>Скачать индивидуальный QR-код магазина</v>
      </c>
    </row>
    <row r="16486" spans="1:7" x14ac:dyDescent="0.25">
      <c r="A16486" t="s">
        <v>50266</v>
      </c>
      <c r="B16486" t="s">
        <v>50387</v>
      </c>
      <c r="C16486" t="s">
        <v>748</v>
      </c>
      <c r="D16486" t="s">
        <v>749</v>
      </c>
      <c r="E16486" t="s">
        <v>750</v>
      </c>
      <c r="F16486" t="s">
        <v>50388</v>
      </c>
      <c r="G16486" s="2" t="str">
        <f>HYPERLINK("https://probpalata.gov.ru/files/ЮЛ770100193500524.jpeg","Скачать индивидуальный QR-код магазина")</f>
        <v>Скачать индивидуальный QR-код магазина</v>
      </c>
    </row>
    <row r="16487" spans="1:7" x14ac:dyDescent="0.25">
      <c r="A16487" t="s">
        <v>50266</v>
      </c>
      <c r="B16487" t="s">
        <v>50389</v>
      </c>
      <c r="C16487" t="s">
        <v>50390</v>
      </c>
      <c r="D16487" t="s">
        <v>50391</v>
      </c>
      <c r="E16487" t="s">
        <v>50392</v>
      </c>
      <c r="F16487" t="s">
        <v>50393</v>
      </c>
      <c r="G16487" s="2" t="str">
        <f>HYPERLINK("https://probpalata.gov.ru/files/ИП770100878500000.jpeg","Скачать индивидуальный QR-код магазина")</f>
        <v>Скачать индивидуальный QR-код магазина</v>
      </c>
    </row>
    <row r="16488" spans="1:7" x14ac:dyDescent="0.25">
      <c r="A16488" t="s">
        <v>50266</v>
      </c>
      <c r="B16488" t="s">
        <v>50394</v>
      </c>
      <c r="C16488" t="s">
        <v>773</v>
      </c>
      <c r="D16488" t="s">
        <v>774</v>
      </c>
      <c r="E16488" t="s">
        <v>775</v>
      </c>
      <c r="F16488" t="s">
        <v>50395</v>
      </c>
      <c r="G16488" s="2" t="str">
        <f>HYPERLINK("https://probpalata.gov.ru/files/ЮЛ780300131300594.jpeg","Скачать индивидуальный QR-код магазина")</f>
        <v>Скачать индивидуальный QR-код магазина</v>
      </c>
    </row>
    <row r="16489" spans="1:7" x14ac:dyDescent="0.25">
      <c r="A16489" t="s">
        <v>50266</v>
      </c>
      <c r="B16489" t="s">
        <v>50394</v>
      </c>
      <c r="C16489" t="s">
        <v>4077</v>
      </c>
      <c r="D16489" t="s">
        <v>4078</v>
      </c>
      <c r="E16489" t="s">
        <v>4079</v>
      </c>
      <c r="F16489" t="s">
        <v>50396</v>
      </c>
      <c r="G16489" s="2" t="str">
        <f>HYPERLINK("https://probpalata.gov.ru/files/ЮЛ780300331800114.jpeg","Скачать индивидуальный QR-код магазина")</f>
        <v>Скачать индивидуальный QR-код магазина</v>
      </c>
    </row>
    <row r="16490" spans="1:7" x14ac:dyDescent="0.25">
      <c r="A16490" t="s">
        <v>50266</v>
      </c>
      <c r="B16490" t="s">
        <v>50394</v>
      </c>
      <c r="C16490" t="s">
        <v>798</v>
      </c>
      <c r="D16490" t="s">
        <v>799</v>
      </c>
      <c r="E16490" t="s">
        <v>800</v>
      </c>
      <c r="F16490" t="s">
        <v>50397</v>
      </c>
      <c r="G16490" s="2" t="str">
        <f>HYPERLINK("https://probpalata.gov.ru/files/ЮЛ780300308201039.jpeg","Скачать индивидуальный QR-код магазина")</f>
        <v>Скачать индивидуальный QR-код магазина</v>
      </c>
    </row>
    <row r="16491" spans="1:7" x14ac:dyDescent="0.25">
      <c r="A16491" t="s">
        <v>50266</v>
      </c>
      <c r="B16491" t="s">
        <v>50398</v>
      </c>
      <c r="C16491" t="s">
        <v>798</v>
      </c>
      <c r="D16491" t="s">
        <v>799</v>
      </c>
      <c r="E16491" t="s">
        <v>800</v>
      </c>
      <c r="F16491" t="s">
        <v>50399</v>
      </c>
      <c r="G16491" s="2" t="str">
        <f>HYPERLINK("https://probpalata.gov.ru/files/ЮЛ780300308201100.jpeg","Скачать индивидуальный QR-код магазина")</f>
        <v>Скачать индивидуальный QR-код магазина</v>
      </c>
    </row>
    <row r="16492" spans="1:7" x14ac:dyDescent="0.25">
      <c r="A16492" t="s">
        <v>50266</v>
      </c>
      <c r="B16492" t="s">
        <v>50400</v>
      </c>
      <c r="C16492" t="s">
        <v>798</v>
      </c>
      <c r="D16492" t="s">
        <v>799</v>
      </c>
      <c r="E16492" t="s">
        <v>800</v>
      </c>
      <c r="F16492" t="s">
        <v>50401</v>
      </c>
      <c r="G16492" s="2" t="str">
        <f>HYPERLINK("https://probpalata.gov.ru/files/ЮЛ780300308201181.jpeg","Скачать индивидуальный QR-код магазина")</f>
        <v>Скачать индивидуальный QR-код магазина</v>
      </c>
    </row>
    <row r="16493" spans="1:7" x14ac:dyDescent="0.25">
      <c r="A16493" t="s">
        <v>50266</v>
      </c>
      <c r="B16493" t="s">
        <v>50402</v>
      </c>
      <c r="C16493" t="s">
        <v>1501</v>
      </c>
      <c r="D16493" t="s">
        <v>1502</v>
      </c>
      <c r="E16493" t="s">
        <v>1503</v>
      </c>
      <c r="F16493" t="s">
        <v>50403</v>
      </c>
      <c r="G16493" s="2" t="str">
        <f>HYPERLINK("https://probpalata.gov.ru/files/ЮЛ770100439200267.jpeg","Скачать индивидуальный QR-код магазина")</f>
        <v>Скачать индивидуальный QR-код магазина</v>
      </c>
    </row>
    <row r="16494" spans="1:7" x14ac:dyDescent="0.25">
      <c r="A16494" t="s">
        <v>50404</v>
      </c>
      <c r="B16494" t="s">
        <v>50405</v>
      </c>
      <c r="C16494" t="s">
        <v>50406</v>
      </c>
      <c r="D16494" t="s">
        <v>50407</v>
      </c>
      <c r="E16494" t="s">
        <v>50408</v>
      </c>
      <c r="F16494" t="s">
        <v>50409</v>
      </c>
      <c r="G16494" s="2" t="str">
        <f>HYPERLINK("https://probpalata.gov.ru/files/ИП660703949600000.jpeg","Скачать индивидуальный QR-код магазина")</f>
        <v>Скачать индивидуальный QR-код магазина</v>
      </c>
    </row>
    <row r="16495" spans="1:7" x14ac:dyDescent="0.25">
      <c r="A16495" t="s">
        <v>50404</v>
      </c>
      <c r="B16495" t="s">
        <v>50410</v>
      </c>
      <c r="C16495" t="s">
        <v>50411</v>
      </c>
      <c r="D16495" t="s">
        <v>50412</v>
      </c>
      <c r="E16495" t="s">
        <v>50413</v>
      </c>
      <c r="F16495" t="s">
        <v>50414</v>
      </c>
      <c r="G16495" s="2" t="str">
        <f>HYPERLINK("https://probpalata.gov.ru/files/ИП020603494800000.jpeg","Скачать индивидуальный QR-код магазина")</f>
        <v>Скачать индивидуальный QR-код магазина</v>
      </c>
    </row>
    <row r="16496" spans="1:7" x14ac:dyDescent="0.25">
      <c r="A16496" t="s">
        <v>50404</v>
      </c>
      <c r="B16496" t="s">
        <v>50415</v>
      </c>
      <c r="C16496" t="s">
        <v>41931</v>
      </c>
      <c r="D16496" t="s">
        <v>41932</v>
      </c>
      <c r="E16496" t="s">
        <v>41933</v>
      </c>
      <c r="F16496" t="s">
        <v>50416</v>
      </c>
      <c r="G16496" s="2" t="str">
        <f>HYPERLINK("https://probpalata.gov.ru/files/ЮЛ160600138900001.jpeg","Скачать индивидуальный QR-код магазина")</f>
        <v>Скачать индивидуальный QR-код магазина</v>
      </c>
    </row>
    <row r="16497" spans="1:7" x14ac:dyDescent="0.25">
      <c r="A16497" t="s">
        <v>50404</v>
      </c>
      <c r="B16497" t="s">
        <v>50417</v>
      </c>
      <c r="C16497" t="s">
        <v>41931</v>
      </c>
      <c r="D16497" t="s">
        <v>41932</v>
      </c>
      <c r="E16497" t="s">
        <v>41933</v>
      </c>
      <c r="F16497" t="s">
        <v>50418</v>
      </c>
      <c r="G16497" s="2" t="str">
        <f>HYPERLINK("https://probpalata.gov.ru/files/ЮЛ160600138900003.jpeg","Скачать индивидуальный QR-код магазина")</f>
        <v>Скачать индивидуальный QR-код магазина</v>
      </c>
    </row>
    <row r="16498" spans="1:7" x14ac:dyDescent="0.25">
      <c r="A16498" t="s">
        <v>50404</v>
      </c>
      <c r="B16498" t="s">
        <v>50419</v>
      </c>
      <c r="C16498" t="s">
        <v>41931</v>
      </c>
      <c r="D16498" t="s">
        <v>41932</v>
      </c>
      <c r="E16498" t="s">
        <v>41933</v>
      </c>
      <c r="F16498" t="s">
        <v>50420</v>
      </c>
      <c r="G16498" s="2" t="str">
        <f>HYPERLINK("https://probpalata.gov.ru/files/ЮЛ160600138900004.jpeg","Скачать индивидуальный QR-код магазина")</f>
        <v>Скачать индивидуальный QR-код магазина</v>
      </c>
    </row>
    <row r="16499" spans="1:7" x14ac:dyDescent="0.25">
      <c r="A16499" t="s">
        <v>50404</v>
      </c>
      <c r="B16499" t="s">
        <v>50421</v>
      </c>
      <c r="C16499" t="s">
        <v>41931</v>
      </c>
      <c r="D16499" t="s">
        <v>41932</v>
      </c>
      <c r="E16499" t="s">
        <v>41933</v>
      </c>
      <c r="F16499" t="s">
        <v>50422</v>
      </c>
      <c r="G16499" s="2" t="str">
        <f>HYPERLINK("https://probpalata.gov.ru/files/ЮЛ160600138900005.jpeg","Скачать индивидуальный QR-код магазина")</f>
        <v>Скачать индивидуальный QR-код магазина</v>
      </c>
    </row>
    <row r="16500" spans="1:7" x14ac:dyDescent="0.25">
      <c r="A16500" t="s">
        <v>50404</v>
      </c>
      <c r="B16500" t="s">
        <v>50423</v>
      </c>
      <c r="C16500" t="s">
        <v>41931</v>
      </c>
      <c r="D16500" t="s">
        <v>41932</v>
      </c>
      <c r="E16500" t="s">
        <v>41933</v>
      </c>
      <c r="F16500" t="s">
        <v>50424</v>
      </c>
      <c r="G16500" s="2" t="str">
        <f>HYPERLINK("https://probpalata.gov.ru/files/ЮЛ160600138900006.jpeg","Скачать индивидуальный QR-код магазина")</f>
        <v>Скачать индивидуальный QR-код магазина</v>
      </c>
    </row>
    <row r="16501" spans="1:7" x14ac:dyDescent="0.25">
      <c r="A16501" t="s">
        <v>50404</v>
      </c>
      <c r="B16501" t="s">
        <v>50425</v>
      </c>
      <c r="C16501" t="s">
        <v>41931</v>
      </c>
      <c r="D16501" t="s">
        <v>41932</v>
      </c>
      <c r="E16501" t="s">
        <v>41933</v>
      </c>
      <c r="F16501" t="s">
        <v>50426</v>
      </c>
      <c r="G16501" s="2" t="str">
        <f>HYPERLINK("https://probpalata.gov.ru/files/ЮЛ160600138900007.jpeg","Скачать индивидуальный QR-код магазина")</f>
        <v>Скачать индивидуальный QR-код магазина</v>
      </c>
    </row>
    <row r="16502" spans="1:7" x14ac:dyDescent="0.25">
      <c r="A16502" t="s">
        <v>50404</v>
      </c>
      <c r="B16502" t="s">
        <v>50427</v>
      </c>
      <c r="C16502" t="s">
        <v>41931</v>
      </c>
      <c r="D16502" t="s">
        <v>41932</v>
      </c>
      <c r="E16502" t="s">
        <v>41933</v>
      </c>
      <c r="F16502" t="s">
        <v>50428</v>
      </c>
      <c r="G16502" s="2" t="str">
        <f>HYPERLINK("https://probpalata.gov.ru/files/ЮЛ160600138900008.jpeg","Скачать индивидуальный QR-код магазина")</f>
        <v>Скачать индивидуальный QR-код магазина</v>
      </c>
    </row>
    <row r="16503" spans="1:7" x14ac:dyDescent="0.25">
      <c r="A16503" t="s">
        <v>50404</v>
      </c>
      <c r="B16503" t="s">
        <v>50429</v>
      </c>
      <c r="C16503" t="s">
        <v>41931</v>
      </c>
      <c r="D16503" t="s">
        <v>41932</v>
      </c>
      <c r="E16503" t="s">
        <v>41933</v>
      </c>
      <c r="F16503" t="s">
        <v>50430</v>
      </c>
      <c r="G16503" s="2" t="str">
        <f>HYPERLINK("https://probpalata.gov.ru/files/ЮЛ160600138900009.jpeg","Скачать индивидуальный QR-код магазина")</f>
        <v>Скачать индивидуальный QR-код магазина</v>
      </c>
    </row>
    <row r="16504" spans="1:7" x14ac:dyDescent="0.25">
      <c r="A16504" t="s">
        <v>50404</v>
      </c>
      <c r="B16504" t="s">
        <v>50431</v>
      </c>
      <c r="C16504" t="s">
        <v>41931</v>
      </c>
      <c r="D16504" t="s">
        <v>41932</v>
      </c>
      <c r="E16504" t="s">
        <v>41933</v>
      </c>
      <c r="F16504" t="s">
        <v>50432</v>
      </c>
      <c r="G16504" s="2" t="str">
        <f>HYPERLINK("https://probpalata.gov.ru/files/ЮЛ160600138900010.jpeg","Скачать индивидуальный QR-код магазина")</f>
        <v>Скачать индивидуальный QR-код магазина</v>
      </c>
    </row>
    <row r="16505" spans="1:7" x14ac:dyDescent="0.25">
      <c r="A16505" t="s">
        <v>50404</v>
      </c>
      <c r="B16505" t="s">
        <v>50433</v>
      </c>
      <c r="C16505" t="s">
        <v>41931</v>
      </c>
      <c r="D16505" t="s">
        <v>41932</v>
      </c>
      <c r="E16505" t="s">
        <v>41933</v>
      </c>
      <c r="F16505" t="s">
        <v>50434</v>
      </c>
      <c r="G16505" s="2" t="str">
        <f>HYPERLINK("https://probpalata.gov.ru/files/ЮЛ160600138900011.jpeg","Скачать индивидуальный QR-код магазина")</f>
        <v>Скачать индивидуальный QR-код магазина</v>
      </c>
    </row>
    <row r="16506" spans="1:7" x14ac:dyDescent="0.25">
      <c r="A16506" t="s">
        <v>50404</v>
      </c>
      <c r="B16506" t="s">
        <v>50435</v>
      </c>
      <c r="C16506" t="s">
        <v>41931</v>
      </c>
      <c r="D16506" t="s">
        <v>41932</v>
      </c>
      <c r="E16506" t="s">
        <v>41933</v>
      </c>
      <c r="F16506" t="s">
        <v>50436</v>
      </c>
      <c r="G16506" s="2" t="str">
        <f>HYPERLINK("https://probpalata.gov.ru/files/ЮЛ160600138900012.jpeg","Скачать индивидуальный QR-код магазина")</f>
        <v>Скачать индивидуальный QR-код магазина</v>
      </c>
    </row>
    <row r="16507" spans="1:7" x14ac:dyDescent="0.25">
      <c r="A16507" t="s">
        <v>50404</v>
      </c>
      <c r="B16507" t="s">
        <v>50437</v>
      </c>
      <c r="C16507" t="s">
        <v>41931</v>
      </c>
      <c r="D16507" t="s">
        <v>41932</v>
      </c>
      <c r="E16507" t="s">
        <v>41933</v>
      </c>
      <c r="F16507" t="s">
        <v>50438</v>
      </c>
      <c r="G16507" s="2" t="str">
        <f>HYPERLINK("https://probpalata.gov.ru/files/ЮЛ160600138900013.jpeg","Скачать индивидуальный QR-код магазина")</f>
        <v>Скачать индивидуальный QR-код магазина</v>
      </c>
    </row>
    <row r="16508" spans="1:7" x14ac:dyDescent="0.25">
      <c r="A16508" t="s">
        <v>50404</v>
      </c>
      <c r="B16508" t="s">
        <v>50439</v>
      </c>
      <c r="C16508" t="s">
        <v>41931</v>
      </c>
      <c r="D16508" t="s">
        <v>41932</v>
      </c>
      <c r="E16508" t="s">
        <v>41933</v>
      </c>
      <c r="F16508" t="s">
        <v>50440</v>
      </c>
      <c r="G16508" s="2" t="str">
        <f>HYPERLINK("https://probpalata.gov.ru/files/ЮЛ160600138900014.jpeg","Скачать индивидуальный QR-код магазина")</f>
        <v>Скачать индивидуальный QR-код магазина</v>
      </c>
    </row>
    <row r="16509" spans="1:7" x14ac:dyDescent="0.25">
      <c r="A16509" t="s">
        <v>50404</v>
      </c>
      <c r="B16509" t="s">
        <v>50441</v>
      </c>
      <c r="C16509" t="s">
        <v>41931</v>
      </c>
      <c r="D16509" t="s">
        <v>41932</v>
      </c>
      <c r="E16509" t="s">
        <v>41933</v>
      </c>
      <c r="F16509" t="s">
        <v>50442</v>
      </c>
      <c r="G16509" s="2" t="str">
        <f>HYPERLINK("https://probpalata.gov.ru/files/ЮЛ160600138900015.jpeg","Скачать индивидуальный QR-код магазина")</f>
        <v>Скачать индивидуальный QR-код магазина</v>
      </c>
    </row>
    <row r="16510" spans="1:7" x14ac:dyDescent="0.25">
      <c r="A16510" t="s">
        <v>50404</v>
      </c>
      <c r="B16510" t="s">
        <v>50443</v>
      </c>
      <c r="C16510" t="s">
        <v>13224</v>
      </c>
      <c r="D16510" t="s">
        <v>13225</v>
      </c>
      <c r="E16510" t="s">
        <v>13226</v>
      </c>
      <c r="F16510" t="s">
        <v>50444</v>
      </c>
      <c r="G16510" s="2" t="str">
        <f>HYPERLINK("https://probpalata.gov.ru/files/ИП160603156900009.jpeg","Скачать индивидуальный QR-код магазина")</f>
        <v>Скачать индивидуальный QR-код магазина</v>
      </c>
    </row>
    <row r="16511" spans="1:7" x14ac:dyDescent="0.25">
      <c r="A16511" t="s">
        <v>50404</v>
      </c>
      <c r="B16511" t="s">
        <v>50445</v>
      </c>
      <c r="C16511" t="s">
        <v>50446</v>
      </c>
      <c r="D16511" t="s">
        <v>50447</v>
      </c>
      <c r="E16511" t="s">
        <v>50448</v>
      </c>
      <c r="F16511" t="s">
        <v>50449</v>
      </c>
      <c r="G16511" s="2" t="str">
        <f>HYPERLINK("https://probpalata.gov.ru/files/ИП660701066800000.jpeg","Скачать индивидуальный QR-код магазина")</f>
        <v>Скачать индивидуальный QR-код магазина</v>
      </c>
    </row>
    <row r="16512" spans="1:7" x14ac:dyDescent="0.25">
      <c r="A16512" t="s">
        <v>50404</v>
      </c>
      <c r="B16512" t="s">
        <v>50450</v>
      </c>
      <c r="C16512" t="s">
        <v>14558</v>
      </c>
      <c r="D16512" t="s">
        <v>14559</v>
      </c>
      <c r="E16512" t="s">
        <v>14560</v>
      </c>
      <c r="F16512" t="s">
        <v>50451</v>
      </c>
      <c r="G16512" s="2" t="str">
        <f>HYPERLINK("https://probpalata.gov.ru/files/ЮЛ240800183000006.jpeg","Скачать индивидуальный QR-код магазина")</f>
        <v>Скачать индивидуальный QR-код магазина</v>
      </c>
    </row>
    <row r="16513" spans="1:7" x14ac:dyDescent="0.25">
      <c r="A16513" t="s">
        <v>50404</v>
      </c>
      <c r="B16513" t="s">
        <v>50452</v>
      </c>
      <c r="C16513" t="s">
        <v>14558</v>
      </c>
      <c r="D16513" t="s">
        <v>14559</v>
      </c>
      <c r="E16513" t="s">
        <v>14560</v>
      </c>
      <c r="F16513" t="s">
        <v>50453</v>
      </c>
      <c r="G16513" s="2" t="str">
        <f>HYPERLINK("https://probpalata.gov.ru/files/ЮЛ240800183000007.jpeg","Скачать индивидуальный QR-код магазина")</f>
        <v>Скачать индивидуальный QR-код магазина</v>
      </c>
    </row>
    <row r="16514" spans="1:7" x14ac:dyDescent="0.25">
      <c r="A16514" t="s">
        <v>50404</v>
      </c>
      <c r="B16514" t="s">
        <v>50454</v>
      </c>
      <c r="C16514" t="s">
        <v>14558</v>
      </c>
      <c r="D16514" t="s">
        <v>14559</v>
      </c>
      <c r="E16514" t="s">
        <v>14560</v>
      </c>
      <c r="F16514" t="s">
        <v>50455</v>
      </c>
      <c r="G16514" s="2" t="str">
        <f>HYPERLINK("https://probpalata.gov.ru/files/ЮЛ240800183000008.jpeg","Скачать индивидуальный QR-код магазина")</f>
        <v>Скачать индивидуальный QR-код магазина</v>
      </c>
    </row>
    <row r="16515" spans="1:7" x14ac:dyDescent="0.25">
      <c r="A16515" t="s">
        <v>50404</v>
      </c>
      <c r="B16515" t="s">
        <v>50456</v>
      </c>
      <c r="C16515" t="s">
        <v>14558</v>
      </c>
      <c r="D16515" t="s">
        <v>14559</v>
      </c>
      <c r="E16515" t="s">
        <v>14560</v>
      </c>
      <c r="F16515" t="s">
        <v>50457</v>
      </c>
      <c r="G16515" s="2" t="str">
        <f>HYPERLINK("https://probpalata.gov.ru/files/ЮЛ240800183000074.jpeg","Скачать индивидуальный QR-код магазина")</f>
        <v>Скачать индивидуальный QR-код магазина</v>
      </c>
    </row>
    <row r="16516" spans="1:7" x14ac:dyDescent="0.25">
      <c r="A16516" t="s">
        <v>50404</v>
      </c>
      <c r="B16516" t="s">
        <v>50458</v>
      </c>
      <c r="C16516" t="s">
        <v>14558</v>
      </c>
      <c r="D16516" t="s">
        <v>14559</v>
      </c>
      <c r="E16516" t="s">
        <v>14560</v>
      </c>
      <c r="F16516" t="s">
        <v>50459</v>
      </c>
      <c r="G16516" s="2" t="str">
        <f>HYPERLINK("https://probpalata.gov.ru/files/ЮЛ240800183000077.jpeg","Скачать индивидуальный QR-код магазина")</f>
        <v>Скачать индивидуальный QR-код магазина</v>
      </c>
    </row>
    <row r="16517" spans="1:7" x14ac:dyDescent="0.25">
      <c r="A16517" t="s">
        <v>50404</v>
      </c>
      <c r="B16517" t="s">
        <v>50460</v>
      </c>
      <c r="C16517" t="s">
        <v>14558</v>
      </c>
      <c r="D16517" t="s">
        <v>14559</v>
      </c>
      <c r="E16517" t="s">
        <v>14560</v>
      </c>
      <c r="F16517" t="s">
        <v>50461</v>
      </c>
      <c r="G16517" s="2" t="str">
        <f>HYPERLINK("https://probpalata.gov.ru/files/ЮЛ240800183000078.jpeg","Скачать индивидуальный QR-код магазина")</f>
        <v>Скачать индивидуальный QR-код магазина</v>
      </c>
    </row>
    <row r="16518" spans="1:7" x14ac:dyDescent="0.25">
      <c r="A16518" t="s">
        <v>50404</v>
      </c>
      <c r="B16518" t="s">
        <v>50462</v>
      </c>
      <c r="C16518" t="s">
        <v>14558</v>
      </c>
      <c r="D16518" t="s">
        <v>14559</v>
      </c>
      <c r="E16518" t="s">
        <v>14560</v>
      </c>
      <c r="F16518" t="s">
        <v>50463</v>
      </c>
      <c r="G16518" s="2" t="str">
        <f>HYPERLINK("https://probpalata.gov.ru/files/ЮЛ240800183000093.jpeg","Скачать индивидуальный QR-код магазина")</f>
        <v>Скачать индивидуальный QR-код магазина</v>
      </c>
    </row>
    <row r="16519" spans="1:7" x14ac:dyDescent="0.25">
      <c r="A16519" t="s">
        <v>50404</v>
      </c>
      <c r="B16519" t="s">
        <v>50464</v>
      </c>
      <c r="C16519" t="s">
        <v>30207</v>
      </c>
      <c r="D16519" t="s">
        <v>30208</v>
      </c>
      <c r="E16519" t="s">
        <v>30209</v>
      </c>
      <c r="F16519" t="s">
        <v>50465</v>
      </c>
      <c r="G16519" s="2" t="str">
        <f>HYPERLINK("https://probpalata.gov.ru/files/ИП370200423500009.jpeg","Скачать индивидуальный QR-код магазина")</f>
        <v>Скачать индивидуальный QR-код магазина</v>
      </c>
    </row>
    <row r="16520" spans="1:7" x14ac:dyDescent="0.25">
      <c r="A16520" t="s">
        <v>50404</v>
      </c>
      <c r="B16520" t="s">
        <v>50466</v>
      </c>
      <c r="C16520" t="s">
        <v>50467</v>
      </c>
      <c r="D16520" t="s">
        <v>50468</v>
      </c>
      <c r="E16520" t="s">
        <v>50469</v>
      </c>
      <c r="F16520" t="s">
        <v>50470</v>
      </c>
      <c r="G16520" s="2" t="str">
        <f>HYPERLINK("https://probpalata.gov.ru/files/ИП440200649100016.jpeg","Скачать индивидуальный QR-код магазина")</f>
        <v>Скачать индивидуальный QR-код магазина</v>
      </c>
    </row>
    <row r="16521" spans="1:7" x14ac:dyDescent="0.25">
      <c r="A16521" t="s">
        <v>50404</v>
      </c>
      <c r="B16521" t="s">
        <v>50471</v>
      </c>
      <c r="C16521" t="s">
        <v>50467</v>
      </c>
      <c r="D16521" t="s">
        <v>50468</v>
      </c>
      <c r="E16521" t="s">
        <v>50469</v>
      </c>
      <c r="F16521" t="s">
        <v>50472</v>
      </c>
      <c r="G16521" s="2" t="str">
        <f>HYPERLINK("https://probpalata.gov.ru/files/ИП440200649100017.jpeg","Скачать индивидуальный QR-код магазина")</f>
        <v>Скачать индивидуальный QR-код магазина</v>
      </c>
    </row>
    <row r="16522" spans="1:7" x14ac:dyDescent="0.25">
      <c r="A16522" t="s">
        <v>50404</v>
      </c>
      <c r="B16522" t="s">
        <v>50473</v>
      </c>
      <c r="C16522" t="s">
        <v>50467</v>
      </c>
      <c r="D16522" t="s">
        <v>50468</v>
      </c>
      <c r="E16522" t="s">
        <v>50469</v>
      </c>
      <c r="F16522" t="s">
        <v>50474</v>
      </c>
      <c r="G16522" s="2" t="str">
        <f>HYPERLINK("https://probpalata.gov.ru/files/ИП440200649100020.jpeg","Скачать индивидуальный QR-код магазина")</f>
        <v>Скачать индивидуальный QR-код магазина</v>
      </c>
    </row>
    <row r="16523" spans="1:7" x14ac:dyDescent="0.25">
      <c r="A16523" t="s">
        <v>50404</v>
      </c>
      <c r="B16523" t="s">
        <v>50475</v>
      </c>
      <c r="C16523" t="s">
        <v>50467</v>
      </c>
      <c r="D16523" t="s">
        <v>50468</v>
      </c>
      <c r="E16523" t="s">
        <v>50469</v>
      </c>
      <c r="F16523" t="s">
        <v>50476</v>
      </c>
      <c r="G16523" s="2" t="str">
        <f>HYPERLINK("https://probpalata.gov.ru/files/ИП440200649100022.jpeg","Скачать индивидуальный QR-код магазина")</f>
        <v>Скачать индивидуальный QR-код магазина</v>
      </c>
    </row>
    <row r="16524" spans="1:7" x14ac:dyDescent="0.25">
      <c r="A16524" t="s">
        <v>50404</v>
      </c>
      <c r="B16524" t="s">
        <v>50477</v>
      </c>
      <c r="C16524" t="s">
        <v>50467</v>
      </c>
      <c r="D16524" t="s">
        <v>50468</v>
      </c>
      <c r="E16524" t="s">
        <v>50469</v>
      </c>
      <c r="F16524" t="s">
        <v>50478</v>
      </c>
      <c r="G16524" s="2" t="str">
        <f>HYPERLINK("https://probpalata.gov.ru/files/ИП440200649100023.jpeg","Скачать индивидуальный QR-код магазина")</f>
        <v>Скачать индивидуальный QR-код магазина</v>
      </c>
    </row>
    <row r="16525" spans="1:7" x14ac:dyDescent="0.25">
      <c r="A16525" t="s">
        <v>50404</v>
      </c>
      <c r="B16525" t="s">
        <v>50479</v>
      </c>
      <c r="C16525" t="s">
        <v>50480</v>
      </c>
      <c r="D16525" t="s">
        <v>50481</v>
      </c>
      <c r="E16525" t="s">
        <v>50482</v>
      </c>
      <c r="F16525" t="s">
        <v>50483</v>
      </c>
      <c r="G16525" s="2" t="str">
        <f>HYPERLINK("https://probpalata.gov.ru/files/ЮЛ440200039500000.jpeg","Скачать индивидуальный QR-код магазина")</f>
        <v>Скачать индивидуальный QR-код магазина</v>
      </c>
    </row>
    <row r="16526" spans="1:7" x14ac:dyDescent="0.25">
      <c r="A16526" t="s">
        <v>50404</v>
      </c>
      <c r="B16526" t="s">
        <v>50484</v>
      </c>
      <c r="C16526" t="s">
        <v>17058</v>
      </c>
      <c r="D16526" t="s">
        <v>17059</v>
      </c>
      <c r="E16526" t="s">
        <v>17060</v>
      </c>
      <c r="F16526" t="s">
        <v>50485</v>
      </c>
      <c r="G16526" s="2" t="str">
        <f>HYPERLINK("https://probpalata.gov.ru/files/ИП450700812200006.jpeg","Скачать индивидуальный QR-код магазина")</f>
        <v>Скачать индивидуальный QR-код магазина</v>
      </c>
    </row>
    <row r="16527" spans="1:7" x14ac:dyDescent="0.25">
      <c r="A16527" t="s">
        <v>50404</v>
      </c>
      <c r="B16527" t="s">
        <v>50486</v>
      </c>
      <c r="C16527" t="s">
        <v>50487</v>
      </c>
      <c r="D16527" t="s">
        <v>50488</v>
      </c>
      <c r="E16527" t="s">
        <v>50489</v>
      </c>
      <c r="F16527" t="s">
        <v>50490</v>
      </c>
      <c r="G16527" s="2" t="str">
        <f>HYPERLINK("https://probpalata.gov.ru/files/ИП450701945200000.jpeg","Скачать индивидуальный QR-код магазина")</f>
        <v>Скачать индивидуальный QR-код магазина</v>
      </c>
    </row>
    <row r="16528" spans="1:7" x14ac:dyDescent="0.25">
      <c r="A16528" t="s">
        <v>50404</v>
      </c>
      <c r="B16528" t="s">
        <v>50491</v>
      </c>
      <c r="C16528" t="s">
        <v>50487</v>
      </c>
      <c r="D16528" t="s">
        <v>50488</v>
      </c>
      <c r="E16528" t="s">
        <v>50489</v>
      </c>
      <c r="F16528" t="s">
        <v>50492</v>
      </c>
      <c r="G16528" s="2" t="str">
        <f>HYPERLINK("https://probpalata.gov.ru/files/ИП450701945200001.jpeg","Скачать индивидуальный QR-код магазина")</f>
        <v>Скачать индивидуальный QR-код магазина</v>
      </c>
    </row>
    <row r="16529" spans="1:7" x14ac:dyDescent="0.25">
      <c r="A16529" t="s">
        <v>50404</v>
      </c>
      <c r="B16529" t="s">
        <v>50493</v>
      </c>
      <c r="C16529" t="s">
        <v>50487</v>
      </c>
      <c r="D16529" t="s">
        <v>50488</v>
      </c>
      <c r="E16529" t="s">
        <v>50489</v>
      </c>
      <c r="F16529" t="s">
        <v>50494</v>
      </c>
      <c r="G16529" s="2" t="str">
        <f>HYPERLINK("https://probpalata.gov.ru/files/ИП450701945200002.jpeg","Скачать индивидуальный QR-код магазина")</f>
        <v>Скачать индивидуальный QR-код магазина</v>
      </c>
    </row>
    <row r="16530" spans="1:7" x14ac:dyDescent="0.25">
      <c r="A16530" t="s">
        <v>50404</v>
      </c>
      <c r="B16530" t="s">
        <v>50495</v>
      </c>
      <c r="C16530" t="s">
        <v>50496</v>
      </c>
      <c r="D16530" t="s">
        <v>50497</v>
      </c>
      <c r="E16530" t="s">
        <v>50498</v>
      </c>
      <c r="F16530" t="s">
        <v>50499</v>
      </c>
      <c r="G16530" s="2" t="str">
        <f>HYPERLINK("https://probpalata.gov.ru/files/ИП450701740900000.jpeg","Скачать индивидуальный QR-код магазина")</f>
        <v>Скачать индивидуальный QR-код магазина</v>
      </c>
    </row>
    <row r="16531" spans="1:7" x14ac:dyDescent="0.25">
      <c r="A16531" t="s">
        <v>50404</v>
      </c>
      <c r="B16531" t="s">
        <v>50500</v>
      </c>
      <c r="C16531" t="s">
        <v>3761</v>
      </c>
      <c r="D16531" t="s">
        <v>3762</v>
      </c>
      <c r="E16531" t="s">
        <v>3763</v>
      </c>
      <c r="F16531" t="s">
        <v>50501</v>
      </c>
      <c r="G16531" s="2" t="str">
        <f>HYPERLINK("https://probpalata.gov.ru/files/ЮЛ470300219500008.jpeg","Скачать индивидуальный QR-код магазина")</f>
        <v>Скачать индивидуальный QR-код магазина</v>
      </c>
    </row>
    <row r="16532" spans="1:7" x14ac:dyDescent="0.25">
      <c r="A16532" t="s">
        <v>50404</v>
      </c>
      <c r="B16532" t="s">
        <v>50502</v>
      </c>
      <c r="C16532" t="s">
        <v>671</v>
      </c>
      <c r="D16532" t="s">
        <v>672</v>
      </c>
      <c r="E16532" t="s">
        <v>673</v>
      </c>
      <c r="F16532" t="s">
        <v>50503</v>
      </c>
      <c r="G16532" s="2" t="str">
        <f>HYPERLINK("https://probpalata.gov.ru/files/ИП500100445500008.jpeg","Скачать индивидуальный QR-код магазина")</f>
        <v>Скачать индивидуальный QR-код магазина</v>
      </c>
    </row>
    <row r="16533" spans="1:7" x14ac:dyDescent="0.25">
      <c r="A16533" t="s">
        <v>50404</v>
      </c>
      <c r="B16533" t="s">
        <v>50504</v>
      </c>
      <c r="C16533" t="s">
        <v>671</v>
      </c>
      <c r="D16533" t="s">
        <v>672</v>
      </c>
      <c r="E16533" t="s">
        <v>673</v>
      </c>
      <c r="F16533" t="s">
        <v>50505</v>
      </c>
      <c r="G16533" s="2" t="str">
        <f>HYPERLINK("https://probpalata.gov.ru/files/ИП500100445500009.jpeg","Скачать индивидуальный QR-код магазина")</f>
        <v>Скачать индивидуальный QR-код магазина</v>
      </c>
    </row>
    <row r="16534" spans="1:7" x14ac:dyDescent="0.25">
      <c r="A16534" t="s">
        <v>50404</v>
      </c>
      <c r="B16534" t="s">
        <v>50506</v>
      </c>
      <c r="C16534" t="s">
        <v>671</v>
      </c>
      <c r="D16534" t="s">
        <v>672</v>
      </c>
      <c r="E16534" t="s">
        <v>673</v>
      </c>
      <c r="F16534" t="s">
        <v>50507</v>
      </c>
      <c r="G16534" s="2" t="str">
        <f>HYPERLINK("https://probpalata.gov.ru/files/ИП500100445500040.jpeg","Скачать индивидуальный QR-код магазина")</f>
        <v>Скачать индивидуальный QR-код магазина</v>
      </c>
    </row>
    <row r="16535" spans="1:7" x14ac:dyDescent="0.25">
      <c r="A16535" t="s">
        <v>50404</v>
      </c>
      <c r="B16535" t="s">
        <v>50508</v>
      </c>
      <c r="C16535" t="s">
        <v>671</v>
      </c>
      <c r="D16535" t="s">
        <v>672</v>
      </c>
      <c r="E16535" t="s">
        <v>673</v>
      </c>
      <c r="F16535" t="s">
        <v>50509</v>
      </c>
      <c r="G16535" s="2" t="str">
        <f>HYPERLINK("https://probpalata.gov.ru/files/ИП500100445500043.jpeg","Скачать индивидуальный QR-код магазина")</f>
        <v>Скачать индивидуальный QR-код магазина</v>
      </c>
    </row>
    <row r="16536" spans="1:7" x14ac:dyDescent="0.25">
      <c r="A16536" t="s">
        <v>50404</v>
      </c>
      <c r="B16536" t="s">
        <v>50510</v>
      </c>
      <c r="C16536" t="s">
        <v>671</v>
      </c>
      <c r="D16536" t="s">
        <v>672</v>
      </c>
      <c r="E16536" t="s">
        <v>673</v>
      </c>
      <c r="F16536" t="s">
        <v>50511</v>
      </c>
      <c r="G16536" s="2" t="str">
        <f>HYPERLINK("https://probpalata.gov.ru/files/ИП500100445500109.jpeg","Скачать индивидуальный QR-код магазина")</f>
        <v>Скачать индивидуальный QR-код магазина</v>
      </c>
    </row>
    <row r="16537" spans="1:7" x14ac:dyDescent="0.25">
      <c r="A16537" t="s">
        <v>50404</v>
      </c>
      <c r="B16537" t="s">
        <v>50512</v>
      </c>
      <c r="C16537" t="s">
        <v>671</v>
      </c>
      <c r="D16537" t="s">
        <v>672</v>
      </c>
      <c r="E16537" t="s">
        <v>673</v>
      </c>
      <c r="F16537" t="s">
        <v>50513</v>
      </c>
      <c r="G16537" s="2" t="str">
        <f>HYPERLINK("https://probpalata.gov.ru/files/ИП500100445500113.jpeg","Скачать индивидуальный QR-код магазина")</f>
        <v>Скачать индивидуальный QR-код магазина</v>
      </c>
    </row>
    <row r="16538" spans="1:7" x14ac:dyDescent="0.25">
      <c r="A16538" t="s">
        <v>50404</v>
      </c>
      <c r="B16538" t="s">
        <v>50514</v>
      </c>
      <c r="C16538" t="s">
        <v>671</v>
      </c>
      <c r="D16538" t="s">
        <v>672</v>
      </c>
      <c r="E16538" t="s">
        <v>673</v>
      </c>
      <c r="F16538" t="s">
        <v>50515</v>
      </c>
      <c r="G16538" s="2" t="str">
        <f>HYPERLINK("https://probpalata.gov.ru/files/ИП500100445500127.jpeg","Скачать индивидуальный QR-код магазина")</f>
        <v>Скачать индивидуальный QR-код магазина</v>
      </c>
    </row>
    <row r="16539" spans="1:7" x14ac:dyDescent="0.25">
      <c r="A16539" t="s">
        <v>50404</v>
      </c>
      <c r="B16539" t="s">
        <v>50516</v>
      </c>
      <c r="C16539" t="s">
        <v>14765</v>
      </c>
      <c r="D16539" t="s">
        <v>14766</v>
      </c>
      <c r="E16539" t="s">
        <v>14767</v>
      </c>
      <c r="F16539" t="s">
        <v>50517</v>
      </c>
      <c r="G16539" s="2" t="str">
        <f>HYPERLINK("https://probpalata.gov.ru/files/ЮЛ500100279300010.jpeg","Скачать индивидуальный QR-код магазина")</f>
        <v>Скачать индивидуальный QR-код магазина</v>
      </c>
    </row>
    <row r="16540" spans="1:7" x14ac:dyDescent="0.25">
      <c r="A16540" t="s">
        <v>50404</v>
      </c>
      <c r="B16540" t="s">
        <v>50518</v>
      </c>
      <c r="C16540" t="s">
        <v>1735</v>
      </c>
      <c r="D16540" t="s">
        <v>1736</v>
      </c>
      <c r="E16540" t="s">
        <v>1737</v>
      </c>
      <c r="F16540" t="s">
        <v>50519</v>
      </c>
      <c r="G16540" s="2" t="str">
        <f>HYPERLINK("https://probpalata.gov.ru/files/ЮЛ520603376600043.jpeg","Скачать индивидуальный QR-код магазина")</f>
        <v>Скачать индивидуальный QR-код магазина</v>
      </c>
    </row>
    <row r="16541" spans="1:7" x14ac:dyDescent="0.25">
      <c r="A16541" t="s">
        <v>50404</v>
      </c>
      <c r="B16541" t="s">
        <v>50520</v>
      </c>
      <c r="C16541" t="s">
        <v>1735</v>
      </c>
      <c r="D16541" t="s">
        <v>1736</v>
      </c>
      <c r="E16541" t="s">
        <v>1737</v>
      </c>
      <c r="F16541" t="s">
        <v>50521</v>
      </c>
      <c r="G16541" s="2" t="str">
        <f>HYPERLINK("https://probpalata.gov.ru/files/ЮЛ520603376600080.jpeg","Скачать индивидуальный QR-код магазина")</f>
        <v>Скачать индивидуальный QR-код магазина</v>
      </c>
    </row>
    <row r="16542" spans="1:7" x14ac:dyDescent="0.25">
      <c r="A16542" t="s">
        <v>50404</v>
      </c>
      <c r="B16542" t="s">
        <v>50522</v>
      </c>
      <c r="C16542" t="s">
        <v>50523</v>
      </c>
      <c r="D16542" t="s">
        <v>50524</v>
      </c>
      <c r="E16542" t="s">
        <v>50525</v>
      </c>
      <c r="F16542" t="s">
        <v>50526</v>
      </c>
      <c r="G16542" s="2" t="str">
        <f>HYPERLINK("https://probpalata.gov.ru/files/ИП660701327400000.jpeg","Скачать индивидуальный QR-код магазина")</f>
        <v>Скачать индивидуальный QR-код магазина</v>
      </c>
    </row>
    <row r="16543" spans="1:7" x14ac:dyDescent="0.25">
      <c r="A16543" t="s">
        <v>50404</v>
      </c>
      <c r="B16543" t="s">
        <v>50527</v>
      </c>
      <c r="C16543" t="s">
        <v>50528</v>
      </c>
      <c r="D16543" t="s">
        <v>50529</v>
      </c>
      <c r="E16543" t="s">
        <v>50530</v>
      </c>
      <c r="F16543" t="s">
        <v>50531</v>
      </c>
      <c r="G16543" s="2" t="str">
        <f>HYPERLINK("https://probpalata.gov.ru/files/ИП550801551700000.jpeg","Скачать индивидуальный QR-код магазина")</f>
        <v>Скачать индивидуальный QR-код магазина</v>
      </c>
    </row>
    <row r="16544" spans="1:7" x14ac:dyDescent="0.25">
      <c r="A16544" t="s">
        <v>50404</v>
      </c>
      <c r="B16544" t="s">
        <v>50532</v>
      </c>
      <c r="C16544" t="s">
        <v>33856</v>
      </c>
      <c r="D16544" t="s">
        <v>33857</v>
      </c>
      <c r="E16544" t="s">
        <v>33858</v>
      </c>
      <c r="F16544" t="s">
        <v>50533</v>
      </c>
      <c r="G16544" s="2" t="str">
        <f>HYPERLINK("https://probpalata.gov.ru/files/ИП560600172600003.jpeg","Скачать индивидуальный QR-код магазина")</f>
        <v>Скачать индивидуальный QR-код магазина</v>
      </c>
    </row>
    <row r="16545" spans="1:7" x14ac:dyDescent="0.25">
      <c r="A16545" t="s">
        <v>50404</v>
      </c>
      <c r="B16545" t="s">
        <v>50534</v>
      </c>
      <c r="C16545" t="s">
        <v>33856</v>
      </c>
      <c r="D16545" t="s">
        <v>33857</v>
      </c>
      <c r="E16545" t="s">
        <v>33858</v>
      </c>
      <c r="F16545" t="s">
        <v>50535</v>
      </c>
      <c r="G16545" s="2" t="str">
        <f>HYPERLINK("https://probpalata.gov.ru/files/ИП560600172600004.jpeg","Скачать индивидуальный QR-код магазина")</f>
        <v>Скачать индивидуальный QR-код магазина</v>
      </c>
    </row>
    <row r="16546" spans="1:7" x14ac:dyDescent="0.25">
      <c r="A16546" t="s">
        <v>50404</v>
      </c>
      <c r="B16546" t="s">
        <v>50508</v>
      </c>
      <c r="C16546" t="s">
        <v>33856</v>
      </c>
      <c r="D16546" t="s">
        <v>33857</v>
      </c>
      <c r="E16546" t="s">
        <v>33858</v>
      </c>
      <c r="F16546" t="s">
        <v>50536</v>
      </c>
      <c r="G16546" s="2" t="str">
        <f>HYPERLINK("https://probpalata.gov.ru/files/ИП560600172600005.jpeg","Скачать индивидуальный QR-код магазина")</f>
        <v>Скачать индивидуальный QR-код магазина</v>
      </c>
    </row>
    <row r="16547" spans="1:7" x14ac:dyDescent="0.25">
      <c r="A16547" t="s">
        <v>50404</v>
      </c>
      <c r="B16547" t="s">
        <v>50537</v>
      </c>
      <c r="C16547" t="s">
        <v>50538</v>
      </c>
      <c r="D16547" t="s">
        <v>50539</v>
      </c>
      <c r="E16547" t="s">
        <v>50540</v>
      </c>
      <c r="F16547" t="s">
        <v>50541</v>
      </c>
      <c r="G16547" s="2" t="str">
        <f>HYPERLINK("https://probpalata.gov.ru/files/ИП660701120500000.jpeg","Скачать индивидуальный QR-код магазина")</f>
        <v>Скачать индивидуальный QR-код магазина</v>
      </c>
    </row>
    <row r="16548" spans="1:7" x14ac:dyDescent="0.25">
      <c r="A16548" t="s">
        <v>50404</v>
      </c>
      <c r="B16548" t="s">
        <v>50542</v>
      </c>
      <c r="C16548" t="s">
        <v>50543</v>
      </c>
      <c r="D16548" t="s">
        <v>50544</v>
      </c>
      <c r="E16548" t="s">
        <v>50545</v>
      </c>
      <c r="F16548" t="s">
        <v>50546</v>
      </c>
      <c r="G16548" s="2" t="str">
        <f>HYPERLINK("https://probpalata.gov.ru/files/ИП660703768500000.jpeg","Скачать индивидуальный QR-код магазина")</f>
        <v>Скачать индивидуальный QR-код магазина</v>
      </c>
    </row>
    <row r="16549" spans="1:7" x14ac:dyDescent="0.25">
      <c r="A16549" t="s">
        <v>50404</v>
      </c>
      <c r="B16549" t="s">
        <v>50547</v>
      </c>
      <c r="C16549" t="s">
        <v>50548</v>
      </c>
      <c r="D16549" t="s">
        <v>50549</v>
      </c>
      <c r="E16549" t="s">
        <v>50550</v>
      </c>
      <c r="F16549" t="s">
        <v>50551</v>
      </c>
      <c r="G16549" s="2" t="str">
        <f>HYPERLINK("https://probpalata.gov.ru/files/ИП660700741800000.jpeg","Скачать индивидуальный QR-код магазина")</f>
        <v>Скачать индивидуальный QR-код магазина</v>
      </c>
    </row>
    <row r="16550" spans="1:7" x14ac:dyDescent="0.25">
      <c r="A16550" t="s">
        <v>50404</v>
      </c>
      <c r="B16550" t="s">
        <v>50552</v>
      </c>
      <c r="C16550" t="s">
        <v>50548</v>
      </c>
      <c r="D16550" t="s">
        <v>50549</v>
      </c>
      <c r="E16550" t="s">
        <v>50550</v>
      </c>
      <c r="F16550" t="s">
        <v>50553</v>
      </c>
      <c r="G16550" s="2" t="str">
        <f>HYPERLINK("https://probpalata.gov.ru/files/ИП660700741800001.jpeg","Скачать индивидуальный QR-код магазина")</f>
        <v>Скачать индивидуальный QR-код магазина</v>
      </c>
    </row>
    <row r="16551" spans="1:7" x14ac:dyDescent="0.25">
      <c r="A16551" t="s">
        <v>50404</v>
      </c>
      <c r="B16551" t="s">
        <v>50554</v>
      </c>
      <c r="C16551" t="s">
        <v>35262</v>
      </c>
      <c r="D16551" t="s">
        <v>35263</v>
      </c>
      <c r="E16551" t="s">
        <v>35264</v>
      </c>
      <c r="F16551" t="s">
        <v>50555</v>
      </c>
      <c r="G16551" s="2" t="str">
        <f>HYPERLINK("https://probpalata.gov.ru/files/ИП590601426900014.jpeg","Скачать индивидуальный QR-код магазина")</f>
        <v>Скачать индивидуальный QR-код магазина</v>
      </c>
    </row>
    <row r="16552" spans="1:7" x14ac:dyDescent="0.25">
      <c r="A16552" t="s">
        <v>50404</v>
      </c>
      <c r="B16552" t="s">
        <v>50556</v>
      </c>
      <c r="C16552" t="s">
        <v>35262</v>
      </c>
      <c r="D16552" t="s">
        <v>35263</v>
      </c>
      <c r="E16552" t="s">
        <v>35264</v>
      </c>
      <c r="F16552" t="s">
        <v>50557</v>
      </c>
      <c r="G16552" s="2" t="str">
        <f>HYPERLINK("https://probpalata.gov.ru/files/ИП590601426900015.jpeg","Скачать индивидуальный QR-код магазина")</f>
        <v>Скачать индивидуальный QR-код магазина</v>
      </c>
    </row>
    <row r="16553" spans="1:7" x14ac:dyDescent="0.25">
      <c r="A16553" t="s">
        <v>50404</v>
      </c>
      <c r="B16553" t="s">
        <v>50558</v>
      </c>
      <c r="C16553" t="s">
        <v>35262</v>
      </c>
      <c r="D16553" t="s">
        <v>35263</v>
      </c>
      <c r="E16553" t="s">
        <v>35264</v>
      </c>
      <c r="F16553" t="s">
        <v>50559</v>
      </c>
      <c r="G16553" s="2" t="str">
        <f>HYPERLINK("https://probpalata.gov.ru/files/ИП590601426900016.jpeg","Скачать индивидуальный QR-код магазина")</f>
        <v>Скачать индивидуальный QR-код магазина</v>
      </c>
    </row>
    <row r="16554" spans="1:7" x14ac:dyDescent="0.25">
      <c r="A16554" t="s">
        <v>50404</v>
      </c>
      <c r="B16554" t="s">
        <v>50560</v>
      </c>
      <c r="C16554" t="s">
        <v>35262</v>
      </c>
      <c r="D16554" t="s">
        <v>35263</v>
      </c>
      <c r="E16554" t="s">
        <v>35264</v>
      </c>
      <c r="F16554" t="s">
        <v>50561</v>
      </c>
      <c r="G16554" s="2" t="str">
        <f>HYPERLINK("https://probpalata.gov.ru/files/ИП590601426900017.jpeg","Скачать индивидуальный QR-код магазина")</f>
        <v>Скачать индивидуальный QR-код магазина</v>
      </c>
    </row>
    <row r="16555" spans="1:7" x14ac:dyDescent="0.25">
      <c r="A16555" t="s">
        <v>50404</v>
      </c>
      <c r="B16555" t="s">
        <v>50562</v>
      </c>
      <c r="C16555" t="s">
        <v>35262</v>
      </c>
      <c r="D16555" t="s">
        <v>35263</v>
      </c>
      <c r="E16555" t="s">
        <v>35264</v>
      </c>
      <c r="F16555" t="s">
        <v>50563</v>
      </c>
      <c r="G16555" s="2" t="str">
        <f>HYPERLINK("https://probpalata.gov.ru/files/ИП590601426900019.jpeg","Скачать индивидуальный QR-код магазина")</f>
        <v>Скачать индивидуальный QR-код магазина</v>
      </c>
    </row>
    <row r="16556" spans="1:7" x14ac:dyDescent="0.25">
      <c r="A16556" t="s">
        <v>50404</v>
      </c>
      <c r="B16556" t="s">
        <v>50564</v>
      </c>
      <c r="C16556" t="s">
        <v>35262</v>
      </c>
      <c r="D16556" t="s">
        <v>35263</v>
      </c>
      <c r="E16556" t="s">
        <v>35264</v>
      </c>
      <c r="F16556" t="s">
        <v>50565</v>
      </c>
      <c r="G16556" s="2" t="str">
        <f>HYPERLINK("https://probpalata.gov.ru/files/ИП590601426900022.jpeg","Скачать индивидуальный QR-код магазина")</f>
        <v>Скачать индивидуальный QR-код магазина</v>
      </c>
    </row>
    <row r="16557" spans="1:7" x14ac:dyDescent="0.25">
      <c r="A16557" t="s">
        <v>50404</v>
      </c>
      <c r="B16557" t="s">
        <v>50566</v>
      </c>
      <c r="C16557" t="s">
        <v>35262</v>
      </c>
      <c r="D16557" t="s">
        <v>35263</v>
      </c>
      <c r="E16557" t="s">
        <v>35264</v>
      </c>
      <c r="F16557" t="s">
        <v>50567</v>
      </c>
      <c r="G16557" s="2" t="str">
        <f>HYPERLINK("https://probpalata.gov.ru/files/ИП590601426900027.jpeg","Скачать индивидуальный QR-код магазина")</f>
        <v>Скачать индивидуальный QR-код магазина</v>
      </c>
    </row>
    <row r="16558" spans="1:7" x14ac:dyDescent="0.25">
      <c r="A16558" t="s">
        <v>50404</v>
      </c>
      <c r="B16558" t="s">
        <v>50568</v>
      </c>
      <c r="C16558" t="s">
        <v>35262</v>
      </c>
      <c r="D16558" t="s">
        <v>35263</v>
      </c>
      <c r="E16558" t="s">
        <v>35264</v>
      </c>
      <c r="F16558" t="s">
        <v>50569</v>
      </c>
      <c r="G16558" s="2" t="str">
        <f>HYPERLINK("https://probpalata.gov.ru/files/ИП590601426900034.jpeg","Скачать индивидуальный QR-код магазина")</f>
        <v>Скачать индивидуальный QR-код магазина</v>
      </c>
    </row>
    <row r="16559" spans="1:7" x14ac:dyDescent="0.25">
      <c r="A16559" t="s">
        <v>50404</v>
      </c>
      <c r="B16559" t="s">
        <v>50570</v>
      </c>
      <c r="C16559" t="s">
        <v>35262</v>
      </c>
      <c r="D16559" t="s">
        <v>35263</v>
      </c>
      <c r="E16559" t="s">
        <v>35264</v>
      </c>
      <c r="F16559" t="s">
        <v>50571</v>
      </c>
      <c r="G16559" s="2" t="str">
        <f>HYPERLINK("https://probpalata.gov.ru/files/ИП590601426900035.jpeg","Скачать индивидуальный QR-код магазина")</f>
        <v>Скачать индивидуальный QR-код магазина</v>
      </c>
    </row>
    <row r="16560" spans="1:7" x14ac:dyDescent="0.25">
      <c r="A16560" t="s">
        <v>50404</v>
      </c>
      <c r="B16560" t="s">
        <v>50572</v>
      </c>
      <c r="C16560" t="s">
        <v>35262</v>
      </c>
      <c r="D16560" t="s">
        <v>35263</v>
      </c>
      <c r="E16560" t="s">
        <v>35264</v>
      </c>
      <c r="F16560" t="s">
        <v>50573</v>
      </c>
      <c r="G16560" s="2" t="str">
        <f>HYPERLINK("https://probpalata.gov.ru/files/ИП590601426900039.jpeg","Скачать индивидуальный QR-код магазина")</f>
        <v>Скачать индивидуальный QR-код магазина</v>
      </c>
    </row>
    <row r="16561" spans="1:7" x14ac:dyDescent="0.25">
      <c r="A16561" t="s">
        <v>50404</v>
      </c>
      <c r="B16561" t="s">
        <v>50574</v>
      </c>
      <c r="C16561" t="s">
        <v>35262</v>
      </c>
      <c r="D16561" t="s">
        <v>35263</v>
      </c>
      <c r="E16561" t="s">
        <v>35264</v>
      </c>
      <c r="F16561" t="s">
        <v>50575</v>
      </c>
      <c r="G16561" s="2" t="str">
        <f>HYPERLINK("https://probpalata.gov.ru/files/ИП590601426900040.jpeg","Скачать индивидуальный QR-код магазина")</f>
        <v>Скачать индивидуальный QR-код магазина</v>
      </c>
    </row>
    <row r="16562" spans="1:7" x14ac:dyDescent="0.25">
      <c r="A16562" t="s">
        <v>50404</v>
      </c>
      <c r="B16562" t="s">
        <v>50576</v>
      </c>
      <c r="C16562" t="s">
        <v>35262</v>
      </c>
      <c r="D16562" t="s">
        <v>35263</v>
      </c>
      <c r="E16562" t="s">
        <v>35264</v>
      </c>
      <c r="F16562" t="s">
        <v>50577</v>
      </c>
      <c r="G16562" s="2" t="str">
        <f>HYPERLINK("https://probpalata.gov.ru/files/ИП590601426900042.jpeg","Скачать индивидуальный QR-код магазина")</f>
        <v>Скачать индивидуальный QR-код магазина</v>
      </c>
    </row>
    <row r="16563" spans="1:7" x14ac:dyDescent="0.25">
      <c r="A16563" t="s">
        <v>50404</v>
      </c>
      <c r="B16563" t="s">
        <v>50578</v>
      </c>
      <c r="C16563" t="s">
        <v>35262</v>
      </c>
      <c r="D16563" t="s">
        <v>35263</v>
      </c>
      <c r="E16563" t="s">
        <v>35264</v>
      </c>
      <c r="F16563" t="s">
        <v>50579</v>
      </c>
      <c r="G16563" s="2" t="str">
        <f>HYPERLINK("https://probpalata.gov.ru/files/ИП590601426900044.jpeg","Скачать индивидуальный QR-код магазина")</f>
        <v>Скачать индивидуальный QR-код магазина</v>
      </c>
    </row>
    <row r="16564" spans="1:7" x14ac:dyDescent="0.25">
      <c r="A16564" t="s">
        <v>50404</v>
      </c>
      <c r="B16564" t="s">
        <v>50580</v>
      </c>
      <c r="C16564" t="s">
        <v>35262</v>
      </c>
      <c r="D16564" t="s">
        <v>35263</v>
      </c>
      <c r="E16564" t="s">
        <v>35264</v>
      </c>
      <c r="F16564" t="s">
        <v>50581</v>
      </c>
      <c r="G16564" s="2" t="str">
        <f>HYPERLINK("https://probpalata.gov.ru/files/ИП590601426900045.jpeg","Скачать индивидуальный QR-код магазина")</f>
        <v>Скачать индивидуальный QR-код магазина</v>
      </c>
    </row>
    <row r="16565" spans="1:7" x14ac:dyDescent="0.25">
      <c r="A16565" t="s">
        <v>50404</v>
      </c>
      <c r="B16565" t="s">
        <v>50582</v>
      </c>
      <c r="C16565" t="s">
        <v>35262</v>
      </c>
      <c r="D16565" t="s">
        <v>35263</v>
      </c>
      <c r="E16565" t="s">
        <v>35264</v>
      </c>
      <c r="F16565" t="s">
        <v>50583</v>
      </c>
      <c r="G16565" s="2" t="str">
        <f>HYPERLINK("https://probpalata.gov.ru/files/ИП590601426900050.jpeg","Скачать индивидуальный QR-код магазина")</f>
        <v>Скачать индивидуальный QR-код магазина</v>
      </c>
    </row>
    <row r="16566" spans="1:7" x14ac:dyDescent="0.25">
      <c r="A16566" t="s">
        <v>50404</v>
      </c>
      <c r="B16566" t="s">
        <v>50584</v>
      </c>
      <c r="C16566" t="s">
        <v>35262</v>
      </c>
      <c r="D16566" t="s">
        <v>35263</v>
      </c>
      <c r="E16566" t="s">
        <v>35264</v>
      </c>
      <c r="F16566" t="s">
        <v>50585</v>
      </c>
      <c r="G16566" s="2" t="str">
        <f>HYPERLINK("https://probpalata.gov.ru/files/ИП590601426900051.jpeg","Скачать индивидуальный QR-код магазина")</f>
        <v>Скачать индивидуальный QR-код магазина</v>
      </c>
    </row>
    <row r="16567" spans="1:7" x14ac:dyDescent="0.25">
      <c r="A16567" t="s">
        <v>50404</v>
      </c>
      <c r="B16567" t="s">
        <v>50586</v>
      </c>
      <c r="C16567" t="s">
        <v>703</v>
      </c>
      <c r="D16567" t="s">
        <v>704</v>
      </c>
      <c r="E16567" t="s">
        <v>705</v>
      </c>
      <c r="F16567" t="s">
        <v>50587</v>
      </c>
      <c r="G16567" s="2" t="str">
        <f>HYPERLINK("https://probpalata.gov.ru/files/ИП610400426600011.jpeg","Скачать индивидуальный QR-код магазина")</f>
        <v>Скачать индивидуальный QR-код магазина</v>
      </c>
    </row>
    <row r="16568" spans="1:7" x14ac:dyDescent="0.25">
      <c r="A16568" t="s">
        <v>50404</v>
      </c>
      <c r="B16568" t="s">
        <v>50588</v>
      </c>
      <c r="C16568" t="s">
        <v>703</v>
      </c>
      <c r="D16568" t="s">
        <v>704</v>
      </c>
      <c r="E16568" t="s">
        <v>705</v>
      </c>
      <c r="F16568" t="s">
        <v>50589</v>
      </c>
      <c r="G16568" s="2" t="str">
        <f>HYPERLINK("https://probpalata.gov.ru/files/ИП610400426600025.jpeg","Скачать индивидуальный QR-код магазина")</f>
        <v>Скачать индивидуальный QR-код магазина</v>
      </c>
    </row>
    <row r="16569" spans="1:7" x14ac:dyDescent="0.25">
      <c r="A16569" t="s">
        <v>50404</v>
      </c>
      <c r="B16569" t="s">
        <v>50590</v>
      </c>
      <c r="C16569" t="s">
        <v>703</v>
      </c>
      <c r="D16569" t="s">
        <v>704</v>
      </c>
      <c r="E16569" t="s">
        <v>705</v>
      </c>
      <c r="F16569" t="s">
        <v>50591</v>
      </c>
      <c r="G16569" s="2" t="str">
        <f>HYPERLINK("https://probpalata.gov.ru/files/ИП610400426600027.jpeg","Скачать индивидуальный QR-код магазина")</f>
        <v>Скачать индивидуальный QR-код магазина</v>
      </c>
    </row>
    <row r="16570" spans="1:7" x14ac:dyDescent="0.25">
      <c r="A16570" t="s">
        <v>50404</v>
      </c>
      <c r="B16570" t="s">
        <v>50592</v>
      </c>
      <c r="C16570" t="s">
        <v>16736</v>
      </c>
      <c r="D16570" t="s">
        <v>16737</v>
      </c>
      <c r="E16570" t="s">
        <v>16738</v>
      </c>
      <c r="F16570" t="s">
        <v>50593</v>
      </c>
      <c r="G16570" s="2" t="str">
        <f>HYPERLINK("https://probpalata.gov.ru/files/ЮЛ630600259300005.jpeg","Скачать индивидуальный QR-код магазина")</f>
        <v>Скачать индивидуальный QR-код магазина</v>
      </c>
    </row>
    <row r="16571" spans="1:7" x14ac:dyDescent="0.25">
      <c r="A16571" t="s">
        <v>50404</v>
      </c>
      <c r="B16571" t="s">
        <v>50594</v>
      </c>
      <c r="C16571" t="s">
        <v>2197</v>
      </c>
      <c r="D16571" t="s">
        <v>2198</v>
      </c>
      <c r="E16571" t="s">
        <v>2199</v>
      </c>
      <c r="F16571" t="s">
        <v>50595</v>
      </c>
      <c r="G16571" s="2" t="str">
        <f>HYPERLINK("https://probpalata.gov.ru/files/ИП630601425400085.jpeg","Скачать индивидуальный QR-код магазина")</f>
        <v>Скачать индивидуальный QR-код магазина</v>
      </c>
    </row>
    <row r="16572" spans="1:7" x14ac:dyDescent="0.25">
      <c r="A16572" t="s">
        <v>50404</v>
      </c>
      <c r="B16572" t="s">
        <v>50596</v>
      </c>
      <c r="C16572" t="s">
        <v>20699</v>
      </c>
      <c r="D16572" t="s">
        <v>20700</v>
      </c>
      <c r="E16572" t="s">
        <v>20701</v>
      </c>
      <c r="F16572" t="s">
        <v>50597</v>
      </c>
      <c r="G16572" s="2" t="str">
        <f>HYPERLINK("https://probpalata.gov.ru/files/ИП660700053100000.jpeg","Скачать индивидуальный QR-код магазина")</f>
        <v>Скачать индивидуальный QR-код магазина</v>
      </c>
    </row>
    <row r="16573" spans="1:7" x14ac:dyDescent="0.25">
      <c r="A16573" t="s">
        <v>50404</v>
      </c>
      <c r="B16573" t="s">
        <v>50598</v>
      </c>
      <c r="C16573" t="s">
        <v>20699</v>
      </c>
      <c r="D16573" t="s">
        <v>20700</v>
      </c>
      <c r="E16573" t="s">
        <v>20701</v>
      </c>
      <c r="F16573" t="s">
        <v>50599</v>
      </c>
      <c r="G16573" s="2" t="str">
        <f>HYPERLINK("https://probpalata.gov.ru/files/ИП660700053100001.jpeg","Скачать индивидуальный QR-код магазина")</f>
        <v>Скачать индивидуальный QR-код магазина</v>
      </c>
    </row>
    <row r="16574" spans="1:7" x14ac:dyDescent="0.25">
      <c r="A16574" t="s">
        <v>50404</v>
      </c>
      <c r="B16574" t="s">
        <v>50600</v>
      </c>
      <c r="C16574" t="s">
        <v>50601</v>
      </c>
      <c r="D16574" t="s">
        <v>50602</v>
      </c>
      <c r="E16574" t="s">
        <v>50603</v>
      </c>
      <c r="F16574" t="s">
        <v>50604</v>
      </c>
      <c r="G16574" s="2" t="str">
        <f>HYPERLINK("https://probpalata.gov.ru/files/ИП660700030000000.jpeg","Скачать индивидуальный QR-код магазина")</f>
        <v>Скачать индивидуальный QR-код магазина</v>
      </c>
    </row>
    <row r="16575" spans="1:7" x14ac:dyDescent="0.25">
      <c r="A16575" t="s">
        <v>50404</v>
      </c>
      <c r="B16575" t="s">
        <v>50605</v>
      </c>
      <c r="C16575" t="s">
        <v>50606</v>
      </c>
      <c r="D16575" t="s">
        <v>50607</v>
      </c>
      <c r="E16575" t="s">
        <v>50608</v>
      </c>
      <c r="F16575" t="s">
        <v>50609</v>
      </c>
      <c r="G16575" s="2" t="str">
        <f>HYPERLINK("https://probpalata.gov.ru/files/ИП660700619700000.jpeg","Скачать индивидуальный QR-код магазина")</f>
        <v>Скачать индивидуальный QR-код магазина</v>
      </c>
    </row>
    <row r="16576" spans="1:7" x14ac:dyDescent="0.25">
      <c r="A16576" t="s">
        <v>50404</v>
      </c>
      <c r="B16576" t="s">
        <v>50610</v>
      </c>
      <c r="C16576" t="s">
        <v>14929</v>
      </c>
      <c r="D16576" t="s">
        <v>14930</v>
      </c>
      <c r="E16576" t="s">
        <v>14931</v>
      </c>
      <c r="F16576" t="s">
        <v>50611</v>
      </c>
      <c r="G16576" s="2" t="str">
        <f>HYPERLINK("https://probpalata.gov.ru/files/ИП660703134500000.jpeg","Скачать индивидуальный QR-код магазина")</f>
        <v>Скачать индивидуальный QR-код магазина</v>
      </c>
    </row>
    <row r="16577" spans="1:7" x14ac:dyDescent="0.25">
      <c r="A16577" t="s">
        <v>50404</v>
      </c>
      <c r="B16577" t="s">
        <v>50612</v>
      </c>
      <c r="C16577" t="s">
        <v>50613</v>
      </c>
      <c r="D16577" t="s">
        <v>50614</v>
      </c>
      <c r="E16577" t="s">
        <v>50615</v>
      </c>
      <c r="F16577" t="s">
        <v>50616</v>
      </c>
      <c r="G16577" s="2" t="str">
        <f>HYPERLINK("https://probpalata.gov.ru/files/ИП660700921500000.jpeg","Скачать индивидуальный QR-код магазина")</f>
        <v>Скачать индивидуальный QR-код магазина</v>
      </c>
    </row>
    <row r="16578" spans="1:7" x14ac:dyDescent="0.25">
      <c r="A16578" t="s">
        <v>50404</v>
      </c>
      <c r="B16578" t="s">
        <v>50617</v>
      </c>
      <c r="C16578" t="s">
        <v>50613</v>
      </c>
      <c r="D16578" t="s">
        <v>50614</v>
      </c>
      <c r="E16578" t="s">
        <v>50615</v>
      </c>
      <c r="F16578" t="s">
        <v>50618</v>
      </c>
      <c r="G16578" s="2" t="str">
        <f>HYPERLINK("https://probpalata.gov.ru/files/ИП660700921500001.jpeg","Скачать индивидуальный QR-код магазина")</f>
        <v>Скачать индивидуальный QR-код магазина</v>
      </c>
    </row>
    <row r="16579" spans="1:7" x14ac:dyDescent="0.25">
      <c r="A16579" t="s">
        <v>50404</v>
      </c>
      <c r="B16579" t="s">
        <v>50619</v>
      </c>
      <c r="C16579" t="s">
        <v>50613</v>
      </c>
      <c r="D16579" t="s">
        <v>50614</v>
      </c>
      <c r="E16579" t="s">
        <v>50615</v>
      </c>
      <c r="F16579" t="s">
        <v>50620</v>
      </c>
      <c r="G16579" s="2" t="str">
        <f>HYPERLINK("https://probpalata.gov.ru/files/ИП660700921500002.jpeg","Скачать индивидуальный QR-код магазина")</f>
        <v>Скачать индивидуальный QR-код магазина</v>
      </c>
    </row>
    <row r="16580" spans="1:7" x14ac:dyDescent="0.25">
      <c r="A16580" t="s">
        <v>50404</v>
      </c>
      <c r="B16580" t="s">
        <v>50621</v>
      </c>
      <c r="C16580" t="s">
        <v>50622</v>
      </c>
      <c r="D16580" t="s">
        <v>50623</v>
      </c>
      <c r="E16580" t="s">
        <v>50624</v>
      </c>
      <c r="F16580" t="s">
        <v>50625</v>
      </c>
      <c r="G16580" s="2" t="str">
        <f>HYPERLINK("https://probpalata.gov.ru/files/ИП660700134000000.jpeg","Скачать индивидуальный QR-код магазина")</f>
        <v>Скачать индивидуальный QR-код магазина</v>
      </c>
    </row>
    <row r="16581" spans="1:7" x14ac:dyDescent="0.25">
      <c r="A16581" t="s">
        <v>50404</v>
      </c>
      <c r="B16581" t="s">
        <v>50626</v>
      </c>
      <c r="C16581" t="s">
        <v>50627</v>
      </c>
      <c r="D16581" t="s">
        <v>50628</v>
      </c>
      <c r="E16581" t="s">
        <v>50629</v>
      </c>
      <c r="F16581" t="s">
        <v>50630</v>
      </c>
      <c r="G16581" s="2" t="str">
        <f>HYPERLINK("https://probpalata.gov.ru/files/ИП660700229800000.jpeg","Скачать индивидуальный QR-код магазина")</f>
        <v>Скачать индивидуальный QR-код магазина</v>
      </c>
    </row>
    <row r="16582" spans="1:7" x14ac:dyDescent="0.25">
      <c r="A16582" t="s">
        <v>50404</v>
      </c>
      <c r="B16582" t="s">
        <v>50631</v>
      </c>
      <c r="C16582" t="s">
        <v>50627</v>
      </c>
      <c r="D16582" t="s">
        <v>50628</v>
      </c>
      <c r="E16582" t="s">
        <v>50629</v>
      </c>
      <c r="F16582" t="s">
        <v>50632</v>
      </c>
      <c r="G16582" s="2" t="str">
        <f>HYPERLINK("https://probpalata.gov.ru/files/ИП660700229800001.jpeg","Скачать индивидуальный QR-код магазина")</f>
        <v>Скачать индивидуальный QR-код магазина</v>
      </c>
    </row>
    <row r="16583" spans="1:7" x14ac:dyDescent="0.25">
      <c r="A16583" t="s">
        <v>50404</v>
      </c>
      <c r="B16583" t="s">
        <v>50633</v>
      </c>
      <c r="C16583" t="s">
        <v>50627</v>
      </c>
      <c r="D16583" t="s">
        <v>50628</v>
      </c>
      <c r="E16583" t="s">
        <v>50629</v>
      </c>
      <c r="F16583" t="s">
        <v>50634</v>
      </c>
      <c r="G16583" s="2" t="str">
        <f>HYPERLINK("https://probpalata.gov.ru/files/ИП660700229800002.jpeg","Скачать индивидуальный QR-код магазина")</f>
        <v>Скачать индивидуальный QR-код магазина</v>
      </c>
    </row>
    <row r="16584" spans="1:7" x14ac:dyDescent="0.25">
      <c r="A16584" t="s">
        <v>50404</v>
      </c>
      <c r="B16584" t="s">
        <v>50635</v>
      </c>
      <c r="C16584" t="s">
        <v>50627</v>
      </c>
      <c r="D16584" t="s">
        <v>50628</v>
      </c>
      <c r="E16584" t="s">
        <v>50629</v>
      </c>
      <c r="F16584" t="s">
        <v>50636</v>
      </c>
      <c r="G16584" s="2" t="str">
        <f>HYPERLINK("https://probpalata.gov.ru/files/ИП660700229800003.jpeg","Скачать индивидуальный QR-код магазина")</f>
        <v>Скачать индивидуальный QR-код магазина</v>
      </c>
    </row>
    <row r="16585" spans="1:7" x14ac:dyDescent="0.25">
      <c r="A16585" t="s">
        <v>50404</v>
      </c>
      <c r="B16585" t="s">
        <v>50637</v>
      </c>
      <c r="C16585" t="s">
        <v>50638</v>
      </c>
      <c r="D16585" t="s">
        <v>50639</v>
      </c>
      <c r="E16585" t="s">
        <v>50640</v>
      </c>
      <c r="F16585" t="s">
        <v>50641</v>
      </c>
      <c r="G16585" s="2" t="str">
        <f>HYPERLINK("https://probpalata.gov.ru/files/ИП660701617900000.jpeg","Скачать индивидуальный QR-код магазина")</f>
        <v>Скачать индивидуальный QR-код магазина</v>
      </c>
    </row>
    <row r="16586" spans="1:7" x14ac:dyDescent="0.25">
      <c r="A16586" t="s">
        <v>50404</v>
      </c>
      <c r="B16586" t="s">
        <v>50642</v>
      </c>
      <c r="C16586" t="s">
        <v>50643</v>
      </c>
      <c r="D16586" t="s">
        <v>50644</v>
      </c>
      <c r="E16586" t="s">
        <v>50645</v>
      </c>
      <c r="F16586" t="s">
        <v>50646</v>
      </c>
      <c r="G16586" s="2" t="str">
        <f>HYPERLINK("https://probpalata.gov.ru/files/ИП660700083000000.jpeg","Скачать индивидуальный QR-код магазина")</f>
        <v>Скачать индивидуальный QR-код магазина</v>
      </c>
    </row>
    <row r="16587" spans="1:7" x14ac:dyDescent="0.25">
      <c r="A16587" t="s">
        <v>50404</v>
      </c>
      <c r="B16587" t="s">
        <v>50647</v>
      </c>
      <c r="C16587" t="s">
        <v>50648</v>
      </c>
      <c r="D16587" t="s">
        <v>50649</v>
      </c>
      <c r="E16587" t="s">
        <v>50650</v>
      </c>
      <c r="F16587" t="s">
        <v>50651</v>
      </c>
      <c r="G16587" s="2" t="str">
        <f>HYPERLINK("https://probpalata.gov.ru/files/ИП660701594700000.jpeg","Скачать индивидуальный QR-код магазина")</f>
        <v>Скачать индивидуальный QR-код магазина</v>
      </c>
    </row>
    <row r="16588" spans="1:7" x14ac:dyDescent="0.25">
      <c r="A16588" t="s">
        <v>50404</v>
      </c>
      <c r="B16588" t="s">
        <v>50652</v>
      </c>
      <c r="C16588" t="s">
        <v>50653</v>
      </c>
      <c r="D16588" t="s">
        <v>50654</v>
      </c>
      <c r="E16588" t="s">
        <v>50655</v>
      </c>
      <c r="F16588" t="s">
        <v>50656</v>
      </c>
      <c r="G16588" s="2" t="str">
        <f>HYPERLINK("https://probpalata.gov.ru/files/ЮЛ660700433200000.jpeg","Скачать индивидуальный QR-код магазина")</f>
        <v>Скачать индивидуальный QR-код магазина</v>
      </c>
    </row>
    <row r="16589" spans="1:7" x14ac:dyDescent="0.25">
      <c r="A16589" t="s">
        <v>50404</v>
      </c>
      <c r="B16589" t="s">
        <v>50657</v>
      </c>
      <c r="C16589" t="s">
        <v>50658</v>
      </c>
      <c r="D16589" t="s">
        <v>50659</v>
      </c>
      <c r="E16589" t="s">
        <v>50660</v>
      </c>
      <c r="F16589" t="s">
        <v>50661</v>
      </c>
      <c r="G16589" s="2" t="str">
        <f>HYPERLINK("https://probpalata.gov.ru/files/ИП660700867400000.jpeg","Скачать индивидуальный QR-код магазина")</f>
        <v>Скачать индивидуальный QR-код магазина</v>
      </c>
    </row>
    <row r="16590" spans="1:7" x14ac:dyDescent="0.25">
      <c r="A16590" t="s">
        <v>50404</v>
      </c>
      <c r="B16590" t="s">
        <v>50662</v>
      </c>
      <c r="C16590" t="s">
        <v>50658</v>
      </c>
      <c r="D16590" t="s">
        <v>50659</v>
      </c>
      <c r="E16590" t="s">
        <v>50660</v>
      </c>
      <c r="F16590" t="s">
        <v>50663</v>
      </c>
      <c r="G16590" s="2" t="str">
        <f>HYPERLINK("https://probpalata.gov.ru/files/ИП660700867400001.jpeg","Скачать индивидуальный QR-код магазина")</f>
        <v>Скачать индивидуальный QR-код магазина</v>
      </c>
    </row>
    <row r="16591" spans="1:7" x14ac:dyDescent="0.25">
      <c r="A16591" t="s">
        <v>50404</v>
      </c>
      <c r="B16591" t="s">
        <v>50664</v>
      </c>
      <c r="C16591" t="s">
        <v>50658</v>
      </c>
      <c r="D16591" t="s">
        <v>50659</v>
      </c>
      <c r="E16591" t="s">
        <v>50660</v>
      </c>
      <c r="F16591" t="s">
        <v>50665</v>
      </c>
      <c r="G16591" s="2" t="str">
        <f>HYPERLINK("https://probpalata.gov.ru/files/ИП660700867400002.jpeg","Скачать индивидуальный QR-код магазина")</f>
        <v>Скачать индивидуальный QR-код магазина</v>
      </c>
    </row>
    <row r="16592" spans="1:7" x14ac:dyDescent="0.25">
      <c r="A16592" t="s">
        <v>50404</v>
      </c>
      <c r="B16592" t="s">
        <v>50666</v>
      </c>
      <c r="C16592" t="s">
        <v>50658</v>
      </c>
      <c r="D16592" t="s">
        <v>50659</v>
      </c>
      <c r="E16592" t="s">
        <v>50660</v>
      </c>
      <c r="F16592" t="s">
        <v>50667</v>
      </c>
      <c r="G16592" s="2" t="str">
        <f>HYPERLINK("https://probpalata.gov.ru/files/ИП660700867400003.jpeg","Скачать индивидуальный QR-код магазина")</f>
        <v>Скачать индивидуальный QR-код магазина</v>
      </c>
    </row>
    <row r="16593" spans="1:7" x14ac:dyDescent="0.25">
      <c r="A16593" t="s">
        <v>50404</v>
      </c>
      <c r="B16593" t="s">
        <v>50668</v>
      </c>
      <c r="C16593" t="s">
        <v>50669</v>
      </c>
      <c r="D16593" t="s">
        <v>50670</v>
      </c>
      <c r="E16593" t="s">
        <v>50671</v>
      </c>
      <c r="F16593" t="s">
        <v>50672</v>
      </c>
      <c r="G16593" s="2" t="str">
        <f>HYPERLINK("https://probpalata.gov.ru/files/ИП660701274500000.jpeg","Скачать индивидуальный QR-код магазина")</f>
        <v>Скачать индивидуальный QR-код магазина</v>
      </c>
    </row>
    <row r="16594" spans="1:7" x14ac:dyDescent="0.25">
      <c r="A16594" t="s">
        <v>50404</v>
      </c>
      <c r="B16594" t="s">
        <v>50673</v>
      </c>
      <c r="C16594" t="s">
        <v>50674</v>
      </c>
      <c r="D16594" t="s">
        <v>50675</v>
      </c>
      <c r="E16594" t="s">
        <v>50676</v>
      </c>
      <c r="F16594" t="s">
        <v>50677</v>
      </c>
      <c r="G16594" s="2" t="str">
        <f>HYPERLINK("https://probpalata.gov.ru/files/ИП660701050900000.jpeg","Скачать индивидуальный QR-код магазина")</f>
        <v>Скачать индивидуальный QR-код магазина</v>
      </c>
    </row>
    <row r="16595" spans="1:7" x14ac:dyDescent="0.25">
      <c r="A16595" t="s">
        <v>50404</v>
      </c>
      <c r="B16595" t="s">
        <v>50678</v>
      </c>
      <c r="C16595" t="s">
        <v>50679</v>
      </c>
      <c r="D16595" t="s">
        <v>50680</v>
      </c>
      <c r="E16595" t="s">
        <v>50681</v>
      </c>
      <c r="F16595" t="s">
        <v>50682</v>
      </c>
      <c r="G16595" s="2" t="str">
        <f>HYPERLINK("https://probpalata.gov.ru/files/ИП660700191500000.jpeg","Скачать индивидуальный QR-код магазина")</f>
        <v>Скачать индивидуальный QR-код магазина</v>
      </c>
    </row>
    <row r="16596" spans="1:7" x14ac:dyDescent="0.25">
      <c r="A16596" t="s">
        <v>50404</v>
      </c>
      <c r="B16596" t="s">
        <v>50683</v>
      </c>
      <c r="C16596" t="s">
        <v>50684</v>
      </c>
      <c r="D16596" t="s">
        <v>50685</v>
      </c>
      <c r="E16596" t="s">
        <v>50686</v>
      </c>
      <c r="F16596" t="s">
        <v>50687</v>
      </c>
      <c r="G16596" s="2" t="str">
        <f>HYPERLINK("https://probpalata.gov.ru/files/ИП660700747700000.jpeg","Скачать индивидуальный QR-код магазина")</f>
        <v>Скачать индивидуальный QR-код магазина</v>
      </c>
    </row>
    <row r="16597" spans="1:7" x14ac:dyDescent="0.25">
      <c r="A16597" t="s">
        <v>50404</v>
      </c>
      <c r="B16597" t="s">
        <v>50688</v>
      </c>
      <c r="C16597" t="s">
        <v>50689</v>
      </c>
      <c r="D16597" t="s">
        <v>50690</v>
      </c>
      <c r="E16597" t="s">
        <v>50691</v>
      </c>
      <c r="F16597" t="s">
        <v>50692</v>
      </c>
      <c r="G16597" s="2" t="str">
        <f>HYPERLINK("https://probpalata.gov.ru/files/ИП660703770600000.jpeg","Скачать индивидуальный QR-код магазина")</f>
        <v>Скачать индивидуальный QR-код магазина</v>
      </c>
    </row>
    <row r="16598" spans="1:7" x14ac:dyDescent="0.25">
      <c r="A16598" t="s">
        <v>50404</v>
      </c>
      <c r="B16598" t="s">
        <v>50693</v>
      </c>
      <c r="C16598" t="s">
        <v>50694</v>
      </c>
      <c r="D16598" t="s">
        <v>50695</v>
      </c>
      <c r="E16598" t="s">
        <v>50696</v>
      </c>
      <c r="F16598" t="s">
        <v>50697</v>
      </c>
      <c r="G16598" s="2" t="str">
        <f>HYPERLINK("https://probpalata.gov.ru/files/ИП660700081100000.jpeg","Скачать индивидуальный QR-код магазина")</f>
        <v>Скачать индивидуальный QR-код магазина</v>
      </c>
    </row>
    <row r="16599" spans="1:7" x14ac:dyDescent="0.25">
      <c r="A16599" t="s">
        <v>50404</v>
      </c>
      <c r="B16599" t="s">
        <v>50698</v>
      </c>
      <c r="C16599" t="s">
        <v>50699</v>
      </c>
      <c r="D16599" t="s">
        <v>50700</v>
      </c>
      <c r="E16599" t="s">
        <v>50701</v>
      </c>
      <c r="F16599" t="s">
        <v>50702</v>
      </c>
      <c r="G16599" s="2" t="str">
        <f>HYPERLINK("https://probpalata.gov.ru/files/ИП660703230400000.jpeg","Скачать индивидуальный QR-код магазина")</f>
        <v>Скачать индивидуальный QR-код магазина</v>
      </c>
    </row>
    <row r="16600" spans="1:7" x14ac:dyDescent="0.25">
      <c r="A16600" t="s">
        <v>50404</v>
      </c>
      <c r="B16600" t="s">
        <v>50703</v>
      </c>
      <c r="C16600" t="s">
        <v>50704</v>
      </c>
      <c r="D16600" t="s">
        <v>50705</v>
      </c>
      <c r="E16600" t="s">
        <v>50706</v>
      </c>
      <c r="F16600" t="s">
        <v>50707</v>
      </c>
      <c r="G16600" s="2" t="str">
        <f>HYPERLINK("https://probpalata.gov.ru/files/ИП660700006400000.jpeg","Скачать индивидуальный QR-код магазина")</f>
        <v>Скачать индивидуальный QR-код магазина</v>
      </c>
    </row>
    <row r="16601" spans="1:7" x14ac:dyDescent="0.25">
      <c r="A16601" t="s">
        <v>50404</v>
      </c>
      <c r="B16601" t="s">
        <v>50708</v>
      </c>
      <c r="C16601" t="s">
        <v>50709</v>
      </c>
      <c r="D16601" t="s">
        <v>50710</v>
      </c>
      <c r="E16601" t="s">
        <v>50711</v>
      </c>
      <c r="F16601" t="s">
        <v>50712</v>
      </c>
      <c r="G16601" s="2" t="str">
        <f>HYPERLINK("https://probpalata.gov.ru/files/ИП660700040800000.jpeg","Скачать индивидуальный QR-код магазина")</f>
        <v>Скачать индивидуальный QR-код магазина</v>
      </c>
    </row>
    <row r="16602" spans="1:7" x14ac:dyDescent="0.25">
      <c r="A16602" t="s">
        <v>50404</v>
      </c>
      <c r="B16602" t="s">
        <v>50713</v>
      </c>
      <c r="C16602" t="s">
        <v>50714</v>
      </c>
      <c r="D16602" t="s">
        <v>50715</v>
      </c>
      <c r="E16602" t="s">
        <v>50716</v>
      </c>
      <c r="F16602" t="s">
        <v>50717</v>
      </c>
      <c r="G16602" s="2" t="str">
        <f>HYPERLINK("https://probpalata.gov.ru/files/ЮЛ660700633000000.jpeg","Скачать индивидуальный QR-код магазина")</f>
        <v>Скачать индивидуальный QR-код магазина</v>
      </c>
    </row>
    <row r="16603" spans="1:7" x14ac:dyDescent="0.25">
      <c r="A16603" t="s">
        <v>50404</v>
      </c>
      <c r="B16603" t="s">
        <v>50718</v>
      </c>
      <c r="C16603" t="s">
        <v>50719</v>
      </c>
      <c r="D16603" t="s">
        <v>50720</v>
      </c>
      <c r="E16603" t="s">
        <v>50721</v>
      </c>
      <c r="F16603" t="s">
        <v>50722</v>
      </c>
      <c r="G16603" s="2" t="str">
        <f>HYPERLINK("https://probpalata.gov.ru/files/ИП660701035000000.jpeg","Скачать индивидуальный QR-код магазина")</f>
        <v>Скачать индивидуальный QR-код магазина</v>
      </c>
    </row>
    <row r="16604" spans="1:7" x14ac:dyDescent="0.25">
      <c r="A16604" t="s">
        <v>50404</v>
      </c>
      <c r="B16604" t="s">
        <v>50723</v>
      </c>
      <c r="C16604" t="s">
        <v>50724</v>
      </c>
      <c r="D16604" t="s">
        <v>50725</v>
      </c>
      <c r="E16604" t="s">
        <v>50726</v>
      </c>
      <c r="F16604" t="s">
        <v>50727</v>
      </c>
      <c r="G16604" s="2" t="str">
        <f>HYPERLINK("https://probpalata.gov.ru/files/ЮЛ660700540100000.jpeg","Скачать индивидуальный QR-код магазина")</f>
        <v>Скачать индивидуальный QR-код магазина</v>
      </c>
    </row>
    <row r="16605" spans="1:7" x14ac:dyDescent="0.25">
      <c r="A16605" t="s">
        <v>50404</v>
      </c>
      <c r="B16605" t="s">
        <v>50728</v>
      </c>
      <c r="C16605" t="s">
        <v>50724</v>
      </c>
      <c r="D16605" t="s">
        <v>50725</v>
      </c>
      <c r="E16605" t="s">
        <v>50726</v>
      </c>
      <c r="F16605" t="s">
        <v>50729</v>
      </c>
      <c r="G16605" s="2" t="str">
        <f>HYPERLINK("https://probpalata.gov.ru/files/ЮЛ660700540100001.jpeg","Скачать индивидуальный QR-код магазина")</f>
        <v>Скачать индивидуальный QR-код магазина</v>
      </c>
    </row>
    <row r="16606" spans="1:7" x14ac:dyDescent="0.25">
      <c r="A16606" t="s">
        <v>50404</v>
      </c>
      <c r="B16606" t="s">
        <v>50730</v>
      </c>
      <c r="C16606" t="s">
        <v>50724</v>
      </c>
      <c r="D16606" t="s">
        <v>50725</v>
      </c>
      <c r="E16606" t="s">
        <v>50726</v>
      </c>
      <c r="F16606" t="s">
        <v>50731</v>
      </c>
      <c r="G16606" s="2" t="str">
        <f>HYPERLINK("https://probpalata.gov.ru/files/ЮЛ660700540100002.jpeg","Скачать индивидуальный QR-код магазина")</f>
        <v>Скачать индивидуальный QR-код магазина</v>
      </c>
    </row>
    <row r="16607" spans="1:7" x14ac:dyDescent="0.25">
      <c r="A16607" t="s">
        <v>50404</v>
      </c>
      <c r="B16607" t="s">
        <v>50732</v>
      </c>
      <c r="C16607" t="s">
        <v>50733</v>
      </c>
      <c r="D16607" t="s">
        <v>50734</v>
      </c>
      <c r="E16607" t="s">
        <v>50735</v>
      </c>
      <c r="F16607" t="s">
        <v>50736</v>
      </c>
      <c r="G16607" s="2" t="str">
        <f>HYPERLINK("https://probpalata.gov.ru/files/ИП660700104300000.jpeg","Скачать индивидуальный QR-код магазина")</f>
        <v>Скачать индивидуальный QR-код магазина</v>
      </c>
    </row>
    <row r="16608" spans="1:7" x14ac:dyDescent="0.25">
      <c r="A16608" t="s">
        <v>50404</v>
      </c>
      <c r="B16608" t="s">
        <v>50737</v>
      </c>
      <c r="C16608" t="s">
        <v>50738</v>
      </c>
      <c r="D16608" t="s">
        <v>50739</v>
      </c>
      <c r="E16608" t="s">
        <v>50740</v>
      </c>
      <c r="F16608" t="s">
        <v>50741</v>
      </c>
      <c r="G16608" s="2" t="str">
        <f>HYPERLINK("https://probpalata.gov.ru/files/ИП660700621100000.jpeg","Скачать индивидуальный QR-код магазина")</f>
        <v>Скачать индивидуальный QR-код магазина</v>
      </c>
    </row>
    <row r="16609" spans="1:7" x14ac:dyDescent="0.25">
      <c r="A16609" t="s">
        <v>50404</v>
      </c>
      <c r="B16609" t="s">
        <v>50742</v>
      </c>
      <c r="C16609" t="s">
        <v>50743</v>
      </c>
      <c r="D16609" t="s">
        <v>50744</v>
      </c>
      <c r="E16609" t="s">
        <v>50745</v>
      </c>
      <c r="F16609" t="s">
        <v>50746</v>
      </c>
      <c r="G16609" s="2" t="str">
        <f>HYPERLINK("https://probpalata.gov.ru/files/ИП660703241000000.jpeg","Скачать индивидуальный QR-код магазина")</f>
        <v>Скачать индивидуальный QR-код магазина</v>
      </c>
    </row>
    <row r="16610" spans="1:7" x14ac:dyDescent="0.25">
      <c r="A16610" t="s">
        <v>50404</v>
      </c>
      <c r="B16610" t="s">
        <v>50747</v>
      </c>
      <c r="C16610" t="s">
        <v>50748</v>
      </c>
      <c r="D16610" t="s">
        <v>50749</v>
      </c>
      <c r="E16610" t="s">
        <v>50750</v>
      </c>
      <c r="F16610" t="s">
        <v>50751</v>
      </c>
      <c r="G16610" s="2" t="str">
        <f>HYPERLINK("https://probpalata.gov.ru/files/ИП660701107200000.jpeg","Скачать индивидуальный QR-код магазина")</f>
        <v>Скачать индивидуальный QR-код магазина</v>
      </c>
    </row>
    <row r="16611" spans="1:7" x14ac:dyDescent="0.25">
      <c r="A16611" t="s">
        <v>50404</v>
      </c>
      <c r="B16611" t="s">
        <v>50752</v>
      </c>
      <c r="C16611" t="s">
        <v>50753</v>
      </c>
      <c r="D16611" t="s">
        <v>50754</v>
      </c>
      <c r="E16611" t="s">
        <v>50755</v>
      </c>
      <c r="F16611" t="s">
        <v>50756</v>
      </c>
      <c r="G16611" s="2" t="str">
        <f>HYPERLINK("https://probpalata.gov.ru/files/ИП660701182300000.jpeg","Скачать индивидуальный QR-код магазина")</f>
        <v>Скачать индивидуальный QR-код магазина</v>
      </c>
    </row>
    <row r="16612" spans="1:7" x14ac:dyDescent="0.25">
      <c r="A16612" t="s">
        <v>50404</v>
      </c>
      <c r="B16612" t="s">
        <v>50757</v>
      </c>
      <c r="C16612" t="s">
        <v>50758</v>
      </c>
      <c r="D16612" t="s">
        <v>50759</v>
      </c>
      <c r="E16612" t="s">
        <v>50760</v>
      </c>
      <c r="F16612" t="s">
        <v>50761</v>
      </c>
      <c r="G16612" s="2" t="str">
        <f>HYPERLINK("https://probpalata.gov.ru/files/ИП660703742700000.jpeg","Скачать индивидуальный QR-код магазина")</f>
        <v>Скачать индивидуальный QR-код магазина</v>
      </c>
    </row>
    <row r="16613" spans="1:7" x14ac:dyDescent="0.25">
      <c r="A16613" t="s">
        <v>50404</v>
      </c>
      <c r="B16613" t="s">
        <v>50762</v>
      </c>
      <c r="C16613" t="s">
        <v>50763</v>
      </c>
      <c r="D16613" t="s">
        <v>50764</v>
      </c>
      <c r="E16613" t="s">
        <v>50765</v>
      </c>
      <c r="F16613" t="s">
        <v>50766</v>
      </c>
      <c r="G16613" s="2" t="str">
        <f>HYPERLINK("https://probpalata.gov.ru/files/ЮЛ660701200000000.jpeg","Скачать индивидуальный QR-код магазина")</f>
        <v>Скачать индивидуальный QR-код магазина</v>
      </c>
    </row>
    <row r="16614" spans="1:7" x14ac:dyDescent="0.25">
      <c r="A16614" t="s">
        <v>50404</v>
      </c>
      <c r="B16614" t="s">
        <v>50767</v>
      </c>
      <c r="C16614" t="s">
        <v>50768</v>
      </c>
      <c r="D16614" t="s">
        <v>50769</v>
      </c>
      <c r="E16614" t="s">
        <v>50770</v>
      </c>
      <c r="F16614" t="s">
        <v>50771</v>
      </c>
      <c r="G16614" s="2" t="str">
        <f>HYPERLINK("https://probpalata.gov.ru/files/ИП660701278500000.jpeg","Скачать индивидуальный QR-код магазина")</f>
        <v>Скачать индивидуальный QR-код магазина</v>
      </c>
    </row>
    <row r="16615" spans="1:7" x14ac:dyDescent="0.25">
      <c r="A16615" t="s">
        <v>50404</v>
      </c>
      <c r="B16615" t="s">
        <v>50772</v>
      </c>
      <c r="C16615" t="s">
        <v>50773</v>
      </c>
      <c r="D16615" t="s">
        <v>50774</v>
      </c>
      <c r="E16615" t="s">
        <v>50775</v>
      </c>
      <c r="F16615" t="s">
        <v>50776</v>
      </c>
      <c r="G16615" s="2" t="str">
        <f>HYPERLINK("https://probpalata.gov.ru/files/ИП660701763900000.jpeg","Скачать индивидуальный QR-код магазина")</f>
        <v>Скачать индивидуальный QR-код магазина</v>
      </c>
    </row>
    <row r="16616" spans="1:7" x14ac:dyDescent="0.25">
      <c r="A16616" t="s">
        <v>50404</v>
      </c>
      <c r="B16616" t="s">
        <v>50777</v>
      </c>
      <c r="C16616" t="s">
        <v>50778</v>
      </c>
      <c r="D16616" t="s">
        <v>50779</v>
      </c>
      <c r="E16616" t="s">
        <v>50780</v>
      </c>
      <c r="F16616" t="s">
        <v>50781</v>
      </c>
      <c r="G16616" s="2" t="str">
        <f>HYPERLINK("https://probpalata.gov.ru/files/ИП660700711600000.jpeg","Скачать индивидуальный QR-код магазина")</f>
        <v>Скачать индивидуальный QR-код магазина</v>
      </c>
    </row>
    <row r="16617" spans="1:7" x14ac:dyDescent="0.25">
      <c r="A16617" t="s">
        <v>50404</v>
      </c>
      <c r="B16617" t="s">
        <v>50782</v>
      </c>
      <c r="C16617" t="s">
        <v>50783</v>
      </c>
      <c r="D16617" t="s">
        <v>50784</v>
      </c>
      <c r="E16617" t="s">
        <v>50785</v>
      </c>
      <c r="F16617" t="s">
        <v>50786</v>
      </c>
      <c r="G16617" s="2" t="str">
        <f>HYPERLINK("https://probpalata.gov.ru/files/ИП660701309500000.jpeg","Скачать индивидуальный QR-код магазина")</f>
        <v>Скачать индивидуальный QR-код магазина</v>
      </c>
    </row>
    <row r="16618" spans="1:7" x14ac:dyDescent="0.25">
      <c r="A16618" t="s">
        <v>50404</v>
      </c>
      <c r="B16618" t="s">
        <v>50787</v>
      </c>
      <c r="C16618" t="s">
        <v>50788</v>
      </c>
      <c r="D16618" t="s">
        <v>50789</v>
      </c>
      <c r="E16618" t="s">
        <v>50790</v>
      </c>
      <c r="F16618" t="s">
        <v>50791</v>
      </c>
      <c r="G16618" s="2" t="str">
        <f>HYPERLINK("https://probpalata.gov.ru/files/ИП720700154200000.jpeg","Скачать индивидуальный QR-код магазина")</f>
        <v>Скачать индивидуальный QR-код магазина</v>
      </c>
    </row>
    <row r="16619" spans="1:7" x14ac:dyDescent="0.25">
      <c r="A16619" t="s">
        <v>50404</v>
      </c>
      <c r="B16619" t="s">
        <v>50792</v>
      </c>
      <c r="C16619" t="s">
        <v>50793</v>
      </c>
      <c r="D16619" t="s">
        <v>50794</v>
      </c>
      <c r="E16619" t="s">
        <v>50795</v>
      </c>
      <c r="F16619" t="s">
        <v>50796</v>
      </c>
      <c r="G16619" s="2" t="str">
        <f>HYPERLINK("https://probpalata.gov.ru/files/ИП660701215600000.jpeg","Скачать индивидуальный QR-код магазина")</f>
        <v>Скачать индивидуальный QR-код магазина</v>
      </c>
    </row>
    <row r="16620" spans="1:7" x14ac:dyDescent="0.25">
      <c r="A16620" t="s">
        <v>50404</v>
      </c>
      <c r="B16620" t="s">
        <v>50797</v>
      </c>
      <c r="C16620" t="s">
        <v>50798</v>
      </c>
      <c r="D16620" t="s">
        <v>50799</v>
      </c>
      <c r="E16620" t="s">
        <v>50800</v>
      </c>
      <c r="F16620" t="s">
        <v>50801</v>
      </c>
      <c r="G16620" s="2" t="str">
        <f>HYPERLINK("https://probpalata.gov.ru/files/ИП660700246400000.jpeg","Скачать индивидуальный QR-код магазина")</f>
        <v>Скачать индивидуальный QR-код магазина</v>
      </c>
    </row>
    <row r="16621" spans="1:7" x14ac:dyDescent="0.25">
      <c r="A16621" t="s">
        <v>50404</v>
      </c>
      <c r="B16621" t="s">
        <v>50802</v>
      </c>
      <c r="C16621" t="s">
        <v>50798</v>
      </c>
      <c r="D16621" t="s">
        <v>50799</v>
      </c>
      <c r="E16621" t="s">
        <v>50800</v>
      </c>
      <c r="F16621" t="s">
        <v>50803</v>
      </c>
      <c r="G16621" s="2" t="str">
        <f>HYPERLINK("https://probpalata.gov.ru/files/ИП660700246400002.jpeg","Скачать индивидуальный QR-код магазина")</f>
        <v>Скачать индивидуальный QR-код магазина</v>
      </c>
    </row>
    <row r="16622" spans="1:7" x14ac:dyDescent="0.25">
      <c r="A16622" t="s">
        <v>50404</v>
      </c>
      <c r="B16622" t="s">
        <v>50804</v>
      </c>
      <c r="C16622" t="s">
        <v>50798</v>
      </c>
      <c r="D16622" t="s">
        <v>50799</v>
      </c>
      <c r="E16622" t="s">
        <v>50800</v>
      </c>
      <c r="F16622" t="s">
        <v>50805</v>
      </c>
      <c r="G16622" s="2" t="str">
        <f>HYPERLINK("https://probpalata.gov.ru/files/ИП660700246400003.jpeg","Скачать индивидуальный QR-код магазина")</f>
        <v>Скачать индивидуальный QR-код магазина</v>
      </c>
    </row>
    <row r="16623" spans="1:7" x14ac:dyDescent="0.25">
      <c r="A16623" t="s">
        <v>50404</v>
      </c>
      <c r="B16623" t="s">
        <v>50806</v>
      </c>
      <c r="C16623" t="s">
        <v>50798</v>
      </c>
      <c r="D16623" t="s">
        <v>50799</v>
      </c>
      <c r="E16623" t="s">
        <v>50800</v>
      </c>
      <c r="F16623" t="s">
        <v>50807</v>
      </c>
      <c r="G16623" s="2" t="str">
        <f>HYPERLINK("https://probpalata.gov.ru/files/ИП660700246400005.jpeg","Скачать индивидуальный QR-код магазина")</f>
        <v>Скачать индивидуальный QR-код магазина</v>
      </c>
    </row>
    <row r="16624" spans="1:7" x14ac:dyDescent="0.25">
      <c r="A16624" t="s">
        <v>50404</v>
      </c>
      <c r="B16624" t="s">
        <v>50808</v>
      </c>
      <c r="C16624" t="s">
        <v>50798</v>
      </c>
      <c r="D16624" t="s">
        <v>50799</v>
      </c>
      <c r="E16624" t="s">
        <v>50800</v>
      </c>
      <c r="F16624" t="s">
        <v>50809</v>
      </c>
      <c r="G16624" s="2" t="str">
        <f>HYPERLINK("https://probpalata.gov.ru/files/ИП660700246400008.jpeg","Скачать индивидуальный QR-код магазина")</f>
        <v>Скачать индивидуальный QR-код магазина</v>
      </c>
    </row>
    <row r="16625" spans="1:7" x14ac:dyDescent="0.25">
      <c r="A16625" t="s">
        <v>50404</v>
      </c>
      <c r="B16625" t="s">
        <v>50810</v>
      </c>
      <c r="C16625" t="s">
        <v>50798</v>
      </c>
      <c r="D16625" t="s">
        <v>50799</v>
      </c>
      <c r="E16625" t="s">
        <v>50800</v>
      </c>
      <c r="F16625" t="s">
        <v>50811</v>
      </c>
      <c r="G16625" s="2" t="str">
        <f>HYPERLINK("https://probpalata.gov.ru/files/ИП660700246400009.jpeg","Скачать индивидуальный QR-код магазина")</f>
        <v>Скачать индивидуальный QR-код магазина</v>
      </c>
    </row>
    <row r="16626" spans="1:7" x14ac:dyDescent="0.25">
      <c r="A16626" t="s">
        <v>50404</v>
      </c>
      <c r="B16626" t="s">
        <v>50812</v>
      </c>
      <c r="C16626" t="s">
        <v>50798</v>
      </c>
      <c r="D16626" t="s">
        <v>50799</v>
      </c>
      <c r="E16626" t="s">
        <v>50800</v>
      </c>
      <c r="F16626" t="s">
        <v>50813</v>
      </c>
      <c r="G16626" s="2" t="str">
        <f>HYPERLINK("https://probpalata.gov.ru/files/ИП660700246400011.jpeg","Скачать индивидуальный QR-код магазина")</f>
        <v>Скачать индивидуальный QR-код магазина</v>
      </c>
    </row>
    <row r="16627" spans="1:7" x14ac:dyDescent="0.25">
      <c r="A16627" t="s">
        <v>50404</v>
      </c>
      <c r="B16627" t="s">
        <v>50814</v>
      </c>
      <c r="C16627" t="s">
        <v>50815</v>
      </c>
      <c r="D16627" t="s">
        <v>50816</v>
      </c>
      <c r="E16627" t="s">
        <v>50817</v>
      </c>
      <c r="F16627" t="s">
        <v>50818</v>
      </c>
      <c r="G16627" s="2" t="str">
        <f>HYPERLINK("https://probpalata.gov.ru/files/ЮЛ660702023300000.jpeg","Скачать индивидуальный QR-код магазина")</f>
        <v>Скачать индивидуальный QR-код магазина</v>
      </c>
    </row>
    <row r="16628" spans="1:7" x14ac:dyDescent="0.25">
      <c r="A16628" t="s">
        <v>50404</v>
      </c>
      <c r="B16628" t="s">
        <v>50819</v>
      </c>
      <c r="C16628" t="s">
        <v>50820</v>
      </c>
      <c r="D16628" t="s">
        <v>50821</v>
      </c>
      <c r="E16628" t="s">
        <v>50822</v>
      </c>
      <c r="F16628" t="s">
        <v>50823</v>
      </c>
      <c r="G16628" s="2" t="str">
        <f>HYPERLINK("https://probpalata.gov.ru/files/ИП660700941000000.jpeg","Скачать индивидуальный QR-код магазина")</f>
        <v>Скачать индивидуальный QR-код магазина</v>
      </c>
    </row>
    <row r="16629" spans="1:7" x14ac:dyDescent="0.25">
      <c r="A16629" t="s">
        <v>50404</v>
      </c>
      <c r="B16629" t="s">
        <v>50824</v>
      </c>
      <c r="C16629" t="s">
        <v>50820</v>
      </c>
      <c r="D16629" t="s">
        <v>50821</v>
      </c>
      <c r="E16629" t="s">
        <v>50822</v>
      </c>
      <c r="F16629" t="s">
        <v>50825</v>
      </c>
      <c r="G16629" s="2" t="str">
        <f>HYPERLINK("https://probpalata.gov.ru/files/ИП660700941000001.jpeg","Скачать индивидуальный QR-код магазина")</f>
        <v>Скачать индивидуальный QR-код магазина</v>
      </c>
    </row>
    <row r="16630" spans="1:7" x14ac:dyDescent="0.25">
      <c r="A16630" t="s">
        <v>50404</v>
      </c>
      <c r="B16630" t="s">
        <v>50826</v>
      </c>
      <c r="C16630" t="s">
        <v>50820</v>
      </c>
      <c r="D16630" t="s">
        <v>50821</v>
      </c>
      <c r="E16630" t="s">
        <v>50822</v>
      </c>
      <c r="F16630" t="s">
        <v>50827</v>
      </c>
      <c r="G16630" s="2" t="str">
        <f>HYPERLINK("https://probpalata.gov.ru/files/ИП660700941000003.jpeg","Скачать индивидуальный QR-код магазина")</f>
        <v>Скачать индивидуальный QR-код магазина</v>
      </c>
    </row>
    <row r="16631" spans="1:7" x14ac:dyDescent="0.25">
      <c r="A16631" t="s">
        <v>50404</v>
      </c>
      <c r="B16631" t="s">
        <v>50828</v>
      </c>
      <c r="C16631" t="s">
        <v>50829</v>
      </c>
      <c r="D16631" t="s">
        <v>50830</v>
      </c>
      <c r="E16631" t="s">
        <v>50831</v>
      </c>
      <c r="F16631" t="s">
        <v>50832</v>
      </c>
      <c r="G16631" s="2" t="str">
        <f>HYPERLINK("https://probpalata.gov.ru/files/ИП660701007700000.jpeg","Скачать индивидуальный QR-код магазина")</f>
        <v>Скачать индивидуальный QR-код магазина</v>
      </c>
    </row>
    <row r="16632" spans="1:7" x14ac:dyDescent="0.25">
      <c r="A16632" t="s">
        <v>50404</v>
      </c>
      <c r="B16632" t="s">
        <v>50833</v>
      </c>
      <c r="C16632" t="s">
        <v>50834</v>
      </c>
      <c r="D16632" t="s">
        <v>50835</v>
      </c>
      <c r="E16632" t="s">
        <v>50836</v>
      </c>
      <c r="F16632" t="s">
        <v>50837</v>
      </c>
      <c r="G16632" s="2" t="str">
        <f>HYPERLINK("https://probpalata.gov.ru/files/ИП660703409400000.jpeg","Скачать индивидуальный QR-код магазина")</f>
        <v>Скачать индивидуальный QR-код магазина</v>
      </c>
    </row>
    <row r="16633" spans="1:7" x14ac:dyDescent="0.25">
      <c r="A16633" t="s">
        <v>50404</v>
      </c>
      <c r="B16633" t="s">
        <v>50838</v>
      </c>
      <c r="C16633" t="s">
        <v>50839</v>
      </c>
      <c r="D16633" t="s">
        <v>50840</v>
      </c>
      <c r="E16633" t="s">
        <v>50841</v>
      </c>
      <c r="F16633" t="s">
        <v>50842</v>
      </c>
      <c r="G16633" s="2" t="str">
        <f>HYPERLINK("https://probpalata.gov.ru/files/ИП660703142200000.jpeg","Скачать индивидуальный QR-код магазина")</f>
        <v>Скачать индивидуальный QR-код магазина</v>
      </c>
    </row>
    <row r="16634" spans="1:7" x14ac:dyDescent="0.25">
      <c r="A16634" t="s">
        <v>50404</v>
      </c>
      <c r="B16634" t="s">
        <v>50843</v>
      </c>
      <c r="C16634" t="s">
        <v>50839</v>
      </c>
      <c r="D16634" t="s">
        <v>50840</v>
      </c>
      <c r="E16634" t="s">
        <v>50841</v>
      </c>
      <c r="F16634" t="s">
        <v>50844</v>
      </c>
      <c r="G16634" s="2" t="str">
        <f>HYPERLINK("https://probpalata.gov.ru/files/ИП660703142200005.jpeg","Скачать индивидуальный QR-код магазина")</f>
        <v>Скачать индивидуальный QR-код магазина</v>
      </c>
    </row>
    <row r="16635" spans="1:7" x14ac:dyDescent="0.25">
      <c r="A16635" t="s">
        <v>50404</v>
      </c>
      <c r="B16635" t="s">
        <v>50845</v>
      </c>
      <c r="C16635" t="s">
        <v>50839</v>
      </c>
      <c r="D16635" t="s">
        <v>50840</v>
      </c>
      <c r="E16635" t="s">
        <v>50841</v>
      </c>
      <c r="F16635" t="s">
        <v>50846</v>
      </c>
      <c r="G16635" s="2" t="str">
        <f>HYPERLINK("https://probpalata.gov.ru/files/ИП660703142200006.jpeg","Скачать индивидуальный QR-код магазина")</f>
        <v>Скачать индивидуальный QR-код магазина</v>
      </c>
    </row>
    <row r="16636" spans="1:7" x14ac:dyDescent="0.25">
      <c r="A16636" t="s">
        <v>50404</v>
      </c>
      <c r="B16636" t="s">
        <v>50847</v>
      </c>
      <c r="C16636" t="s">
        <v>50839</v>
      </c>
      <c r="D16636" t="s">
        <v>50840</v>
      </c>
      <c r="E16636" t="s">
        <v>50841</v>
      </c>
      <c r="F16636" t="s">
        <v>50848</v>
      </c>
      <c r="G16636" s="2" t="str">
        <f>HYPERLINK("https://probpalata.gov.ru/files/ИП660703142200008.jpeg","Скачать индивидуальный QR-код магазина")</f>
        <v>Скачать индивидуальный QR-код магазина</v>
      </c>
    </row>
    <row r="16637" spans="1:7" x14ac:dyDescent="0.25">
      <c r="A16637" t="s">
        <v>50404</v>
      </c>
      <c r="B16637" t="s">
        <v>50802</v>
      </c>
      <c r="C16637" t="s">
        <v>50839</v>
      </c>
      <c r="D16637" t="s">
        <v>50840</v>
      </c>
      <c r="E16637" t="s">
        <v>50841</v>
      </c>
      <c r="F16637" t="s">
        <v>50849</v>
      </c>
      <c r="G16637" s="2" t="str">
        <f>HYPERLINK("https://probpalata.gov.ru/files/ИП660703142200009.jpeg","Скачать индивидуальный QR-код магазина")</f>
        <v>Скачать индивидуальный QR-код магазина</v>
      </c>
    </row>
    <row r="16638" spans="1:7" x14ac:dyDescent="0.25">
      <c r="A16638" t="s">
        <v>50404</v>
      </c>
      <c r="B16638" t="s">
        <v>50850</v>
      </c>
      <c r="C16638" t="s">
        <v>50839</v>
      </c>
      <c r="D16638" t="s">
        <v>50840</v>
      </c>
      <c r="E16638" t="s">
        <v>50841</v>
      </c>
      <c r="F16638" t="s">
        <v>50851</v>
      </c>
      <c r="G16638" s="2" t="str">
        <f>HYPERLINK("https://probpalata.gov.ru/files/ИП660703142200011.jpeg","Скачать индивидуальный QR-код магазина")</f>
        <v>Скачать индивидуальный QR-код магазина</v>
      </c>
    </row>
    <row r="16639" spans="1:7" x14ac:dyDescent="0.25">
      <c r="A16639" t="s">
        <v>50404</v>
      </c>
      <c r="B16639" t="s">
        <v>50852</v>
      </c>
      <c r="C16639" t="s">
        <v>50839</v>
      </c>
      <c r="D16639" t="s">
        <v>50840</v>
      </c>
      <c r="E16639" t="s">
        <v>50841</v>
      </c>
      <c r="F16639" t="s">
        <v>50853</v>
      </c>
      <c r="G16639" s="2" t="str">
        <f>HYPERLINK("https://probpalata.gov.ru/files/ИП660703142200012.jpeg","Скачать индивидуальный QR-код магазина")</f>
        <v>Скачать индивидуальный QR-код магазина</v>
      </c>
    </row>
    <row r="16640" spans="1:7" x14ac:dyDescent="0.25">
      <c r="A16640" t="s">
        <v>50404</v>
      </c>
      <c r="B16640" t="s">
        <v>50854</v>
      </c>
      <c r="C16640" t="s">
        <v>50855</v>
      </c>
      <c r="D16640" t="s">
        <v>50856</v>
      </c>
      <c r="E16640" t="s">
        <v>50857</v>
      </c>
      <c r="F16640" t="s">
        <v>50858</v>
      </c>
      <c r="G16640" s="2" t="str">
        <f>HYPERLINK("https://probpalata.gov.ru/files/ИП660703570700000.jpeg","Скачать индивидуальный QR-код магазина")</f>
        <v>Скачать индивидуальный QR-код магазина</v>
      </c>
    </row>
    <row r="16641" spans="1:7" x14ac:dyDescent="0.25">
      <c r="A16641" t="s">
        <v>50404</v>
      </c>
      <c r="B16641" t="s">
        <v>50859</v>
      </c>
      <c r="C16641" t="s">
        <v>50860</v>
      </c>
      <c r="D16641" t="s">
        <v>50861</v>
      </c>
      <c r="E16641" t="s">
        <v>50862</v>
      </c>
      <c r="F16641" t="s">
        <v>50863</v>
      </c>
      <c r="G16641" s="2" t="str">
        <f>HYPERLINK("https://probpalata.gov.ru/files/ИП660700743900000.jpeg","Скачать индивидуальный QR-код магазина")</f>
        <v>Скачать индивидуальный QR-код магазина</v>
      </c>
    </row>
    <row r="16642" spans="1:7" x14ac:dyDescent="0.25">
      <c r="A16642" t="s">
        <v>50404</v>
      </c>
      <c r="B16642" t="s">
        <v>50864</v>
      </c>
      <c r="C16642" t="s">
        <v>50860</v>
      </c>
      <c r="D16642" t="s">
        <v>50861</v>
      </c>
      <c r="E16642" t="s">
        <v>50862</v>
      </c>
      <c r="F16642" t="s">
        <v>50865</v>
      </c>
      <c r="G16642" s="2" t="str">
        <f>HYPERLINK("https://probpalata.gov.ru/files/ИП660700743900001.jpeg","Скачать индивидуальный QR-код магазина")</f>
        <v>Скачать индивидуальный QR-код магазина</v>
      </c>
    </row>
    <row r="16643" spans="1:7" x14ac:dyDescent="0.25">
      <c r="A16643" t="s">
        <v>50404</v>
      </c>
      <c r="B16643" t="s">
        <v>50866</v>
      </c>
      <c r="C16643" t="s">
        <v>50867</v>
      </c>
      <c r="D16643" t="s">
        <v>50868</v>
      </c>
      <c r="E16643" t="s">
        <v>50869</v>
      </c>
      <c r="F16643" t="s">
        <v>50870</v>
      </c>
      <c r="G16643" s="2" t="str">
        <f>HYPERLINK("https://probpalata.gov.ru/files/ИП660700628700000.jpeg","Скачать индивидуальный QR-код магазина")</f>
        <v>Скачать индивидуальный QR-код магазина</v>
      </c>
    </row>
    <row r="16644" spans="1:7" x14ac:dyDescent="0.25">
      <c r="A16644" t="s">
        <v>50404</v>
      </c>
      <c r="B16644" t="s">
        <v>50871</v>
      </c>
      <c r="C16644" t="s">
        <v>50872</v>
      </c>
      <c r="D16644" t="s">
        <v>50873</v>
      </c>
      <c r="E16644" t="s">
        <v>50874</v>
      </c>
      <c r="F16644" t="s">
        <v>50875</v>
      </c>
      <c r="G16644" s="2" t="str">
        <f>HYPERLINK("https://probpalata.gov.ru/files/ИП660701137100000.jpeg","Скачать индивидуальный QR-код магазина")</f>
        <v>Скачать индивидуальный QR-код магазина</v>
      </c>
    </row>
    <row r="16645" spans="1:7" x14ac:dyDescent="0.25">
      <c r="A16645" t="s">
        <v>50404</v>
      </c>
      <c r="B16645" t="s">
        <v>50876</v>
      </c>
      <c r="C16645" t="s">
        <v>50877</v>
      </c>
      <c r="D16645" t="s">
        <v>50878</v>
      </c>
      <c r="E16645" t="s">
        <v>50879</v>
      </c>
      <c r="F16645" t="s">
        <v>50880</v>
      </c>
      <c r="G16645" s="2" t="str">
        <f>HYPERLINK("https://probpalata.gov.ru/files/ИП660701114400000.jpeg","Скачать индивидуальный QR-код магазина")</f>
        <v>Скачать индивидуальный QR-код магазина</v>
      </c>
    </row>
    <row r="16646" spans="1:7" x14ac:dyDescent="0.25">
      <c r="A16646" t="s">
        <v>50404</v>
      </c>
      <c r="B16646" t="s">
        <v>50881</v>
      </c>
      <c r="C16646" t="s">
        <v>50882</v>
      </c>
      <c r="D16646" t="s">
        <v>50883</v>
      </c>
      <c r="E16646" t="s">
        <v>50884</v>
      </c>
      <c r="F16646" t="s">
        <v>50885</v>
      </c>
      <c r="G16646" s="2" t="str">
        <f>HYPERLINK("https://probpalata.gov.ru/files/ИП660701412100000.jpeg","Скачать индивидуальный QR-код магазина")</f>
        <v>Скачать индивидуальный QR-код магазина</v>
      </c>
    </row>
    <row r="16647" spans="1:7" x14ac:dyDescent="0.25">
      <c r="A16647" t="s">
        <v>50404</v>
      </c>
      <c r="B16647" t="s">
        <v>50886</v>
      </c>
      <c r="C16647" t="s">
        <v>50887</v>
      </c>
      <c r="D16647" t="s">
        <v>50888</v>
      </c>
      <c r="E16647" t="s">
        <v>50889</v>
      </c>
      <c r="F16647" t="s">
        <v>50890</v>
      </c>
      <c r="G16647" s="2" t="str">
        <f>HYPERLINK("https://probpalata.gov.ru/files/ИП660700882400000.jpeg","Скачать индивидуальный QR-код магазина")</f>
        <v>Скачать индивидуальный QR-код магазина</v>
      </c>
    </row>
    <row r="16648" spans="1:7" x14ac:dyDescent="0.25">
      <c r="A16648" t="s">
        <v>50404</v>
      </c>
      <c r="B16648" t="s">
        <v>50891</v>
      </c>
      <c r="C16648" t="s">
        <v>2481</v>
      </c>
      <c r="D16648" t="s">
        <v>50892</v>
      </c>
      <c r="E16648" t="s">
        <v>50893</v>
      </c>
      <c r="F16648" t="s">
        <v>50894</v>
      </c>
      <c r="G16648" s="2" t="str">
        <f>HYPERLINK("https://probpalata.gov.ru/files/ЮЛ660701131200000.jpeg","Скачать индивидуальный QR-код магазина")</f>
        <v>Скачать индивидуальный QR-код магазина</v>
      </c>
    </row>
    <row r="16649" spans="1:7" x14ac:dyDescent="0.25">
      <c r="A16649" t="s">
        <v>50404</v>
      </c>
      <c r="B16649" t="s">
        <v>50895</v>
      </c>
      <c r="C16649" t="s">
        <v>50896</v>
      </c>
      <c r="D16649" t="s">
        <v>50897</v>
      </c>
      <c r="E16649" t="s">
        <v>50898</v>
      </c>
      <c r="F16649" t="s">
        <v>50899</v>
      </c>
      <c r="G16649" s="2" t="str">
        <f>HYPERLINK("https://probpalata.gov.ru/files/ИП660701400700000.jpeg","Скачать индивидуальный QR-код магазина")</f>
        <v>Скачать индивидуальный QR-код магазина</v>
      </c>
    </row>
    <row r="16650" spans="1:7" x14ac:dyDescent="0.25">
      <c r="A16650" t="s">
        <v>50404</v>
      </c>
      <c r="B16650" t="s">
        <v>50900</v>
      </c>
      <c r="C16650" t="s">
        <v>50901</v>
      </c>
      <c r="D16650" t="s">
        <v>50902</v>
      </c>
      <c r="E16650" t="s">
        <v>50903</v>
      </c>
      <c r="F16650" t="s">
        <v>50904</v>
      </c>
      <c r="G16650" s="2" t="str">
        <f>HYPERLINK("https://probpalata.gov.ru/files/ИП660703969600000.jpeg","Скачать индивидуальный QR-код магазина")</f>
        <v>Скачать индивидуальный QR-код магазина</v>
      </c>
    </row>
    <row r="16651" spans="1:7" x14ac:dyDescent="0.25">
      <c r="A16651" t="s">
        <v>50404</v>
      </c>
      <c r="B16651" t="s">
        <v>50905</v>
      </c>
      <c r="C16651" t="s">
        <v>50906</v>
      </c>
      <c r="D16651" t="s">
        <v>50907</v>
      </c>
      <c r="E16651" t="s">
        <v>50908</v>
      </c>
      <c r="F16651" t="s">
        <v>50909</v>
      </c>
      <c r="G16651" s="2" t="str">
        <f>HYPERLINK("https://probpalata.gov.ru/files/ИП660703984500000.jpeg","Скачать индивидуальный QR-код магазина")</f>
        <v>Скачать индивидуальный QR-код магазина</v>
      </c>
    </row>
    <row r="16652" spans="1:7" x14ac:dyDescent="0.25">
      <c r="A16652" t="s">
        <v>50404</v>
      </c>
      <c r="B16652" t="s">
        <v>50910</v>
      </c>
      <c r="C16652" t="s">
        <v>2825</v>
      </c>
      <c r="D16652" t="s">
        <v>50911</v>
      </c>
      <c r="E16652" t="s">
        <v>50912</v>
      </c>
      <c r="F16652" t="s">
        <v>50913</v>
      </c>
      <c r="G16652" s="2" t="str">
        <f>HYPERLINK("https://probpalata.gov.ru/files/ИП660700880000001.jpeg","Скачать индивидуальный QR-код магазина")</f>
        <v>Скачать индивидуальный QR-код магазина</v>
      </c>
    </row>
    <row r="16653" spans="1:7" x14ac:dyDescent="0.25">
      <c r="A16653" t="s">
        <v>50404</v>
      </c>
      <c r="B16653" t="s">
        <v>50914</v>
      </c>
      <c r="C16653" t="s">
        <v>2825</v>
      </c>
      <c r="D16653" t="s">
        <v>50911</v>
      </c>
      <c r="E16653" t="s">
        <v>50912</v>
      </c>
      <c r="F16653" t="s">
        <v>50915</v>
      </c>
      <c r="G16653" s="2" t="str">
        <f>HYPERLINK("https://probpalata.gov.ru/files/ИП660700880000002.jpeg","Скачать индивидуальный QR-код магазина")</f>
        <v>Скачать индивидуальный QR-код магазина</v>
      </c>
    </row>
    <row r="16654" spans="1:7" x14ac:dyDescent="0.25">
      <c r="A16654" t="s">
        <v>50404</v>
      </c>
      <c r="B16654" t="s">
        <v>50916</v>
      </c>
      <c r="C16654" t="s">
        <v>2825</v>
      </c>
      <c r="D16654" t="s">
        <v>50911</v>
      </c>
      <c r="E16654" t="s">
        <v>50912</v>
      </c>
      <c r="F16654" t="s">
        <v>50917</v>
      </c>
      <c r="G16654" s="2" t="str">
        <f>HYPERLINK("https://probpalata.gov.ru/files/ИП660700880000005.jpeg","Скачать индивидуальный QR-код магазина")</f>
        <v>Скачать индивидуальный QR-код магазина</v>
      </c>
    </row>
    <row r="16655" spans="1:7" x14ac:dyDescent="0.25">
      <c r="A16655" t="s">
        <v>50404</v>
      </c>
      <c r="B16655" t="s">
        <v>50918</v>
      </c>
      <c r="C16655" t="s">
        <v>2825</v>
      </c>
      <c r="D16655" t="s">
        <v>50911</v>
      </c>
      <c r="E16655" t="s">
        <v>50912</v>
      </c>
      <c r="F16655" t="s">
        <v>50919</v>
      </c>
      <c r="G16655" s="2" t="str">
        <f>HYPERLINK("https://probpalata.gov.ru/files/ИП660700880000006.jpeg","Скачать индивидуальный QR-код магазина")</f>
        <v>Скачать индивидуальный QR-код магазина</v>
      </c>
    </row>
    <row r="16656" spans="1:7" x14ac:dyDescent="0.25">
      <c r="A16656" t="s">
        <v>50404</v>
      </c>
      <c r="B16656" t="s">
        <v>50920</v>
      </c>
      <c r="C16656" t="s">
        <v>50921</v>
      </c>
      <c r="D16656" t="s">
        <v>50922</v>
      </c>
      <c r="E16656" t="s">
        <v>50923</v>
      </c>
      <c r="F16656" t="s">
        <v>50924</v>
      </c>
      <c r="G16656" s="2" t="str">
        <f>HYPERLINK("https://probpalata.gov.ru/files/ИП660700029800000.jpeg","Скачать индивидуальный QR-код магазина")</f>
        <v>Скачать индивидуальный QR-код магазина</v>
      </c>
    </row>
    <row r="16657" spans="1:7" x14ac:dyDescent="0.25">
      <c r="A16657" t="s">
        <v>50404</v>
      </c>
      <c r="B16657" t="s">
        <v>50925</v>
      </c>
      <c r="C16657" t="s">
        <v>50926</v>
      </c>
      <c r="D16657" t="s">
        <v>50927</v>
      </c>
      <c r="E16657" t="s">
        <v>50928</v>
      </c>
      <c r="F16657" t="s">
        <v>50929</v>
      </c>
      <c r="G16657" s="2" t="str">
        <f>HYPERLINK("https://probpalata.gov.ru/files/ИП660700188200000.jpeg","Скачать индивидуальный QR-код магазина")</f>
        <v>Скачать индивидуальный QR-код магазина</v>
      </c>
    </row>
    <row r="16658" spans="1:7" x14ac:dyDescent="0.25">
      <c r="A16658" t="s">
        <v>50404</v>
      </c>
      <c r="B16658" t="s">
        <v>50930</v>
      </c>
      <c r="C16658" t="s">
        <v>50931</v>
      </c>
      <c r="D16658" t="s">
        <v>50932</v>
      </c>
      <c r="E16658" t="s">
        <v>50933</v>
      </c>
      <c r="F16658" t="s">
        <v>50934</v>
      </c>
      <c r="G16658" s="2" t="str">
        <f>HYPERLINK("https://probpalata.gov.ru/files/ИП660701420900000.jpeg","Скачать индивидуальный QR-код магазина")</f>
        <v>Скачать индивидуальный QR-код магазина</v>
      </c>
    </row>
    <row r="16659" spans="1:7" x14ac:dyDescent="0.25">
      <c r="A16659" t="s">
        <v>50404</v>
      </c>
      <c r="B16659" t="s">
        <v>50935</v>
      </c>
      <c r="C16659" t="s">
        <v>50931</v>
      </c>
      <c r="D16659" t="s">
        <v>50932</v>
      </c>
      <c r="E16659" t="s">
        <v>50933</v>
      </c>
      <c r="F16659" t="s">
        <v>50936</v>
      </c>
      <c r="G16659" s="2" t="str">
        <f>HYPERLINK("https://probpalata.gov.ru/files/ИП660701420900001.jpeg","Скачать индивидуальный QR-код магазина")</f>
        <v>Скачать индивидуальный QR-код магазина</v>
      </c>
    </row>
    <row r="16660" spans="1:7" x14ac:dyDescent="0.25">
      <c r="A16660" t="s">
        <v>50404</v>
      </c>
      <c r="B16660" t="s">
        <v>50937</v>
      </c>
      <c r="C16660" t="s">
        <v>50938</v>
      </c>
      <c r="D16660" t="s">
        <v>50939</v>
      </c>
      <c r="E16660" t="s">
        <v>50940</v>
      </c>
      <c r="F16660" t="s">
        <v>50941</v>
      </c>
      <c r="G16660" s="2" t="str">
        <f>HYPERLINK("https://probpalata.gov.ru/files/ЮЛ660700112800000.jpeg","Скачать индивидуальный QR-код магазина")</f>
        <v>Скачать индивидуальный QR-код магазина</v>
      </c>
    </row>
    <row r="16661" spans="1:7" x14ac:dyDescent="0.25">
      <c r="A16661" t="s">
        <v>50404</v>
      </c>
      <c r="B16661" t="s">
        <v>50942</v>
      </c>
      <c r="C16661" t="s">
        <v>50938</v>
      </c>
      <c r="D16661" t="s">
        <v>50939</v>
      </c>
      <c r="E16661" t="s">
        <v>50940</v>
      </c>
      <c r="F16661" t="s">
        <v>50943</v>
      </c>
      <c r="G16661" s="2" t="str">
        <f>HYPERLINK("https://probpalata.gov.ru/files/ЮЛ660700112800001.jpeg","Скачать индивидуальный QR-код магазина")</f>
        <v>Скачать индивидуальный QR-код магазина</v>
      </c>
    </row>
    <row r="16662" spans="1:7" x14ac:dyDescent="0.25">
      <c r="A16662" t="s">
        <v>50404</v>
      </c>
      <c r="B16662" t="s">
        <v>50944</v>
      </c>
      <c r="C16662" t="s">
        <v>50938</v>
      </c>
      <c r="D16662" t="s">
        <v>50939</v>
      </c>
      <c r="E16662" t="s">
        <v>50940</v>
      </c>
      <c r="F16662" t="s">
        <v>50945</v>
      </c>
      <c r="G16662" s="2" t="str">
        <f>HYPERLINK("https://probpalata.gov.ru/files/ЮЛ660700112800002.jpeg","Скачать индивидуальный QR-код магазина")</f>
        <v>Скачать индивидуальный QR-код магазина</v>
      </c>
    </row>
    <row r="16663" spans="1:7" x14ac:dyDescent="0.25">
      <c r="A16663" t="s">
        <v>50404</v>
      </c>
      <c r="B16663" t="s">
        <v>50946</v>
      </c>
      <c r="C16663" t="s">
        <v>50947</v>
      </c>
      <c r="D16663" t="s">
        <v>50948</v>
      </c>
      <c r="E16663" t="s">
        <v>50949</v>
      </c>
      <c r="F16663" t="s">
        <v>50950</v>
      </c>
      <c r="G16663" s="2" t="str">
        <f>HYPERLINK("https://probpalata.gov.ru/files/ИП660701034300000.jpeg","Скачать индивидуальный QR-код магазина")</f>
        <v>Скачать индивидуальный QR-код магазина</v>
      </c>
    </row>
    <row r="16664" spans="1:7" x14ac:dyDescent="0.25">
      <c r="A16664" t="s">
        <v>50404</v>
      </c>
      <c r="B16664" t="s">
        <v>50951</v>
      </c>
      <c r="C16664" t="s">
        <v>50952</v>
      </c>
      <c r="D16664" t="s">
        <v>50953</v>
      </c>
      <c r="E16664" t="s">
        <v>50954</v>
      </c>
      <c r="F16664" t="s">
        <v>50955</v>
      </c>
      <c r="G16664" s="2" t="str">
        <f>HYPERLINK("https://probpalata.gov.ru/files/ИП660700004000000.jpeg","Скачать индивидуальный QR-код магазина")</f>
        <v>Скачать индивидуальный QR-код магазина</v>
      </c>
    </row>
    <row r="16665" spans="1:7" x14ac:dyDescent="0.25">
      <c r="A16665" t="s">
        <v>50404</v>
      </c>
      <c r="B16665" t="s">
        <v>50956</v>
      </c>
      <c r="C16665" t="s">
        <v>50957</v>
      </c>
      <c r="D16665" t="s">
        <v>50958</v>
      </c>
      <c r="E16665" t="s">
        <v>50959</v>
      </c>
      <c r="F16665" t="s">
        <v>50960</v>
      </c>
      <c r="G16665" s="2" t="str">
        <f>HYPERLINK("https://probpalata.gov.ru/files/ИП660701228000000.jpeg","Скачать индивидуальный QR-код магазина")</f>
        <v>Скачать индивидуальный QR-код магазина</v>
      </c>
    </row>
    <row r="16666" spans="1:7" x14ac:dyDescent="0.25">
      <c r="A16666" t="s">
        <v>50404</v>
      </c>
      <c r="B16666" t="s">
        <v>50961</v>
      </c>
      <c r="C16666" t="s">
        <v>50957</v>
      </c>
      <c r="D16666" t="s">
        <v>50958</v>
      </c>
      <c r="E16666" t="s">
        <v>50959</v>
      </c>
      <c r="F16666" t="s">
        <v>50962</v>
      </c>
      <c r="G16666" s="2" t="str">
        <f>HYPERLINK("https://probpalata.gov.ru/files/ИП660701228000002.jpeg","Скачать индивидуальный QR-код магазина")</f>
        <v>Скачать индивидуальный QR-код магазина</v>
      </c>
    </row>
    <row r="16667" spans="1:7" x14ac:dyDescent="0.25">
      <c r="A16667" t="s">
        <v>50404</v>
      </c>
      <c r="B16667" t="s">
        <v>50963</v>
      </c>
      <c r="C16667" t="s">
        <v>50964</v>
      </c>
      <c r="D16667" t="s">
        <v>50965</v>
      </c>
      <c r="E16667" t="s">
        <v>50966</v>
      </c>
      <c r="F16667" t="s">
        <v>50967</v>
      </c>
      <c r="G16667" s="2" t="str">
        <f>HYPERLINK("https://probpalata.gov.ru/files/ИП660701487800000.jpeg","Скачать индивидуальный QR-код магазина")</f>
        <v>Скачать индивидуальный QR-код магазина</v>
      </c>
    </row>
    <row r="16668" spans="1:7" x14ac:dyDescent="0.25">
      <c r="A16668" t="s">
        <v>50404</v>
      </c>
      <c r="B16668" t="s">
        <v>50968</v>
      </c>
      <c r="C16668" t="s">
        <v>50964</v>
      </c>
      <c r="D16668" t="s">
        <v>50965</v>
      </c>
      <c r="E16668" t="s">
        <v>50966</v>
      </c>
      <c r="F16668" t="s">
        <v>50969</v>
      </c>
      <c r="G16668" s="2" t="str">
        <f>HYPERLINK("https://probpalata.gov.ru/files/ИП660701487800004.jpeg","Скачать индивидуальный QR-код магазина")</f>
        <v>Скачать индивидуальный QR-код магазина</v>
      </c>
    </row>
    <row r="16669" spans="1:7" x14ac:dyDescent="0.25">
      <c r="A16669" t="s">
        <v>50404</v>
      </c>
      <c r="B16669" t="s">
        <v>50970</v>
      </c>
      <c r="C16669" t="s">
        <v>50971</v>
      </c>
      <c r="D16669" t="s">
        <v>50972</v>
      </c>
      <c r="E16669" t="s">
        <v>50973</v>
      </c>
      <c r="F16669" t="s">
        <v>50974</v>
      </c>
      <c r="G16669" s="2" t="str">
        <f>HYPERLINK("https://probpalata.gov.ru/files/ИП660700030800000.jpeg","Скачать индивидуальный QR-код магазина")</f>
        <v>Скачать индивидуальный QR-код магазина</v>
      </c>
    </row>
    <row r="16670" spans="1:7" x14ac:dyDescent="0.25">
      <c r="A16670" t="s">
        <v>50404</v>
      </c>
      <c r="B16670" t="s">
        <v>50975</v>
      </c>
      <c r="C16670" t="s">
        <v>50971</v>
      </c>
      <c r="D16670" t="s">
        <v>50972</v>
      </c>
      <c r="E16670" t="s">
        <v>50973</v>
      </c>
      <c r="F16670" t="s">
        <v>50976</v>
      </c>
      <c r="G16670" s="2" t="str">
        <f>HYPERLINK("https://probpalata.gov.ru/files/ИП660700030800001.jpeg","Скачать индивидуальный QR-код магазина")</f>
        <v>Скачать индивидуальный QR-код магазина</v>
      </c>
    </row>
    <row r="16671" spans="1:7" x14ac:dyDescent="0.25">
      <c r="A16671" t="s">
        <v>50404</v>
      </c>
      <c r="B16671" t="s">
        <v>50977</v>
      </c>
      <c r="C16671" t="s">
        <v>50971</v>
      </c>
      <c r="D16671" t="s">
        <v>50972</v>
      </c>
      <c r="E16671" t="s">
        <v>50973</v>
      </c>
      <c r="F16671" t="s">
        <v>50978</v>
      </c>
      <c r="G16671" s="2" t="str">
        <f>HYPERLINK("https://probpalata.gov.ru/files/ИП660700030800003.jpeg","Скачать индивидуальный QR-код магазина")</f>
        <v>Скачать индивидуальный QR-код магазина</v>
      </c>
    </row>
    <row r="16672" spans="1:7" x14ac:dyDescent="0.25">
      <c r="A16672" t="s">
        <v>50404</v>
      </c>
      <c r="B16672" t="s">
        <v>50979</v>
      </c>
      <c r="C16672" t="s">
        <v>50980</v>
      </c>
      <c r="D16672" t="s">
        <v>50981</v>
      </c>
      <c r="E16672" t="s">
        <v>50982</v>
      </c>
      <c r="F16672" t="s">
        <v>50983</v>
      </c>
      <c r="G16672" s="2" t="str">
        <f>HYPERLINK("https://probpalata.gov.ru/files/ИП660703499700000.jpeg","Скачать индивидуальный QR-код магазина")</f>
        <v>Скачать индивидуальный QR-код магазина</v>
      </c>
    </row>
    <row r="16673" spans="1:7" x14ac:dyDescent="0.25">
      <c r="A16673" t="s">
        <v>50404</v>
      </c>
      <c r="B16673" t="s">
        <v>50984</v>
      </c>
      <c r="C16673" t="s">
        <v>50985</v>
      </c>
      <c r="D16673" t="s">
        <v>50986</v>
      </c>
      <c r="E16673" t="s">
        <v>50987</v>
      </c>
      <c r="F16673" t="s">
        <v>50988</v>
      </c>
      <c r="G16673" s="2" t="str">
        <f>HYPERLINK("https://probpalata.gov.ru/files/ИП660701009400000.jpeg","Скачать индивидуальный QR-код магазина")</f>
        <v>Скачать индивидуальный QR-код магазина</v>
      </c>
    </row>
    <row r="16674" spans="1:7" x14ac:dyDescent="0.25">
      <c r="A16674" t="s">
        <v>50404</v>
      </c>
      <c r="B16674" t="s">
        <v>50989</v>
      </c>
      <c r="C16674" t="s">
        <v>50990</v>
      </c>
      <c r="D16674" t="s">
        <v>50991</v>
      </c>
      <c r="E16674" t="s">
        <v>50992</v>
      </c>
      <c r="F16674" t="s">
        <v>50993</v>
      </c>
      <c r="G16674" s="2" t="str">
        <f>HYPERLINK("https://probpalata.gov.ru/files/ИП660700034000000.jpeg","Скачать индивидуальный QR-код магазина")</f>
        <v>Скачать индивидуальный QR-код магазина</v>
      </c>
    </row>
    <row r="16675" spans="1:7" x14ac:dyDescent="0.25">
      <c r="A16675" t="s">
        <v>50404</v>
      </c>
      <c r="B16675" t="s">
        <v>50994</v>
      </c>
      <c r="C16675" t="s">
        <v>50995</v>
      </c>
      <c r="D16675" t="s">
        <v>50996</v>
      </c>
      <c r="E16675" t="s">
        <v>50997</v>
      </c>
      <c r="F16675" t="s">
        <v>50998</v>
      </c>
      <c r="G16675" s="2" t="str">
        <f>HYPERLINK("https://probpalata.gov.ru/files/ИП660700092000000.jpeg","Скачать индивидуальный QR-код магазина")</f>
        <v>Скачать индивидуальный QR-код магазина</v>
      </c>
    </row>
    <row r="16676" spans="1:7" x14ac:dyDescent="0.25">
      <c r="A16676" t="s">
        <v>50404</v>
      </c>
      <c r="B16676" t="s">
        <v>50999</v>
      </c>
      <c r="C16676" t="s">
        <v>50995</v>
      </c>
      <c r="D16676" t="s">
        <v>50996</v>
      </c>
      <c r="E16676" t="s">
        <v>50997</v>
      </c>
      <c r="F16676" t="s">
        <v>51000</v>
      </c>
      <c r="G16676" s="2" t="str">
        <f>HYPERLINK("https://probpalata.gov.ru/files/ИП660700092000001.jpeg","Скачать индивидуальный QR-код магазина")</f>
        <v>Скачать индивидуальный QR-код магазина</v>
      </c>
    </row>
    <row r="16677" spans="1:7" x14ac:dyDescent="0.25">
      <c r="A16677" t="s">
        <v>50404</v>
      </c>
      <c r="B16677" t="s">
        <v>51001</v>
      </c>
      <c r="C16677" t="s">
        <v>51002</v>
      </c>
      <c r="D16677" t="s">
        <v>51003</v>
      </c>
      <c r="E16677" t="s">
        <v>51004</v>
      </c>
      <c r="F16677" t="s">
        <v>51005</v>
      </c>
      <c r="G16677" s="2" t="str">
        <f>HYPERLINK("https://probpalata.gov.ru/files/ИП660703675100000.jpeg","Скачать индивидуальный QR-код магазина")</f>
        <v>Скачать индивидуальный QR-код магазина</v>
      </c>
    </row>
    <row r="16678" spans="1:7" x14ac:dyDescent="0.25">
      <c r="A16678" t="s">
        <v>50404</v>
      </c>
      <c r="B16678" t="s">
        <v>51006</v>
      </c>
      <c r="C16678" t="s">
        <v>51007</v>
      </c>
      <c r="D16678" t="s">
        <v>51008</v>
      </c>
      <c r="E16678" t="s">
        <v>51009</v>
      </c>
      <c r="F16678" t="s">
        <v>51010</v>
      </c>
      <c r="G16678" s="2" t="str">
        <f>HYPERLINK("https://probpalata.gov.ru/files/ИП660700418400000.jpeg","Скачать индивидуальный QR-код магазина")</f>
        <v>Скачать индивидуальный QR-код магазина</v>
      </c>
    </row>
    <row r="16679" spans="1:7" x14ac:dyDescent="0.25">
      <c r="A16679" t="s">
        <v>50404</v>
      </c>
      <c r="B16679" t="s">
        <v>51011</v>
      </c>
      <c r="C16679" t="s">
        <v>51012</v>
      </c>
      <c r="D16679" t="s">
        <v>51013</v>
      </c>
      <c r="E16679" t="s">
        <v>51014</v>
      </c>
      <c r="F16679" t="s">
        <v>51015</v>
      </c>
      <c r="G16679" s="2" t="str">
        <f>HYPERLINK("https://probpalata.gov.ru/files/ИП660703642600000.jpeg","Скачать индивидуальный QR-код магазина")</f>
        <v>Скачать индивидуальный QR-код магазина</v>
      </c>
    </row>
    <row r="16680" spans="1:7" x14ac:dyDescent="0.25">
      <c r="A16680" t="s">
        <v>50404</v>
      </c>
      <c r="B16680" t="s">
        <v>51016</v>
      </c>
      <c r="C16680" t="s">
        <v>51017</v>
      </c>
      <c r="D16680" t="s">
        <v>51018</v>
      </c>
      <c r="E16680" t="s">
        <v>51019</v>
      </c>
      <c r="F16680" t="s">
        <v>51020</v>
      </c>
      <c r="G16680" s="2" t="str">
        <f>HYPERLINK("https://probpalata.gov.ru/files/ИП660700134800000.jpeg","Скачать индивидуальный QR-код магазина")</f>
        <v>Скачать индивидуальный QR-код магазина</v>
      </c>
    </row>
    <row r="16681" spans="1:7" x14ac:dyDescent="0.25">
      <c r="A16681" t="s">
        <v>50404</v>
      </c>
      <c r="B16681" t="s">
        <v>51021</v>
      </c>
      <c r="C16681" t="s">
        <v>51022</v>
      </c>
      <c r="D16681" t="s">
        <v>51023</v>
      </c>
      <c r="E16681" t="s">
        <v>51024</v>
      </c>
      <c r="F16681" t="s">
        <v>51025</v>
      </c>
      <c r="G16681" s="2" t="str">
        <f>HYPERLINK("https://probpalata.gov.ru/files/ИП660700686200000.jpeg","Скачать индивидуальный QR-код магазина")</f>
        <v>Скачать индивидуальный QR-код магазина</v>
      </c>
    </row>
    <row r="16682" spans="1:7" x14ac:dyDescent="0.25">
      <c r="A16682" t="s">
        <v>50404</v>
      </c>
      <c r="B16682" t="s">
        <v>51026</v>
      </c>
      <c r="C16682" t="s">
        <v>51022</v>
      </c>
      <c r="D16682" t="s">
        <v>51023</v>
      </c>
      <c r="E16682" t="s">
        <v>51024</v>
      </c>
      <c r="F16682" t="s">
        <v>51027</v>
      </c>
      <c r="G16682" s="2" t="str">
        <f>HYPERLINK("https://probpalata.gov.ru/files/ИП660700686200001.jpeg","Скачать индивидуальный QR-код магазина")</f>
        <v>Скачать индивидуальный QR-код магазина</v>
      </c>
    </row>
    <row r="16683" spans="1:7" x14ac:dyDescent="0.25">
      <c r="A16683" t="s">
        <v>50404</v>
      </c>
      <c r="B16683" t="s">
        <v>51028</v>
      </c>
      <c r="C16683" t="s">
        <v>51022</v>
      </c>
      <c r="D16683" t="s">
        <v>51023</v>
      </c>
      <c r="E16683" t="s">
        <v>51024</v>
      </c>
      <c r="F16683" t="s">
        <v>51029</v>
      </c>
      <c r="G16683" s="2" t="str">
        <f>HYPERLINK("https://probpalata.gov.ru/files/ИП660700686200003.jpeg","Скачать индивидуальный QR-код магазина")</f>
        <v>Скачать индивидуальный QR-код магазина</v>
      </c>
    </row>
    <row r="16684" spans="1:7" x14ac:dyDescent="0.25">
      <c r="A16684" t="s">
        <v>50404</v>
      </c>
      <c r="B16684" t="s">
        <v>51030</v>
      </c>
      <c r="C16684" t="s">
        <v>51031</v>
      </c>
      <c r="D16684" t="s">
        <v>51032</v>
      </c>
      <c r="E16684" t="s">
        <v>51033</v>
      </c>
      <c r="F16684" t="s">
        <v>51034</v>
      </c>
      <c r="G16684" s="2" t="str">
        <f>HYPERLINK("https://probpalata.gov.ru/files/ИП660701710300000.jpeg","Скачать индивидуальный QR-код магазина")</f>
        <v>Скачать индивидуальный QR-код магазина</v>
      </c>
    </row>
    <row r="16685" spans="1:7" x14ac:dyDescent="0.25">
      <c r="A16685" t="s">
        <v>50404</v>
      </c>
      <c r="B16685" t="s">
        <v>51035</v>
      </c>
      <c r="C16685" t="s">
        <v>51036</v>
      </c>
      <c r="D16685" t="s">
        <v>51037</v>
      </c>
      <c r="E16685" t="s">
        <v>51038</v>
      </c>
      <c r="F16685" t="s">
        <v>51039</v>
      </c>
      <c r="G16685" s="2" t="str">
        <f>HYPERLINK("https://probpalata.gov.ru/files/ИП660701831900000.jpeg","Скачать индивидуальный QR-код магазина")</f>
        <v>Скачать индивидуальный QR-код магазина</v>
      </c>
    </row>
    <row r="16686" spans="1:7" x14ac:dyDescent="0.25">
      <c r="A16686" t="s">
        <v>50404</v>
      </c>
      <c r="B16686" t="s">
        <v>51040</v>
      </c>
      <c r="C16686" t="s">
        <v>51041</v>
      </c>
      <c r="D16686" t="s">
        <v>51042</v>
      </c>
      <c r="E16686" t="s">
        <v>51043</v>
      </c>
      <c r="F16686" t="s">
        <v>51044</v>
      </c>
      <c r="G16686" s="2" t="str">
        <f>HYPERLINK("https://probpalata.gov.ru/files/ИП660703129200000.jpeg","Скачать индивидуальный QR-код магазина")</f>
        <v>Скачать индивидуальный QR-код магазина</v>
      </c>
    </row>
    <row r="16687" spans="1:7" x14ac:dyDescent="0.25">
      <c r="A16687" t="s">
        <v>50404</v>
      </c>
      <c r="B16687" t="s">
        <v>51045</v>
      </c>
      <c r="C16687" t="s">
        <v>2073</v>
      </c>
      <c r="D16687" t="s">
        <v>51046</v>
      </c>
      <c r="E16687" t="s">
        <v>51047</v>
      </c>
      <c r="F16687" t="s">
        <v>51048</v>
      </c>
      <c r="G16687" s="2" t="str">
        <f>HYPERLINK("https://probpalata.gov.ru/files/ЮЛ660700739300000.jpeg","Скачать индивидуальный QR-код магазина")</f>
        <v>Скачать индивидуальный QR-код магазина</v>
      </c>
    </row>
    <row r="16688" spans="1:7" x14ac:dyDescent="0.25">
      <c r="A16688" t="s">
        <v>50404</v>
      </c>
      <c r="B16688" t="s">
        <v>51049</v>
      </c>
      <c r="C16688" t="s">
        <v>2073</v>
      </c>
      <c r="D16688" t="s">
        <v>51046</v>
      </c>
      <c r="E16688" t="s">
        <v>51047</v>
      </c>
      <c r="F16688" t="s">
        <v>51050</v>
      </c>
      <c r="G16688" s="2" t="str">
        <f>HYPERLINK("https://probpalata.gov.ru/files/ЮЛ660700739300002.jpeg","Скачать индивидуальный QR-код магазина")</f>
        <v>Скачать индивидуальный QR-код магазина</v>
      </c>
    </row>
    <row r="16689" spans="1:7" x14ac:dyDescent="0.25">
      <c r="A16689" t="s">
        <v>50404</v>
      </c>
      <c r="B16689" t="s">
        <v>51051</v>
      </c>
      <c r="C16689" t="s">
        <v>2073</v>
      </c>
      <c r="D16689" t="s">
        <v>51046</v>
      </c>
      <c r="E16689" t="s">
        <v>51047</v>
      </c>
      <c r="F16689" t="s">
        <v>51052</v>
      </c>
      <c r="G16689" s="2" t="str">
        <f>HYPERLINK("https://probpalata.gov.ru/files/ЮЛ660700739300003.jpeg","Скачать индивидуальный QR-код магазина")</f>
        <v>Скачать индивидуальный QR-код магазина</v>
      </c>
    </row>
    <row r="16690" spans="1:7" x14ac:dyDescent="0.25">
      <c r="A16690" t="s">
        <v>50404</v>
      </c>
      <c r="B16690" t="s">
        <v>51053</v>
      </c>
      <c r="C16690" t="s">
        <v>51054</v>
      </c>
      <c r="D16690" t="s">
        <v>51055</v>
      </c>
      <c r="E16690" t="s">
        <v>51056</v>
      </c>
      <c r="F16690" t="s">
        <v>51057</v>
      </c>
      <c r="G16690" s="2" t="str">
        <f>HYPERLINK("https://probpalata.gov.ru/files/ИП660703190800000.jpeg","Скачать индивидуальный QR-код магазина")</f>
        <v>Скачать индивидуальный QR-код магазина</v>
      </c>
    </row>
    <row r="16691" spans="1:7" x14ac:dyDescent="0.25">
      <c r="A16691" t="s">
        <v>50404</v>
      </c>
      <c r="B16691" t="s">
        <v>51058</v>
      </c>
      <c r="C16691" t="s">
        <v>51059</v>
      </c>
      <c r="D16691" t="s">
        <v>51060</v>
      </c>
      <c r="E16691" t="s">
        <v>51061</v>
      </c>
      <c r="F16691" t="s">
        <v>51062</v>
      </c>
      <c r="G16691" s="2" t="str">
        <f>HYPERLINK("https://probpalata.gov.ru/files/ИП660703191000000.jpeg","Скачать индивидуальный QR-код магазина")</f>
        <v>Скачать индивидуальный QR-код магазина</v>
      </c>
    </row>
    <row r="16692" spans="1:7" x14ac:dyDescent="0.25">
      <c r="A16692" t="s">
        <v>50404</v>
      </c>
      <c r="B16692" t="s">
        <v>51063</v>
      </c>
      <c r="C16692" t="s">
        <v>51064</v>
      </c>
      <c r="D16692" t="s">
        <v>51065</v>
      </c>
      <c r="E16692" t="s">
        <v>51066</v>
      </c>
      <c r="F16692" t="s">
        <v>51067</v>
      </c>
      <c r="G16692" s="2" t="str">
        <f>HYPERLINK("https://probpalata.gov.ru/files/ИП660702022800000.jpeg","Скачать индивидуальный QR-код магазина")</f>
        <v>Скачать индивидуальный QR-код магазина</v>
      </c>
    </row>
    <row r="16693" spans="1:7" x14ac:dyDescent="0.25">
      <c r="A16693" t="s">
        <v>50404</v>
      </c>
      <c r="B16693" t="s">
        <v>51068</v>
      </c>
      <c r="C16693" t="s">
        <v>51069</v>
      </c>
      <c r="D16693" t="s">
        <v>51070</v>
      </c>
      <c r="E16693" t="s">
        <v>51071</v>
      </c>
      <c r="F16693" t="s">
        <v>51072</v>
      </c>
      <c r="G16693" s="2" t="str">
        <f>HYPERLINK("https://probpalata.gov.ru/files/ИП660700503100000.jpeg","Скачать индивидуальный QR-код магазина")</f>
        <v>Скачать индивидуальный QR-код магазина</v>
      </c>
    </row>
    <row r="16694" spans="1:7" x14ac:dyDescent="0.25">
      <c r="A16694" t="s">
        <v>50404</v>
      </c>
      <c r="B16694" t="s">
        <v>51073</v>
      </c>
      <c r="C16694" t="s">
        <v>51074</v>
      </c>
      <c r="D16694" t="s">
        <v>51075</v>
      </c>
      <c r="E16694" t="s">
        <v>51076</v>
      </c>
      <c r="F16694" t="s">
        <v>51077</v>
      </c>
      <c r="G16694" s="2" t="str">
        <f>HYPERLINK("https://probpalata.gov.ru/files/ИП660700064900000.jpeg","Скачать индивидуальный QR-код магазина")</f>
        <v>Скачать индивидуальный QR-код магазина</v>
      </c>
    </row>
    <row r="16695" spans="1:7" x14ac:dyDescent="0.25">
      <c r="A16695" t="s">
        <v>50404</v>
      </c>
      <c r="B16695" t="s">
        <v>51078</v>
      </c>
      <c r="C16695" t="s">
        <v>51079</v>
      </c>
      <c r="D16695" t="s">
        <v>51080</v>
      </c>
      <c r="E16695" t="s">
        <v>51081</v>
      </c>
      <c r="F16695" t="s">
        <v>51082</v>
      </c>
      <c r="G16695" s="2" t="str">
        <f>HYPERLINK("https://probpalata.gov.ru/files/ИП660700869500000.jpeg","Скачать индивидуальный QR-код магазина")</f>
        <v>Скачать индивидуальный QR-код магазина</v>
      </c>
    </row>
    <row r="16696" spans="1:7" x14ac:dyDescent="0.25">
      <c r="A16696" t="s">
        <v>50404</v>
      </c>
      <c r="B16696" t="s">
        <v>51083</v>
      </c>
      <c r="C16696" t="s">
        <v>51084</v>
      </c>
      <c r="D16696" t="s">
        <v>51085</v>
      </c>
      <c r="E16696" t="s">
        <v>51086</v>
      </c>
      <c r="F16696" t="s">
        <v>51087</v>
      </c>
      <c r="G16696" s="2" t="str">
        <f>HYPERLINK("https://probpalata.gov.ru/files/ИП660700395500000.jpeg","Скачать индивидуальный QR-код магазина")</f>
        <v>Скачать индивидуальный QR-код магазина</v>
      </c>
    </row>
    <row r="16697" spans="1:7" x14ac:dyDescent="0.25">
      <c r="A16697" t="s">
        <v>50404</v>
      </c>
      <c r="B16697" t="s">
        <v>51088</v>
      </c>
      <c r="C16697" t="s">
        <v>51084</v>
      </c>
      <c r="D16697" t="s">
        <v>51085</v>
      </c>
      <c r="E16697" t="s">
        <v>51086</v>
      </c>
      <c r="F16697" t="s">
        <v>51089</v>
      </c>
      <c r="G16697" s="2" t="str">
        <f>HYPERLINK("https://probpalata.gov.ru/files/ИП660700395500001.jpeg","Скачать индивидуальный QR-код магазина")</f>
        <v>Скачать индивидуальный QR-код магазина</v>
      </c>
    </row>
    <row r="16698" spans="1:7" x14ac:dyDescent="0.25">
      <c r="A16698" t="s">
        <v>50404</v>
      </c>
      <c r="B16698" t="s">
        <v>51090</v>
      </c>
      <c r="C16698" t="s">
        <v>51091</v>
      </c>
      <c r="D16698" t="s">
        <v>51092</v>
      </c>
      <c r="E16698" t="s">
        <v>51093</v>
      </c>
      <c r="F16698" t="s">
        <v>51094</v>
      </c>
      <c r="G16698" s="2" t="str">
        <f>HYPERLINK("https://probpalata.gov.ru/files/ЮЛ660700689800000.jpeg","Скачать индивидуальный QR-код магазина")</f>
        <v>Скачать индивидуальный QR-код магазина</v>
      </c>
    </row>
    <row r="16699" spans="1:7" x14ac:dyDescent="0.25">
      <c r="A16699" t="s">
        <v>50404</v>
      </c>
      <c r="B16699" t="s">
        <v>51095</v>
      </c>
      <c r="C16699" t="s">
        <v>51096</v>
      </c>
      <c r="D16699" t="s">
        <v>51097</v>
      </c>
      <c r="E16699" t="s">
        <v>51098</v>
      </c>
      <c r="F16699" t="s">
        <v>51099</v>
      </c>
      <c r="G16699" s="2" t="str">
        <f>HYPERLINK("https://probpalata.gov.ru/files/ИП660700715200000.jpeg","Скачать индивидуальный QR-код магазина")</f>
        <v>Скачать индивидуальный QR-код магазина</v>
      </c>
    </row>
    <row r="16700" spans="1:7" x14ac:dyDescent="0.25">
      <c r="A16700" t="s">
        <v>50404</v>
      </c>
      <c r="B16700" t="s">
        <v>51100</v>
      </c>
      <c r="C16700" t="s">
        <v>51101</v>
      </c>
      <c r="D16700" t="s">
        <v>51102</v>
      </c>
      <c r="E16700" t="s">
        <v>51103</v>
      </c>
      <c r="F16700" t="s">
        <v>51104</v>
      </c>
      <c r="G16700" s="2" t="str">
        <f>HYPERLINK("https://probpalata.gov.ru/files/ИП660700626900000.jpeg","Скачать индивидуальный QR-код магазина")</f>
        <v>Скачать индивидуальный QR-код магазина</v>
      </c>
    </row>
    <row r="16701" spans="1:7" x14ac:dyDescent="0.25">
      <c r="A16701" t="s">
        <v>50404</v>
      </c>
      <c r="B16701" t="s">
        <v>51105</v>
      </c>
      <c r="C16701" t="s">
        <v>51101</v>
      </c>
      <c r="D16701" t="s">
        <v>51102</v>
      </c>
      <c r="E16701" t="s">
        <v>51103</v>
      </c>
      <c r="F16701" t="s">
        <v>51106</v>
      </c>
      <c r="G16701" s="2" t="str">
        <f>HYPERLINK("https://probpalata.gov.ru/files/ИП660700626900001.jpeg","Скачать индивидуальный QR-код магазина")</f>
        <v>Скачать индивидуальный QR-код магазина</v>
      </c>
    </row>
    <row r="16702" spans="1:7" x14ac:dyDescent="0.25">
      <c r="A16702" t="s">
        <v>50404</v>
      </c>
      <c r="B16702" t="s">
        <v>51107</v>
      </c>
      <c r="C16702" t="s">
        <v>51101</v>
      </c>
      <c r="D16702" t="s">
        <v>51102</v>
      </c>
      <c r="E16702" t="s">
        <v>51103</v>
      </c>
      <c r="F16702" t="s">
        <v>51108</v>
      </c>
      <c r="G16702" s="2" t="str">
        <f>HYPERLINK("https://probpalata.gov.ru/files/ИП660700626900002.jpeg","Скачать индивидуальный QR-код магазина")</f>
        <v>Скачать индивидуальный QR-код магазина</v>
      </c>
    </row>
    <row r="16703" spans="1:7" x14ac:dyDescent="0.25">
      <c r="A16703" t="s">
        <v>50404</v>
      </c>
      <c r="B16703" t="s">
        <v>51109</v>
      </c>
      <c r="C16703" t="s">
        <v>51101</v>
      </c>
      <c r="D16703" t="s">
        <v>51102</v>
      </c>
      <c r="E16703" t="s">
        <v>51103</v>
      </c>
      <c r="F16703" t="s">
        <v>51110</v>
      </c>
      <c r="G16703" s="2" t="str">
        <f>HYPERLINK("https://probpalata.gov.ru/files/ИП660700626900003.jpeg","Скачать индивидуальный QR-код магазина")</f>
        <v>Скачать индивидуальный QR-код магазина</v>
      </c>
    </row>
    <row r="16704" spans="1:7" x14ac:dyDescent="0.25">
      <c r="A16704" t="s">
        <v>50404</v>
      </c>
      <c r="B16704" t="s">
        <v>51111</v>
      </c>
      <c r="C16704" t="s">
        <v>51101</v>
      </c>
      <c r="D16704" t="s">
        <v>51102</v>
      </c>
      <c r="E16704" t="s">
        <v>51103</v>
      </c>
      <c r="F16704" t="s">
        <v>51112</v>
      </c>
      <c r="G16704" s="2" t="str">
        <f>HYPERLINK("https://probpalata.gov.ru/files/ИП660700626900004.jpeg","Скачать индивидуальный QR-код магазина")</f>
        <v>Скачать индивидуальный QR-код магазина</v>
      </c>
    </row>
    <row r="16705" spans="1:7" x14ac:dyDescent="0.25">
      <c r="A16705" t="s">
        <v>50404</v>
      </c>
      <c r="B16705" t="s">
        <v>51113</v>
      </c>
      <c r="C16705" t="s">
        <v>51101</v>
      </c>
      <c r="D16705" t="s">
        <v>51102</v>
      </c>
      <c r="E16705" t="s">
        <v>51103</v>
      </c>
      <c r="F16705" t="s">
        <v>51114</v>
      </c>
      <c r="G16705" s="2" t="str">
        <f>HYPERLINK("https://probpalata.gov.ru/files/ИП660700626900008.jpeg","Скачать индивидуальный QR-код магазина")</f>
        <v>Скачать индивидуальный QR-код магазина</v>
      </c>
    </row>
    <row r="16706" spans="1:7" x14ac:dyDescent="0.25">
      <c r="A16706" t="s">
        <v>50404</v>
      </c>
      <c r="B16706" t="s">
        <v>51115</v>
      </c>
      <c r="C16706" t="s">
        <v>51116</v>
      </c>
      <c r="D16706" t="s">
        <v>51117</v>
      </c>
      <c r="E16706" t="s">
        <v>51118</v>
      </c>
      <c r="F16706" t="s">
        <v>51119</v>
      </c>
      <c r="G16706" s="2" t="str">
        <f>HYPERLINK("https://probpalata.gov.ru/files/ИП660700096400000.jpeg","Скачать индивидуальный QR-код магазина")</f>
        <v>Скачать индивидуальный QR-код магазина</v>
      </c>
    </row>
    <row r="16707" spans="1:7" x14ac:dyDescent="0.25">
      <c r="A16707" t="s">
        <v>50404</v>
      </c>
      <c r="B16707" t="s">
        <v>51120</v>
      </c>
      <c r="C16707" t="s">
        <v>51116</v>
      </c>
      <c r="D16707" t="s">
        <v>51117</v>
      </c>
      <c r="E16707" t="s">
        <v>51118</v>
      </c>
      <c r="F16707" t="s">
        <v>51121</v>
      </c>
      <c r="G16707" s="2" t="str">
        <f>HYPERLINK("https://probpalata.gov.ru/files/ИП660700096400002.jpeg","Скачать индивидуальный QR-код магазина")</f>
        <v>Скачать индивидуальный QR-код магазина</v>
      </c>
    </row>
    <row r="16708" spans="1:7" x14ac:dyDescent="0.25">
      <c r="A16708" t="s">
        <v>50404</v>
      </c>
      <c r="B16708" t="s">
        <v>51122</v>
      </c>
      <c r="C16708" t="s">
        <v>51123</v>
      </c>
      <c r="D16708" t="s">
        <v>51124</v>
      </c>
      <c r="E16708" t="s">
        <v>51125</v>
      </c>
      <c r="F16708" t="s">
        <v>51126</v>
      </c>
      <c r="G16708" s="2" t="str">
        <f>HYPERLINK("https://probpalata.gov.ru/files/ИП660700596700000.jpeg","Скачать индивидуальный QR-код магазина")</f>
        <v>Скачать индивидуальный QR-код магазина</v>
      </c>
    </row>
    <row r="16709" spans="1:7" x14ac:dyDescent="0.25">
      <c r="A16709" t="s">
        <v>50404</v>
      </c>
      <c r="B16709" t="s">
        <v>51127</v>
      </c>
      <c r="C16709" t="s">
        <v>51123</v>
      </c>
      <c r="D16709" t="s">
        <v>51124</v>
      </c>
      <c r="E16709" t="s">
        <v>51125</v>
      </c>
      <c r="F16709" t="s">
        <v>51128</v>
      </c>
      <c r="G16709" s="2" t="str">
        <f>HYPERLINK("https://probpalata.gov.ru/files/ИП660700596700001.jpeg","Скачать индивидуальный QR-код магазина")</f>
        <v>Скачать индивидуальный QR-код магазина</v>
      </c>
    </row>
    <row r="16710" spans="1:7" x14ac:dyDescent="0.25">
      <c r="A16710" t="s">
        <v>50404</v>
      </c>
      <c r="B16710" t="s">
        <v>51129</v>
      </c>
      <c r="C16710" t="s">
        <v>51130</v>
      </c>
      <c r="D16710" t="s">
        <v>51131</v>
      </c>
      <c r="E16710" t="s">
        <v>51132</v>
      </c>
      <c r="F16710" t="s">
        <v>51133</v>
      </c>
      <c r="G16710" s="2" t="str">
        <f>HYPERLINK("https://probpalata.gov.ru/files/ИП660701792700000.jpeg","Скачать индивидуальный QR-код магазина")</f>
        <v>Скачать индивидуальный QR-код магазина</v>
      </c>
    </row>
    <row r="16711" spans="1:7" x14ac:dyDescent="0.25">
      <c r="A16711" t="s">
        <v>50404</v>
      </c>
      <c r="B16711" t="s">
        <v>51134</v>
      </c>
      <c r="C16711" t="s">
        <v>51135</v>
      </c>
      <c r="D16711" t="s">
        <v>51136</v>
      </c>
      <c r="E16711" t="s">
        <v>51137</v>
      </c>
      <c r="F16711" t="s">
        <v>51138</v>
      </c>
      <c r="G16711" s="2" t="str">
        <f>HYPERLINK("https://probpalata.gov.ru/files/ИП660700271900000.jpeg","Скачать индивидуальный QR-код магазина")</f>
        <v>Скачать индивидуальный QR-код магазина</v>
      </c>
    </row>
    <row r="16712" spans="1:7" x14ac:dyDescent="0.25">
      <c r="A16712" t="s">
        <v>50404</v>
      </c>
      <c r="B16712" t="s">
        <v>51139</v>
      </c>
      <c r="C16712" t="s">
        <v>51140</v>
      </c>
      <c r="D16712" t="s">
        <v>51141</v>
      </c>
      <c r="E16712" t="s">
        <v>51142</v>
      </c>
      <c r="F16712" t="s">
        <v>51143</v>
      </c>
      <c r="G16712" s="2" t="str">
        <f>HYPERLINK("https://probpalata.gov.ru/files/ИП660703233700000.jpeg","Скачать индивидуальный QR-код магазина")</f>
        <v>Скачать индивидуальный QR-код магазина</v>
      </c>
    </row>
    <row r="16713" spans="1:7" x14ac:dyDescent="0.25">
      <c r="A16713" t="s">
        <v>50404</v>
      </c>
      <c r="B16713" t="s">
        <v>51144</v>
      </c>
      <c r="C16713" t="s">
        <v>51145</v>
      </c>
      <c r="D16713" t="s">
        <v>51146</v>
      </c>
      <c r="E16713" t="s">
        <v>51147</v>
      </c>
      <c r="F16713" t="s">
        <v>51148</v>
      </c>
      <c r="G16713" s="2" t="str">
        <f>HYPERLINK("https://probpalata.gov.ru/files/ИП660703659100000.jpeg","Скачать индивидуальный QR-код магазина")</f>
        <v>Скачать индивидуальный QR-код магазина</v>
      </c>
    </row>
    <row r="16714" spans="1:7" x14ac:dyDescent="0.25">
      <c r="A16714" t="s">
        <v>50404</v>
      </c>
      <c r="B16714" t="s">
        <v>51149</v>
      </c>
      <c r="C16714" t="s">
        <v>51145</v>
      </c>
      <c r="D16714" t="s">
        <v>51146</v>
      </c>
      <c r="E16714" t="s">
        <v>51147</v>
      </c>
      <c r="F16714" t="s">
        <v>51150</v>
      </c>
      <c r="G16714" s="2" t="str">
        <f>HYPERLINK("https://probpalata.gov.ru/files/ИП660703659100002.jpeg","Скачать индивидуальный QR-код магазина")</f>
        <v>Скачать индивидуальный QR-код магазина</v>
      </c>
    </row>
    <row r="16715" spans="1:7" x14ac:dyDescent="0.25">
      <c r="A16715" t="s">
        <v>50404</v>
      </c>
      <c r="B16715" t="s">
        <v>51151</v>
      </c>
      <c r="C16715" t="s">
        <v>51152</v>
      </c>
      <c r="D16715" t="s">
        <v>51153</v>
      </c>
      <c r="E16715" t="s">
        <v>51154</v>
      </c>
      <c r="F16715" t="s">
        <v>51155</v>
      </c>
      <c r="G16715" s="2" t="str">
        <f>HYPERLINK("https://probpalata.gov.ru/files/ИП660703981300000.jpeg","Скачать индивидуальный QR-код магазина")</f>
        <v>Скачать индивидуальный QR-код магазина</v>
      </c>
    </row>
    <row r="16716" spans="1:7" x14ac:dyDescent="0.25">
      <c r="A16716" t="s">
        <v>50404</v>
      </c>
      <c r="B16716" t="s">
        <v>51156</v>
      </c>
      <c r="C16716" t="s">
        <v>51157</v>
      </c>
      <c r="D16716" t="s">
        <v>51158</v>
      </c>
      <c r="E16716" t="s">
        <v>51159</v>
      </c>
      <c r="F16716" t="s">
        <v>51160</v>
      </c>
      <c r="G16716" s="2" t="str">
        <f>HYPERLINK("https://probpalata.gov.ru/files/ИП660700506100000.jpeg","Скачать индивидуальный QR-код магазина")</f>
        <v>Скачать индивидуальный QR-код магазина</v>
      </c>
    </row>
    <row r="16717" spans="1:7" x14ac:dyDescent="0.25">
      <c r="A16717" t="s">
        <v>50404</v>
      </c>
      <c r="B16717" t="s">
        <v>51161</v>
      </c>
      <c r="C16717" t="s">
        <v>51162</v>
      </c>
      <c r="D16717" t="s">
        <v>51163</v>
      </c>
      <c r="E16717" t="s">
        <v>51164</v>
      </c>
      <c r="F16717" t="s">
        <v>51165</v>
      </c>
      <c r="G16717" s="2" t="str">
        <f>HYPERLINK("https://probpalata.gov.ru/files/ИП660703660200000.jpeg","Скачать индивидуальный QR-код магазина")</f>
        <v>Скачать индивидуальный QR-код магазина</v>
      </c>
    </row>
    <row r="16718" spans="1:7" x14ac:dyDescent="0.25">
      <c r="A16718" t="s">
        <v>50404</v>
      </c>
      <c r="B16718" t="s">
        <v>51166</v>
      </c>
      <c r="C16718" t="s">
        <v>51167</v>
      </c>
      <c r="D16718" t="s">
        <v>51168</v>
      </c>
      <c r="E16718" t="s">
        <v>51169</v>
      </c>
      <c r="F16718" t="s">
        <v>51170</v>
      </c>
      <c r="G16718" s="2" t="str">
        <f>HYPERLINK("https://probpalata.gov.ru/files/ИП660703397100000.jpeg","Скачать индивидуальный QR-код магазина")</f>
        <v>Скачать индивидуальный QR-код магазина</v>
      </c>
    </row>
    <row r="16719" spans="1:7" x14ac:dyDescent="0.25">
      <c r="A16719" t="s">
        <v>50404</v>
      </c>
      <c r="B16719" t="s">
        <v>51171</v>
      </c>
      <c r="C16719" t="s">
        <v>51172</v>
      </c>
      <c r="D16719" t="s">
        <v>51173</v>
      </c>
      <c r="E16719" t="s">
        <v>51174</v>
      </c>
      <c r="F16719" t="s">
        <v>51175</v>
      </c>
      <c r="G16719" s="2" t="str">
        <f>HYPERLINK("https://probpalata.gov.ru/files/ИП660703672500000.jpeg","Скачать индивидуальный QR-код магазина")</f>
        <v>Скачать индивидуальный QR-код магазина</v>
      </c>
    </row>
    <row r="16720" spans="1:7" x14ac:dyDescent="0.25">
      <c r="A16720" t="s">
        <v>50404</v>
      </c>
      <c r="B16720" t="s">
        <v>51176</v>
      </c>
      <c r="C16720" t="s">
        <v>51177</v>
      </c>
      <c r="D16720" t="s">
        <v>51178</v>
      </c>
      <c r="E16720" t="s">
        <v>51179</v>
      </c>
      <c r="F16720" t="s">
        <v>51180</v>
      </c>
      <c r="G16720" s="2" t="str">
        <f>HYPERLINK("https://probpalata.gov.ru/files/ИП660701053000000.jpeg","Скачать индивидуальный QR-код магазина")</f>
        <v>Скачать индивидуальный QR-код магазина</v>
      </c>
    </row>
    <row r="16721" spans="1:7" x14ac:dyDescent="0.25">
      <c r="A16721" t="s">
        <v>50404</v>
      </c>
      <c r="B16721" t="s">
        <v>51181</v>
      </c>
      <c r="C16721" t="s">
        <v>51182</v>
      </c>
      <c r="D16721" t="s">
        <v>51183</v>
      </c>
      <c r="E16721" t="s">
        <v>51184</v>
      </c>
      <c r="F16721" t="s">
        <v>51185</v>
      </c>
      <c r="G16721" s="2" t="str">
        <f>HYPERLINK("https://probpalata.gov.ru/files/ИП660703336100000.jpeg","Скачать индивидуальный QR-код магазина")</f>
        <v>Скачать индивидуальный QR-код магазина</v>
      </c>
    </row>
    <row r="16722" spans="1:7" x14ac:dyDescent="0.25">
      <c r="A16722" t="s">
        <v>50404</v>
      </c>
      <c r="B16722" t="s">
        <v>51186</v>
      </c>
      <c r="C16722" t="s">
        <v>51187</v>
      </c>
      <c r="D16722" t="s">
        <v>51188</v>
      </c>
      <c r="E16722" t="s">
        <v>51189</v>
      </c>
      <c r="F16722" t="s">
        <v>51190</v>
      </c>
      <c r="G16722" s="2" t="str">
        <f>HYPERLINK("https://probpalata.gov.ru/files/ИП660700873800000.jpeg","Скачать индивидуальный QR-код магазина")</f>
        <v>Скачать индивидуальный QR-код магазина</v>
      </c>
    </row>
    <row r="16723" spans="1:7" x14ac:dyDescent="0.25">
      <c r="A16723" t="s">
        <v>50404</v>
      </c>
      <c r="B16723" t="s">
        <v>51191</v>
      </c>
      <c r="C16723" t="s">
        <v>51192</v>
      </c>
      <c r="D16723" t="s">
        <v>51193</v>
      </c>
      <c r="E16723" t="s">
        <v>51194</v>
      </c>
      <c r="F16723" t="s">
        <v>51195</v>
      </c>
      <c r="G16723" s="2" t="str">
        <f>HYPERLINK("https://probpalata.gov.ru/files/ИП660700954800000.jpeg","Скачать индивидуальный QR-код магазина")</f>
        <v>Скачать индивидуальный QR-код магазина</v>
      </c>
    </row>
    <row r="16724" spans="1:7" x14ac:dyDescent="0.25">
      <c r="A16724" t="s">
        <v>50404</v>
      </c>
      <c r="B16724" t="s">
        <v>51196</v>
      </c>
      <c r="C16724" t="s">
        <v>51197</v>
      </c>
      <c r="D16724" t="s">
        <v>51198</v>
      </c>
      <c r="E16724" t="s">
        <v>51199</v>
      </c>
      <c r="F16724" t="s">
        <v>51200</v>
      </c>
      <c r="G16724" s="2" t="str">
        <f>HYPERLINK("https://probpalata.gov.ru/files/ИП660703296700000.jpeg","Скачать индивидуальный QR-код магазина")</f>
        <v>Скачать индивидуальный QR-код магазина</v>
      </c>
    </row>
    <row r="16725" spans="1:7" x14ac:dyDescent="0.25">
      <c r="A16725" t="s">
        <v>50404</v>
      </c>
      <c r="B16725" t="s">
        <v>51201</v>
      </c>
      <c r="C16725" t="s">
        <v>51202</v>
      </c>
      <c r="D16725" t="s">
        <v>51203</v>
      </c>
      <c r="E16725" t="s">
        <v>51204</v>
      </c>
      <c r="F16725" t="s">
        <v>51205</v>
      </c>
      <c r="G16725" s="2" t="str">
        <f>HYPERLINK("https://probpalata.gov.ru/files/ИП660703311700000.jpeg","Скачать индивидуальный QR-код магазина")</f>
        <v>Скачать индивидуальный QR-код магазина</v>
      </c>
    </row>
    <row r="16726" spans="1:7" x14ac:dyDescent="0.25">
      <c r="A16726" t="s">
        <v>50404</v>
      </c>
      <c r="B16726" t="s">
        <v>51206</v>
      </c>
      <c r="C16726" t="s">
        <v>2481</v>
      </c>
      <c r="D16726" t="s">
        <v>51207</v>
      </c>
      <c r="E16726" t="s">
        <v>51208</v>
      </c>
      <c r="F16726" t="s">
        <v>51209</v>
      </c>
      <c r="G16726" s="2" t="str">
        <f>HYPERLINK("https://probpalata.gov.ru/files/ЮЛ660701594800000.jpeg","Скачать индивидуальный QR-код магазина")</f>
        <v>Скачать индивидуальный QR-код магазина</v>
      </c>
    </row>
    <row r="16727" spans="1:7" x14ac:dyDescent="0.25">
      <c r="A16727" t="s">
        <v>50404</v>
      </c>
      <c r="B16727" t="s">
        <v>51210</v>
      </c>
      <c r="C16727" t="s">
        <v>51211</v>
      </c>
      <c r="D16727" t="s">
        <v>51212</v>
      </c>
      <c r="E16727" t="s">
        <v>51213</v>
      </c>
      <c r="F16727" t="s">
        <v>51214</v>
      </c>
      <c r="G16727" s="2" t="str">
        <f>HYPERLINK("https://probpalata.gov.ru/files/ИП660700866900000.jpeg","Скачать индивидуальный QR-код магазина")</f>
        <v>Скачать индивидуальный QR-код магазина</v>
      </c>
    </row>
    <row r="16728" spans="1:7" x14ac:dyDescent="0.25">
      <c r="A16728" t="s">
        <v>50404</v>
      </c>
      <c r="B16728" t="s">
        <v>51215</v>
      </c>
      <c r="C16728" t="s">
        <v>51216</v>
      </c>
      <c r="D16728" t="s">
        <v>51217</v>
      </c>
      <c r="E16728" t="s">
        <v>51218</v>
      </c>
      <c r="F16728" t="s">
        <v>51219</v>
      </c>
      <c r="G16728" s="2" t="str">
        <f>HYPERLINK("https://probpalata.gov.ru/files/ИП660700743700000.jpeg","Скачать индивидуальный QR-код магазина")</f>
        <v>Скачать индивидуальный QR-код магазина</v>
      </c>
    </row>
    <row r="16729" spans="1:7" x14ac:dyDescent="0.25">
      <c r="A16729" t="s">
        <v>50404</v>
      </c>
      <c r="B16729" t="s">
        <v>51220</v>
      </c>
      <c r="C16729" t="s">
        <v>51221</v>
      </c>
      <c r="D16729" t="s">
        <v>51222</v>
      </c>
      <c r="E16729" t="s">
        <v>51223</v>
      </c>
      <c r="F16729" t="s">
        <v>51224</v>
      </c>
      <c r="G16729" s="2" t="str">
        <f>HYPERLINK("https://probpalata.gov.ru/files/ИП660700176100000.jpeg","Скачать индивидуальный QR-код магазина")</f>
        <v>Скачать индивидуальный QR-код магазина</v>
      </c>
    </row>
    <row r="16730" spans="1:7" x14ac:dyDescent="0.25">
      <c r="A16730" t="s">
        <v>50404</v>
      </c>
      <c r="B16730" t="s">
        <v>51225</v>
      </c>
      <c r="C16730" t="s">
        <v>51226</v>
      </c>
      <c r="D16730" t="s">
        <v>51227</v>
      </c>
      <c r="E16730" t="s">
        <v>51228</v>
      </c>
      <c r="F16730" t="s">
        <v>51229</v>
      </c>
      <c r="G16730" s="2" t="str">
        <f>HYPERLINK("https://probpalata.gov.ru/files/ИП660700741400000.jpeg","Скачать индивидуальный QR-код магазина")</f>
        <v>Скачать индивидуальный QR-код магазина</v>
      </c>
    </row>
    <row r="16731" spans="1:7" x14ac:dyDescent="0.25">
      <c r="A16731" t="s">
        <v>50404</v>
      </c>
      <c r="B16731" t="s">
        <v>51230</v>
      </c>
      <c r="C16731" t="s">
        <v>51231</v>
      </c>
      <c r="D16731" t="s">
        <v>51232</v>
      </c>
      <c r="E16731" t="s">
        <v>51233</v>
      </c>
      <c r="F16731" t="s">
        <v>51234</v>
      </c>
      <c r="G16731" s="2" t="str">
        <f>HYPERLINK("https://probpalata.gov.ru/files/ЮЛ660700360100000.jpeg","Скачать индивидуальный QR-код магазина")</f>
        <v>Скачать индивидуальный QR-код магазина</v>
      </c>
    </row>
    <row r="16732" spans="1:7" x14ac:dyDescent="0.25">
      <c r="A16732" t="s">
        <v>50404</v>
      </c>
      <c r="B16732" t="s">
        <v>51235</v>
      </c>
      <c r="C16732" t="s">
        <v>51236</v>
      </c>
      <c r="D16732" t="s">
        <v>51237</v>
      </c>
      <c r="E16732" t="s">
        <v>51238</v>
      </c>
      <c r="F16732" t="s">
        <v>51239</v>
      </c>
      <c r="G16732" s="2" t="str">
        <f>HYPERLINK("https://probpalata.gov.ru/files/ИП660701051700000.jpeg","Скачать индивидуальный QR-код магазина")</f>
        <v>Скачать индивидуальный QR-код магазина</v>
      </c>
    </row>
    <row r="16733" spans="1:7" x14ac:dyDescent="0.25">
      <c r="A16733" t="s">
        <v>50404</v>
      </c>
      <c r="B16733" t="s">
        <v>51240</v>
      </c>
      <c r="C16733" t="s">
        <v>51241</v>
      </c>
      <c r="D16733" t="s">
        <v>51242</v>
      </c>
      <c r="E16733" t="s">
        <v>51243</v>
      </c>
      <c r="F16733" t="s">
        <v>51244</v>
      </c>
      <c r="G16733" s="2" t="str">
        <f>HYPERLINK("https://probpalata.gov.ru/files/ИП660700003300000.jpeg","Скачать индивидуальный QR-код магазина")</f>
        <v>Скачать индивидуальный QR-код магазина</v>
      </c>
    </row>
    <row r="16734" spans="1:7" x14ac:dyDescent="0.25">
      <c r="A16734" t="s">
        <v>50404</v>
      </c>
      <c r="B16734" t="s">
        <v>51245</v>
      </c>
      <c r="C16734" t="s">
        <v>51246</v>
      </c>
      <c r="D16734" t="s">
        <v>51247</v>
      </c>
      <c r="E16734" t="s">
        <v>51248</v>
      </c>
      <c r="F16734" t="s">
        <v>51249</v>
      </c>
      <c r="G16734" s="2" t="str">
        <f>HYPERLINK("https://probpalata.gov.ru/files/ИП660700241700000.jpeg","Скачать индивидуальный QR-код магазина")</f>
        <v>Скачать индивидуальный QR-код магазина</v>
      </c>
    </row>
    <row r="16735" spans="1:7" x14ac:dyDescent="0.25">
      <c r="A16735" t="s">
        <v>50404</v>
      </c>
      <c r="B16735" t="s">
        <v>51250</v>
      </c>
      <c r="C16735" t="s">
        <v>51251</v>
      </c>
      <c r="D16735" t="s">
        <v>51252</v>
      </c>
      <c r="E16735" t="s">
        <v>51253</v>
      </c>
      <c r="F16735" t="s">
        <v>51254</v>
      </c>
      <c r="G16735" s="2" t="str">
        <f>HYPERLINK("https://probpalata.gov.ru/files/ИП660700088600000.jpeg","Скачать индивидуальный QR-код магазина")</f>
        <v>Скачать индивидуальный QR-код магазина</v>
      </c>
    </row>
    <row r="16736" spans="1:7" x14ac:dyDescent="0.25">
      <c r="A16736" t="s">
        <v>50404</v>
      </c>
      <c r="B16736" t="s">
        <v>51255</v>
      </c>
      <c r="C16736" t="s">
        <v>51251</v>
      </c>
      <c r="D16736" t="s">
        <v>51252</v>
      </c>
      <c r="E16736" t="s">
        <v>51253</v>
      </c>
      <c r="F16736" t="s">
        <v>51256</v>
      </c>
      <c r="G16736" s="2" t="str">
        <f>HYPERLINK("https://probpalata.gov.ru/files/ИП660700088600001.jpeg","Скачать индивидуальный QR-код магазина")</f>
        <v>Скачать индивидуальный QR-код магазина</v>
      </c>
    </row>
    <row r="16737" spans="1:7" x14ac:dyDescent="0.25">
      <c r="A16737" t="s">
        <v>50404</v>
      </c>
      <c r="B16737" t="s">
        <v>51257</v>
      </c>
      <c r="C16737" t="s">
        <v>51258</v>
      </c>
      <c r="D16737" t="s">
        <v>51259</v>
      </c>
      <c r="E16737" t="s">
        <v>51260</v>
      </c>
      <c r="F16737" t="s">
        <v>51261</v>
      </c>
      <c r="G16737" s="2" t="str">
        <f>HYPERLINK("https://probpalata.gov.ru/files/ЮЛ660700003400000.jpeg","Скачать индивидуальный QR-код магазина")</f>
        <v>Скачать индивидуальный QR-код магазина</v>
      </c>
    </row>
    <row r="16738" spans="1:7" x14ac:dyDescent="0.25">
      <c r="A16738" t="s">
        <v>50404</v>
      </c>
      <c r="B16738" t="s">
        <v>51262</v>
      </c>
      <c r="C16738" t="s">
        <v>51263</v>
      </c>
      <c r="D16738" t="s">
        <v>51264</v>
      </c>
      <c r="E16738" t="s">
        <v>51265</v>
      </c>
      <c r="F16738" t="s">
        <v>51266</v>
      </c>
      <c r="G16738" s="2" t="str">
        <f>HYPERLINK("https://probpalata.gov.ru/files/ЮЛ660700950500000.jpeg","Скачать индивидуальный QR-код магазина")</f>
        <v>Скачать индивидуальный QR-код магазина</v>
      </c>
    </row>
    <row r="16739" spans="1:7" x14ac:dyDescent="0.25">
      <c r="A16739" t="s">
        <v>50404</v>
      </c>
      <c r="B16739" t="s">
        <v>51267</v>
      </c>
      <c r="C16739" t="s">
        <v>51268</v>
      </c>
      <c r="D16739" t="s">
        <v>51269</v>
      </c>
      <c r="E16739" t="s">
        <v>51270</v>
      </c>
      <c r="F16739" t="s">
        <v>51271</v>
      </c>
      <c r="G16739" s="2" t="str">
        <f>HYPERLINK("https://probpalata.gov.ru/files/ЮЛ660704070900000.jpeg","Скачать индивидуальный QR-код магазина")</f>
        <v>Скачать индивидуальный QR-код магазина</v>
      </c>
    </row>
    <row r="16740" spans="1:7" x14ac:dyDescent="0.25">
      <c r="A16740" t="s">
        <v>50404</v>
      </c>
      <c r="B16740" t="s">
        <v>51272</v>
      </c>
      <c r="C16740" t="s">
        <v>51273</v>
      </c>
      <c r="D16740" t="s">
        <v>51274</v>
      </c>
      <c r="E16740" t="s">
        <v>51275</v>
      </c>
      <c r="F16740" t="s">
        <v>51276</v>
      </c>
      <c r="G16740" s="2" t="str">
        <f>HYPERLINK("https://probpalata.gov.ru/files/ЮЛ660701718800000.jpeg","Скачать индивидуальный QR-код магазина")</f>
        <v>Скачать индивидуальный QR-код магазина</v>
      </c>
    </row>
    <row r="16741" spans="1:7" x14ac:dyDescent="0.25">
      <c r="A16741" t="s">
        <v>50404</v>
      </c>
      <c r="B16741" t="s">
        <v>51277</v>
      </c>
      <c r="C16741" t="s">
        <v>25180</v>
      </c>
      <c r="D16741" t="s">
        <v>51278</v>
      </c>
      <c r="E16741" t="s">
        <v>51279</v>
      </c>
      <c r="F16741" t="s">
        <v>51280</v>
      </c>
      <c r="G16741" s="2" t="str">
        <f>HYPERLINK("https://probpalata.gov.ru/files/ЮЛ660700634600000.jpeg","Скачать индивидуальный QR-код магазина")</f>
        <v>Скачать индивидуальный QR-код магазина</v>
      </c>
    </row>
    <row r="16742" spans="1:7" x14ac:dyDescent="0.25">
      <c r="A16742" t="s">
        <v>50404</v>
      </c>
      <c r="B16742" t="s">
        <v>51281</v>
      </c>
      <c r="C16742" t="s">
        <v>51282</v>
      </c>
      <c r="D16742" t="s">
        <v>51283</v>
      </c>
      <c r="E16742" t="s">
        <v>51284</v>
      </c>
      <c r="F16742" t="s">
        <v>51285</v>
      </c>
      <c r="G16742" s="2" t="str">
        <f>HYPERLINK("https://probpalata.gov.ru/files/ЮЛ660703278800000.jpeg","Скачать индивидуальный QR-код магазина")</f>
        <v>Скачать индивидуальный QR-код магазина</v>
      </c>
    </row>
    <row r="16743" spans="1:7" x14ac:dyDescent="0.25">
      <c r="A16743" t="s">
        <v>50404</v>
      </c>
      <c r="B16743" t="s">
        <v>51286</v>
      </c>
      <c r="C16743" t="s">
        <v>51287</v>
      </c>
      <c r="D16743" t="s">
        <v>51288</v>
      </c>
      <c r="E16743" t="s">
        <v>51289</v>
      </c>
      <c r="F16743" t="s">
        <v>51290</v>
      </c>
      <c r="G16743" s="2" t="str">
        <f>HYPERLINK("https://probpalata.gov.ru/files/ЮЛ660700120700000.jpeg","Скачать индивидуальный QR-код магазина")</f>
        <v>Скачать индивидуальный QR-код магазина</v>
      </c>
    </row>
    <row r="16744" spans="1:7" x14ac:dyDescent="0.25">
      <c r="A16744" t="s">
        <v>50404</v>
      </c>
      <c r="B16744" t="s">
        <v>51291</v>
      </c>
      <c r="C16744" t="s">
        <v>20730</v>
      </c>
      <c r="D16744" t="s">
        <v>20731</v>
      </c>
      <c r="E16744" t="s">
        <v>20732</v>
      </c>
      <c r="F16744" t="s">
        <v>51292</v>
      </c>
      <c r="G16744" s="2" t="str">
        <f>HYPERLINK("https://probpalata.gov.ru/files/ЮЛ660700213800000.jpeg","Скачать индивидуальный QR-код магазина")</f>
        <v>Скачать индивидуальный QR-код магазина</v>
      </c>
    </row>
    <row r="16745" spans="1:7" x14ac:dyDescent="0.25">
      <c r="A16745" t="s">
        <v>50404</v>
      </c>
      <c r="B16745" t="s">
        <v>51293</v>
      </c>
      <c r="C16745" t="s">
        <v>20730</v>
      </c>
      <c r="D16745" t="s">
        <v>20731</v>
      </c>
      <c r="E16745" t="s">
        <v>20732</v>
      </c>
      <c r="F16745" t="s">
        <v>51294</v>
      </c>
      <c r="G16745" s="2" t="str">
        <f>HYPERLINK("https://probpalata.gov.ru/files/ЮЛ660700213800005.jpeg","Скачать индивидуальный QR-код магазина")</f>
        <v>Скачать индивидуальный QR-код магазина</v>
      </c>
    </row>
    <row r="16746" spans="1:7" x14ac:dyDescent="0.25">
      <c r="A16746" t="s">
        <v>50404</v>
      </c>
      <c r="B16746" t="s">
        <v>51295</v>
      </c>
      <c r="C16746" t="s">
        <v>51296</v>
      </c>
      <c r="D16746" t="s">
        <v>51297</v>
      </c>
      <c r="E16746" t="s">
        <v>51298</v>
      </c>
      <c r="F16746" t="s">
        <v>51299</v>
      </c>
      <c r="G16746" s="2" t="str">
        <f>HYPERLINK("https://probpalata.gov.ru/files/ЮЛ660700186300000.jpeg","Скачать индивидуальный QR-код магазина")</f>
        <v>Скачать индивидуальный QR-код магазина</v>
      </c>
    </row>
    <row r="16747" spans="1:7" x14ac:dyDescent="0.25">
      <c r="A16747" t="s">
        <v>50404</v>
      </c>
      <c r="B16747" t="s">
        <v>51300</v>
      </c>
      <c r="C16747" t="s">
        <v>51301</v>
      </c>
      <c r="D16747" t="s">
        <v>51302</v>
      </c>
      <c r="E16747" t="s">
        <v>51303</v>
      </c>
      <c r="F16747" t="s">
        <v>51304</v>
      </c>
      <c r="G16747" s="2" t="str">
        <f>HYPERLINK("https://probpalata.gov.ru/files/ЮЛ660703941800000.jpeg","Скачать индивидуальный QR-код магазина")</f>
        <v>Скачать индивидуальный QR-код магазина</v>
      </c>
    </row>
    <row r="16748" spans="1:7" x14ac:dyDescent="0.25">
      <c r="A16748" t="s">
        <v>50404</v>
      </c>
      <c r="B16748" t="s">
        <v>51305</v>
      </c>
      <c r="C16748" t="s">
        <v>51306</v>
      </c>
      <c r="D16748" t="s">
        <v>51307</v>
      </c>
      <c r="E16748" t="s">
        <v>51308</v>
      </c>
      <c r="F16748" t="s">
        <v>51309</v>
      </c>
      <c r="G16748" s="2" t="str">
        <f>HYPERLINK("https://probpalata.gov.ru/files/ЮЛ660703698300000.jpeg","Скачать индивидуальный QR-код магазина")</f>
        <v>Скачать индивидуальный QR-код магазина</v>
      </c>
    </row>
    <row r="16749" spans="1:7" x14ac:dyDescent="0.25">
      <c r="A16749" t="s">
        <v>50404</v>
      </c>
      <c r="B16749" t="s">
        <v>51310</v>
      </c>
      <c r="C16749" t="s">
        <v>51311</v>
      </c>
      <c r="D16749" t="s">
        <v>51312</v>
      </c>
      <c r="E16749" t="s">
        <v>51313</v>
      </c>
      <c r="F16749" t="s">
        <v>51314</v>
      </c>
      <c r="G16749" s="2" t="str">
        <f>HYPERLINK("https://probpalata.gov.ru/files/ИП660701158500000.jpeg","Скачать индивидуальный QR-код магазина")</f>
        <v>Скачать индивидуальный QR-код магазина</v>
      </c>
    </row>
    <row r="16750" spans="1:7" x14ac:dyDescent="0.25">
      <c r="A16750" t="s">
        <v>50404</v>
      </c>
      <c r="B16750" t="s">
        <v>51315</v>
      </c>
      <c r="C16750" t="s">
        <v>51316</v>
      </c>
      <c r="D16750" t="s">
        <v>51317</v>
      </c>
      <c r="E16750" t="s">
        <v>51318</v>
      </c>
      <c r="F16750" t="s">
        <v>51319</v>
      </c>
      <c r="G16750" s="2" t="str">
        <f>HYPERLINK("https://probpalata.gov.ru/files/ИП660700715900000.jpeg","Скачать индивидуальный QR-код магазина")</f>
        <v>Скачать индивидуальный QR-код магазина</v>
      </c>
    </row>
    <row r="16751" spans="1:7" x14ac:dyDescent="0.25">
      <c r="A16751" t="s">
        <v>50404</v>
      </c>
      <c r="B16751" t="s">
        <v>51320</v>
      </c>
      <c r="C16751" t="s">
        <v>51321</v>
      </c>
      <c r="D16751" t="s">
        <v>51322</v>
      </c>
      <c r="E16751" t="s">
        <v>51323</v>
      </c>
      <c r="F16751" t="s">
        <v>51324</v>
      </c>
      <c r="G16751" s="2" t="str">
        <f>HYPERLINK("https://probpalata.gov.ru/files/ИП660703818400000.jpeg","Скачать индивидуальный QR-код магазина")</f>
        <v>Скачать индивидуальный QR-код магазина</v>
      </c>
    </row>
    <row r="16752" spans="1:7" x14ac:dyDescent="0.25">
      <c r="A16752" t="s">
        <v>50404</v>
      </c>
      <c r="B16752" t="s">
        <v>51325</v>
      </c>
      <c r="C16752" t="s">
        <v>51326</v>
      </c>
      <c r="D16752" t="s">
        <v>51327</v>
      </c>
      <c r="E16752" t="s">
        <v>51328</v>
      </c>
      <c r="F16752" t="s">
        <v>51329</v>
      </c>
      <c r="G16752" s="2" t="str">
        <f>HYPERLINK("https://probpalata.gov.ru/files/ИП660700070700000.jpeg","Скачать индивидуальный QR-код магазина")</f>
        <v>Скачать индивидуальный QR-код магазина</v>
      </c>
    </row>
    <row r="16753" spans="1:7" x14ac:dyDescent="0.25">
      <c r="A16753" t="s">
        <v>50404</v>
      </c>
      <c r="B16753" t="s">
        <v>51330</v>
      </c>
      <c r="C16753" t="s">
        <v>34794</v>
      </c>
      <c r="D16753" t="s">
        <v>51331</v>
      </c>
      <c r="E16753" t="s">
        <v>51332</v>
      </c>
      <c r="F16753" t="s">
        <v>51333</v>
      </c>
      <c r="G16753" s="2" t="str">
        <f>HYPERLINK("https://probpalata.gov.ru/files/ЮЛ660700892400000.jpeg","Скачать индивидуальный QR-код магазина")</f>
        <v>Скачать индивидуальный QR-код магазина</v>
      </c>
    </row>
    <row r="16754" spans="1:7" x14ac:dyDescent="0.25">
      <c r="A16754" t="s">
        <v>50404</v>
      </c>
      <c r="B16754" t="s">
        <v>51334</v>
      </c>
      <c r="C16754" t="s">
        <v>34794</v>
      </c>
      <c r="D16754" t="s">
        <v>51331</v>
      </c>
      <c r="E16754" t="s">
        <v>51332</v>
      </c>
      <c r="F16754" t="s">
        <v>51335</v>
      </c>
      <c r="G16754" s="2" t="str">
        <f>HYPERLINK("https://probpalata.gov.ru/files/ЮЛ660700892400006.jpeg","Скачать индивидуальный QR-код магазина")</f>
        <v>Скачать индивидуальный QR-код магазина</v>
      </c>
    </row>
    <row r="16755" spans="1:7" x14ac:dyDescent="0.25">
      <c r="A16755" t="s">
        <v>50404</v>
      </c>
      <c r="B16755" t="s">
        <v>51336</v>
      </c>
      <c r="C16755" t="s">
        <v>51337</v>
      </c>
      <c r="D16755" t="s">
        <v>51338</v>
      </c>
      <c r="E16755" t="s">
        <v>51339</v>
      </c>
      <c r="F16755" t="s">
        <v>51340</v>
      </c>
      <c r="G16755" s="2" t="str">
        <f>HYPERLINK("https://probpalata.gov.ru/files/ЮЛ660701336600000.jpeg","Скачать индивидуальный QR-код магазина")</f>
        <v>Скачать индивидуальный QR-код магазина</v>
      </c>
    </row>
    <row r="16756" spans="1:7" x14ac:dyDescent="0.25">
      <c r="A16756" t="s">
        <v>50404</v>
      </c>
      <c r="B16756" t="s">
        <v>51341</v>
      </c>
      <c r="C16756" t="s">
        <v>51337</v>
      </c>
      <c r="D16756" t="s">
        <v>51338</v>
      </c>
      <c r="E16756" t="s">
        <v>51339</v>
      </c>
      <c r="F16756" t="s">
        <v>51342</v>
      </c>
      <c r="G16756" s="2" t="str">
        <f>HYPERLINK("https://probpalata.gov.ru/files/ЮЛ660701336600002.jpeg","Скачать индивидуальный QR-код магазина")</f>
        <v>Скачать индивидуальный QR-код магазина</v>
      </c>
    </row>
    <row r="16757" spans="1:7" x14ac:dyDescent="0.25">
      <c r="A16757" t="s">
        <v>50404</v>
      </c>
      <c r="B16757" t="s">
        <v>51343</v>
      </c>
      <c r="C16757" t="s">
        <v>51337</v>
      </c>
      <c r="D16757" t="s">
        <v>51338</v>
      </c>
      <c r="E16757" t="s">
        <v>51339</v>
      </c>
      <c r="F16757" t="s">
        <v>51344</v>
      </c>
      <c r="G16757" s="2" t="str">
        <f>HYPERLINK("https://probpalata.gov.ru/files/ЮЛ660701336600006.jpeg","Скачать индивидуальный QR-код магазина")</f>
        <v>Скачать индивидуальный QR-код магазина</v>
      </c>
    </row>
    <row r="16758" spans="1:7" x14ac:dyDescent="0.25">
      <c r="A16758" t="s">
        <v>50404</v>
      </c>
      <c r="B16758" t="s">
        <v>51345</v>
      </c>
      <c r="C16758" t="s">
        <v>51337</v>
      </c>
      <c r="D16758" t="s">
        <v>51338</v>
      </c>
      <c r="E16758" t="s">
        <v>51339</v>
      </c>
      <c r="F16758" t="s">
        <v>51346</v>
      </c>
      <c r="G16758" s="2" t="str">
        <f>HYPERLINK("https://probpalata.gov.ru/files/ЮЛ660701336600007.jpeg","Скачать индивидуальный QR-код магазина")</f>
        <v>Скачать индивидуальный QR-код магазина</v>
      </c>
    </row>
    <row r="16759" spans="1:7" x14ac:dyDescent="0.25">
      <c r="A16759" t="s">
        <v>50404</v>
      </c>
      <c r="B16759" t="s">
        <v>51347</v>
      </c>
      <c r="C16759" t="s">
        <v>51337</v>
      </c>
      <c r="D16759" t="s">
        <v>51338</v>
      </c>
      <c r="E16759" t="s">
        <v>51339</v>
      </c>
      <c r="F16759" t="s">
        <v>51348</v>
      </c>
      <c r="G16759" s="2" t="str">
        <f>HYPERLINK("https://probpalata.gov.ru/files/ЮЛ660701336600010.jpeg","Скачать индивидуальный QR-код магазина")</f>
        <v>Скачать индивидуальный QR-код магазина</v>
      </c>
    </row>
    <row r="16760" spans="1:7" x14ac:dyDescent="0.25">
      <c r="A16760" t="s">
        <v>50404</v>
      </c>
      <c r="B16760" t="s">
        <v>51349</v>
      </c>
      <c r="C16760" t="s">
        <v>51337</v>
      </c>
      <c r="D16760" t="s">
        <v>51338</v>
      </c>
      <c r="E16760" t="s">
        <v>51339</v>
      </c>
      <c r="F16760" t="s">
        <v>51350</v>
      </c>
      <c r="G16760" s="2" t="str">
        <f>HYPERLINK("https://probpalata.gov.ru/files/ЮЛ660701336600013.jpeg","Скачать индивидуальный QR-код магазина")</f>
        <v>Скачать индивидуальный QR-код магазина</v>
      </c>
    </row>
    <row r="16761" spans="1:7" x14ac:dyDescent="0.25">
      <c r="A16761" t="s">
        <v>50404</v>
      </c>
      <c r="B16761" t="s">
        <v>51351</v>
      </c>
      <c r="C16761" t="s">
        <v>51337</v>
      </c>
      <c r="D16761" t="s">
        <v>51338</v>
      </c>
      <c r="E16761" t="s">
        <v>51339</v>
      </c>
      <c r="F16761" t="s">
        <v>51352</v>
      </c>
      <c r="G16761" s="2" t="str">
        <f>HYPERLINK("https://probpalata.gov.ru/files/ЮЛ660701336600014.jpeg","Скачать индивидуальный QR-код магазина")</f>
        <v>Скачать индивидуальный QR-код магазина</v>
      </c>
    </row>
    <row r="16762" spans="1:7" x14ac:dyDescent="0.25">
      <c r="A16762" t="s">
        <v>50404</v>
      </c>
      <c r="B16762" t="s">
        <v>51353</v>
      </c>
      <c r="C16762" t="s">
        <v>51354</v>
      </c>
      <c r="D16762" t="s">
        <v>51355</v>
      </c>
      <c r="E16762" t="s">
        <v>51356</v>
      </c>
      <c r="F16762" t="s">
        <v>51357</v>
      </c>
      <c r="G16762" s="2" t="str">
        <f>HYPERLINK("https://probpalata.gov.ru/files/ЮЛ660703090200000.jpeg","Скачать индивидуальный QR-код магазина")</f>
        <v>Скачать индивидуальный QR-код магазина</v>
      </c>
    </row>
    <row r="16763" spans="1:7" x14ac:dyDescent="0.25">
      <c r="A16763" t="s">
        <v>50404</v>
      </c>
      <c r="B16763" t="s">
        <v>51358</v>
      </c>
      <c r="C16763" t="s">
        <v>51359</v>
      </c>
      <c r="D16763" t="s">
        <v>51360</v>
      </c>
      <c r="E16763" t="s">
        <v>51361</v>
      </c>
      <c r="F16763" t="s">
        <v>51362</v>
      </c>
      <c r="G16763" s="2" t="str">
        <f>HYPERLINK("https://probpalata.gov.ru/files/ИП780304060700000.jpeg","Скачать индивидуальный QR-код магазина")</f>
        <v>Скачать индивидуальный QR-код магазина</v>
      </c>
    </row>
    <row r="16764" spans="1:7" x14ac:dyDescent="0.25">
      <c r="A16764" t="s">
        <v>50404</v>
      </c>
      <c r="B16764" t="s">
        <v>51363</v>
      </c>
      <c r="C16764" t="s">
        <v>51364</v>
      </c>
      <c r="D16764" t="s">
        <v>51365</v>
      </c>
      <c r="E16764" t="s">
        <v>51366</v>
      </c>
      <c r="F16764" t="s">
        <v>51367</v>
      </c>
      <c r="G16764" s="2" t="str">
        <f>HYPERLINK("https://probpalata.gov.ru/files/ИП660701560200000.jpeg","Скачать индивидуальный QR-код магазина")</f>
        <v>Скачать индивидуальный QR-код магазина</v>
      </c>
    </row>
    <row r="16765" spans="1:7" x14ac:dyDescent="0.25">
      <c r="A16765" t="s">
        <v>50404</v>
      </c>
      <c r="B16765" t="s">
        <v>51368</v>
      </c>
      <c r="C16765" t="s">
        <v>51364</v>
      </c>
      <c r="D16765" t="s">
        <v>51365</v>
      </c>
      <c r="E16765" t="s">
        <v>51366</v>
      </c>
      <c r="F16765" t="s">
        <v>51369</v>
      </c>
      <c r="G16765" s="2" t="str">
        <f>HYPERLINK("https://probpalata.gov.ru/files/ИП660701560200002.jpeg","Скачать индивидуальный QR-код магазина")</f>
        <v>Скачать индивидуальный QR-код магазина</v>
      </c>
    </row>
    <row r="16766" spans="1:7" x14ac:dyDescent="0.25">
      <c r="A16766" t="s">
        <v>50404</v>
      </c>
      <c r="B16766" t="s">
        <v>51370</v>
      </c>
      <c r="C16766" t="s">
        <v>51371</v>
      </c>
      <c r="D16766" t="s">
        <v>51372</v>
      </c>
      <c r="E16766" t="s">
        <v>51373</v>
      </c>
      <c r="F16766" t="s">
        <v>51374</v>
      </c>
      <c r="G16766" s="2" t="str">
        <f>HYPERLINK("https://probpalata.gov.ru/files/ИП660700782900000.jpeg","Скачать индивидуальный QR-код магазина")</f>
        <v>Скачать индивидуальный QR-код магазина</v>
      </c>
    </row>
    <row r="16767" spans="1:7" x14ac:dyDescent="0.25">
      <c r="A16767" t="s">
        <v>50404</v>
      </c>
      <c r="B16767" t="s">
        <v>51375</v>
      </c>
      <c r="C16767" t="s">
        <v>51376</v>
      </c>
      <c r="D16767" t="s">
        <v>51377</v>
      </c>
      <c r="E16767" t="s">
        <v>51378</v>
      </c>
      <c r="F16767" t="s">
        <v>51379</v>
      </c>
      <c r="G16767" s="2" t="str">
        <f>HYPERLINK("https://probpalata.gov.ru/files/ИП660701069100000.jpeg","Скачать индивидуальный QR-код магазина")</f>
        <v>Скачать индивидуальный QR-код магазина</v>
      </c>
    </row>
    <row r="16768" spans="1:7" x14ac:dyDescent="0.25">
      <c r="A16768" t="s">
        <v>50404</v>
      </c>
      <c r="B16768" t="s">
        <v>51380</v>
      </c>
      <c r="C16768" t="s">
        <v>51381</v>
      </c>
      <c r="D16768" t="s">
        <v>51382</v>
      </c>
      <c r="E16768" t="s">
        <v>51383</v>
      </c>
      <c r="F16768" t="s">
        <v>51384</v>
      </c>
      <c r="G16768" s="2" t="str">
        <f>HYPERLINK("https://probpalata.gov.ru/files/ЮЛ660700065800000.jpeg","Скачать индивидуальный QR-код магазина")</f>
        <v>Скачать индивидуальный QR-код магазина</v>
      </c>
    </row>
    <row r="16769" spans="1:7" x14ac:dyDescent="0.25">
      <c r="A16769" t="s">
        <v>50404</v>
      </c>
      <c r="B16769" t="s">
        <v>51385</v>
      </c>
      <c r="C16769" t="s">
        <v>51386</v>
      </c>
      <c r="D16769" t="s">
        <v>51387</v>
      </c>
      <c r="E16769" t="s">
        <v>51388</v>
      </c>
      <c r="F16769" t="s">
        <v>51389</v>
      </c>
      <c r="G16769" s="2" t="str">
        <f>HYPERLINK("https://probpalata.gov.ru/files/ИП660700096100000.jpeg","Скачать индивидуальный QR-код магазина")</f>
        <v>Скачать индивидуальный QR-код магазина</v>
      </c>
    </row>
    <row r="16770" spans="1:7" x14ac:dyDescent="0.25">
      <c r="A16770" t="s">
        <v>50404</v>
      </c>
      <c r="B16770" t="s">
        <v>51390</v>
      </c>
      <c r="C16770" t="s">
        <v>51386</v>
      </c>
      <c r="D16770" t="s">
        <v>51387</v>
      </c>
      <c r="E16770" t="s">
        <v>51388</v>
      </c>
      <c r="F16770" t="s">
        <v>51391</v>
      </c>
      <c r="G16770" s="2" t="str">
        <f>HYPERLINK("https://probpalata.gov.ru/files/ИП660700096100001.jpeg","Скачать индивидуальный QR-код магазина")</f>
        <v>Скачать индивидуальный QR-код магазина</v>
      </c>
    </row>
    <row r="16771" spans="1:7" x14ac:dyDescent="0.25">
      <c r="A16771" t="s">
        <v>50404</v>
      </c>
      <c r="B16771" t="s">
        <v>51392</v>
      </c>
      <c r="C16771" t="s">
        <v>51393</v>
      </c>
      <c r="D16771" t="s">
        <v>51394</v>
      </c>
      <c r="E16771" t="s">
        <v>51395</v>
      </c>
      <c r="F16771" t="s">
        <v>51396</v>
      </c>
      <c r="G16771" s="2" t="str">
        <f>HYPERLINK("https://probpalata.gov.ru/files/ИП660700623200000.jpeg","Скачать индивидуальный QR-код магазина")</f>
        <v>Скачать индивидуальный QR-код магазина</v>
      </c>
    </row>
    <row r="16772" spans="1:7" x14ac:dyDescent="0.25">
      <c r="A16772" t="s">
        <v>50404</v>
      </c>
      <c r="B16772" t="s">
        <v>51397</v>
      </c>
      <c r="C16772" t="s">
        <v>51393</v>
      </c>
      <c r="D16772" t="s">
        <v>51394</v>
      </c>
      <c r="E16772" t="s">
        <v>51395</v>
      </c>
      <c r="F16772" t="s">
        <v>51398</v>
      </c>
      <c r="G16772" s="2" t="str">
        <f>HYPERLINK("https://probpalata.gov.ru/files/ИП660700623200001.jpeg","Скачать индивидуальный QR-код магазина")</f>
        <v>Скачать индивидуальный QR-код магазина</v>
      </c>
    </row>
    <row r="16773" spans="1:7" x14ac:dyDescent="0.25">
      <c r="A16773" t="s">
        <v>50404</v>
      </c>
      <c r="B16773" t="s">
        <v>51399</v>
      </c>
      <c r="C16773" t="s">
        <v>51400</v>
      </c>
      <c r="D16773" t="s">
        <v>51401</v>
      </c>
      <c r="E16773" t="s">
        <v>51402</v>
      </c>
      <c r="F16773" t="s">
        <v>51403</v>
      </c>
      <c r="G16773" s="2" t="str">
        <f>HYPERLINK("https://probpalata.gov.ru/files/ЮЛ660703221400000.jpeg","Скачать индивидуальный QR-код магазина")</f>
        <v>Скачать индивидуальный QR-код магазина</v>
      </c>
    </row>
    <row r="16774" spans="1:7" x14ac:dyDescent="0.25">
      <c r="A16774" t="s">
        <v>50404</v>
      </c>
      <c r="B16774" t="s">
        <v>51404</v>
      </c>
      <c r="C16774" t="s">
        <v>51405</v>
      </c>
      <c r="D16774" t="s">
        <v>51406</v>
      </c>
      <c r="E16774" t="s">
        <v>51407</v>
      </c>
      <c r="F16774" t="s">
        <v>51408</v>
      </c>
      <c r="G16774" s="2" t="str">
        <f>HYPERLINK("https://probpalata.gov.ru/files/ИП660700801800000.jpeg","Скачать индивидуальный QR-код магазина")</f>
        <v>Скачать индивидуальный QR-код магазина</v>
      </c>
    </row>
    <row r="16775" spans="1:7" x14ac:dyDescent="0.25">
      <c r="A16775" t="s">
        <v>50404</v>
      </c>
      <c r="B16775" t="s">
        <v>51409</v>
      </c>
      <c r="C16775" t="s">
        <v>51410</v>
      </c>
      <c r="D16775" t="s">
        <v>51411</v>
      </c>
      <c r="E16775" t="s">
        <v>51412</v>
      </c>
      <c r="F16775" t="s">
        <v>51413</v>
      </c>
      <c r="G16775" s="2" t="str">
        <f>HYPERLINK("https://probpalata.gov.ru/files/ИП660701800700000.jpeg","Скачать индивидуальный QR-код магазина")</f>
        <v>Скачать индивидуальный QR-код магазина</v>
      </c>
    </row>
    <row r="16776" spans="1:7" x14ac:dyDescent="0.25">
      <c r="A16776" t="s">
        <v>50404</v>
      </c>
      <c r="B16776" t="s">
        <v>51414</v>
      </c>
      <c r="C16776" t="s">
        <v>51415</v>
      </c>
      <c r="D16776" t="s">
        <v>51416</v>
      </c>
      <c r="E16776" t="s">
        <v>51417</v>
      </c>
      <c r="F16776" t="s">
        <v>51418</v>
      </c>
      <c r="G16776" s="2" t="str">
        <f>HYPERLINK("https://probpalata.gov.ru/files/ИП660700694000000.jpeg","Скачать индивидуальный QR-код магазина")</f>
        <v>Скачать индивидуальный QR-код магазина</v>
      </c>
    </row>
    <row r="16777" spans="1:7" x14ac:dyDescent="0.25">
      <c r="A16777" t="s">
        <v>50404</v>
      </c>
      <c r="B16777" t="s">
        <v>51419</v>
      </c>
      <c r="C16777" t="s">
        <v>51415</v>
      </c>
      <c r="D16777" t="s">
        <v>51416</v>
      </c>
      <c r="E16777" t="s">
        <v>51417</v>
      </c>
      <c r="F16777" t="s">
        <v>51420</v>
      </c>
      <c r="G16777" s="2" t="str">
        <f>HYPERLINK("https://probpalata.gov.ru/files/ИП660700694000002.jpeg","Скачать индивидуальный QR-код магазина")</f>
        <v>Скачать индивидуальный QR-код магазина</v>
      </c>
    </row>
    <row r="16778" spans="1:7" x14ac:dyDescent="0.25">
      <c r="A16778" t="s">
        <v>50404</v>
      </c>
      <c r="B16778" t="s">
        <v>51421</v>
      </c>
      <c r="C16778" t="s">
        <v>51422</v>
      </c>
      <c r="D16778" t="s">
        <v>51423</v>
      </c>
      <c r="E16778" t="s">
        <v>51424</v>
      </c>
      <c r="F16778" t="s">
        <v>51425</v>
      </c>
      <c r="G16778" s="2" t="str">
        <f>HYPERLINK("https://probpalata.gov.ru/files/ИП660700756000000.jpeg","Скачать индивидуальный QR-код магазина")</f>
        <v>Скачать индивидуальный QR-код магазина</v>
      </c>
    </row>
    <row r="16779" spans="1:7" x14ac:dyDescent="0.25">
      <c r="A16779" t="s">
        <v>50404</v>
      </c>
      <c r="B16779" t="s">
        <v>51426</v>
      </c>
      <c r="C16779" t="s">
        <v>51422</v>
      </c>
      <c r="D16779" t="s">
        <v>51423</v>
      </c>
      <c r="E16779" t="s">
        <v>51424</v>
      </c>
      <c r="F16779" t="s">
        <v>51427</v>
      </c>
      <c r="G16779" s="2" t="str">
        <f>HYPERLINK("https://probpalata.gov.ru/files/ИП660700756000001.jpeg","Скачать индивидуальный QR-код магазина")</f>
        <v>Скачать индивидуальный QR-код магазина</v>
      </c>
    </row>
    <row r="16780" spans="1:7" x14ac:dyDescent="0.25">
      <c r="A16780" t="s">
        <v>50404</v>
      </c>
      <c r="B16780" t="s">
        <v>51428</v>
      </c>
      <c r="C16780" t="s">
        <v>51422</v>
      </c>
      <c r="D16780" t="s">
        <v>51423</v>
      </c>
      <c r="E16780" t="s">
        <v>51424</v>
      </c>
      <c r="F16780" t="s">
        <v>51429</v>
      </c>
      <c r="G16780" s="2" t="str">
        <f>HYPERLINK("https://probpalata.gov.ru/files/ИП660700756000004.jpeg","Скачать индивидуальный QR-код магазина")</f>
        <v>Скачать индивидуальный QR-код магазина</v>
      </c>
    </row>
    <row r="16781" spans="1:7" x14ac:dyDescent="0.25">
      <c r="A16781" t="s">
        <v>50404</v>
      </c>
      <c r="B16781" t="s">
        <v>51430</v>
      </c>
      <c r="C16781" t="s">
        <v>51422</v>
      </c>
      <c r="D16781" t="s">
        <v>51423</v>
      </c>
      <c r="E16781" t="s">
        <v>51424</v>
      </c>
      <c r="F16781" t="s">
        <v>51431</v>
      </c>
      <c r="G16781" s="2" t="str">
        <f>HYPERLINK("https://probpalata.gov.ru/files/ИП660700756000005.jpeg","Скачать индивидуальный QR-код магазина")</f>
        <v>Скачать индивидуальный QR-код магазина</v>
      </c>
    </row>
    <row r="16782" spans="1:7" x14ac:dyDescent="0.25">
      <c r="A16782" t="s">
        <v>50404</v>
      </c>
      <c r="B16782" t="s">
        <v>51432</v>
      </c>
      <c r="C16782" t="s">
        <v>51433</v>
      </c>
      <c r="D16782" t="s">
        <v>51434</v>
      </c>
      <c r="E16782" t="s">
        <v>51435</v>
      </c>
      <c r="F16782" t="s">
        <v>51436</v>
      </c>
      <c r="G16782" s="2" t="str">
        <f>HYPERLINK("https://probpalata.gov.ru/files/ИП660700252800000.jpeg","Скачать индивидуальный QR-код магазина")</f>
        <v>Скачать индивидуальный QR-код магазина</v>
      </c>
    </row>
    <row r="16783" spans="1:7" x14ac:dyDescent="0.25">
      <c r="A16783" t="s">
        <v>50404</v>
      </c>
      <c r="B16783" t="s">
        <v>51437</v>
      </c>
      <c r="C16783" t="s">
        <v>51438</v>
      </c>
      <c r="D16783" t="s">
        <v>51439</v>
      </c>
      <c r="E16783" t="s">
        <v>51440</v>
      </c>
      <c r="F16783" t="s">
        <v>51441</v>
      </c>
      <c r="G16783" s="2" t="str">
        <f>HYPERLINK("https://probpalata.gov.ru/files/ИП660700245900000.jpeg","Скачать индивидуальный QR-код магазина")</f>
        <v>Скачать индивидуальный QR-код магазина</v>
      </c>
    </row>
    <row r="16784" spans="1:7" x14ac:dyDescent="0.25">
      <c r="A16784" t="s">
        <v>50404</v>
      </c>
      <c r="B16784" t="s">
        <v>51442</v>
      </c>
      <c r="C16784" t="s">
        <v>51443</v>
      </c>
      <c r="D16784" t="s">
        <v>51444</v>
      </c>
      <c r="E16784" t="s">
        <v>51445</v>
      </c>
      <c r="F16784" t="s">
        <v>51446</v>
      </c>
      <c r="G16784" s="2" t="str">
        <f>HYPERLINK("https://probpalata.gov.ru/files/ИП660700273400000.jpeg","Скачать индивидуальный QR-код магазина")</f>
        <v>Скачать индивидуальный QR-код магазина</v>
      </c>
    </row>
    <row r="16785" spans="1:7" x14ac:dyDescent="0.25">
      <c r="A16785" t="s">
        <v>50404</v>
      </c>
      <c r="B16785" t="s">
        <v>51447</v>
      </c>
      <c r="C16785" t="s">
        <v>51448</v>
      </c>
      <c r="D16785" t="s">
        <v>51449</v>
      </c>
      <c r="E16785" t="s">
        <v>51450</v>
      </c>
      <c r="F16785" t="s">
        <v>51451</v>
      </c>
      <c r="G16785" s="2" t="str">
        <f>HYPERLINK("https://probpalata.gov.ru/files/ИП660703996800000.jpeg","Скачать индивидуальный QR-код магазина")</f>
        <v>Скачать индивидуальный QR-код магазина</v>
      </c>
    </row>
    <row r="16786" spans="1:7" x14ac:dyDescent="0.25">
      <c r="A16786" t="s">
        <v>50404</v>
      </c>
      <c r="B16786" t="s">
        <v>51452</v>
      </c>
      <c r="C16786" t="s">
        <v>16750</v>
      </c>
      <c r="D16786" t="s">
        <v>16751</v>
      </c>
      <c r="E16786" t="s">
        <v>16752</v>
      </c>
      <c r="F16786" t="s">
        <v>51453</v>
      </c>
      <c r="G16786" s="2" t="str">
        <f>HYPERLINK("https://probpalata.gov.ru/files/ЮЛ660700429800000.jpeg","Скачать индивидуальный QR-код магазина")</f>
        <v>Скачать индивидуальный QR-код магазина</v>
      </c>
    </row>
    <row r="16787" spans="1:7" x14ac:dyDescent="0.25">
      <c r="A16787" t="s">
        <v>50404</v>
      </c>
      <c r="B16787" t="s">
        <v>51454</v>
      </c>
      <c r="C16787" t="s">
        <v>16750</v>
      </c>
      <c r="D16787" t="s">
        <v>16751</v>
      </c>
      <c r="E16787" t="s">
        <v>16752</v>
      </c>
      <c r="F16787" t="s">
        <v>51455</v>
      </c>
      <c r="G16787" s="2" t="str">
        <f>HYPERLINK("https://probpalata.gov.ru/files/ЮЛ660700429800006.jpeg","Скачать индивидуальный QR-код магазина")</f>
        <v>Скачать индивидуальный QR-код магазина</v>
      </c>
    </row>
    <row r="16788" spans="1:7" x14ac:dyDescent="0.25">
      <c r="A16788" t="s">
        <v>50404</v>
      </c>
      <c r="B16788" t="s">
        <v>51456</v>
      </c>
      <c r="C16788" t="s">
        <v>51457</v>
      </c>
      <c r="D16788" t="s">
        <v>51458</v>
      </c>
      <c r="E16788" t="s">
        <v>51459</v>
      </c>
      <c r="F16788" t="s">
        <v>51460</v>
      </c>
      <c r="G16788" s="2" t="str">
        <f>HYPERLINK("https://probpalata.gov.ru/files/ИП660700175100003.jpeg","Скачать индивидуальный QR-код магазина")</f>
        <v>Скачать индивидуальный QR-код магазина</v>
      </c>
    </row>
    <row r="16789" spans="1:7" x14ac:dyDescent="0.25">
      <c r="A16789" t="s">
        <v>50404</v>
      </c>
      <c r="B16789" t="s">
        <v>51461</v>
      </c>
      <c r="C16789" t="s">
        <v>51457</v>
      </c>
      <c r="D16789" t="s">
        <v>51458</v>
      </c>
      <c r="E16789" t="s">
        <v>51459</v>
      </c>
      <c r="F16789" t="s">
        <v>51462</v>
      </c>
      <c r="G16789" s="2" t="str">
        <f>HYPERLINK("https://probpalata.gov.ru/files/ИП660700175100004.jpeg","Скачать индивидуальный QR-код магазина")</f>
        <v>Скачать индивидуальный QR-код магазина</v>
      </c>
    </row>
    <row r="16790" spans="1:7" x14ac:dyDescent="0.25">
      <c r="A16790" t="s">
        <v>50404</v>
      </c>
      <c r="B16790" t="s">
        <v>51463</v>
      </c>
      <c r="C16790" t="s">
        <v>51464</v>
      </c>
      <c r="D16790" t="s">
        <v>51465</v>
      </c>
      <c r="E16790" t="s">
        <v>51466</v>
      </c>
      <c r="F16790" t="s">
        <v>51467</v>
      </c>
      <c r="G16790" s="2" t="str">
        <f>HYPERLINK("https://probpalata.gov.ru/files/ЮЛ660700781400000.jpeg","Скачать индивидуальный QR-код магазина")</f>
        <v>Скачать индивидуальный QR-код магазина</v>
      </c>
    </row>
    <row r="16791" spans="1:7" x14ac:dyDescent="0.25">
      <c r="A16791" t="s">
        <v>50404</v>
      </c>
      <c r="B16791" t="s">
        <v>51468</v>
      </c>
      <c r="C16791" t="s">
        <v>51469</v>
      </c>
      <c r="D16791" t="s">
        <v>51470</v>
      </c>
      <c r="E16791" t="s">
        <v>51471</v>
      </c>
      <c r="F16791" t="s">
        <v>51472</v>
      </c>
      <c r="G16791" s="2" t="str">
        <f>HYPERLINK("https://probpalata.gov.ru/files/ИП660700113000000.jpeg","Скачать индивидуальный QR-код магазина")</f>
        <v>Скачать индивидуальный QR-код магазина</v>
      </c>
    </row>
    <row r="16792" spans="1:7" x14ac:dyDescent="0.25">
      <c r="A16792" t="s">
        <v>50404</v>
      </c>
      <c r="B16792" t="s">
        <v>51473</v>
      </c>
      <c r="C16792" t="s">
        <v>51469</v>
      </c>
      <c r="D16792" t="s">
        <v>51470</v>
      </c>
      <c r="E16792" t="s">
        <v>51471</v>
      </c>
      <c r="F16792" t="s">
        <v>51474</v>
      </c>
      <c r="G16792" s="2" t="str">
        <f>HYPERLINK("https://probpalata.gov.ru/files/ИП660700113000002.jpeg","Скачать индивидуальный QR-код магазина")</f>
        <v>Скачать индивидуальный QR-код магазина</v>
      </c>
    </row>
    <row r="16793" spans="1:7" x14ac:dyDescent="0.25">
      <c r="A16793" t="s">
        <v>50404</v>
      </c>
      <c r="B16793" t="s">
        <v>50570</v>
      </c>
      <c r="C16793" t="s">
        <v>51469</v>
      </c>
      <c r="D16793" t="s">
        <v>51470</v>
      </c>
      <c r="E16793" t="s">
        <v>51471</v>
      </c>
      <c r="F16793" t="s">
        <v>51475</v>
      </c>
      <c r="G16793" s="2" t="str">
        <f>HYPERLINK("https://probpalata.gov.ru/files/ИП660700113000003.jpeg","Скачать индивидуальный QR-код магазина")</f>
        <v>Скачать индивидуальный QR-код магазина</v>
      </c>
    </row>
    <row r="16794" spans="1:7" x14ac:dyDescent="0.25">
      <c r="A16794" t="s">
        <v>50404</v>
      </c>
      <c r="B16794" t="s">
        <v>51476</v>
      </c>
      <c r="C16794" t="s">
        <v>51477</v>
      </c>
      <c r="D16794" t="s">
        <v>51478</v>
      </c>
      <c r="E16794" t="s">
        <v>51479</v>
      </c>
      <c r="F16794" t="s">
        <v>51480</v>
      </c>
      <c r="G16794" s="2" t="str">
        <f>HYPERLINK("https://probpalata.gov.ru/files/ИП660700754700000.jpeg","Скачать индивидуальный QR-код магазина")</f>
        <v>Скачать индивидуальный QR-код магазина</v>
      </c>
    </row>
    <row r="16795" spans="1:7" x14ac:dyDescent="0.25">
      <c r="A16795" t="s">
        <v>50404</v>
      </c>
      <c r="B16795" t="s">
        <v>51481</v>
      </c>
      <c r="C16795" t="s">
        <v>51482</v>
      </c>
      <c r="D16795" t="s">
        <v>51483</v>
      </c>
      <c r="E16795" t="s">
        <v>51484</v>
      </c>
      <c r="F16795" t="s">
        <v>51485</v>
      </c>
      <c r="G16795" s="2" t="str">
        <f>HYPERLINK("https://probpalata.gov.ru/files/ИП660700867100000.jpeg","Скачать индивидуальный QR-код магазина")</f>
        <v>Скачать индивидуальный QR-код магазина</v>
      </c>
    </row>
    <row r="16796" spans="1:7" x14ac:dyDescent="0.25">
      <c r="A16796" t="s">
        <v>50404</v>
      </c>
      <c r="B16796" t="s">
        <v>51486</v>
      </c>
      <c r="C16796" t="s">
        <v>51487</v>
      </c>
      <c r="D16796" t="s">
        <v>51488</v>
      </c>
      <c r="E16796" t="s">
        <v>51489</v>
      </c>
      <c r="F16796" t="s">
        <v>51490</v>
      </c>
      <c r="G16796" s="2" t="str">
        <f>HYPERLINK("https://probpalata.gov.ru/files/ИП660700684400000.jpeg","Скачать индивидуальный QR-код магазина")</f>
        <v>Скачать индивидуальный QR-код магазина</v>
      </c>
    </row>
    <row r="16797" spans="1:7" x14ac:dyDescent="0.25">
      <c r="A16797" t="s">
        <v>50404</v>
      </c>
      <c r="B16797" t="s">
        <v>51491</v>
      </c>
      <c r="C16797" t="s">
        <v>51487</v>
      </c>
      <c r="D16797" t="s">
        <v>51488</v>
      </c>
      <c r="E16797" t="s">
        <v>51489</v>
      </c>
      <c r="F16797" t="s">
        <v>51492</v>
      </c>
      <c r="G16797" s="2" t="str">
        <f>HYPERLINK("https://probpalata.gov.ru/files/ИП660700684400001.jpeg","Скачать индивидуальный QR-код магазина")</f>
        <v>Скачать индивидуальный QR-код магазина</v>
      </c>
    </row>
    <row r="16798" spans="1:7" x14ac:dyDescent="0.25">
      <c r="A16798" t="s">
        <v>50404</v>
      </c>
      <c r="B16798" t="s">
        <v>51493</v>
      </c>
      <c r="C16798" t="s">
        <v>51487</v>
      </c>
      <c r="D16798" t="s">
        <v>51488</v>
      </c>
      <c r="E16798" t="s">
        <v>51489</v>
      </c>
      <c r="F16798" t="s">
        <v>51494</v>
      </c>
      <c r="G16798" s="2" t="str">
        <f>HYPERLINK("https://probpalata.gov.ru/files/ИП660700684400002.jpeg","Скачать индивидуальный QR-код магазина")</f>
        <v>Скачать индивидуальный QR-код магазина</v>
      </c>
    </row>
    <row r="16799" spans="1:7" x14ac:dyDescent="0.25">
      <c r="A16799" t="s">
        <v>50404</v>
      </c>
      <c r="B16799" t="s">
        <v>51495</v>
      </c>
      <c r="C16799" t="s">
        <v>51496</v>
      </c>
      <c r="D16799" t="s">
        <v>51497</v>
      </c>
      <c r="E16799" t="s">
        <v>51498</v>
      </c>
      <c r="F16799" t="s">
        <v>51499</v>
      </c>
      <c r="G16799" s="2" t="str">
        <f>HYPERLINK("https://probpalata.gov.ru/files/ИП660700876900000.jpeg","Скачать индивидуальный QR-код магазина")</f>
        <v>Скачать индивидуальный QR-код магазина</v>
      </c>
    </row>
    <row r="16800" spans="1:7" x14ac:dyDescent="0.25">
      <c r="A16800" t="s">
        <v>50404</v>
      </c>
      <c r="B16800" t="s">
        <v>51500</v>
      </c>
      <c r="C16800" t="s">
        <v>51501</v>
      </c>
      <c r="D16800" t="s">
        <v>51502</v>
      </c>
      <c r="E16800" t="s">
        <v>51503</v>
      </c>
      <c r="F16800" t="s">
        <v>51504</v>
      </c>
      <c r="G16800" s="2" t="str">
        <f>HYPERLINK("https://probpalata.gov.ru/files/ИП660700684300000.jpeg","Скачать индивидуальный QR-код магазина")</f>
        <v>Скачать индивидуальный QR-код магазина</v>
      </c>
    </row>
    <row r="16801" spans="1:7" x14ac:dyDescent="0.25">
      <c r="A16801" t="s">
        <v>50404</v>
      </c>
      <c r="B16801" t="s">
        <v>51505</v>
      </c>
      <c r="C16801" t="s">
        <v>51506</v>
      </c>
      <c r="D16801" t="s">
        <v>51507</v>
      </c>
      <c r="E16801" t="s">
        <v>51508</v>
      </c>
      <c r="F16801" t="s">
        <v>51509</v>
      </c>
      <c r="G16801" s="2" t="str">
        <f>HYPERLINK("https://probpalata.gov.ru/files/ИП660703770000000.jpeg","Скачать индивидуальный QR-код магазина")</f>
        <v>Скачать индивидуальный QR-код магазина</v>
      </c>
    </row>
    <row r="16802" spans="1:7" x14ac:dyDescent="0.25">
      <c r="A16802" t="s">
        <v>50404</v>
      </c>
      <c r="B16802" t="s">
        <v>51510</v>
      </c>
      <c r="C16802" t="s">
        <v>51511</v>
      </c>
      <c r="D16802" t="s">
        <v>51512</v>
      </c>
      <c r="E16802" t="s">
        <v>51513</v>
      </c>
      <c r="F16802" t="s">
        <v>51514</v>
      </c>
      <c r="G16802" s="2" t="str">
        <f>HYPERLINK("https://probpalata.gov.ru/files/ИП660700006800000.jpeg","Скачать индивидуальный QR-код магазина")</f>
        <v>Скачать индивидуальный QR-код магазина</v>
      </c>
    </row>
    <row r="16803" spans="1:7" x14ac:dyDescent="0.25">
      <c r="A16803" t="s">
        <v>50404</v>
      </c>
      <c r="B16803" t="s">
        <v>51515</v>
      </c>
      <c r="C16803" t="s">
        <v>7965</v>
      </c>
      <c r="D16803" t="s">
        <v>7966</v>
      </c>
      <c r="E16803" t="s">
        <v>7967</v>
      </c>
      <c r="F16803" t="s">
        <v>51516</v>
      </c>
      <c r="G16803" s="2" t="str">
        <f>HYPERLINK("https://probpalata.gov.ru/files/ЮЛ660700070800000.jpeg","Скачать индивидуальный QR-код магазина")</f>
        <v>Скачать индивидуальный QR-код магазина</v>
      </c>
    </row>
    <row r="16804" spans="1:7" x14ac:dyDescent="0.25">
      <c r="A16804" t="s">
        <v>50404</v>
      </c>
      <c r="B16804" t="s">
        <v>51517</v>
      </c>
      <c r="C16804" t="s">
        <v>7965</v>
      </c>
      <c r="D16804" t="s">
        <v>7966</v>
      </c>
      <c r="E16804" t="s">
        <v>7967</v>
      </c>
      <c r="F16804" t="s">
        <v>51518</v>
      </c>
      <c r="G16804" s="2" t="str">
        <f>HYPERLINK("https://probpalata.gov.ru/files/ЮЛ660700070800090.jpeg","Скачать индивидуальный QR-код магазина")</f>
        <v>Скачать индивидуальный QR-код магазина</v>
      </c>
    </row>
    <row r="16805" spans="1:7" x14ac:dyDescent="0.25">
      <c r="A16805" t="s">
        <v>50404</v>
      </c>
      <c r="B16805" t="s">
        <v>51519</v>
      </c>
      <c r="C16805" t="s">
        <v>7965</v>
      </c>
      <c r="D16805" t="s">
        <v>7966</v>
      </c>
      <c r="E16805" t="s">
        <v>7967</v>
      </c>
      <c r="F16805" t="s">
        <v>51520</v>
      </c>
      <c r="G16805" s="2" t="str">
        <f>HYPERLINK("https://probpalata.gov.ru/files/ЮЛ660700070800133.jpeg","Скачать индивидуальный QR-код магазина")</f>
        <v>Скачать индивидуальный QR-код магазина</v>
      </c>
    </row>
    <row r="16806" spans="1:7" x14ac:dyDescent="0.25">
      <c r="A16806" t="s">
        <v>50404</v>
      </c>
      <c r="B16806" t="s">
        <v>51521</v>
      </c>
      <c r="C16806" t="s">
        <v>7965</v>
      </c>
      <c r="D16806" t="s">
        <v>7966</v>
      </c>
      <c r="E16806" t="s">
        <v>7967</v>
      </c>
      <c r="F16806" t="s">
        <v>51522</v>
      </c>
      <c r="G16806" s="2" t="str">
        <f>HYPERLINK("https://probpalata.gov.ru/files/ЮЛ660700070800134.jpeg","Скачать индивидуальный QR-код магазина")</f>
        <v>Скачать индивидуальный QR-код магазина</v>
      </c>
    </row>
    <row r="16807" spans="1:7" x14ac:dyDescent="0.25">
      <c r="A16807" t="s">
        <v>50404</v>
      </c>
      <c r="B16807" t="s">
        <v>51523</v>
      </c>
      <c r="C16807" t="s">
        <v>7965</v>
      </c>
      <c r="D16807" t="s">
        <v>7966</v>
      </c>
      <c r="E16807" t="s">
        <v>7967</v>
      </c>
      <c r="F16807" t="s">
        <v>51524</v>
      </c>
      <c r="G16807" s="2" t="str">
        <f>HYPERLINK("https://probpalata.gov.ru/files/ЮЛ660700070800205.jpeg","Скачать индивидуальный QR-код магазина")</f>
        <v>Скачать индивидуальный QR-код магазина</v>
      </c>
    </row>
    <row r="16808" spans="1:7" x14ac:dyDescent="0.25">
      <c r="A16808" t="s">
        <v>50404</v>
      </c>
      <c r="B16808" t="s">
        <v>51525</v>
      </c>
      <c r="C16808" t="s">
        <v>7965</v>
      </c>
      <c r="D16808" t="s">
        <v>7966</v>
      </c>
      <c r="E16808" t="s">
        <v>7967</v>
      </c>
      <c r="F16808" t="s">
        <v>51526</v>
      </c>
      <c r="G16808" s="2" t="str">
        <f>HYPERLINK("https://probpalata.gov.ru/files/ЮЛ660700070800206.jpeg","Скачать индивидуальный QR-код магазина")</f>
        <v>Скачать индивидуальный QR-код магазина</v>
      </c>
    </row>
    <row r="16809" spans="1:7" x14ac:dyDescent="0.25">
      <c r="A16809" t="s">
        <v>50404</v>
      </c>
      <c r="B16809" t="s">
        <v>51527</v>
      </c>
      <c r="C16809" t="s">
        <v>20738</v>
      </c>
      <c r="D16809" t="s">
        <v>20739</v>
      </c>
      <c r="E16809" t="s">
        <v>20740</v>
      </c>
      <c r="F16809" t="s">
        <v>51528</v>
      </c>
      <c r="G16809" s="2" t="str">
        <f>HYPERLINK("https://probpalata.gov.ru/files/ИП660700681200000.jpeg","Скачать индивидуальный QR-код магазина")</f>
        <v>Скачать индивидуальный QR-код магазина</v>
      </c>
    </row>
    <row r="16810" spans="1:7" x14ac:dyDescent="0.25">
      <c r="A16810" t="s">
        <v>50404</v>
      </c>
      <c r="B16810" t="s">
        <v>51529</v>
      </c>
      <c r="C16810" t="s">
        <v>20738</v>
      </c>
      <c r="D16810" t="s">
        <v>20739</v>
      </c>
      <c r="E16810" t="s">
        <v>20740</v>
      </c>
      <c r="F16810" t="s">
        <v>51530</v>
      </c>
      <c r="G16810" s="2" t="str">
        <f>HYPERLINK("https://probpalata.gov.ru/files/ИП660700681200003.jpeg","Скачать индивидуальный QR-код магазина")</f>
        <v>Скачать индивидуальный QR-код магазина</v>
      </c>
    </row>
    <row r="16811" spans="1:7" x14ac:dyDescent="0.25">
      <c r="A16811" t="s">
        <v>50404</v>
      </c>
      <c r="B16811" t="s">
        <v>51531</v>
      </c>
      <c r="C16811" t="s">
        <v>51532</v>
      </c>
      <c r="D16811" t="s">
        <v>51533</v>
      </c>
      <c r="E16811" t="s">
        <v>51534</v>
      </c>
      <c r="F16811" t="s">
        <v>51535</v>
      </c>
      <c r="G16811" s="2" t="str">
        <f>HYPERLINK("https://probpalata.gov.ru/files/ИП660700123700000.jpeg","Скачать индивидуальный QR-код магазина")</f>
        <v>Скачать индивидуальный QR-код магазина</v>
      </c>
    </row>
    <row r="16812" spans="1:7" x14ac:dyDescent="0.25">
      <c r="A16812" t="s">
        <v>50404</v>
      </c>
      <c r="B16812" t="s">
        <v>51536</v>
      </c>
      <c r="C16812" t="s">
        <v>51537</v>
      </c>
      <c r="D16812" t="s">
        <v>51538</v>
      </c>
      <c r="E16812" t="s">
        <v>51539</v>
      </c>
      <c r="F16812" t="s">
        <v>51540</v>
      </c>
      <c r="G16812" s="2" t="str">
        <f>HYPERLINK("https://probpalata.gov.ru/files/ИП660701475900000.jpeg","Скачать индивидуальный QR-код магазина")</f>
        <v>Скачать индивидуальный QR-код магазина</v>
      </c>
    </row>
    <row r="16813" spans="1:7" x14ac:dyDescent="0.25">
      <c r="A16813" t="s">
        <v>50404</v>
      </c>
      <c r="B16813" t="s">
        <v>51541</v>
      </c>
      <c r="C16813" t="s">
        <v>51542</v>
      </c>
      <c r="D16813" t="s">
        <v>51543</v>
      </c>
      <c r="E16813" t="s">
        <v>51544</v>
      </c>
      <c r="F16813" t="s">
        <v>51545</v>
      </c>
      <c r="G16813" s="2" t="str">
        <f>HYPERLINK("https://probpalata.gov.ru/files/ИП660700708200000.jpeg","Скачать индивидуальный QR-код магазина")</f>
        <v>Скачать индивидуальный QR-код магазина</v>
      </c>
    </row>
    <row r="16814" spans="1:7" x14ac:dyDescent="0.25">
      <c r="A16814" t="s">
        <v>50404</v>
      </c>
      <c r="B16814" t="s">
        <v>51546</v>
      </c>
      <c r="C16814" t="s">
        <v>51547</v>
      </c>
      <c r="D16814" t="s">
        <v>51548</v>
      </c>
      <c r="E16814" t="s">
        <v>51549</v>
      </c>
      <c r="F16814" t="s">
        <v>51550</v>
      </c>
      <c r="G16814" s="2" t="str">
        <f>HYPERLINK("https://probpalata.gov.ru/files/ЮЛ660700633100000.jpeg","Скачать индивидуальный QR-код магазина")</f>
        <v>Скачать индивидуальный QR-код магазина</v>
      </c>
    </row>
    <row r="16815" spans="1:7" x14ac:dyDescent="0.25">
      <c r="A16815" t="s">
        <v>50404</v>
      </c>
      <c r="B16815" t="s">
        <v>51551</v>
      </c>
      <c r="C16815" t="s">
        <v>51552</v>
      </c>
      <c r="D16815" t="s">
        <v>51553</v>
      </c>
      <c r="E16815" t="s">
        <v>51554</v>
      </c>
      <c r="F16815" t="s">
        <v>51555</v>
      </c>
      <c r="G16815" s="2" t="str">
        <f>HYPERLINK("https://probpalata.gov.ru/files/ЮЛ660700229100000.jpeg","Скачать индивидуальный QR-код магазина")</f>
        <v>Скачать индивидуальный QR-код магазина</v>
      </c>
    </row>
    <row r="16816" spans="1:7" x14ac:dyDescent="0.25">
      <c r="A16816" t="s">
        <v>50404</v>
      </c>
      <c r="B16816" t="s">
        <v>51556</v>
      </c>
      <c r="C16816" t="s">
        <v>51557</v>
      </c>
      <c r="D16816" t="s">
        <v>51558</v>
      </c>
      <c r="E16816" t="s">
        <v>51559</v>
      </c>
      <c r="F16816" t="s">
        <v>51560</v>
      </c>
      <c r="G16816" s="2" t="str">
        <f>HYPERLINK("https://probpalata.gov.ru/files/ЮЛ660700006900000.jpeg","Скачать индивидуальный QR-код магазина")</f>
        <v>Скачать индивидуальный QR-код магазина</v>
      </c>
    </row>
    <row r="16817" spans="1:7" x14ac:dyDescent="0.25">
      <c r="A16817" t="s">
        <v>50404</v>
      </c>
      <c r="B16817" t="s">
        <v>51561</v>
      </c>
      <c r="C16817" t="s">
        <v>51562</v>
      </c>
      <c r="D16817" t="s">
        <v>51563</v>
      </c>
      <c r="E16817" t="s">
        <v>51564</v>
      </c>
      <c r="F16817" t="s">
        <v>51565</v>
      </c>
      <c r="G16817" s="2" t="str">
        <f>HYPERLINK("https://probpalata.gov.ru/files/ЮЛ660700538600000.jpeg","Скачать индивидуальный QR-код магазина")</f>
        <v>Скачать индивидуальный QR-код магазина</v>
      </c>
    </row>
    <row r="16818" spans="1:7" x14ac:dyDescent="0.25">
      <c r="A16818" t="s">
        <v>50404</v>
      </c>
      <c r="B16818" t="s">
        <v>51566</v>
      </c>
      <c r="C16818" t="s">
        <v>51567</v>
      </c>
      <c r="D16818" t="s">
        <v>51568</v>
      </c>
      <c r="E16818" t="s">
        <v>51569</v>
      </c>
      <c r="F16818" t="s">
        <v>51570</v>
      </c>
      <c r="G16818" s="2" t="str">
        <f>HYPERLINK("https://probpalata.gov.ru/files/ЮЛ660700212400000.jpeg","Скачать индивидуальный QR-код магазина")</f>
        <v>Скачать индивидуальный QR-код магазина</v>
      </c>
    </row>
    <row r="16819" spans="1:7" x14ac:dyDescent="0.25">
      <c r="A16819" t="s">
        <v>50404</v>
      </c>
      <c r="B16819" t="s">
        <v>51571</v>
      </c>
      <c r="C16819" t="s">
        <v>51567</v>
      </c>
      <c r="D16819" t="s">
        <v>51568</v>
      </c>
      <c r="E16819" t="s">
        <v>51569</v>
      </c>
      <c r="F16819" t="s">
        <v>51572</v>
      </c>
      <c r="G16819" s="2" t="str">
        <f>HYPERLINK("https://probpalata.gov.ru/files/ЮЛ660700212400001.jpeg","Скачать индивидуальный QR-код магазина")</f>
        <v>Скачать индивидуальный QR-код магазина</v>
      </c>
    </row>
    <row r="16820" spans="1:7" x14ac:dyDescent="0.25">
      <c r="A16820" t="s">
        <v>50404</v>
      </c>
      <c r="B16820" t="s">
        <v>51573</v>
      </c>
      <c r="C16820" t="s">
        <v>51567</v>
      </c>
      <c r="D16820" t="s">
        <v>51568</v>
      </c>
      <c r="E16820" t="s">
        <v>51569</v>
      </c>
      <c r="F16820" t="s">
        <v>51574</v>
      </c>
      <c r="G16820" s="2" t="str">
        <f>HYPERLINK("https://probpalata.gov.ru/files/ЮЛ660700212400005.jpeg","Скачать индивидуальный QR-код магазина")</f>
        <v>Скачать индивидуальный QR-код магазина</v>
      </c>
    </row>
    <row r="16821" spans="1:7" x14ac:dyDescent="0.25">
      <c r="A16821" t="s">
        <v>50404</v>
      </c>
      <c r="B16821" t="s">
        <v>51575</v>
      </c>
      <c r="C16821" t="s">
        <v>51567</v>
      </c>
      <c r="D16821" t="s">
        <v>51568</v>
      </c>
      <c r="E16821" t="s">
        <v>51569</v>
      </c>
      <c r="F16821" t="s">
        <v>51576</v>
      </c>
      <c r="G16821" s="2" t="str">
        <f>HYPERLINK("https://probpalata.gov.ru/files/ЮЛ660700212400007.jpeg","Скачать индивидуальный QR-код магазина")</f>
        <v>Скачать индивидуальный QR-код магазина</v>
      </c>
    </row>
    <row r="16822" spans="1:7" x14ac:dyDescent="0.25">
      <c r="A16822" t="s">
        <v>50404</v>
      </c>
      <c r="B16822" t="s">
        <v>51577</v>
      </c>
      <c r="C16822" t="s">
        <v>51567</v>
      </c>
      <c r="D16822" t="s">
        <v>51568</v>
      </c>
      <c r="E16822" t="s">
        <v>51569</v>
      </c>
      <c r="F16822" t="s">
        <v>51578</v>
      </c>
      <c r="G16822" s="2" t="str">
        <f>HYPERLINK("https://probpalata.gov.ru/files/ЮЛ660700212400013.jpeg","Скачать индивидуальный QR-код магазина")</f>
        <v>Скачать индивидуальный QR-код магазина</v>
      </c>
    </row>
    <row r="16823" spans="1:7" x14ac:dyDescent="0.25">
      <c r="A16823" t="s">
        <v>50404</v>
      </c>
      <c r="B16823" t="s">
        <v>51579</v>
      </c>
      <c r="C16823" t="s">
        <v>51580</v>
      </c>
      <c r="D16823" t="s">
        <v>51581</v>
      </c>
      <c r="E16823" t="s">
        <v>51582</v>
      </c>
      <c r="F16823" t="s">
        <v>51583</v>
      </c>
      <c r="G16823" s="2" t="str">
        <f>HYPERLINK("https://probpalata.gov.ru/files/ЮЛ660700752400000.jpeg","Скачать индивидуальный QR-код магазина")</f>
        <v>Скачать индивидуальный QR-код магазина</v>
      </c>
    </row>
    <row r="16824" spans="1:7" x14ac:dyDescent="0.25">
      <c r="A16824" t="s">
        <v>50404</v>
      </c>
      <c r="B16824" t="s">
        <v>51584</v>
      </c>
      <c r="C16824" t="s">
        <v>51585</v>
      </c>
      <c r="D16824" t="s">
        <v>51586</v>
      </c>
      <c r="E16824" t="s">
        <v>51587</v>
      </c>
      <c r="F16824" t="s">
        <v>51588</v>
      </c>
      <c r="G16824" s="2" t="str">
        <f>HYPERLINK("https://probpalata.gov.ru/files/ЮЛ660703427200007.jpeg","Скачать индивидуальный QR-код магазина")</f>
        <v>Скачать индивидуальный QR-код магазина</v>
      </c>
    </row>
    <row r="16825" spans="1:7" x14ac:dyDescent="0.25">
      <c r="A16825" t="s">
        <v>50404</v>
      </c>
      <c r="B16825" t="s">
        <v>51589</v>
      </c>
      <c r="C16825" t="s">
        <v>51585</v>
      </c>
      <c r="D16825" t="s">
        <v>51586</v>
      </c>
      <c r="E16825" t="s">
        <v>51587</v>
      </c>
      <c r="F16825" t="s">
        <v>51590</v>
      </c>
      <c r="G16825" s="2" t="str">
        <f>HYPERLINK("https://probpalata.gov.ru/files/ЮЛ660703427200008.jpeg","Скачать индивидуальный QR-код магазина")</f>
        <v>Скачать индивидуальный QR-код магазина</v>
      </c>
    </row>
    <row r="16826" spans="1:7" x14ac:dyDescent="0.25">
      <c r="A16826" t="s">
        <v>50404</v>
      </c>
      <c r="B16826" t="s">
        <v>51591</v>
      </c>
      <c r="C16826" t="s">
        <v>51585</v>
      </c>
      <c r="D16826" t="s">
        <v>51586</v>
      </c>
      <c r="E16826" t="s">
        <v>51587</v>
      </c>
      <c r="F16826" t="s">
        <v>51592</v>
      </c>
      <c r="G16826" s="2" t="str">
        <f>HYPERLINK("https://probpalata.gov.ru/files/ЮЛ660703427200009.jpeg","Скачать индивидуальный QR-код магазина")</f>
        <v>Скачать индивидуальный QR-код магазина</v>
      </c>
    </row>
    <row r="16827" spans="1:7" x14ac:dyDescent="0.25">
      <c r="A16827" t="s">
        <v>50404</v>
      </c>
      <c r="B16827" t="s">
        <v>51347</v>
      </c>
      <c r="C16827" t="s">
        <v>51585</v>
      </c>
      <c r="D16827" t="s">
        <v>51586</v>
      </c>
      <c r="E16827" t="s">
        <v>51587</v>
      </c>
      <c r="F16827" t="s">
        <v>51593</v>
      </c>
      <c r="G16827" s="2" t="str">
        <f>HYPERLINK("https://probpalata.gov.ru/files/ЮЛ660703427200010.jpeg","Скачать индивидуальный QR-код магазина")</f>
        <v>Скачать индивидуальный QR-код магазина</v>
      </c>
    </row>
    <row r="16828" spans="1:7" x14ac:dyDescent="0.25">
      <c r="A16828" t="s">
        <v>50404</v>
      </c>
      <c r="B16828" t="s">
        <v>51594</v>
      </c>
      <c r="C16828" t="s">
        <v>51595</v>
      </c>
      <c r="D16828" t="s">
        <v>51596</v>
      </c>
      <c r="E16828" t="s">
        <v>51597</v>
      </c>
      <c r="F16828" t="s">
        <v>51598</v>
      </c>
      <c r="G16828" s="2" t="str">
        <f>HYPERLINK("https://probpalata.gov.ru/files/ИП660700028400000.jpeg","Скачать индивидуальный QR-код магазина")</f>
        <v>Скачать индивидуальный QR-код магазина</v>
      </c>
    </row>
    <row r="16829" spans="1:7" x14ac:dyDescent="0.25">
      <c r="A16829" t="s">
        <v>50404</v>
      </c>
      <c r="B16829" t="s">
        <v>51599</v>
      </c>
      <c r="C16829" t="s">
        <v>51600</v>
      </c>
      <c r="D16829" t="s">
        <v>51601</v>
      </c>
      <c r="E16829" t="s">
        <v>51602</v>
      </c>
      <c r="F16829" t="s">
        <v>51603</v>
      </c>
      <c r="G16829" s="2" t="str">
        <f>HYPERLINK("https://probpalata.gov.ru/files/ИП660700119600000.jpeg","Скачать индивидуальный QR-код магазина")</f>
        <v>Скачать индивидуальный QR-код магазина</v>
      </c>
    </row>
    <row r="16830" spans="1:7" x14ac:dyDescent="0.25">
      <c r="A16830" t="s">
        <v>50404</v>
      </c>
      <c r="B16830" t="s">
        <v>51604</v>
      </c>
      <c r="C16830" t="s">
        <v>51605</v>
      </c>
      <c r="D16830" t="s">
        <v>51606</v>
      </c>
      <c r="E16830" t="s">
        <v>51607</v>
      </c>
      <c r="F16830" t="s">
        <v>51608</v>
      </c>
      <c r="G16830" s="2" t="str">
        <f>HYPERLINK("https://probpalata.gov.ru/files/ИП660704066300000.jpeg","Скачать индивидуальный QR-код магазина")</f>
        <v>Скачать индивидуальный QR-код магазина</v>
      </c>
    </row>
    <row r="16831" spans="1:7" x14ac:dyDescent="0.25">
      <c r="A16831" t="s">
        <v>50404</v>
      </c>
      <c r="B16831" t="s">
        <v>51609</v>
      </c>
      <c r="C16831" t="s">
        <v>51610</v>
      </c>
      <c r="D16831" t="s">
        <v>51611</v>
      </c>
      <c r="E16831" t="s">
        <v>51612</v>
      </c>
      <c r="F16831" t="s">
        <v>51613</v>
      </c>
      <c r="G16831" s="2" t="str">
        <f>HYPERLINK("https://probpalata.gov.ru/files/ЮЛ660700192500000.jpeg","Скачать индивидуальный QR-код магазина")</f>
        <v>Скачать индивидуальный QR-код магазина</v>
      </c>
    </row>
    <row r="16832" spans="1:7" x14ac:dyDescent="0.25">
      <c r="A16832" t="s">
        <v>50404</v>
      </c>
      <c r="B16832" t="s">
        <v>51614</v>
      </c>
      <c r="C16832" t="s">
        <v>51615</v>
      </c>
      <c r="D16832" t="s">
        <v>51616</v>
      </c>
      <c r="E16832" t="s">
        <v>51617</v>
      </c>
      <c r="F16832" t="s">
        <v>51618</v>
      </c>
      <c r="G16832" s="2" t="str">
        <f>HYPERLINK("https://probpalata.gov.ru/files/ИП660700121300000.jpeg","Скачать индивидуальный QR-код магазина")</f>
        <v>Скачать индивидуальный QR-код магазина</v>
      </c>
    </row>
    <row r="16833" spans="1:7" x14ac:dyDescent="0.25">
      <c r="A16833" t="s">
        <v>50404</v>
      </c>
      <c r="B16833" t="s">
        <v>51619</v>
      </c>
      <c r="C16833" t="s">
        <v>51615</v>
      </c>
      <c r="D16833" t="s">
        <v>51616</v>
      </c>
      <c r="E16833" t="s">
        <v>51617</v>
      </c>
      <c r="F16833" t="s">
        <v>51620</v>
      </c>
      <c r="G16833" s="2" t="str">
        <f>HYPERLINK("https://probpalata.gov.ru/files/ИП660700121300002.jpeg","Скачать индивидуальный QR-код магазина")</f>
        <v>Скачать индивидуальный QR-код магазина</v>
      </c>
    </row>
    <row r="16834" spans="1:7" x14ac:dyDescent="0.25">
      <c r="A16834" t="s">
        <v>50404</v>
      </c>
      <c r="B16834" t="s">
        <v>51621</v>
      </c>
      <c r="C16834" t="s">
        <v>51615</v>
      </c>
      <c r="D16834" t="s">
        <v>51616</v>
      </c>
      <c r="E16834" t="s">
        <v>51617</v>
      </c>
      <c r="F16834" t="s">
        <v>51622</v>
      </c>
      <c r="G16834" s="2" t="str">
        <f>HYPERLINK("https://probpalata.gov.ru/files/ИП660700121300005.jpeg","Скачать индивидуальный QR-код магазина")</f>
        <v>Скачать индивидуальный QR-код магазина</v>
      </c>
    </row>
    <row r="16835" spans="1:7" x14ac:dyDescent="0.25">
      <c r="A16835" t="s">
        <v>50404</v>
      </c>
      <c r="B16835" t="s">
        <v>51623</v>
      </c>
      <c r="C16835" t="s">
        <v>51615</v>
      </c>
      <c r="D16835" t="s">
        <v>51616</v>
      </c>
      <c r="E16835" t="s">
        <v>51617</v>
      </c>
      <c r="F16835" t="s">
        <v>51624</v>
      </c>
      <c r="G16835" s="2" t="str">
        <f>HYPERLINK("https://probpalata.gov.ru/files/ИП660700121300006.jpeg","Скачать индивидуальный QR-код магазина")</f>
        <v>Скачать индивидуальный QR-код магазина</v>
      </c>
    </row>
    <row r="16836" spans="1:7" x14ac:dyDescent="0.25">
      <c r="A16836" t="s">
        <v>50404</v>
      </c>
      <c r="B16836" t="s">
        <v>51625</v>
      </c>
      <c r="C16836" t="s">
        <v>51626</v>
      </c>
      <c r="D16836" t="s">
        <v>51627</v>
      </c>
      <c r="E16836" t="s">
        <v>51628</v>
      </c>
      <c r="F16836" t="s">
        <v>51629</v>
      </c>
      <c r="G16836" s="2" t="str">
        <f>HYPERLINK("https://probpalata.gov.ru/files/ИП660700620700000.jpeg","Скачать индивидуальный QR-код магазина")</f>
        <v>Скачать индивидуальный QR-код магазина</v>
      </c>
    </row>
    <row r="16837" spans="1:7" x14ac:dyDescent="0.25">
      <c r="A16837" t="s">
        <v>50404</v>
      </c>
      <c r="B16837" t="s">
        <v>51630</v>
      </c>
      <c r="C16837" t="s">
        <v>51631</v>
      </c>
      <c r="D16837" t="s">
        <v>51632</v>
      </c>
      <c r="E16837" t="s">
        <v>51633</v>
      </c>
      <c r="F16837" t="s">
        <v>51634</v>
      </c>
      <c r="G16837" s="2" t="str">
        <f>HYPERLINK("https://probpalata.gov.ru/files/ИП660700542500000.jpeg","Скачать индивидуальный QR-код магазина")</f>
        <v>Скачать индивидуальный QR-код магазина</v>
      </c>
    </row>
    <row r="16838" spans="1:7" x14ac:dyDescent="0.25">
      <c r="A16838" t="s">
        <v>50404</v>
      </c>
      <c r="B16838" t="s">
        <v>51635</v>
      </c>
      <c r="C16838" t="s">
        <v>51631</v>
      </c>
      <c r="D16838" t="s">
        <v>51632</v>
      </c>
      <c r="E16838" t="s">
        <v>51633</v>
      </c>
      <c r="F16838" t="s">
        <v>51636</v>
      </c>
      <c r="G16838" s="2" t="str">
        <f>HYPERLINK("https://probpalata.gov.ru/files/ИП660700542500005.jpeg","Скачать индивидуальный QR-код магазина")</f>
        <v>Скачать индивидуальный QR-код магазина</v>
      </c>
    </row>
    <row r="16839" spans="1:7" x14ac:dyDescent="0.25">
      <c r="A16839" t="s">
        <v>50404</v>
      </c>
      <c r="B16839" t="s">
        <v>51637</v>
      </c>
      <c r="C16839" t="s">
        <v>51631</v>
      </c>
      <c r="D16839" t="s">
        <v>51632</v>
      </c>
      <c r="E16839" t="s">
        <v>51633</v>
      </c>
      <c r="F16839" t="s">
        <v>51638</v>
      </c>
      <c r="G16839" s="2" t="str">
        <f>HYPERLINK("https://probpalata.gov.ru/files/ИП660700542500007.jpeg","Скачать индивидуальный QR-код магазина")</f>
        <v>Скачать индивидуальный QR-код магазина</v>
      </c>
    </row>
    <row r="16840" spans="1:7" x14ac:dyDescent="0.25">
      <c r="A16840" t="s">
        <v>50404</v>
      </c>
      <c r="B16840" t="s">
        <v>51639</v>
      </c>
      <c r="C16840" t="s">
        <v>51640</v>
      </c>
      <c r="D16840" t="s">
        <v>51641</v>
      </c>
      <c r="E16840" t="s">
        <v>51642</v>
      </c>
      <c r="F16840" t="s">
        <v>51643</v>
      </c>
      <c r="G16840" s="2" t="str">
        <f>HYPERLINK("https://probpalata.gov.ru/files/ЮЛ660700851800000.jpeg","Скачать индивидуальный QR-код магазина")</f>
        <v>Скачать индивидуальный QR-код магазина</v>
      </c>
    </row>
    <row r="16841" spans="1:7" x14ac:dyDescent="0.25">
      <c r="A16841" t="s">
        <v>50404</v>
      </c>
      <c r="B16841" t="s">
        <v>51644</v>
      </c>
      <c r="C16841" t="s">
        <v>51645</v>
      </c>
      <c r="D16841" t="s">
        <v>51646</v>
      </c>
      <c r="E16841" t="s">
        <v>51647</v>
      </c>
      <c r="F16841" t="s">
        <v>51648</v>
      </c>
      <c r="G16841" s="2" t="str">
        <f>HYPERLINK("https://probpalata.gov.ru/files/ИП660700053400000.jpeg","Скачать индивидуальный QR-код магазина")</f>
        <v>Скачать индивидуальный QR-код магазина</v>
      </c>
    </row>
    <row r="16842" spans="1:7" x14ac:dyDescent="0.25">
      <c r="A16842" t="s">
        <v>50404</v>
      </c>
      <c r="B16842" t="s">
        <v>51649</v>
      </c>
      <c r="C16842" t="s">
        <v>51650</v>
      </c>
      <c r="D16842" t="s">
        <v>51651</v>
      </c>
      <c r="E16842" t="s">
        <v>51652</v>
      </c>
      <c r="F16842" t="s">
        <v>51653</v>
      </c>
      <c r="G16842" s="2" t="str">
        <f>HYPERLINK("https://probpalata.gov.ru/files/ИП660700744100000.jpeg","Скачать индивидуальный QR-код магазина")</f>
        <v>Скачать индивидуальный QR-код магазина</v>
      </c>
    </row>
    <row r="16843" spans="1:7" x14ac:dyDescent="0.25">
      <c r="A16843" t="s">
        <v>50404</v>
      </c>
      <c r="B16843" t="s">
        <v>51654</v>
      </c>
      <c r="C16843" t="s">
        <v>51655</v>
      </c>
      <c r="D16843" t="s">
        <v>51656</v>
      </c>
      <c r="E16843" t="s">
        <v>51657</v>
      </c>
      <c r="F16843" t="s">
        <v>51658</v>
      </c>
      <c r="G16843" s="2" t="str">
        <f>HYPERLINK("https://probpalata.gov.ru/files/ЮЛ660700240600000.jpeg","Скачать индивидуальный QR-код магазина")</f>
        <v>Скачать индивидуальный QR-код магазина</v>
      </c>
    </row>
    <row r="16844" spans="1:7" x14ac:dyDescent="0.25">
      <c r="A16844" t="s">
        <v>50404</v>
      </c>
      <c r="B16844" t="s">
        <v>51659</v>
      </c>
      <c r="C16844" t="s">
        <v>51660</v>
      </c>
      <c r="D16844" t="s">
        <v>51661</v>
      </c>
      <c r="E16844" t="s">
        <v>51662</v>
      </c>
      <c r="F16844" t="s">
        <v>51663</v>
      </c>
      <c r="G16844" s="2" t="str">
        <f>HYPERLINK("https://probpalata.gov.ru/files/ЮЛ660700689300000.jpeg","Скачать индивидуальный QR-код магазина")</f>
        <v>Скачать индивидуальный QR-код магазина</v>
      </c>
    </row>
    <row r="16845" spans="1:7" x14ac:dyDescent="0.25">
      <c r="A16845" t="s">
        <v>50404</v>
      </c>
      <c r="B16845" t="s">
        <v>51664</v>
      </c>
      <c r="C16845" t="s">
        <v>51665</v>
      </c>
      <c r="D16845" t="s">
        <v>51666</v>
      </c>
      <c r="E16845" t="s">
        <v>51667</v>
      </c>
      <c r="F16845" t="s">
        <v>51668</v>
      </c>
      <c r="G16845" s="2" t="str">
        <f>HYPERLINK("https://probpalata.gov.ru/files/ИП660700683200000.jpeg","Скачать индивидуальный QR-код магазина")</f>
        <v>Скачать индивидуальный QR-код магазина</v>
      </c>
    </row>
    <row r="16846" spans="1:7" x14ac:dyDescent="0.25">
      <c r="A16846" t="s">
        <v>50404</v>
      </c>
      <c r="B16846" t="s">
        <v>51669</v>
      </c>
      <c r="C16846" t="s">
        <v>51670</v>
      </c>
      <c r="D16846" t="s">
        <v>51671</v>
      </c>
      <c r="E16846" t="s">
        <v>51672</v>
      </c>
      <c r="F16846" t="s">
        <v>51673</v>
      </c>
      <c r="G16846" s="2" t="str">
        <f>HYPERLINK("https://probpalata.gov.ru/files/ИП660700318600000.jpeg","Скачать индивидуальный QR-код магазина")</f>
        <v>Скачать индивидуальный QR-код магазина</v>
      </c>
    </row>
    <row r="16847" spans="1:7" x14ac:dyDescent="0.25">
      <c r="A16847" t="s">
        <v>50404</v>
      </c>
      <c r="B16847" t="s">
        <v>51674</v>
      </c>
      <c r="C16847" t="s">
        <v>51675</v>
      </c>
      <c r="D16847" t="s">
        <v>51676</v>
      </c>
      <c r="E16847" t="s">
        <v>51677</v>
      </c>
      <c r="F16847" t="s">
        <v>51678</v>
      </c>
      <c r="G16847" s="2" t="str">
        <f>HYPERLINK("https://probpalata.gov.ru/files/ИП660700275300000.jpeg","Скачать индивидуальный QR-код магазина")</f>
        <v>Скачать индивидуальный QR-код магазина</v>
      </c>
    </row>
    <row r="16848" spans="1:7" x14ac:dyDescent="0.25">
      <c r="A16848" t="s">
        <v>50404</v>
      </c>
      <c r="B16848" t="s">
        <v>51679</v>
      </c>
      <c r="C16848" t="s">
        <v>51680</v>
      </c>
      <c r="D16848" t="s">
        <v>51681</v>
      </c>
      <c r="E16848" t="s">
        <v>51682</v>
      </c>
      <c r="F16848" t="s">
        <v>51683</v>
      </c>
      <c r="G16848" s="2" t="str">
        <f>HYPERLINK("https://probpalata.gov.ru/files/ИП660703221700000.jpeg","Скачать индивидуальный QR-код магазина")</f>
        <v>Скачать индивидуальный QR-код магазина</v>
      </c>
    </row>
    <row r="16849" spans="1:7" x14ac:dyDescent="0.25">
      <c r="A16849" t="s">
        <v>50404</v>
      </c>
      <c r="B16849" t="s">
        <v>51684</v>
      </c>
      <c r="C16849" t="s">
        <v>51685</v>
      </c>
      <c r="D16849" t="s">
        <v>51686</v>
      </c>
      <c r="E16849" t="s">
        <v>51687</v>
      </c>
      <c r="F16849" t="s">
        <v>51688</v>
      </c>
      <c r="G16849" s="2" t="str">
        <f>HYPERLINK("https://probpalata.gov.ru/files/ИП660700202200000.jpeg","Скачать индивидуальный QR-код магазина")</f>
        <v>Скачать индивидуальный QR-код магазина</v>
      </c>
    </row>
    <row r="16850" spans="1:7" x14ac:dyDescent="0.25">
      <c r="A16850" t="s">
        <v>50404</v>
      </c>
      <c r="B16850" t="s">
        <v>51689</v>
      </c>
      <c r="C16850" t="s">
        <v>20743</v>
      </c>
      <c r="D16850" t="s">
        <v>20744</v>
      </c>
      <c r="E16850" t="s">
        <v>20745</v>
      </c>
      <c r="F16850" t="s">
        <v>51690</v>
      </c>
      <c r="G16850" s="2" t="str">
        <f>HYPERLINK("https://probpalata.gov.ru/files/ЮЛ660701346900000.jpeg","Скачать индивидуальный QR-код магазина")</f>
        <v>Скачать индивидуальный QR-код магазина</v>
      </c>
    </row>
    <row r="16851" spans="1:7" x14ac:dyDescent="0.25">
      <c r="A16851" t="s">
        <v>50404</v>
      </c>
      <c r="B16851" t="s">
        <v>51691</v>
      </c>
      <c r="C16851" t="s">
        <v>51692</v>
      </c>
      <c r="D16851" t="s">
        <v>51693</v>
      </c>
      <c r="E16851" t="s">
        <v>51694</v>
      </c>
      <c r="F16851" t="s">
        <v>51695</v>
      </c>
      <c r="G16851" s="2" t="str">
        <f>HYPERLINK("https://probpalata.gov.ru/files/ЮЛ660703202500000.jpeg","Скачать индивидуальный QR-код магазина")</f>
        <v>Скачать индивидуальный QR-код магазина</v>
      </c>
    </row>
    <row r="16852" spans="1:7" x14ac:dyDescent="0.25">
      <c r="A16852" t="s">
        <v>50404</v>
      </c>
      <c r="B16852" t="s">
        <v>51437</v>
      </c>
      <c r="C16852" t="s">
        <v>51696</v>
      </c>
      <c r="D16852" t="s">
        <v>51697</v>
      </c>
      <c r="E16852" t="s">
        <v>51698</v>
      </c>
      <c r="F16852" t="s">
        <v>51699</v>
      </c>
      <c r="G16852" s="2" t="str">
        <f>HYPERLINK("https://probpalata.gov.ru/files/ЮЛ660700788800000.jpeg","Скачать индивидуальный QR-код магазина")</f>
        <v>Скачать индивидуальный QR-код магазина</v>
      </c>
    </row>
    <row r="16853" spans="1:7" x14ac:dyDescent="0.25">
      <c r="A16853" t="s">
        <v>50404</v>
      </c>
      <c r="B16853" t="s">
        <v>51700</v>
      </c>
      <c r="C16853" t="s">
        <v>51696</v>
      </c>
      <c r="D16853" t="s">
        <v>51697</v>
      </c>
      <c r="E16853" t="s">
        <v>51698</v>
      </c>
      <c r="F16853" t="s">
        <v>51701</v>
      </c>
      <c r="G16853" s="2" t="str">
        <f>HYPERLINK("https://probpalata.gov.ru/files/ЮЛ660700788800023.jpeg","Скачать индивидуальный QR-код магазина")</f>
        <v>Скачать индивидуальный QR-код магазина</v>
      </c>
    </row>
    <row r="16854" spans="1:7" x14ac:dyDescent="0.25">
      <c r="A16854" t="s">
        <v>50404</v>
      </c>
      <c r="B16854" t="s">
        <v>51702</v>
      </c>
      <c r="C16854" t="s">
        <v>51703</v>
      </c>
      <c r="D16854" t="s">
        <v>51704</v>
      </c>
      <c r="E16854" t="s">
        <v>51705</v>
      </c>
      <c r="F16854" t="s">
        <v>51706</v>
      </c>
      <c r="G16854" s="2" t="str">
        <f>HYPERLINK("https://probpalata.gov.ru/files/ЮЛ660703966700000.jpeg","Скачать индивидуальный QR-код магазина")</f>
        <v>Скачать индивидуальный QR-код магазина</v>
      </c>
    </row>
    <row r="16855" spans="1:7" x14ac:dyDescent="0.25">
      <c r="A16855" t="s">
        <v>50404</v>
      </c>
      <c r="B16855" t="s">
        <v>51707</v>
      </c>
      <c r="C16855" t="s">
        <v>31055</v>
      </c>
      <c r="D16855" t="s">
        <v>51708</v>
      </c>
      <c r="E16855" t="s">
        <v>51709</v>
      </c>
      <c r="F16855" t="s">
        <v>51710</v>
      </c>
      <c r="G16855" s="2" t="str">
        <f>HYPERLINK("https://probpalata.gov.ru/files/ЮЛ660703997800000.jpeg","Скачать индивидуальный QR-код магазина")</f>
        <v>Скачать индивидуальный QR-код магазина</v>
      </c>
    </row>
    <row r="16856" spans="1:7" x14ac:dyDescent="0.25">
      <c r="A16856" t="s">
        <v>50404</v>
      </c>
      <c r="B16856" t="s">
        <v>51711</v>
      </c>
      <c r="C16856" t="s">
        <v>51712</v>
      </c>
      <c r="D16856" t="s">
        <v>51713</v>
      </c>
      <c r="E16856" t="s">
        <v>51714</v>
      </c>
      <c r="F16856" t="s">
        <v>51715</v>
      </c>
      <c r="G16856" s="2" t="str">
        <f>HYPERLINK("https://probpalata.gov.ru/files/ЮЛ660700612400001.jpeg","Скачать индивидуальный QR-код магазина")</f>
        <v>Скачать индивидуальный QR-код магазина</v>
      </c>
    </row>
    <row r="16857" spans="1:7" x14ac:dyDescent="0.25">
      <c r="A16857" t="s">
        <v>50404</v>
      </c>
      <c r="B16857" t="s">
        <v>51716</v>
      </c>
      <c r="C16857" t="s">
        <v>51717</v>
      </c>
      <c r="D16857" t="s">
        <v>51718</v>
      </c>
      <c r="E16857" t="s">
        <v>51719</v>
      </c>
      <c r="F16857" t="s">
        <v>51720</v>
      </c>
      <c r="G16857" s="2" t="str">
        <f>HYPERLINK("https://probpalata.gov.ru/files/ЮЛ660700289900000.jpeg","Скачать индивидуальный QR-код магазина")</f>
        <v>Скачать индивидуальный QR-код магазина</v>
      </c>
    </row>
    <row r="16858" spans="1:7" x14ac:dyDescent="0.25">
      <c r="A16858" t="s">
        <v>50404</v>
      </c>
      <c r="B16858" t="s">
        <v>51721</v>
      </c>
      <c r="C16858" t="s">
        <v>51722</v>
      </c>
      <c r="D16858" t="s">
        <v>51723</v>
      </c>
      <c r="E16858" t="s">
        <v>51724</v>
      </c>
      <c r="F16858" t="s">
        <v>51725</v>
      </c>
      <c r="G16858" s="2" t="str">
        <f>HYPERLINK("https://probpalata.gov.ru/files/ИП660703489700000.jpeg","Скачать индивидуальный QR-код магазина")</f>
        <v>Скачать индивидуальный QR-код магазина</v>
      </c>
    </row>
    <row r="16859" spans="1:7" x14ac:dyDescent="0.25">
      <c r="A16859" t="s">
        <v>50404</v>
      </c>
      <c r="B16859" t="s">
        <v>51726</v>
      </c>
      <c r="C16859" t="s">
        <v>51727</v>
      </c>
      <c r="D16859" t="s">
        <v>51728</v>
      </c>
      <c r="E16859" t="s">
        <v>51729</v>
      </c>
      <c r="F16859" t="s">
        <v>51730</v>
      </c>
      <c r="G16859" s="2" t="str">
        <f>HYPERLINK("https://probpalata.gov.ru/files/ИП660703904900000.jpeg","Скачать индивидуальный QR-код магазина")</f>
        <v>Скачать индивидуальный QR-код магазина</v>
      </c>
    </row>
    <row r="16860" spans="1:7" x14ac:dyDescent="0.25">
      <c r="A16860" t="s">
        <v>50404</v>
      </c>
      <c r="B16860" t="s">
        <v>51731</v>
      </c>
      <c r="C16860" t="s">
        <v>51732</v>
      </c>
      <c r="D16860" t="s">
        <v>51733</v>
      </c>
      <c r="E16860" t="s">
        <v>51734</v>
      </c>
      <c r="F16860" t="s">
        <v>51735</v>
      </c>
      <c r="G16860" s="2" t="str">
        <f>HYPERLINK("https://probpalata.gov.ru/files/ИП660703987000000.jpeg","Скачать индивидуальный QR-код магазина")</f>
        <v>Скачать индивидуальный QR-код магазина</v>
      </c>
    </row>
    <row r="16861" spans="1:7" x14ac:dyDescent="0.25">
      <c r="A16861" t="s">
        <v>50404</v>
      </c>
      <c r="B16861" t="s">
        <v>51736</v>
      </c>
      <c r="C16861" t="s">
        <v>51737</v>
      </c>
      <c r="D16861" t="s">
        <v>51738</v>
      </c>
      <c r="E16861" t="s">
        <v>51739</v>
      </c>
      <c r="F16861" t="s">
        <v>51740</v>
      </c>
      <c r="G16861" s="2" t="str">
        <f>HYPERLINK("https://probpalata.gov.ru/files/ИП660703906300000.jpeg","Скачать индивидуальный QR-код магазина")</f>
        <v>Скачать индивидуальный QR-код магазина</v>
      </c>
    </row>
    <row r="16862" spans="1:7" x14ac:dyDescent="0.25">
      <c r="A16862" t="s">
        <v>50404</v>
      </c>
      <c r="B16862" t="s">
        <v>51741</v>
      </c>
      <c r="C16862" t="s">
        <v>2436</v>
      </c>
      <c r="D16862" t="s">
        <v>51742</v>
      </c>
      <c r="E16862" t="s">
        <v>51743</v>
      </c>
      <c r="F16862" t="s">
        <v>51744</v>
      </c>
      <c r="G16862" s="2" t="str">
        <f>HYPERLINK("https://probpalata.gov.ru/files/ЮЛ660703203000000.jpeg","Скачать индивидуальный QR-код магазина")</f>
        <v>Скачать индивидуальный QR-код магазина</v>
      </c>
    </row>
    <row r="16863" spans="1:7" x14ac:dyDescent="0.25">
      <c r="A16863" t="s">
        <v>50404</v>
      </c>
      <c r="B16863" t="s">
        <v>51745</v>
      </c>
      <c r="C16863" t="s">
        <v>2436</v>
      </c>
      <c r="D16863" t="s">
        <v>51742</v>
      </c>
      <c r="E16863" t="s">
        <v>51743</v>
      </c>
      <c r="F16863" t="s">
        <v>51746</v>
      </c>
      <c r="G16863" s="2" t="str">
        <f>HYPERLINK("https://probpalata.gov.ru/files/ЮЛ660703203000001.jpeg","Скачать индивидуальный QR-код магазина")</f>
        <v>Скачать индивидуальный QR-код магазина</v>
      </c>
    </row>
    <row r="16864" spans="1:7" x14ac:dyDescent="0.25">
      <c r="A16864" t="s">
        <v>50404</v>
      </c>
      <c r="B16864" t="s">
        <v>51747</v>
      </c>
      <c r="C16864" t="s">
        <v>51748</v>
      </c>
      <c r="D16864" t="s">
        <v>51749</v>
      </c>
      <c r="E16864" t="s">
        <v>51750</v>
      </c>
      <c r="F16864" t="s">
        <v>51751</v>
      </c>
      <c r="G16864" s="2" t="str">
        <f>HYPERLINK("https://probpalata.gov.ru/files/ЮЛ660701227500000.jpeg","Скачать индивидуальный QR-код магазина")</f>
        <v>Скачать индивидуальный QR-код магазина</v>
      </c>
    </row>
    <row r="16865" spans="1:7" x14ac:dyDescent="0.25">
      <c r="A16865" t="s">
        <v>50404</v>
      </c>
      <c r="B16865" t="s">
        <v>51752</v>
      </c>
      <c r="C16865" t="s">
        <v>51753</v>
      </c>
      <c r="D16865" t="s">
        <v>51754</v>
      </c>
      <c r="E16865" t="s">
        <v>51755</v>
      </c>
      <c r="F16865" t="s">
        <v>51756</v>
      </c>
      <c r="G16865" s="2" t="str">
        <f>HYPERLINK("https://probpalata.gov.ru/files/ЮЛ660700923000000.jpeg","Скачать индивидуальный QR-код магазина")</f>
        <v>Скачать индивидуальный QR-код магазина</v>
      </c>
    </row>
    <row r="16866" spans="1:7" x14ac:dyDescent="0.25">
      <c r="A16866" t="s">
        <v>50404</v>
      </c>
      <c r="B16866" t="s">
        <v>51757</v>
      </c>
      <c r="C16866" t="s">
        <v>51758</v>
      </c>
      <c r="D16866" t="s">
        <v>51759</v>
      </c>
      <c r="E16866" t="s">
        <v>51760</v>
      </c>
      <c r="F16866" t="s">
        <v>51761</v>
      </c>
      <c r="G16866" s="2" t="str">
        <f>HYPERLINK("https://probpalata.gov.ru/files/ЮЛ660700721600000.jpeg","Скачать индивидуальный QR-код магазина")</f>
        <v>Скачать индивидуальный QR-код магазина</v>
      </c>
    </row>
    <row r="16867" spans="1:7" x14ac:dyDescent="0.25">
      <c r="A16867" t="s">
        <v>50404</v>
      </c>
      <c r="B16867" t="s">
        <v>51762</v>
      </c>
      <c r="C16867" t="s">
        <v>10096</v>
      </c>
      <c r="D16867" t="s">
        <v>51763</v>
      </c>
      <c r="E16867" t="s">
        <v>51764</v>
      </c>
      <c r="F16867" t="s">
        <v>51765</v>
      </c>
      <c r="G16867" s="2" t="str">
        <f>HYPERLINK("https://probpalata.gov.ru/files/ЮЛ660700233500000.jpeg","Скачать индивидуальный QR-код магазина")</f>
        <v>Скачать индивидуальный QR-код магазина</v>
      </c>
    </row>
    <row r="16868" spans="1:7" x14ac:dyDescent="0.25">
      <c r="A16868" t="s">
        <v>50404</v>
      </c>
      <c r="B16868" t="s">
        <v>51766</v>
      </c>
      <c r="C16868" t="s">
        <v>51767</v>
      </c>
      <c r="D16868" t="s">
        <v>51768</v>
      </c>
      <c r="E16868" t="s">
        <v>51769</v>
      </c>
      <c r="F16868" t="s">
        <v>51770</v>
      </c>
      <c r="G16868" s="2" t="str">
        <f>HYPERLINK("https://probpalata.gov.ru/files/ИП660701750900000.jpeg","Скачать индивидуальный QR-код магазина")</f>
        <v>Скачать индивидуальный QR-код магазина</v>
      </c>
    </row>
    <row r="16869" spans="1:7" x14ac:dyDescent="0.25">
      <c r="A16869" t="s">
        <v>50404</v>
      </c>
      <c r="B16869" t="s">
        <v>51771</v>
      </c>
      <c r="C16869" t="s">
        <v>51772</v>
      </c>
      <c r="D16869" t="s">
        <v>51773</v>
      </c>
      <c r="E16869" t="s">
        <v>51774</v>
      </c>
      <c r="F16869" t="s">
        <v>51775</v>
      </c>
      <c r="G16869" s="2" t="str">
        <f>HYPERLINK("https://probpalata.gov.ru/files/ИП660701654100000.jpeg","Скачать индивидуальный QR-код магазина")</f>
        <v>Скачать индивидуальный QR-код магазина</v>
      </c>
    </row>
    <row r="16870" spans="1:7" x14ac:dyDescent="0.25">
      <c r="A16870" t="s">
        <v>50404</v>
      </c>
      <c r="B16870" t="s">
        <v>51776</v>
      </c>
      <c r="C16870" t="s">
        <v>51777</v>
      </c>
      <c r="D16870" t="s">
        <v>51778</v>
      </c>
      <c r="E16870" t="s">
        <v>51779</v>
      </c>
      <c r="F16870" t="s">
        <v>51780</v>
      </c>
      <c r="G16870" s="2" t="str">
        <f>HYPERLINK("https://probpalata.gov.ru/files/ИП660701132700000.jpeg","Скачать индивидуальный QR-код магазина")</f>
        <v>Скачать индивидуальный QR-код магазина</v>
      </c>
    </row>
    <row r="16871" spans="1:7" x14ac:dyDescent="0.25">
      <c r="A16871" t="s">
        <v>50404</v>
      </c>
      <c r="B16871" t="s">
        <v>51781</v>
      </c>
      <c r="C16871" t="s">
        <v>51782</v>
      </c>
      <c r="D16871" t="s">
        <v>51783</v>
      </c>
      <c r="E16871" t="s">
        <v>51784</v>
      </c>
      <c r="F16871" t="s">
        <v>51785</v>
      </c>
      <c r="G16871" s="2" t="str">
        <f>HYPERLINK("https://probpalata.gov.ru/files/ИП660703293000000.jpeg","Скачать индивидуальный QR-код магазина")</f>
        <v>Скачать индивидуальный QR-код магазина</v>
      </c>
    </row>
    <row r="16872" spans="1:7" x14ac:dyDescent="0.25">
      <c r="A16872" t="s">
        <v>50404</v>
      </c>
      <c r="B16872" t="s">
        <v>51786</v>
      </c>
      <c r="C16872" t="s">
        <v>51787</v>
      </c>
      <c r="D16872" t="s">
        <v>51788</v>
      </c>
      <c r="E16872" t="s">
        <v>51789</v>
      </c>
      <c r="F16872" t="s">
        <v>51790</v>
      </c>
      <c r="G16872" s="2" t="str">
        <f>HYPERLINK("https://probpalata.gov.ru/files/ИП660700429700002.jpeg","Скачать индивидуальный QR-код магазина")</f>
        <v>Скачать индивидуальный QR-код магазина</v>
      </c>
    </row>
    <row r="16873" spans="1:7" x14ac:dyDescent="0.25">
      <c r="A16873" t="s">
        <v>50404</v>
      </c>
      <c r="B16873" t="s">
        <v>51791</v>
      </c>
      <c r="C16873" t="s">
        <v>51787</v>
      </c>
      <c r="D16873" t="s">
        <v>51788</v>
      </c>
      <c r="E16873" t="s">
        <v>51789</v>
      </c>
      <c r="F16873" t="s">
        <v>51792</v>
      </c>
      <c r="G16873" s="2" t="str">
        <f>HYPERLINK("https://probpalata.gov.ru/files/ИП660700429700003.jpeg","Скачать индивидуальный QR-код магазина")</f>
        <v>Скачать индивидуальный QR-код магазина</v>
      </c>
    </row>
    <row r="16874" spans="1:7" x14ac:dyDescent="0.25">
      <c r="A16874" t="s">
        <v>50404</v>
      </c>
      <c r="B16874" t="s">
        <v>51793</v>
      </c>
      <c r="C16874" t="s">
        <v>51787</v>
      </c>
      <c r="D16874" t="s">
        <v>51788</v>
      </c>
      <c r="E16874" t="s">
        <v>51789</v>
      </c>
      <c r="F16874" t="s">
        <v>51794</v>
      </c>
      <c r="G16874" s="2" t="str">
        <f>HYPERLINK("https://probpalata.gov.ru/files/ИП660700429700004.jpeg","Скачать индивидуальный QR-код магазина")</f>
        <v>Скачать индивидуальный QR-код магазина</v>
      </c>
    </row>
    <row r="16875" spans="1:7" x14ac:dyDescent="0.25">
      <c r="A16875" t="s">
        <v>50404</v>
      </c>
      <c r="B16875" t="s">
        <v>51795</v>
      </c>
      <c r="C16875" t="s">
        <v>51796</v>
      </c>
      <c r="D16875" t="s">
        <v>51797</v>
      </c>
      <c r="E16875" t="s">
        <v>51798</v>
      </c>
      <c r="F16875" t="s">
        <v>51799</v>
      </c>
      <c r="G16875" s="2" t="str">
        <f>HYPERLINK("https://probpalata.gov.ru/files/ИП660703685800000.jpeg","Скачать индивидуальный QR-код магазина")</f>
        <v>Скачать индивидуальный QR-код магазина</v>
      </c>
    </row>
    <row r="16876" spans="1:7" x14ac:dyDescent="0.25">
      <c r="A16876" t="s">
        <v>50404</v>
      </c>
      <c r="B16876" t="s">
        <v>51800</v>
      </c>
      <c r="C16876" t="s">
        <v>51796</v>
      </c>
      <c r="D16876" t="s">
        <v>51797</v>
      </c>
      <c r="E16876" t="s">
        <v>51798</v>
      </c>
      <c r="F16876" t="s">
        <v>51801</v>
      </c>
      <c r="G16876" s="2" t="str">
        <f>HYPERLINK("https://probpalata.gov.ru/files/ИП660703685800001.jpeg","Скачать индивидуальный QR-код магазина")</f>
        <v>Скачать индивидуальный QR-код магазина</v>
      </c>
    </row>
    <row r="16877" spans="1:7" x14ac:dyDescent="0.25">
      <c r="A16877" t="s">
        <v>50404</v>
      </c>
      <c r="B16877" t="s">
        <v>51802</v>
      </c>
      <c r="C16877" t="s">
        <v>51803</v>
      </c>
      <c r="D16877" t="s">
        <v>51804</v>
      </c>
      <c r="E16877" t="s">
        <v>51805</v>
      </c>
      <c r="F16877" t="s">
        <v>51806</v>
      </c>
      <c r="G16877" s="2" t="str">
        <f>HYPERLINK("https://probpalata.gov.ru/files/ИП660703082300000.jpeg","Скачать индивидуальный QR-код магазина")</f>
        <v>Скачать индивидуальный QR-код магазина</v>
      </c>
    </row>
    <row r="16878" spans="1:7" x14ac:dyDescent="0.25">
      <c r="A16878" t="s">
        <v>50404</v>
      </c>
      <c r="B16878" t="s">
        <v>51807</v>
      </c>
      <c r="C16878" t="s">
        <v>37729</v>
      </c>
      <c r="D16878" t="s">
        <v>37730</v>
      </c>
      <c r="E16878" t="s">
        <v>37731</v>
      </c>
      <c r="F16878" t="s">
        <v>51808</v>
      </c>
      <c r="G16878" s="2" t="str">
        <f>HYPERLINK("https://probpalata.gov.ru/files/ЮЛ660703833300000.jpeg","Скачать индивидуальный QR-код магазина")</f>
        <v>Скачать индивидуальный QR-код магазина</v>
      </c>
    </row>
    <row r="16879" spans="1:7" x14ac:dyDescent="0.25">
      <c r="A16879" t="s">
        <v>50404</v>
      </c>
      <c r="B16879" t="s">
        <v>51809</v>
      </c>
      <c r="C16879" t="s">
        <v>37729</v>
      </c>
      <c r="D16879" t="s">
        <v>37730</v>
      </c>
      <c r="E16879" t="s">
        <v>37731</v>
      </c>
      <c r="F16879" t="s">
        <v>51810</v>
      </c>
      <c r="G16879" s="2" t="str">
        <f>HYPERLINK("https://probpalata.gov.ru/files/ЮЛ660703833300006.jpeg","Скачать индивидуальный QR-код магазина")</f>
        <v>Скачать индивидуальный QR-код магазина</v>
      </c>
    </row>
    <row r="16880" spans="1:7" x14ac:dyDescent="0.25">
      <c r="A16880" t="s">
        <v>50404</v>
      </c>
      <c r="B16880" t="s">
        <v>51811</v>
      </c>
      <c r="C16880" t="s">
        <v>37729</v>
      </c>
      <c r="D16880" t="s">
        <v>37730</v>
      </c>
      <c r="E16880" t="s">
        <v>37731</v>
      </c>
      <c r="F16880" t="s">
        <v>51812</v>
      </c>
      <c r="G16880" s="2" t="str">
        <f>HYPERLINK("https://probpalata.gov.ru/files/ЮЛ660703833300010.jpeg","Скачать индивидуальный QR-код магазина")</f>
        <v>Скачать индивидуальный QR-код магазина</v>
      </c>
    </row>
    <row r="16881" spans="1:7" x14ac:dyDescent="0.25">
      <c r="A16881" t="s">
        <v>50404</v>
      </c>
      <c r="B16881" t="s">
        <v>51813</v>
      </c>
      <c r="C16881" t="s">
        <v>37736</v>
      </c>
      <c r="D16881" t="s">
        <v>37737</v>
      </c>
      <c r="E16881" t="s">
        <v>37738</v>
      </c>
      <c r="F16881" t="s">
        <v>51814</v>
      </c>
      <c r="G16881" s="2" t="str">
        <f>HYPERLINK("https://probpalata.gov.ru/files/ЮЛ660700087900000.jpeg","Скачать индивидуальный QR-код магазина")</f>
        <v>Скачать индивидуальный QR-код магазина</v>
      </c>
    </row>
    <row r="16882" spans="1:7" x14ac:dyDescent="0.25">
      <c r="A16882" t="s">
        <v>50404</v>
      </c>
      <c r="B16882" t="s">
        <v>51815</v>
      </c>
      <c r="C16882" t="s">
        <v>37736</v>
      </c>
      <c r="D16882" t="s">
        <v>37737</v>
      </c>
      <c r="E16882" t="s">
        <v>37738</v>
      </c>
      <c r="F16882" t="s">
        <v>51816</v>
      </c>
      <c r="G16882" s="2" t="str">
        <f>HYPERLINK("https://probpalata.gov.ru/files/ЮЛ660700087900005.jpeg","Скачать индивидуальный QR-код магазина")</f>
        <v>Скачать индивидуальный QR-код магазина</v>
      </c>
    </row>
    <row r="16883" spans="1:7" x14ac:dyDescent="0.25">
      <c r="A16883" t="s">
        <v>50404</v>
      </c>
      <c r="B16883" t="s">
        <v>51817</v>
      </c>
      <c r="C16883" t="s">
        <v>37736</v>
      </c>
      <c r="D16883" t="s">
        <v>37737</v>
      </c>
      <c r="E16883" t="s">
        <v>37738</v>
      </c>
      <c r="F16883" t="s">
        <v>51818</v>
      </c>
      <c r="G16883" s="2" t="str">
        <f>HYPERLINK("https://probpalata.gov.ru/files/ЮЛ660700087900006.jpeg","Скачать индивидуальный QR-код магазина")</f>
        <v>Скачать индивидуальный QR-код магазина</v>
      </c>
    </row>
    <row r="16884" spans="1:7" x14ac:dyDescent="0.25">
      <c r="A16884" t="s">
        <v>50404</v>
      </c>
      <c r="B16884" t="s">
        <v>51819</v>
      </c>
      <c r="C16884" t="s">
        <v>36380</v>
      </c>
      <c r="D16884" t="s">
        <v>36381</v>
      </c>
      <c r="E16884" t="s">
        <v>36382</v>
      </c>
      <c r="F16884" t="s">
        <v>51820</v>
      </c>
      <c r="G16884" s="2" t="str">
        <f>HYPERLINK("https://probpalata.gov.ru/files/ЮЛ660700077400000.jpeg","Скачать индивидуальный QR-код магазина")</f>
        <v>Скачать индивидуальный QR-код магазина</v>
      </c>
    </row>
    <row r="16885" spans="1:7" x14ac:dyDescent="0.25">
      <c r="A16885" t="s">
        <v>50404</v>
      </c>
      <c r="B16885" t="s">
        <v>51821</v>
      </c>
      <c r="C16885" t="s">
        <v>36380</v>
      </c>
      <c r="D16885" t="s">
        <v>36381</v>
      </c>
      <c r="E16885" t="s">
        <v>36382</v>
      </c>
      <c r="F16885" t="s">
        <v>51822</v>
      </c>
      <c r="G16885" s="2" t="str">
        <f>HYPERLINK("https://probpalata.gov.ru/files/ЮЛ660700077400001.jpeg","Скачать индивидуальный QR-код магазина")</f>
        <v>Скачать индивидуальный QR-код магазина</v>
      </c>
    </row>
    <row r="16886" spans="1:7" x14ac:dyDescent="0.25">
      <c r="A16886" t="s">
        <v>50404</v>
      </c>
      <c r="B16886" t="s">
        <v>51823</v>
      </c>
      <c r="C16886" t="s">
        <v>51824</v>
      </c>
      <c r="D16886" t="s">
        <v>51825</v>
      </c>
      <c r="E16886" t="s">
        <v>51826</v>
      </c>
      <c r="F16886" t="s">
        <v>51827</v>
      </c>
      <c r="G16886" s="2" t="str">
        <f>HYPERLINK("https://probpalata.gov.ru/files/ИП660700241200000.jpeg","Скачать индивидуальный QR-код магазина")</f>
        <v>Скачать индивидуальный QR-код магазина</v>
      </c>
    </row>
    <row r="16887" spans="1:7" x14ac:dyDescent="0.25">
      <c r="A16887" t="s">
        <v>50404</v>
      </c>
      <c r="B16887" t="s">
        <v>51828</v>
      </c>
      <c r="C16887" t="s">
        <v>51829</v>
      </c>
      <c r="D16887" t="s">
        <v>51830</v>
      </c>
      <c r="E16887" t="s">
        <v>51831</v>
      </c>
      <c r="F16887" t="s">
        <v>51832</v>
      </c>
      <c r="G16887" s="2" t="str">
        <f>HYPERLINK("https://probpalata.gov.ru/files/ИП660703981200000.jpeg","Скачать индивидуальный QR-код магазина")</f>
        <v>Скачать индивидуальный QR-код магазина</v>
      </c>
    </row>
    <row r="16888" spans="1:7" x14ac:dyDescent="0.25">
      <c r="A16888" t="s">
        <v>50404</v>
      </c>
      <c r="B16888" t="s">
        <v>51833</v>
      </c>
      <c r="C16888" t="s">
        <v>51834</v>
      </c>
      <c r="D16888" t="s">
        <v>51835</v>
      </c>
      <c r="E16888" t="s">
        <v>51836</v>
      </c>
      <c r="F16888" t="s">
        <v>51837</v>
      </c>
      <c r="G16888" s="2" t="str">
        <f>HYPERLINK("https://probpalata.gov.ru/files/ИП660700168300000.jpeg","Скачать индивидуальный QR-код магазина")</f>
        <v>Скачать индивидуальный QR-код магазина</v>
      </c>
    </row>
    <row r="16889" spans="1:7" x14ac:dyDescent="0.25">
      <c r="A16889" t="s">
        <v>50404</v>
      </c>
      <c r="B16889" t="s">
        <v>51838</v>
      </c>
      <c r="C16889" t="s">
        <v>51834</v>
      </c>
      <c r="D16889" t="s">
        <v>51835</v>
      </c>
      <c r="E16889" t="s">
        <v>51836</v>
      </c>
      <c r="F16889" t="s">
        <v>51839</v>
      </c>
      <c r="G16889" s="2" t="str">
        <f>HYPERLINK("https://probpalata.gov.ru/files/ИП660700168300001.jpeg","Скачать индивидуальный QR-код магазина")</f>
        <v>Скачать индивидуальный QR-код магазина</v>
      </c>
    </row>
    <row r="16890" spans="1:7" x14ac:dyDescent="0.25">
      <c r="A16890" t="s">
        <v>50404</v>
      </c>
      <c r="B16890" t="s">
        <v>51840</v>
      </c>
      <c r="C16890" t="s">
        <v>51834</v>
      </c>
      <c r="D16890" t="s">
        <v>51835</v>
      </c>
      <c r="E16890" t="s">
        <v>51836</v>
      </c>
      <c r="F16890" t="s">
        <v>51841</v>
      </c>
      <c r="G16890" s="2" t="str">
        <f>HYPERLINK("https://probpalata.gov.ru/files/ИП660700168300003.jpeg","Скачать индивидуальный QR-код магазина")</f>
        <v>Скачать индивидуальный QR-код магазина</v>
      </c>
    </row>
    <row r="16891" spans="1:7" x14ac:dyDescent="0.25">
      <c r="A16891" t="s">
        <v>50404</v>
      </c>
      <c r="B16891" t="s">
        <v>51842</v>
      </c>
      <c r="C16891" t="s">
        <v>32124</v>
      </c>
      <c r="D16891" t="s">
        <v>51843</v>
      </c>
      <c r="E16891" t="s">
        <v>51844</v>
      </c>
      <c r="F16891" t="s">
        <v>51845</v>
      </c>
      <c r="G16891" s="2" t="str">
        <f>HYPERLINK("https://probpalata.gov.ru/files/ЮЛ660700432200000.jpeg","Скачать индивидуальный QR-код магазина")</f>
        <v>Скачать индивидуальный QR-код магазина</v>
      </c>
    </row>
    <row r="16892" spans="1:7" x14ac:dyDescent="0.25">
      <c r="A16892" t="s">
        <v>50404</v>
      </c>
      <c r="B16892" t="s">
        <v>51846</v>
      </c>
      <c r="C16892" t="s">
        <v>51847</v>
      </c>
      <c r="D16892" t="s">
        <v>51848</v>
      </c>
      <c r="E16892" t="s">
        <v>51849</v>
      </c>
      <c r="F16892" t="s">
        <v>51850</v>
      </c>
      <c r="G16892" s="2" t="str">
        <f>HYPERLINK("https://probpalata.gov.ru/files/ЮЛ660703503400000.jpeg","Скачать индивидуальный QR-код магазина")</f>
        <v>Скачать индивидуальный QR-код магазина</v>
      </c>
    </row>
    <row r="16893" spans="1:7" x14ac:dyDescent="0.25">
      <c r="A16893" t="s">
        <v>50404</v>
      </c>
      <c r="B16893" t="s">
        <v>50626</v>
      </c>
      <c r="C16893" t="s">
        <v>51851</v>
      </c>
      <c r="D16893" t="s">
        <v>51852</v>
      </c>
      <c r="E16893" t="s">
        <v>51853</v>
      </c>
      <c r="F16893" t="s">
        <v>51854</v>
      </c>
      <c r="G16893" s="2" t="str">
        <f>HYPERLINK("https://probpalata.gov.ru/files/ЮЛ660700633800000.jpeg","Скачать индивидуальный QR-код магазина")</f>
        <v>Скачать индивидуальный QR-код магазина</v>
      </c>
    </row>
    <row r="16894" spans="1:7" x14ac:dyDescent="0.25">
      <c r="A16894" t="s">
        <v>50404</v>
      </c>
      <c r="B16894" t="s">
        <v>51855</v>
      </c>
      <c r="C16894" t="s">
        <v>51851</v>
      </c>
      <c r="D16894" t="s">
        <v>51852</v>
      </c>
      <c r="E16894" t="s">
        <v>51853</v>
      </c>
      <c r="F16894" t="s">
        <v>51856</v>
      </c>
      <c r="G16894" s="2" t="str">
        <f>HYPERLINK("https://probpalata.gov.ru/files/ЮЛ660700633800001.jpeg","Скачать индивидуальный QR-код магазина")</f>
        <v>Скачать индивидуальный QR-код магазина</v>
      </c>
    </row>
    <row r="16895" spans="1:7" x14ac:dyDescent="0.25">
      <c r="A16895" t="s">
        <v>50404</v>
      </c>
      <c r="B16895" t="s">
        <v>51857</v>
      </c>
      <c r="C16895" t="s">
        <v>51858</v>
      </c>
      <c r="D16895" t="s">
        <v>51859</v>
      </c>
      <c r="E16895" t="s">
        <v>51860</v>
      </c>
      <c r="F16895" t="s">
        <v>51861</v>
      </c>
      <c r="G16895" s="2" t="str">
        <f>HYPERLINK("https://probpalata.gov.ru/files/ЮЛ660703510700000.jpeg","Скачать индивидуальный QR-код магазина")</f>
        <v>Скачать индивидуальный QR-код магазина</v>
      </c>
    </row>
    <row r="16896" spans="1:7" x14ac:dyDescent="0.25">
      <c r="A16896" t="s">
        <v>50404</v>
      </c>
      <c r="B16896" t="s">
        <v>51862</v>
      </c>
      <c r="C16896" t="s">
        <v>51863</v>
      </c>
      <c r="D16896" t="s">
        <v>51864</v>
      </c>
      <c r="E16896" t="s">
        <v>51865</v>
      </c>
      <c r="F16896" t="s">
        <v>51866</v>
      </c>
      <c r="G16896" s="2" t="str">
        <f>HYPERLINK("https://probpalata.gov.ru/files/ЮЛ660703128400000.jpeg","Скачать индивидуальный QR-код магазина")</f>
        <v>Скачать индивидуальный QR-код магазина</v>
      </c>
    </row>
    <row r="16897" spans="1:7" x14ac:dyDescent="0.25">
      <c r="A16897" t="s">
        <v>50404</v>
      </c>
      <c r="B16897" t="s">
        <v>51867</v>
      </c>
      <c r="C16897" t="s">
        <v>51863</v>
      </c>
      <c r="D16897" t="s">
        <v>51864</v>
      </c>
      <c r="E16897" t="s">
        <v>51865</v>
      </c>
      <c r="F16897" t="s">
        <v>51868</v>
      </c>
      <c r="G16897" s="2" t="str">
        <f>HYPERLINK("https://probpalata.gov.ru/files/ЮЛ660703128400001.jpeg","Скачать индивидуальный QR-код магазина")</f>
        <v>Скачать индивидуальный QR-код магазина</v>
      </c>
    </row>
    <row r="16898" spans="1:7" x14ac:dyDescent="0.25">
      <c r="A16898" t="s">
        <v>50404</v>
      </c>
      <c r="B16898" t="s">
        <v>51869</v>
      </c>
      <c r="C16898" t="s">
        <v>51870</v>
      </c>
      <c r="D16898" t="s">
        <v>51871</v>
      </c>
      <c r="E16898" t="s">
        <v>51872</v>
      </c>
      <c r="F16898" t="s">
        <v>51873</v>
      </c>
      <c r="G16898" s="2" t="str">
        <f>HYPERLINK("https://probpalata.gov.ru/files/ЮЛ660701329500000.jpeg","Скачать индивидуальный QR-код магазина")</f>
        <v>Скачать индивидуальный QR-код магазина</v>
      </c>
    </row>
    <row r="16899" spans="1:7" x14ac:dyDescent="0.25">
      <c r="A16899" t="s">
        <v>50404</v>
      </c>
      <c r="B16899" t="s">
        <v>51874</v>
      </c>
      <c r="C16899" t="s">
        <v>51870</v>
      </c>
      <c r="D16899" t="s">
        <v>51871</v>
      </c>
      <c r="E16899" t="s">
        <v>51872</v>
      </c>
      <c r="F16899" t="s">
        <v>51875</v>
      </c>
      <c r="G16899" s="2" t="str">
        <f>HYPERLINK("https://probpalata.gov.ru/files/ЮЛ660701329500001.jpeg","Скачать индивидуальный QR-код магазина")</f>
        <v>Скачать индивидуальный QR-код магазина</v>
      </c>
    </row>
    <row r="16900" spans="1:7" x14ac:dyDescent="0.25">
      <c r="A16900" t="s">
        <v>50404</v>
      </c>
      <c r="B16900" t="s">
        <v>51876</v>
      </c>
      <c r="C16900" t="s">
        <v>51870</v>
      </c>
      <c r="D16900" t="s">
        <v>51871</v>
      </c>
      <c r="E16900" t="s">
        <v>51872</v>
      </c>
      <c r="F16900" t="s">
        <v>51877</v>
      </c>
      <c r="G16900" s="2" t="str">
        <f>HYPERLINK("https://probpalata.gov.ru/files/ЮЛ660701329500003.jpeg","Скачать индивидуальный QR-код магазина")</f>
        <v>Скачать индивидуальный QR-код магазина</v>
      </c>
    </row>
    <row r="16901" spans="1:7" x14ac:dyDescent="0.25">
      <c r="A16901" t="s">
        <v>50404</v>
      </c>
      <c r="B16901" t="s">
        <v>51878</v>
      </c>
      <c r="C16901" t="s">
        <v>51870</v>
      </c>
      <c r="D16901" t="s">
        <v>51871</v>
      </c>
      <c r="E16901" t="s">
        <v>51872</v>
      </c>
      <c r="F16901" t="s">
        <v>51879</v>
      </c>
      <c r="G16901" s="2" t="str">
        <f>HYPERLINK("https://probpalata.gov.ru/files/ЮЛ660701329500004.jpeg","Скачать индивидуальный QR-код магазина")</f>
        <v>Скачать индивидуальный QR-код магазина</v>
      </c>
    </row>
    <row r="16902" spans="1:7" x14ac:dyDescent="0.25">
      <c r="A16902" t="s">
        <v>50404</v>
      </c>
      <c r="B16902" t="s">
        <v>51880</v>
      </c>
      <c r="C16902" t="s">
        <v>51870</v>
      </c>
      <c r="D16902" t="s">
        <v>51871</v>
      </c>
      <c r="E16902" t="s">
        <v>51872</v>
      </c>
      <c r="F16902" t="s">
        <v>51881</v>
      </c>
      <c r="G16902" s="2" t="str">
        <f>HYPERLINK("https://probpalata.gov.ru/files/ЮЛ660701329500007.jpeg","Скачать индивидуальный QR-код магазина")</f>
        <v>Скачать индивидуальный QR-код магазина</v>
      </c>
    </row>
    <row r="16903" spans="1:7" x14ac:dyDescent="0.25">
      <c r="A16903" t="s">
        <v>50404</v>
      </c>
      <c r="B16903" t="s">
        <v>51882</v>
      </c>
      <c r="C16903" t="s">
        <v>51870</v>
      </c>
      <c r="D16903" t="s">
        <v>51871</v>
      </c>
      <c r="E16903" t="s">
        <v>51872</v>
      </c>
      <c r="F16903" t="s">
        <v>51883</v>
      </c>
      <c r="G16903" s="2" t="str">
        <f>HYPERLINK("https://probpalata.gov.ru/files/ЮЛ660701329500008.jpeg","Скачать индивидуальный QR-код магазина")</f>
        <v>Скачать индивидуальный QR-код магазина</v>
      </c>
    </row>
    <row r="16904" spans="1:7" x14ac:dyDescent="0.25">
      <c r="A16904" t="s">
        <v>50404</v>
      </c>
      <c r="B16904" t="s">
        <v>51884</v>
      </c>
      <c r="C16904" t="s">
        <v>51870</v>
      </c>
      <c r="D16904" t="s">
        <v>51871</v>
      </c>
      <c r="E16904" t="s">
        <v>51872</v>
      </c>
      <c r="F16904" t="s">
        <v>51885</v>
      </c>
      <c r="G16904" s="2" t="str">
        <f>HYPERLINK("https://probpalata.gov.ru/files/ЮЛ660701329500009.jpeg","Скачать индивидуальный QR-код магазина")</f>
        <v>Скачать индивидуальный QR-код магазина</v>
      </c>
    </row>
    <row r="16905" spans="1:7" x14ac:dyDescent="0.25">
      <c r="A16905" t="s">
        <v>50404</v>
      </c>
      <c r="B16905" t="s">
        <v>51886</v>
      </c>
      <c r="C16905" t="s">
        <v>51870</v>
      </c>
      <c r="D16905" t="s">
        <v>51871</v>
      </c>
      <c r="E16905" t="s">
        <v>51872</v>
      </c>
      <c r="F16905" t="s">
        <v>51887</v>
      </c>
      <c r="G16905" s="2" t="str">
        <f>HYPERLINK("https://probpalata.gov.ru/files/ЮЛ660701329500011.jpeg","Скачать индивидуальный QR-код магазина")</f>
        <v>Скачать индивидуальный QR-код магазина</v>
      </c>
    </row>
    <row r="16906" spans="1:7" x14ac:dyDescent="0.25">
      <c r="A16906" t="s">
        <v>50404</v>
      </c>
      <c r="B16906" t="s">
        <v>51888</v>
      </c>
      <c r="C16906" t="s">
        <v>51889</v>
      </c>
      <c r="D16906" t="s">
        <v>51890</v>
      </c>
      <c r="E16906" t="s">
        <v>51891</v>
      </c>
      <c r="F16906" t="s">
        <v>51892</v>
      </c>
      <c r="G16906" s="2" t="str">
        <f>HYPERLINK("https://probpalata.gov.ru/files/ЮЛ660703739200000.jpeg","Скачать индивидуальный QR-код магазина")</f>
        <v>Скачать индивидуальный QR-код магазина</v>
      </c>
    </row>
    <row r="16907" spans="1:7" x14ac:dyDescent="0.25">
      <c r="A16907" t="s">
        <v>50404</v>
      </c>
      <c r="B16907" t="s">
        <v>51893</v>
      </c>
      <c r="C16907" t="s">
        <v>51894</v>
      </c>
      <c r="D16907" t="s">
        <v>51895</v>
      </c>
      <c r="E16907" t="s">
        <v>51896</v>
      </c>
      <c r="F16907" t="s">
        <v>51897</v>
      </c>
      <c r="G16907" s="2" t="str">
        <f>HYPERLINK("https://probpalata.gov.ru/files/ЮЛ660700006000000.jpeg","Скачать индивидуальный QR-код магазина")</f>
        <v>Скачать индивидуальный QR-код магазина</v>
      </c>
    </row>
    <row r="16908" spans="1:7" x14ac:dyDescent="0.25">
      <c r="A16908" t="s">
        <v>50404</v>
      </c>
      <c r="B16908" t="s">
        <v>51898</v>
      </c>
      <c r="C16908" t="s">
        <v>51899</v>
      </c>
      <c r="D16908" t="s">
        <v>51900</v>
      </c>
      <c r="E16908" t="s">
        <v>51901</v>
      </c>
      <c r="F16908" t="s">
        <v>51902</v>
      </c>
      <c r="G16908" s="2" t="str">
        <f>HYPERLINK("https://probpalata.gov.ru/files/ИП660703927400000.jpeg","Скачать индивидуальный QR-код магазина")</f>
        <v>Скачать индивидуальный QR-код магазина</v>
      </c>
    </row>
    <row r="16909" spans="1:7" x14ac:dyDescent="0.25">
      <c r="A16909" t="s">
        <v>50404</v>
      </c>
      <c r="B16909" t="s">
        <v>51903</v>
      </c>
      <c r="C16909" t="s">
        <v>2664</v>
      </c>
      <c r="D16909" t="s">
        <v>51904</v>
      </c>
      <c r="E16909" t="s">
        <v>51905</v>
      </c>
      <c r="F16909" t="s">
        <v>51906</v>
      </c>
      <c r="G16909" s="2" t="str">
        <f>HYPERLINK("https://probpalata.gov.ru/files/ЮЛ660700184300000.jpeg","Скачать индивидуальный QR-код магазина")</f>
        <v>Скачать индивидуальный QR-код магазина</v>
      </c>
    </row>
    <row r="16910" spans="1:7" x14ac:dyDescent="0.25">
      <c r="A16910" t="s">
        <v>50404</v>
      </c>
      <c r="B16910" t="s">
        <v>51907</v>
      </c>
      <c r="C16910" t="s">
        <v>2286</v>
      </c>
      <c r="D16910" t="s">
        <v>51908</v>
      </c>
      <c r="E16910" t="s">
        <v>51909</v>
      </c>
      <c r="F16910" t="s">
        <v>51910</v>
      </c>
      <c r="G16910" s="2" t="str">
        <f>HYPERLINK("https://probpalata.gov.ru/files/ЮЛ660700434900000.jpeg","Скачать индивидуальный QR-код магазина")</f>
        <v>Скачать индивидуальный QR-код магазина</v>
      </c>
    </row>
    <row r="16911" spans="1:7" x14ac:dyDescent="0.25">
      <c r="A16911" t="s">
        <v>50404</v>
      </c>
      <c r="B16911" t="s">
        <v>51911</v>
      </c>
      <c r="C16911" t="s">
        <v>51912</v>
      </c>
      <c r="D16911" t="s">
        <v>51913</v>
      </c>
      <c r="E16911" t="s">
        <v>51914</v>
      </c>
      <c r="F16911" t="s">
        <v>51915</v>
      </c>
      <c r="G16911" s="2" t="str">
        <f>HYPERLINK("https://probpalata.gov.ru/files/ЮЛ660700100000000.jpeg","Скачать индивидуальный QR-код магазина")</f>
        <v>Скачать индивидуальный QR-код магазина</v>
      </c>
    </row>
    <row r="16912" spans="1:7" x14ac:dyDescent="0.25">
      <c r="A16912" t="s">
        <v>50404</v>
      </c>
      <c r="B16912" t="s">
        <v>51916</v>
      </c>
      <c r="C16912" t="s">
        <v>51917</v>
      </c>
      <c r="D16912" t="s">
        <v>51918</v>
      </c>
      <c r="E16912" t="s">
        <v>51919</v>
      </c>
      <c r="F16912" t="s">
        <v>51920</v>
      </c>
      <c r="G16912" s="2" t="str">
        <f>HYPERLINK("https://probpalata.gov.ru/files/ЮЛ660700583400000.jpeg","Скачать индивидуальный QR-код магазина")</f>
        <v>Скачать индивидуальный QR-код магазина</v>
      </c>
    </row>
    <row r="16913" spans="1:7" x14ac:dyDescent="0.25">
      <c r="A16913" t="s">
        <v>50404</v>
      </c>
      <c r="B16913" t="s">
        <v>51921</v>
      </c>
      <c r="C16913" t="s">
        <v>51922</v>
      </c>
      <c r="D16913" t="s">
        <v>51923</v>
      </c>
      <c r="E16913" t="s">
        <v>51924</v>
      </c>
      <c r="F16913" t="s">
        <v>51925</v>
      </c>
      <c r="G16913" s="2" t="str">
        <f>HYPERLINK("https://probpalata.gov.ru/files/ЮЛ660701383000000.jpeg","Скачать индивидуальный QR-код магазина")</f>
        <v>Скачать индивидуальный QR-код магазина</v>
      </c>
    </row>
    <row r="16914" spans="1:7" x14ac:dyDescent="0.25">
      <c r="A16914" t="s">
        <v>50404</v>
      </c>
      <c r="B16914" t="s">
        <v>51926</v>
      </c>
      <c r="C16914" t="s">
        <v>14967</v>
      </c>
      <c r="D16914" t="s">
        <v>14968</v>
      </c>
      <c r="E16914" t="s">
        <v>14969</v>
      </c>
      <c r="F16914" t="s">
        <v>51927</v>
      </c>
      <c r="G16914" s="2" t="str">
        <f>HYPERLINK("https://probpalata.gov.ru/files/ЮЛ660701304200000.jpeg","Скачать индивидуальный QR-код магазина")</f>
        <v>Скачать индивидуальный QR-код магазина</v>
      </c>
    </row>
    <row r="16915" spans="1:7" x14ac:dyDescent="0.25">
      <c r="A16915" t="s">
        <v>50404</v>
      </c>
      <c r="B16915" t="s">
        <v>51928</v>
      </c>
      <c r="C16915" t="s">
        <v>51929</v>
      </c>
      <c r="D16915" t="s">
        <v>51930</v>
      </c>
      <c r="E16915" t="s">
        <v>51931</v>
      </c>
      <c r="F16915" t="s">
        <v>51932</v>
      </c>
      <c r="G16915" s="2" t="str">
        <f>HYPERLINK("https://probpalata.gov.ru/files/ЮЛ660701199500000.jpeg","Скачать индивидуальный QR-код магазина")</f>
        <v>Скачать индивидуальный QR-код магазина</v>
      </c>
    </row>
    <row r="16916" spans="1:7" x14ac:dyDescent="0.25">
      <c r="A16916" t="s">
        <v>50404</v>
      </c>
      <c r="B16916" t="s">
        <v>51111</v>
      </c>
      <c r="C16916" t="s">
        <v>51929</v>
      </c>
      <c r="D16916" t="s">
        <v>51930</v>
      </c>
      <c r="E16916" t="s">
        <v>51931</v>
      </c>
      <c r="F16916" t="s">
        <v>51933</v>
      </c>
      <c r="G16916" s="2" t="str">
        <f>HYPERLINK("https://probpalata.gov.ru/files/ЮЛ660701199500001.jpeg","Скачать индивидуальный QR-код магазина")</f>
        <v>Скачать индивидуальный QR-код магазина</v>
      </c>
    </row>
    <row r="16917" spans="1:7" x14ac:dyDescent="0.25">
      <c r="A16917" t="s">
        <v>50404</v>
      </c>
      <c r="B16917" t="s">
        <v>51107</v>
      </c>
      <c r="C16917" t="s">
        <v>51929</v>
      </c>
      <c r="D16917" t="s">
        <v>51930</v>
      </c>
      <c r="E16917" t="s">
        <v>51931</v>
      </c>
      <c r="F16917" t="s">
        <v>51934</v>
      </c>
      <c r="G16917" s="2" t="str">
        <f>HYPERLINK("https://probpalata.gov.ru/files/ЮЛ660701199500002.jpeg","Скачать индивидуальный QR-код магазина")</f>
        <v>Скачать индивидуальный QR-код магазина</v>
      </c>
    </row>
    <row r="16918" spans="1:7" x14ac:dyDescent="0.25">
      <c r="A16918" t="s">
        <v>50404</v>
      </c>
      <c r="B16918" t="s">
        <v>51935</v>
      </c>
      <c r="C16918" t="s">
        <v>51929</v>
      </c>
      <c r="D16918" t="s">
        <v>51930</v>
      </c>
      <c r="E16918" t="s">
        <v>51931</v>
      </c>
      <c r="F16918" t="s">
        <v>51936</v>
      </c>
      <c r="G16918" s="2" t="str">
        <f>HYPERLINK("https://probpalata.gov.ru/files/ЮЛ660701199500003.jpeg","Скачать индивидуальный QR-код магазина")</f>
        <v>Скачать индивидуальный QR-код магазина</v>
      </c>
    </row>
    <row r="16919" spans="1:7" x14ac:dyDescent="0.25">
      <c r="A16919" t="s">
        <v>50404</v>
      </c>
      <c r="B16919" t="s">
        <v>51937</v>
      </c>
      <c r="C16919" t="s">
        <v>51929</v>
      </c>
      <c r="D16919" t="s">
        <v>51930</v>
      </c>
      <c r="E16919" t="s">
        <v>51931</v>
      </c>
      <c r="F16919" t="s">
        <v>51938</v>
      </c>
      <c r="G16919" s="2" t="str">
        <f>HYPERLINK("https://probpalata.gov.ru/files/ЮЛ660701199500006.jpeg","Скачать индивидуальный QR-код магазина")</f>
        <v>Скачать индивидуальный QR-код магазина</v>
      </c>
    </row>
    <row r="16920" spans="1:7" x14ac:dyDescent="0.25">
      <c r="A16920" t="s">
        <v>50404</v>
      </c>
      <c r="B16920" t="s">
        <v>51100</v>
      </c>
      <c r="C16920" t="s">
        <v>51929</v>
      </c>
      <c r="D16920" t="s">
        <v>51930</v>
      </c>
      <c r="E16920" t="s">
        <v>51931</v>
      </c>
      <c r="F16920" t="s">
        <v>51939</v>
      </c>
      <c r="G16920" s="2" t="str">
        <f>HYPERLINK("https://probpalata.gov.ru/files/ЮЛ660701199500007.jpeg","Скачать индивидуальный QR-код магазина")</f>
        <v>Скачать индивидуальный QR-код магазина</v>
      </c>
    </row>
    <row r="16921" spans="1:7" x14ac:dyDescent="0.25">
      <c r="A16921" t="s">
        <v>50404</v>
      </c>
      <c r="B16921" t="s">
        <v>51940</v>
      </c>
      <c r="C16921" t="s">
        <v>51941</v>
      </c>
      <c r="D16921" t="s">
        <v>51942</v>
      </c>
      <c r="E16921" t="s">
        <v>51943</v>
      </c>
      <c r="F16921" t="s">
        <v>51944</v>
      </c>
      <c r="G16921" s="2" t="str">
        <f>HYPERLINK("https://probpalata.gov.ru/files/ЮЛ660701108000000.jpeg","Скачать индивидуальный QR-код магазина")</f>
        <v>Скачать индивидуальный QR-код магазина</v>
      </c>
    </row>
    <row r="16922" spans="1:7" x14ac:dyDescent="0.25">
      <c r="A16922" t="s">
        <v>50404</v>
      </c>
      <c r="B16922" t="s">
        <v>51945</v>
      </c>
      <c r="C16922" t="s">
        <v>33700</v>
      </c>
      <c r="D16922" t="s">
        <v>51946</v>
      </c>
      <c r="E16922" t="s">
        <v>51947</v>
      </c>
      <c r="F16922" t="s">
        <v>51948</v>
      </c>
      <c r="G16922" s="2" t="str">
        <f>HYPERLINK("https://probpalata.gov.ru/files/ЮЛ660703077800000.jpeg","Скачать индивидуальный QR-код магазина")</f>
        <v>Скачать индивидуальный QR-код магазина</v>
      </c>
    </row>
    <row r="16923" spans="1:7" x14ac:dyDescent="0.25">
      <c r="A16923" t="s">
        <v>50404</v>
      </c>
      <c r="B16923" t="s">
        <v>51949</v>
      </c>
      <c r="C16923" t="s">
        <v>51950</v>
      </c>
      <c r="D16923" t="s">
        <v>51951</v>
      </c>
      <c r="E16923" t="s">
        <v>51952</v>
      </c>
      <c r="F16923" t="s">
        <v>51953</v>
      </c>
      <c r="G16923" s="2" t="str">
        <f>HYPERLINK("https://probpalata.gov.ru/files/ЮЛ660700298400000.jpeg","Скачать индивидуальный QR-код магазина")</f>
        <v>Скачать индивидуальный QR-код магазина</v>
      </c>
    </row>
    <row r="16924" spans="1:7" x14ac:dyDescent="0.25">
      <c r="A16924" t="s">
        <v>50404</v>
      </c>
      <c r="B16924" t="s">
        <v>51954</v>
      </c>
      <c r="C16924" t="s">
        <v>51955</v>
      </c>
      <c r="D16924" t="s">
        <v>51956</v>
      </c>
      <c r="E16924" t="s">
        <v>51957</v>
      </c>
      <c r="F16924" t="s">
        <v>51958</v>
      </c>
      <c r="G16924" s="2" t="str">
        <f>HYPERLINK("https://probpalata.gov.ru/files/ЮЛ660701227100000.jpeg","Скачать индивидуальный QR-код магазина")</f>
        <v>Скачать индивидуальный QR-код магазина</v>
      </c>
    </row>
    <row r="16925" spans="1:7" x14ac:dyDescent="0.25">
      <c r="A16925" t="s">
        <v>50404</v>
      </c>
      <c r="B16925" t="s">
        <v>51959</v>
      </c>
      <c r="C16925" t="s">
        <v>51960</v>
      </c>
      <c r="D16925" t="s">
        <v>51961</v>
      </c>
      <c r="E16925" t="s">
        <v>51962</v>
      </c>
      <c r="F16925" t="s">
        <v>51963</v>
      </c>
      <c r="G16925" s="2" t="str">
        <f>HYPERLINK("https://probpalata.gov.ru/files/ЮЛ660700880700000.jpeg","Скачать индивидуальный QR-код магазина")</f>
        <v>Скачать индивидуальный QR-код магазина</v>
      </c>
    </row>
    <row r="16926" spans="1:7" x14ac:dyDescent="0.25">
      <c r="A16926" t="s">
        <v>50404</v>
      </c>
      <c r="B16926" t="s">
        <v>51964</v>
      </c>
      <c r="C16926" t="s">
        <v>51965</v>
      </c>
      <c r="D16926" t="s">
        <v>51966</v>
      </c>
      <c r="E16926" t="s">
        <v>51967</v>
      </c>
      <c r="F16926" t="s">
        <v>51968</v>
      </c>
      <c r="G16926" s="2" t="str">
        <f>HYPERLINK("https://probpalata.gov.ru/files/ЮЛ660700134200000.jpeg","Скачать индивидуальный QR-код магазина")</f>
        <v>Скачать индивидуальный QR-код магазина</v>
      </c>
    </row>
    <row r="16927" spans="1:7" x14ac:dyDescent="0.25">
      <c r="A16927" t="s">
        <v>50404</v>
      </c>
      <c r="B16927" t="s">
        <v>51969</v>
      </c>
      <c r="C16927" t="s">
        <v>3489</v>
      </c>
      <c r="D16927" t="s">
        <v>20755</v>
      </c>
      <c r="E16927" t="s">
        <v>20756</v>
      </c>
      <c r="F16927" t="s">
        <v>51970</v>
      </c>
      <c r="G16927" s="2" t="str">
        <f>HYPERLINK("https://probpalata.gov.ru/files/ЮЛ660700620600000.jpeg","Скачать индивидуальный QR-код магазина")</f>
        <v>Скачать индивидуальный QR-код магазина</v>
      </c>
    </row>
    <row r="16928" spans="1:7" x14ac:dyDescent="0.25">
      <c r="A16928" t="s">
        <v>50404</v>
      </c>
      <c r="B16928" t="s">
        <v>51971</v>
      </c>
      <c r="C16928" t="s">
        <v>9931</v>
      </c>
      <c r="D16928" t="s">
        <v>9932</v>
      </c>
      <c r="E16928" t="s">
        <v>9933</v>
      </c>
      <c r="F16928" t="s">
        <v>51972</v>
      </c>
      <c r="G16928" s="2" t="str">
        <f>HYPERLINK("https://probpalata.gov.ru/files/ЮЛ660700009000000.jpeg","Скачать индивидуальный QR-код магазина")</f>
        <v>Скачать индивидуальный QR-код магазина</v>
      </c>
    </row>
    <row r="16929" spans="1:7" x14ac:dyDescent="0.25">
      <c r="A16929" t="s">
        <v>50404</v>
      </c>
      <c r="B16929" t="s">
        <v>51973</v>
      </c>
      <c r="C16929" t="s">
        <v>51974</v>
      </c>
      <c r="D16929" t="s">
        <v>51975</v>
      </c>
      <c r="E16929" t="s">
        <v>51976</v>
      </c>
      <c r="F16929" t="s">
        <v>51977</v>
      </c>
      <c r="G16929" s="2" t="str">
        <f>HYPERLINK("https://probpalata.gov.ru/files/ЮЛ660701976800000.jpeg","Скачать индивидуальный QR-код магазина")</f>
        <v>Скачать индивидуальный QR-код магазина</v>
      </c>
    </row>
    <row r="16930" spans="1:7" x14ac:dyDescent="0.25">
      <c r="A16930" t="s">
        <v>50404</v>
      </c>
      <c r="B16930" t="s">
        <v>51978</v>
      </c>
      <c r="C16930" t="s">
        <v>7478</v>
      </c>
      <c r="D16930" t="s">
        <v>51979</v>
      </c>
      <c r="E16930" t="s">
        <v>51980</v>
      </c>
      <c r="F16930" t="s">
        <v>51981</v>
      </c>
      <c r="G16930" s="2" t="str">
        <f>HYPERLINK("https://probpalata.gov.ru/files/ЮЛ660701160700003.jpeg","Скачать индивидуальный QR-код магазина")</f>
        <v>Скачать индивидуальный QR-код магазина</v>
      </c>
    </row>
    <row r="16931" spans="1:7" x14ac:dyDescent="0.25">
      <c r="A16931" t="s">
        <v>50404</v>
      </c>
      <c r="B16931" t="s">
        <v>51982</v>
      </c>
      <c r="C16931" t="s">
        <v>7478</v>
      </c>
      <c r="D16931" t="s">
        <v>51979</v>
      </c>
      <c r="E16931" t="s">
        <v>51980</v>
      </c>
      <c r="F16931" t="s">
        <v>51983</v>
      </c>
      <c r="G16931" s="2" t="str">
        <f>HYPERLINK("https://probpalata.gov.ru/files/ЮЛ660701160700010.jpeg","Скачать индивидуальный QR-код магазина")</f>
        <v>Скачать индивидуальный QR-код магазина</v>
      </c>
    </row>
    <row r="16932" spans="1:7" x14ac:dyDescent="0.25">
      <c r="A16932" t="s">
        <v>50404</v>
      </c>
      <c r="B16932" t="s">
        <v>51984</v>
      </c>
      <c r="C16932" t="s">
        <v>7478</v>
      </c>
      <c r="D16932" t="s">
        <v>51979</v>
      </c>
      <c r="E16932" t="s">
        <v>51980</v>
      </c>
      <c r="F16932" t="s">
        <v>51985</v>
      </c>
      <c r="G16932" s="2" t="str">
        <f>HYPERLINK("https://probpalata.gov.ru/files/ЮЛ660701160700011.jpeg","Скачать индивидуальный QR-код магазина")</f>
        <v>Скачать индивидуальный QR-код магазина</v>
      </c>
    </row>
    <row r="16933" spans="1:7" x14ac:dyDescent="0.25">
      <c r="A16933" t="s">
        <v>50404</v>
      </c>
      <c r="B16933" t="s">
        <v>51986</v>
      </c>
      <c r="C16933" t="s">
        <v>7478</v>
      </c>
      <c r="D16933" t="s">
        <v>51979</v>
      </c>
      <c r="E16933" t="s">
        <v>51980</v>
      </c>
      <c r="F16933" t="s">
        <v>51987</v>
      </c>
      <c r="G16933" s="2" t="str">
        <f>HYPERLINK("https://probpalata.gov.ru/files/ЮЛ660701160700012.jpeg","Скачать индивидуальный QR-код магазина")</f>
        <v>Скачать индивидуальный QR-код магазина</v>
      </c>
    </row>
    <row r="16934" spans="1:7" x14ac:dyDescent="0.25">
      <c r="A16934" t="s">
        <v>50404</v>
      </c>
      <c r="B16934" t="s">
        <v>51988</v>
      </c>
      <c r="C16934" t="s">
        <v>7478</v>
      </c>
      <c r="D16934" t="s">
        <v>51979</v>
      </c>
      <c r="E16934" t="s">
        <v>51980</v>
      </c>
      <c r="F16934" t="s">
        <v>51989</v>
      </c>
      <c r="G16934" s="2" t="str">
        <f>HYPERLINK("https://probpalata.gov.ru/files/ЮЛ660701160700014.jpeg","Скачать индивидуальный QR-код магазина")</f>
        <v>Скачать индивидуальный QR-код магазина</v>
      </c>
    </row>
    <row r="16935" spans="1:7" x14ac:dyDescent="0.25">
      <c r="A16935" t="s">
        <v>50404</v>
      </c>
      <c r="B16935" t="s">
        <v>51990</v>
      </c>
      <c r="C16935" t="s">
        <v>7478</v>
      </c>
      <c r="D16935" t="s">
        <v>51979</v>
      </c>
      <c r="E16935" t="s">
        <v>51980</v>
      </c>
      <c r="F16935" t="s">
        <v>51991</v>
      </c>
      <c r="G16935" s="2" t="str">
        <f>HYPERLINK("https://probpalata.gov.ru/files/ЮЛ660701160700016.jpeg","Скачать индивидуальный QR-код магазина")</f>
        <v>Скачать индивидуальный QR-код магазина</v>
      </c>
    </row>
    <row r="16936" spans="1:7" x14ac:dyDescent="0.25">
      <c r="A16936" t="s">
        <v>50404</v>
      </c>
      <c r="B16936" t="s">
        <v>51992</v>
      </c>
      <c r="C16936" t="s">
        <v>51993</v>
      </c>
      <c r="D16936" t="s">
        <v>51994</v>
      </c>
      <c r="E16936" t="s">
        <v>51995</v>
      </c>
      <c r="F16936" t="s">
        <v>51996</v>
      </c>
      <c r="G16936" s="2" t="str">
        <f>HYPERLINK("https://probpalata.gov.ru/files/ЮЛ660702006300000.jpeg","Скачать индивидуальный QR-код магазина")</f>
        <v>Скачать индивидуальный QR-код магазина</v>
      </c>
    </row>
    <row r="16937" spans="1:7" x14ac:dyDescent="0.25">
      <c r="A16937" t="s">
        <v>50404</v>
      </c>
      <c r="B16937" t="s">
        <v>51997</v>
      </c>
      <c r="C16937" t="s">
        <v>51998</v>
      </c>
      <c r="D16937" t="s">
        <v>51999</v>
      </c>
      <c r="E16937" t="s">
        <v>52000</v>
      </c>
      <c r="F16937" t="s">
        <v>52001</v>
      </c>
      <c r="G16937" s="2" t="str">
        <f>HYPERLINK("https://probpalata.gov.ru/files/ЮЛ660701138200000.jpeg","Скачать индивидуальный QR-код магазина")</f>
        <v>Скачать индивидуальный QR-код магазина</v>
      </c>
    </row>
    <row r="16938" spans="1:7" x14ac:dyDescent="0.25">
      <c r="A16938" t="s">
        <v>50404</v>
      </c>
      <c r="B16938" t="s">
        <v>51281</v>
      </c>
      <c r="C16938" t="s">
        <v>52002</v>
      </c>
      <c r="D16938" t="s">
        <v>52003</v>
      </c>
      <c r="E16938" t="s">
        <v>52004</v>
      </c>
      <c r="F16938" t="s">
        <v>52005</v>
      </c>
      <c r="G16938" s="2" t="str">
        <f>HYPERLINK("https://probpalata.gov.ru/files/ЮЛ660703427000000.jpeg","Скачать индивидуальный QR-код магазина")</f>
        <v>Скачать индивидуальный QR-код магазина</v>
      </c>
    </row>
    <row r="16939" spans="1:7" x14ac:dyDescent="0.25">
      <c r="A16939" t="s">
        <v>50404</v>
      </c>
      <c r="B16939" t="s">
        <v>52006</v>
      </c>
      <c r="C16939" t="s">
        <v>52007</v>
      </c>
      <c r="D16939" t="s">
        <v>52008</v>
      </c>
      <c r="E16939" t="s">
        <v>52009</v>
      </c>
      <c r="F16939" t="s">
        <v>52010</v>
      </c>
      <c r="G16939" s="2" t="str">
        <f>HYPERLINK("https://probpalata.gov.ru/files/ЮЛ660703579100000.jpeg","Скачать индивидуальный QR-код магазина")</f>
        <v>Скачать индивидуальный QR-код магазина</v>
      </c>
    </row>
    <row r="16940" spans="1:7" x14ac:dyDescent="0.25">
      <c r="A16940" t="s">
        <v>50404</v>
      </c>
      <c r="B16940" t="s">
        <v>52011</v>
      </c>
      <c r="C16940" t="s">
        <v>52007</v>
      </c>
      <c r="D16940" t="s">
        <v>52008</v>
      </c>
      <c r="E16940" t="s">
        <v>52009</v>
      </c>
      <c r="F16940" t="s">
        <v>52012</v>
      </c>
      <c r="G16940" s="2" t="str">
        <f>HYPERLINK("https://probpalata.gov.ru/files/ЮЛ660703579100002.jpeg","Скачать индивидуальный QR-код магазина")</f>
        <v>Скачать индивидуальный QR-код магазина</v>
      </c>
    </row>
    <row r="16941" spans="1:7" x14ac:dyDescent="0.25">
      <c r="A16941" t="s">
        <v>50404</v>
      </c>
      <c r="B16941" t="s">
        <v>52013</v>
      </c>
      <c r="C16941" t="s">
        <v>52014</v>
      </c>
      <c r="D16941" t="s">
        <v>52015</v>
      </c>
      <c r="E16941" t="s">
        <v>52016</v>
      </c>
      <c r="F16941" t="s">
        <v>52017</v>
      </c>
      <c r="G16941" s="2" t="str">
        <f>HYPERLINK("https://probpalata.gov.ru/files/ИП660703630200000.jpeg","Скачать индивидуальный QR-код магазина")</f>
        <v>Скачать индивидуальный QR-код магазина</v>
      </c>
    </row>
    <row r="16942" spans="1:7" x14ac:dyDescent="0.25">
      <c r="A16942" t="s">
        <v>50404</v>
      </c>
      <c r="B16942" t="s">
        <v>52018</v>
      </c>
      <c r="C16942" t="s">
        <v>52019</v>
      </c>
      <c r="D16942" t="s">
        <v>52020</v>
      </c>
      <c r="E16942" t="s">
        <v>52021</v>
      </c>
      <c r="F16942" t="s">
        <v>52022</v>
      </c>
      <c r="G16942" s="2" t="str">
        <f>HYPERLINK("https://probpalata.gov.ru/files/ЮЛ660700143300000.jpeg","Скачать индивидуальный QR-код магазина")</f>
        <v>Скачать индивидуальный QR-код магазина</v>
      </c>
    </row>
    <row r="16943" spans="1:7" x14ac:dyDescent="0.25">
      <c r="A16943" t="s">
        <v>50404</v>
      </c>
      <c r="B16943" t="s">
        <v>52023</v>
      </c>
      <c r="C16943" t="s">
        <v>52024</v>
      </c>
      <c r="D16943" t="s">
        <v>52025</v>
      </c>
      <c r="E16943" t="s">
        <v>52026</v>
      </c>
      <c r="F16943" t="s">
        <v>52027</v>
      </c>
      <c r="G16943" s="2" t="str">
        <f>HYPERLINK("https://probpalata.gov.ru/files/ЮЛ660700760300000.jpeg","Скачать индивидуальный QR-код магазина")</f>
        <v>Скачать индивидуальный QR-код магазина</v>
      </c>
    </row>
    <row r="16944" spans="1:7" x14ac:dyDescent="0.25">
      <c r="A16944" t="s">
        <v>50404</v>
      </c>
      <c r="B16944" t="s">
        <v>52028</v>
      </c>
      <c r="C16944" t="s">
        <v>52024</v>
      </c>
      <c r="D16944" t="s">
        <v>52025</v>
      </c>
      <c r="E16944" t="s">
        <v>52026</v>
      </c>
      <c r="F16944" t="s">
        <v>52029</v>
      </c>
      <c r="G16944" s="2" t="str">
        <f>HYPERLINK("https://probpalata.gov.ru/files/ЮЛ660700760300001.jpeg","Скачать индивидуальный QR-код магазина")</f>
        <v>Скачать индивидуальный QR-код магазина</v>
      </c>
    </row>
    <row r="16945" spans="1:7" x14ac:dyDescent="0.25">
      <c r="A16945" t="s">
        <v>50404</v>
      </c>
      <c r="B16945" t="s">
        <v>52030</v>
      </c>
      <c r="C16945" t="s">
        <v>52031</v>
      </c>
      <c r="D16945" t="s">
        <v>52032</v>
      </c>
      <c r="E16945" t="s">
        <v>52033</v>
      </c>
      <c r="F16945" t="s">
        <v>52034</v>
      </c>
      <c r="G16945" s="2" t="str">
        <f>HYPERLINK("https://probpalata.gov.ru/files/ЮЛ660703203900000.jpeg","Скачать индивидуальный QR-код магазина")</f>
        <v>Скачать индивидуальный QR-код магазина</v>
      </c>
    </row>
    <row r="16946" spans="1:7" x14ac:dyDescent="0.25">
      <c r="A16946" t="s">
        <v>50404</v>
      </c>
      <c r="B16946" t="s">
        <v>52035</v>
      </c>
      <c r="C16946" t="s">
        <v>52031</v>
      </c>
      <c r="D16946" t="s">
        <v>52032</v>
      </c>
      <c r="E16946" t="s">
        <v>52033</v>
      </c>
      <c r="F16946" t="s">
        <v>52036</v>
      </c>
      <c r="G16946" s="2" t="str">
        <f>HYPERLINK("https://probpalata.gov.ru/files/ЮЛ660703203900001.jpeg","Скачать индивидуальный QR-код магазина")</f>
        <v>Скачать индивидуальный QR-код магазина</v>
      </c>
    </row>
    <row r="16947" spans="1:7" x14ac:dyDescent="0.25">
      <c r="A16947" t="s">
        <v>50404</v>
      </c>
      <c r="B16947" t="s">
        <v>52037</v>
      </c>
      <c r="C16947" t="s">
        <v>52038</v>
      </c>
      <c r="D16947" t="s">
        <v>52039</v>
      </c>
      <c r="E16947" t="s">
        <v>52040</v>
      </c>
      <c r="F16947" t="s">
        <v>52041</v>
      </c>
      <c r="G16947" s="2" t="str">
        <f>HYPERLINK("https://probpalata.gov.ru/files/ИП660701478300000.jpeg","Скачать индивидуальный QR-код магазина")</f>
        <v>Скачать индивидуальный QR-код магазина</v>
      </c>
    </row>
    <row r="16948" spans="1:7" x14ac:dyDescent="0.25">
      <c r="A16948" t="s">
        <v>50404</v>
      </c>
      <c r="B16948" t="s">
        <v>52042</v>
      </c>
      <c r="C16948" t="s">
        <v>52043</v>
      </c>
      <c r="D16948" t="s">
        <v>52044</v>
      </c>
      <c r="E16948" t="s">
        <v>52045</v>
      </c>
      <c r="F16948" t="s">
        <v>52046</v>
      </c>
      <c r="G16948" s="2" t="str">
        <f>HYPERLINK("https://probpalata.gov.ru/files/ИП660703281400000.jpeg","Скачать индивидуальный QR-код магазина")</f>
        <v>Скачать индивидуальный QR-код магазина</v>
      </c>
    </row>
    <row r="16949" spans="1:7" x14ac:dyDescent="0.25">
      <c r="A16949" t="s">
        <v>50404</v>
      </c>
      <c r="B16949" t="s">
        <v>52047</v>
      </c>
      <c r="C16949" t="s">
        <v>52048</v>
      </c>
      <c r="D16949" t="s">
        <v>52049</v>
      </c>
      <c r="E16949" t="s">
        <v>52050</v>
      </c>
      <c r="F16949" t="s">
        <v>52051</v>
      </c>
      <c r="G16949" s="2" t="str">
        <f>HYPERLINK("https://probpalata.gov.ru/files/ЮЛ660703633200000.jpeg","Скачать индивидуальный QR-код магазина")</f>
        <v>Скачать индивидуальный QR-код магазина</v>
      </c>
    </row>
    <row r="16950" spans="1:7" x14ac:dyDescent="0.25">
      <c r="A16950" t="s">
        <v>50404</v>
      </c>
      <c r="B16950" t="s">
        <v>52052</v>
      </c>
      <c r="C16950" t="s">
        <v>52053</v>
      </c>
      <c r="D16950" t="s">
        <v>52054</v>
      </c>
      <c r="E16950" t="s">
        <v>52055</v>
      </c>
      <c r="F16950" t="s">
        <v>52056</v>
      </c>
      <c r="G16950" s="2" t="str">
        <f>HYPERLINK("https://probpalata.gov.ru/files/ЮЛ660703368700000.jpeg","Скачать индивидуальный QR-код магазина")</f>
        <v>Скачать индивидуальный QR-код магазина</v>
      </c>
    </row>
    <row r="16951" spans="1:7" x14ac:dyDescent="0.25">
      <c r="A16951" t="s">
        <v>50404</v>
      </c>
      <c r="B16951" t="s">
        <v>52057</v>
      </c>
      <c r="C16951" t="s">
        <v>17139</v>
      </c>
      <c r="D16951" t="s">
        <v>17140</v>
      </c>
      <c r="E16951" t="s">
        <v>17141</v>
      </c>
      <c r="F16951" t="s">
        <v>52058</v>
      </c>
      <c r="G16951" s="2" t="str">
        <f>HYPERLINK("https://probpalata.gov.ru/files/ЮЛ740700747200034.jpeg","Скачать индивидуальный QR-код магазина")</f>
        <v>Скачать индивидуальный QR-код магазина</v>
      </c>
    </row>
    <row r="16952" spans="1:7" x14ac:dyDescent="0.25">
      <c r="A16952" t="s">
        <v>50404</v>
      </c>
      <c r="B16952" t="s">
        <v>52059</v>
      </c>
      <c r="C16952" t="s">
        <v>17155</v>
      </c>
      <c r="D16952" t="s">
        <v>17156</v>
      </c>
      <c r="E16952" t="s">
        <v>17157</v>
      </c>
      <c r="F16952" t="s">
        <v>52060</v>
      </c>
      <c r="G16952" s="2" t="str">
        <f>HYPERLINK("https://probpalata.gov.ru/files/ИП660703681200000.jpeg","Скачать индивидуальный QR-код магазина")</f>
        <v>Скачать индивидуальный QR-код магазина</v>
      </c>
    </row>
    <row r="16953" spans="1:7" x14ac:dyDescent="0.25">
      <c r="A16953" t="s">
        <v>50404</v>
      </c>
      <c r="B16953" t="s">
        <v>52061</v>
      </c>
      <c r="C16953" t="s">
        <v>52062</v>
      </c>
      <c r="D16953" t="s">
        <v>52063</v>
      </c>
      <c r="E16953" t="s">
        <v>52064</v>
      </c>
      <c r="F16953" t="s">
        <v>52065</v>
      </c>
      <c r="G16953" s="2" t="str">
        <f>HYPERLINK("https://probpalata.gov.ru/files/ЮЛ740703822100000.jpeg","Скачать индивидуальный QR-код магазина")</f>
        <v>Скачать индивидуальный QR-код магазина</v>
      </c>
    </row>
    <row r="16954" spans="1:7" x14ac:dyDescent="0.25">
      <c r="A16954" t="s">
        <v>50404</v>
      </c>
      <c r="B16954" t="s">
        <v>52066</v>
      </c>
      <c r="C16954" t="s">
        <v>52067</v>
      </c>
      <c r="D16954" t="s">
        <v>52068</v>
      </c>
      <c r="E16954" t="s">
        <v>52069</v>
      </c>
      <c r="F16954" t="s">
        <v>52070</v>
      </c>
      <c r="G16954" s="2" t="str">
        <f>HYPERLINK("https://probpalata.gov.ru/files/ИП660703013900003.jpeg","Скачать индивидуальный QR-код магазина")</f>
        <v>Скачать индивидуальный QR-код магазина</v>
      </c>
    </row>
    <row r="16955" spans="1:7" x14ac:dyDescent="0.25">
      <c r="A16955" t="s">
        <v>50404</v>
      </c>
      <c r="B16955" t="s">
        <v>52071</v>
      </c>
      <c r="C16955" t="s">
        <v>52067</v>
      </c>
      <c r="D16955" t="s">
        <v>52068</v>
      </c>
      <c r="E16955" t="s">
        <v>52069</v>
      </c>
      <c r="F16955" t="s">
        <v>52072</v>
      </c>
      <c r="G16955" s="2" t="str">
        <f>HYPERLINK("https://probpalata.gov.ru/files/ИП660703013900004.jpeg","Скачать индивидуальный QR-код магазина")</f>
        <v>Скачать индивидуальный QR-код магазина</v>
      </c>
    </row>
    <row r="16956" spans="1:7" x14ac:dyDescent="0.25">
      <c r="A16956" t="s">
        <v>50404</v>
      </c>
      <c r="B16956" t="s">
        <v>52073</v>
      </c>
      <c r="C16956" t="s">
        <v>52067</v>
      </c>
      <c r="D16956" t="s">
        <v>52068</v>
      </c>
      <c r="E16956" t="s">
        <v>52069</v>
      </c>
      <c r="F16956" t="s">
        <v>52074</v>
      </c>
      <c r="G16956" s="2" t="str">
        <f>HYPERLINK("https://probpalata.gov.ru/files/ИП660703013900005.jpeg","Скачать индивидуальный QR-код магазина")</f>
        <v>Скачать индивидуальный QR-код магазина</v>
      </c>
    </row>
    <row r="16957" spans="1:7" x14ac:dyDescent="0.25">
      <c r="A16957" t="s">
        <v>50404</v>
      </c>
      <c r="B16957" t="s">
        <v>52075</v>
      </c>
      <c r="C16957" t="s">
        <v>52067</v>
      </c>
      <c r="D16957" t="s">
        <v>52068</v>
      </c>
      <c r="E16957" t="s">
        <v>52069</v>
      </c>
      <c r="F16957" t="s">
        <v>52076</v>
      </c>
      <c r="G16957" s="2" t="str">
        <f>HYPERLINK("https://probpalata.gov.ru/files/ИП660703013900006.jpeg","Скачать индивидуальный QR-код магазина")</f>
        <v>Скачать индивидуальный QR-код магазина</v>
      </c>
    </row>
    <row r="16958" spans="1:7" x14ac:dyDescent="0.25">
      <c r="A16958" t="s">
        <v>50404</v>
      </c>
      <c r="B16958" t="s">
        <v>51437</v>
      </c>
      <c r="C16958" t="s">
        <v>52077</v>
      </c>
      <c r="D16958" t="s">
        <v>52078</v>
      </c>
      <c r="E16958" t="s">
        <v>52079</v>
      </c>
      <c r="F16958" t="s">
        <v>52080</v>
      </c>
      <c r="G16958" s="2" t="str">
        <f>HYPERLINK("https://probpalata.gov.ru/files/ЮЛ740700851300049.jpeg","Скачать индивидуальный QR-код магазина")</f>
        <v>Скачать индивидуальный QR-код магазина</v>
      </c>
    </row>
    <row r="16959" spans="1:7" x14ac:dyDescent="0.25">
      <c r="A16959" t="s">
        <v>50404</v>
      </c>
      <c r="B16959" t="s">
        <v>52081</v>
      </c>
      <c r="C16959" t="s">
        <v>52082</v>
      </c>
      <c r="D16959" t="s">
        <v>52083</v>
      </c>
      <c r="E16959" t="s">
        <v>52084</v>
      </c>
      <c r="F16959" t="s">
        <v>52085</v>
      </c>
      <c r="G16959" s="2" t="str">
        <f>HYPERLINK("https://probpalata.gov.ru/files/ИП660700810600000.jpeg","Скачать индивидуальный QR-код магазина")</f>
        <v>Скачать индивидуальный QR-код магазина</v>
      </c>
    </row>
    <row r="16960" spans="1:7" x14ac:dyDescent="0.25">
      <c r="A16960" t="s">
        <v>50404</v>
      </c>
      <c r="B16960" t="s">
        <v>52086</v>
      </c>
      <c r="C16960" t="s">
        <v>1745</v>
      </c>
      <c r="D16960" t="s">
        <v>1746</v>
      </c>
      <c r="E16960" t="s">
        <v>1747</v>
      </c>
      <c r="F16960" t="s">
        <v>52087</v>
      </c>
      <c r="G16960" s="2" t="str">
        <f>HYPERLINK("https://probpalata.gov.ru/files/ЮЛ770100201500511.jpeg","Скачать индивидуальный QR-код магазина")</f>
        <v>Скачать индивидуальный QR-код магазина</v>
      </c>
    </row>
    <row r="16961" spans="1:7" x14ac:dyDescent="0.25">
      <c r="A16961" t="s">
        <v>50404</v>
      </c>
      <c r="B16961" t="s">
        <v>52088</v>
      </c>
      <c r="C16961" t="s">
        <v>1745</v>
      </c>
      <c r="D16961" t="s">
        <v>1746</v>
      </c>
      <c r="E16961" t="s">
        <v>1747</v>
      </c>
      <c r="F16961" t="s">
        <v>52089</v>
      </c>
      <c r="G16961" s="2" t="str">
        <f>HYPERLINK("https://probpalata.gov.ru/files/ЮЛ770100201500551.jpeg","Скачать индивидуальный QR-код магазина")</f>
        <v>Скачать индивидуальный QR-код магазина</v>
      </c>
    </row>
    <row r="16962" spans="1:7" x14ac:dyDescent="0.25">
      <c r="A16962" t="s">
        <v>50404</v>
      </c>
      <c r="B16962" t="s">
        <v>52090</v>
      </c>
      <c r="C16962" t="s">
        <v>1745</v>
      </c>
      <c r="D16962" t="s">
        <v>1746</v>
      </c>
      <c r="E16962" t="s">
        <v>1747</v>
      </c>
      <c r="F16962" t="s">
        <v>52091</v>
      </c>
      <c r="G16962" s="2" t="str">
        <f>HYPERLINK("https://probpalata.gov.ru/files/ЮЛ770100201500553.jpeg","Скачать индивидуальный QR-код магазина")</f>
        <v>Скачать индивидуальный QR-код магазина</v>
      </c>
    </row>
    <row r="16963" spans="1:7" x14ac:dyDescent="0.25">
      <c r="A16963" t="s">
        <v>50404</v>
      </c>
      <c r="B16963" t="s">
        <v>52092</v>
      </c>
      <c r="C16963" t="s">
        <v>1745</v>
      </c>
      <c r="D16963" t="s">
        <v>1746</v>
      </c>
      <c r="E16963" t="s">
        <v>1747</v>
      </c>
      <c r="F16963" t="s">
        <v>52093</v>
      </c>
      <c r="G16963" s="2" t="str">
        <f>HYPERLINK("https://probpalata.gov.ru/files/ЮЛ770100201500873.jpeg","Скачать индивидуальный QR-код магазина")</f>
        <v>Скачать индивидуальный QR-код магазина</v>
      </c>
    </row>
    <row r="16964" spans="1:7" x14ac:dyDescent="0.25">
      <c r="A16964" t="s">
        <v>50404</v>
      </c>
      <c r="B16964" t="s">
        <v>52094</v>
      </c>
      <c r="C16964" t="s">
        <v>21065</v>
      </c>
      <c r="D16964" t="s">
        <v>21066</v>
      </c>
      <c r="E16964" t="s">
        <v>21067</v>
      </c>
      <c r="F16964" t="s">
        <v>52095</v>
      </c>
      <c r="G16964" s="2" t="str">
        <f>HYPERLINK("https://probpalata.gov.ru/files/ЮЛ770100826400199.jpeg","Скачать индивидуальный QR-код магазина")</f>
        <v>Скачать индивидуальный QR-код магазина</v>
      </c>
    </row>
    <row r="16965" spans="1:7" x14ac:dyDescent="0.25">
      <c r="A16965" t="s">
        <v>50404</v>
      </c>
      <c r="B16965" t="s">
        <v>52096</v>
      </c>
      <c r="C16965" t="s">
        <v>21065</v>
      </c>
      <c r="D16965" t="s">
        <v>21066</v>
      </c>
      <c r="E16965" t="s">
        <v>21067</v>
      </c>
      <c r="F16965" t="s">
        <v>52097</v>
      </c>
      <c r="G16965" s="2" t="str">
        <f>HYPERLINK("https://probpalata.gov.ru/files/ЮЛ770100826400305.jpeg","Скачать индивидуальный QR-код магазина")</f>
        <v>Скачать индивидуальный QR-код магазина</v>
      </c>
    </row>
    <row r="16966" spans="1:7" x14ac:dyDescent="0.25">
      <c r="A16966" t="s">
        <v>50404</v>
      </c>
      <c r="B16966" t="s">
        <v>52098</v>
      </c>
      <c r="C16966" t="s">
        <v>21065</v>
      </c>
      <c r="D16966" t="s">
        <v>21066</v>
      </c>
      <c r="E16966" t="s">
        <v>21067</v>
      </c>
      <c r="F16966" t="s">
        <v>52099</v>
      </c>
      <c r="G16966" s="2" t="str">
        <f>HYPERLINK("https://probpalata.gov.ru/files/ЮЛ770100826400414.jpeg","Скачать индивидуальный QR-код магазина")</f>
        <v>Скачать индивидуальный QR-код магазина</v>
      </c>
    </row>
    <row r="16967" spans="1:7" x14ac:dyDescent="0.25">
      <c r="A16967" t="s">
        <v>50404</v>
      </c>
      <c r="B16967" t="s">
        <v>52100</v>
      </c>
      <c r="C16967" t="s">
        <v>15012</v>
      </c>
      <c r="D16967" t="s">
        <v>15013</v>
      </c>
      <c r="E16967" t="s">
        <v>15014</v>
      </c>
      <c r="F16967" t="s">
        <v>52101</v>
      </c>
      <c r="G16967" s="2" t="str">
        <f>HYPERLINK("https://probpalata.gov.ru/files/ЮЛ770100301000005.jpeg","Скачать индивидуальный QR-код магазина")</f>
        <v>Скачать индивидуальный QR-код магазина</v>
      </c>
    </row>
    <row r="16968" spans="1:7" x14ac:dyDescent="0.25">
      <c r="A16968" t="s">
        <v>50404</v>
      </c>
      <c r="B16968" t="s">
        <v>52102</v>
      </c>
      <c r="C16968" t="s">
        <v>713</v>
      </c>
      <c r="D16968" t="s">
        <v>714</v>
      </c>
      <c r="E16968" t="s">
        <v>715</v>
      </c>
      <c r="F16968" t="s">
        <v>52103</v>
      </c>
      <c r="G16968" s="2" t="str">
        <f>HYPERLINK("https://probpalata.gov.ru/files/ЮЛ770101216600093.jpeg","Скачать индивидуальный QR-код магазина")</f>
        <v>Скачать индивидуальный QR-код магазина</v>
      </c>
    </row>
    <row r="16969" spans="1:7" x14ac:dyDescent="0.25">
      <c r="A16969" t="s">
        <v>50404</v>
      </c>
      <c r="B16969" t="s">
        <v>52104</v>
      </c>
      <c r="C16969" t="s">
        <v>713</v>
      </c>
      <c r="D16969" t="s">
        <v>714</v>
      </c>
      <c r="E16969" t="s">
        <v>715</v>
      </c>
      <c r="F16969" t="s">
        <v>52105</v>
      </c>
      <c r="G16969" s="2" t="str">
        <f>HYPERLINK("https://probpalata.gov.ru/files/ЮЛ770101216600094.jpeg","Скачать индивидуальный QR-код магазина")</f>
        <v>Скачать индивидуальный QR-код магазина</v>
      </c>
    </row>
    <row r="16970" spans="1:7" x14ac:dyDescent="0.25">
      <c r="A16970" t="s">
        <v>50404</v>
      </c>
      <c r="B16970" t="s">
        <v>52106</v>
      </c>
      <c r="C16970" t="s">
        <v>713</v>
      </c>
      <c r="D16970" t="s">
        <v>714</v>
      </c>
      <c r="E16970" t="s">
        <v>715</v>
      </c>
      <c r="F16970" t="s">
        <v>52107</v>
      </c>
      <c r="G16970" s="2" t="str">
        <f>HYPERLINK("https://probpalata.gov.ru/files/ЮЛ770101216600182.jpeg","Скачать индивидуальный QR-код магазина")</f>
        <v>Скачать индивидуальный QR-код магазина</v>
      </c>
    </row>
    <row r="16971" spans="1:7" x14ac:dyDescent="0.25">
      <c r="A16971" t="s">
        <v>50404</v>
      </c>
      <c r="B16971" t="s">
        <v>52108</v>
      </c>
      <c r="C16971" t="s">
        <v>713</v>
      </c>
      <c r="D16971" t="s">
        <v>714</v>
      </c>
      <c r="E16971" t="s">
        <v>715</v>
      </c>
      <c r="F16971" t="s">
        <v>52109</v>
      </c>
      <c r="G16971" s="2" t="str">
        <f>HYPERLINK("https://probpalata.gov.ru/files/ЮЛ770101216600194.jpeg","Скачать индивидуальный QR-код магазина")</f>
        <v>Скачать индивидуальный QR-код магазина</v>
      </c>
    </row>
    <row r="16972" spans="1:7" x14ac:dyDescent="0.25">
      <c r="A16972" t="s">
        <v>50404</v>
      </c>
      <c r="B16972" t="s">
        <v>52110</v>
      </c>
      <c r="C16972" t="s">
        <v>713</v>
      </c>
      <c r="D16972" t="s">
        <v>714</v>
      </c>
      <c r="E16972" t="s">
        <v>715</v>
      </c>
      <c r="F16972" t="s">
        <v>52111</v>
      </c>
      <c r="G16972" s="2" t="str">
        <f>HYPERLINK("https://probpalata.gov.ru/files/ЮЛ770101216600202.jpeg","Скачать индивидуальный QR-код магазина")</f>
        <v>Скачать индивидуальный QR-код магазина</v>
      </c>
    </row>
    <row r="16973" spans="1:7" x14ac:dyDescent="0.25">
      <c r="A16973" t="s">
        <v>50404</v>
      </c>
      <c r="B16973" t="s">
        <v>52112</v>
      </c>
      <c r="C16973" t="s">
        <v>713</v>
      </c>
      <c r="D16973" t="s">
        <v>714</v>
      </c>
      <c r="E16973" t="s">
        <v>715</v>
      </c>
      <c r="F16973" t="s">
        <v>52113</v>
      </c>
      <c r="G16973" s="2" t="str">
        <f>HYPERLINK("https://probpalata.gov.ru/files/ЮЛ770101216600210.jpeg","Скачать индивидуальный QR-код магазина")</f>
        <v>Скачать индивидуальный QR-код магазина</v>
      </c>
    </row>
    <row r="16974" spans="1:7" x14ac:dyDescent="0.25">
      <c r="A16974" t="s">
        <v>50404</v>
      </c>
      <c r="B16974" t="s">
        <v>52114</v>
      </c>
      <c r="C16974" t="s">
        <v>713</v>
      </c>
      <c r="D16974" t="s">
        <v>714</v>
      </c>
      <c r="E16974" t="s">
        <v>715</v>
      </c>
      <c r="F16974" t="s">
        <v>52115</v>
      </c>
      <c r="G16974" s="2" t="str">
        <f>HYPERLINK("https://probpalata.gov.ru/files/ЮЛ770101216600276.jpeg","Скачать индивидуальный QR-код магазина")</f>
        <v>Скачать индивидуальный QR-код магазина</v>
      </c>
    </row>
    <row r="16975" spans="1:7" x14ac:dyDescent="0.25">
      <c r="A16975" t="s">
        <v>50404</v>
      </c>
      <c r="B16975" t="s">
        <v>52116</v>
      </c>
      <c r="C16975" t="s">
        <v>713</v>
      </c>
      <c r="D16975" t="s">
        <v>714</v>
      </c>
      <c r="E16975" t="s">
        <v>715</v>
      </c>
      <c r="F16975" t="s">
        <v>52117</v>
      </c>
      <c r="G16975" s="2" t="str">
        <f>HYPERLINK("https://probpalata.gov.ru/files/ЮЛ770101216600282.jpeg","Скачать индивидуальный QR-код магазина")</f>
        <v>Скачать индивидуальный QR-код магазина</v>
      </c>
    </row>
    <row r="16976" spans="1:7" x14ac:dyDescent="0.25">
      <c r="A16976" t="s">
        <v>50404</v>
      </c>
      <c r="B16976" t="s">
        <v>52118</v>
      </c>
      <c r="C16976" t="s">
        <v>713</v>
      </c>
      <c r="D16976" t="s">
        <v>714</v>
      </c>
      <c r="E16976" t="s">
        <v>715</v>
      </c>
      <c r="F16976" t="s">
        <v>52119</v>
      </c>
      <c r="G16976" s="2" t="str">
        <f>HYPERLINK("https://probpalata.gov.ru/files/ЮЛ770101216600283.jpeg","Скачать индивидуальный QR-код магазина")</f>
        <v>Скачать индивидуальный QR-код магазина</v>
      </c>
    </row>
    <row r="16977" spans="1:7" x14ac:dyDescent="0.25">
      <c r="A16977" t="s">
        <v>50404</v>
      </c>
      <c r="B16977" t="s">
        <v>52120</v>
      </c>
      <c r="C16977" t="s">
        <v>713</v>
      </c>
      <c r="D16977" t="s">
        <v>714</v>
      </c>
      <c r="E16977" t="s">
        <v>715</v>
      </c>
      <c r="F16977" t="s">
        <v>52121</v>
      </c>
      <c r="G16977" s="2" t="str">
        <f>HYPERLINK("https://probpalata.gov.ru/files/ЮЛ770101216600284.jpeg","Скачать индивидуальный QR-код магазина")</f>
        <v>Скачать индивидуальный QR-код магазина</v>
      </c>
    </row>
    <row r="16978" spans="1:7" x14ac:dyDescent="0.25">
      <c r="A16978" t="s">
        <v>50404</v>
      </c>
      <c r="B16978" t="s">
        <v>52122</v>
      </c>
      <c r="C16978" t="s">
        <v>713</v>
      </c>
      <c r="D16978" t="s">
        <v>714</v>
      </c>
      <c r="E16978" t="s">
        <v>715</v>
      </c>
      <c r="F16978" t="s">
        <v>52123</v>
      </c>
      <c r="G16978" s="2" t="str">
        <f>HYPERLINK("https://probpalata.gov.ru/files/ЮЛ770101216600285.jpeg","Скачать индивидуальный QR-код магазина")</f>
        <v>Скачать индивидуальный QR-код магазина</v>
      </c>
    </row>
    <row r="16979" spans="1:7" x14ac:dyDescent="0.25">
      <c r="A16979" t="s">
        <v>50404</v>
      </c>
      <c r="B16979" t="s">
        <v>52124</v>
      </c>
      <c r="C16979" t="s">
        <v>713</v>
      </c>
      <c r="D16979" t="s">
        <v>714</v>
      </c>
      <c r="E16979" t="s">
        <v>715</v>
      </c>
      <c r="F16979" t="s">
        <v>52125</v>
      </c>
      <c r="G16979" s="2" t="str">
        <f>HYPERLINK("https://probpalata.gov.ru/files/ЮЛ770101216600323.jpeg","Скачать индивидуальный QR-код магазина")</f>
        <v>Скачать индивидуальный QR-код магазина</v>
      </c>
    </row>
    <row r="16980" spans="1:7" x14ac:dyDescent="0.25">
      <c r="A16980" t="s">
        <v>50404</v>
      </c>
      <c r="B16980" t="s">
        <v>52126</v>
      </c>
      <c r="C16980" t="s">
        <v>713</v>
      </c>
      <c r="D16980" t="s">
        <v>714</v>
      </c>
      <c r="E16980" t="s">
        <v>715</v>
      </c>
      <c r="F16980" t="s">
        <v>52127</v>
      </c>
      <c r="G16980" s="2" t="str">
        <f>HYPERLINK("https://probpalata.gov.ru/files/ЮЛ770101216600332.jpeg","Скачать индивидуальный QR-код магазина")</f>
        <v>Скачать индивидуальный QR-код магазина</v>
      </c>
    </row>
    <row r="16981" spans="1:7" x14ac:dyDescent="0.25">
      <c r="A16981" t="s">
        <v>50404</v>
      </c>
      <c r="B16981" t="s">
        <v>52128</v>
      </c>
      <c r="C16981" t="s">
        <v>713</v>
      </c>
      <c r="D16981" t="s">
        <v>714</v>
      </c>
      <c r="E16981" t="s">
        <v>715</v>
      </c>
      <c r="F16981" t="s">
        <v>52129</v>
      </c>
      <c r="G16981" s="2" t="str">
        <f>HYPERLINK("https://probpalata.gov.ru/files/ЮЛ770101216600400.jpeg","Скачать индивидуальный QR-код магазина")</f>
        <v>Скачать индивидуальный QR-код магазина</v>
      </c>
    </row>
    <row r="16982" spans="1:7" x14ac:dyDescent="0.25">
      <c r="A16982" t="s">
        <v>50404</v>
      </c>
      <c r="B16982" t="s">
        <v>52130</v>
      </c>
      <c r="C16982" t="s">
        <v>713</v>
      </c>
      <c r="D16982" t="s">
        <v>714</v>
      </c>
      <c r="E16982" t="s">
        <v>715</v>
      </c>
      <c r="F16982" t="s">
        <v>52131</v>
      </c>
      <c r="G16982" s="2" t="str">
        <f>HYPERLINK("https://probpalata.gov.ru/files/ЮЛ770101216600402.jpeg","Скачать индивидуальный QR-код магазина")</f>
        <v>Скачать индивидуальный QR-код магазина</v>
      </c>
    </row>
    <row r="16983" spans="1:7" x14ac:dyDescent="0.25">
      <c r="A16983" t="s">
        <v>50404</v>
      </c>
      <c r="B16983" t="s">
        <v>52132</v>
      </c>
      <c r="C16983" t="s">
        <v>713</v>
      </c>
      <c r="D16983" t="s">
        <v>714</v>
      </c>
      <c r="E16983" t="s">
        <v>715</v>
      </c>
      <c r="F16983" t="s">
        <v>52133</v>
      </c>
      <c r="G16983" s="2" t="str">
        <f>HYPERLINK("https://probpalata.gov.ru/files/ЮЛ770101216600411.jpeg","Скачать индивидуальный QR-код магазина")</f>
        <v>Скачать индивидуальный QR-код магазина</v>
      </c>
    </row>
    <row r="16984" spans="1:7" x14ac:dyDescent="0.25">
      <c r="A16984" t="s">
        <v>50404</v>
      </c>
      <c r="B16984" t="s">
        <v>52134</v>
      </c>
      <c r="C16984" t="s">
        <v>713</v>
      </c>
      <c r="D16984" t="s">
        <v>714</v>
      </c>
      <c r="E16984" t="s">
        <v>715</v>
      </c>
      <c r="F16984" t="s">
        <v>52135</v>
      </c>
      <c r="G16984" s="2" t="str">
        <f>HYPERLINK("https://probpalata.gov.ru/files/ЮЛ770101216600489.jpeg","Скачать индивидуальный QR-код магазина")</f>
        <v>Скачать индивидуальный QR-код магазина</v>
      </c>
    </row>
    <row r="16985" spans="1:7" x14ac:dyDescent="0.25">
      <c r="A16985" t="s">
        <v>50404</v>
      </c>
      <c r="B16985" t="s">
        <v>52136</v>
      </c>
      <c r="C16985" t="s">
        <v>713</v>
      </c>
      <c r="D16985" t="s">
        <v>714</v>
      </c>
      <c r="E16985" t="s">
        <v>715</v>
      </c>
      <c r="F16985" t="s">
        <v>52137</v>
      </c>
      <c r="G16985" s="2" t="str">
        <f>HYPERLINK("https://probpalata.gov.ru/files/ЮЛ770101216600506.jpeg","Скачать индивидуальный QR-код магазина")</f>
        <v>Скачать индивидуальный QR-код магазина</v>
      </c>
    </row>
    <row r="16986" spans="1:7" x14ac:dyDescent="0.25">
      <c r="A16986" t="s">
        <v>50404</v>
      </c>
      <c r="B16986" t="s">
        <v>52138</v>
      </c>
      <c r="C16986" t="s">
        <v>713</v>
      </c>
      <c r="D16986" t="s">
        <v>714</v>
      </c>
      <c r="E16986" t="s">
        <v>715</v>
      </c>
      <c r="F16986" t="s">
        <v>52139</v>
      </c>
      <c r="G16986" s="2" t="str">
        <f>HYPERLINK("https://probpalata.gov.ru/files/ЮЛ770101216600512.jpeg","Скачать индивидуальный QR-код магазина")</f>
        <v>Скачать индивидуальный QR-код магазина</v>
      </c>
    </row>
    <row r="16987" spans="1:7" x14ac:dyDescent="0.25">
      <c r="A16987" t="s">
        <v>50404</v>
      </c>
      <c r="B16987" t="s">
        <v>52140</v>
      </c>
      <c r="C16987" t="s">
        <v>713</v>
      </c>
      <c r="D16987" t="s">
        <v>714</v>
      </c>
      <c r="E16987" t="s">
        <v>715</v>
      </c>
      <c r="F16987" t="s">
        <v>52141</v>
      </c>
      <c r="G16987" s="2" t="str">
        <f>HYPERLINK("https://probpalata.gov.ru/files/ЮЛ770101216600570.jpeg","Скачать индивидуальный QR-код магазина")</f>
        <v>Скачать индивидуальный QR-код магазина</v>
      </c>
    </row>
    <row r="16988" spans="1:7" x14ac:dyDescent="0.25">
      <c r="A16988" t="s">
        <v>50404</v>
      </c>
      <c r="B16988" t="s">
        <v>52142</v>
      </c>
      <c r="C16988" t="s">
        <v>713</v>
      </c>
      <c r="D16988" t="s">
        <v>714</v>
      </c>
      <c r="E16988" t="s">
        <v>715</v>
      </c>
      <c r="F16988" t="s">
        <v>52143</v>
      </c>
      <c r="G16988" s="2" t="str">
        <f>HYPERLINK("https://probpalata.gov.ru/files/ЮЛ770101216600586.jpeg","Скачать индивидуальный QR-код магазина")</f>
        <v>Скачать индивидуальный QR-код магазина</v>
      </c>
    </row>
    <row r="16989" spans="1:7" x14ac:dyDescent="0.25">
      <c r="A16989" t="s">
        <v>50404</v>
      </c>
      <c r="B16989" t="s">
        <v>52144</v>
      </c>
      <c r="C16989" t="s">
        <v>713</v>
      </c>
      <c r="D16989" t="s">
        <v>714</v>
      </c>
      <c r="E16989" t="s">
        <v>715</v>
      </c>
      <c r="F16989" t="s">
        <v>52145</v>
      </c>
      <c r="G16989" s="2" t="str">
        <f>HYPERLINK("https://probpalata.gov.ru/files/ЮЛ770101216600607.jpeg","Скачать индивидуальный QR-код магазина")</f>
        <v>Скачать индивидуальный QR-код магазина</v>
      </c>
    </row>
    <row r="16990" spans="1:7" x14ac:dyDescent="0.25">
      <c r="A16990" t="s">
        <v>50404</v>
      </c>
      <c r="B16990" t="s">
        <v>52146</v>
      </c>
      <c r="C16990" t="s">
        <v>713</v>
      </c>
      <c r="D16990" t="s">
        <v>714</v>
      </c>
      <c r="E16990" t="s">
        <v>715</v>
      </c>
      <c r="F16990" t="s">
        <v>52147</v>
      </c>
      <c r="G16990" s="2" t="str">
        <f>HYPERLINK("https://probpalata.gov.ru/files/ЮЛ770101216600619.jpeg","Скачать индивидуальный QR-код магазина")</f>
        <v>Скачать индивидуальный QR-код магазина</v>
      </c>
    </row>
    <row r="16991" spans="1:7" x14ac:dyDescent="0.25">
      <c r="A16991" t="s">
        <v>50404</v>
      </c>
      <c r="B16991" t="s">
        <v>52148</v>
      </c>
      <c r="C16991" t="s">
        <v>713</v>
      </c>
      <c r="D16991" t="s">
        <v>714</v>
      </c>
      <c r="E16991" t="s">
        <v>715</v>
      </c>
      <c r="F16991" t="s">
        <v>52149</v>
      </c>
      <c r="G16991" s="2" t="str">
        <f>HYPERLINK("https://probpalata.gov.ru/files/ЮЛ770101216600737.jpeg","Скачать индивидуальный QR-код магазина")</f>
        <v>Скачать индивидуальный QR-код магазина</v>
      </c>
    </row>
    <row r="16992" spans="1:7" x14ac:dyDescent="0.25">
      <c r="A16992" t="s">
        <v>50404</v>
      </c>
      <c r="B16992" t="s">
        <v>52150</v>
      </c>
      <c r="C16992" t="s">
        <v>713</v>
      </c>
      <c r="D16992" t="s">
        <v>714</v>
      </c>
      <c r="E16992" t="s">
        <v>715</v>
      </c>
      <c r="F16992" t="s">
        <v>52151</v>
      </c>
      <c r="G16992" s="2" t="str">
        <f>HYPERLINK("https://probpalata.gov.ru/files/ЮЛ770101216600750.jpeg","Скачать индивидуальный QR-код магазина")</f>
        <v>Скачать индивидуальный QR-код магазина</v>
      </c>
    </row>
    <row r="16993" spans="1:7" x14ac:dyDescent="0.25">
      <c r="A16993" t="s">
        <v>50404</v>
      </c>
      <c r="B16993" t="s">
        <v>52152</v>
      </c>
      <c r="C16993" t="s">
        <v>713</v>
      </c>
      <c r="D16993" t="s">
        <v>714</v>
      </c>
      <c r="E16993" t="s">
        <v>715</v>
      </c>
      <c r="F16993" t="s">
        <v>52153</v>
      </c>
      <c r="G16993" s="2" t="str">
        <f>HYPERLINK("https://probpalata.gov.ru/files/ЮЛ770101216600765.jpeg","Скачать индивидуальный QR-код магазина")</f>
        <v>Скачать индивидуальный QR-код магазина</v>
      </c>
    </row>
    <row r="16994" spans="1:7" x14ac:dyDescent="0.25">
      <c r="A16994" t="s">
        <v>50404</v>
      </c>
      <c r="B16994" t="s">
        <v>52154</v>
      </c>
      <c r="C16994" t="s">
        <v>713</v>
      </c>
      <c r="D16994" t="s">
        <v>714</v>
      </c>
      <c r="E16994" t="s">
        <v>715</v>
      </c>
      <c r="F16994" t="s">
        <v>52155</v>
      </c>
      <c r="G16994" s="2" t="str">
        <f>HYPERLINK("https://probpalata.gov.ru/files/ЮЛ770101216600772.jpeg","Скачать индивидуальный QR-код магазина")</f>
        <v>Скачать индивидуальный QR-код магазина</v>
      </c>
    </row>
    <row r="16995" spans="1:7" x14ac:dyDescent="0.25">
      <c r="A16995" t="s">
        <v>50404</v>
      </c>
      <c r="B16995" t="s">
        <v>52156</v>
      </c>
      <c r="C16995" t="s">
        <v>713</v>
      </c>
      <c r="D16995" t="s">
        <v>714</v>
      </c>
      <c r="E16995" t="s">
        <v>715</v>
      </c>
      <c r="F16995" t="s">
        <v>52157</v>
      </c>
      <c r="G16995" s="2" t="str">
        <f>HYPERLINK("https://probpalata.gov.ru/files/ЮЛ770101216600790.jpeg","Скачать индивидуальный QR-код магазина")</f>
        <v>Скачать индивидуальный QR-код магазина</v>
      </c>
    </row>
    <row r="16996" spans="1:7" x14ac:dyDescent="0.25">
      <c r="A16996" t="s">
        <v>50404</v>
      </c>
      <c r="B16996" t="s">
        <v>52158</v>
      </c>
      <c r="C16996" t="s">
        <v>713</v>
      </c>
      <c r="D16996" t="s">
        <v>714</v>
      </c>
      <c r="E16996" t="s">
        <v>715</v>
      </c>
      <c r="F16996" t="s">
        <v>52159</v>
      </c>
      <c r="G16996" s="2" t="str">
        <f>HYPERLINK("https://probpalata.gov.ru/files/ЮЛ770101216600808.jpeg","Скачать индивидуальный QR-код магазина")</f>
        <v>Скачать индивидуальный QR-код магазина</v>
      </c>
    </row>
    <row r="16997" spans="1:7" x14ac:dyDescent="0.25">
      <c r="A16997" t="s">
        <v>50404</v>
      </c>
      <c r="B16997" t="s">
        <v>52160</v>
      </c>
      <c r="C16997" t="s">
        <v>713</v>
      </c>
      <c r="D16997" t="s">
        <v>714</v>
      </c>
      <c r="E16997" t="s">
        <v>715</v>
      </c>
      <c r="F16997" t="s">
        <v>52161</v>
      </c>
      <c r="G16997" s="2" t="str">
        <f>HYPERLINK("https://probpalata.gov.ru/files/ЮЛ770101216600809.jpeg","Скачать индивидуальный QR-код магазина")</f>
        <v>Скачать индивидуальный QR-код магазина</v>
      </c>
    </row>
    <row r="16998" spans="1:7" x14ac:dyDescent="0.25">
      <c r="A16998" t="s">
        <v>50404</v>
      </c>
      <c r="B16998" t="s">
        <v>52162</v>
      </c>
      <c r="C16998" t="s">
        <v>713</v>
      </c>
      <c r="D16998" t="s">
        <v>714</v>
      </c>
      <c r="E16998" t="s">
        <v>715</v>
      </c>
      <c r="F16998" t="s">
        <v>52163</v>
      </c>
      <c r="G16998" s="2" t="str">
        <f>HYPERLINK("https://probpalata.gov.ru/files/ЮЛ770101216600810.jpeg","Скачать индивидуальный QR-код магазина")</f>
        <v>Скачать индивидуальный QR-код магазина</v>
      </c>
    </row>
    <row r="16999" spans="1:7" x14ac:dyDescent="0.25">
      <c r="A16999" t="s">
        <v>50404</v>
      </c>
      <c r="B16999" t="s">
        <v>52164</v>
      </c>
      <c r="C16999" t="s">
        <v>713</v>
      </c>
      <c r="D16999" t="s">
        <v>714</v>
      </c>
      <c r="E16999" t="s">
        <v>715</v>
      </c>
      <c r="F16999" t="s">
        <v>52165</v>
      </c>
      <c r="G16999" s="2" t="str">
        <f>HYPERLINK("https://probpalata.gov.ru/files/ЮЛ770101216600897.jpeg","Скачать индивидуальный QR-код магазина")</f>
        <v>Скачать индивидуальный QR-код магазина</v>
      </c>
    </row>
    <row r="17000" spans="1:7" x14ac:dyDescent="0.25">
      <c r="A17000" t="s">
        <v>50404</v>
      </c>
      <c r="B17000" t="s">
        <v>52166</v>
      </c>
      <c r="C17000" t="s">
        <v>713</v>
      </c>
      <c r="D17000" t="s">
        <v>714</v>
      </c>
      <c r="E17000" t="s">
        <v>715</v>
      </c>
      <c r="F17000" t="s">
        <v>52167</v>
      </c>
      <c r="G17000" s="2" t="str">
        <f>HYPERLINK("https://probpalata.gov.ru/files/ЮЛ770101216600899.jpeg","Скачать индивидуальный QR-код магазина")</f>
        <v>Скачать индивидуальный QR-код магазина</v>
      </c>
    </row>
    <row r="17001" spans="1:7" x14ac:dyDescent="0.25">
      <c r="A17001" t="s">
        <v>50404</v>
      </c>
      <c r="B17001" t="s">
        <v>52168</v>
      </c>
      <c r="C17001" t="s">
        <v>713</v>
      </c>
      <c r="D17001" t="s">
        <v>714</v>
      </c>
      <c r="E17001" t="s">
        <v>715</v>
      </c>
      <c r="F17001" t="s">
        <v>52169</v>
      </c>
      <c r="G17001" s="2" t="str">
        <f>HYPERLINK("https://probpalata.gov.ru/files/ЮЛ770101216600917.jpeg","Скачать индивидуальный QR-код магазина")</f>
        <v>Скачать индивидуальный QR-код магазина</v>
      </c>
    </row>
    <row r="17002" spans="1:7" x14ac:dyDescent="0.25">
      <c r="A17002" t="s">
        <v>50404</v>
      </c>
      <c r="B17002" t="s">
        <v>52170</v>
      </c>
      <c r="C17002" t="s">
        <v>713</v>
      </c>
      <c r="D17002" t="s">
        <v>714</v>
      </c>
      <c r="E17002" t="s">
        <v>715</v>
      </c>
      <c r="F17002" t="s">
        <v>52171</v>
      </c>
      <c r="G17002" s="2" t="str">
        <f>HYPERLINK("https://probpalata.gov.ru/files/ЮЛ770101216600937.jpeg","Скачать индивидуальный QR-код магазина")</f>
        <v>Скачать индивидуальный QR-код магазина</v>
      </c>
    </row>
    <row r="17003" spans="1:7" x14ac:dyDescent="0.25">
      <c r="A17003" t="s">
        <v>50404</v>
      </c>
      <c r="B17003" t="s">
        <v>52172</v>
      </c>
      <c r="C17003" t="s">
        <v>713</v>
      </c>
      <c r="D17003" t="s">
        <v>714</v>
      </c>
      <c r="E17003" t="s">
        <v>715</v>
      </c>
      <c r="F17003" t="s">
        <v>52173</v>
      </c>
      <c r="G17003" s="2" t="str">
        <f>HYPERLINK("https://probpalata.gov.ru/files/ЮЛ770101216600956.jpeg","Скачать индивидуальный QR-код магазина")</f>
        <v>Скачать индивидуальный QR-код магазина</v>
      </c>
    </row>
    <row r="17004" spans="1:7" x14ac:dyDescent="0.25">
      <c r="A17004" t="s">
        <v>50404</v>
      </c>
      <c r="B17004" t="s">
        <v>52174</v>
      </c>
      <c r="C17004" t="s">
        <v>713</v>
      </c>
      <c r="D17004" t="s">
        <v>714</v>
      </c>
      <c r="E17004" t="s">
        <v>715</v>
      </c>
      <c r="F17004" t="s">
        <v>52175</v>
      </c>
      <c r="G17004" s="2" t="str">
        <f>HYPERLINK("https://probpalata.gov.ru/files/ЮЛ770101216600974.jpeg","Скачать индивидуальный QR-код магазина")</f>
        <v>Скачать индивидуальный QR-код магазина</v>
      </c>
    </row>
    <row r="17005" spans="1:7" x14ac:dyDescent="0.25">
      <c r="A17005" t="s">
        <v>50404</v>
      </c>
      <c r="B17005" t="s">
        <v>52176</v>
      </c>
      <c r="C17005" t="s">
        <v>713</v>
      </c>
      <c r="D17005" t="s">
        <v>714</v>
      </c>
      <c r="E17005" t="s">
        <v>715</v>
      </c>
      <c r="F17005" t="s">
        <v>52177</v>
      </c>
      <c r="G17005" s="2" t="str">
        <f>HYPERLINK("https://probpalata.gov.ru/files/ЮЛ770101216600991.jpeg","Скачать индивидуальный QR-код магазина")</f>
        <v>Скачать индивидуальный QR-код магазина</v>
      </c>
    </row>
    <row r="17006" spans="1:7" x14ac:dyDescent="0.25">
      <c r="A17006" t="s">
        <v>50404</v>
      </c>
      <c r="B17006" t="s">
        <v>52178</v>
      </c>
      <c r="C17006" t="s">
        <v>713</v>
      </c>
      <c r="D17006" t="s">
        <v>714</v>
      </c>
      <c r="E17006" t="s">
        <v>715</v>
      </c>
      <c r="F17006" t="s">
        <v>52179</v>
      </c>
      <c r="G17006" s="2" t="str">
        <f>HYPERLINK("https://probpalata.gov.ru/files/ЮЛ770101216601008.jpeg","Скачать индивидуальный QR-код магазина")</f>
        <v>Скачать индивидуальный QR-код магазина</v>
      </c>
    </row>
    <row r="17007" spans="1:7" x14ac:dyDescent="0.25">
      <c r="A17007" t="s">
        <v>50404</v>
      </c>
      <c r="B17007" t="s">
        <v>52180</v>
      </c>
      <c r="C17007" t="s">
        <v>713</v>
      </c>
      <c r="D17007" t="s">
        <v>714</v>
      </c>
      <c r="E17007" t="s">
        <v>715</v>
      </c>
      <c r="F17007" t="s">
        <v>52181</v>
      </c>
      <c r="G17007" s="2" t="str">
        <f>HYPERLINK("https://probpalata.gov.ru/files/ЮЛ770101216601009.jpeg","Скачать индивидуальный QR-код магазина")</f>
        <v>Скачать индивидуальный QR-код магазина</v>
      </c>
    </row>
    <row r="17008" spans="1:7" x14ac:dyDescent="0.25">
      <c r="A17008" t="s">
        <v>50404</v>
      </c>
      <c r="B17008" t="s">
        <v>52182</v>
      </c>
      <c r="C17008" t="s">
        <v>52183</v>
      </c>
      <c r="D17008" t="s">
        <v>52184</v>
      </c>
      <c r="E17008" t="s">
        <v>52185</v>
      </c>
      <c r="F17008" t="s">
        <v>52186</v>
      </c>
      <c r="G17008" s="2" t="str">
        <f>HYPERLINK("https://probpalata.gov.ru/files/ИП660703140200000.jpeg","Скачать индивидуальный QR-код магазина")</f>
        <v>Скачать индивидуальный QR-код магазина</v>
      </c>
    </row>
    <row r="17009" spans="1:7" x14ac:dyDescent="0.25">
      <c r="A17009" t="s">
        <v>50404</v>
      </c>
      <c r="B17009" t="s">
        <v>52187</v>
      </c>
      <c r="C17009" t="s">
        <v>1416</v>
      </c>
      <c r="D17009" t="s">
        <v>1417</v>
      </c>
      <c r="E17009" t="s">
        <v>1418</v>
      </c>
      <c r="F17009" t="s">
        <v>52188</v>
      </c>
      <c r="G17009" s="2" t="str">
        <f>HYPERLINK("https://probpalata.gov.ru/files/ЮЛ770100419400057.jpeg","Скачать индивидуальный QR-код магазина")</f>
        <v>Скачать индивидуальный QR-код магазина</v>
      </c>
    </row>
    <row r="17010" spans="1:7" x14ac:dyDescent="0.25">
      <c r="A17010" t="s">
        <v>50404</v>
      </c>
      <c r="B17010" t="s">
        <v>52189</v>
      </c>
      <c r="C17010" t="s">
        <v>1416</v>
      </c>
      <c r="D17010" t="s">
        <v>1417</v>
      </c>
      <c r="E17010" t="s">
        <v>1418</v>
      </c>
      <c r="F17010" t="s">
        <v>52190</v>
      </c>
      <c r="G17010" s="2" t="str">
        <f>HYPERLINK("https://probpalata.gov.ru/files/ЮЛ770100419400061.jpeg","Скачать индивидуальный QR-код магазина")</f>
        <v>Скачать индивидуальный QR-код магазина</v>
      </c>
    </row>
    <row r="17011" spans="1:7" x14ac:dyDescent="0.25">
      <c r="A17011" t="s">
        <v>50404</v>
      </c>
      <c r="B17011" t="s">
        <v>52191</v>
      </c>
      <c r="C17011" t="s">
        <v>1416</v>
      </c>
      <c r="D17011" t="s">
        <v>1417</v>
      </c>
      <c r="E17011" t="s">
        <v>1418</v>
      </c>
      <c r="F17011" t="s">
        <v>52192</v>
      </c>
      <c r="G17011" s="2" t="str">
        <f>HYPERLINK("https://probpalata.gov.ru/files/ЮЛ770100419400169.jpeg","Скачать индивидуальный QR-код магазина")</f>
        <v>Скачать индивидуальный QR-код магазина</v>
      </c>
    </row>
    <row r="17012" spans="1:7" x14ac:dyDescent="0.25">
      <c r="A17012" t="s">
        <v>50404</v>
      </c>
      <c r="B17012" t="s">
        <v>52193</v>
      </c>
      <c r="C17012" t="s">
        <v>1416</v>
      </c>
      <c r="D17012" t="s">
        <v>1417</v>
      </c>
      <c r="E17012" t="s">
        <v>1418</v>
      </c>
      <c r="F17012" t="s">
        <v>52194</v>
      </c>
      <c r="G17012" s="2" t="str">
        <f>HYPERLINK("https://probpalata.gov.ru/files/ЮЛ770100419400173.jpeg","Скачать индивидуальный QR-код магазина")</f>
        <v>Скачать индивидуальный QR-код магазина</v>
      </c>
    </row>
    <row r="17013" spans="1:7" x14ac:dyDescent="0.25">
      <c r="A17013" t="s">
        <v>50404</v>
      </c>
      <c r="B17013" t="s">
        <v>52195</v>
      </c>
      <c r="C17013" t="s">
        <v>1416</v>
      </c>
      <c r="D17013" t="s">
        <v>1417</v>
      </c>
      <c r="E17013" t="s">
        <v>1418</v>
      </c>
      <c r="F17013" t="s">
        <v>52196</v>
      </c>
      <c r="G17013" s="2" t="str">
        <f>HYPERLINK("https://probpalata.gov.ru/files/ЮЛ770100419400221.jpeg","Скачать индивидуальный QR-код магазина")</f>
        <v>Скачать индивидуальный QR-код магазина</v>
      </c>
    </row>
    <row r="17014" spans="1:7" x14ac:dyDescent="0.25">
      <c r="A17014" t="s">
        <v>50404</v>
      </c>
      <c r="B17014" t="s">
        <v>52197</v>
      </c>
      <c r="C17014" t="s">
        <v>748</v>
      </c>
      <c r="D17014" t="s">
        <v>749</v>
      </c>
      <c r="E17014" t="s">
        <v>750</v>
      </c>
      <c r="F17014" t="s">
        <v>52198</v>
      </c>
      <c r="G17014" s="2" t="str">
        <f>HYPERLINK("https://probpalata.gov.ru/files/ЮЛ770100193500149.jpeg","Скачать индивидуальный QR-код магазина")</f>
        <v>Скачать индивидуальный QR-код магазина</v>
      </c>
    </row>
    <row r="17015" spans="1:7" x14ac:dyDescent="0.25">
      <c r="A17015" t="s">
        <v>50404</v>
      </c>
      <c r="B17015" t="s">
        <v>52199</v>
      </c>
      <c r="C17015" t="s">
        <v>748</v>
      </c>
      <c r="D17015" t="s">
        <v>749</v>
      </c>
      <c r="E17015" t="s">
        <v>750</v>
      </c>
      <c r="F17015" t="s">
        <v>52200</v>
      </c>
      <c r="G17015" s="2" t="str">
        <f>HYPERLINK("https://probpalata.gov.ru/files/ЮЛ770100193500251.jpeg","Скачать индивидуальный QR-код магазина")</f>
        <v>Скачать индивидуальный QR-код магазина</v>
      </c>
    </row>
    <row r="17016" spans="1:7" x14ac:dyDescent="0.25">
      <c r="A17016" t="s">
        <v>50404</v>
      </c>
      <c r="B17016" t="s">
        <v>52201</v>
      </c>
      <c r="C17016" t="s">
        <v>748</v>
      </c>
      <c r="D17016" t="s">
        <v>749</v>
      </c>
      <c r="E17016" t="s">
        <v>750</v>
      </c>
      <c r="F17016" t="s">
        <v>52202</v>
      </c>
      <c r="G17016" s="2" t="str">
        <f>HYPERLINK("https://probpalata.gov.ru/files/ЮЛ770100193500253.jpeg","Скачать индивидуальный QR-код магазина")</f>
        <v>Скачать индивидуальный QR-код магазина</v>
      </c>
    </row>
    <row r="17017" spans="1:7" x14ac:dyDescent="0.25">
      <c r="A17017" t="s">
        <v>50404</v>
      </c>
      <c r="B17017" t="s">
        <v>52203</v>
      </c>
      <c r="C17017" t="s">
        <v>748</v>
      </c>
      <c r="D17017" t="s">
        <v>749</v>
      </c>
      <c r="E17017" t="s">
        <v>750</v>
      </c>
      <c r="F17017" t="s">
        <v>52204</v>
      </c>
      <c r="G17017" s="2" t="str">
        <f>HYPERLINK("https://probpalata.gov.ru/files/ЮЛ770100193500254.jpeg","Скачать индивидуальный QR-код магазина")</f>
        <v>Скачать индивидуальный QR-код магазина</v>
      </c>
    </row>
    <row r="17018" spans="1:7" x14ac:dyDescent="0.25">
      <c r="A17018" t="s">
        <v>50404</v>
      </c>
      <c r="B17018" t="s">
        <v>52205</v>
      </c>
      <c r="C17018" t="s">
        <v>748</v>
      </c>
      <c r="D17018" t="s">
        <v>749</v>
      </c>
      <c r="E17018" t="s">
        <v>750</v>
      </c>
      <c r="F17018" t="s">
        <v>52206</v>
      </c>
      <c r="G17018" s="2" t="str">
        <f>HYPERLINK("https://probpalata.gov.ru/files/ЮЛ770100193500255.jpeg","Скачать индивидуальный QR-код магазина")</f>
        <v>Скачать индивидуальный QR-код магазина</v>
      </c>
    </row>
    <row r="17019" spans="1:7" x14ac:dyDescent="0.25">
      <c r="A17019" t="s">
        <v>50404</v>
      </c>
      <c r="B17019" t="s">
        <v>52207</v>
      </c>
      <c r="C17019" t="s">
        <v>748</v>
      </c>
      <c r="D17019" t="s">
        <v>749</v>
      </c>
      <c r="E17019" t="s">
        <v>750</v>
      </c>
      <c r="F17019" t="s">
        <v>52208</v>
      </c>
      <c r="G17019" s="2" t="str">
        <f>HYPERLINK("https://probpalata.gov.ru/files/ЮЛ770100193500257.jpeg","Скачать индивидуальный QR-код магазина")</f>
        <v>Скачать индивидуальный QR-код магазина</v>
      </c>
    </row>
    <row r="17020" spans="1:7" x14ac:dyDescent="0.25">
      <c r="A17020" t="s">
        <v>50404</v>
      </c>
      <c r="B17020" t="s">
        <v>52209</v>
      </c>
      <c r="C17020" t="s">
        <v>748</v>
      </c>
      <c r="D17020" t="s">
        <v>749</v>
      </c>
      <c r="E17020" t="s">
        <v>750</v>
      </c>
      <c r="F17020" t="s">
        <v>52210</v>
      </c>
      <c r="G17020" s="2" t="str">
        <f>HYPERLINK("https://probpalata.gov.ru/files/ЮЛ770100193500258.jpeg","Скачать индивидуальный QR-код магазина")</f>
        <v>Скачать индивидуальный QR-код магазина</v>
      </c>
    </row>
    <row r="17021" spans="1:7" x14ac:dyDescent="0.25">
      <c r="A17021" t="s">
        <v>50404</v>
      </c>
      <c r="B17021" t="s">
        <v>52211</v>
      </c>
      <c r="C17021" t="s">
        <v>748</v>
      </c>
      <c r="D17021" t="s">
        <v>749</v>
      </c>
      <c r="E17021" t="s">
        <v>750</v>
      </c>
      <c r="F17021" t="s">
        <v>52212</v>
      </c>
      <c r="G17021" s="2" t="str">
        <f>HYPERLINK("https://probpalata.gov.ru/files/ЮЛ770100193500463.jpeg","Скачать индивидуальный QR-код магазина")</f>
        <v>Скачать индивидуальный QR-код магазина</v>
      </c>
    </row>
    <row r="17022" spans="1:7" x14ac:dyDescent="0.25">
      <c r="A17022" t="s">
        <v>50404</v>
      </c>
      <c r="B17022" t="s">
        <v>52213</v>
      </c>
      <c r="C17022" t="s">
        <v>748</v>
      </c>
      <c r="D17022" t="s">
        <v>749</v>
      </c>
      <c r="E17022" t="s">
        <v>750</v>
      </c>
      <c r="F17022" t="s">
        <v>52214</v>
      </c>
      <c r="G17022" s="2" t="str">
        <f>HYPERLINK("https://probpalata.gov.ru/files/ЮЛ770100193500489.jpeg","Скачать индивидуальный QR-код магазина")</f>
        <v>Скачать индивидуальный QR-код магазина</v>
      </c>
    </row>
    <row r="17023" spans="1:7" x14ac:dyDescent="0.25">
      <c r="A17023" t="s">
        <v>50404</v>
      </c>
      <c r="B17023" t="s">
        <v>52215</v>
      </c>
      <c r="C17023" t="s">
        <v>748</v>
      </c>
      <c r="D17023" t="s">
        <v>749</v>
      </c>
      <c r="E17023" t="s">
        <v>750</v>
      </c>
      <c r="F17023" t="s">
        <v>52216</v>
      </c>
      <c r="G17023" s="2" t="str">
        <f>HYPERLINK("https://probpalata.gov.ru/files/ЮЛ770100193500515.jpeg","Скачать индивидуальный QR-код магазина")</f>
        <v>Скачать индивидуальный QR-код магазина</v>
      </c>
    </row>
    <row r="17024" spans="1:7" x14ac:dyDescent="0.25">
      <c r="A17024" t="s">
        <v>50404</v>
      </c>
      <c r="B17024" t="s">
        <v>52217</v>
      </c>
      <c r="C17024" t="s">
        <v>748</v>
      </c>
      <c r="D17024" t="s">
        <v>749</v>
      </c>
      <c r="E17024" t="s">
        <v>750</v>
      </c>
      <c r="F17024" t="s">
        <v>52218</v>
      </c>
      <c r="G17024" s="2" t="str">
        <f>HYPERLINK("https://probpalata.gov.ru/files/ЮЛ770100193500523.jpeg","Скачать индивидуальный QR-код магазина")</f>
        <v>Скачать индивидуальный QR-код магазина</v>
      </c>
    </row>
    <row r="17025" spans="1:7" x14ac:dyDescent="0.25">
      <c r="A17025" t="s">
        <v>50404</v>
      </c>
      <c r="B17025" t="s">
        <v>52219</v>
      </c>
      <c r="C17025" t="s">
        <v>748</v>
      </c>
      <c r="D17025" t="s">
        <v>749</v>
      </c>
      <c r="E17025" t="s">
        <v>750</v>
      </c>
      <c r="F17025" t="s">
        <v>52220</v>
      </c>
      <c r="G17025" s="2" t="str">
        <f>HYPERLINK("https://probpalata.gov.ru/files/ЮЛ770100193500637.jpeg","Скачать индивидуальный QR-код магазина")</f>
        <v>Скачать индивидуальный QR-код магазина</v>
      </c>
    </row>
    <row r="17026" spans="1:7" x14ac:dyDescent="0.25">
      <c r="A17026" t="s">
        <v>50404</v>
      </c>
      <c r="B17026" t="s">
        <v>52221</v>
      </c>
      <c r="C17026" t="s">
        <v>748</v>
      </c>
      <c r="D17026" t="s">
        <v>749</v>
      </c>
      <c r="E17026" t="s">
        <v>750</v>
      </c>
      <c r="F17026" t="s">
        <v>52222</v>
      </c>
      <c r="G17026" s="2" t="str">
        <f>HYPERLINK("https://probpalata.gov.ru/files/ЮЛ770100193500653.jpeg","Скачать индивидуальный QR-код магазина")</f>
        <v>Скачать индивидуальный QR-код магазина</v>
      </c>
    </row>
    <row r="17027" spans="1:7" x14ac:dyDescent="0.25">
      <c r="A17027" t="s">
        <v>50404</v>
      </c>
      <c r="B17027" t="s">
        <v>52223</v>
      </c>
      <c r="C17027" t="s">
        <v>748</v>
      </c>
      <c r="D17027" t="s">
        <v>749</v>
      </c>
      <c r="E17027" t="s">
        <v>750</v>
      </c>
      <c r="F17027" t="s">
        <v>52224</v>
      </c>
      <c r="G17027" s="2" t="str">
        <f>HYPERLINK("https://probpalata.gov.ru/files/ЮЛ770100193500671.jpeg","Скачать индивидуальный QR-код магазина")</f>
        <v>Скачать индивидуальный QR-код магазина</v>
      </c>
    </row>
    <row r="17028" spans="1:7" x14ac:dyDescent="0.25">
      <c r="A17028" t="s">
        <v>50404</v>
      </c>
      <c r="B17028" t="s">
        <v>52225</v>
      </c>
      <c r="C17028" t="s">
        <v>748</v>
      </c>
      <c r="D17028" t="s">
        <v>749</v>
      </c>
      <c r="E17028" t="s">
        <v>750</v>
      </c>
      <c r="F17028" t="s">
        <v>52226</v>
      </c>
      <c r="G17028" s="2" t="str">
        <f>HYPERLINK("https://probpalata.gov.ru/files/ЮЛ770100193500681.jpeg","Скачать индивидуальный QR-код магазина")</f>
        <v>Скачать индивидуальный QR-код магазина</v>
      </c>
    </row>
    <row r="17029" spans="1:7" x14ac:dyDescent="0.25">
      <c r="A17029" t="s">
        <v>50404</v>
      </c>
      <c r="B17029" t="s">
        <v>52227</v>
      </c>
      <c r="C17029" t="s">
        <v>748</v>
      </c>
      <c r="D17029" t="s">
        <v>749</v>
      </c>
      <c r="E17029" t="s">
        <v>750</v>
      </c>
      <c r="F17029" t="s">
        <v>52228</v>
      </c>
      <c r="G17029" s="2" t="str">
        <f>HYPERLINK("https://probpalata.gov.ru/files/ЮЛ770100193500713.jpeg","Скачать индивидуальный QR-код магазина")</f>
        <v>Скачать индивидуальный QR-код магазина</v>
      </c>
    </row>
    <row r="17030" spans="1:7" x14ac:dyDescent="0.25">
      <c r="A17030" t="s">
        <v>50404</v>
      </c>
      <c r="B17030" t="s">
        <v>52229</v>
      </c>
      <c r="C17030" t="s">
        <v>748</v>
      </c>
      <c r="D17030" t="s">
        <v>749</v>
      </c>
      <c r="E17030" t="s">
        <v>750</v>
      </c>
      <c r="F17030" t="s">
        <v>52230</v>
      </c>
      <c r="G17030" s="2" t="str">
        <f>HYPERLINK("https://probpalata.gov.ru/files/ЮЛ770100193500749.jpeg","Скачать индивидуальный QR-код магазина")</f>
        <v>Скачать индивидуальный QR-код магазина</v>
      </c>
    </row>
    <row r="17031" spans="1:7" x14ac:dyDescent="0.25">
      <c r="A17031" t="s">
        <v>50404</v>
      </c>
      <c r="B17031" t="s">
        <v>52231</v>
      </c>
      <c r="C17031" t="s">
        <v>748</v>
      </c>
      <c r="D17031" t="s">
        <v>749</v>
      </c>
      <c r="E17031" t="s">
        <v>750</v>
      </c>
      <c r="F17031" t="s">
        <v>52232</v>
      </c>
      <c r="G17031" s="2" t="str">
        <f>HYPERLINK("https://probpalata.gov.ru/files/ЮЛ770100193500830.jpeg","Скачать индивидуальный QR-код магазина")</f>
        <v>Скачать индивидуальный QR-код магазина</v>
      </c>
    </row>
    <row r="17032" spans="1:7" x14ac:dyDescent="0.25">
      <c r="A17032" t="s">
        <v>50404</v>
      </c>
      <c r="B17032" t="s">
        <v>52233</v>
      </c>
      <c r="C17032" t="s">
        <v>748</v>
      </c>
      <c r="D17032" t="s">
        <v>749</v>
      </c>
      <c r="E17032" t="s">
        <v>750</v>
      </c>
      <c r="F17032" t="s">
        <v>52234</v>
      </c>
      <c r="G17032" s="2" t="str">
        <f>HYPERLINK("https://probpalata.gov.ru/files/ЮЛ770100193500842.jpeg","Скачать индивидуальный QR-код магазина")</f>
        <v>Скачать индивидуальный QR-код магазина</v>
      </c>
    </row>
    <row r="17033" spans="1:7" x14ac:dyDescent="0.25">
      <c r="A17033" t="s">
        <v>50404</v>
      </c>
      <c r="B17033" t="s">
        <v>52235</v>
      </c>
      <c r="C17033" t="s">
        <v>748</v>
      </c>
      <c r="D17033" t="s">
        <v>749</v>
      </c>
      <c r="E17033" t="s">
        <v>750</v>
      </c>
      <c r="F17033" t="s">
        <v>52236</v>
      </c>
      <c r="G17033" s="2" t="str">
        <f>HYPERLINK("https://probpalata.gov.ru/files/ЮЛ770100193500844.jpeg","Скачать индивидуальный QR-код магазина")</f>
        <v>Скачать индивидуальный QR-код магазина</v>
      </c>
    </row>
    <row r="17034" spans="1:7" x14ac:dyDescent="0.25">
      <c r="A17034" t="s">
        <v>50404</v>
      </c>
      <c r="B17034" t="s">
        <v>52237</v>
      </c>
      <c r="C17034" t="s">
        <v>748</v>
      </c>
      <c r="D17034" t="s">
        <v>749</v>
      </c>
      <c r="E17034" t="s">
        <v>750</v>
      </c>
      <c r="F17034" t="s">
        <v>52238</v>
      </c>
      <c r="G17034" s="2" t="str">
        <f>HYPERLINK("https://probpalata.gov.ru/files/ЮЛ770100193500868.jpeg","Скачать индивидуальный QR-код магазина")</f>
        <v>Скачать индивидуальный QR-код магазина</v>
      </c>
    </row>
    <row r="17035" spans="1:7" x14ac:dyDescent="0.25">
      <c r="A17035" t="s">
        <v>50404</v>
      </c>
      <c r="B17035" t="s">
        <v>52090</v>
      </c>
      <c r="C17035" t="s">
        <v>748</v>
      </c>
      <c r="D17035" t="s">
        <v>749</v>
      </c>
      <c r="E17035" t="s">
        <v>750</v>
      </c>
      <c r="F17035" t="s">
        <v>52239</v>
      </c>
      <c r="G17035" s="2" t="str">
        <f>HYPERLINK("https://probpalata.gov.ru/files/ЮЛ770100193500892.jpeg","Скачать индивидуальный QR-код магазина")</f>
        <v>Скачать индивидуальный QR-код магазина</v>
      </c>
    </row>
    <row r="17036" spans="1:7" x14ac:dyDescent="0.25">
      <c r="A17036" t="s">
        <v>50404</v>
      </c>
      <c r="B17036" t="s">
        <v>52240</v>
      </c>
      <c r="C17036" t="s">
        <v>748</v>
      </c>
      <c r="D17036" t="s">
        <v>749</v>
      </c>
      <c r="E17036" t="s">
        <v>750</v>
      </c>
      <c r="F17036" t="s">
        <v>52241</v>
      </c>
      <c r="G17036" s="2" t="str">
        <f>HYPERLINK("https://probpalata.gov.ru/files/ЮЛ770100193500920.jpeg","Скачать индивидуальный QR-код магазина")</f>
        <v>Скачать индивидуальный QR-код магазина</v>
      </c>
    </row>
    <row r="17037" spans="1:7" x14ac:dyDescent="0.25">
      <c r="A17037" t="s">
        <v>50404</v>
      </c>
      <c r="B17037" t="s">
        <v>52242</v>
      </c>
      <c r="C17037" t="s">
        <v>748</v>
      </c>
      <c r="D17037" t="s">
        <v>749</v>
      </c>
      <c r="E17037" t="s">
        <v>750</v>
      </c>
      <c r="F17037" t="s">
        <v>52243</v>
      </c>
      <c r="G17037" s="2" t="str">
        <f>HYPERLINK("https://probpalata.gov.ru/files/ЮЛ770100193500976.jpeg","Скачать индивидуальный QR-код магазина")</f>
        <v>Скачать индивидуальный QR-код магазина</v>
      </c>
    </row>
    <row r="17038" spans="1:7" x14ac:dyDescent="0.25">
      <c r="A17038" t="s">
        <v>50404</v>
      </c>
      <c r="B17038" t="s">
        <v>52244</v>
      </c>
      <c r="C17038" t="s">
        <v>748</v>
      </c>
      <c r="D17038" t="s">
        <v>749</v>
      </c>
      <c r="E17038" t="s">
        <v>750</v>
      </c>
      <c r="F17038" t="s">
        <v>52245</v>
      </c>
      <c r="G17038" s="2" t="str">
        <f>HYPERLINK("https://probpalata.gov.ru/files/ЮЛ770100193501042.jpeg","Скачать индивидуальный QR-код магазина")</f>
        <v>Скачать индивидуальный QR-код магазина</v>
      </c>
    </row>
    <row r="17039" spans="1:7" x14ac:dyDescent="0.25">
      <c r="A17039" t="s">
        <v>50404</v>
      </c>
      <c r="B17039" t="s">
        <v>52246</v>
      </c>
      <c r="C17039" t="s">
        <v>748</v>
      </c>
      <c r="D17039" t="s">
        <v>749</v>
      </c>
      <c r="E17039" t="s">
        <v>750</v>
      </c>
      <c r="F17039" t="s">
        <v>52247</v>
      </c>
      <c r="G17039" s="2" t="str">
        <f>HYPERLINK("https://probpalata.gov.ru/files/ЮЛ770100193501055.jpeg","Скачать индивидуальный QR-код магазина")</f>
        <v>Скачать индивидуальный QR-код магазина</v>
      </c>
    </row>
    <row r="17040" spans="1:7" x14ac:dyDescent="0.25">
      <c r="A17040" t="s">
        <v>50404</v>
      </c>
      <c r="B17040" t="s">
        <v>52248</v>
      </c>
      <c r="C17040" t="s">
        <v>748</v>
      </c>
      <c r="D17040" t="s">
        <v>749</v>
      </c>
      <c r="E17040" t="s">
        <v>750</v>
      </c>
      <c r="F17040" t="s">
        <v>52249</v>
      </c>
      <c r="G17040" s="2" t="str">
        <f>HYPERLINK("https://probpalata.gov.ru/files/ЮЛ770100193501067.jpeg","Скачать индивидуальный QR-код магазина")</f>
        <v>Скачать индивидуальный QR-код магазина</v>
      </c>
    </row>
    <row r="17041" spans="1:7" x14ac:dyDescent="0.25">
      <c r="A17041" t="s">
        <v>50404</v>
      </c>
      <c r="B17041" t="s">
        <v>52092</v>
      </c>
      <c r="C17041" t="s">
        <v>748</v>
      </c>
      <c r="D17041" t="s">
        <v>749</v>
      </c>
      <c r="E17041" t="s">
        <v>750</v>
      </c>
      <c r="F17041" t="s">
        <v>52250</v>
      </c>
      <c r="G17041" s="2" t="str">
        <f>HYPERLINK("https://probpalata.gov.ru/files/ЮЛ770100193501100.jpeg","Скачать индивидуальный QR-код магазина")</f>
        <v>Скачать индивидуальный QR-код магазина</v>
      </c>
    </row>
    <row r="17042" spans="1:7" x14ac:dyDescent="0.25">
      <c r="A17042" t="s">
        <v>50404</v>
      </c>
      <c r="B17042" t="s">
        <v>52251</v>
      </c>
      <c r="C17042" t="s">
        <v>748</v>
      </c>
      <c r="D17042" t="s">
        <v>749</v>
      </c>
      <c r="E17042" t="s">
        <v>750</v>
      </c>
      <c r="F17042" t="s">
        <v>52252</v>
      </c>
      <c r="G17042" s="2" t="str">
        <f>HYPERLINK("https://probpalata.gov.ru/files/ЮЛ770100193501132.jpeg","Скачать индивидуальный QR-код магазина")</f>
        <v>Скачать индивидуальный QR-код магазина</v>
      </c>
    </row>
    <row r="17043" spans="1:7" x14ac:dyDescent="0.25">
      <c r="A17043" t="s">
        <v>50404</v>
      </c>
      <c r="B17043" t="s">
        <v>51385</v>
      </c>
      <c r="C17043" t="s">
        <v>15265</v>
      </c>
      <c r="D17043" t="s">
        <v>15266</v>
      </c>
      <c r="E17043" t="s">
        <v>15267</v>
      </c>
      <c r="F17043" t="s">
        <v>52253</v>
      </c>
      <c r="G17043" s="2" t="str">
        <f>HYPERLINK("https://probpalata.gov.ru/files/ЮЛ160600373100012.jpeg","Скачать индивидуальный QR-код магазина")</f>
        <v>Скачать индивидуальный QR-код магазина</v>
      </c>
    </row>
    <row r="17044" spans="1:7" x14ac:dyDescent="0.25">
      <c r="A17044" t="s">
        <v>50404</v>
      </c>
      <c r="B17044" t="s">
        <v>52254</v>
      </c>
      <c r="C17044" t="s">
        <v>6290</v>
      </c>
      <c r="D17044" t="s">
        <v>16830</v>
      </c>
      <c r="E17044" t="s">
        <v>16831</v>
      </c>
      <c r="F17044" t="s">
        <v>52255</v>
      </c>
      <c r="G17044" s="2" t="str">
        <f>HYPERLINK("https://probpalata.gov.ru/files/ЮЛ770103181900010.jpeg","Скачать индивидуальный QR-код магазина")</f>
        <v>Скачать индивидуальный QR-код магазина</v>
      </c>
    </row>
    <row r="17045" spans="1:7" x14ac:dyDescent="0.25">
      <c r="A17045" t="s">
        <v>50404</v>
      </c>
      <c r="B17045" t="s">
        <v>52256</v>
      </c>
      <c r="C17045" t="s">
        <v>25269</v>
      </c>
      <c r="D17045" t="s">
        <v>25270</v>
      </c>
      <c r="E17045" t="s">
        <v>25271</v>
      </c>
      <c r="F17045" t="s">
        <v>52257</v>
      </c>
      <c r="G17045" s="2" t="str">
        <f>HYPERLINK("https://probpalata.gov.ru/files/ЮЛ770101021700109.jpeg","Скачать индивидуальный QR-код магазина")</f>
        <v>Скачать индивидуальный QR-код магазина</v>
      </c>
    </row>
    <row r="17046" spans="1:7" x14ac:dyDescent="0.25">
      <c r="A17046" t="s">
        <v>50404</v>
      </c>
      <c r="B17046" t="s">
        <v>52258</v>
      </c>
      <c r="C17046" t="s">
        <v>773</v>
      </c>
      <c r="D17046" t="s">
        <v>774</v>
      </c>
      <c r="E17046" t="s">
        <v>775</v>
      </c>
      <c r="F17046" t="s">
        <v>52259</v>
      </c>
      <c r="G17046" s="2" t="str">
        <f>HYPERLINK("https://probpalata.gov.ru/files/ЮЛ780300131300061.jpeg","Скачать индивидуальный QR-код магазина")</f>
        <v>Скачать индивидуальный QR-код магазина</v>
      </c>
    </row>
    <row r="17047" spans="1:7" x14ac:dyDescent="0.25">
      <c r="A17047" t="s">
        <v>50404</v>
      </c>
      <c r="B17047" t="s">
        <v>52260</v>
      </c>
      <c r="C17047" t="s">
        <v>773</v>
      </c>
      <c r="D17047" t="s">
        <v>774</v>
      </c>
      <c r="E17047" t="s">
        <v>775</v>
      </c>
      <c r="F17047" t="s">
        <v>52261</v>
      </c>
      <c r="G17047" s="2" t="str">
        <f>HYPERLINK("https://probpalata.gov.ru/files/ЮЛ780300131300062.jpeg","Скачать индивидуальный QR-код магазина")</f>
        <v>Скачать индивидуальный QR-код магазина</v>
      </c>
    </row>
    <row r="17048" spans="1:7" x14ac:dyDescent="0.25">
      <c r="A17048" t="s">
        <v>50404</v>
      </c>
      <c r="B17048" t="s">
        <v>52262</v>
      </c>
      <c r="C17048" t="s">
        <v>773</v>
      </c>
      <c r="D17048" t="s">
        <v>774</v>
      </c>
      <c r="E17048" t="s">
        <v>775</v>
      </c>
      <c r="F17048" t="s">
        <v>52263</v>
      </c>
      <c r="G17048" s="2" t="str">
        <f>HYPERLINK("https://probpalata.gov.ru/files/ЮЛ780300131300064.jpeg","Скачать индивидуальный QR-код магазина")</f>
        <v>Скачать индивидуальный QR-код магазина</v>
      </c>
    </row>
    <row r="17049" spans="1:7" x14ac:dyDescent="0.25">
      <c r="A17049" t="s">
        <v>50404</v>
      </c>
      <c r="B17049" t="s">
        <v>52264</v>
      </c>
      <c r="C17049" t="s">
        <v>773</v>
      </c>
      <c r="D17049" t="s">
        <v>774</v>
      </c>
      <c r="E17049" t="s">
        <v>775</v>
      </c>
      <c r="F17049" t="s">
        <v>52265</v>
      </c>
      <c r="G17049" s="2" t="str">
        <f>HYPERLINK("https://probpalata.gov.ru/files/ЮЛ780300131300561.jpeg","Скачать индивидуальный QR-код магазина")</f>
        <v>Скачать индивидуальный QR-код магазина</v>
      </c>
    </row>
    <row r="17050" spans="1:7" x14ac:dyDescent="0.25">
      <c r="A17050" t="s">
        <v>50404</v>
      </c>
      <c r="B17050" t="s">
        <v>52266</v>
      </c>
      <c r="C17050" t="s">
        <v>773</v>
      </c>
      <c r="D17050" t="s">
        <v>774</v>
      </c>
      <c r="E17050" t="s">
        <v>775</v>
      </c>
      <c r="F17050" t="s">
        <v>52267</v>
      </c>
      <c r="G17050" s="2" t="str">
        <f>HYPERLINK("https://probpalata.gov.ru/files/ЮЛ780300131300583.jpeg","Скачать индивидуальный QR-код магазина")</f>
        <v>Скачать индивидуальный QR-код магазина</v>
      </c>
    </row>
    <row r="17051" spans="1:7" x14ac:dyDescent="0.25">
      <c r="A17051" t="s">
        <v>50404</v>
      </c>
      <c r="B17051" t="s">
        <v>52268</v>
      </c>
      <c r="C17051" t="s">
        <v>773</v>
      </c>
      <c r="D17051" t="s">
        <v>774</v>
      </c>
      <c r="E17051" t="s">
        <v>775</v>
      </c>
      <c r="F17051" t="s">
        <v>52269</v>
      </c>
      <c r="G17051" s="2" t="str">
        <f>HYPERLINK("https://probpalata.gov.ru/files/ЮЛ780300131300640.jpeg","Скачать индивидуальный QR-код магазина")</f>
        <v>Скачать индивидуальный QR-код магазина</v>
      </c>
    </row>
    <row r="17052" spans="1:7" x14ac:dyDescent="0.25">
      <c r="A17052" t="s">
        <v>50404</v>
      </c>
      <c r="B17052" t="s">
        <v>52270</v>
      </c>
      <c r="C17052" t="s">
        <v>787</v>
      </c>
      <c r="D17052" t="s">
        <v>788</v>
      </c>
      <c r="E17052" t="s">
        <v>789</v>
      </c>
      <c r="F17052" t="s">
        <v>52271</v>
      </c>
      <c r="G17052" s="2" t="str">
        <f>HYPERLINK("https://probpalata.gov.ru/files/ЮЛ780300328000115.jpeg","Скачать индивидуальный QR-код магазина")</f>
        <v>Скачать индивидуальный QR-код магазина</v>
      </c>
    </row>
    <row r="17053" spans="1:7" x14ac:dyDescent="0.25">
      <c r="A17053" t="s">
        <v>50404</v>
      </c>
      <c r="B17053" t="s">
        <v>52272</v>
      </c>
      <c r="C17053" t="s">
        <v>4077</v>
      </c>
      <c r="D17053" t="s">
        <v>4078</v>
      </c>
      <c r="E17053" t="s">
        <v>4079</v>
      </c>
      <c r="F17053" t="s">
        <v>52273</v>
      </c>
      <c r="G17053" s="2" t="str">
        <f>HYPERLINK("https://probpalata.gov.ru/files/ЮЛ780300331800047.jpeg","Скачать индивидуальный QR-код магазина")</f>
        <v>Скачать индивидуальный QR-код магазина</v>
      </c>
    </row>
    <row r="17054" spans="1:7" x14ac:dyDescent="0.25">
      <c r="A17054" t="s">
        <v>50404</v>
      </c>
      <c r="B17054" t="s">
        <v>52274</v>
      </c>
      <c r="C17054" t="s">
        <v>4077</v>
      </c>
      <c r="D17054" t="s">
        <v>4078</v>
      </c>
      <c r="E17054" t="s">
        <v>4079</v>
      </c>
      <c r="F17054" t="s">
        <v>52275</v>
      </c>
      <c r="G17054" s="2" t="str">
        <f>HYPERLINK("https://probpalata.gov.ru/files/ЮЛ780300331800077.jpeg","Скачать индивидуальный QR-код магазина")</f>
        <v>Скачать индивидуальный QR-код магазина</v>
      </c>
    </row>
    <row r="17055" spans="1:7" x14ac:dyDescent="0.25">
      <c r="A17055" t="s">
        <v>50404</v>
      </c>
      <c r="B17055" t="s">
        <v>52276</v>
      </c>
      <c r="C17055" t="s">
        <v>44655</v>
      </c>
      <c r="D17055" t="s">
        <v>44656</v>
      </c>
      <c r="E17055" t="s">
        <v>44657</v>
      </c>
      <c r="F17055" t="s">
        <v>52277</v>
      </c>
      <c r="G17055" s="2" t="str">
        <f>HYPERLINK("https://probpalata.gov.ru/files/ИП780303305300000.jpeg","Скачать индивидуальный QR-код магазина")</f>
        <v>Скачать индивидуальный QR-код магазина</v>
      </c>
    </row>
    <row r="17056" spans="1:7" x14ac:dyDescent="0.25">
      <c r="A17056" t="s">
        <v>50404</v>
      </c>
      <c r="B17056" t="s">
        <v>52278</v>
      </c>
      <c r="C17056" t="s">
        <v>791</v>
      </c>
      <c r="D17056" t="s">
        <v>792</v>
      </c>
      <c r="E17056" t="s">
        <v>793</v>
      </c>
      <c r="F17056" t="s">
        <v>52279</v>
      </c>
      <c r="G17056" s="2" t="str">
        <f>HYPERLINK("https://probpalata.gov.ru/files/ЮЛ780300323500004.jpeg","Скачать индивидуальный QR-код магазина")</f>
        <v>Скачать индивидуальный QR-код магазина</v>
      </c>
    </row>
    <row r="17057" spans="1:7" x14ac:dyDescent="0.25">
      <c r="A17057" t="s">
        <v>50404</v>
      </c>
      <c r="B17057" t="s">
        <v>52280</v>
      </c>
      <c r="C17057" t="s">
        <v>791</v>
      </c>
      <c r="D17057" t="s">
        <v>792</v>
      </c>
      <c r="E17057" t="s">
        <v>793</v>
      </c>
      <c r="F17057" t="s">
        <v>52281</v>
      </c>
      <c r="G17057" s="2" t="str">
        <f>HYPERLINK("https://probpalata.gov.ru/files/ЮЛ780300323500021.jpeg","Скачать индивидуальный QR-код магазина")</f>
        <v>Скачать индивидуальный QR-код магазина</v>
      </c>
    </row>
    <row r="17058" spans="1:7" x14ac:dyDescent="0.25">
      <c r="A17058" t="s">
        <v>50404</v>
      </c>
      <c r="B17058" t="s">
        <v>52282</v>
      </c>
      <c r="C17058" t="s">
        <v>791</v>
      </c>
      <c r="D17058" t="s">
        <v>792</v>
      </c>
      <c r="E17058" t="s">
        <v>793</v>
      </c>
      <c r="F17058" t="s">
        <v>52283</v>
      </c>
      <c r="G17058" s="2" t="str">
        <f>HYPERLINK("https://probpalata.gov.ru/files/ЮЛ780300323500047.jpeg","Скачать индивидуальный QR-код магазина")</f>
        <v>Скачать индивидуальный QR-код магазина</v>
      </c>
    </row>
    <row r="17059" spans="1:7" x14ac:dyDescent="0.25">
      <c r="A17059" t="s">
        <v>50404</v>
      </c>
      <c r="B17059" t="s">
        <v>52284</v>
      </c>
      <c r="C17059" t="s">
        <v>791</v>
      </c>
      <c r="D17059" t="s">
        <v>792</v>
      </c>
      <c r="E17059" t="s">
        <v>793</v>
      </c>
      <c r="F17059" t="s">
        <v>52285</v>
      </c>
      <c r="G17059" s="2" t="str">
        <f>HYPERLINK("https://probpalata.gov.ru/files/ЮЛ780300323500048.jpeg","Скачать индивидуальный QR-код магазина")</f>
        <v>Скачать индивидуальный QR-код магазина</v>
      </c>
    </row>
    <row r="17060" spans="1:7" x14ac:dyDescent="0.25">
      <c r="A17060" t="s">
        <v>50404</v>
      </c>
      <c r="B17060" t="s">
        <v>52286</v>
      </c>
      <c r="C17060" t="s">
        <v>791</v>
      </c>
      <c r="D17060" t="s">
        <v>792</v>
      </c>
      <c r="E17060" t="s">
        <v>793</v>
      </c>
      <c r="F17060" t="s">
        <v>52287</v>
      </c>
      <c r="G17060" s="2" t="str">
        <f>HYPERLINK("https://probpalata.gov.ru/files/ЮЛ780300323500049.jpeg","Скачать индивидуальный QR-код магазина")</f>
        <v>Скачать индивидуальный QR-код магазина</v>
      </c>
    </row>
    <row r="17061" spans="1:7" x14ac:dyDescent="0.25">
      <c r="A17061" t="s">
        <v>50404</v>
      </c>
      <c r="B17061" t="s">
        <v>51747</v>
      </c>
      <c r="C17061" t="s">
        <v>791</v>
      </c>
      <c r="D17061" t="s">
        <v>792</v>
      </c>
      <c r="E17061" t="s">
        <v>793</v>
      </c>
      <c r="F17061" t="s">
        <v>52288</v>
      </c>
      <c r="G17061" s="2" t="str">
        <f>HYPERLINK("https://probpalata.gov.ru/files/ЮЛ780300323500050.jpeg","Скачать индивидуальный QR-код магазина")</f>
        <v>Скачать индивидуальный QR-код магазина</v>
      </c>
    </row>
    <row r="17062" spans="1:7" x14ac:dyDescent="0.25">
      <c r="A17062" t="s">
        <v>50404</v>
      </c>
      <c r="B17062" t="s">
        <v>52289</v>
      </c>
      <c r="C17062" t="s">
        <v>791</v>
      </c>
      <c r="D17062" t="s">
        <v>792</v>
      </c>
      <c r="E17062" t="s">
        <v>793</v>
      </c>
      <c r="F17062" t="s">
        <v>52290</v>
      </c>
      <c r="G17062" s="2" t="str">
        <f>HYPERLINK("https://probpalata.gov.ru/files/ЮЛ780300323500051.jpeg","Скачать индивидуальный QR-код магазина")</f>
        <v>Скачать индивидуальный QR-код магазина</v>
      </c>
    </row>
    <row r="17063" spans="1:7" x14ac:dyDescent="0.25">
      <c r="A17063" t="s">
        <v>50404</v>
      </c>
      <c r="B17063" t="s">
        <v>52291</v>
      </c>
      <c r="C17063" t="s">
        <v>791</v>
      </c>
      <c r="D17063" t="s">
        <v>792</v>
      </c>
      <c r="E17063" t="s">
        <v>793</v>
      </c>
      <c r="F17063" t="s">
        <v>52292</v>
      </c>
      <c r="G17063" s="2" t="str">
        <f>HYPERLINK("https://probpalata.gov.ru/files/ЮЛ780300323500059.jpeg","Скачать индивидуальный QR-код магазина")</f>
        <v>Скачать индивидуальный QR-код магазина</v>
      </c>
    </row>
    <row r="17064" spans="1:7" x14ac:dyDescent="0.25">
      <c r="A17064" t="s">
        <v>50404</v>
      </c>
      <c r="B17064" t="s">
        <v>52293</v>
      </c>
      <c r="C17064" t="s">
        <v>791</v>
      </c>
      <c r="D17064" t="s">
        <v>792</v>
      </c>
      <c r="E17064" t="s">
        <v>793</v>
      </c>
      <c r="F17064" t="s">
        <v>52294</v>
      </c>
      <c r="G17064" s="2" t="str">
        <f>HYPERLINK("https://probpalata.gov.ru/files/ЮЛ780300323500063.jpeg","Скачать индивидуальный QR-код магазина")</f>
        <v>Скачать индивидуальный QR-код магазина</v>
      </c>
    </row>
    <row r="17065" spans="1:7" x14ac:dyDescent="0.25">
      <c r="A17065" t="s">
        <v>50404</v>
      </c>
      <c r="B17065" t="s">
        <v>52295</v>
      </c>
      <c r="C17065" t="s">
        <v>791</v>
      </c>
      <c r="D17065" t="s">
        <v>792</v>
      </c>
      <c r="E17065" t="s">
        <v>793</v>
      </c>
      <c r="F17065" t="s">
        <v>52296</v>
      </c>
      <c r="G17065" s="2" t="str">
        <f>HYPERLINK("https://probpalata.gov.ru/files/ЮЛ780300323500082.jpeg","Скачать индивидуальный QR-код магазина")</f>
        <v>Скачать индивидуальный QR-код магазина</v>
      </c>
    </row>
    <row r="17066" spans="1:7" x14ac:dyDescent="0.25">
      <c r="A17066" t="s">
        <v>50404</v>
      </c>
      <c r="B17066" t="s">
        <v>52297</v>
      </c>
      <c r="C17066" t="s">
        <v>791</v>
      </c>
      <c r="D17066" t="s">
        <v>792</v>
      </c>
      <c r="E17066" t="s">
        <v>793</v>
      </c>
      <c r="F17066" t="s">
        <v>52298</v>
      </c>
      <c r="G17066" s="2" t="str">
        <f>HYPERLINK("https://probpalata.gov.ru/files/ЮЛ780300323500083.jpeg","Скачать индивидуальный QR-код магазина")</f>
        <v>Скачать индивидуальный QR-код магазина</v>
      </c>
    </row>
    <row r="17067" spans="1:7" x14ac:dyDescent="0.25">
      <c r="A17067" t="s">
        <v>50404</v>
      </c>
      <c r="B17067" t="s">
        <v>52299</v>
      </c>
      <c r="C17067" t="s">
        <v>791</v>
      </c>
      <c r="D17067" t="s">
        <v>792</v>
      </c>
      <c r="E17067" t="s">
        <v>793</v>
      </c>
      <c r="F17067" t="s">
        <v>52300</v>
      </c>
      <c r="G17067" s="2" t="str">
        <f>HYPERLINK("https://probpalata.gov.ru/files/ЮЛ780300323500084.jpeg","Скачать индивидуальный QR-код магазина")</f>
        <v>Скачать индивидуальный QR-код магазина</v>
      </c>
    </row>
    <row r="17068" spans="1:7" x14ac:dyDescent="0.25">
      <c r="A17068" t="s">
        <v>50404</v>
      </c>
      <c r="B17068" t="s">
        <v>52301</v>
      </c>
      <c r="C17068" t="s">
        <v>791</v>
      </c>
      <c r="D17068" t="s">
        <v>792</v>
      </c>
      <c r="E17068" t="s">
        <v>793</v>
      </c>
      <c r="F17068" t="s">
        <v>52302</v>
      </c>
      <c r="G17068" s="2" t="str">
        <f>HYPERLINK("https://probpalata.gov.ru/files/ЮЛ780300323500085.jpeg","Скачать индивидуальный QR-код магазина")</f>
        <v>Скачать индивидуальный QR-код магазина</v>
      </c>
    </row>
    <row r="17069" spans="1:7" x14ac:dyDescent="0.25">
      <c r="A17069" t="s">
        <v>50404</v>
      </c>
      <c r="B17069" t="s">
        <v>52303</v>
      </c>
      <c r="C17069" t="s">
        <v>791</v>
      </c>
      <c r="D17069" t="s">
        <v>792</v>
      </c>
      <c r="E17069" t="s">
        <v>793</v>
      </c>
      <c r="F17069" t="s">
        <v>52304</v>
      </c>
      <c r="G17069" s="2" t="str">
        <f>HYPERLINK("https://probpalata.gov.ru/files/ЮЛ780300323500086.jpeg","Скачать индивидуальный QR-код магазина")</f>
        <v>Скачать индивидуальный QR-код магазина</v>
      </c>
    </row>
    <row r="17070" spans="1:7" x14ac:dyDescent="0.25">
      <c r="A17070" t="s">
        <v>50404</v>
      </c>
      <c r="B17070" t="s">
        <v>52305</v>
      </c>
      <c r="C17070" t="s">
        <v>791</v>
      </c>
      <c r="D17070" t="s">
        <v>792</v>
      </c>
      <c r="E17070" t="s">
        <v>793</v>
      </c>
      <c r="F17070" t="s">
        <v>52306</v>
      </c>
      <c r="G17070" s="2" t="str">
        <f>HYPERLINK("https://probpalata.gov.ru/files/ЮЛ780300323500087.jpeg","Скачать индивидуальный QR-код магазина")</f>
        <v>Скачать индивидуальный QR-код магазина</v>
      </c>
    </row>
    <row r="17071" spans="1:7" x14ac:dyDescent="0.25">
      <c r="A17071" t="s">
        <v>50404</v>
      </c>
      <c r="B17071" t="s">
        <v>52307</v>
      </c>
      <c r="C17071" t="s">
        <v>791</v>
      </c>
      <c r="D17071" t="s">
        <v>792</v>
      </c>
      <c r="E17071" t="s">
        <v>793</v>
      </c>
      <c r="F17071" t="s">
        <v>52308</v>
      </c>
      <c r="G17071" s="2" t="str">
        <f>HYPERLINK("https://probpalata.gov.ru/files/ЮЛ780300323500088.jpeg","Скачать индивидуальный QR-код магазина")</f>
        <v>Скачать индивидуальный QR-код магазина</v>
      </c>
    </row>
    <row r="17072" spans="1:7" x14ac:dyDescent="0.25">
      <c r="A17072" t="s">
        <v>50404</v>
      </c>
      <c r="B17072" t="s">
        <v>52309</v>
      </c>
      <c r="C17072" t="s">
        <v>791</v>
      </c>
      <c r="D17072" t="s">
        <v>792</v>
      </c>
      <c r="E17072" t="s">
        <v>793</v>
      </c>
      <c r="F17072" t="s">
        <v>52310</v>
      </c>
      <c r="G17072" s="2" t="str">
        <f>HYPERLINK("https://probpalata.gov.ru/files/ЮЛ780300323500106.jpeg","Скачать индивидуальный QR-код магазина")</f>
        <v>Скачать индивидуальный QR-код магазина</v>
      </c>
    </row>
    <row r="17073" spans="1:7" x14ac:dyDescent="0.25">
      <c r="A17073" t="s">
        <v>50404</v>
      </c>
      <c r="B17073" t="s">
        <v>52311</v>
      </c>
      <c r="C17073" t="s">
        <v>791</v>
      </c>
      <c r="D17073" t="s">
        <v>792</v>
      </c>
      <c r="E17073" t="s">
        <v>793</v>
      </c>
      <c r="F17073" t="s">
        <v>52312</v>
      </c>
      <c r="G17073" s="2" t="str">
        <f>HYPERLINK("https://probpalata.gov.ru/files/ЮЛ780300323500107.jpeg","Скачать индивидуальный QR-код магазина")</f>
        <v>Скачать индивидуальный QR-код магазина</v>
      </c>
    </row>
    <row r="17074" spans="1:7" x14ac:dyDescent="0.25">
      <c r="A17074" t="s">
        <v>50404</v>
      </c>
      <c r="B17074" t="s">
        <v>52313</v>
      </c>
      <c r="C17074" t="s">
        <v>791</v>
      </c>
      <c r="D17074" t="s">
        <v>792</v>
      </c>
      <c r="E17074" t="s">
        <v>793</v>
      </c>
      <c r="F17074" t="s">
        <v>52314</v>
      </c>
      <c r="G17074" s="2" t="str">
        <f>HYPERLINK("https://probpalata.gov.ru/files/ЮЛ780300323500114.jpeg","Скачать индивидуальный QR-код магазина")</f>
        <v>Скачать индивидуальный QR-код магазина</v>
      </c>
    </row>
    <row r="17075" spans="1:7" x14ac:dyDescent="0.25">
      <c r="A17075" t="s">
        <v>50404</v>
      </c>
      <c r="B17075" t="s">
        <v>52315</v>
      </c>
      <c r="C17075" t="s">
        <v>798</v>
      </c>
      <c r="D17075" t="s">
        <v>799</v>
      </c>
      <c r="E17075" t="s">
        <v>800</v>
      </c>
      <c r="F17075" t="s">
        <v>52316</v>
      </c>
      <c r="G17075" s="2" t="str">
        <f>HYPERLINK("https://probpalata.gov.ru/files/ЮЛ780300308200031.jpeg","Скачать индивидуальный QR-код магазина")</f>
        <v>Скачать индивидуальный QR-код магазина</v>
      </c>
    </row>
    <row r="17076" spans="1:7" x14ac:dyDescent="0.25">
      <c r="A17076" t="s">
        <v>50404</v>
      </c>
      <c r="B17076" t="s">
        <v>52317</v>
      </c>
      <c r="C17076" t="s">
        <v>798</v>
      </c>
      <c r="D17076" t="s">
        <v>799</v>
      </c>
      <c r="E17076" t="s">
        <v>800</v>
      </c>
      <c r="F17076" t="s">
        <v>52318</v>
      </c>
      <c r="G17076" s="2" t="str">
        <f>HYPERLINK("https://probpalata.gov.ru/files/ЮЛ780300308200146.jpeg","Скачать индивидуальный QR-код магазина")</f>
        <v>Скачать индивидуальный QR-код магазина</v>
      </c>
    </row>
    <row r="17077" spans="1:7" x14ac:dyDescent="0.25">
      <c r="A17077" t="s">
        <v>50404</v>
      </c>
      <c r="B17077" t="s">
        <v>52319</v>
      </c>
      <c r="C17077" t="s">
        <v>798</v>
      </c>
      <c r="D17077" t="s">
        <v>799</v>
      </c>
      <c r="E17077" t="s">
        <v>800</v>
      </c>
      <c r="F17077" t="s">
        <v>52320</v>
      </c>
      <c r="G17077" s="2" t="str">
        <f>HYPERLINK("https://probpalata.gov.ru/files/ЮЛ780300308200151.jpeg","Скачать индивидуальный QR-код магазина")</f>
        <v>Скачать индивидуальный QR-код магазина</v>
      </c>
    </row>
    <row r="17078" spans="1:7" x14ac:dyDescent="0.25">
      <c r="A17078" t="s">
        <v>50404</v>
      </c>
      <c r="B17078" t="s">
        <v>52321</v>
      </c>
      <c r="C17078" t="s">
        <v>798</v>
      </c>
      <c r="D17078" t="s">
        <v>799</v>
      </c>
      <c r="E17078" t="s">
        <v>800</v>
      </c>
      <c r="F17078" t="s">
        <v>52322</v>
      </c>
      <c r="G17078" s="2" t="str">
        <f>HYPERLINK("https://probpalata.gov.ru/files/ЮЛ780300308200161.jpeg","Скачать индивидуальный QR-код магазина")</f>
        <v>Скачать индивидуальный QR-код магазина</v>
      </c>
    </row>
    <row r="17079" spans="1:7" x14ac:dyDescent="0.25">
      <c r="A17079" t="s">
        <v>50404</v>
      </c>
      <c r="B17079" t="s">
        <v>52323</v>
      </c>
      <c r="C17079" t="s">
        <v>798</v>
      </c>
      <c r="D17079" t="s">
        <v>799</v>
      </c>
      <c r="E17079" t="s">
        <v>800</v>
      </c>
      <c r="F17079" t="s">
        <v>52324</v>
      </c>
      <c r="G17079" s="2" t="str">
        <f>HYPERLINK("https://probpalata.gov.ru/files/ЮЛ780300308200167.jpeg","Скачать индивидуальный QR-код магазина")</f>
        <v>Скачать индивидуальный QR-код магазина</v>
      </c>
    </row>
    <row r="17080" spans="1:7" x14ac:dyDescent="0.25">
      <c r="A17080" t="s">
        <v>50404</v>
      </c>
      <c r="B17080" t="s">
        <v>52325</v>
      </c>
      <c r="C17080" t="s">
        <v>798</v>
      </c>
      <c r="D17080" t="s">
        <v>799</v>
      </c>
      <c r="E17080" t="s">
        <v>800</v>
      </c>
      <c r="F17080" t="s">
        <v>52326</v>
      </c>
      <c r="G17080" s="2" t="str">
        <f>HYPERLINK("https://probpalata.gov.ru/files/ЮЛ780300308200188.jpeg","Скачать индивидуальный QR-код магазина")</f>
        <v>Скачать индивидуальный QR-код магазина</v>
      </c>
    </row>
    <row r="17081" spans="1:7" x14ac:dyDescent="0.25">
      <c r="A17081" t="s">
        <v>50404</v>
      </c>
      <c r="B17081" t="s">
        <v>52327</v>
      </c>
      <c r="C17081" t="s">
        <v>798</v>
      </c>
      <c r="D17081" t="s">
        <v>799</v>
      </c>
      <c r="E17081" t="s">
        <v>800</v>
      </c>
      <c r="F17081" t="s">
        <v>52328</v>
      </c>
      <c r="G17081" s="2" t="str">
        <f>HYPERLINK("https://probpalata.gov.ru/files/ЮЛ780300308200237.jpeg","Скачать индивидуальный QR-код магазина")</f>
        <v>Скачать индивидуальный QR-код магазина</v>
      </c>
    </row>
    <row r="17082" spans="1:7" x14ac:dyDescent="0.25">
      <c r="A17082" t="s">
        <v>50404</v>
      </c>
      <c r="B17082" t="s">
        <v>52329</v>
      </c>
      <c r="C17082" t="s">
        <v>798</v>
      </c>
      <c r="D17082" t="s">
        <v>799</v>
      </c>
      <c r="E17082" t="s">
        <v>800</v>
      </c>
      <c r="F17082" t="s">
        <v>52330</v>
      </c>
      <c r="G17082" s="2" t="str">
        <f>HYPERLINK("https://probpalata.gov.ru/files/ЮЛ780300308200248.jpeg","Скачать индивидуальный QR-код магазина")</f>
        <v>Скачать индивидуальный QR-код магазина</v>
      </c>
    </row>
    <row r="17083" spans="1:7" x14ac:dyDescent="0.25">
      <c r="A17083" t="s">
        <v>50404</v>
      </c>
      <c r="B17083" t="s">
        <v>52331</v>
      </c>
      <c r="C17083" t="s">
        <v>798</v>
      </c>
      <c r="D17083" t="s">
        <v>799</v>
      </c>
      <c r="E17083" t="s">
        <v>800</v>
      </c>
      <c r="F17083" t="s">
        <v>52332</v>
      </c>
      <c r="G17083" s="2" t="str">
        <f>HYPERLINK("https://probpalata.gov.ru/files/ЮЛ780300308200278.jpeg","Скачать индивидуальный QR-код магазина")</f>
        <v>Скачать индивидуальный QR-код магазина</v>
      </c>
    </row>
    <row r="17084" spans="1:7" x14ac:dyDescent="0.25">
      <c r="A17084" t="s">
        <v>50404</v>
      </c>
      <c r="B17084" t="s">
        <v>52278</v>
      </c>
      <c r="C17084" t="s">
        <v>798</v>
      </c>
      <c r="D17084" t="s">
        <v>799</v>
      </c>
      <c r="E17084" t="s">
        <v>800</v>
      </c>
      <c r="F17084" t="s">
        <v>52333</v>
      </c>
      <c r="G17084" s="2" t="str">
        <f>HYPERLINK("https://probpalata.gov.ru/files/ЮЛ780300308200279.jpeg","Скачать индивидуальный QR-код магазина")</f>
        <v>Скачать индивидуальный QR-код магазина</v>
      </c>
    </row>
    <row r="17085" spans="1:7" x14ac:dyDescent="0.25">
      <c r="A17085" t="s">
        <v>50404</v>
      </c>
      <c r="B17085" t="s">
        <v>52334</v>
      </c>
      <c r="C17085" t="s">
        <v>798</v>
      </c>
      <c r="D17085" t="s">
        <v>799</v>
      </c>
      <c r="E17085" t="s">
        <v>800</v>
      </c>
      <c r="F17085" t="s">
        <v>52335</v>
      </c>
      <c r="G17085" s="2" t="str">
        <f>HYPERLINK("https://probpalata.gov.ru/files/ЮЛ780300308200281.jpeg","Скачать индивидуальный QR-код магазина")</f>
        <v>Скачать индивидуальный QR-код магазина</v>
      </c>
    </row>
    <row r="17086" spans="1:7" x14ac:dyDescent="0.25">
      <c r="A17086" t="s">
        <v>50404</v>
      </c>
      <c r="B17086" t="s">
        <v>52336</v>
      </c>
      <c r="C17086" t="s">
        <v>798</v>
      </c>
      <c r="D17086" t="s">
        <v>799</v>
      </c>
      <c r="E17086" t="s">
        <v>800</v>
      </c>
      <c r="F17086" t="s">
        <v>52337</v>
      </c>
      <c r="G17086" s="2" t="str">
        <f>HYPERLINK("https://probpalata.gov.ru/files/ЮЛ780300308200296.jpeg","Скачать индивидуальный QR-код магазина")</f>
        <v>Скачать индивидуальный QR-код магазина</v>
      </c>
    </row>
    <row r="17087" spans="1:7" x14ac:dyDescent="0.25">
      <c r="A17087" t="s">
        <v>50404</v>
      </c>
      <c r="B17087" t="s">
        <v>52338</v>
      </c>
      <c r="C17087" t="s">
        <v>798</v>
      </c>
      <c r="D17087" t="s">
        <v>799</v>
      </c>
      <c r="E17087" t="s">
        <v>800</v>
      </c>
      <c r="F17087" t="s">
        <v>52339</v>
      </c>
      <c r="G17087" s="2" t="str">
        <f>HYPERLINK("https://probpalata.gov.ru/files/ЮЛ780300308200297.jpeg","Скачать индивидуальный QR-код магазина")</f>
        <v>Скачать индивидуальный QR-код магазина</v>
      </c>
    </row>
    <row r="17088" spans="1:7" x14ac:dyDescent="0.25">
      <c r="A17088" t="s">
        <v>50404</v>
      </c>
      <c r="B17088" t="s">
        <v>52340</v>
      </c>
      <c r="C17088" t="s">
        <v>798</v>
      </c>
      <c r="D17088" t="s">
        <v>799</v>
      </c>
      <c r="E17088" t="s">
        <v>800</v>
      </c>
      <c r="F17088" t="s">
        <v>52341</v>
      </c>
      <c r="G17088" s="2" t="str">
        <f>HYPERLINK("https://probpalata.gov.ru/files/ЮЛ780300308200304.jpeg","Скачать индивидуальный QR-код магазина")</f>
        <v>Скачать индивидуальный QR-код магазина</v>
      </c>
    </row>
    <row r="17089" spans="1:7" x14ac:dyDescent="0.25">
      <c r="A17089" t="s">
        <v>50404</v>
      </c>
      <c r="B17089" t="s">
        <v>52342</v>
      </c>
      <c r="C17089" t="s">
        <v>798</v>
      </c>
      <c r="D17089" t="s">
        <v>799</v>
      </c>
      <c r="E17089" t="s">
        <v>800</v>
      </c>
      <c r="F17089" t="s">
        <v>52343</v>
      </c>
      <c r="G17089" s="2" t="str">
        <f>HYPERLINK("https://probpalata.gov.ru/files/ЮЛ780300308200309.jpeg","Скачать индивидуальный QR-код магазина")</f>
        <v>Скачать индивидуальный QR-код магазина</v>
      </c>
    </row>
    <row r="17090" spans="1:7" x14ac:dyDescent="0.25">
      <c r="A17090" t="s">
        <v>50404</v>
      </c>
      <c r="B17090" t="s">
        <v>52344</v>
      </c>
      <c r="C17090" t="s">
        <v>798</v>
      </c>
      <c r="D17090" t="s">
        <v>799</v>
      </c>
      <c r="E17090" t="s">
        <v>800</v>
      </c>
      <c r="F17090" t="s">
        <v>52345</v>
      </c>
      <c r="G17090" s="2" t="str">
        <f>HYPERLINK("https://probpalata.gov.ru/files/ЮЛ780300308200321.jpeg","Скачать индивидуальный QR-код магазина")</f>
        <v>Скачать индивидуальный QR-код магазина</v>
      </c>
    </row>
    <row r="17091" spans="1:7" x14ac:dyDescent="0.25">
      <c r="A17091" t="s">
        <v>50404</v>
      </c>
      <c r="B17091" t="s">
        <v>52346</v>
      </c>
      <c r="C17091" t="s">
        <v>798</v>
      </c>
      <c r="D17091" t="s">
        <v>799</v>
      </c>
      <c r="E17091" t="s">
        <v>800</v>
      </c>
      <c r="F17091" t="s">
        <v>52347</v>
      </c>
      <c r="G17091" s="2" t="str">
        <f>HYPERLINK("https://probpalata.gov.ru/files/ЮЛ780300308200332.jpeg","Скачать индивидуальный QR-код магазина")</f>
        <v>Скачать индивидуальный QR-код магазина</v>
      </c>
    </row>
    <row r="17092" spans="1:7" x14ac:dyDescent="0.25">
      <c r="A17092" t="s">
        <v>50404</v>
      </c>
      <c r="B17092" t="s">
        <v>52348</v>
      </c>
      <c r="C17092" t="s">
        <v>798</v>
      </c>
      <c r="D17092" t="s">
        <v>799</v>
      </c>
      <c r="E17092" t="s">
        <v>800</v>
      </c>
      <c r="F17092" t="s">
        <v>52349</v>
      </c>
      <c r="G17092" s="2" t="str">
        <f>HYPERLINK("https://probpalata.gov.ru/files/ЮЛ780300308200339.jpeg","Скачать индивидуальный QR-код магазина")</f>
        <v>Скачать индивидуальный QR-код магазина</v>
      </c>
    </row>
    <row r="17093" spans="1:7" x14ac:dyDescent="0.25">
      <c r="A17093" t="s">
        <v>50404</v>
      </c>
      <c r="B17093" t="s">
        <v>52350</v>
      </c>
      <c r="C17093" t="s">
        <v>798</v>
      </c>
      <c r="D17093" t="s">
        <v>799</v>
      </c>
      <c r="E17093" t="s">
        <v>800</v>
      </c>
      <c r="F17093" t="s">
        <v>52351</v>
      </c>
      <c r="G17093" s="2" t="str">
        <f>HYPERLINK("https://probpalata.gov.ru/files/ЮЛ780300308200340.jpeg","Скачать индивидуальный QR-код магазина")</f>
        <v>Скачать индивидуальный QR-код магазина</v>
      </c>
    </row>
    <row r="17094" spans="1:7" x14ac:dyDescent="0.25">
      <c r="A17094" t="s">
        <v>50404</v>
      </c>
      <c r="B17094" t="s">
        <v>52352</v>
      </c>
      <c r="C17094" t="s">
        <v>798</v>
      </c>
      <c r="D17094" t="s">
        <v>799</v>
      </c>
      <c r="E17094" t="s">
        <v>800</v>
      </c>
      <c r="F17094" t="s">
        <v>52353</v>
      </c>
      <c r="G17094" s="2" t="str">
        <f>HYPERLINK("https://probpalata.gov.ru/files/ЮЛ780300308200342.jpeg","Скачать индивидуальный QR-код магазина")</f>
        <v>Скачать индивидуальный QR-код магазина</v>
      </c>
    </row>
    <row r="17095" spans="1:7" x14ac:dyDescent="0.25">
      <c r="A17095" t="s">
        <v>50404</v>
      </c>
      <c r="B17095" t="s">
        <v>52354</v>
      </c>
      <c r="C17095" t="s">
        <v>798</v>
      </c>
      <c r="D17095" t="s">
        <v>799</v>
      </c>
      <c r="E17095" t="s">
        <v>800</v>
      </c>
      <c r="F17095" t="s">
        <v>52355</v>
      </c>
      <c r="G17095" s="2" t="str">
        <f>HYPERLINK("https://probpalata.gov.ru/files/ЮЛ780300308200349.jpeg","Скачать индивидуальный QR-код магазина")</f>
        <v>Скачать индивидуальный QR-код магазина</v>
      </c>
    </row>
    <row r="17096" spans="1:7" x14ac:dyDescent="0.25">
      <c r="A17096" t="s">
        <v>50404</v>
      </c>
      <c r="B17096" t="s">
        <v>52356</v>
      </c>
      <c r="C17096" t="s">
        <v>798</v>
      </c>
      <c r="D17096" t="s">
        <v>799</v>
      </c>
      <c r="E17096" t="s">
        <v>800</v>
      </c>
      <c r="F17096" t="s">
        <v>52357</v>
      </c>
      <c r="G17096" s="2" t="str">
        <f>HYPERLINK("https://probpalata.gov.ru/files/ЮЛ780300308200352.jpeg","Скачать индивидуальный QR-код магазина")</f>
        <v>Скачать индивидуальный QR-код магазина</v>
      </c>
    </row>
    <row r="17097" spans="1:7" x14ac:dyDescent="0.25">
      <c r="A17097" t="s">
        <v>50404</v>
      </c>
      <c r="B17097" t="s">
        <v>52358</v>
      </c>
      <c r="C17097" t="s">
        <v>798</v>
      </c>
      <c r="D17097" t="s">
        <v>799</v>
      </c>
      <c r="E17097" t="s">
        <v>800</v>
      </c>
      <c r="F17097" t="s">
        <v>52359</v>
      </c>
      <c r="G17097" s="2" t="str">
        <f>HYPERLINK("https://probpalata.gov.ru/files/ЮЛ780300308200354.jpeg","Скачать индивидуальный QR-код магазина")</f>
        <v>Скачать индивидуальный QR-код магазина</v>
      </c>
    </row>
    <row r="17098" spans="1:7" x14ac:dyDescent="0.25">
      <c r="A17098" t="s">
        <v>50404</v>
      </c>
      <c r="B17098" t="s">
        <v>52360</v>
      </c>
      <c r="C17098" t="s">
        <v>798</v>
      </c>
      <c r="D17098" t="s">
        <v>799</v>
      </c>
      <c r="E17098" t="s">
        <v>800</v>
      </c>
      <c r="F17098" t="s">
        <v>52361</v>
      </c>
      <c r="G17098" s="2" t="str">
        <f>HYPERLINK("https://probpalata.gov.ru/files/ЮЛ780300308200356.jpeg","Скачать индивидуальный QR-код магазина")</f>
        <v>Скачать индивидуальный QR-код магазина</v>
      </c>
    </row>
    <row r="17099" spans="1:7" x14ac:dyDescent="0.25">
      <c r="A17099" t="s">
        <v>50404</v>
      </c>
      <c r="B17099" t="s">
        <v>52362</v>
      </c>
      <c r="C17099" t="s">
        <v>798</v>
      </c>
      <c r="D17099" t="s">
        <v>799</v>
      </c>
      <c r="E17099" t="s">
        <v>800</v>
      </c>
      <c r="F17099" t="s">
        <v>52363</v>
      </c>
      <c r="G17099" s="2" t="str">
        <f>HYPERLINK("https://probpalata.gov.ru/files/ЮЛ780300308200357.jpeg","Скачать индивидуальный QR-код магазина")</f>
        <v>Скачать индивидуальный QR-код магазина</v>
      </c>
    </row>
    <row r="17100" spans="1:7" x14ac:dyDescent="0.25">
      <c r="A17100" t="s">
        <v>50404</v>
      </c>
      <c r="B17100" t="s">
        <v>52364</v>
      </c>
      <c r="C17100" t="s">
        <v>798</v>
      </c>
      <c r="D17100" t="s">
        <v>799</v>
      </c>
      <c r="E17100" t="s">
        <v>800</v>
      </c>
      <c r="F17100" t="s">
        <v>52365</v>
      </c>
      <c r="G17100" s="2" t="str">
        <f>HYPERLINK("https://probpalata.gov.ru/files/ЮЛ780300308200358.jpeg","Скачать индивидуальный QR-код магазина")</f>
        <v>Скачать индивидуальный QR-код магазина</v>
      </c>
    </row>
    <row r="17101" spans="1:7" x14ac:dyDescent="0.25">
      <c r="A17101" t="s">
        <v>50404</v>
      </c>
      <c r="B17101" t="s">
        <v>52366</v>
      </c>
      <c r="C17101" t="s">
        <v>798</v>
      </c>
      <c r="D17101" t="s">
        <v>799</v>
      </c>
      <c r="E17101" t="s">
        <v>800</v>
      </c>
      <c r="F17101" t="s">
        <v>52367</v>
      </c>
      <c r="G17101" s="2" t="str">
        <f>HYPERLINK("https://probpalata.gov.ru/files/ЮЛ780300308200610.jpeg","Скачать индивидуальный QR-код магазина")</f>
        <v>Скачать индивидуальный QR-код магазина</v>
      </c>
    </row>
    <row r="17102" spans="1:7" x14ac:dyDescent="0.25">
      <c r="A17102" t="s">
        <v>50404</v>
      </c>
      <c r="B17102" t="s">
        <v>52368</v>
      </c>
      <c r="C17102" t="s">
        <v>798</v>
      </c>
      <c r="D17102" t="s">
        <v>799</v>
      </c>
      <c r="E17102" t="s">
        <v>800</v>
      </c>
      <c r="F17102" t="s">
        <v>52369</v>
      </c>
      <c r="G17102" s="2" t="str">
        <f>HYPERLINK("https://probpalata.gov.ru/files/ЮЛ780300308200736.jpeg","Скачать индивидуальный QR-код магазина")</f>
        <v>Скачать индивидуальный QR-код магазина</v>
      </c>
    </row>
    <row r="17103" spans="1:7" x14ac:dyDescent="0.25">
      <c r="A17103" t="s">
        <v>50404</v>
      </c>
      <c r="B17103" t="s">
        <v>52370</v>
      </c>
      <c r="C17103" t="s">
        <v>798</v>
      </c>
      <c r="D17103" t="s">
        <v>799</v>
      </c>
      <c r="E17103" t="s">
        <v>800</v>
      </c>
      <c r="F17103" t="s">
        <v>52371</v>
      </c>
      <c r="G17103" s="2" t="str">
        <f>HYPERLINK("https://probpalata.gov.ru/files/ЮЛ780300308200762.jpeg","Скачать индивидуальный QR-код магазина")</f>
        <v>Скачать индивидуальный QR-код магазина</v>
      </c>
    </row>
    <row r="17104" spans="1:7" x14ac:dyDescent="0.25">
      <c r="A17104" t="s">
        <v>50404</v>
      </c>
      <c r="B17104" t="s">
        <v>52258</v>
      </c>
      <c r="C17104" t="s">
        <v>798</v>
      </c>
      <c r="D17104" t="s">
        <v>799</v>
      </c>
      <c r="E17104" t="s">
        <v>800</v>
      </c>
      <c r="F17104" t="s">
        <v>52372</v>
      </c>
      <c r="G17104" s="2" t="str">
        <f>HYPERLINK("https://probpalata.gov.ru/files/ЮЛ780300308200808.jpeg","Скачать индивидуальный QR-код магазина")</f>
        <v>Скачать индивидуальный QR-код магазина</v>
      </c>
    </row>
    <row r="17105" spans="1:7" x14ac:dyDescent="0.25">
      <c r="A17105" t="s">
        <v>50404</v>
      </c>
      <c r="B17105" t="s">
        <v>52286</v>
      </c>
      <c r="C17105" t="s">
        <v>798</v>
      </c>
      <c r="D17105" t="s">
        <v>799</v>
      </c>
      <c r="E17105" t="s">
        <v>800</v>
      </c>
      <c r="F17105" t="s">
        <v>52373</v>
      </c>
      <c r="G17105" s="2" t="str">
        <f>HYPERLINK("https://probpalata.gov.ru/files/ЮЛ780300308200809.jpeg","Скачать индивидуальный QR-код магазина")</f>
        <v>Скачать индивидуальный QR-код магазина</v>
      </c>
    </row>
    <row r="17106" spans="1:7" x14ac:dyDescent="0.25">
      <c r="A17106" t="s">
        <v>50404</v>
      </c>
      <c r="B17106" t="s">
        <v>52374</v>
      </c>
      <c r="C17106" t="s">
        <v>798</v>
      </c>
      <c r="D17106" t="s">
        <v>799</v>
      </c>
      <c r="E17106" t="s">
        <v>800</v>
      </c>
      <c r="F17106" t="s">
        <v>52375</v>
      </c>
      <c r="G17106" s="2" t="str">
        <f>HYPERLINK("https://probpalata.gov.ru/files/ЮЛ780300308200810.jpeg","Скачать индивидуальный QR-код магазина")</f>
        <v>Скачать индивидуальный QR-код магазина</v>
      </c>
    </row>
    <row r="17107" spans="1:7" x14ac:dyDescent="0.25">
      <c r="A17107" t="s">
        <v>50404</v>
      </c>
      <c r="B17107" t="s">
        <v>52376</v>
      </c>
      <c r="C17107" t="s">
        <v>798</v>
      </c>
      <c r="D17107" t="s">
        <v>799</v>
      </c>
      <c r="E17107" t="s">
        <v>800</v>
      </c>
      <c r="F17107" t="s">
        <v>52377</v>
      </c>
      <c r="G17107" s="2" t="str">
        <f>HYPERLINK("https://probpalata.gov.ru/files/ЮЛ780300308200812.jpeg","Скачать индивидуальный QR-код магазина")</f>
        <v>Скачать индивидуальный QR-код магазина</v>
      </c>
    </row>
    <row r="17108" spans="1:7" x14ac:dyDescent="0.25">
      <c r="A17108" t="s">
        <v>50404</v>
      </c>
      <c r="B17108" t="s">
        <v>52378</v>
      </c>
      <c r="C17108" t="s">
        <v>798</v>
      </c>
      <c r="D17108" t="s">
        <v>799</v>
      </c>
      <c r="E17108" t="s">
        <v>800</v>
      </c>
      <c r="F17108" t="s">
        <v>52379</v>
      </c>
      <c r="G17108" s="2" t="str">
        <f>HYPERLINK("https://probpalata.gov.ru/files/ЮЛ780300308200813.jpeg","Скачать индивидуальный QR-код магазина")</f>
        <v>Скачать индивидуальный QR-код магазина</v>
      </c>
    </row>
    <row r="17109" spans="1:7" x14ac:dyDescent="0.25">
      <c r="A17109" t="s">
        <v>50404</v>
      </c>
      <c r="B17109" t="s">
        <v>52380</v>
      </c>
      <c r="C17109" t="s">
        <v>798</v>
      </c>
      <c r="D17109" t="s">
        <v>799</v>
      </c>
      <c r="E17109" t="s">
        <v>800</v>
      </c>
      <c r="F17109" t="s">
        <v>52381</v>
      </c>
      <c r="G17109" s="2" t="str">
        <f>HYPERLINK("https://probpalata.gov.ru/files/ЮЛ780300308200901.jpeg","Скачать индивидуальный QR-код магазина")</f>
        <v>Скачать индивидуальный QR-код магазина</v>
      </c>
    </row>
    <row r="17110" spans="1:7" x14ac:dyDescent="0.25">
      <c r="A17110" t="s">
        <v>50404</v>
      </c>
      <c r="B17110" t="s">
        <v>52382</v>
      </c>
      <c r="C17110" t="s">
        <v>798</v>
      </c>
      <c r="D17110" t="s">
        <v>799</v>
      </c>
      <c r="E17110" t="s">
        <v>800</v>
      </c>
      <c r="F17110" t="s">
        <v>52383</v>
      </c>
      <c r="G17110" s="2" t="str">
        <f>HYPERLINK("https://probpalata.gov.ru/files/ЮЛ780300308200906.jpeg","Скачать индивидуальный QR-код магазина")</f>
        <v>Скачать индивидуальный QR-код магазина</v>
      </c>
    </row>
    <row r="17111" spans="1:7" x14ac:dyDescent="0.25">
      <c r="A17111" t="s">
        <v>50404</v>
      </c>
      <c r="B17111" t="s">
        <v>52384</v>
      </c>
      <c r="C17111" t="s">
        <v>798</v>
      </c>
      <c r="D17111" t="s">
        <v>799</v>
      </c>
      <c r="E17111" t="s">
        <v>800</v>
      </c>
      <c r="F17111" t="s">
        <v>52385</v>
      </c>
      <c r="G17111" s="2" t="str">
        <f>HYPERLINK("https://probpalata.gov.ru/files/ЮЛ780300308200981.jpeg","Скачать индивидуальный QR-код магазина")</f>
        <v>Скачать индивидуальный QR-код магазина</v>
      </c>
    </row>
    <row r="17112" spans="1:7" x14ac:dyDescent="0.25">
      <c r="A17112" t="s">
        <v>50404</v>
      </c>
      <c r="B17112" t="s">
        <v>52386</v>
      </c>
      <c r="C17112" t="s">
        <v>798</v>
      </c>
      <c r="D17112" t="s">
        <v>799</v>
      </c>
      <c r="E17112" t="s">
        <v>800</v>
      </c>
      <c r="F17112" t="s">
        <v>52387</v>
      </c>
      <c r="G17112" s="2" t="str">
        <f>HYPERLINK("https://probpalata.gov.ru/files/ЮЛ780300308201104.jpeg","Скачать индивидуальный QR-код магазина")</f>
        <v>Скачать индивидуальный QR-код магазина</v>
      </c>
    </row>
    <row r="17113" spans="1:7" x14ac:dyDescent="0.25">
      <c r="A17113" t="s">
        <v>50404</v>
      </c>
      <c r="B17113" t="s">
        <v>52388</v>
      </c>
      <c r="C17113" t="s">
        <v>798</v>
      </c>
      <c r="D17113" t="s">
        <v>799</v>
      </c>
      <c r="E17113" t="s">
        <v>800</v>
      </c>
      <c r="F17113" t="s">
        <v>52389</v>
      </c>
      <c r="G17113" s="2" t="str">
        <f>HYPERLINK("https://probpalata.gov.ru/files/ЮЛ780300308201224.jpeg","Скачать индивидуальный QR-код магазина")</f>
        <v>Скачать индивидуальный QR-код магазина</v>
      </c>
    </row>
    <row r="17114" spans="1:7" x14ac:dyDescent="0.25">
      <c r="A17114" t="s">
        <v>50404</v>
      </c>
      <c r="B17114" t="s">
        <v>52390</v>
      </c>
      <c r="C17114" t="s">
        <v>823</v>
      </c>
      <c r="D17114" t="s">
        <v>824</v>
      </c>
      <c r="E17114" t="s">
        <v>825</v>
      </c>
      <c r="F17114" t="s">
        <v>52391</v>
      </c>
      <c r="G17114" s="2" t="str">
        <f>HYPERLINK("https://probpalata.gov.ru/files/ЮЛ780300363500019.jpeg","Скачать индивидуальный QR-код магазина")</f>
        <v>Скачать индивидуальный QR-код магазина</v>
      </c>
    </row>
    <row r="17115" spans="1:7" x14ac:dyDescent="0.25">
      <c r="A17115" t="s">
        <v>50404</v>
      </c>
      <c r="B17115" t="s">
        <v>52293</v>
      </c>
      <c r="C17115" t="s">
        <v>823</v>
      </c>
      <c r="D17115" t="s">
        <v>824</v>
      </c>
      <c r="E17115" t="s">
        <v>825</v>
      </c>
      <c r="F17115" t="s">
        <v>52392</v>
      </c>
      <c r="G17115" s="2" t="str">
        <f>HYPERLINK("https://probpalata.gov.ru/files/ЮЛ780300363500023.jpeg","Скачать индивидуальный QR-код магазина")</f>
        <v>Скачать индивидуальный QR-код магазина</v>
      </c>
    </row>
    <row r="17116" spans="1:7" x14ac:dyDescent="0.25">
      <c r="A17116" t="s">
        <v>50404</v>
      </c>
      <c r="B17116" t="s">
        <v>52280</v>
      </c>
      <c r="C17116" t="s">
        <v>823</v>
      </c>
      <c r="D17116" t="s">
        <v>824</v>
      </c>
      <c r="E17116" t="s">
        <v>825</v>
      </c>
      <c r="F17116" t="s">
        <v>52393</v>
      </c>
      <c r="G17116" s="2" t="str">
        <f>HYPERLINK("https://probpalata.gov.ru/files/ЮЛ780300363500032.jpeg","Скачать индивидуальный QR-код магазина")</f>
        <v>Скачать индивидуальный QR-код магазина</v>
      </c>
    </row>
    <row r="17117" spans="1:7" x14ac:dyDescent="0.25">
      <c r="A17117" t="s">
        <v>50404</v>
      </c>
      <c r="B17117" t="s">
        <v>52295</v>
      </c>
      <c r="C17117" t="s">
        <v>823</v>
      </c>
      <c r="D17117" t="s">
        <v>824</v>
      </c>
      <c r="E17117" t="s">
        <v>825</v>
      </c>
      <c r="F17117" t="s">
        <v>52394</v>
      </c>
      <c r="G17117" s="2" t="str">
        <f>HYPERLINK("https://probpalata.gov.ru/files/ЮЛ780300363500086.jpeg","Скачать индивидуальный QR-код магазина")</f>
        <v>Скачать индивидуальный QR-код магазина</v>
      </c>
    </row>
    <row r="17118" spans="1:7" x14ac:dyDescent="0.25">
      <c r="A17118" t="s">
        <v>50404</v>
      </c>
      <c r="B17118" t="s">
        <v>52395</v>
      </c>
      <c r="C17118" t="s">
        <v>823</v>
      </c>
      <c r="D17118" t="s">
        <v>824</v>
      </c>
      <c r="E17118" t="s">
        <v>825</v>
      </c>
      <c r="F17118" t="s">
        <v>52396</v>
      </c>
      <c r="G17118" s="2" t="str">
        <f>HYPERLINK("https://probpalata.gov.ru/files/ЮЛ780300363500087.jpeg","Скачать индивидуальный QR-код магазина")</f>
        <v>Скачать индивидуальный QR-код магазина</v>
      </c>
    </row>
    <row r="17119" spans="1:7" x14ac:dyDescent="0.25">
      <c r="A17119" t="s">
        <v>50404</v>
      </c>
      <c r="B17119" t="s">
        <v>52331</v>
      </c>
      <c r="C17119" t="s">
        <v>823</v>
      </c>
      <c r="D17119" t="s">
        <v>824</v>
      </c>
      <c r="E17119" t="s">
        <v>825</v>
      </c>
      <c r="F17119" t="s">
        <v>52397</v>
      </c>
      <c r="G17119" s="2" t="str">
        <f>HYPERLINK("https://probpalata.gov.ru/files/ЮЛ780300363500088.jpeg","Скачать индивидуальный QR-код магазина")</f>
        <v>Скачать индивидуальный QR-код магазина</v>
      </c>
    </row>
    <row r="17120" spans="1:7" x14ac:dyDescent="0.25">
      <c r="A17120" t="s">
        <v>50404</v>
      </c>
      <c r="B17120" t="s">
        <v>52398</v>
      </c>
      <c r="C17120" t="s">
        <v>823</v>
      </c>
      <c r="D17120" t="s">
        <v>824</v>
      </c>
      <c r="E17120" t="s">
        <v>825</v>
      </c>
      <c r="F17120" t="s">
        <v>52399</v>
      </c>
      <c r="G17120" s="2" t="str">
        <f>HYPERLINK("https://probpalata.gov.ru/files/ЮЛ780300363500089.jpeg","Скачать индивидуальный QR-код магазина")</f>
        <v>Скачать индивидуальный QR-код магазина</v>
      </c>
    </row>
    <row r="17121" spans="1:7" x14ac:dyDescent="0.25">
      <c r="A17121" t="s">
        <v>50404</v>
      </c>
      <c r="B17121" t="s">
        <v>52400</v>
      </c>
      <c r="C17121" t="s">
        <v>823</v>
      </c>
      <c r="D17121" t="s">
        <v>824</v>
      </c>
      <c r="E17121" t="s">
        <v>825</v>
      </c>
      <c r="F17121" t="s">
        <v>52401</v>
      </c>
      <c r="G17121" s="2" t="str">
        <f>HYPERLINK("https://probpalata.gov.ru/files/ЮЛ780300363500090.jpeg","Скачать индивидуальный QR-код магазина")</f>
        <v>Скачать индивидуальный QR-код магазина</v>
      </c>
    </row>
    <row r="17122" spans="1:7" x14ac:dyDescent="0.25">
      <c r="A17122" t="s">
        <v>50404</v>
      </c>
      <c r="B17122" t="s">
        <v>52402</v>
      </c>
      <c r="C17122" t="s">
        <v>823</v>
      </c>
      <c r="D17122" t="s">
        <v>824</v>
      </c>
      <c r="E17122" t="s">
        <v>825</v>
      </c>
      <c r="F17122" t="s">
        <v>52403</v>
      </c>
      <c r="G17122" s="2" t="str">
        <f>HYPERLINK("https://probpalata.gov.ru/files/ЮЛ780300363500091.jpeg","Скачать индивидуальный QR-код магазина")</f>
        <v>Скачать индивидуальный QR-код магазина</v>
      </c>
    </row>
    <row r="17123" spans="1:7" x14ac:dyDescent="0.25">
      <c r="A17123" t="s">
        <v>50404</v>
      </c>
      <c r="B17123" t="s">
        <v>52286</v>
      </c>
      <c r="C17123" t="s">
        <v>823</v>
      </c>
      <c r="D17123" t="s">
        <v>824</v>
      </c>
      <c r="E17123" t="s">
        <v>825</v>
      </c>
      <c r="F17123" t="s">
        <v>52404</v>
      </c>
      <c r="G17123" s="2" t="str">
        <f>HYPERLINK("https://probpalata.gov.ru/files/ЮЛ780300363500092.jpeg","Скачать индивидуальный QR-код магазина")</f>
        <v>Скачать индивидуальный QR-код магазина</v>
      </c>
    </row>
    <row r="17124" spans="1:7" x14ac:dyDescent="0.25">
      <c r="A17124" t="s">
        <v>50404</v>
      </c>
      <c r="B17124" t="s">
        <v>52278</v>
      </c>
      <c r="C17124" t="s">
        <v>823</v>
      </c>
      <c r="D17124" t="s">
        <v>824</v>
      </c>
      <c r="E17124" t="s">
        <v>825</v>
      </c>
      <c r="F17124" t="s">
        <v>52405</v>
      </c>
      <c r="G17124" s="2" t="str">
        <f>HYPERLINK("https://probpalata.gov.ru/files/ЮЛ780300363500093.jpeg","Скачать индивидуальный QR-код магазина")</f>
        <v>Скачать индивидуальный QR-код магазина</v>
      </c>
    </row>
    <row r="17125" spans="1:7" x14ac:dyDescent="0.25">
      <c r="A17125" t="s">
        <v>50404</v>
      </c>
      <c r="B17125" t="s">
        <v>51747</v>
      </c>
      <c r="C17125" t="s">
        <v>823</v>
      </c>
      <c r="D17125" t="s">
        <v>824</v>
      </c>
      <c r="E17125" t="s">
        <v>825</v>
      </c>
      <c r="F17125" t="s">
        <v>52406</v>
      </c>
      <c r="G17125" s="2" t="str">
        <f>HYPERLINK("https://probpalata.gov.ru/files/ЮЛ780300363500094.jpeg","Скачать индивидуальный QR-код магазина")</f>
        <v>Скачать индивидуальный QR-код магазина</v>
      </c>
    </row>
    <row r="17126" spans="1:7" x14ac:dyDescent="0.25">
      <c r="A17126" t="s">
        <v>50404</v>
      </c>
      <c r="B17126" t="s">
        <v>52407</v>
      </c>
      <c r="C17126" t="s">
        <v>823</v>
      </c>
      <c r="D17126" t="s">
        <v>824</v>
      </c>
      <c r="E17126" t="s">
        <v>825</v>
      </c>
      <c r="F17126" t="s">
        <v>52408</v>
      </c>
      <c r="G17126" s="2" t="str">
        <f>HYPERLINK("https://probpalata.gov.ru/files/ЮЛ780300363500095.jpeg","Скачать индивидуальный QR-код магазина")</f>
        <v>Скачать индивидуальный QR-код магазина</v>
      </c>
    </row>
    <row r="17127" spans="1:7" x14ac:dyDescent="0.25">
      <c r="A17127" t="s">
        <v>50404</v>
      </c>
      <c r="B17127" t="s">
        <v>52348</v>
      </c>
      <c r="C17127" t="s">
        <v>823</v>
      </c>
      <c r="D17127" t="s">
        <v>824</v>
      </c>
      <c r="E17127" t="s">
        <v>825</v>
      </c>
      <c r="F17127" t="s">
        <v>52409</v>
      </c>
      <c r="G17127" s="2" t="str">
        <f>HYPERLINK("https://probpalata.gov.ru/files/ЮЛ780300363500100.jpeg","Скачать индивидуальный QR-код магазина")</f>
        <v>Скачать индивидуальный QR-код магазина</v>
      </c>
    </row>
    <row r="17128" spans="1:7" x14ac:dyDescent="0.25">
      <c r="A17128" t="s">
        <v>50404</v>
      </c>
      <c r="B17128" t="s">
        <v>52305</v>
      </c>
      <c r="C17128" t="s">
        <v>823</v>
      </c>
      <c r="D17128" t="s">
        <v>824</v>
      </c>
      <c r="E17128" t="s">
        <v>825</v>
      </c>
      <c r="F17128" t="s">
        <v>52410</v>
      </c>
      <c r="G17128" s="2" t="str">
        <f>HYPERLINK("https://probpalata.gov.ru/files/ЮЛ780300363500101.jpeg","Скачать индивидуальный QR-код магазина")</f>
        <v>Скачать индивидуальный QR-код магазина</v>
      </c>
    </row>
    <row r="17129" spans="1:7" x14ac:dyDescent="0.25">
      <c r="A17129" t="s">
        <v>50404</v>
      </c>
      <c r="B17129" t="s">
        <v>52411</v>
      </c>
      <c r="C17129" t="s">
        <v>823</v>
      </c>
      <c r="D17129" t="s">
        <v>824</v>
      </c>
      <c r="E17129" t="s">
        <v>825</v>
      </c>
      <c r="F17129" t="s">
        <v>52412</v>
      </c>
      <c r="G17129" s="2" t="str">
        <f>HYPERLINK("https://probpalata.gov.ru/files/ЮЛ780300363500102.jpeg","Скачать индивидуальный QR-код магазина")</f>
        <v>Скачать индивидуальный QR-код магазина</v>
      </c>
    </row>
    <row r="17130" spans="1:7" x14ac:dyDescent="0.25">
      <c r="A17130" t="s">
        <v>50404</v>
      </c>
      <c r="B17130" t="s">
        <v>52413</v>
      </c>
      <c r="C17130" t="s">
        <v>823</v>
      </c>
      <c r="D17130" t="s">
        <v>824</v>
      </c>
      <c r="E17130" t="s">
        <v>825</v>
      </c>
      <c r="F17130" t="s">
        <v>52414</v>
      </c>
      <c r="G17130" s="2" t="str">
        <f>HYPERLINK("https://probpalata.gov.ru/files/ЮЛ780300363500150.jpeg","Скачать индивидуальный QR-код магазина")</f>
        <v>Скачать индивидуальный QR-код магазина</v>
      </c>
    </row>
    <row r="17131" spans="1:7" x14ac:dyDescent="0.25">
      <c r="A17131" t="s">
        <v>50404</v>
      </c>
      <c r="B17131" t="s">
        <v>52311</v>
      </c>
      <c r="C17131" t="s">
        <v>823</v>
      </c>
      <c r="D17131" t="s">
        <v>824</v>
      </c>
      <c r="E17131" t="s">
        <v>825</v>
      </c>
      <c r="F17131" t="s">
        <v>52415</v>
      </c>
      <c r="G17131" s="2" t="str">
        <f>HYPERLINK("https://probpalata.gov.ru/files/ЮЛ780300363500151.jpeg","Скачать индивидуальный QR-код магазина")</f>
        <v>Скачать индивидуальный QR-код магазина</v>
      </c>
    </row>
    <row r="17132" spans="1:7" x14ac:dyDescent="0.25">
      <c r="A17132" t="s">
        <v>50404</v>
      </c>
      <c r="B17132" t="s">
        <v>52416</v>
      </c>
      <c r="C17132" t="s">
        <v>823</v>
      </c>
      <c r="D17132" t="s">
        <v>824</v>
      </c>
      <c r="E17132" t="s">
        <v>825</v>
      </c>
      <c r="F17132" t="s">
        <v>52417</v>
      </c>
      <c r="G17132" s="2" t="str">
        <f>HYPERLINK("https://probpalata.gov.ru/files/ЮЛ780300363500273.jpeg","Скачать индивидуальный QR-код магазина")</f>
        <v>Скачать индивидуальный QR-код магазина</v>
      </c>
    </row>
    <row r="17133" spans="1:7" x14ac:dyDescent="0.25">
      <c r="A17133" t="s">
        <v>50404</v>
      </c>
      <c r="B17133" t="s">
        <v>52418</v>
      </c>
      <c r="C17133" t="s">
        <v>823</v>
      </c>
      <c r="D17133" t="s">
        <v>824</v>
      </c>
      <c r="E17133" t="s">
        <v>825</v>
      </c>
      <c r="F17133" t="s">
        <v>52419</v>
      </c>
      <c r="G17133" s="2" t="str">
        <f>HYPERLINK("https://probpalata.gov.ru/files/ЮЛ780300363500274.jpeg","Скачать индивидуальный QR-код магазина")</f>
        <v>Скачать индивидуальный QR-код магазина</v>
      </c>
    </row>
    <row r="17134" spans="1:7" x14ac:dyDescent="0.25">
      <c r="A17134" t="s">
        <v>50404</v>
      </c>
      <c r="B17134" t="s">
        <v>52420</v>
      </c>
      <c r="C17134" t="s">
        <v>823</v>
      </c>
      <c r="D17134" t="s">
        <v>824</v>
      </c>
      <c r="E17134" t="s">
        <v>825</v>
      </c>
      <c r="F17134" t="s">
        <v>52421</v>
      </c>
      <c r="G17134" s="2" t="str">
        <f>HYPERLINK("https://probpalata.gov.ru/files/ЮЛ780300363500309.jpeg","Скачать индивидуальный QR-код магазина")</f>
        <v>Скачать индивидуальный QR-код магазина</v>
      </c>
    </row>
    <row r="17135" spans="1:7" x14ac:dyDescent="0.25">
      <c r="A17135" t="s">
        <v>50404</v>
      </c>
      <c r="B17135" t="s">
        <v>52422</v>
      </c>
      <c r="C17135" t="s">
        <v>1490</v>
      </c>
      <c r="D17135" t="s">
        <v>1491</v>
      </c>
      <c r="E17135" t="s">
        <v>1492</v>
      </c>
      <c r="F17135" t="s">
        <v>52423</v>
      </c>
      <c r="G17135" s="2" t="str">
        <f>HYPERLINK("https://probpalata.gov.ru/files/ЮЛ780301261200017.jpeg","Скачать индивидуальный QR-код магазина")</f>
        <v>Скачать индивидуальный QR-код магазина</v>
      </c>
    </row>
    <row r="17136" spans="1:7" x14ac:dyDescent="0.25">
      <c r="A17136" t="s">
        <v>50404</v>
      </c>
      <c r="B17136" t="s">
        <v>52424</v>
      </c>
      <c r="C17136" t="s">
        <v>1490</v>
      </c>
      <c r="D17136" t="s">
        <v>1491</v>
      </c>
      <c r="E17136" t="s">
        <v>1492</v>
      </c>
      <c r="F17136" t="s">
        <v>52425</v>
      </c>
      <c r="G17136" s="2" t="str">
        <f>HYPERLINK("https://probpalata.gov.ru/files/ЮЛ780301261200029.jpeg","Скачать индивидуальный QR-код магазина")</f>
        <v>Скачать индивидуальный QR-код магазина</v>
      </c>
    </row>
    <row r="17137" spans="1:7" x14ac:dyDescent="0.25">
      <c r="A17137" t="s">
        <v>50404</v>
      </c>
      <c r="B17137" t="s">
        <v>52426</v>
      </c>
      <c r="C17137" t="s">
        <v>1490</v>
      </c>
      <c r="D17137" t="s">
        <v>1491</v>
      </c>
      <c r="E17137" t="s">
        <v>1492</v>
      </c>
      <c r="F17137" t="s">
        <v>52427</v>
      </c>
      <c r="G17137" s="2" t="str">
        <f>HYPERLINK("https://probpalata.gov.ru/files/ЮЛ780301261200038.jpeg","Скачать индивидуальный QR-код магазина")</f>
        <v>Скачать индивидуальный QR-код магазина</v>
      </c>
    </row>
    <row r="17138" spans="1:7" x14ac:dyDescent="0.25">
      <c r="A17138" t="s">
        <v>50404</v>
      </c>
      <c r="B17138" t="s">
        <v>52428</v>
      </c>
      <c r="C17138" t="s">
        <v>52429</v>
      </c>
      <c r="D17138" t="s">
        <v>52430</v>
      </c>
      <c r="E17138" t="s">
        <v>52431</v>
      </c>
      <c r="F17138" t="s">
        <v>52432</v>
      </c>
      <c r="G17138" s="2" t="str">
        <f>HYPERLINK("https://probpalata.gov.ru/files/ИП660701325500000.jpeg","Скачать индивидуальный QR-код магазина")</f>
        <v>Скачать индивидуальный QR-код магазина</v>
      </c>
    </row>
    <row r="17139" spans="1:7" x14ac:dyDescent="0.25">
      <c r="A17139" t="s">
        <v>50404</v>
      </c>
      <c r="B17139" t="s">
        <v>52433</v>
      </c>
      <c r="C17139" t="s">
        <v>26080</v>
      </c>
      <c r="D17139" t="s">
        <v>26081</v>
      </c>
      <c r="E17139" t="s">
        <v>26082</v>
      </c>
      <c r="F17139" t="s">
        <v>52434</v>
      </c>
      <c r="G17139" s="2" t="str">
        <f>HYPERLINK("https://probpalata.gov.ru/files/ЮЛ770100668800007.jpeg","Скачать индивидуальный QR-код магазина")</f>
        <v>Скачать индивидуальный QR-код магазина</v>
      </c>
    </row>
    <row r="17140" spans="1:7" x14ac:dyDescent="0.25">
      <c r="A17140" t="s">
        <v>50404</v>
      </c>
      <c r="B17140" t="s">
        <v>52435</v>
      </c>
      <c r="C17140" t="s">
        <v>26149</v>
      </c>
      <c r="D17140" t="s">
        <v>26150</v>
      </c>
      <c r="E17140" t="s">
        <v>26151</v>
      </c>
      <c r="F17140" t="s">
        <v>52436</v>
      </c>
      <c r="G17140" s="2" t="str">
        <f>HYPERLINK("https://probpalata.gov.ru/files/ЮЛ770101919300003.jpeg","Скачать индивидуальный QR-код магазина")</f>
        <v>Скачать индивидуальный QR-код магазина</v>
      </c>
    </row>
    <row r="17141" spans="1:7" x14ac:dyDescent="0.25">
      <c r="A17141" t="s">
        <v>50404</v>
      </c>
      <c r="B17141" t="s">
        <v>52437</v>
      </c>
      <c r="C17141" t="s">
        <v>1501</v>
      </c>
      <c r="D17141" t="s">
        <v>1502</v>
      </c>
      <c r="E17141" t="s">
        <v>1503</v>
      </c>
      <c r="F17141" t="s">
        <v>52438</v>
      </c>
      <c r="G17141" s="2" t="str">
        <f>HYPERLINK("https://probpalata.gov.ru/files/ЮЛ770100439200124.jpeg","Скачать индивидуальный QR-код магазина")</f>
        <v>Скачать индивидуальный QR-код магазина</v>
      </c>
    </row>
    <row r="17142" spans="1:7" x14ac:dyDescent="0.25">
      <c r="A17142" t="s">
        <v>50404</v>
      </c>
      <c r="B17142" t="s">
        <v>52439</v>
      </c>
      <c r="C17142" t="s">
        <v>1501</v>
      </c>
      <c r="D17142" t="s">
        <v>1502</v>
      </c>
      <c r="E17142" t="s">
        <v>1503</v>
      </c>
      <c r="F17142" t="s">
        <v>52440</v>
      </c>
      <c r="G17142" s="2" t="str">
        <f>HYPERLINK("https://probpalata.gov.ru/files/ЮЛ770100439200125.jpeg","Скачать индивидуальный QR-код магазина")</f>
        <v>Скачать индивидуальный QR-код магазина</v>
      </c>
    </row>
    <row r="17143" spans="1:7" x14ac:dyDescent="0.25">
      <c r="A17143" t="s">
        <v>50404</v>
      </c>
      <c r="B17143" t="s">
        <v>52441</v>
      </c>
      <c r="C17143" t="s">
        <v>1501</v>
      </c>
      <c r="D17143" t="s">
        <v>1502</v>
      </c>
      <c r="E17143" t="s">
        <v>1503</v>
      </c>
      <c r="F17143" t="s">
        <v>52442</v>
      </c>
      <c r="G17143" s="2" t="str">
        <f>HYPERLINK("https://probpalata.gov.ru/files/ЮЛ770100439200126.jpeg","Скачать индивидуальный QR-код магазина")</f>
        <v>Скачать индивидуальный QR-код магазина</v>
      </c>
    </row>
    <row r="17144" spans="1:7" x14ac:dyDescent="0.25">
      <c r="A17144" t="s">
        <v>50404</v>
      </c>
      <c r="B17144" t="s">
        <v>52443</v>
      </c>
      <c r="C17144" t="s">
        <v>1501</v>
      </c>
      <c r="D17144" t="s">
        <v>1502</v>
      </c>
      <c r="E17144" t="s">
        <v>1503</v>
      </c>
      <c r="F17144" t="s">
        <v>52444</v>
      </c>
      <c r="G17144" s="2" t="str">
        <f>HYPERLINK("https://probpalata.gov.ru/files/ЮЛ770100439200127.jpeg","Скачать индивидуальный QR-код магазина")</f>
        <v>Скачать индивидуальный QR-код магазина</v>
      </c>
    </row>
    <row r="17145" spans="1:7" x14ac:dyDescent="0.25">
      <c r="A17145" t="s">
        <v>50404</v>
      </c>
      <c r="B17145" t="s">
        <v>52445</v>
      </c>
      <c r="C17145" t="s">
        <v>7852</v>
      </c>
      <c r="D17145" t="s">
        <v>7853</v>
      </c>
      <c r="E17145" t="s">
        <v>7854</v>
      </c>
      <c r="F17145" t="s">
        <v>52446</v>
      </c>
      <c r="G17145" s="2" t="str">
        <f>HYPERLINK("https://probpalata.gov.ru/files/ЮЛ770100029500003.jpeg","Скачать индивидуальный QR-код магазина")</f>
        <v>Скачать индивидуальный QR-код магазина</v>
      </c>
    </row>
    <row r="17146" spans="1:7" x14ac:dyDescent="0.25">
      <c r="A17146" t="s">
        <v>50404</v>
      </c>
      <c r="B17146" t="s">
        <v>52447</v>
      </c>
      <c r="C17146" t="s">
        <v>1853</v>
      </c>
      <c r="D17146" t="s">
        <v>1854</v>
      </c>
      <c r="E17146" t="s">
        <v>1855</v>
      </c>
      <c r="F17146" t="s">
        <v>52448</v>
      </c>
      <c r="G17146" s="2" t="str">
        <f>HYPERLINK("https://probpalata.gov.ru/files/ЮЛ770104000500003.jpeg","Скачать индивидуальный QR-код магазина")</f>
        <v>Скачать индивидуальный QR-код магазина</v>
      </c>
    </row>
    <row r="17147" spans="1:7" x14ac:dyDescent="0.25">
      <c r="A17147" t="s">
        <v>52449</v>
      </c>
      <c r="B17147" t="s">
        <v>52450</v>
      </c>
      <c r="C17147" t="s">
        <v>3246</v>
      </c>
      <c r="D17147" t="s">
        <v>3247</v>
      </c>
      <c r="E17147" t="s">
        <v>3248</v>
      </c>
      <c r="F17147" t="s">
        <v>52451</v>
      </c>
      <c r="G17147" s="2" t="str">
        <f>HYPERLINK("https://probpalata.gov.ru/files/ИП230400618900034.jpeg","Скачать индивидуальный QR-код магазина")</f>
        <v>Скачать индивидуальный QR-код магазина</v>
      </c>
    </row>
    <row r="17148" spans="1:7" x14ac:dyDescent="0.25">
      <c r="A17148" t="s">
        <v>52449</v>
      </c>
      <c r="B17148" t="s">
        <v>52452</v>
      </c>
      <c r="C17148" t="s">
        <v>3246</v>
      </c>
      <c r="D17148" t="s">
        <v>3247</v>
      </c>
      <c r="E17148" t="s">
        <v>3248</v>
      </c>
      <c r="F17148" t="s">
        <v>52453</v>
      </c>
      <c r="G17148" s="2" t="str">
        <f>HYPERLINK("https://probpalata.gov.ru/files/ИП230400618900036.jpeg","Скачать индивидуальный QR-код магазина")</f>
        <v>Скачать индивидуальный QR-код магазина</v>
      </c>
    </row>
    <row r="17149" spans="1:7" x14ac:dyDescent="0.25">
      <c r="A17149" t="s">
        <v>52449</v>
      </c>
      <c r="B17149" t="s">
        <v>52452</v>
      </c>
      <c r="C17149" t="s">
        <v>3246</v>
      </c>
      <c r="D17149" t="s">
        <v>3247</v>
      </c>
      <c r="E17149" t="s">
        <v>3248</v>
      </c>
      <c r="F17149" t="s">
        <v>52454</v>
      </c>
      <c r="G17149" s="2" t="str">
        <f>HYPERLINK("https://probpalata.gov.ru/files/ИП230400618900037.jpeg","Скачать индивидуальный QR-код магазина")</f>
        <v>Скачать индивидуальный QR-код магазина</v>
      </c>
    </row>
    <row r="17150" spans="1:7" x14ac:dyDescent="0.25">
      <c r="A17150" t="s">
        <v>52449</v>
      </c>
      <c r="B17150" t="s">
        <v>52455</v>
      </c>
      <c r="C17150" t="s">
        <v>3246</v>
      </c>
      <c r="D17150" t="s">
        <v>3247</v>
      </c>
      <c r="E17150" t="s">
        <v>3248</v>
      </c>
      <c r="F17150" t="s">
        <v>52456</v>
      </c>
      <c r="G17150" s="2" t="str">
        <f>HYPERLINK("https://probpalata.gov.ru/files/ИП230400618900042.jpeg","Скачать индивидуальный QR-код магазина")</f>
        <v>Скачать индивидуальный QR-код магазина</v>
      </c>
    </row>
    <row r="17151" spans="1:7" x14ac:dyDescent="0.25">
      <c r="A17151" t="s">
        <v>52449</v>
      </c>
      <c r="B17151" t="s">
        <v>52450</v>
      </c>
      <c r="C17151" t="s">
        <v>5296</v>
      </c>
      <c r="D17151" t="s">
        <v>5297</v>
      </c>
      <c r="E17151" t="s">
        <v>5298</v>
      </c>
      <c r="F17151" t="s">
        <v>52457</v>
      </c>
      <c r="G17151" s="2" t="str">
        <f>HYPERLINK("https://probpalata.gov.ru/files/ИП470303686600012.jpeg","Скачать индивидуальный QR-код магазина")</f>
        <v>Скачать индивидуальный QR-код магазина</v>
      </c>
    </row>
    <row r="17152" spans="1:7" x14ac:dyDescent="0.25">
      <c r="A17152" t="s">
        <v>52449</v>
      </c>
      <c r="B17152" t="s">
        <v>52458</v>
      </c>
      <c r="C17152" t="s">
        <v>5296</v>
      </c>
      <c r="D17152" t="s">
        <v>5297</v>
      </c>
      <c r="E17152" t="s">
        <v>5298</v>
      </c>
      <c r="F17152" t="s">
        <v>52459</v>
      </c>
      <c r="G17152" s="2" t="str">
        <f>HYPERLINK("https://probpalata.gov.ru/files/ИП470303686600015.jpeg","Скачать индивидуальный QR-код магазина")</f>
        <v>Скачать индивидуальный QR-код магазина</v>
      </c>
    </row>
    <row r="17153" spans="1:7" x14ac:dyDescent="0.25">
      <c r="A17153" t="s">
        <v>52449</v>
      </c>
      <c r="B17153" t="s">
        <v>52460</v>
      </c>
      <c r="C17153" t="s">
        <v>30190</v>
      </c>
      <c r="D17153" t="s">
        <v>30191</v>
      </c>
      <c r="E17153" t="s">
        <v>30192</v>
      </c>
      <c r="F17153" t="s">
        <v>52461</v>
      </c>
      <c r="G17153" s="2" t="str">
        <f>HYPERLINK("https://probpalata.gov.ru/files/ИП520600810100004.jpeg","Скачать индивидуальный QR-код магазина")</f>
        <v>Скачать индивидуальный QR-код магазина</v>
      </c>
    </row>
    <row r="17154" spans="1:7" x14ac:dyDescent="0.25">
      <c r="A17154" t="s">
        <v>52449</v>
      </c>
      <c r="B17154" t="s">
        <v>52462</v>
      </c>
      <c r="C17154" t="s">
        <v>52463</v>
      </c>
      <c r="D17154" t="s">
        <v>52464</v>
      </c>
      <c r="E17154" t="s">
        <v>52465</v>
      </c>
      <c r="F17154" t="s">
        <v>52466</v>
      </c>
      <c r="G17154" s="2" t="str">
        <f>HYPERLINK("https://probpalata.gov.ru/files/ИП780301992100000.jpeg","Скачать индивидуальный QR-код магазина")</f>
        <v>Скачать индивидуальный QR-код магазина</v>
      </c>
    </row>
    <row r="17155" spans="1:7" x14ac:dyDescent="0.25">
      <c r="A17155" t="s">
        <v>52449</v>
      </c>
      <c r="B17155" t="s">
        <v>52467</v>
      </c>
      <c r="C17155" t="s">
        <v>52468</v>
      </c>
      <c r="D17155" t="s">
        <v>52469</v>
      </c>
      <c r="E17155" t="s">
        <v>52470</v>
      </c>
      <c r="F17155" t="s">
        <v>52471</v>
      </c>
      <c r="G17155" s="2" t="str">
        <f>HYPERLINK("https://probpalata.gov.ru/files/ЮЛ520603902100000.jpeg","Скачать индивидуальный QR-код магазина")</f>
        <v>Скачать индивидуальный QR-код магазина</v>
      </c>
    </row>
    <row r="17156" spans="1:7" x14ac:dyDescent="0.25">
      <c r="A17156" t="s">
        <v>52449</v>
      </c>
      <c r="B17156" t="s">
        <v>52472</v>
      </c>
      <c r="C17156" t="s">
        <v>52473</v>
      </c>
      <c r="D17156" t="s">
        <v>52474</v>
      </c>
      <c r="E17156" t="s">
        <v>52475</v>
      </c>
      <c r="F17156" t="s">
        <v>52476</v>
      </c>
      <c r="G17156" s="2" t="str">
        <f>HYPERLINK("https://probpalata.gov.ru/files/ИП610401136700000.jpeg","Скачать индивидуальный QR-код магазина")</f>
        <v>Скачать индивидуальный QR-код магазина</v>
      </c>
    </row>
    <row r="17157" spans="1:7" x14ac:dyDescent="0.25">
      <c r="A17157" t="s">
        <v>52449</v>
      </c>
      <c r="B17157" t="s">
        <v>52477</v>
      </c>
      <c r="C17157" t="s">
        <v>7965</v>
      </c>
      <c r="D17157" t="s">
        <v>7966</v>
      </c>
      <c r="E17157" t="s">
        <v>7967</v>
      </c>
      <c r="F17157" t="s">
        <v>52478</v>
      </c>
      <c r="G17157" s="2" t="str">
        <f>HYPERLINK("https://probpalata.gov.ru/files/ЮЛ660700070800217.jpeg","Скачать индивидуальный QR-код магазина")</f>
        <v>Скачать индивидуальный QR-код магазина</v>
      </c>
    </row>
    <row r="17158" spans="1:7" x14ac:dyDescent="0.25">
      <c r="A17158" t="s">
        <v>52449</v>
      </c>
      <c r="B17158" t="s">
        <v>52479</v>
      </c>
      <c r="C17158" t="s">
        <v>15121</v>
      </c>
      <c r="D17158" t="s">
        <v>15122</v>
      </c>
      <c r="E17158" t="s">
        <v>15123</v>
      </c>
      <c r="F17158" t="s">
        <v>52480</v>
      </c>
      <c r="G17158" s="2" t="str">
        <f>HYPERLINK("https://probpalata.gov.ru/files/ЮЛ770101324600006.jpeg","Скачать индивидуальный QR-код магазина")</f>
        <v>Скачать индивидуальный QR-код магазина</v>
      </c>
    </row>
    <row r="17159" spans="1:7" x14ac:dyDescent="0.25">
      <c r="A17159" t="s">
        <v>52449</v>
      </c>
      <c r="B17159" t="s">
        <v>52481</v>
      </c>
      <c r="C17159" t="s">
        <v>15121</v>
      </c>
      <c r="D17159" t="s">
        <v>15122</v>
      </c>
      <c r="E17159" t="s">
        <v>15123</v>
      </c>
      <c r="F17159" t="s">
        <v>52482</v>
      </c>
      <c r="G17159" s="2" t="str">
        <f>HYPERLINK("https://probpalata.gov.ru/files/ЮЛ770101324600007.jpeg","Скачать индивидуальный QR-код магазина")</f>
        <v>Скачать индивидуальный QR-код магазина</v>
      </c>
    </row>
    <row r="17160" spans="1:7" x14ac:dyDescent="0.25">
      <c r="A17160" t="s">
        <v>52449</v>
      </c>
      <c r="B17160" t="s">
        <v>52483</v>
      </c>
      <c r="C17160" t="s">
        <v>15121</v>
      </c>
      <c r="D17160" t="s">
        <v>15122</v>
      </c>
      <c r="E17160" t="s">
        <v>15123</v>
      </c>
      <c r="F17160" t="s">
        <v>52484</v>
      </c>
      <c r="G17160" s="2" t="str">
        <f>HYPERLINK("https://probpalata.gov.ru/files/ЮЛ770101324600011.jpeg","Скачать индивидуальный QR-код магазина")</f>
        <v>Скачать индивидуальный QR-код магазина</v>
      </c>
    </row>
    <row r="17161" spans="1:7" x14ac:dyDescent="0.25">
      <c r="A17161" t="s">
        <v>52449</v>
      </c>
      <c r="B17161" t="s">
        <v>52485</v>
      </c>
      <c r="C17161" t="s">
        <v>15121</v>
      </c>
      <c r="D17161" t="s">
        <v>15122</v>
      </c>
      <c r="E17161" t="s">
        <v>15123</v>
      </c>
      <c r="F17161" t="s">
        <v>52486</v>
      </c>
      <c r="G17161" s="2" t="str">
        <f>HYPERLINK("https://probpalata.gov.ru/files/ЮЛ770101324600015.jpeg","Скачать индивидуальный QR-код магазина")</f>
        <v>Скачать индивидуальный QR-код магазина</v>
      </c>
    </row>
    <row r="17162" spans="1:7" x14ac:dyDescent="0.25">
      <c r="A17162" t="s">
        <v>52449</v>
      </c>
      <c r="B17162" t="s">
        <v>52487</v>
      </c>
      <c r="C17162" t="s">
        <v>15121</v>
      </c>
      <c r="D17162" t="s">
        <v>15122</v>
      </c>
      <c r="E17162" t="s">
        <v>15123</v>
      </c>
      <c r="F17162" t="s">
        <v>52488</v>
      </c>
      <c r="G17162" s="2" t="str">
        <f>HYPERLINK("https://probpalata.gov.ru/files/ЮЛ770101324600019.jpeg","Скачать индивидуальный QR-код магазина")</f>
        <v>Скачать индивидуальный QR-код магазина</v>
      </c>
    </row>
    <row r="17163" spans="1:7" x14ac:dyDescent="0.25">
      <c r="A17163" t="s">
        <v>52449</v>
      </c>
      <c r="B17163" t="s">
        <v>52489</v>
      </c>
      <c r="C17163" t="s">
        <v>15121</v>
      </c>
      <c r="D17163" t="s">
        <v>15122</v>
      </c>
      <c r="E17163" t="s">
        <v>15123</v>
      </c>
      <c r="F17163" t="s">
        <v>52490</v>
      </c>
      <c r="G17163" s="2" t="str">
        <f>HYPERLINK("https://probpalata.gov.ru/files/ЮЛ770101324600022.jpeg","Скачать индивидуальный QR-код магазина")</f>
        <v>Скачать индивидуальный QR-код магазина</v>
      </c>
    </row>
    <row r="17164" spans="1:7" x14ac:dyDescent="0.25">
      <c r="A17164" t="s">
        <v>52449</v>
      </c>
      <c r="B17164" t="s">
        <v>52491</v>
      </c>
      <c r="C17164" t="s">
        <v>7841</v>
      </c>
      <c r="D17164" t="s">
        <v>7842</v>
      </c>
      <c r="E17164" t="s">
        <v>7843</v>
      </c>
      <c r="F17164" t="s">
        <v>52492</v>
      </c>
      <c r="G17164" s="2" t="str">
        <f>HYPERLINK("https://probpalata.gov.ru/files/ЮЛ900403653600002.jpeg","Скачать индивидуальный QR-код магазина")</f>
        <v>Скачать индивидуальный QR-код магазина</v>
      </c>
    </row>
    <row r="17165" spans="1:7" x14ac:dyDescent="0.25">
      <c r="A17165" t="s">
        <v>52449</v>
      </c>
      <c r="B17165" t="s">
        <v>52493</v>
      </c>
      <c r="C17165" t="s">
        <v>39720</v>
      </c>
      <c r="D17165" t="s">
        <v>39721</v>
      </c>
      <c r="E17165" t="s">
        <v>39722</v>
      </c>
      <c r="F17165" t="s">
        <v>52494</v>
      </c>
      <c r="G17165" s="2" t="str">
        <f>HYPERLINK("https://probpalata.gov.ru/files/ИП820400535000000.jpeg","Скачать индивидуальный QR-код магазина")</f>
        <v>Скачать индивидуальный QR-код магазина</v>
      </c>
    </row>
    <row r="17166" spans="1:7" x14ac:dyDescent="0.25">
      <c r="A17166" t="s">
        <v>52449</v>
      </c>
      <c r="B17166" t="s">
        <v>52495</v>
      </c>
      <c r="C17166" t="s">
        <v>14542</v>
      </c>
      <c r="D17166" t="s">
        <v>39852</v>
      </c>
      <c r="E17166" t="s">
        <v>39853</v>
      </c>
      <c r="F17166" t="s">
        <v>52496</v>
      </c>
      <c r="G17166" s="2" t="str">
        <f>HYPERLINK("https://probpalata.gov.ru/files/ЮЛ820400778700006.jpeg","Скачать индивидуальный QR-код магазина")</f>
        <v>Скачать индивидуальный QR-код магазина</v>
      </c>
    </row>
    <row r="17167" spans="1:7" x14ac:dyDescent="0.25">
      <c r="A17167" t="s">
        <v>52449</v>
      </c>
      <c r="B17167" t="s">
        <v>52497</v>
      </c>
      <c r="C17167" t="s">
        <v>14542</v>
      </c>
      <c r="D17167" t="s">
        <v>39852</v>
      </c>
      <c r="E17167" t="s">
        <v>39853</v>
      </c>
      <c r="F17167" t="s">
        <v>52498</v>
      </c>
      <c r="G17167" s="2" t="str">
        <f>HYPERLINK("https://probpalata.gov.ru/files/ЮЛ820400778700010.jpeg","Скачать индивидуальный QR-код магазина")</f>
        <v>Скачать индивидуальный QR-код магазина</v>
      </c>
    </row>
    <row r="17168" spans="1:7" x14ac:dyDescent="0.25">
      <c r="A17168" t="s">
        <v>52449</v>
      </c>
      <c r="B17168" t="s">
        <v>52499</v>
      </c>
      <c r="C17168" t="s">
        <v>14542</v>
      </c>
      <c r="D17168" t="s">
        <v>39852</v>
      </c>
      <c r="E17168" t="s">
        <v>39853</v>
      </c>
      <c r="F17168" t="s">
        <v>52500</v>
      </c>
      <c r="G17168" s="2" t="str">
        <f>HYPERLINK("https://probpalata.gov.ru/files/ЮЛ820400778700011.jpeg","Скачать индивидуальный QR-код магазина")</f>
        <v>Скачать индивидуальный QR-код магазина</v>
      </c>
    </row>
    <row r="17169" spans="1:7" x14ac:dyDescent="0.25">
      <c r="A17169" t="s">
        <v>52449</v>
      </c>
      <c r="B17169" t="s">
        <v>52501</v>
      </c>
      <c r="C17169" t="s">
        <v>14542</v>
      </c>
      <c r="D17169" t="s">
        <v>39852</v>
      </c>
      <c r="E17169" t="s">
        <v>39853</v>
      </c>
      <c r="F17169" t="s">
        <v>52502</v>
      </c>
      <c r="G17169" s="2" t="str">
        <f>HYPERLINK("https://probpalata.gov.ru/files/ЮЛ820400778700012.jpeg","Скачать индивидуальный QR-код магазина")</f>
        <v>Скачать индивидуальный QR-код магазина</v>
      </c>
    </row>
    <row r="17170" spans="1:7" x14ac:dyDescent="0.25">
      <c r="A17170" t="s">
        <v>52449</v>
      </c>
      <c r="B17170" t="s">
        <v>52503</v>
      </c>
      <c r="C17170" t="s">
        <v>14542</v>
      </c>
      <c r="D17170" t="s">
        <v>39852</v>
      </c>
      <c r="E17170" t="s">
        <v>39853</v>
      </c>
      <c r="F17170" t="s">
        <v>52504</v>
      </c>
      <c r="G17170" s="2" t="str">
        <f>HYPERLINK("https://probpalata.gov.ru/files/ЮЛ820400778700013.jpeg","Скачать индивидуальный QR-код магазина")</f>
        <v>Скачать индивидуальный QR-код магазина</v>
      </c>
    </row>
    <row r="17171" spans="1:7" x14ac:dyDescent="0.25">
      <c r="A17171" t="s">
        <v>52449</v>
      </c>
      <c r="B17171" t="s">
        <v>52505</v>
      </c>
      <c r="C17171" t="s">
        <v>6419</v>
      </c>
      <c r="D17171" t="s">
        <v>6420</v>
      </c>
      <c r="E17171" t="s">
        <v>6421</v>
      </c>
      <c r="F17171" t="s">
        <v>52506</v>
      </c>
      <c r="G17171" s="2" t="str">
        <f>HYPERLINK("https://probpalata.gov.ru/files/ЮЛ910403571400002.jpeg","Скачать индивидуальный QR-код магазина")</f>
        <v>Скачать индивидуальный QR-код магазина</v>
      </c>
    </row>
    <row r="17172" spans="1:7" x14ac:dyDescent="0.25">
      <c r="A17172" t="s">
        <v>52449</v>
      </c>
      <c r="B17172" t="s">
        <v>52507</v>
      </c>
      <c r="C17172" t="s">
        <v>6419</v>
      </c>
      <c r="D17172" t="s">
        <v>6420</v>
      </c>
      <c r="E17172" t="s">
        <v>6421</v>
      </c>
      <c r="F17172" t="s">
        <v>52508</v>
      </c>
      <c r="G17172" s="2" t="str">
        <f>HYPERLINK("https://probpalata.gov.ru/files/ЮЛ910403571400004.jpeg","Скачать индивидуальный QR-код магазина")</f>
        <v>Скачать индивидуальный QR-код магазина</v>
      </c>
    </row>
    <row r="17173" spans="1:7" x14ac:dyDescent="0.25">
      <c r="A17173" t="s">
        <v>52449</v>
      </c>
      <c r="B17173" t="s">
        <v>52509</v>
      </c>
      <c r="C17173" t="s">
        <v>6419</v>
      </c>
      <c r="D17173" t="s">
        <v>6420</v>
      </c>
      <c r="E17173" t="s">
        <v>6421</v>
      </c>
      <c r="F17173" t="s">
        <v>52510</v>
      </c>
      <c r="G17173" s="2" t="str">
        <f>HYPERLINK("https://probpalata.gov.ru/files/ЮЛ910403571400006.jpeg","Скачать индивидуальный QR-код магазина")</f>
        <v>Скачать индивидуальный QR-код магазина</v>
      </c>
    </row>
    <row r="17174" spans="1:7" x14ac:dyDescent="0.25">
      <c r="A17174" t="s">
        <v>52449</v>
      </c>
      <c r="B17174" t="s">
        <v>52511</v>
      </c>
      <c r="C17174" t="s">
        <v>6419</v>
      </c>
      <c r="D17174" t="s">
        <v>6420</v>
      </c>
      <c r="E17174" t="s">
        <v>6421</v>
      </c>
      <c r="F17174" t="s">
        <v>52512</v>
      </c>
      <c r="G17174" s="2" t="str">
        <f>HYPERLINK("https://probpalata.gov.ru/files/ЮЛ910403571400007.jpeg","Скачать индивидуальный QR-код магазина")</f>
        <v>Скачать индивидуальный QR-код магазина</v>
      </c>
    </row>
    <row r="17175" spans="1:7" x14ac:dyDescent="0.25">
      <c r="A17175" t="s">
        <v>52449</v>
      </c>
      <c r="B17175" t="s">
        <v>52513</v>
      </c>
      <c r="C17175" t="s">
        <v>6419</v>
      </c>
      <c r="D17175" t="s">
        <v>6420</v>
      </c>
      <c r="E17175" t="s">
        <v>6421</v>
      </c>
      <c r="F17175" t="s">
        <v>52514</v>
      </c>
      <c r="G17175" s="2" t="str">
        <f>HYPERLINK("https://probpalata.gov.ru/files/ЮЛ910403571400010.jpeg","Скачать индивидуальный QR-код магазина")</f>
        <v>Скачать индивидуальный QR-код магазина</v>
      </c>
    </row>
    <row r="17176" spans="1:7" x14ac:dyDescent="0.25">
      <c r="A17176" t="s">
        <v>52449</v>
      </c>
      <c r="B17176" t="s">
        <v>52515</v>
      </c>
      <c r="C17176" t="s">
        <v>6419</v>
      </c>
      <c r="D17176" t="s">
        <v>6420</v>
      </c>
      <c r="E17176" t="s">
        <v>6421</v>
      </c>
      <c r="F17176" t="s">
        <v>52516</v>
      </c>
      <c r="G17176" s="2" t="str">
        <f>HYPERLINK("https://probpalata.gov.ru/files/ЮЛ910403571400020.jpeg","Скачать индивидуальный QR-код магазина")</f>
        <v>Скачать индивидуальный QR-код магазина</v>
      </c>
    </row>
    <row r="17177" spans="1:7" x14ac:dyDescent="0.25">
      <c r="A17177" t="s">
        <v>52449</v>
      </c>
      <c r="B17177" t="s">
        <v>52517</v>
      </c>
      <c r="C17177" t="s">
        <v>6419</v>
      </c>
      <c r="D17177" t="s">
        <v>6420</v>
      </c>
      <c r="E17177" t="s">
        <v>6421</v>
      </c>
      <c r="F17177" t="s">
        <v>52518</v>
      </c>
      <c r="G17177" s="2" t="str">
        <f>HYPERLINK("https://probpalata.gov.ru/files/ЮЛ910403571400021.jpeg","Скачать индивидуальный QR-код магазина")</f>
        <v>Скачать индивидуальный QR-код магазина</v>
      </c>
    </row>
    <row r="17178" spans="1:7" x14ac:dyDescent="0.25">
      <c r="A17178" t="s">
        <v>52449</v>
      </c>
      <c r="B17178" t="s">
        <v>52519</v>
      </c>
      <c r="C17178" t="s">
        <v>6419</v>
      </c>
      <c r="D17178" t="s">
        <v>6420</v>
      </c>
      <c r="E17178" t="s">
        <v>6421</v>
      </c>
      <c r="F17178" t="s">
        <v>52520</v>
      </c>
      <c r="G17178" s="2" t="str">
        <f>HYPERLINK("https://probpalata.gov.ru/files/ЮЛ910403571400022.jpeg","Скачать индивидуальный QR-код магазина")</f>
        <v>Скачать индивидуальный QR-код магазина</v>
      </c>
    </row>
    <row r="17179" spans="1:7" x14ac:dyDescent="0.25">
      <c r="A17179" t="s">
        <v>52449</v>
      </c>
      <c r="B17179" t="s">
        <v>52521</v>
      </c>
      <c r="C17179" t="s">
        <v>6419</v>
      </c>
      <c r="D17179" t="s">
        <v>6420</v>
      </c>
      <c r="E17179" t="s">
        <v>6421</v>
      </c>
      <c r="F17179" t="s">
        <v>52522</v>
      </c>
      <c r="G17179" s="2" t="str">
        <f>HYPERLINK("https://probpalata.gov.ru/files/ЮЛ910403571400023.jpeg","Скачать индивидуальный QR-код магазина")</f>
        <v>Скачать индивидуальный QR-код магазина</v>
      </c>
    </row>
    <row r="17180" spans="1:7" x14ac:dyDescent="0.25">
      <c r="A17180" t="s">
        <v>52449</v>
      </c>
      <c r="B17180" t="s">
        <v>52523</v>
      </c>
      <c r="C17180" t="s">
        <v>6419</v>
      </c>
      <c r="D17180" t="s">
        <v>6420</v>
      </c>
      <c r="E17180" t="s">
        <v>6421</v>
      </c>
      <c r="F17180" t="s">
        <v>52524</v>
      </c>
      <c r="G17180" s="2" t="str">
        <f>HYPERLINK("https://probpalata.gov.ru/files/ЮЛ910403571400025.jpeg","Скачать индивидуальный QR-код магазина")</f>
        <v>Скачать индивидуальный QR-код магазина</v>
      </c>
    </row>
    <row r="17181" spans="1:7" x14ac:dyDescent="0.25">
      <c r="A17181" t="s">
        <v>52449</v>
      </c>
      <c r="B17181" t="s">
        <v>52525</v>
      </c>
      <c r="C17181" t="s">
        <v>6419</v>
      </c>
      <c r="D17181" t="s">
        <v>6420</v>
      </c>
      <c r="E17181" t="s">
        <v>6421</v>
      </c>
      <c r="F17181" t="s">
        <v>52526</v>
      </c>
      <c r="G17181" s="2" t="str">
        <f>HYPERLINK("https://probpalata.gov.ru/files/ЮЛ910403571400027.jpeg","Скачать индивидуальный QR-код магазина")</f>
        <v>Скачать индивидуальный QR-код магазина</v>
      </c>
    </row>
    <row r="17182" spans="1:7" x14ac:dyDescent="0.25">
      <c r="A17182" t="s">
        <v>52449</v>
      </c>
      <c r="B17182" t="s">
        <v>52527</v>
      </c>
      <c r="C17182" t="s">
        <v>6419</v>
      </c>
      <c r="D17182" t="s">
        <v>6420</v>
      </c>
      <c r="E17182" t="s">
        <v>6421</v>
      </c>
      <c r="F17182" t="s">
        <v>52528</v>
      </c>
      <c r="G17182" s="2" t="str">
        <f>HYPERLINK("https://probpalata.gov.ru/files/ЮЛ910403571400028.jpeg","Скачать индивидуальный QR-код магазина")</f>
        <v>Скачать индивидуальный QR-код магазина</v>
      </c>
    </row>
    <row r="17183" spans="1:7" x14ac:dyDescent="0.25">
      <c r="A17183" t="s">
        <v>52449</v>
      </c>
      <c r="B17183" t="s">
        <v>52529</v>
      </c>
      <c r="C17183" t="s">
        <v>6419</v>
      </c>
      <c r="D17183" t="s">
        <v>6420</v>
      </c>
      <c r="E17183" t="s">
        <v>6421</v>
      </c>
      <c r="F17183" t="s">
        <v>52530</v>
      </c>
      <c r="G17183" s="2" t="str">
        <f>HYPERLINK("https://probpalata.gov.ru/files/ЮЛ910403571400030.jpeg","Скачать индивидуальный QR-код магазина")</f>
        <v>Скачать индивидуальный QR-код магазина</v>
      </c>
    </row>
    <row r="17184" spans="1:7" x14ac:dyDescent="0.25">
      <c r="A17184" t="s">
        <v>52449</v>
      </c>
      <c r="B17184" t="s">
        <v>52531</v>
      </c>
      <c r="C17184" t="s">
        <v>6419</v>
      </c>
      <c r="D17184" t="s">
        <v>6420</v>
      </c>
      <c r="E17184" t="s">
        <v>6421</v>
      </c>
      <c r="F17184" t="s">
        <v>52532</v>
      </c>
      <c r="G17184" s="2" t="str">
        <f>HYPERLINK("https://probpalata.gov.ru/files/ЮЛ910403571400031.jpeg","Скачать индивидуальный QR-код магазина")</f>
        <v>Скачать индивидуальный QR-код магазина</v>
      </c>
    </row>
    <row r="17185" spans="1:7" x14ac:dyDescent="0.25">
      <c r="A17185" t="s">
        <v>52449</v>
      </c>
      <c r="B17185" t="s">
        <v>52533</v>
      </c>
      <c r="C17185" t="s">
        <v>6419</v>
      </c>
      <c r="D17185" t="s">
        <v>6420</v>
      </c>
      <c r="E17185" t="s">
        <v>6421</v>
      </c>
      <c r="F17185" t="s">
        <v>52534</v>
      </c>
      <c r="G17185" s="2" t="str">
        <f>HYPERLINK("https://probpalata.gov.ru/files/ЮЛ910403571400032.jpeg","Скачать индивидуальный QR-код магазина")</f>
        <v>Скачать индивидуальный QR-код магазина</v>
      </c>
    </row>
    <row r="17186" spans="1:7" x14ac:dyDescent="0.25">
      <c r="A17186" t="s">
        <v>52449</v>
      </c>
      <c r="B17186" t="s">
        <v>52535</v>
      </c>
      <c r="C17186" t="s">
        <v>6419</v>
      </c>
      <c r="D17186" t="s">
        <v>6420</v>
      </c>
      <c r="E17186" t="s">
        <v>6421</v>
      </c>
      <c r="F17186" t="s">
        <v>52536</v>
      </c>
      <c r="G17186" s="2" t="str">
        <f>HYPERLINK("https://probpalata.gov.ru/files/ЮЛ910403571400033.jpeg","Скачать индивидуальный QR-код магазина")</f>
        <v>Скачать индивидуальный QR-код магазина</v>
      </c>
    </row>
    <row r="17187" spans="1:7" x14ac:dyDescent="0.25">
      <c r="A17187" t="s">
        <v>52449</v>
      </c>
      <c r="B17187" t="s">
        <v>52537</v>
      </c>
      <c r="C17187" t="s">
        <v>6419</v>
      </c>
      <c r="D17187" t="s">
        <v>6420</v>
      </c>
      <c r="E17187" t="s">
        <v>6421</v>
      </c>
      <c r="F17187" t="s">
        <v>52538</v>
      </c>
      <c r="G17187" s="2" t="str">
        <f>HYPERLINK("https://probpalata.gov.ru/files/ЮЛ910403571400045.jpeg","Скачать индивидуальный QR-код магазина")</f>
        <v>Скачать индивидуальный QR-код магазина</v>
      </c>
    </row>
    <row r="17188" spans="1:7" x14ac:dyDescent="0.25">
      <c r="A17188" t="s">
        <v>52449</v>
      </c>
      <c r="B17188" t="s">
        <v>52539</v>
      </c>
      <c r="C17188" t="s">
        <v>6419</v>
      </c>
      <c r="D17188" t="s">
        <v>6420</v>
      </c>
      <c r="E17188" t="s">
        <v>6421</v>
      </c>
      <c r="F17188" t="s">
        <v>52540</v>
      </c>
      <c r="G17188" s="2" t="str">
        <f>HYPERLINK("https://probpalata.gov.ru/files/ЮЛ910403571400059.jpeg","Скачать индивидуальный QR-код магазина")</f>
        <v>Скачать индивидуальный QR-код магазина</v>
      </c>
    </row>
    <row r="17189" spans="1:7" x14ac:dyDescent="0.25">
      <c r="A17189" t="s">
        <v>52449</v>
      </c>
      <c r="B17189" t="s">
        <v>52541</v>
      </c>
      <c r="C17189" t="s">
        <v>6419</v>
      </c>
      <c r="D17189" t="s">
        <v>6420</v>
      </c>
      <c r="E17189" t="s">
        <v>6421</v>
      </c>
      <c r="F17189" t="s">
        <v>52542</v>
      </c>
      <c r="G17189" s="2" t="str">
        <f>HYPERLINK("https://probpalata.gov.ru/files/ЮЛ910403571400066.jpeg","Скачать индивидуальный QR-код магазина")</f>
        <v>Скачать индивидуальный QR-код магазина</v>
      </c>
    </row>
    <row r="17190" spans="1:7" x14ac:dyDescent="0.25">
      <c r="A17190" t="s">
        <v>52449</v>
      </c>
      <c r="B17190" t="s">
        <v>52543</v>
      </c>
      <c r="C17190" t="s">
        <v>6419</v>
      </c>
      <c r="D17190" t="s">
        <v>6420</v>
      </c>
      <c r="E17190" t="s">
        <v>6421</v>
      </c>
      <c r="F17190" t="s">
        <v>52544</v>
      </c>
      <c r="G17190" s="2" t="str">
        <f>HYPERLINK("https://probpalata.gov.ru/files/ЮЛ910403571400073.jpeg","Скачать индивидуальный QR-код магазина")</f>
        <v>Скачать индивидуальный QR-код магазина</v>
      </c>
    </row>
    <row r="17191" spans="1:7" x14ac:dyDescent="0.25">
      <c r="A17191" t="s">
        <v>52449</v>
      </c>
      <c r="B17191" t="s">
        <v>52545</v>
      </c>
      <c r="C17191" t="s">
        <v>6419</v>
      </c>
      <c r="D17191" t="s">
        <v>6420</v>
      </c>
      <c r="E17191" t="s">
        <v>6421</v>
      </c>
      <c r="F17191" t="s">
        <v>52546</v>
      </c>
      <c r="G17191" s="2" t="str">
        <f>HYPERLINK("https://probpalata.gov.ru/files/ЮЛ910403571400075.jpeg","Скачать индивидуальный QR-код магазина")</f>
        <v>Скачать индивидуальный QR-код магазина</v>
      </c>
    </row>
    <row r="17192" spans="1:7" x14ac:dyDescent="0.25">
      <c r="A17192" t="s">
        <v>52449</v>
      </c>
      <c r="B17192" t="s">
        <v>52547</v>
      </c>
      <c r="C17192" t="s">
        <v>6419</v>
      </c>
      <c r="D17192" t="s">
        <v>6420</v>
      </c>
      <c r="E17192" t="s">
        <v>6421</v>
      </c>
      <c r="F17192" t="s">
        <v>52548</v>
      </c>
      <c r="G17192" s="2" t="str">
        <f>HYPERLINK("https://probpalata.gov.ru/files/ЮЛ910403571400077.jpeg","Скачать индивидуальный QR-код магазина")</f>
        <v>Скачать индивидуальный QR-код магазина</v>
      </c>
    </row>
    <row r="17193" spans="1:7" x14ac:dyDescent="0.25">
      <c r="A17193" t="s">
        <v>52449</v>
      </c>
      <c r="B17193" t="s">
        <v>52549</v>
      </c>
      <c r="C17193" t="s">
        <v>6423</v>
      </c>
      <c r="D17193" t="s">
        <v>6424</v>
      </c>
      <c r="E17193" t="s">
        <v>6425</v>
      </c>
      <c r="F17193" t="s">
        <v>52550</v>
      </c>
      <c r="G17193" s="2" t="str">
        <f>HYPERLINK("https://probpalata.gov.ru/files/ЮЛ910403620200029.jpeg","Скачать индивидуальный QR-код магазина")</f>
        <v>Скачать индивидуальный QR-код магазина</v>
      </c>
    </row>
    <row r="17194" spans="1:7" x14ac:dyDescent="0.25">
      <c r="A17194" t="s">
        <v>52449</v>
      </c>
      <c r="B17194" t="s">
        <v>52551</v>
      </c>
      <c r="C17194" t="s">
        <v>6423</v>
      </c>
      <c r="D17194" t="s">
        <v>6424</v>
      </c>
      <c r="E17194" t="s">
        <v>6425</v>
      </c>
      <c r="F17194" t="s">
        <v>52552</v>
      </c>
      <c r="G17194" s="2" t="str">
        <f>HYPERLINK("https://probpalata.gov.ru/files/ЮЛ910403620200030.jpeg","Скачать индивидуальный QR-код магазина")</f>
        <v>Скачать индивидуальный QR-код магазина</v>
      </c>
    </row>
    <row r="17195" spans="1:7" x14ac:dyDescent="0.25">
      <c r="A17195" t="s">
        <v>52449</v>
      </c>
      <c r="B17195" t="s">
        <v>52533</v>
      </c>
      <c r="C17195" t="s">
        <v>6423</v>
      </c>
      <c r="D17195" t="s">
        <v>6424</v>
      </c>
      <c r="E17195" t="s">
        <v>6425</v>
      </c>
      <c r="F17195" t="s">
        <v>52553</v>
      </c>
      <c r="G17195" s="2" t="str">
        <f>HYPERLINK("https://probpalata.gov.ru/files/ЮЛ910403620200034.jpeg","Скачать индивидуальный QR-код магазина")</f>
        <v>Скачать индивидуальный QR-код магазина</v>
      </c>
    </row>
    <row r="17196" spans="1:7" x14ac:dyDescent="0.25">
      <c r="A17196" t="s">
        <v>52449</v>
      </c>
      <c r="B17196" t="s">
        <v>52539</v>
      </c>
      <c r="C17196" t="s">
        <v>6423</v>
      </c>
      <c r="D17196" t="s">
        <v>6424</v>
      </c>
      <c r="E17196" t="s">
        <v>6425</v>
      </c>
      <c r="F17196" t="s">
        <v>52554</v>
      </c>
      <c r="G17196" s="2" t="str">
        <f>HYPERLINK("https://probpalata.gov.ru/files/ЮЛ910403620200035.jpeg","Скачать индивидуальный QR-код магазина")</f>
        <v>Скачать индивидуальный QR-код магазина</v>
      </c>
    </row>
    <row r="17197" spans="1:7" x14ac:dyDescent="0.25">
      <c r="A17197" t="s">
        <v>52449</v>
      </c>
      <c r="B17197" t="s">
        <v>52511</v>
      </c>
      <c r="C17197" t="s">
        <v>6423</v>
      </c>
      <c r="D17197" t="s">
        <v>6424</v>
      </c>
      <c r="E17197" t="s">
        <v>6425</v>
      </c>
      <c r="F17197" t="s">
        <v>52555</v>
      </c>
      <c r="G17197" s="2" t="str">
        <f>HYPERLINK("https://probpalata.gov.ru/files/ЮЛ910403620200037.jpeg","Скачать индивидуальный QR-код магазина")</f>
        <v>Скачать индивидуальный QR-код магазина</v>
      </c>
    </row>
    <row r="17198" spans="1:7" x14ac:dyDescent="0.25">
      <c r="A17198" t="s">
        <v>52449</v>
      </c>
      <c r="B17198" t="s">
        <v>52513</v>
      </c>
      <c r="C17198" t="s">
        <v>6423</v>
      </c>
      <c r="D17198" t="s">
        <v>6424</v>
      </c>
      <c r="E17198" t="s">
        <v>6425</v>
      </c>
      <c r="F17198" t="s">
        <v>52556</v>
      </c>
      <c r="G17198" s="2" t="str">
        <f>HYPERLINK("https://probpalata.gov.ru/files/ЮЛ910403620200038.jpeg","Скачать индивидуальный QR-код магазина")</f>
        <v>Скачать индивидуальный QR-код магазина</v>
      </c>
    </row>
    <row r="17199" spans="1:7" x14ac:dyDescent="0.25">
      <c r="A17199" t="s">
        <v>52449</v>
      </c>
      <c r="B17199" t="s">
        <v>52515</v>
      </c>
      <c r="C17199" t="s">
        <v>6423</v>
      </c>
      <c r="D17199" t="s">
        <v>6424</v>
      </c>
      <c r="E17199" t="s">
        <v>6425</v>
      </c>
      <c r="F17199" t="s">
        <v>52557</v>
      </c>
      <c r="G17199" s="2" t="str">
        <f>HYPERLINK("https://probpalata.gov.ru/files/ЮЛ910403620200047.jpeg","Скачать индивидуальный QR-код магазина")</f>
        <v>Скачать индивидуальный QR-код магазина</v>
      </c>
    </row>
    <row r="17200" spans="1:7" x14ac:dyDescent="0.25">
      <c r="A17200" t="s">
        <v>52449</v>
      </c>
      <c r="B17200" t="s">
        <v>52519</v>
      </c>
      <c r="C17200" t="s">
        <v>6423</v>
      </c>
      <c r="D17200" t="s">
        <v>6424</v>
      </c>
      <c r="E17200" t="s">
        <v>6425</v>
      </c>
      <c r="F17200" t="s">
        <v>52558</v>
      </c>
      <c r="G17200" s="2" t="str">
        <f>HYPERLINK("https://probpalata.gov.ru/files/ЮЛ910403620200048.jpeg","Скачать индивидуальный QR-код магазина")</f>
        <v>Скачать индивидуальный QR-код магазина</v>
      </c>
    </row>
    <row r="17201" spans="1:7" x14ac:dyDescent="0.25">
      <c r="A17201" t="s">
        <v>52449</v>
      </c>
      <c r="B17201" t="s">
        <v>52517</v>
      </c>
      <c r="C17201" t="s">
        <v>6423</v>
      </c>
      <c r="D17201" t="s">
        <v>6424</v>
      </c>
      <c r="E17201" t="s">
        <v>6425</v>
      </c>
      <c r="F17201" t="s">
        <v>52559</v>
      </c>
      <c r="G17201" s="2" t="str">
        <f>HYPERLINK("https://probpalata.gov.ru/files/ЮЛ910403620200049.jpeg","Скачать индивидуальный QR-код магазина")</f>
        <v>Скачать индивидуальный QR-код магазина</v>
      </c>
    </row>
    <row r="17202" spans="1:7" x14ac:dyDescent="0.25">
      <c r="A17202" t="s">
        <v>52449</v>
      </c>
      <c r="B17202" t="s">
        <v>52505</v>
      </c>
      <c r="C17202" t="s">
        <v>6423</v>
      </c>
      <c r="D17202" t="s">
        <v>6424</v>
      </c>
      <c r="E17202" t="s">
        <v>6425</v>
      </c>
      <c r="F17202" t="s">
        <v>52560</v>
      </c>
      <c r="G17202" s="2" t="str">
        <f>HYPERLINK("https://probpalata.gov.ru/files/ЮЛ910403620200052.jpeg","Скачать индивидуальный QR-код магазина")</f>
        <v>Скачать индивидуальный QR-код магазина</v>
      </c>
    </row>
    <row r="17203" spans="1:7" x14ac:dyDescent="0.25">
      <c r="A17203" t="s">
        <v>52449</v>
      </c>
      <c r="B17203" t="s">
        <v>52531</v>
      </c>
      <c r="C17203" t="s">
        <v>6423</v>
      </c>
      <c r="D17203" t="s">
        <v>6424</v>
      </c>
      <c r="E17203" t="s">
        <v>6425</v>
      </c>
      <c r="F17203" t="s">
        <v>52561</v>
      </c>
      <c r="G17203" s="2" t="str">
        <f>HYPERLINK("https://probpalata.gov.ru/files/ЮЛ910403620200053.jpeg","Скачать индивидуальный QR-код магазина")</f>
        <v>Скачать индивидуальный QR-код магазина</v>
      </c>
    </row>
    <row r="17204" spans="1:7" x14ac:dyDescent="0.25">
      <c r="A17204" t="s">
        <v>52449</v>
      </c>
      <c r="B17204" t="s">
        <v>52537</v>
      </c>
      <c r="C17204" t="s">
        <v>6423</v>
      </c>
      <c r="D17204" t="s">
        <v>6424</v>
      </c>
      <c r="E17204" t="s">
        <v>6425</v>
      </c>
      <c r="F17204" t="s">
        <v>52562</v>
      </c>
      <c r="G17204" s="2" t="str">
        <f>HYPERLINK("https://probpalata.gov.ru/files/ЮЛ910403620200054.jpeg","Скачать индивидуальный QR-код магазина")</f>
        <v>Скачать индивидуальный QR-код магазина</v>
      </c>
    </row>
    <row r="17205" spans="1:7" x14ac:dyDescent="0.25">
      <c r="A17205" t="s">
        <v>52449</v>
      </c>
      <c r="B17205" t="s">
        <v>52529</v>
      </c>
      <c r="C17205" t="s">
        <v>6423</v>
      </c>
      <c r="D17205" t="s">
        <v>6424</v>
      </c>
      <c r="E17205" t="s">
        <v>6425</v>
      </c>
      <c r="F17205" t="s">
        <v>52563</v>
      </c>
      <c r="G17205" s="2" t="str">
        <f>HYPERLINK("https://probpalata.gov.ru/files/ЮЛ910403620200055.jpeg","Скачать индивидуальный QR-код магазина")</f>
        <v>Скачать индивидуальный QR-код магазина</v>
      </c>
    </row>
    <row r="17206" spans="1:7" x14ac:dyDescent="0.25">
      <c r="A17206" t="s">
        <v>52449</v>
      </c>
      <c r="B17206" t="s">
        <v>52564</v>
      </c>
      <c r="C17206" t="s">
        <v>6423</v>
      </c>
      <c r="D17206" t="s">
        <v>6424</v>
      </c>
      <c r="E17206" t="s">
        <v>6425</v>
      </c>
      <c r="F17206" t="s">
        <v>52565</v>
      </c>
      <c r="G17206" s="2" t="str">
        <f>HYPERLINK("https://probpalata.gov.ru/files/ЮЛ910403620200056.jpeg","Скачать индивидуальный QR-код магазина")</f>
        <v>Скачать индивидуальный QR-код магазина</v>
      </c>
    </row>
    <row r="17207" spans="1:7" x14ac:dyDescent="0.25">
      <c r="A17207" t="s">
        <v>52449</v>
      </c>
      <c r="B17207" t="s">
        <v>52509</v>
      </c>
      <c r="C17207" t="s">
        <v>6423</v>
      </c>
      <c r="D17207" t="s">
        <v>6424</v>
      </c>
      <c r="E17207" t="s">
        <v>6425</v>
      </c>
      <c r="F17207" t="s">
        <v>52566</v>
      </c>
      <c r="G17207" s="2" t="str">
        <f>HYPERLINK("https://probpalata.gov.ru/files/ЮЛ910403620200057.jpeg","Скачать индивидуальный QR-код магазина")</f>
        <v>Скачать индивидуальный QR-код магазина</v>
      </c>
    </row>
    <row r="17208" spans="1:7" x14ac:dyDescent="0.25">
      <c r="A17208" t="s">
        <v>52449</v>
      </c>
      <c r="B17208" t="s">
        <v>52567</v>
      </c>
      <c r="C17208" t="s">
        <v>6423</v>
      </c>
      <c r="D17208" t="s">
        <v>6424</v>
      </c>
      <c r="E17208" t="s">
        <v>6425</v>
      </c>
      <c r="F17208" t="s">
        <v>52568</v>
      </c>
      <c r="G17208" s="2" t="str">
        <f>HYPERLINK("https://probpalata.gov.ru/files/ЮЛ910403620200058.jpeg","Скачать индивидуальный QR-код магазина")</f>
        <v>Скачать индивидуальный QR-код магазина</v>
      </c>
    </row>
    <row r="17209" spans="1:7" x14ac:dyDescent="0.25">
      <c r="A17209" t="s">
        <v>52449</v>
      </c>
      <c r="B17209" t="s">
        <v>52569</v>
      </c>
      <c r="C17209" t="s">
        <v>6423</v>
      </c>
      <c r="D17209" t="s">
        <v>6424</v>
      </c>
      <c r="E17209" t="s">
        <v>6425</v>
      </c>
      <c r="F17209" t="s">
        <v>52570</v>
      </c>
      <c r="G17209" s="2" t="str">
        <f>HYPERLINK("https://probpalata.gov.ru/files/ЮЛ910403620200059.jpeg","Скачать индивидуальный QR-код магазина")</f>
        <v>Скачать индивидуальный QR-код магазина</v>
      </c>
    </row>
    <row r="17210" spans="1:7" x14ac:dyDescent="0.25">
      <c r="A17210" t="s">
        <v>52449</v>
      </c>
      <c r="B17210" t="s">
        <v>52571</v>
      </c>
      <c r="C17210" t="s">
        <v>6423</v>
      </c>
      <c r="D17210" t="s">
        <v>6424</v>
      </c>
      <c r="E17210" t="s">
        <v>6425</v>
      </c>
      <c r="F17210" t="s">
        <v>52572</v>
      </c>
      <c r="G17210" s="2" t="str">
        <f>HYPERLINK("https://probpalata.gov.ru/files/ЮЛ910403620200060.jpeg","Скачать индивидуальный QR-код магазина")</f>
        <v>Скачать индивидуальный QR-код магазина</v>
      </c>
    </row>
    <row r="17211" spans="1:7" x14ac:dyDescent="0.25">
      <c r="A17211" t="s">
        <v>52449</v>
      </c>
      <c r="B17211" t="s">
        <v>52573</v>
      </c>
      <c r="C17211" t="s">
        <v>6423</v>
      </c>
      <c r="D17211" t="s">
        <v>6424</v>
      </c>
      <c r="E17211" t="s">
        <v>6425</v>
      </c>
      <c r="F17211" t="s">
        <v>52574</v>
      </c>
      <c r="G17211" s="2" t="str">
        <f>HYPERLINK("https://probpalata.gov.ru/files/ЮЛ910403620200066.jpeg","Скачать индивидуальный QR-код магазина")</f>
        <v>Скачать индивидуальный QR-код магазина</v>
      </c>
    </row>
    <row r="17212" spans="1:7" x14ac:dyDescent="0.25">
      <c r="A17212" t="s">
        <v>52449</v>
      </c>
      <c r="B17212" t="s">
        <v>52543</v>
      </c>
      <c r="C17212" t="s">
        <v>6423</v>
      </c>
      <c r="D17212" t="s">
        <v>6424</v>
      </c>
      <c r="E17212" t="s">
        <v>6425</v>
      </c>
      <c r="F17212" t="s">
        <v>52575</v>
      </c>
      <c r="G17212" s="2" t="str">
        <f>HYPERLINK("https://probpalata.gov.ru/files/ЮЛ910403620200073.jpeg","Скачать индивидуальный QR-код магазина")</f>
        <v>Скачать индивидуальный QR-код магазина</v>
      </c>
    </row>
    <row r="17213" spans="1:7" x14ac:dyDescent="0.25">
      <c r="A17213" t="s">
        <v>52449</v>
      </c>
      <c r="B17213" t="s">
        <v>52545</v>
      </c>
      <c r="C17213" t="s">
        <v>6423</v>
      </c>
      <c r="D17213" t="s">
        <v>6424</v>
      </c>
      <c r="E17213" t="s">
        <v>6425</v>
      </c>
      <c r="F17213" t="s">
        <v>52576</v>
      </c>
      <c r="G17213" s="2" t="str">
        <f>HYPERLINK("https://probpalata.gov.ru/files/ЮЛ910403620200076.jpeg","Скачать индивидуальный QR-код магазина")</f>
        <v>Скачать индивидуальный QR-код магазина</v>
      </c>
    </row>
    <row r="17214" spans="1:7" x14ac:dyDescent="0.25">
      <c r="A17214" t="s">
        <v>52449</v>
      </c>
      <c r="B17214" t="s">
        <v>52547</v>
      </c>
      <c r="C17214" t="s">
        <v>6423</v>
      </c>
      <c r="D17214" t="s">
        <v>6424</v>
      </c>
      <c r="E17214" t="s">
        <v>6425</v>
      </c>
      <c r="F17214" t="s">
        <v>52577</v>
      </c>
      <c r="G17214" s="2" t="str">
        <f>HYPERLINK("https://probpalata.gov.ru/files/ЮЛ910403620200077.jpeg","Скачать индивидуальный QR-код магазина")</f>
        <v>Скачать индивидуальный QR-код магазина</v>
      </c>
    </row>
    <row r="17215" spans="1:7" x14ac:dyDescent="0.25">
      <c r="A17215" t="s">
        <v>52449</v>
      </c>
      <c r="B17215" t="s">
        <v>52578</v>
      </c>
      <c r="C17215" t="s">
        <v>52579</v>
      </c>
      <c r="D17215" t="s">
        <v>52580</v>
      </c>
      <c r="E17215" t="s">
        <v>52581</v>
      </c>
      <c r="F17215" t="s">
        <v>52582</v>
      </c>
      <c r="G17215" s="2" t="str">
        <f>HYPERLINK("https://probpalata.gov.ru/files/ИП820400540400000.jpeg","Скачать индивидуальный QR-код магазина")</f>
        <v>Скачать индивидуальный QR-код магазина</v>
      </c>
    </row>
    <row r="17216" spans="1:7" x14ac:dyDescent="0.25">
      <c r="A17216" t="s">
        <v>52449</v>
      </c>
      <c r="B17216" t="s">
        <v>52583</v>
      </c>
      <c r="C17216" t="s">
        <v>52584</v>
      </c>
      <c r="D17216" t="s">
        <v>52585</v>
      </c>
      <c r="E17216" t="s">
        <v>52586</v>
      </c>
      <c r="F17216" t="s">
        <v>52587</v>
      </c>
      <c r="G17216" s="2" t="str">
        <f>HYPERLINK("https://probpalata.gov.ru/files/ИП830400444600000.jpeg","Скачать индивидуальный QR-код магазина")</f>
        <v>Скачать индивидуальный QR-код магазина</v>
      </c>
    </row>
    <row r="17217" spans="1:7" x14ac:dyDescent="0.25">
      <c r="A17217" t="s">
        <v>52449</v>
      </c>
      <c r="B17217" t="s">
        <v>52588</v>
      </c>
      <c r="C17217" t="s">
        <v>52584</v>
      </c>
      <c r="D17217" t="s">
        <v>52585</v>
      </c>
      <c r="E17217" t="s">
        <v>52586</v>
      </c>
      <c r="F17217" t="s">
        <v>52589</v>
      </c>
      <c r="G17217" s="2" t="str">
        <f>HYPERLINK("https://probpalata.gov.ru/files/ИП830400444600001.jpeg","Скачать индивидуальный QR-код магазина")</f>
        <v>Скачать индивидуальный QR-код магазина</v>
      </c>
    </row>
    <row r="17218" spans="1:7" x14ac:dyDescent="0.25">
      <c r="A17218" t="s">
        <v>52449</v>
      </c>
      <c r="B17218" t="s">
        <v>52590</v>
      </c>
      <c r="C17218" t="s">
        <v>40381</v>
      </c>
      <c r="D17218" t="s">
        <v>40382</v>
      </c>
      <c r="E17218" t="s">
        <v>40383</v>
      </c>
      <c r="F17218" t="s">
        <v>52591</v>
      </c>
      <c r="G17218" s="2" t="str">
        <f>HYPERLINK("https://probpalata.gov.ru/files/ИП820400476300001.jpeg","Скачать индивидуальный QR-код магазина")</f>
        <v>Скачать индивидуальный QR-код магазина</v>
      </c>
    </row>
    <row r="17219" spans="1:7" x14ac:dyDescent="0.25">
      <c r="A17219" t="s">
        <v>52449</v>
      </c>
      <c r="B17219" t="s">
        <v>52592</v>
      </c>
      <c r="C17219" t="s">
        <v>15574</v>
      </c>
      <c r="D17219" t="s">
        <v>15575</v>
      </c>
      <c r="E17219" t="s">
        <v>15576</v>
      </c>
      <c r="F17219" t="s">
        <v>52593</v>
      </c>
      <c r="G17219" s="2" t="str">
        <f>HYPERLINK("https://probpalata.gov.ru/files/ИП820400991100002.jpeg","Скачать индивидуальный QR-код магазина")</f>
        <v>Скачать индивидуальный QR-код магазина</v>
      </c>
    </row>
    <row r="17220" spans="1:7" x14ac:dyDescent="0.25">
      <c r="A17220" t="s">
        <v>52449</v>
      </c>
      <c r="B17220" t="s">
        <v>52594</v>
      </c>
      <c r="C17220" t="s">
        <v>52595</v>
      </c>
      <c r="D17220" t="s">
        <v>52596</v>
      </c>
      <c r="E17220" t="s">
        <v>52597</v>
      </c>
      <c r="F17220" t="s">
        <v>52598</v>
      </c>
      <c r="G17220" s="2" t="str">
        <f>HYPERLINK("https://probpalata.gov.ru/files/ИП920404021700000.jpeg","Скачать индивидуальный QR-код магазина")</f>
        <v>Скачать индивидуальный QR-код магазина</v>
      </c>
    </row>
    <row r="17221" spans="1:7" x14ac:dyDescent="0.25">
      <c r="A17221" t="s">
        <v>52449</v>
      </c>
      <c r="B17221" t="s">
        <v>52599</v>
      </c>
      <c r="C17221" t="s">
        <v>40536</v>
      </c>
      <c r="D17221" t="s">
        <v>40537</v>
      </c>
      <c r="E17221" t="s">
        <v>40538</v>
      </c>
      <c r="F17221" t="s">
        <v>52600</v>
      </c>
      <c r="G17221" s="2" t="str">
        <f>HYPERLINK("https://probpalata.gov.ru/files/ИП830400080000003.jpeg","Скачать индивидуальный QR-код магазина")</f>
        <v>Скачать индивидуальный QR-код магазина</v>
      </c>
    </row>
    <row r="17222" spans="1:7" x14ac:dyDescent="0.25">
      <c r="A17222" t="s">
        <v>52449</v>
      </c>
      <c r="B17222" t="s">
        <v>52533</v>
      </c>
      <c r="C17222" t="s">
        <v>40540</v>
      </c>
      <c r="D17222" t="s">
        <v>40541</v>
      </c>
      <c r="E17222" t="s">
        <v>40542</v>
      </c>
      <c r="F17222" t="s">
        <v>52601</v>
      </c>
      <c r="G17222" s="2" t="str">
        <f>HYPERLINK("https://probpalata.gov.ru/files/ИП830400651100000.jpeg","Скачать индивидуальный QR-код магазина")</f>
        <v>Скачать индивидуальный QR-код магазина</v>
      </c>
    </row>
    <row r="17223" spans="1:7" x14ac:dyDescent="0.25">
      <c r="A17223" t="s">
        <v>52449</v>
      </c>
      <c r="B17223" t="s">
        <v>52602</v>
      </c>
      <c r="C17223" t="s">
        <v>40540</v>
      </c>
      <c r="D17223" t="s">
        <v>40541</v>
      </c>
      <c r="E17223" t="s">
        <v>40542</v>
      </c>
      <c r="F17223" t="s">
        <v>52603</v>
      </c>
      <c r="G17223" s="2" t="str">
        <f>HYPERLINK("https://probpalata.gov.ru/files/ИП830400651100001.jpeg","Скачать индивидуальный QR-код магазина")</f>
        <v>Скачать индивидуальный QR-код магазина</v>
      </c>
    </row>
    <row r="17224" spans="1:7" x14ac:dyDescent="0.25">
      <c r="A17224" t="s">
        <v>52449</v>
      </c>
      <c r="B17224" t="s">
        <v>52460</v>
      </c>
      <c r="C17224" t="s">
        <v>40540</v>
      </c>
      <c r="D17224" t="s">
        <v>40541</v>
      </c>
      <c r="E17224" t="s">
        <v>40542</v>
      </c>
      <c r="F17224" t="s">
        <v>52604</v>
      </c>
      <c r="G17224" s="2" t="str">
        <f>HYPERLINK("https://probpalata.gov.ru/files/ИП830400651100002.jpeg","Скачать индивидуальный QR-код магазина")</f>
        <v>Скачать индивидуальный QR-код магазина</v>
      </c>
    </row>
    <row r="17225" spans="1:7" x14ac:dyDescent="0.25">
      <c r="A17225" t="s">
        <v>52449</v>
      </c>
      <c r="B17225" t="s">
        <v>52605</v>
      </c>
      <c r="C17225" t="s">
        <v>40540</v>
      </c>
      <c r="D17225" t="s">
        <v>40541</v>
      </c>
      <c r="E17225" t="s">
        <v>40542</v>
      </c>
      <c r="F17225" t="s">
        <v>52606</v>
      </c>
      <c r="G17225" s="2" t="str">
        <f>HYPERLINK("https://probpalata.gov.ru/files/ИП830400651100006.jpeg","Скачать индивидуальный QR-код магазина")</f>
        <v>Скачать индивидуальный QR-код магазина</v>
      </c>
    </row>
    <row r="17226" spans="1:7" x14ac:dyDescent="0.25">
      <c r="A17226" t="s">
        <v>52449</v>
      </c>
      <c r="B17226" t="s">
        <v>52607</v>
      </c>
      <c r="C17226" t="s">
        <v>52608</v>
      </c>
      <c r="D17226" t="s">
        <v>52609</v>
      </c>
      <c r="E17226" t="s">
        <v>52610</v>
      </c>
      <c r="F17226" t="s">
        <v>52611</v>
      </c>
      <c r="G17226" s="2" t="str">
        <f>HYPERLINK("https://probpalata.gov.ru/files/ИП830400414100000.jpeg","Скачать индивидуальный QR-код магазина")</f>
        <v>Скачать индивидуальный QR-код магазина</v>
      </c>
    </row>
    <row r="17227" spans="1:7" x14ac:dyDescent="0.25">
      <c r="A17227" t="s">
        <v>52449</v>
      </c>
      <c r="B17227" t="s">
        <v>52612</v>
      </c>
      <c r="C17227" t="s">
        <v>52613</v>
      </c>
      <c r="D17227" t="s">
        <v>52614</v>
      </c>
      <c r="E17227" t="s">
        <v>52615</v>
      </c>
      <c r="F17227" t="s">
        <v>52616</v>
      </c>
      <c r="G17227" s="2" t="str">
        <f>HYPERLINK("https://probpalata.gov.ru/files/ИП830400476800000.jpeg","Скачать индивидуальный QR-код магазина")</f>
        <v>Скачать индивидуальный QR-код магазина</v>
      </c>
    </row>
    <row r="17228" spans="1:7" x14ac:dyDescent="0.25">
      <c r="A17228" t="s">
        <v>52449</v>
      </c>
      <c r="B17228" t="s">
        <v>52617</v>
      </c>
      <c r="C17228" t="s">
        <v>52613</v>
      </c>
      <c r="D17228" t="s">
        <v>52614</v>
      </c>
      <c r="E17228" t="s">
        <v>52615</v>
      </c>
      <c r="F17228" t="s">
        <v>52618</v>
      </c>
      <c r="G17228" s="2" t="str">
        <f>HYPERLINK("https://probpalata.gov.ru/files/ИП830400476800001.jpeg","Скачать индивидуальный QR-код магазина")</f>
        <v>Скачать индивидуальный QR-код магазина</v>
      </c>
    </row>
    <row r="17229" spans="1:7" x14ac:dyDescent="0.25">
      <c r="A17229" t="s">
        <v>52449</v>
      </c>
      <c r="B17229" t="s">
        <v>52619</v>
      </c>
      <c r="C17229" t="s">
        <v>52620</v>
      </c>
      <c r="D17229" t="s">
        <v>52621</v>
      </c>
      <c r="E17229" t="s">
        <v>52622</v>
      </c>
      <c r="F17229" t="s">
        <v>52623</v>
      </c>
      <c r="G17229" s="2" t="str">
        <f>HYPERLINK("https://probpalata.gov.ru/files/ИП830400524200000.jpeg","Скачать индивидуальный QR-код магазина")</f>
        <v>Скачать индивидуальный QR-код магазина</v>
      </c>
    </row>
    <row r="17230" spans="1:7" x14ac:dyDescent="0.25">
      <c r="A17230" t="s">
        <v>52449</v>
      </c>
      <c r="B17230" t="s">
        <v>52612</v>
      </c>
      <c r="C17230" t="s">
        <v>52624</v>
      </c>
      <c r="D17230" t="s">
        <v>52625</v>
      </c>
      <c r="E17230" t="s">
        <v>52626</v>
      </c>
      <c r="F17230" t="s">
        <v>52627</v>
      </c>
      <c r="G17230" s="2" t="str">
        <f>HYPERLINK("https://probpalata.gov.ru/files/ИП920403627900000.jpeg","Скачать индивидуальный QR-код магазина")</f>
        <v>Скачать индивидуальный QR-код магазина</v>
      </c>
    </row>
    <row r="17231" spans="1:7" x14ac:dyDescent="0.25">
      <c r="A17231" t="s">
        <v>52449</v>
      </c>
      <c r="B17231" t="s">
        <v>52628</v>
      </c>
      <c r="C17231" t="s">
        <v>40552</v>
      </c>
      <c r="D17231" t="s">
        <v>40553</v>
      </c>
      <c r="E17231" t="s">
        <v>40554</v>
      </c>
      <c r="F17231" t="s">
        <v>52629</v>
      </c>
      <c r="G17231" s="2" t="str">
        <f>HYPERLINK("https://probpalata.gov.ru/files/ЮЛ830400995300000.jpeg","Скачать индивидуальный QR-код магазина")</f>
        <v>Скачать индивидуальный QR-код магазина</v>
      </c>
    </row>
    <row r="17232" spans="1:7" x14ac:dyDescent="0.25">
      <c r="A17232" t="s">
        <v>52449</v>
      </c>
      <c r="B17232" t="s">
        <v>52630</v>
      </c>
      <c r="C17232" t="s">
        <v>40552</v>
      </c>
      <c r="D17232" t="s">
        <v>40553</v>
      </c>
      <c r="E17232" t="s">
        <v>40554</v>
      </c>
      <c r="F17232" t="s">
        <v>52631</v>
      </c>
      <c r="G17232" s="2" t="str">
        <f>HYPERLINK("https://probpalata.gov.ru/files/ЮЛ830400995300001.jpeg","Скачать индивидуальный QR-код магазина")</f>
        <v>Скачать индивидуальный QR-код магазина</v>
      </c>
    </row>
    <row r="17233" spans="1:7" x14ac:dyDescent="0.25">
      <c r="A17233" t="s">
        <v>52449</v>
      </c>
      <c r="B17233" t="s">
        <v>52632</v>
      </c>
      <c r="C17233" t="s">
        <v>40552</v>
      </c>
      <c r="D17233" t="s">
        <v>40553</v>
      </c>
      <c r="E17233" t="s">
        <v>40554</v>
      </c>
      <c r="F17233" t="s">
        <v>52633</v>
      </c>
      <c r="G17233" s="2" t="str">
        <f>HYPERLINK("https://probpalata.gov.ru/files/ЮЛ830400995300003.jpeg","Скачать индивидуальный QR-код магазина")</f>
        <v>Скачать индивидуальный QR-код магазина</v>
      </c>
    </row>
    <row r="17234" spans="1:7" x14ac:dyDescent="0.25">
      <c r="A17234" t="s">
        <v>52449</v>
      </c>
      <c r="B17234" t="s">
        <v>52634</v>
      </c>
      <c r="C17234" t="s">
        <v>40552</v>
      </c>
      <c r="D17234" t="s">
        <v>40553</v>
      </c>
      <c r="E17234" t="s">
        <v>40554</v>
      </c>
      <c r="F17234" t="s">
        <v>52635</v>
      </c>
      <c r="G17234" s="2" t="str">
        <f>HYPERLINK("https://probpalata.gov.ru/files/ЮЛ830400995300007.jpeg","Скачать индивидуальный QR-код магазина")</f>
        <v>Скачать индивидуальный QR-код магазина</v>
      </c>
    </row>
    <row r="17235" spans="1:7" x14ac:dyDescent="0.25">
      <c r="A17235" t="s">
        <v>52449</v>
      </c>
      <c r="B17235" t="s">
        <v>52636</v>
      </c>
      <c r="C17235" t="s">
        <v>40552</v>
      </c>
      <c r="D17235" t="s">
        <v>40553</v>
      </c>
      <c r="E17235" t="s">
        <v>40554</v>
      </c>
      <c r="F17235" t="s">
        <v>52637</v>
      </c>
      <c r="G17235" s="2" t="str">
        <f>HYPERLINK("https://probpalata.gov.ru/files/ЮЛ830400995300010.jpeg","Скачать индивидуальный QR-код магазина")</f>
        <v>Скачать индивидуальный QR-код магазина</v>
      </c>
    </row>
    <row r="17236" spans="1:7" x14ac:dyDescent="0.25">
      <c r="A17236" t="s">
        <v>52449</v>
      </c>
      <c r="B17236" t="s">
        <v>52638</v>
      </c>
      <c r="C17236" t="s">
        <v>52639</v>
      </c>
      <c r="D17236" t="s">
        <v>52640</v>
      </c>
      <c r="E17236" t="s">
        <v>52641</v>
      </c>
      <c r="F17236" t="s">
        <v>52642</v>
      </c>
      <c r="G17236" s="2" t="str">
        <f>HYPERLINK("https://probpalata.gov.ru/files/ИП830400427000000.jpeg","Скачать индивидуальный QR-код магазина")</f>
        <v>Скачать индивидуальный QR-код магазина</v>
      </c>
    </row>
    <row r="17237" spans="1:7" x14ac:dyDescent="0.25">
      <c r="A17237" t="s">
        <v>52449</v>
      </c>
      <c r="B17237" t="s">
        <v>52638</v>
      </c>
      <c r="C17237" t="s">
        <v>52643</v>
      </c>
      <c r="D17237" t="s">
        <v>52644</v>
      </c>
      <c r="E17237" t="s">
        <v>52645</v>
      </c>
      <c r="F17237" t="s">
        <v>52646</v>
      </c>
      <c r="G17237" s="2" t="str">
        <f>HYPERLINK("https://probpalata.gov.ru/files/ИП830400427200000.jpeg","Скачать индивидуальный QR-код магазина")</f>
        <v>Скачать индивидуальный QR-код магазина</v>
      </c>
    </row>
    <row r="17238" spans="1:7" x14ac:dyDescent="0.25">
      <c r="A17238" t="s">
        <v>52449</v>
      </c>
      <c r="B17238" t="s">
        <v>52647</v>
      </c>
      <c r="C17238" t="s">
        <v>52648</v>
      </c>
      <c r="D17238" t="s">
        <v>52649</v>
      </c>
      <c r="E17238" t="s">
        <v>52650</v>
      </c>
      <c r="F17238" t="s">
        <v>52651</v>
      </c>
      <c r="G17238" s="2" t="str">
        <f>HYPERLINK("https://probpalata.gov.ru/files/ИП830400449400000.jpeg","Скачать индивидуальный QR-код магазина")</f>
        <v>Скачать индивидуальный QR-код магазина</v>
      </c>
    </row>
    <row r="17239" spans="1:7" x14ac:dyDescent="0.25">
      <c r="A17239" t="s">
        <v>52449</v>
      </c>
      <c r="B17239" t="s">
        <v>52612</v>
      </c>
      <c r="C17239" t="s">
        <v>52648</v>
      </c>
      <c r="D17239" t="s">
        <v>52649</v>
      </c>
      <c r="E17239" t="s">
        <v>52650</v>
      </c>
      <c r="F17239" t="s">
        <v>52652</v>
      </c>
      <c r="G17239" s="2" t="str">
        <f>HYPERLINK("https://probpalata.gov.ru/files/ИП830400449400001.jpeg","Скачать индивидуальный QR-код магазина")</f>
        <v>Скачать индивидуальный QR-код магазина</v>
      </c>
    </row>
    <row r="17240" spans="1:7" x14ac:dyDescent="0.25">
      <c r="A17240" t="s">
        <v>52449</v>
      </c>
      <c r="B17240" t="s">
        <v>52653</v>
      </c>
      <c r="C17240" t="s">
        <v>52648</v>
      </c>
      <c r="D17240" t="s">
        <v>52649</v>
      </c>
      <c r="E17240" t="s">
        <v>52650</v>
      </c>
      <c r="F17240" t="s">
        <v>52654</v>
      </c>
      <c r="G17240" s="2" t="str">
        <f>HYPERLINK("https://probpalata.gov.ru/files/ИП830400449400003.jpeg","Скачать индивидуальный QR-код магазина")</f>
        <v>Скачать индивидуальный QR-код магазина</v>
      </c>
    </row>
    <row r="17241" spans="1:7" x14ac:dyDescent="0.25">
      <c r="A17241" t="s">
        <v>52449</v>
      </c>
      <c r="B17241" t="s">
        <v>52655</v>
      </c>
      <c r="C17241" t="s">
        <v>52656</v>
      </c>
      <c r="D17241" t="s">
        <v>52657</v>
      </c>
      <c r="E17241" t="s">
        <v>52658</v>
      </c>
      <c r="F17241" t="s">
        <v>52659</v>
      </c>
      <c r="G17241" s="2" t="str">
        <f>HYPERLINK("https://probpalata.gov.ru/files/ИП830400888500000.jpeg","Скачать индивидуальный QR-код магазина")</f>
        <v>Скачать индивидуальный QR-код магазина</v>
      </c>
    </row>
    <row r="17242" spans="1:7" x14ac:dyDescent="0.25">
      <c r="A17242" t="s">
        <v>52449</v>
      </c>
      <c r="B17242" t="s">
        <v>52660</v>
      </c>
      <c r="C17242" t="s">
        <v>52656</v>
      </c>
      <c r="D17242" t="s">
        <v>52657</v>
      </c>
      <c r="E17242" t="s">
        <v>52658</v>
      </c>
      <c r="F17242" t="s">
        <v>52661</v>
      </c>
      <c r="G17242" s="2" t="str">
        <f>HYPERLINK("https://probpalata.gov.ru/files/ИП830400888500001.jpeg","Скачать индивидуальный QR-код магазина")</f>
        <v>Скачать индивидуальный QR-код магазина</v>
      </c>
    </row>
    <row r="17243" spans="1:7" x14ac:dyDescent="0.25">
      <c r="A17243" t="s">
        <v>52449</v>
      </c>
      <c r="B17243" t="s">
        <v>52662</v>
      </c>
      <c r="C17243" t="s">
        <v>52663</v>
      </c>
      <c r="D17243" t="s">
        <v>52664</v>
      </c>
      <c r="E17243" t="s">
        <v>52665</v>
      </c>
      <c r="F17243" t="s">
        <v>52666</v>
      </c>
      <c r="G17243" s="2" t="str">
        <f>HYPERLINK("https://probpalata.gov.ru/files/ИП830400297400000.jpeg","Скачать индивидуальный QR-код магазина")</f>
        <v>Скачать индивидуальный QR-код магазина</v>
      </c>
    </row>
    <row r="17244" spans="1:7" x14ac:dyDescent="0.25">
      <c r="A17244" t="s">
        <v>52449</v>
      </c>
      <c r="B17244" t="s">
        <v>52667</v>
      </c>
      <c r="C17244" t="s">
        <v>52668</v>
      </c>
      <c r="D17244" t="s">
        <v>52669</v>
      </c>
      <c r="E17244" t="s">
        <v>52670</v>
      </c>
      <c r="F17244" t="s">
        <v>52671</v>
      </c>
      <c r="G17244" s="2" t="str">
        <f>HYPERLINK("https://probpalata.gov.ru/files/ИП830400474600000.jpeg","Скачать индивидуальный QR-код магазина")</f>
        <v>Скачать индивидуальный QR-код магазина</v>
      </c>
    </row>
    <row r="17245" spans="1:7" x14ac:dyDescent="0.25">
      <c r="A17245" t="s">
        <v>52449</v>
      </c>
      <c r="B17245" t="s">
        <v>52533</v>
      </c>
      <c r="C17245" t="s">
        <v>52672</v>
      </c>
      <c r="D17245" t="s">
        <v>52673</v>
      </c>
      <c r="E17245" t="s">
        <v>52674</v>
      </c>
      <c r="F17245" t="s">
        <v>52675</v>
      </c>
      <c r="G17245" s="2" t="str">
        <f>HYPERLINK("https://probpalata.gov.ru/files/ЮЛ830400775900000.jpeg","Скачать индивидуальный QR-код магазина")</f>
        <v>Скачать индивидуальный QR-код магазина</v>
      </c>
    </row>
    <row r="17246" spans="1:7" x14ac:dyDescent="0.25">
      <c r="A17246" t="s">
        <v>52449</v>
      </c>
      <c r="B17246" t="s">
        <v>52676</v>
      </c>
      <c r="C17246" t="s">
        <v>52677</v>
      </c>
      <c r="D17246" t="s">
        <v>52678</v>
      </c>
      <c r="E17246" t="s">
        <v>52679</v>
      </c>
      <c r="F17246" t="s">
        <v>52680</v>
      </c>
      <c r="G17246" s="2" t="str">
        <f>HYPERLINK("https://probpalata.gov.ru/files/ИП830400405900000.jpeg","Скачать индивидуальный QR-код магазина")</f>
        <v>Скачать индивидуальный QR-код магазина</v>
      </c>
    </row>
    <row r="17247" spans="1:7" x14ac:dyDescent="0.25">
      <c r="A17247" t="s">
        <v>52449</v>
      </c>
      <c r="B17247" t="s">
        <v>52681</v>
      </c>
      <c r="C17247" t="s">
        <v>40566</v>
      </c>
      <c r="D17247" t="s">
        <v>40567</v>
      </c>
      <c r="E17247" t="s">
        <v>40568</v>
      </c>
      <c r="F17247" t="s">
        <v>52682</v>
      </c>
      <c r="G17247" s="2" t="str">
        <f>HYPERLINK("https://probpalata.gov.ru/files/ЮЛ830400411000001.jpeg","Скачать индивидуальный QR-код магазина")</f>
        <v>Скачать индивидуальный QR-код магазина</v>
      </c>
    </row>
    <row r="17248" spans="1:7" x14ac:dyDescent="0.25">
      <c r="A17248" t="s">
        <v>52449</v>
      </c>
      <c r="B17248" t="s">
        <v>52683</v>
      </c>
      <c r="C17248" t="s">
        <v>40566</v>
      </c>
      <c r="D17248" t="s">
        <v>40567</v>
      </c>
      <c r="E17248" t="s">
        <v>40568</v>
      </c>
      <c r="F17248" t="s">
        <v>52684</v>
      </c>
      <c r="G17248" s="2" t="str">
        <f>HYPERLINK("https://probpalata.gov.ru/files/ЮЛ830400411000003.jpeg","Скачать индивидуальный QR-код магазина")</f>
        <v>Скачать индивидуальный QR-код магазина</v>
      </c>
    </row>
    <row r="17249" spans="1:7" x14ac:dyDescent="0.25">
      <c r="A17249" t="s">
        <v>52449</v>
      </c>
      <c r="B17249" t="s">
        <v>52571</v>
      </c>
      <c r="C17249" t="s">
        <v>40566</v>
      </c>
      <c r="D17249" t="s">
        <v>40567</v>
      </c>
      <c r="E17249" t="s">
        <v>40568</v>
      </c>
      <c r="F17249" t="s">
        <v>52685</v>
      </c>
      <c r="G17249" s="2" t="str">
        <f>HYPERLINK("https://probpalata.gov.ru/files/ЮЛ830400411000004.jpeg","Скачать индивидуальный QR-код магазина")</f>
        <v>Скачать индивидуальный QR-код магазина</v>
      </c>
    </row>
    <row r="17250" spans="1:7" x14ac:dyDescent="0.25">
      <c r="A17250" t="s">
        <v>52449</v>
      </c>
      <c r="B17250" t="s">
        <v>52686</v>
      </c>
      <c r="C17250" t="s">
        <v>40566</v>
      </c>
      <c r="D17250" t="s">
        <v>40567</v>
      </c>
      <c r="E17250" t="s">
        <v>40568</v>
      </c>
      <c r="F17250" t="s">
        <v>52687</v>
      </c>
      <c r="G17250" s="2" t="str">
        <f>HYPERLINK("https://probpalata.gov.ru/files/ЮЛ830400411000006.jpeg","Скачать индивидуальный QR-код магазина")</f>
        <v>Скачать индивидуальный QR-код магазина</v>
      </c>
    </row>
    <row r="17251" spans="1:7" x14ac:dyDescent="0.25">
      <c r="A17251" t="s">
        <v>52688</v>
      </c>
      <c r="B17251" t="s">
        <v>52689</v>
      </c>
      <c r="C17251" t="s">
        <v>2443</v>
      </c>
      <c r="D17251" t="s">
        <v>2444</v>
      </c>
      <c r="E17251" t="s">
        <v>2445</v>
      </c>
      <c r="F17251" t="s">
        <v>52690</v>
      </c>
      <c r="G17251" s="2" t="str">
        <f>HYPERLINK("https://probpalata.gov.ru/files/ИП770100193400000.jpeg","Скачать индивидуальный QR-код магазина")</f>
        <v>Скачать индивидуальный QR-код магазина</v>
      </c>
    </row>
    <row r="17252" spans="1:7" x14ac:dyDescent="0.25">
      <c r="A17252" t="s">
        <v>52688</v>
      </c>
      <c r="B17252" t="s">
        <v>52691</v>
      </c>
      <c r="C17252" t="s">
        <v>2509</v>
      </c>
      <c r="D17252" t="s">
        <v>2510</v>
      </c>
      <c r="E17252" t="s">
        <v>2511</v>
      </c>
      <c r="F17252" t="s">
        <v>52692</v>
      </c>
      <c r="G17252" s="2" t="str">
        <f>HYPERLINK("https://probpalata.gov.ru/files/ИП320101991400011.jpeg","Скачать индивидуальный QR-код магазина")</f>
        <v>Скачать индивидуальный QR-код магазина</v>
      </c>
    </row>
    <row r="17253" spans="1:7" x14ac:dyDescent="0.25">
      <c r="A17253" t="s">
        <v>52688</v>
      </c>
      <c r="B17253" t="s">
        <v>52693</v>
      </c>
      <c r="C17253" t="s">
        <v>2509</v>
      </c>
      <c r="D17253" t="s">
        <v>2510</v>
      </c>
      <c r="E17253" t="s">
        <v>2511</v>
      </c>
      <c r="F17253" t="s">
        <v>52694</v>
      </c>
      <c r="G17253" s="2" t="str">
        <f>HYPERLINK("https://probpalata.gov.ru/files/ИП320101991400012.jpeg","Скачать индивидуальный QR-код магазина")</f>
        <v>Скачать индивидуальный QR-код магазина</v>
      </c>
    </row>
    <row r="17254" spans="1:7" x14ac:dyDescent="0.25">
      <c r="A17254" t="s">
        <v>52688</v>
      </c>
      <c r="B17254" t="s">
        <v>52695</v>
      </c>
      <c r="C17254" t="s">
        <v>2509</v>
      </c>
      <c r="D17254" t="s">
        <v>2510</v>
      </c>
      <c r="E17254" t="s">
        <v>2511</v>
      </c>
      <c r="F17254" t="s">
        <v>52696</v>
      </c>
      <c r="G17254" s="2" t="str">
        <f>HYPERLINK("https://probpalata.gov.ru/files/ИП320101991400014.jpeg","Скачать индивидуальный QR-код магазина")</f>
        <v>Скачать индивидуальный QR-код магазина</v>
      </c>
    </row>
    <row r="17255" spans="1:7" x14ac:dyDescent="0.25">
      <c r="A17255" t="s">
        <v>52688</v>
      </c>
      <c r="B17255" t="s">
        <v>52697</v>
      </c>
      <c r="C17255" t="s">
        <v>52698</v>
      </c>
      <c r="D17255" t="s">
        <v>52699</v>
      </c>
      <c r="E17255" t="s">
        <v>52700</v>
      </c>
      <c r="F17255" t="s">
        <v>52701</v>
      </c>
      <c r="G17255" s="2" t="str">
        <f>HYPERLINK("https://probpalata.gov.ru/files/ЮЛ500100731200000.jpeg","Скачать индивидуальный QR-код магазина")</f>
        <v>Скачать индивидуальный QR-код магазина</v>
      </c>
    </row>
    <row r="17256" spans="1:7" x14ac:dyDescent="0.25">
      <c r="A17256" t="s">
        <v>52688</v>
      </c>
      <c r="B17256" t="s">
        <v>52702</v>
      </c>
      <c r="C17256" t="s">
        <v>671</v>
      </c>
      <c r="D17256" t="s">
        <v>672</v>
      </c>
      <c r="E17256" t="s">
        <v>673</v>
      </c>
      <c r="F17256" t="s">
        <v>52703</v>
      </c>
      <c r="G17256" s="2" t="str">
        <f>HYPERLINK("https://probpalata.gov.ru/files/ИП500100445500068.jpeg","Скачать индивидуальный QR-код магазина")</f>
        <v>Скачать индивидуальный QR-код магазина</v>
      </c>
    </row>
    <row r="17257" spans="1:7" x14ac:dyDescent="0.25">
      <c r="A17257" t="s">
        <v>52688</v>
      </c>
      <c r="B17257" t="s">
        <v>52704</v>
      </c>
      <c r="C17257" t="s">
        <v>681</v>
      </c>
      <c r="D17257" t="s">
        <v>682</v>
      </c>
      <c r="E17257" t="s">
        <v>683</v>
      </c>
      <c r="F17257" t="s">
        <v>52705</v>
      </c>
      <c r="G17257" s="2" t="str">
        <f>HYPERLINK("https://probpalata.gov.ru/files/ИП520600807800029.jpeg","Скачать индивидуальный QR-код магазина")</f>
        <v>Скачать индивидуальный QR-код магазина</v>
      </c>
    </row>
    <row r="17258" spans="1:7" x14ac:dyDescent="0.25">
      <c r="A17258" t="s">
        <v>52688</v>
      </c>
      <c r="B17258" t="s">
        <v>52702</v>
      </c>
      <c r="C17258" t="s">
        <v>681</v>
      </c>
      <c r="D17258" t="s">
        <v>682</v>
      </c>
      <c r="E17258" t="s">
        <v>683</v>
      </c>
      <c r="F17258" t="s">
        <v>52706</v>
      </c>
      <c r="G17258" s="2" t="str">
        <f>HYPERLINK("https://probpalata.gov.ru/files/ИП520600807800037.jpeg","Скачать индивидуальный QR-код магазина")</f>
        <v>Скачать индивидуальный QR-код магазина</v>
      </c>
    </row>
    <row r="17259" spans="1:7" x14ac:dyDescent="0.25">
      <c r="A17259" t="s">
        <v>52688</v>
      </c>
      <c r="B17259" t="s">
        <v>52707</v>
      </c>
      <c r="C17259" t="s">
        <v>52708</v>
      </c>
      <c r="D17259" t="s">
        <v>52709</v>
      </c>
      <c r="E17259" t="s">
        <v>52710</v>
      </c>
      <c r="F17259" t="s">
        <v>52711</v>
      </c>
      <c r="G17259" s="2" t="str">
        <f>HYPERLINK("https://probpalata.gov.ru/files/ЮЛ670103833400000.jpeg","Скачать индивидуальный QR-код магазина")</f>
        <v>Скачать индивидуальный QR-код магазина</v>
      </c>
    </row>
    <row r="17260" spans="1:7" x14ac:dyDescent="0.25">
      <c r="A17260" t="s">
        <v>52688</v>
      </c>
      <c r="B17260" t="s">
        <v>52712</v>
      </c>
      <c r="C17260" t="s">
        <v>52713</v>
      </c>
      <c r="D17260" t="s">
        <v>52714</v>
      </c>
      <c r="E17260" t="s">
        <v>52715</v>
      </c>
      <c r="F17260" t="s">
        <v>52716</v>
      </c>
      <c r="G17260" s="2" t="str">
        <f>HYPERLINK("https://probpalata.gov.ru/files/ИП670100712300001.jpeg","Скачать индивидуальный QR-код магазина")</f>
        <v>Скачать индивидуальный QR-код магазина</v>
      </c>
    </row>
    <row r="17261" spans="1:7" x14ac:dyDescent="0.25">
      <c r="A17261" t="s">
        <v>52688</v>
      </c>
      <c r="B17261" t="s">
        <v>52717</v>
      </c>
      <c r="C17261" t="s">
        <v>52718</v>
      </c>
      <c r="D17261" t="s">
        <v>52719</v>
      </c>
      <c r="E17261" t="s">
        <v>52720</v>
      </c>
      <c r="F17261" t="s">
        <v>52721</v>
      </c>
      <c r="G17261" s="2" t="str">
        <f>HYPERLINK("https://probpalata.gov.ru/files/ИП670101046300000.jpeg","Скачать индивидуальный QR-код магазина")</f>
        <v>Скачать индивидуальный QR-код магазина</v>
      </c>
    </row>
    <row r="17262" spans="1:7" x14ac:dyDescent="0.25">
      <c r="A17262" t="s">
        <v>52688</v>
      </c>
      <c r="B17262" t="s">
        <v>52722</v>
      </c>
      <c r="C17262" t="s">
        <v>52723</v>
      </c>
      <c r="D17262" t="s">
        <v>52724</v>
      </c>
      <c r="E17262" t="s">
        <v>52725</v>
      </c>
      <c r="F17262" t="s">
        <v>52726</v>
      </c>
      <c r="G17262" s="2" t="str">
        <f>HYPERLINK("https://probpalata.gov.ru/files/ИП670103796800000.jpeg","Скачать индивидуальный QR-код магазина")</f>
        <v>Скачать индивидуальный QR-код магазина</v>
      </c>
    </row>
    <row r="17263" spans="1:7" x14ac:dyDescent="0.25">
      <c r="A17263" t="s">
        <v>52688</v>
      </c>
      <c r="B17263" t="s">
        <v>52727</v>
      </c>
      <c r="C17263" t="s">
        <v>52728</v>
      </c>
      <c r="D17263" t="s">
        <v>52729</v>
      </c>
      <c r="E17263" t="s">
        <v>52730</v>
      </c>
      <c r="F17263" t="s">
        <v>52731</v>
      </c>
      <c r="G17263" s="2" t="str">
        <f>HYPERLINK("https://probpalata.gov.ru/files/ИП670100561500000.jpeg","Скачать индивидуальный QR-код магазина")</f>
        <v>Скачать индивидуальный QR-код магазина</v>
      </c>
    </row>
    <row r="17264" spans="1:7" x14ac:dyDescent="0.25">
      <c r="A17264" t="s">
        <v>52688</v>
      </c>
      <c r="B17264" t="s">
        <v>52732</v>
      </c>
      <c r="C17264" t="s">
        <v>52733</v>
      </c>
      <c r="D17264" t="s">
        <v>52734</v>
      </c>
      <c r="E17264" t="s">
        <v>52735</v>
      </c>
      <c r="F17264" t="s">
        <v>52736</v>
      </c>
      <c r="G17264" s="2" t="str">
        <f>HYPERLINK("https://probpalata.gov.ru/files/ИП670103754200000.jpeg","Скачать индивидуальный QR-код магазина")</f>
        <v>Скачать индивидуальный QR-код магазина</v>
      </c>
    </row>
    <row r="17265" spans="1:7" x14ac:dyDescent="0.25">
      <c r="A17265" t="s">
        <v>52688</v>
      </c>
      <c r="B17265" t="s">
        <v>52737</v>
      </c>
      <c r="C17265" t="s">
        <v>52738</v>
      </c>
      <c r="D17265" t="s">
        <v>52739</v>
      </c>
      <c r="E17265" t="s">
        <v>52740</v>
      </c>
      <c r="F17265" t="s">
        <v>52741</v>
      </c>
      <c r="G17265" s="2" t="str">
        <f>HYPERLINK("https://probpalata.gov.ru/files/ИП670100545600000.jpeg","Скачать индивидуальный QR-код магазина")</f>
        <v>Скачать индивидуальный QR-код магазина</v>
      </c>
    </row>
    <row r="17266" spans="1:7" x14ac:dyDescent="0.25">
      <c r="A17266" t="s">
        <v>52688</v>
      </c>
      <c r="B17266" t="s">
        <v>52742</v>
      </c>
      <c r="C17266" t="s">
        <v>52743</v>
      </c>
      <c r="D17266" t="s">
        <v>52744</v>
      </c>
      <c r="E17266" t="s">
        <v>52745</v>
      </c>
      <c r="F17266" t="s">
        <v>52746</v>
      </c>
      <c r="G17266" s="2" t="str">
        <f>HYPERLINK("https://probpalata.gov.ru/files/ИП670101307400000.jpeg","Скачать индивидуальный QR-код магазина")</f>
        <v>Скачать индивидуальный QR-код магазина</v>
      </c>
    </row>
    <row r="17267" spans="1:7" x14ac:dyDescent="0.25">
      <c r="A17267" t="s">
        <v>52688</v>
      </c>
      <c r="B17267" t="s">
        <v>52747</v>
      </c>
      <c r="C17267" t="s">
        <v>52748</v>
      </c>
      <c r="D17267" t="s">
        <v>52749</v>
      </c>
      <c r="E17267" t="s">
        <v>52750</v>
      </c>
      <c r="F17267" t="s">
        <v>52751</v>
      </c>
      <c r="G17267" s="2" t="str">
        <f>HYPERLINK("https://probpalata.gov.ru/files/ИП670101934800000.jpeg","Скачать индивидуальный QR-код магазина")</f>
        <v>Скачать индивидуальный QR-код магазина</v>
      </c>
    </row>
    <row r="17268" spans="1:7" x14ac:dyDescent="0.25">
      <c r="A17268" t="s">
        <v>52688</v>
      </c>
      <c r="B17268" t="s">
        <v>52752</v>
      </c>
      <c r="C17268" t="s">
        <v>52753</v>
      </c>
      <c r="D17268" t="s">
        <v>52754</v>
      </c>
      <c r="E17268" t="s">
        <v>52755</v>
      </c>
      <c r="F17268" t="s">
        <v>52756</v>
      </c>
      <c r="G17268" s="2" t="str">
        <f>HYPERLINK("https://probpalata.gov.ru/files/ИП670100212300000.jpeg","Скачать индивидуальный QR-код магазина")</f>
        <v>Скачать индивидуальный QR-код магазина</v>
      </c>
    </row>
    <row r="17269" spans="1:7" x14ac:dyDescent="0.25">
      <c r="A17269" t="s">
        <v>52688</v>
      </c>
      <c r="B17269" t="s">
        <v>52757</v>
      </c>
      <c r="C17269" t="s">
        <v>52758</v>
      </c>
      <c r="D17269" t="s">
        <v>52759</v>
      </c>
      <c r="E17269" t="s">
        <v>52760</v>
      </c>
      <c r="F17269" t="s">
        <v>52761</v>
      </c>
      <c r="G17269" s="2" t="str">
        <f>HYPERLINK("https://probpalata.gov.ru/files/ИП670101180600000.jpeg","Скачать индивидуальный QR-код магазина")</f>
        <v>Скачать индивидуальный QR-код магазина</v>
      </c>
    </row>
    <row r="17270" spans="1:7" x14ac:dyDescent="0.25">
      <c r="A17270" t="s">
        <v>52688</v>
      </c>
      <c r="B17270" t="s">
        <v>52762</v>
      </c>
      <c r="C17270" t="s">
        <v>52763</v>
      </c>
      <c r="D17270" t="s">
        <v>52764</v>
      </c>
      <c r="E17270" t="s">
        <v>52765</v>
      </c>
      <c r="F17270" t="s">
        <v>52766</v>
      </c>
      <c r="G17270" s="2" t="str">
        <f>HYPERLINK("https://probpalata.gov.ru/files/ИП770103828400000.jpeg","Скачать индивидуальный QR-код магазина")</f>
        <v>Скачать индивидуальный QR-код магазина</v>
      </c>
    </row>
    <row r="17271" spans="1:7" x14ac:dyDescent="0.25">
      <c r="A17271" t="s">
        <v>52688</v>
      </c>
      <c r="B17271" t="s">
        <v>52767</v>
      </c>
      <c r="C17271" t="s">
        <v>52768</v>
      </c>
      <c r="D17271" t="s">
        <v>52769</v>
      </c>
      <c r="E17271" t="s">
        <v>52770</v>
      </c>
      <c r="F17271" t="s">
        <v>52771</v>
      </c>
      <c r="G17271" s="2" t="str">
        <f>HYPERLINK("https://probpalata.gov.ru/files/ИП670100419300000.jpeg","Скачать индивидуальный QR-код магазина")</f>
        <v>Скачать индивидуальный QR-код магазина</v>
      </c>
    </row>
    <row r="17272" spans="1:7" x14ac:dyDescent="0.25">
      <c r="A17272" t="s">
        <v>52688</v>
      </c>
      <c r="B17272" t="s">
        <v>52772</v>
      </c>
      <c r="C17272" t="s">
        <v>52768</v>
      </c>
      <c r="D17272" t="s">
        <v>52769</v>
      </c>
      <c r="E17272" t="s">
        <v>52770</v>
      </c>
      <c r="F17272" t="s">
        <v>52773</v>
      </c>
      <c r="G17272" s="2" t="str">
        <f>HYPERLINK("https://probpalata.gov.ru/files/ИП670100419300002.jpeg","Скачать индивидуальный QR-код магазина")</f>
        <v>Скачать индивидуальный QR-код магазина</v>
      </c>
    </row>
    <row r="17273" spans="1:7" x14ac:dyDescent="0.25">
      <c r="A17273" t="s">
        <v>52688</v>
      </c>
      <c r="B17273" t="s">
        <v>52774</v>
      </c>
      <c r="C17273" t="s">
        <v>2551</v>
      </c>
      <c r="D17273" t="s">
        <v>2552</v>
      </c>
      <c r="E17273" t="s">
        <v>2553</v>
      </c>
      <c r="F17273" t="s">
        <v>52775</v>
      </c>
      <c r="G17273" s="2" t="str">
        <f>HYPERLINK("https://probpalata.gov.ru/files/ИП670100293400006.jpeg","Скачать индивидуальный QR-код магазина")</f>
        <v>Скачать индивидуальный QR-код магазина</v>
      </c>
    </row>
    <row r="17274" spans="1:7" x14ac:dyDescent="0.25">
      <c r="A17274" t="s">
        <v>52688</v>
      </c>
      <c r="B17274" t="s">
        <v>52776</v>
      </c>
      <c r="C17274" t="s">
        <v>2551</v>
      </c>
      <c r="D17274" t="s">
        <v>2552</v>
      </c>
      <c r="E17274" t="s">
        <v>2553</v>
      </c>
      <c r="F17274" t="s">
        <v>52777</v>
      </c>
      <c r="G17274" s="2" t="str">
        <f>HYPERLINK("https://probpalata.gov.ru/files/ИП670100293400007.jpeg","Скачать индивидуальный QR-код магазина")</f>
        <v>Скачать индивидуальный QR-код магазина</v>
      </c>
    </row>
    <row r="17275" spans="1:7" x14ac:dyDescent="0.25">
      <c r="A17275" t="s">
        <v>52688</v>
      </c>
      <c r="B17275" t="s">
        <v>52778</v>
      </c>
      <c r="C17275" t="s">
        <v>2551</v>
      </c>
      <c r="D17275" t="s">
        <v>2552</v>
      </c>
      <c r="E17275" t="s">
        <v>2553</v>
      </c>
      <c r="F17275" t="s">
        <v>52779</v>
      </c>
      <c r="G17275" s="2" t="str">
        <f>HYPERLINK("https://probpalata.gov.ru/files/ИП670100293400009.jpeg","Скачать индивидуальный QR-код магазина")</f>
        <v>Скачать индивидуальный QR-код магазина</v>
      </c>
    </row>
    <row r="17276" spans="1:7" x14ac:dyDescent="0.25">
      <c r="A17276" t="s">
        <v>52688</v>
      </c>
      <c r="B17276" t="s">
        <v>52780</v>
      </c>
      <c r="C17276" t="s">
        <v>2551</v>
      </c>
      <c r="D17276" t="s">
        <v>2552</v>
      </c>
      <c r="E17276" t="s">
        <v>2553</v>
      </c>
      <c r="F17276" t="s">
        <v>52781</v>
      </c>
      <c r="G17276" s="2" t="str">
        <f>HYPERLINK("https://probpalata.gov.ru/files/ИП670100293400011.jpeg","Скачать индивидуальный QR-код магазина")</f>
        <v>Скачать индивидуальный QR-код магазина</v>
      </c>
    </row>
    <row r="17277" spans="1:7" x14ac:dyDescent="0.25">
      <c r="A17277" t="s">
        <v>52688</v>
      </c>
      <c r="B17277" t="s">
        <v>52782</v>
      </c>
      <c r="C17277" t="s">
        <v>2551</v>
      </c>
      <c r="D17277" t="s">
        <v>2552</v>
      </c>
      <c r="E17277" t="s">
        <v>2553</v>
      </c>
      <c r="F17277" t="s">
        <v>52783</v>
      </c>
      <c r="G17277" s="2" t="str">
        <f>HYPERLINK("https://probpalata.gov.ru/files/ИП670100293400014.jpeg","Скачать индивидуальный QR-код магазина")</f>
        <v>Скачать индивидуальный QR-код магазина</v>
      </c>
    </row>
    <row r="17278" spans="1:7" x14ac:dyDescent="0.25">
      <c r="A17278" t="s">
        <v>52688</v>
      </c>
      <c r="B17278" t="s">
        <v>52784</v>
      </c>
      <c r="C17278" t="s">
        <v>52785</v>
      </c>
      <c r="D17278" t="s">
        <v>52786</v>
      </c>
      <c r="E17278" t="s">
        <v>52787</v>
      </c>
      <c r="F17278" t="s">
        <v>52788</v>
      </c>
      <c r="G17278" s="2" t="str">
        <f>HYPERLINK("https://probpalata.gov.ru/files/ИП670101349000000.jpeg","Скачать индивидуальный QR-код магазина")</f>
        <v>Скачать индивидуальный QR-код магазина</v>
      </c>
    </row>
    <row r="17279" spans="1:7" x14ac:dyDescent="0.25">
      <c r="A17279" t="s">
        <v>52688</v>
      </c>
      <c r="B17279" t="s">
        <v>52789</v>
      </c>
      <c r="C17279" t="s">
        <v>52790</v>
      </c>
      <c r="D17279" t="s">
        <v>52791</v>
      </c>
      <c r="E17279" t="s">
        <v>52792</v>
      </c>
      <c r="F17279" t="s">
        <v>52793</v>
      </c>
      <c r="G17279" s="2" t="str">
        <f>HYPERLINK("https://probpalata.gov.ru/files/ИП670103423300000.jpeg","Скачать индивидуальный QR-код магазина")</f>
        <v>Скачать индивидуальный QR-код магазина</v>
      </c>
    </row>
    <row r="17280" spans="1:7" x14ac:dyDescent="0.25">
      <c r="A17280" t="s">
        <v>52688</v>
      </c>
      <c r="B17280" t="s">
        <v>52794</v>
      </c>
      <c r="C17280" t="s">
        <v>52795</v>
      </c>
      <c r="D17280" t="s">
        <v>52796</v>
      </c>
      <c r="E17280" t="s">
        <v>52797</v>
      </c>
      <c r="F17280" t="s">
        <v>52798</v>
      </c>
      <c r="G17280" s="2" t="str">
        <f>HYPERLINK("https://probpalata.gov.ru/files/ИП670101360400000.jpeg","Скачать индивидуальный QR-код магазина")</f>
        <v>Скачать индивидуальный QR-код магазина</v>
      </c>
    </row>
    <row r="17281" spans="1:7" x14ac:dyDescent="0.25">
      <c r="A17281" t="s">
        <v>52688</v>
      </c>
      <c r="B17281" t="s">
        <v>52799</v>
      </c>
      <c r="C17281" t="s">
        <v>17803</v>
      </c>
      <c r="D17281" t="s">
        <v>17804</v>
      </c>
      <c r="E17281" t="s">
        <v>17805</v>
      </c>
      <c r="F17281" t="s">
        <v>52800</v>
      </c>
      <c r="G17281" s="2" t="str">
        <f>HYPERLINK("https://probpalata.gov.ru/files/ИП470301491100001.jpeg","Скачать индивидуальный QR-код магазина")</f>
        <v>Скачать индивидуальный QR-код магазина</v>
      </c>
    </row>
    <row r="17282" spans="1:7" x14ac:dyDescent="0.25">
      <c r="A17282" t="s">
        <v>52688</v>
      </c>
      <c r="B17282" t="s">
        <v>52801</v>
      </c>
      <c r="C17282" t="s">
        <v>28481</v>
      </c>
      <c r="D17282" t="s">
        <v>28482</v>
      </c>
      <c r="E17282" t="s">
        <v>28483</v>
      </c>
      <c r="F17282" t="s">
        <v>52802</v>
      </c>
      <c r="G17282" s="2" t="str">
        <f>HYPERLINK("https://probpalata.gov.ru/files/ИП670100585200003.jpeg","Скачать индивидуальный QR-код магазина")</f>
        <v>Скачать индивидуальный QR-код магазина</v>
      </c>
    </row>
    <row r="17283" spans="1:7" x14ac:dyDescent="0.25">
      <c r="A17283" t="s">
        <v>52688</v>
      </c>
      <c r="B17283" t="s">
        <v>52803</v>
      </c>
      <c r="C17283" t="s">
        <v>28481</v>
      </c>
      <c r="D17283" t="s">
        <v>28482</v>
      </c>
      <c r="E17283" t="s">
        <v>28483</v>
      </c>
      <c r="F17283" t="s">
        <v>52804</v>
      </c>
      <c r="G17283" s="2" t="str">
        <f>HYPERLINK("https://probpalata.gov.ru/files/ИП670100585200004.jpeg","Скачать индивидуальный QR-код магазина")</f>
        <v>Скачать индивидуальный QR-код магазина</v>
      </c>
    </row>
    <row r="17284" spans="1:7" x14ac:dyDescent="0.25">
      <c r="A17284" t="s">
        <v>52688</v>
      </c>
      <c r="B17284" t="s">
        <v>52805</v>
      </c>
      <c r="C17284" t="s">
        <v>28481</v>
      </c>
      <c r="D17284" t="s">
        <v>28482</v>
      </c>
      <c r="E17284" t="s">
        <v>28483</v>
      </c>
      <c r="F17284" t="s">
        <v>52806</v>
      </c>
      <c r="G17284" s="2" t="str">
        <f>HYPERLINK("https://probpalata.gov.ru/files/ИП670100585200005.jpeg","Скачать индивидуальный QR-код магазина")</f>
        <v>Скачать индивидуальный QR-код магазина</v>
      </c>
    </row>
    <row r="17285" spans="1:7" x14ac:dyDescent="0.25">
      <c r="A17285" t="s">
        <v>52688</v>
      </c>
      <c r="B17285" t="s">
        <v>52807</v>
      </c>
      <c r="C17285" t="s">
        <v>28481</v>
      </c>
      <c r="D17285" t="s">
        <v>28482</v>
      </c>
      <c r="E17285" t="s">
        <v>28483</v>
      </c>
      <c r="F17285" t="s">
        <v>52808</v>
      </c>
      <c r="G17285" s="2" t="str">
        <f>HYPERLINK("https://probpalata.gov.ru/files/ИП670100585200006.jpeg","Скачать индивидуальный QR-код магазина")</f>
        <v>Скачать индивидуальный QR-код магазина</v>
      </c>
    </row>
    <row r="17286" spans="1:7" x14ac:dyDescent="0.25">
      <c r="A17286" t="s">
        <v>52688</v>
      </c>
      <c r="B17286" t="s">
        <v>52809</v>
      </c>
      <c r="C17286" t="s">
        <v>28481</v>
      </c>
      <c r="D17286" t="s">
        <v>28482</v>
      </c>
      <c r="E17286" t="s">
        <v>28483</v>
      </c>
      <c r="F17286" t="s">
        <v>52810</v>
      </c>
      <c r="G17286" s="2" t="str">
        <f>HYPERLINK("https://probpalata.gov.ru/files/ИП670100585200007.jpeg","Скачать индивидуальный QR-код магазина")</f>
        <v>Скачать индивидуальный QR-код магазина</v>
      </c>
    </row>
    <row r="17287" spans="1:7" x14ac:dyDescent="0.25">
      <c r="A17287" t="s">
        <v>52688</v>
      </c>
      <c r="B17287" t="s">
        <v>52811</v>
      </c>
      <c r="C17287" t="s">
        <v>52812</v>
      </c>
      <c r="D17287" t="s">
        <v>52813</v>
      </c>
      <c r="E17287" t="s">
        <v>52814</v>
      </c>
      <c r="F17287" t="s">
        <v>52815</v>
      </c>
      <c r="G17287" s="2" t="str">
        <f>HYPERLINK("https://probpalata.gov.ru/files/ИП670101446900000.jpeg","Скачать индивидуальный QR-код магазина")</f>
        <v>Скачать индивидуальный QR-код магазина</v>
      </c>
    </row>
    <row r="17288" spans="1:7" x14ac:dyDescent="0.25">
      <c r="A17288" t="s">
        <v>52688</v>
      </c>
      <c r="B17288" t="s">
        <v>52816</v>
      </c>
      <c r="C17288" t="s">
        <v>52817</v>
      </c>
      <c r="D17288" t="s">
        <v>52818</v>
      </c>
      <c r="E17288" t="s">
        <v>52819</v>
      </c>
      <c r="F17288" t="s">
        <v>52820</v>
      </c>
      <c r="G17288" s="2" t="str">
        <f>HYPERLINK("https://probpalata.gov.ru/files/ИП670102037000000.jpeg","Скачать индивидуальный QR-код магазина")</f>
        <v>Скачать индивидуальный QR-код магазина</v>
      </c>
    </row>
    <row r="17289" spans="1:7" x14ac:dyDescent="0.25">
      <c r="A17289" t="s">
        <v>52688</v>
      </c>
      <c r="B17289" t="s">
        <v>52821</v>
      </c>
      <c r="C17289" t="s">
        <v>52822</v>
      </c>
      <c r="D17289" t="s">
        <v>52823</v>
      </c>
      <c r="E17289" t="s">
        <v>52824</v>
      </c>
      <c r="F17289" t="s">
        <v>52825</v>
      </c>
      <c r="G17289" s="2" t="str">
        <f>HYPERLINK("https://probpalata.gov.ru/files/ЮЛ670100642100000.jpeg","Скачать индивидуальный QR-код магазина")</f>
        <v>Скачать индивидуальный QR-код магазина</v>
      </c>
    </row>
    <row r="17290" spans="1:7" x14ac:dyDescent="0.25">
      <c r="A17290" t="s">
        <v>52688</v>
      </c>
      <c r="B17290" t="s">
        <v>52826</v>
      </c>
      <c r="C17290" t="s">
        <v>52827</v>
      </c>
      <c r="D17290" t="s">
        <v>52828</v>
      </c>
      <c r="E17290" t="s">
        <v>52829</v>
      </c>
      <c r="F17290" t="s">
        <v>52830</v>
      </c>
      <c r="G17290" s="2" t="str">
        <f>HYPERLINK("https://probpalata.gov.ru/files/ИП670101405200000.jpeg","Скачать индивидуальный QR-код магазина")</f>
        <v>Скачать индивидуальный QR-код магазина</v>
      </c>
    </row>
    <row r="17291" spans="1:7" x14ac:dyDescent="0.25">
      <c r="A17291" t="s">
        <v>52688</v>
      </c>
      <c r="B17291" t="s">
        <v>52831</v>
      </c>
      <c r="C17291" t="s">
        <v>52832</v>
      </c>
      <c r="D17291" t="s">
        <v>52833</v>
      </c>
      <c r="E17291" t="s">
        <v>52834</v>
      </c>
      <c r="F17291" t="s">
        <v>52835</v>
      </c>
      <c r="G17291" s="2" t="str">
        <f>HYPERLINK("https://probpalata.gov.ru/files/ЮЛ670100703300001.jpeg","Скачать индивидуальный QR-код магазина")</f>
        <v>Скачать индивидуальный QR-код магазина</v>
      </c>
    </row>
    <row r="17292" spans="1:7" x14ac:dyDescent="0.25">
      <c r="A17292" t="s">
        <v>52688</v>
      </c>
      <c r="B17292" t="s">
        <v>52836</v>
      </c>
      <c r="C17292" t="s">
        <v>52832</v>
      </c>
      <c r="D17292" t="s">
        <v>52833</v>
      </c>
      <c r="E17292" t="s">
        <v>52834</v>
      </c>
      <c r="F17292" t="s">
        <v>52837</v>
      </c>
      <c r="G17292" s="2" t="str">
        <f>HYPERLINK("https://probpalata.gov.ru/files/ЮЛ670100703300010.jpeg","Скачать индивидуальный QR-код магазина")</f>
        <v>Скачать индивидуальный QR-код магазина</v>
      </c>
    </row>
    <row r="17293" spans="1:7" x14ac:dyDescent="0.25">
      <c r="A17293" t="s">
        <v>52688</v>
      </c>
      <c r="B17293" t="s">
        <v>52838</v>
      </c>
      <c r="C17293" t="s">
        <v>34193</v>
      </c>
      <c r="D17293" t="s">
        <v>34194</v>
      </c>
      <c r="E17293" t="s">
        <v>34195</v>
      </c>
      <c r="F17293" t="s">
        <v>52839</v>
      </c>
      <c r="G17293" s="2" t="str">
        <f>HYPERLINK("https://probpalata.gov.ru/files/ИП670100524800000.jpeg","Скачать индивидуальный QR-код магазина")</f>
        <v>Скачать индивидуальный QR-код магазина</v>
      </c>
    </row>
    <row r="17294" spans="1:7" x14ac:dyDescent="0.25">
      <c r="A17294" t="s">
        <v>52688</v>
      </c>
      <c r="B17294" t="s">
        <v>52840</v>
      </c>
      <c r="C17294" t="s">
        <v>34193</v>
      </c>
      <c r="D17294" t="s">
        <v>34194</v>
      </c>
      <c r="E17294" t="s">
        <v>34195</v>
      </c>
      <c r="F17294" t="s">
        <v>52841</v>
      </c>
      <c r="G17294" s="2" t="str">
        <f>HYPERLINK("https://probpalata.gov.ru/files/ИП670100524800001.jpeg","Скачать индивидуальный QR-код магазина")</f>
        <v>Скачать индивидуальный QR-код магазина</v>
      </c>
    </row>
    <row r="17295" spans="1:7" x14ac:dyDescent="0.25">
      <c r="A17295" t="s">
        <v>52688</v>
      </c>
      <c r="B17295" t="s">
        <v>52842</v>
      </c>
      <c r="C17295" t="s">
        <v>34193</v>
      </c>
      <c r="D17295" t="s">
        <v>34194</v>
      </c>
      <c r="E17295" t="s">
        <v>34195</v>
      </c>
      <c r="F17295" t="s">
        <v>52843</v>
      </c>
      <c r="G17295" s="2" t="str">
        <f>HYPERLINK("https://probpalata.gov.ru/files/ИП670100524800002.jpeg","Скачать индивидуальный QR-код магазина")</f>
        <v>Скачать индивидуальный QR-код магазина</v>
      </c>
    </row>
    <row r="17296" spans="1:7" x14ac:dyDescent="0.25">
      <c r="A17296" t="s">
        <v>52688</v>
      </c>
      <c r="B17296" t="s">
        <v>52844</v>
      </c>
      <c r="C17296" t="s">
        <v>34193</v>
      </c>
      <c r="D17296" t="s">
        <v>34194</v>
      </c>
      <c r="E17296" t="s">
        <v>34195</v>
      </c>
      <c r="F17296" t="s">
        <v>52845</v>
      </c>
      <c r="G17296" s="2" t="str">
        <f>HYPERLINK("https://probpalata.gov.ru/files/ИП670100524800004.jpeg","Скачать индивидуальный QR-код магазина")</f>
        <v>Скачать индивидуальный QR-код магазина</v>
      </c>
    </row>
    <row r="17297" spans="1:7" x14ac:dyDescent="0.25">
      <c r="A17297" t="s">
        <v>52688</v>
      </c>
      <c r="B17297" t="s">
        <v>52846</v>
      </c>
      <c r="C17297" t="s">
        <v>34193</v>
      </c>
      <c r="D17297" t="s">
        <v>34194</v>
      </c>
      <c r="E17297" t="s">
        <v>34195</v>
      </c>
      <c r="F17297" t="s">
        <v>52847</v>
      </c>
      <c r="G17297" s="2" t="str">
        <f>HYPERLINK("https://probpalata.gov.ru/files/ИП670100524800005.jpeg","Скачать индивидуальный QR-код магазина")</f>
        <v>Скачать индивидуальный QR-код магазина</v>
      </c>
    </row>
    <row r="17298" spans="1:7" x14ac:dyDescent="0.25">
      <c r="A17298" t="s">
        <v>52688</v>
      </c>
      <c r="B17298" t="s">
        <v>52848</v>
      </c>
      <c r="C17298" t="s">
        <v>5122</v>
      </c>
      <c r="D17298" t="s">
        <v>5123</v>
      </c>
      <c r="E17298" t="s">
        <v>5124</v>
      </c>
      <c r="F17298" t="s">
        <v>52849</v>
      </c>
      <c r="G17298" s="2" t="str">
        <f>HYPERLINK("https://probpalata.gov.ru/files/ЮЛ670100207100000.jpeg","Скачать индивидуальный QR-код магазина")</f>
        <v>Скачать индивидуальный QR-код магазина</v>
      </c>
    </row>
    <row r="17299" spans="1:7" x14ac:dyDescent="0.25">
      <c r="A17299" t="s">
        <v>52688</v>
      </c>
      <c r="B17299" t="s">
        <v>52850</v>
      </c>
      <c r="C17299" t="s">
        <v>5122</v>
      </c>
      <c r="D17299" t="s">
        <v>5123</v>
      </c>
      <c r="E17299" t="s">
        <v>5124</v>
      </c>
      <c r="F17299" t="s">
        <v>52851</v>
      </c>
      <c r="G17299" s="2" t="str">
        <f>HYPERLINK("https://probpalata.gov.ru/files/ЮЛ670100207100001.jpeg","Скачать индивидуальный QR-код магазина")</f>
        <v>Скачать индивидуальный QR-код магазина</v>
      </c>
    </row>
    <row r="17300" spans="1:7" x14ac:dyDescent="0.25">
      <c r="A17300" t="s">
        <v>52688</v>
      </c>
      <c r="B17300" t="s">
        <v>52852</v>
      </c>
      <c r="C17300" t="s">
        <v>52853</v>
      </c>
      <c r="D17300" t="s">
        <v>52854</v>
      </c>
      <c r="E17300" t="s">
        <v>52855</v>
      </c>
      <c r="F17300" t="s">
        <v>52856</v>
      </c>
      <c r="G17300" s="2" t="str">
        <f>HYPERLINK("https://probpalata.gov.ru/files/ИП670101935000000.jpeg","Скачать индивидуальный QR-код магазина")</f>
        <v>Скачать индивидуальный QR-код магазина</v>
      </c>
    </row>
    <row r="17301" spans="1:7" x14ac:dyDescent="0.25">
      <c r="A17301" t="s">
        <v>52688</v>
      </c>
      <c r="B17301" t="s">
        <v>52857</v>
      </c>
      <c r="C17301" t="s">
        <v>2571</v>
      </c>
      <c r="D17301" t="s">
        <v>2572</v>
      </c>
      <c r="E17301" t="s">
        <v>2573</v>
      </c>
      <c r="F17301" t="s">
        <v>52858</v>
      </c>
      <c r="G17301" s="2" t="str">
        <f>HYPERLINK("https://probpalata.gov.ru/files/ИП670100329400000.jpeg","Скачать индивидуальный QR-код магазина")</f>
        <v>Скачать индивидуальный QR-код магазина</v>
      </c>
    </row>
    <row r="17302" spans="1:7" x14ac:dyDescent="0.25">
      <c r="A17302" t="s">
        <v>52688</v>
      </c>
      <c r="B17302" t="s">
        <v>52859</v>
      </c>
      <c r="C17302" t="s">
        <v>2571</v>
      </c>
      <c r="D17302" t="s">
        <v>2572</v>
      </c>
      <c r="E17302" t="s">
        <v>2573</v>
      </c>
      <c r="F17302" t="s">
        <v>52860</v>
      </c>
      <c r="G17302" s="2" t="str">
        <f>HYPERLINK("https://probpalata.gov.ru/files/ИП670100329400005.jpeg","Скачать индивидуальный QR-код магазина")</f>
        <v>Скачать индивидуальный QR-код магазина</v>
      </c>
    </row>
    <row r="17303" spans="1:7" x14ac:dyDescent="0.25">
      <c r="A17303" t="s">
        <v>52688</v>
      </c>
      <c r="B17303" t="s">
        <v>52861</v>
      </c>
      <c r="C17303" t="s">
        <v>2571</v>
      </c>
      <c r="D17303" t="s">
        <v>2572</v>
      </c>
      <c r="E17303" t="s">
        <v>2573</v>
      </c>
      <c r="F17303" t="s">
        <v>52862</v>
      </c>
      <c r="G17303" s="2" t="str">
        <f>HYPERLINK("https://probpalata.gov.ru/files/ИП670100329400006.jpeg","Скачать индивидуальный QR-код магазина")</f>
        <v>Скачать индивидуальный QR-код магазина</v>
      </c>
    </row>
    <row r="17304" spans="1:7" x14ac:dyDescent="0.25">
      <c r="A17304" t="s">
        <v>52688</v>
      </c>
      <c r="B17304" t="s">
        <v>52863</v>
      </c>
      <c r="C17304" t="s">
        <v>2571</v>
      </c>
      <c r="D17304" t="s">
        <v>2572</v>
      </c>
      <c r="E17304" t="s">
        <v>2573</v>
      </c>
      <c r="F17304" t="s">
        <v>52864</v>
      </c>
      <c r="G17304" s="2" t="str">
        <f>HYPERLINK("https://probpalata.gov.ru/files/ИП670100329400007.jpeg","Скачать индивидуальный QR-код магазина")</f>
        <v>Скачать индивидуальный QR-код магазина</v>
      </c>
    </row>
    <row r="17305" spans="1:7" x14ac:dyDescent="0.25">
      <c r="A17305" t="s">
        <v>52688</v>
      </c>
      <c r="B17305" t="s">
        <v>52865</v>
      </c>
      <c r="C17305" t="s">
        <v>2571</v>
      </c>
      <c r="D17305" t="s">
        <v>2572</v>
      </c>
      <c r="E17305" t="s">
        <v>2573</v>
      </c>
      <c r="F17305" t="s">
        <v>52866</v>
      </c>
      <c r="G17305" s="2" t="str">
        <f>HYPERLINK("https://probpalata.gov.ru/files/ИП670100329400008.jpeg","Скачать индивидуальный QR-код магазина")</f>
        <v>Скачать индивидуальный QR-код магазина</v>
      </c>
    </row>
    <row r="17306" spans="1:7" x14ac:dyDescent="0.25">
      <c r="A17306" t="s">
        <v>52688</v>
      </c>
      <c r="B17306" t="s">
        <v>52867</v>
      </c>
      <c r="C17306" t="s">
        <v>2571</v>
      </c>
      <c r="D17306" t="s">
        <v>2572</v>
      </c>
      <c r="E17306" t="s">
        <v>2573</v>
      </c>
      <c r="F17306" t="s">
        <v>52868</v>
      </c>
      <c r="G17306" s="2" t="str">
        <f>HYPERLINK("https://probpalata.gov.ru/files/ИП670100329400009.jpeg","Скачать индивидуальный QR-код магазина")</f>
        <v>Скачать индивидуальный QR-код магазина</v>
      </c>
    </row>
    <row r="17307" spans="1:7" x14ac:dyDescent="0.25">
      <c r="A17307" t="s">
        <v>52688</v>
      </c>
      <c r="B17307" t="s">
        <v>52869</v>
      </c>
      <c r="C17307" t="s">
        <v>2571</v>
      </c>
      <c r="D17307" t="s">
        <v>2572</v>
      </c>
      <c r="E17307" t="s">
        <v>2573</v>
      </c>
      <c r="F17307" t="s">
        <v>52870</v>
      </c>
      <c r="G17307" s="2" t="str">
        <f>HYPERLINK("https://probpalata.gov.ru/files/ИП670100329400011.jpeg","Скачать индивидуальный QR-код магазина")</f>
        <v>Скачать индивидуальный QR-код магазина</v>
      </c>
    </row>
    <row r="17308" spans="1:7" x14ac:dyDescent="0.25">
      <c r="A17308" t="s">
        <v>52688</v>
      </c>
      <c r="B17308" t="s">
        <v>52871</v>
      </c>
      <c r="C17308" t="s">
        <v>2571</v>
      </c>
      <c r="D17308" t="s">
        <v>2572</v>
      </c>
      <c r="E17308" t="s">
        <v>2573</v>
      </c>
      <c r="F17308" t="s">
        <v>52872</v>
      </c>
      <c r="G17308" s="2" t="str">
        <f>HYPERLINK("https://probpalata.gov.ru/files/ИП670100329400012.jpeg","Скачать индивидуальный QR-код магазина")</f>
        <v>Скачать индивидуальный QR-код магазина</v>
      </c>
    </row>
    <row r="17309" spans="1:7" x14ac:dyDescent="0.25">
      <c r="A17309" t="s">
        <v>52688</v>
      </c>
      <c r="B17309" t="s">
        <v>52873</v>
      </c>
      <c r="C17309" t="s">
        <v>2571</v>
      </c>
      <c r="D17309" t="s">
        <v>2572</v>
      </c>
      <c r="E17309" t="s">
        <v>2573</v>
      </c>
      <c r="F17309" t="s">
        <v>52874</v>
      </c>
      <c r="G17309" s="2" t="str">
        <f>HYPERLINK("https://probpalata.gov.ru/files/ИП670100329400014.jpeg","Скачать индивидуальный QR-код магазина")</f>
        <v>Скачать индивидуальный QR-код магазина</v>
      </c>
    </row>
    <row r="17310" spans="1:7" x14ac:dyDescent="0.25">
      <c r="A17310" t="s">
        <v>52688</v>
      </c>
      <c r="B17310" t="s">
        <v>52875</v>
      </c>
      <c r="C17310" t="s">
        <v>2571</v>
      </c>
      <c r="D17310" t="s">
        <v>2572</v>
      </c>
      <c r="E17310" t="s">
        <v>2573</v>
      </c>
      <c r="F17310" t="s">
        <v>52876</v>
      </c>
      <c r="G17310" s="2" t="str">
        <f>HYPERLINK("https://probpalata.gov.ru/files/ИП670100329400015.jpeg","Скачать индивидуальный QR-код магазина")</f>
        <v>Скачать индивидуальный QR-код магазина</v>
      </c>
    </row>
    <row r="17311" spans="1:7" x14ac:dyDescent="0.25">
      <c r="A17311" t="s">
        <v>52688</v>
      </c>
      <c r="B17311" t="s">
        <v>52877</v>
      </c>
      <c r="C17311" t="s">
        <v>2571</v>
      </c>
      <c r="D17311" t="s">
        <v>2572</v>
      </c>
      <c r="E17311" t="s">
        <v>2573</v>
      </c>
      <c r="F17311" t="s">
        <v>52878</v>
      </c>
      <c r="G17311" s="2" t="str">
        <f>HYPERLINK("https://probpalata.gov.ru/files/ИП670100329400016.jpeg","Скачать индивидуальный QR-код магазина")</f>
        <v>Скачать индивидуальный QR-код магазина</v>
      </c>
    </row>
    <row r="17312" spans="1:7" x14ac:dyDescent="0.25">
      <c r="A17312" t="s">
        <v>52688</v>
      </c>
      <c r="B17312" t="s">
        <v>52879</v>
      </c>
      <c r="C17312" t="s">
        <v>2571</v>
      </c>
      <c r="D17312" t="s">
        <v>2572</v>
      </c>
      <c r="E17312" t="s">
        <v>2573</v>
      </c>
      <c r="F17312" t="s">
        <v>52880</v>
      </c>
      <c r="G17312" s="2" t="str">
        <f>HYPERLINK("https://probpalata.gov.ru/files/ИП670100329400017.jpeg","Скачать индивидуальный QR-код магазина")</f>
        <v>Скачать индивидуальный QR-код магазина</v>
      </c>
    </row>
    <row r="17313" spans="1:7" x14ac:dyDescent="0.25">
      <c r="A17313" t="s">
        <v>52688</v>
      </c>
      <c r="B17313" t="s">
        <v>52695</v>
      </c>
      <c r="C17313" t="s">
        <v>2571</v>
      </c>
      <c r="D17313" t="s">
        <v>2572</v>
      </c>
      <c r="E17313" t="s">
        <v>2573</v>
      </c>
      <c r="F17313" t="s">
        <v>52881</v>
      </c>
      <c r="G17313" s="2" t="str">
        <f>HYPERLINK("https://probpalata.gov.ru/files/ИП670100329400018.jpeg","Скачать индивидуальный QR-код магазина")</f>
        <v>Скачать индивидуальный QR-код магазина</v>
      </c>
    </row>
    <row r="17314" spans="1:7" x14ac:dyDescent="0.25">
      <c r="A17314" t="s">
        <v>52688</v>
      </c>
      <c r="B17314" t="s">
        <v>52695</v>
      </c>
      <c r="C17314" t="s">
        <v>2571</v>
      </c>
      <c r="D17314" t="s">
        <v>2572</v>
      </c>
      <c r="E17314" t="s">
        <v>2573</v>
      </c>
      <c r="F17314" t="s">
        <v>52882</v>
      </c>
      <c r="G17314" s="2" t="str">
        <f>HYPERLINK("https://probpalata.gov.ru/files/ИП670100329400020.jpeg","Скачать индивидуальный QR-код магазина")</f>
        <v>Скачать индивидуальный QR-код магазина</v>
      </c>
    </row>
    <row r="17315" spans="1:7" x14ac:dyDescent="0.25">
      <c r="A17315" t="s">
        <v>52688</v>
      </c>
      <c r="B17315" t="s">
        <v>52883</v>
      </c>
      <c r="C17315" t="s">
        <v>2571</v>
      </c>
      <c r="D17315" t="s">
        <v>2572</v>
      </c>
      <c r="E17315" t="s">
        <v>2573</v>
      </c>
      <c r="F17315" t="s">
        <v>52884</v>
      </c>
      <c r="G17315" s="2" t="str">
        <f>HYPERLINK("https://probpalata.gov.ru/files/ИП670100329400025.jpeg","Скачать индивидуальный QR-код магазина")</f>
        <v>Скачать индивидуальный QR-код магазина</v>
      </c>
    </row>
    <row r="17316" spans="1:7" x14ac:dyDescent="0.25">
      <c r="A17316" t="s">
        <v>52688</v>
      </c>
      <c r="B17316" t="s">
        <v>52885</v>
      </c>
      <c r="C17316" t="s">
        <v>2571</v>
      </c>
      <c r="D17316" t="s">
        <v>2572</v>
      </c>
      <c r="E17316" t="s">
        <v>2573</v>
      </c>
      <c r="F17316" t="s">
        <v>52886</v>
      </c>
      <c r="G17316" s="2" t="str">
        <f>HYPERLINK("https://probpalata.gov.ru/files/ИП670100329400027.jpeg","Скачать индивидуальный QR-код магазина")</f>
        <v>Скачать индивидуальный QR-код магазина</v>
      </c>
    </row>
    <row r="17317" spans="1:7" x14ac:dyDescent="0.25">
      <c r="A17317" t="s">
        <v>52688</v>
      </c>
      <c r="B17317" t="s">
        <v>52887</v>
      </c>
      <c r="C17317" t="s">
        <v>52888</v>
      </c>
      <c r="D17317" t="s">
        <v>52889</v>
      </c>
      <c r="E17317" t="s">
        <v>52890</v>
      </c>
      <c r="F17317" t="s">
        <v>52891</v>
      </c>
      <c r="G17317" s="2" t="str">
        <f>HYPERLINK("https://probpalata.gov.ru/files/ИП670100755100000.jpeg","Скачать индивидуальный QR-код магазина")</f>
        <v>Скачать индивидуальный QR-код магазина</v>
      </c>
    </row>
    <row r="17318" spans="1:7" x14ac:dyDescent="0.25">
      <c r="A17318" t="s">
        <v>52688</v>
      </c>
      <c r="B17318" t="s">
        <v>52892</v>
      </c>
      <c r="C17318" t="s">
        <v>52893</v>
      </c>
      <c r="D17318" t="s">
        <v>52894</v>
      </c>
      <c r="E17318" t="s">
        <v>52895</v>
      </c>
      <c r="F17318" t="s">
        <v>52896</v>
      </c>
      <c r="G17318" s="2" t="str">
        <f>HYPERLINK("https://probpalata.gov.ru/files/ЮЛ670100259200000.jpeg","Скачать индивидуальный QR-код магазина")</f>
        <v>Скачать индивидуальный QR-код магазина</v>
      </c>
    </row>
    <row r="17319" spans="1:7" x14ac:dyDescent="0.25">
      <c r="A17319" t="s">
        <v>52688</v>
      </c>
      <c r="B17319" t="s">
        <v>52897</v>
      </c>
      <c r="C17319" t="s">
        <v>52898</v>
      </c>
      <c r="D17319" t="s">
        <v>52899</v>
      </c>
      <c r="E17319" t="s">
        <v>52900</v>
      </c>
      <c r="F17319" t="s">
        <v>52901</v>
      </c>
      <c r="G17319" s="2" t="str">
        <f>HYPERLINK("https://probpalata.gov.ru/files/ЮЛ670101449200000.jpeg","Скачать индивидуальный QR-код магазина")</f>
        <v>Скачать индивидуальный QR-код магазина</v>
      </c>
    </row>
    <row r="17320" spans="1:7" x14ac:dyDescent="0.25">
      <c r="A17320" t="s">
        <v>52688</v>
      </c>
      <c r="B17320" t="s">
        <v>52902</v>
      </c>
      <c r="C17320" t="s">
        <v>52903</v>
      </c>
      <c r="D17320" t="s">
        <v>52904</v>
      </c>
      <c r="E17320" t="s">
        <v>52905</v>
      </c>
      <c r="F17320" t="s">
        <v>52906</v>
      </c>
      <c r="G17320" s="2" t="str">
        <f>HYPERLINK("https://probpalata.gov.ru/files/ЮЛ670100364400000.jpeg","Скачать индивидуальный QR-код магазина")</f>
        <v>Скачать индивидуальный QR-код магазина</v>
      </c>
    </row>
    <row r="17321" spans="1:7" x14ac:dyDescent="0.25">
      <c r="A17321" t="s">
        <v>52688</v>
      </c>
      <c r="B17321" t="s">
        <v>52907</v>
      </c>
      <c r="C17321" t="s">
        <v>52908</v>
      </c>
      <c r="D17321" t="s">
        <v>52909</v>
      </c>
      <c r="E17321" t="s">
        <v>52910</v>
      </c>
      <c r="F17321" t="s">
        <v>52911</v>
      </c>
      <c r="G17321" s="2" t="str">
        <f>HYPERLINK("https://probpalata.gov.ru/files/ЮЛ670103230500000.jpeg","Скачать индивидуальный QR-код магазина")</f>
        <v>Скачать индивидуальный QR-код магазина</v>
      </c>
    </row>
    <row r="17322" spans="1:7" x14ac:dyDescent="0.25">
      <c r="A17322" t="s">
        <v>52688</v>
      </c>
      <c r="B17322" t="s">
        <v>52912</v>
      </c>
      <c r="C17322" t="s">
        <v>1740</v>
      </c>
      <c r="D17322" t="s">
        <v>1741</v>
      </c>
      <c r="E17322" t="s">
        <v>1742</v>
      </c>
      <c r="F17322" t="s">
        <v>52913</v>
      </c>
      <c r="G17322" s="2" t="str">
        <f>HYPERLINK("https://probpalata.gov.ru/files/ЮЛ760201190700067.jpeg","Скачать индивидуальный QR-код магазина")</f>
        <v>Скачать индивидуальный QR-код магазина</v>
      </c>
    </row>
    <row r="17323" spans="1:7" x14ac:dyDescent="0.25">
      <c r="A17323" t="s">
        <v>52688</v>
      </c>
      <c r="B17323" t="s">
        <v>52914</v>
      </c>
      <c r="C17323" t="s">
        <v>21156</v>
      </c>
      <c r="D17323" t="s">
        <v>21157</v>
      </c>
      <c r="E17323" t="s">
        <v>21158</v>
      </c>
      <c r="F17323" t="s">
        <v>52915</v>
      </c>
      <c r="G17323" s="2" t="str">
        <f>HYPERLINK("https://probpalata.gov.ru/files/ЮЛ770100330500002.jpeg","Скачать индивидуальный QR-код магазина")</f>
        <v>Скачать индивидуальный QR-код магазина</v>
      </c>
    </row>
    <row r="17324" spans="1:7" x14ac:dyDescent="0.25">
      <c r="A17324" t="s">
        <v>52688</v>
      </c>
      <c r="B17324" t="s">
        <v>52916</v>
      </c>
      <c r="C17324" t="s">
        <v>748</v>
      </c>
      <c r="D17324" t="s">
        <v>749</v>
      </c>
      <c r="E17324" t="s">
        <v>750</v>
      </c>
      <c r="F17324" t="s">
        <v>52917</v>
      </c>
      <c r="G17324" s="2" t="str">
        <f>HYPERLINK("https://probpalata.gov.ru/files/ЮЛ770100193500260.jpeg","Скачать индивидуальный QR-код магазина")</f>
        <v>Скачать индивидуальный QR-код магазина</v>
      </c>
    </row>
    <row r="17325" spans="1:7" x14ac:dyDescent="0.25">
      <c r="A17325" t="s">
        <v>52688</v>
      </c>
      <c r="B17325" t="s">
        <v>52918</v>
      </c>
      <c r="C17325" t="s">
        <v>748</v>
      </c>
      <c r="D17325" t="s">
        <v>749</v>
      </c>
      <c r="E17325" t="s">
        <v>750</v>
      </c>
      <c r="F17325" t="s">
        <v>52919</v>
      </c>
      <c r="G17325" s="2" t="str">
        <f>HYPERLINK("https://probpalata.gov.ru/files/ЮЛ770100193500565.jpeg","Скачать индивидуальный QR-код магазина")</f>
        <v>Скачать индивидуальный QR-код магазина</v>
      </c>
    </row>
    <row r="17326" spans="1:7" x14ac:dyDescent="0.25">
      <c r="A17326" t="s">
        <v>52688</v>
      </c>
      <c r="B17326" t="s">
        <v>52920</v>
      </c>
      <c r="C17326" t="s">
        <v>748</v>
      </c>
      <c r="D17326" t="s">
        <v>749</v>
      </c>
      <c r="E17326" t="s">
        <v>750</v>
      </c>
      <c r="F17326" t="s">
        <v>52921</v>
      </c>
      <c r="G17326" s="2" t="str">
        <f>HYPERLINK("https://probpalata.gov.ru/files/ЮЛ770100193501076.jpeg","Скачать индивидуальный QR-код магазина")</f>
        <v>Скачать индивидуальный QR-код магазина</v>
      </c>
    </row>
    <row r="17327" spans="1:7" x14ac:dyDescent="0.25">
      <c r="A17327" t="s">
        <v>52688</v>
      </c>
      <c r="B17327" t="s">
        <v>52922</v>
      </c>
      <c r="C17327" t="s">
        <v>773</v>
      </c>
      <c r="D17327" t="s">
        <v>774</v>
      </c>
      <c r="E17327" t="s">
        <v>775</v>
      </c>
      <c r="F17327" t="s">
        <v>52923</v>
      </c>
      <c r="G17327" s="2" t="str">
        <f>HYPERLINK("https://probpalata.gov.ru/files/ЮЛ780300131300089.jpeg","Скачать индивидуальный QR-код магазина")</f>
        <v>Скачать индивидуальный QR-код магазина</v>
      </c>
    </row>
    <row r="17328" spans="1:7" x14ac:dyDescent="0.25">
      <c r="A17328" t="s">
        <v>52688</v>
      </c>
      <c r="B17328" t="s">
        <v>52924</v>
      </c>
      <c r="C17328" t="s">
        <v>773</v>
      </c>
      <c r="D17328" t="s">
        <v>774</v>
      </c>
      <c r="E17328" t="s">
        <v>775</v>
      </c>
      <c r="F17328" t="s">
        <v>52925</v>
      </c>
      <c r="G17328" s="2" t="str">
        <f>HYPERLINK("https://probpalata.gov.ru/files/ЮЛ780300131300090.jpeg","Скачать индивидуальный QR-код магазина")</f>
        <v>Скачать индивидуальный QR-код магазина</v>
      </c>
    </row>
    <row r="17329" spans="1:7" x14ac:dyDescent="0.25">
      <c r="A17329" t="s">
        <v>52688</v>
      </c>
      <c r="B17329" t="s">
        <v>52926</v>
      </c>
      <c r="C17329" t="s">
        <v>791</v>
      </c>
      <c r="D17329" t="s">
        <v>792</v>
      </c>
      <c r="E17329" t="s">
        <v>793</v>
      </c>
      <c r="F17329" t="s">
        <v>52927</v>
      </c>
      <c r="G17329" s="2" t="str">
        <f>HYPERLINK("https://probpalata.gov.ru/files/ЮЛ780300323500029.jpeg","Скачать индивидуальный QR-код магазина")</f>
        <v>Скачать индивидуальный QR-код магазина</v>
      </c>
    </row>
    <row r="17330" spans="1:7" x14ac:dyDescent="0.25">
      <c r="A17330" t="s">
        <v>52688</v>
      </c>
      <c r="B17330" t="s">
        <v>52928</v>
      </c>
      <c r="C17330" t="s">
        <v>798</v>
      </c>
      <c r="D17330" t="s">
        <v>799</v>
      </c>
      <c r="E17330" t="s">
        <v>800</v>
      </c>
      <c r="F17330" t="s">
        <v>52929</v>
      </c>
      <c r="G17330" s="2" t="str">
        <f>HYPERLINK("https://probpalata.gov.ru/files/ЮЛ780300308200084.jpeg","Скачать индивидуальный QR-код магазина")</f>
        <v>Скачать индивидуальный QR-код магазина</v>
      </c>
    </row>
    <row r="17331" spans="1:7" x14ac:dyDescent="0.25">
      <c r="A17331" t="s">
        <v>52688</v>
      </c>
      <c r="B17331" t="s">
        <v>52930</v>
      </c>
      <c r="C17331" t="s">
        <v>798</v>
      </c>
      <c r="D17331" t="s">
        <v>799</v>
      </c>
      <c r="E17331" t="s">
        <v>800</v>
      </c>
      <c r="F17331" t="s">
        <v>52931</v>
      </c>
      <c r="G17331" s="2" t="str">
        <f>HYPERLINK("https://probpalata.gov.ru/files/ЮЛ780300308200085.jpeg","Скачать индивидуальный QR-код магазина")</f>
        <v>Скачать индивидуальный QR-код магазина</v>
      </c>
    </row>
    <row r="17332" spans="1:7" x14ac:dyDescent="0.25">
      <c r="A17332" t="s">
        <v>52688</v>
      </c>
      <c r="B17332" t="s">
        <v>52932</v>
      </c>
      <c r="C17332" t="s">
        <v>798</v>
      </c>
      <c r="D17332" t="s">
        <v>799</v>
      </c>
      <c r="E17332" t="s">
        <v>800</v>
      </c>
      <c r="F17332" t="s">
        <v>52933</v>
      </c>
      <c r="G17332" s="2" t="str">
        <f>HYPERLINK("https://probpalata.gov.ru/files/ЮЛ780300308200086.jpeg","Скачать индивидуальный QR-код магазина")</f>
        <v>Скачать индивидуальный QR-код магазина</v>
      </c>
    </row>
    <row r="17333" spans="1:7" x14ac:dyDescent="0.25">
      <c r="A17333" t="s">
        <v>52688</v>
      </c>
      <c r="B17333" t="s">
        <v>52934</v>
      </c>
      <c r="C17333" t="s">
        <v>798</v>
      </c>
      <c r="D17333" t="s">
        <v>799</v>
      </c>
      <c r="E17333" t="s">
        <v>800</v>
      </c>
      <c r="F17333" t="s">
        <v>52935</v>
      </c>
      <c r="G17333" s="2" t="str">
        <f>HYPERLINK("https://probpalata.gov.ru/files/ЮЛ780300308201127.jpeg","Скачать индивидуальный QR-код магазина")</f>
        <v>Скачать индивидуальный QR-код магазина</v>
      </c>
    </row>
    <row r="17334" spans="1:7" x14ac:dyDescent="0.25">
      <c r="A17334" t="s">
        <v>52688</v>
      </c>
      <c r="B17334" t="s">
        <v>52936</v>
      </c>
      <c r="C17334" t="s">
        <v>823</v>
      </c>
      <c r="D17334" t="s">
        <v>824</v>
      </c>
      <c r="E17334" t="s">
        <v>825</v>
      </c>
      <c r="F17334" t="s">
        <v>52937</v>
      </c>
      <c r="G17334" s="2" t="str">
        <f>HYPERLINK("https://probpalata.gov.ru/files/ЮЛ780300363500013.jpeg","Скачать индивидуальный QR-код магазина")</f>
        <v>Скачать индивидуальный QR-код магазина</v>
      </c>
    </row>
    <row r="17335" spans="1:7" x14ac:dyDescent="0.25">
      <c r="A17335" t="s">
        <v>52688</v>
      </c>
      <c r="B17335" t="s">
        <v>52928</v>
      </c>
      <c r="C17335" t="s">
        <v>2636</v>
      </c>
      <c r="D17335" t="s">
        <v>2637</v>
      </c>
      <c r="E17335" t="s">
        <v>2638</v>
      </c>
      <c r="F17335" t="s">
        <v>52938</v>
      </c>
      <c r="G17335" s="2" t="str">
        <f>HYPERLINK("https://probpalata.gov.ru/files/ЮЛ770100902000001.jpeg","Скачать индивидуальный QR-код магазина")</f>
        <v>Скачать индивидуальный QR-код магазина</v>
      </c>
    </row>
    <row r="17336" spans="1:7" x14ac:dyDescent="0.25">
      <c r="A17336" t="s">
        <v>52688</v>
      </c>
      <c r="B17336" t="s">
        <v>52939</v>
      </c>
      <c r="C17336" t="s">
        <v>2636</v>
      </c>
      <c r="D17336" t="s">
        <v>2637</v>
      </c>
      <c r="E17336" t="s">
        <v>2638</v>
      </c>
      <c r="F17336" t="s">
        <v>52940</v>
      </c>
      <c r="G17336" s="2" t="str">
        <f>HYPERLINK("https://probpalata.gov.ru/files/ЮЛ770100902000004.jpeg","Скачать индивидуальный QR-код магазина")</f>
        <v>Скачать индивидуальный QR-код магазина</v>
      </c>
    </row>
    <row r="17337" spans="1:7" x14ac:dyDescent="0.25">
      <c r="A17337" t="s">
        <v>52688</v>
      </c>
      <c r="B17337" t="s">
        <v>52831</v>
      </c>
      <c r="C17337" t="s">
        <v>2636</v>
      </c>
      <c r="D17337" t="s">
        <v>2637</v>
      </c>
      <c r="E17337" t="s">
        <v>2638</v>
      </c>
      <c r="F17337" t="s">
        <v>52941</v>
      </c>
      <c r="G17337" s="2" t="str">
        <f>HYPERLINK("https://probpalata.gov.ru/files/ЮЛ770100902000056.jpeg","Скачать индивидуальный QR-код магазина")</f>
        <v>Скачать индивидуальный QR-код магазина</v>
      </c>
    </row>
    <row r="17338" spans="1:7" x14ac:dyDescent="0.25">
      <c r="A17338" t="s">
        <v>52688</v>
      </c>
      <c r="B17338" t="s">
        <v>52942</v>
      </c>
      <c r="C17338" t="s">
        <v>1501</v>
      </c>
      <c r="D17338" t="s">
        <v>1502</v>
      </c>
      <c r="E17338" t="s">
        <v>1503</v>
      </c>
      <c r="F17338" t="s">
        <v>52943</v>
      </c>
      <c r="G17338" s="2" t="str">
        <f>HYPERLINK("https://probpalata.gov.ru/files/ЮЛ770100439200128.jpeg","Скачать индивидуальный QR-код магазина")</f>
        <v>Скачать индивидуальный QR-код магазина</v>
      </c>
    </row>
    <row r="17339" spans="1:7" x14ac:dyDescent="0.25">
      <c r="A17339" t="s">
        <v>52944</v>
      </c>
      <c r="B17339" t="s">
        <v>52945</v>
      </c>
      <c r="C17339" t="s">
        <v>13089</v>
      </c>
      <c r="D17339" t="s">
        <v>13090</v>
      </c>
      <c r="E17339" t="s">
        <v>13091</v>
      </c>
      <c r="F17339" t="s">
        <v>52946</v>
      </c>
      <c r="G17339" s="2" t="str">
        <f>HYPERLINK("https://probpalata.gov.ru/files/ЮЛ010403538100001.jpeg","Скачать индивидуальный QR-код магазина")</f>
        <v>Скачать индивидуальный QR-код магазина</v>
      </c>
    </row>
    <row r="17340" spans="1:7" x14ac:dyDescent="0.25">
      <c r="A17340" t="s">
        <v>52944</v>
      </c>
      <c r="B17340" t="s">
        <v>52947</v>
      </c>
      <c r="C17340" t="s">
        <v>13089</v>
      </c>
      <c r="D17340" t="s">
        <v>13090</v>
      </c>
      <c r="E17340" t="s">
        <v>13091</v>
      </c>
      <c r="F17340" t="s">
        <v>52948</v>
      </c>
      <c r="G17340" s="2" t="str">
        <f>HYPERLINK("https://probpalata.gov.ru/files/ЮЛ010403538100002.jpeg","Скачать индивидуальный QR-код магазина")</f>
        <v>Скачать индивидуальный QR-код магазина</v>
      </c>
    </row>
    <row r="17341" spans="1:7" x14ac:dyDescent="0.25">
      <c r="A17341" t="s">
        <v>52944</v>
      </c>
      <c r="B17341" t="s">
        <v>52949</v>
      </c>
      <c r="C17341" t="s">
        <v>13089</v>
      </c>
      <c r="D17341" t="s">
        <v>13090</v>
      </c>
      <c r="E17341" t="s">
        <v>13091</v>
      </c>
      <c r="F17341" t="s">
        <v>52950</v>
      </c>
      <c r="G17341" s="2" t="str">
        <f>HYPERLINK("https://probpalata.gov.ru/files/ЮЛ010403538100004.jpeg","Скачать индивидуальный QR-код магазина")</f>
        <v>Скачать индивидуальный QR-код магазина</v>
      </c>
    </row>
    <row r="17342" spans="1:7" x14ac:dyDescent="0.25">
      <c r="A17342" t="s">
        <v>52944</v>
      </c>
      <c r="B17342" t="s">
        <v>52951</v>
      </c>
      <c r="C17342" t="s">
        <v>52952</v>
      </c>
      <c r="D17342" t="s">
        <v>52953</v>
      </c>
      <c r="E17342" t="s">
        <v>52954</v>
      </c>
      <c r="F17342" t="s">
        <v>52955</v>
      </c>
      <c r="G17342" s="2" t="str">
        <f>HYPERLINK("https://probpalata.gov.ru/files/ИП050503711800000.jpeg","Скачать индивидуальный QR-код магазина")</f>
        <v>Скачать индивидуальный QR-код магазина</v>
      </c>
    </row>
    <row r="17343" spans="1:7" x14ac:dyDescent="0.25">
      <c r="A17343" t="s">
        <v>52944</v>
      </c>
      <c r="B17343" t="s">
        <v>52956</v>
      </c>
      <c r="C17343" t="s">
        <v>52952</v>
      </c>
      <c r="D17343" t="s">
        <v>52953</v>
      </c>
      <c r="E17343" t="s">
        <v>52954</v>
      </c>
      <c r="F17343" t="s">
        <v>52957</v>
      </c>
      <c r="G17343" s="2" t="str">
        <f>HYPERLINK("https://probpalata.gov.ru/files/ИП050503711800003.jpeg","Скачать индивидуальный QR-код магазина")</f>
        <v>Скачать индивидуальный QR-код магазина</v>
      </c>
    </row>
    <row r="17344" spans="1:7" x14ac:dyDescent="0.25">
      <c r="A17344" t="s">
        <v>52944</v>
      </c>
      <c r="B17344" t="s">
        <v>52958</v>
      </c>
      <c r="C17344" t="s">
        <v>52952</v>
      </c>
      <c r="D17344" t="s">
        <v>52953</v>
      </c>
      <c r="E17344" t="s">
        <v>52954</v>
      </c>
      <c r="F17344" t="s">
        <v>52959</v>
      </c>
      <c r="G17344" s="2" t="str">
        <f>HYPERLINK("https://probpalata.gov.ru/files/ИП050503711800004.jpeg","Скачать индивидуальный QR-код магазина")</f>
        <v>Скачать индивидуальный QR-код магазина</v>
      </c>
    </row>
    <row r="17345" spans="1:7" x14ac:dyDescent="0.25">
      <c r="A17345" t="s">
        <v>52944</v>
      </c>
      <c r="B17345" t="s">
        <v>52960</v>
      </c>
      <c r="C17345" t="s">
        <v>52952</v>
      </c>
      <c r="D17345" t="s">
        <v>52953</v>
      </c>
      <c r="E17345" t="s">
        <v>52954</v>
      </c>
      <c r="F17345" t="s">
        <v>52961</v>
      </c>
      <c r="G17345" s="2" t="str">
        <f>HYPERLINK("https://probpalata.gov.ru/files/ИП050503711800005.jpeg","Скачать индивидуальный QR-код магазина")</f>
        <v>Скачать индивидуальный QR-код магазина</v>
      </c>
    </row>
    <row r="17346" spans="1:7" x14ac:dyDescent="0.25">
      <c r="A17346" t="s">
        <v>52944</v>
      </c>
      <c r="B17346" t="s">
        <v>52958</v>
      </c>
      <c r="C17346" t="s">
        <v>52962</v>
      </c>
      <c r="D17346" t="s">
        <v>52963</v>
      </c>
      <c r="E17346" t="s">
        <v>52964</v>
      </c>
      <c r="F17346" t="s">
        <v>52965</v>
      </c>
      <c r="G17346" s="2" t="str">
        <f>HYPERLINK("https://probpalata.gov.ru/files/ЮЛ150500169800000.jpeg","Скачать индивидуальный QR-код магазина")</f>
        <v>Скачать индивидуальный QR-код магазина</v>
      </c>
    </row>
    <row r="17347" spans="1:7" x14ac:dyDescent="0.25">
      <c r="A17347" t="s">
        <v>52944</v>
      </c>
      <c r="B17347" t="s">
        <v>52966</v>
      </c>
      <c r="C17347" t="s">
        <v>52967</v>
      </c>
      <c r="D17347" t="s">
        <v>52968</v>
      </c>
      <c r="E17347" t="s">
        <v>52969</v>
      </c>
      <c r="F17347" t="s">
        <v>52970</v>
      </c>
      <c r="G17347" s="2" t="str">
        <f>HYPERLINK("https://probpalata.gov.ru/files/ИП230401017500000.jpeg","Скачать индивидуальный QR-код магазина")</f>
        <v>Скачать индивидуальный QR-код магазина</v>
      </c>
    </row>
    <row r="17348" spans="1:7" x14ac:dyDescent="0.25">
      <c r="A17348" t="s">
        <v>52944</v>
      </c>
      <c r="B17348" t="s">
        <v>52971</v>
      </c>
      <c r="C17348" t="s">
        <v>52972</v>
      </c>
      <c r="D17348" t="s">
        <v>52973</v>
      </c>
      <c r="E17348" t="s">
        <v>52974</v>
      </c>
      <c r="F17348" t="s">
        <v>52975</v>
      </c>
      <c r="G17348" s="2" t="str">
        <f>HYPERLINK("https://probpalata.gov.ru/files/ИП260501858700000.jpeg","Скачать индивидуальный QR-код магазина")</f>
        <v>Скачать индивидуальный QR-код магазина</v>
      </c>
    </row>
    <row r="17349" spans="1:7" x14ac:dyDescent="0.25">
      <c r="A17349" t="s">
        <v>52944</v>
      </c>
      <c r="B17349" t="s">
        <v>52976</v>
      </c>
      <c r="C17349" t="s">
        <v>11936</v>
      </c>
      <c r="D17349" t="s">
        <v>14129</v>
      </c>
      <c r="E17349" t="s">
        <v>14130</v>
      </c>
      <c r="F17349" t="s">
        <v>52977</v>
      </c>
      <c r="G17349" s="2" t="str">
        <f>HYPERLINK("https://probpalata.gov.ru/files/ЮЛ230400661100003.jpeg","Скачать индивидуальный QR-код магазина")</f>
        <v>Скачать индивидуальный QR-код магазина</v>
      </c>
    </row>
    <row r="17350" spans="1:7" x14ac:dyDescent="0.25">
      <c r="A17350" t="s">
        <v>52944</v>
      </c>
      <c r="B17350" t="s">
        <v>52978</v>
      </c>
      <c r="C17350" t="s">
        <v>39185</v>
      </c>
      <c r="D17350" t="s">
        <v>39186</v>
      </c>
      <c r="E17350" t="s">
        <v>39187</v>
      </c>
      <c r="F17350" t="s">
        <v>52979</v>
      </c>
      <c r="G17350" s="2" t="str">
        <f>HYPERLINK("https://probpalata.gov.ru/files/ИП080400955800001.jpeg","Скачать индивидуальный QR-код магазина")</f>
        <v>Скачать индивидуальный QR-код магазина</v>
      </c>
    </row>
    <row r="17351" spans="1:7" x14ac:dyDescent="0.25">
      <c r="A17351" t="s">
        <v>52944</v>
      </c>
      <c r="B17351" t="s">
        <v>52980</v>
      </c>
      <c r="C17351" t="s">
        <v>39185</v>
      </c>
      <c r="D17351" t="s">
        <v>39186</v>
      </c>
      <c r="E17351" t="s">
        <v>39187</v>
      </c>
      <c r="F17351" t="s">
        <v>52981</v>
      </c>
      <c r="G17351" s="2" t="str">
        <f>HYPERLINK("https://probpalata.gov.ru/files/ИП080400955800005.jpeg","Скачать индивидуальный QR-код магазина")</f>
        <v>Скачать индивидуальный QR-код магазина</v>
      </c>
    </row>
    <row r="17352" spans="1:7" x14ac:dyDescent="0.25">
      <c r="A17352" t="s">
        <v>52944</v>
      </c>
      <c r="B17352" t="s">
        <v>52982</v>
      </c>
      <c r="C17352" t="s">
        <v>39185</v>
      </c>
      <c r="D17352" t="s">
        <v>39186</v>
      </c>
      <c r="E17352" t="s">
        <v>39187</v>
      </c>
      <c r="F17352" t="s">
        <v>52983</v>
      </c>
      <c r="G17352" s="2" t="str">
        <f>HYPERLINK("https://probpalata.gov.ru/files/ИП080400955800006.jpeg","Скачать индивидуальный QR-код магазина")</f>
        <v>Скачать индивидуальный QR-код магазина</v>
      </c>
    </row>
    <row r="17353" spans="1:7" x14ac:dyDescent="0.25">
      <c r="A17353" t="s">
        <v>52944</v>
      </c>
      <c r="B17353" t="s">
        <v>52984</v>
      </c>
      <c r="C17353" t="s">
        <v>39185</v>
      </c>
      <c r="D17353" t="s">
        <v>39186</v>
      </c>
      <c r="E17353" t="s">
        <v>39187</v>
      </c>
      <c r="F17353" t="s">
        <v>52985</v>
      </c>
      <c r="G17353" s="2" t="str">
        <f>HYPERLINK("https://probpalata.gov.ru/files/ИП080400955800007.jpeg","Скачать индивидуальный QR-код магазина")</f>
        <v>Скачать индивидуальный QR-код магазина</v>
      </c>
    </row>
    <row r="17354" spans="1:7" x14ac:dyDescent="0.25">
      <c r="A17354" t="s">
        <v>52944</v>
      </c>
      <c r="B17354" t="s">
        <v>52986</v>
      </c>
      <c r="C17354" t="s">
        <v>39185</v>
      </c>
      <c r="D17354" t="s">
        <v>39186</v>
      </c>
      <c r="E17354" t="s">
        <v>39187</v>
      </c>
      <c r="F17354" t="s">
        <v>52987</v>
      </c>
      <c r="G17354" s="2" t="str">
        <f>HYPERLINK("https://probpalata.gov.ru/files/ИП080400955800008.jpeg","Скачать индивидуальный QR-код магазина")</f>
        <v>Скачать индивидуальный QR-код магазина</v>
      </c>
    </row>
    <row r="17355" spans="1:7" x14ac:dyDescent="0.25">
      <c r="A17355" t="s">
        <v>52944</v>
      </c>
      <c r="B17355" t="s">
        <v>52988</v>
      </c>
      <c r="C17355" t="s">
        <v>39185</v>
      </c>
      <c r="D17355" t="s">
        <v>39186</v>
      </c>
      <c r="E17355" t="s">
        <v>39187</v>
      </c>
      <c r="F17355" t="s">
        <v>52989</v>
      </c>
      <c r="G17355" s="2" t="str">
        <f>HYPERLINK("https://probpalata.gov.ru/files/ИП080400955800009.jpeg","Скачать индивидуальный QR-код магазина")</f>
        <v>Скачать индивидуальный QR-код магазина</v>
      </c>
    </row>
    <row r="17356" spans="1:7" x14ac:dyDescent="0.25">
      <c r="A17356" t="s">
        <v>52944</v>
      </c>
      <c r="B17356" t="s">
        <v>52990</v>
      </c>
      <c r="C17356" t="s">
        <v>39185</v>
      </c>
      <c r="D17356" t="s">
        <v>39186</v>
      </c>
      <c r="E17356" t="s">
        <v>39187</v>
      </c>
      <c r="F17356" t="s">
        <v>52991</v>
      </c>
      <c r="G17356" s="2" t="str">
        <f>HYPERLINK("https://probpalata.gov.ru/files/ИП080400955800010.jpeg","Скачать индивидуальный QR-код магазина")</f>
        <v>Скачать индивидуальный QR-код магазина</v>
      </c>
    </row>
    <row r="17357" spans="1:7" x14ac:dyDescent="0.25">
      <c r="A17357" t="s">
        <v>52944</v>
      </c>
      <c r="B17357" t="s">
        <v>52992</v>
      </c>
      <c r="C17357" t="s">
        <v>39185</v>
      </c>
      <c r="D17357" t="s">
        <v>39186</v>
      </c>
      <c r="E17357" t="s">
        <v>39187</v>
      </c>
      <c r="F17357" t="s">
        <v>52993</v>
      </c>
      <c r="G17357" s="2" t="str">
        <f>HYPERLINK("https://probpalata.gov.ru/files/ИП080400955800011.jpeg","Скачать индивидуальный QR-код магазина")</f>
        <v>Скачать индивидуальный QR-код магазина</v>
      </c>
    </row>
    <row r="17358" spans="1:7" x14ac:dyDescent="0.25">
      <c r="A17358" t="s">
        <v>52944</v>
      </c>
      <c r="B17358" t="s">
        <v>52994</v>
      </c>
      <c r="C17358" t="s">
        <v>39185</v>
      </c>
      <c r="D17358" t="s">
        <v>39186</v>
      </c>
      <c r="E17358" t="s">
        <v>39187</v>
      </c>
      <c r="F17358" t="s">
        <v>52995</v>
      </c>
      <c r="G17358" s="2" t="str">
        <f>HYPERLINK("https://probpalata.gov.ru/files/ИП080400955800013.jpeg","Скачать индивидуальный QR-код магазина")</f>
        <v>Скачать индивидуальный QR-код магазина</v>
      </c>
    </row>
    <row r="17359" spans="1:7" x14ac:dyDescent="0.25">
      <c r="A17359" t="s">
        <v>52944</v>
      </c>
      <c r="B17359" t="s">
        <v>52996</v>
      </c>
      <c r="C17359" t="s">
        <v>39185</v>
      </c>
      <c r="D17359" t="s">
        <v>39186</v>
      </c>
      <c r="E17359" t="s">
        <v>39187</v>
      </c>
      <c r="F17359" t="s">
        <v>52997</v>
      </c>
      <c r="G17359" s="2" t="str">
        <f>HYPERLINK("https://probpalata.gov.ru/files/ИП080400955800014.jpeg","Скачать индивидуальный QR-код магазина")</f>
        <v>Скачать индивидуальный QR-код магазина</v>
      </c>
    </row>
    <row r="17360" spans="1:7" x14ac:dyDescent="0.25">
      <c r="A17360" t="s">
        <v>52944</v>
      </c>
      <c r="B17360" t="s">
        <v>52998</v>
      </c>
      <c r="C17360" t="s">
        <v>52999</v>
      </c>
      <c r="D17360" t="s">
        <v>53000</v>
      </c>
      <c r="E17360" t="s">
        <v>53001</v>
      </c>
      <c r="F17360" t="s">
        <v>53002</v>
      </c>
      <c r="G17360" s="2" t="str">
        <f>HYPERLINK("https://probpalata.gov.ru/files/ИП260500972600000.jpeg","Скачать индивидуальный QR-код магазина")</f>
        <v>Скачать индивидуальный QR-код магазина</v>
      </c>
    </row>
    <row r="17361" spans="1:7" x14ac:dyDescent="0.25">
      <c r="A17361" t="s">
        <v>52944</v>
      </c>
      <c r="B17361" t="s">
        <v>53003</v>
      </c>
      <c r="C17361" t="s">
        <v>2286</v>
      </c>
      <c r="D17361" t="s">
        <v>53004</v>
      </c>
      <c r="E17361" t="s">
        <v>53005</v>
      </c>
      <c r="F17361" t="s">
        <v>53006</v>
      </c>
      <c r="G17361" s="2" t="str">
        <f>HYPERLINK("https://probpalata.gov.ru/files/ЮЛ260503598800000.jpeg","Скачать индивидуальный QR-код магазина")</f>
        <v>Скачать индивидуальный QR-код магазина</v>
      </c>
    </row>
    <row r="17362" spans="1:7" x14ac:dyDescent="0.25">
      <c r="A17362" t="s">
        <v>52944</v>
      </c>
      <c r="B17362" t="s">
        <v>53007</v>
      </c>
      <c r="C17362" t="s">
        <v>53008</v>
      </c>
      <c r="D17362" t="s">
        <v>53009</v>
      </c>
      <c r="E17362" t="s">
        <v>53010</v>
      </c>
      <c r="F17362" t="s">
        <v>53011</v>
      </c>
      <c r="G17362" s="2" t="str">
        <f>HYPERLINK("https://probpalata.gov.ru/files/ИП260500071900000.jpeg","Скачать индивидуальный QR-код магазина")</f>
        <v>Скачать индивидуальный QR-код магазина</v>
      </c>
    </row>
    <row r="17363" spans="1:7" x14ac:dyDescent="0.25">
      <c r="A17363" t="s">
        <v>52944</v>
      </c>
      <c r="B17363" t="s">
        <v>53012</v>
      </c>
      <c r="C17363" t="s">
        <v>53013</v>
      </c>
      <c r="D17363" t="s">
        <v>53014</v>
      </c>
      <c r="E17363" t="s">
        <v>53015</v>
      </c>
      <c r="F17363" t="s">
        <v>53016</v>
      </c>
      <c r="G17363" s="2" t="str">
        <f>HYPERLINK("https://probpalata.gov.ru/files/ИП260500238900000.jpeg","Скачать индивидуальный QR-код магазина")</f>
        <v>Скачать индивидуальный QR-код магазина</v>
      </c>
    </row>
    <row r="17364" spans="1:7" x14ac:dyDescent="0.25">
      <c r="A17364" t="s">
        <v>52944</v>
      </c>
      <c r="B17364" t="s">
        <v>53017</v>
      </c>
      <c r="C17364" t="s">
        <v>53018</v>
      </c>
      <c r="D17364" t="s">
        <v>53019</v>
      </c>
      <c r="E17364" t="s">
        <v>53020</v>
      </c>
      <c r="F17364" t="s">
        <v>53021</v>
      </c>
      <c r="G17364" s="2" t="str">
        <f>HYPERLINK("https://probpalata.gov.ru/files/ИП260503251600000.jpeg","Скачать индивидуальный QR-код магазина")</f>
        <v>Скачать индивидуальный QR-код магазина</v>
      </c>
    </row>
    <row r="17365" spans="1:7" x14ac:dyDescent="0.25">
      <c r="A17365" t="s">
        <v>52944</v>
      </c>
      <c r="B17365" t="s">
        <v>53022</v>
      </c>
      <c r="C17365" t="s">
        <v>53018</v>
      </c>
      <c r="D17365" t="s">
        <v>53019</v>
      </c>
      <c r="E17365" t="s">
        <v>53020</v>
      </c>
      <c r="F17365" t="s">
        <v>53023</v>
      </c>
      <c r="G17365" s="2" t="str">
        <f>HYPERLINK("https://probpalata.gov.ru/files/ИП260503251600001.jpeg","Скачать индивидуальный QR-код магазина")</f>
        <v>Скачать индивидуальный QR-код магазина</v>
      </c>
    </row>
    <row r="17366" spans="1:7" x14ac:dyDescent="0.25">
      <c r="A17366" t="s">
        <v>52944</v>
      </c>
      <c r="B17366" t="s">
        <v>53024</v>
      </c>
      <c r="C17366" t="s">
        <v>53025</v>
      </c>
      <c r="D17366" t="s">
        <v>53026</v>
      </c>
      <c r="E17366" t="s">
        <v>53027</v>
      </c>
      <c r="F17366" t="s">
        <v>53028</v>
      </c>
      <c r="G17366" s="2" t="str">
        <f>HYPERLINK("https://probpalata.gov.ru/files/ИП260503242100000.jpeg","Скачать индивидуальный QR-код магазина")</f>
        <v>Скачать индивидуальный QR-код магазина</v>
      </c>
    </row>
    <row r="17367" spans="1:7" x14ac:dyDescent="0.25">
      <c r="A17367" t="s">
        <v>52944</v>
      </c>
      <c r="B17367" t="s">
        <v>53029</v>
      </c>
      <c r="C17367" t="s">
        <v>53025</v>
      </c>
      <c r="D17367" t="s">
        <v>53026</v>
      </c>
      <c r="E17367" t="s">
        <v>53027</v>
      </c>
      <c r="F17367" t="s">
        <v>53030</v>
      </c>
      <c r="G17367" s="2" t="str">
        <f>HYPERLINK("https://probpalata.gov.ru/files/ИП260503242100001.jpeg","Скачать индивидуальный QR-код магазина")</f>
        <v>Скачать индивидуальный QR-код магазина</v>
      </c>
    </row>
    <row r="17368" spans="1:7" x14ac:dyDescent="0.25">
      <c r="A17368" t="s">
        <v>52944</v>
      </c>
      <c r="B17368" t="s">
        <v>53031</v>
      </c>
      <c r="C17368" t="s">
        <v>53032</v>
      </c>
      <c r="D17368" t="s">
        <v>53033</v>
      </c>
      <c r="E17368" t="s">
        <v>53034</v>
      </c>
      <c r="F17368" t="s">
        <v>53035</v>
      </c>
      <c r="G17368" s="2" t="str">
        <f>HYPERLINK("https://probpalata.gov.ru/files/ЮЛ260500764400000.jpeg","Скачать индивидуальный QR-код магазина")</f>
        <v>Скачать индивидуальный QR-код магазина</v>
      </c>
    </row>
    <row r="17369" spans="1:7" x14ac:dyDescent="0.25">
      <c r="A17369" t="s">
        <v>52944</v>
      </c>
      <c r="B17369" t="s">
        <v>53036</v>
      </c>
      <c r="C17369" t="s">
        <v>53037</v>
      </c>
      <c r="D17369" t="s">
        <v>53038</v>
      </c>
      <c r="E17369" t="s">
        <v>53039</v>
      </c>
      <c r="F17369" t="s">
        <v>53040</v>
      </c>
      <c r="G17369" s="2" t="str">
        <f>HYPERLINK("https://probpalata.gov.ru/files/ИП260501235500000.jpeg","Скачать индивидуальный QR-код магазина")</f>
        <v>Скачать индивидуальный QR-код магазина</v>
      </c>
    </row>
    <row r="17370" spans="1:7" x14ac:dyDescent="0.25">
      <c r="A17370" t="s">
        <v>52944</v>
      </c>
      <c r="B17370" t="s">
        <v>53041</v>
      </c>
      <c r="C17370" t="s">
        <v>53042</v>
      </c>
      <c r="D17370" t="s">
        <v>53043</v>
      </c>
      <c r="E17370" t="s">
        <v>53044</v>
      </c>
      <c r="F17370" t="s">
        <v>53045</v>
      </c>
      <c r="G17370" s="2" t="str">
        <f>HYPERLINK("https://probpalata.gov.ru/files/ЮЛ260503205200000.jpeg","Скачать индивидуальный QR-код магазина")</f>
        <v>Скачать индивидуальный QR-код магазина</v>
      </c>
    </row>
    <row r="17371" spans="1:7" x14ac:dyDescent="0.25">
      <c r="A17371" t="s">
        <v>52944</v>
      </c>
      <c r="B17371" t="s">
        <v>53046</v>
      </c>
      <c r="C17371" t="s">
        <v>53047</v>
      </c>
      <c r="D17371" t="s">
        <v>53048</v>
      </c>
      <c r="E17371" t="s">
        <v>53049</v>
      </c>
      <c r="F17371" t="s">
        <v>53050</v>
      </c>
      <c r="G17371" s="2" t="str">
        <f>HYPERLINK("https://probpalata.gov.ru/files/ИП260500144500000.jpeg","Скачать индивидуальный QR-код магазина")</f>
        <v>Скачать индивидуальный QR-код магазина</v>
      </c>
    </row>
    <row r="17372" spans="1:7" x14ac:dyDescent="0.25">
      <c r="A17372" t="s">
        <v>52944</v>
      </c>
      <c r="B17372" t="s">
        <v>53051</v>
      </c>
      <c r="C17372" t="s">
        <v>53052</v>
      </c>
      <c r="D17372" t="s">
        <v>53053</v>
      </c>
      <c r="E17372" t="s">
        <v>53054</v>
      </c>
      <c r="F17372" t="s">
        <v>53055</v>
      </c>
      <c r="G17372" s="2" t="str">
        <f>HYPERLINK("https://probpalata.gov.ru/files/ИП260501751100000.jpeg","Скачать индивидуальный QR-код магазина")</f>
        <v>Скачать индивидуальный QR-код магазина</v>
      </c>
    </row>
    <row r="17373" spans="1:7" x14ac:dyDescent="0.25">
      <c r="A17373" t="s">
        <v>52944</v>
      </c>
      <c r="B17373" t="s">
        <v>53056</v>
      </c>
      <c r="C17373" t="s">
        <v>21232</v>
      </c>
      <c r="D17373" t="s">
        <v>53057</v>
      </c>
      <c r="E17373" t="s">
        <v>53058</v>
      </c>
      <c r="F17373" t="s">
        <v>53059</v>
      </c>
      <c r="G17373" s="2" t="str">
        <f>HYPERLINK("https://probpalata.gov.ru/files/ЮЛ260500615500000.jpeg","Скачать индивидуальный QR-код магазина")</f>
        <v>Скачать индивидуальный QR-код магазина</v>
      </c>
    </row>
    <row r="17374" spans="1:7" x14ac:dyDescent="0.25">
      <c r="A17374" t="s">
        <v>52944</v>
      </c>
      <c r="B17374" t="s">
        <v>53060</v>
      </c>
      <c r="C17374" t="s">
        <v>53061</v>
      </c>
      <c r="D17374" t="s">
        <v>53062</v>
      </c>
      <c r="E17374" t="s">
        <v>53063</v>
      </c>
      <c r="F17374" t="s">
        <v>53064</v>
      </c>
      <c r="G17374" s="2" t="str">
        <f>HYPERLINK("https://probpalata.gov.ru/files/ИП260501976200000.jpeg","Скачать индивидуальный QR-код магазина")</f>
        <v>Скачать индивидуальный QR-код магазина</v>
      </c>
    </row>
    <row r="17375" spans="1:7" x14ac:dyDescent="0.25">
      <c r="A17375" t="s">
        <v>52944</v>
      </c>
      <c r="B17375" t="s">
        <v>53065</v>
      </c>
      <c r="C17375" t="s">
        <v>53066</v>
      </c>
      <c r="D17375" t="s">
        <v>53067</v>
      </c>
      <c r="E17375" t="s">
        <v>53068</v>
      </c>
      <c r="F17375" t="s">
        <v>53069</v>
      </c>
      <c r="G17375" s="2" t="str">
        <f>HYPERLINK("https://probpalata.gov.ru/files/ИП260500311100000.jpeg","Скачать индивидуальный QR-код магазина")</f>
        <v>Скачать индивидуальный QR-код магазина</v>
      </c>
    </row>
    <row r="17376" spans="1:7" x14ac:dyDescent="0.25">
      <c r="A17376" t="s">
        <v>52944</v>
      </c>
      <c r="B17376" t="s">
        <v>53070</v>
      </c>
      <c r="C17376" t="s">
        <v>53071</v>
      </c>
      <c r="D17376" t="s">
        <v>53072</v>
      </c>
      <c r="E17376" t="s">
        <v>53073</v>
      </c>
      <c r="F17376" t="s">
        <v>53074</v>
      </c>
      <c r="G17376" s="2" t="str">
        <f>HYPERLINK("https://probpalata.gov.ru/files/ИП260504086300000.jpeg","Скачать индивидуальный QR-код магазина")</f>
        <v>Скачать индивидуальный QR-код магазина</v>
      </c>
    </row>
    <row r="17377" spans="1:7" x14ac:dyDescent="0.25">
      <c r="A17377" t="s">
        <v>52944</v>
      </c>
      <c r="B17377" t="s">
        <v>53075</v>
      </c>
      <c r="C17377" t="s">
        <v>53076</v>
      </c>
      <c r="D17377" t="s">
        <v>53077</v>
      </c>
      <c r="E17377" t="s">
        <v>53078</v>
      </c>
      <c r="F17377" t="s">
        <v>53079</v>
      </c>
      <c r="G17377" s="2" t="str">
        <f>HYPERLINK("https://probpalata.gov.ru/files/ИП260500532500000.jpeg","Скачать индивидуальный QR-код магазина")</f>
        <v>Скачать индивидуальный QR-код магазина</v>
      </c>
    </row>
    <row r="17378" spans="1:7" x14ac:dyDescent="0.25">
      <c r="A17378" t="s">
        <v>52944</v>
      </c>
      <c r="B17378" t="s">
        <v>53080</v>
      </c>
      <c r="C17378" t="s">
        <v>53081</v>
      </c>
      <c r="D17378" t="s">
        <v>53082</v>
      </c>
      <c r="E17378" t="s">
        <v>53083</v>
      </c>
      <c r="F17378" t="s">
        <v>53084</v>
      </c>
      <c r="G17378" s="2" t="str">
        <f>HYPERLINK("https://probpalata.gov.ru/files/ИП260501248100000.jpeg","Скачать индивидуальный QR-код магазина")</f>
        <v>Скачать индивидуальный QR-код магазина</v>
      </c>
    </row>
    <row r="17379" spans="1:7" x14ac:dyDescent="0.25">
      <c r="A17379" t="s">
        <v>52944</v>
      </c>
      <c r="B17379" t="s">
        <v>53085</v>
      </c>
      <c r="C17379" t="s">
        <v>53086</v>
      </c>
      <c r="D17379" t="s">
        <v>53087</v>
      </c>
      <c r="E17379" t="s">
        <v>53088</v>
      </c>
      <c r="F17379" t="s">
        <v>53089</v>
      </c>
      <c r="G17379" s="2" t="str">
        <f>HYPERLINK("https://probpalata.gov.ru/files/ИП260500551100000.jpeg","Скачать индивидуальный QR-код магазина")</f>
        <v>Скачать индивидуальный QR-код магазина</v>
      </c>
    </row>
    <row r="17380" spans="1:7" x14ac:dyDescent="0.25">
      <c r="A17380" t="s">
        <v>52944</v>
      </c>
      <c r="B17380" t="s">
        <v>53090</v>
      </c>
      <c r="C17380" t="s">
        <v>53086</v>
      </c>
      <c r="D17380" t="s">
        <v>53087</v>
      </c>
      <c r="E17380" t="s">
        <v>53088</v>
      </c>
      <c r="F17380" t="s">
        <v>53091</v>
      </c>
      <c r="G17380" s="2" t="str">
        <f>HYPERLINK("https://probpalata.gov.ru/files/ИП260500551100002.jpeg","Скачать индивидуальный QR-код магазина")</f>
        <v>Скачать индивидуальный QR-код магазина</v>
      </c>
    </row>
    <row r="17381" spans="1:7" x14ac:dyDescent="0.25">
      <c r="A17381" t="s">
        <v>52944</v>
      </c>
      <c r="B17381" t="s">
        <v>53092</v>
      </c>
      <c r="C17381" t="s">
        <v>53086</v>
      </c>
      <c r="D17381" t="s">
        <v>53087</v>
      </c>
      <c r="E17381" t="s">
        <v>53088</v>
      </c>
      <c r="F17381" t="s">
        <v>53093</v>
      </c>
      <c r="G17381" s="2" t="str">
        <f>HYPERLINK("https://probpalata.gov.ru/files/ИП260500551100004.jpeg","Скачать индивидуальный QR-код магазина")</f>
        <v>Скачать индивидуальный QR-код магазина</v>
      </c>
    </row>
    <row r="17382" spans="1:7" x14ac:dyDescent="0.25">
      <c r="A17382" t="s">
        <v>52944</v>
      </c>
      <c r="B17382" t="s">
        <v>53094</v>
      </c>
      <c r="C17382" t="s">
        <v>53095</v>
      </c>
      <c r="D17382" t="s">
        <v>53096</v>
      </c>
      <c r="E17382" t="s">
        <v>53097</v>
      </c>
      <c r="F17382" t="s">
        <v>53098</v>
      </c>
      <c r="G17382" s="2" t="str">
        <f>HYPERLINK("https://probpalata.gov.ru/files/ЮЛ260500615100000.jpeg","Скачать индивидуальный QR-код магазина")</f>
        <v>Скачать индивидуальный QR-код магазина</v>
      </c>
    </row>
    <row r="17383" spans="1:7" x14ac:dyDescent="0.25">
      <c r="A17383" t="s">
        <v>52944</v>
      </c>
      <c r="B17383" t="s">
        <v>53099</v>
      </c>
      <c r="C17383" t="s">
        <v>53095</v>
      </c>
      <c r="D17383" t="s">
        <v>53096</v>
      </c>
      <c r="E17383" t="s">
        <v>53097</v>
      </c>
      <c r="F17383" t="s">
        <v>53100</v>
      </c>
      <c r="G17383" s="2" t="str">
        <f>HYPERLINK("https://probpalata.gov.ru/files/ЮЛ260500615100003.jpeg","Скачать индивидуальный QR-код магазина")</f>
        <v>Скачать индивидуальный QR-код магазина</v>
      </c>
    </row>
    <row r="17384" spans="1:7" x14ac:dyDescent="0.25">
      <c r="A17384" t="s">
        <v>52944</v>
      </c>
      <c r="B17384" t="s">
        <v>53101</v>
      </c>
      <c r="C17384" t="s">
        <v>53102</v>
      </c>
      <c r="D17384" t="s">
        <v>53103</v>
      </c>
      <c r="E17384" t="s">
        <v>53104</v>
      </c>
      <c r="F17384" t="s">
        <v>53105</v>
      </c>
      <c r="G17384" s="2" t="str">
        <f>HYPERLINK("https://probpalata.gov.ru/files/ИП260500297000000.jpeg","Скачать индивидуальный QR-код магазина")</f>
        <v>Скачать индивидуальный QR-код магазина</v>
      </c>
    </row>
    <row r="17385" spans="1:7" x14ac:dyDescent="0.25">
      <c r="A17385" t="s">
        <v>52944</v>
      </c>
      <c r="B17385" t="s">
        <v>53106</v>
      </c>
      <c r="C17385" t="s">
        <v>53107</v>
      </c>
      <c r="D17385" t="s">
        <v>53108</v>
      </c>
      <c r="E17385" t="s">
        <v>53109</v>
      </c>
      <c r="F17385" t="s">
        <v>53110</v>
      </c>
      <c r="G17385" s="2" t="str">
        <f>HYPERLINK("https://probpalata.gov.ru/files/ИП260500157700000.jpeg","Скачать индивидуальный QR-код магазина")</f>
        <v>Скачать индивидуальный QR-код магазина</v>
      </c>
    </row>
    <row r="17386" spans="1:7" x14ac:dyDescent="0.25">
      <c r="A17386" t="s">
        <v>52944</v>
      </c>
      <c r="B17386" t="s">
        <v>53111</v>
      </c>
      <c r="C17386" t="s">
        <v>43042</v>
      </c>
      <c r="D17386" t="s">
        <v>43043</v>
      </c>
      <c r="E17386" t="s">
        <v>43044</v>
      </c>
      <c r="F17386" t="s">
        <v>53112</v>
      </c>
      <c r="G17386" s="2" t="str">
        <f>HYPERLINK("https://probpalata.gov.ru/files/ИП260500406300000.jpeg","Скачать индивидуальный QR-код магазина")</f>
        <v>Скачать индивидуальный QR-код магазина</v>
      </c>
    </row>
    <row r="17387" spans="1:7" x14ac:dyDescent="0.25">
      <c r="A17387" t="s">
        <v>52944</v>
      </c>
      <c r="B17387" t="s">
        <v>53113</v>
      </c>
      <c r="C17387" t="s">
        <v>43042</v>
      </c>
      <c r="D17387" t="s">
        <v>43043</v>
      </c>
      <c r="E17387" t="s">
        <v>43044</v>
      </c>
      <c r="F17387" t="s">
        <v>53114</v>
      </c>
      <c r="G17387" s="2" t="str">
        <f>HYPERLINK("https://probpalata.gov.ru/files/ИП260500406300001.jpeg","Скачать индивидуальный QR-код магазина")</f>
        <v>Скачать индивидуальный QR-код магазина</v>
      </c>
    </row>
    <row r="17388" spans="1:7" x14ac:dyDescent="0.25">
      <c r="A17388" t="s">
        <v>52944</v>
      </c>
      <c r="B17388" t="s">
        <v>53115</v>
      </c>
      <c r="C17388" t="s">
        <v>43042</v>
      </c>
      <c r="D17388" t="s">
        <v>43043</v>
      </c>
      <c r="E17388" t="s">
        <v>43044</v>
      </c>
      <c r="F17388" t="s">
        <v>53116</v>
      </c>
      <c r="G17388" s="2" t="str">
        <f>HYPERLINK("https://probpalata.gov.ru/files/ИП260500406300003.jpeg","Скачать индивидуальный QR-код магазина")</f>
        <v>Скачать индивидуальный QR-код магазина</v>
      </c>
    </row>
    <row r="17389" spans="1:7" x14ac:dyDescent="0.25">
      <c r="A17389" t="s">
        <v>52944</v>
      </c>
      <c r="B17389" t="s">
        <v>53117</v>
      </c>
      <c r="C17389" t="s">
        <v>43042</v>
      </c>
      <c r="D17389" t="s">
        <v>43043</v>
      </c>
      <c r="E17389" t="s">
        <v>43044</v>
      </c>
      <c r="F17389" t="s">
        <v>53118</v>
      </c>
      <c r="G17389" s="2" t="str">
        <f>HYPERLINK("https://probpalata.gov.ru/files/ИП260500406300004.jpeg","Скачать индивидуальный QR-код магазина")</f>
        <v>Скачать индивидуальный QR-код магазина</v>
      </c>
    </row>
    <row r="17390" spans="1:7" x14ac:dyDescent="0.25">
      <c r="A17390" t="s">
        <v>52944</v>
      </c>
      <c r="B17390" t="s">
        <v>53119</v>
      </c>
      <c r="C17390" t="s">
        <v>43042</v>
      </c>
      <c r="D17390" t="s">
        <v>43043</v>
      </c>
      <c r="E17390" t="s">
        <v>43044</v>
      </c>
      <c r="F17390" t="s">
        <v>53120</v>
      </c>
      <c r="G17390" s="2" t="str">
        <f>HYPERLINK("https://probpalata.gov.ru/files/ИП260500406300006.jpeg","Скачать индивидуальный QR-код магазина")</f>
        <v>Скачать индивидуальный QR-код магазина</v>
      </c>
    </row>
    <row r="17391" spans="1:7" x14ac:dyDescent="0.25">
      <c r="A17391" t="s">
        <v>52944</v>
      </c>
      <c r="B17391" t="s">
        <v>53121</v>
      </c>
      <c r="C17391" t="s">
        <v>53122</v>
      </c>
      <c r="D17391" t="s">
        <v>53123</v>
      </c>
      <c r="E17391" t="s">
        <v>53124</v>
      </c>
      <c r="F17391" t="s">
        <v>53125</v>
      </c>
      <c r="G17391" s="2" t="str">
        <f>HYPERLINK("https://probpalata.gov.ru/files/ЮЛ260500139900000.jpeg","Скачать индивидуальный QR-код магазина")</f>
        <v>Скачать индивидуальный QR-код магазина</v>
      </c>
    </row>
    <row r="17392" spans="1:7" x14ac:dyDescent="0.25">
      <c r="A17392" t="s">
        <v>52944</v>
      </c>
      <c r="B17392" t="s">
        <v>53126</v>
      </c>
      <c r="C17392" t="s">
        <v>53127</v>
      </c>
      <c r="D17392" t="s">
        <v>53128</v>
      </c>
      <c r="E17392" t="s">
        <v>53129</v>
      </c>
      <c r="F17392" t="s">
        <v>53130</v>
      </c>
      <c r="G17392" s="2" t="str">
        <f>HYPERLINK("https://probpalata.gov.ru/files/ИП260502002600000.jpeg","Скачать индивидуальный QR-код магазина")</f>
        <v>Скачать индивидуальный QR-код магазина</v>
      </c>
    </row>
    <row r="17393" spans="1:7" x14ac:dyDescent="0.25">
      <c r="A17393" t="s">
        <v>52944</v>
      </c>
      <c r="B17393" t="s">
        <v>53131</v>
      </c>
      <c r="C17393" t="s">
        <v>53132</v>
      </c>
      <c r="D17393" t="s">
        <v>53133</v>
      </c>
      <c r="E17393" t="s">
        <v>53134</v>
      </c>
      <c r="F17393" t="s">
        <v>53135</v>
      </c>
      <c r="G17393" s="2" t="str">
        <f>HYPERLINK("https://probpalata.gov.ru/files/ИП260500168900000.jpeg","Скачать индивидуальный QR-код магазина")</f>
        <v>Скачать индивидуальный QR-код магазина</v>
      </c>
    </row>
    <row r="17394" spans="1:7" x14ac:dyDescent="0.25">
      <c r="A17394" t="s">
        <v>52944</v>
      </c>
      <c r="B17394" t="s">
        <v>53136</v>
      </c>
      <c r="C17394" t="s">
        <v>53137</v>
      </c>
      <c r="D17394" t="s">
        <v>53138</v>
      </c>
      <c r="E17394" t="s">
        <v>53139</v>
      </c>
      <c r="F17394" t="s">
        <v>53140</v>
      </c>
      <c r="G17394" s="2" t="str">
        <f>HYPERLINK("https://probpalata.gov.ru/files/ИП260501145300000.jpeg","Скачать индивидуальный QR-код магазина")</f>
        <v>Скачать индивидуальный QR-код магазина</v>
      </c>
    </row>
    <row r="17395" spans="1:7" x14ac:dyDescent="0.25">
      <c r="A17395" t="s">
        <v>52944</v>
      </c>
      <c r="B17395" t="s">
        <v>53141</v>
      </c>
      <c r="C17395" t="s">
        <v>53142</v>
      </c>
      <c r="D17395" t="s">
        <v>53143</v>
      </c>
      <c r="E17395" t="s">
        <v>53144</v>
      </c>
      <c r="F17395" t="s">
        <v>53145</v>
      </c>
      <c r="G17395" s="2" t="str">
        <f>HYPERLINK("https://probpalata.gov.ru/files/ИП260500615600000.jpeg","Скачать индивидуальный QR-код магазина")</f>
        <v>Скачать индивидуальный QR-код магазина</v>
      </c>
    </row>
    <row r="17396" spans="1:7" x14ac:dyDescent="0.25">
      <c r="A17396" t="s">
        <v>52944</v>
      </c>
      <c r="B17396" t="s">
        <v>53146</v>
      </c>
      <c r="C17396" t="s">
        <v>53147</v>
      </c>
      <c r="D17396" t="s">
        <v>53148</v>
      </c>
      <c r="E17396" t="s">
        <v>53149</v>
      </c>
      <c r="F17396" t="s">
        <v>53150</v>
      </c>
      <c r="G17396" s="2" t="str">
        <f>HYPERLINK("https://probpalata.gov.ru/files/ИП260500542600000.jpeg","Скачать индивидуальный QR-код магазина")</f>
        <v>Скачать индивидуальный QR-код магазина</v>
      </c>
    </row>
    <row r="17397" spans="1:7" x14ac:dyDescent="0.25">
      <c r="A17397" t="s">
        <v>52944</v>
      </c>
      <c r="B17397" t="s">
        <v>53151</v>
      </c>
      <c r="C17397" t="s">
        <v>53152</v>
      </c>
      <c r="D17397" t="s">
        <v>53153</v>
      </c>
      <c r="E17397" t="s">
        <v>53154</v>
      </c>
      <c r="F17397" t="s">
        <v>53155</v>
      </c>
      <c r="G17397" s="2" t="str">
        <f>HYPERLINK("https://probpalata.gov.ru/files/ИП260501164900000.jpeg","Скачать индивидуальный QR-код магазина")</f>
        <v>Скачать индивидуальный QR-код магазина</v>
      </c>
    </row>
    <row r="17398" spans="1:7" x14ac:dyDescent="0.25">
      <c r="A17398" t="s">
        <v>52944</v>
      </c>
      <c r="B17398" t="s">
        <v>53156</v>
      </c>
      <c r="C17398" t="s">
        <v>53157</v>
      </c>
      <c r="D17398" t="s">
        <v>53158</v>
      </c>
      <c r="E17398" t="s">
        <v>53159</v>
      </c>
      <c r="F17398" t="s">
        <v>53160</v>
      </c>
      <c r="G17398" s="2" t="str">
        <f>HYPERLINK("https://probpalata.gov.ru/files/ИП260500261100001.jpeg","Скачать индивидуальный QR-код магазина")</f>
        <v>Скачать индивидуальный QR-код магазина</v>
      </c>
    </row>
    <row r="17399" spans="1:7" x14ac:dyDescent="0.25">
      <c r="A17399" t="s">
        <v>52944</v>
      </c>
      <c r="B17399" t="s">
        <v>53161</v>
      </c>
      <c r="C17399" t="s">
        <v>53157</v>
      </c>
      <c r="D17399" t="s">
        <v>53158</v>
      </c>
      <c r="E17399" t="s">
        <v>53159</v>
      </c>
      <c r="F17399" t="s">
        <v>53162</v>
      </c>
      <c r="G17399" s="2" t="str">
        <f>HYPERLINK("https://probpalata.gov.ru/files/ИП260500261100002.jpeg","Скачать индивидуальный QR-код магазина")</f>
        <v>Скачать индивидуальный QR-код магазина</v>
      </c>
    </row>
    <row r="17400" spans="1:7" x14ac:dyDescent="0.25">
      <c r="A17400" t="s">
        <v>52944</v>
      </c>
      <c r="B17400" t="s">
        <v>53163</v>
      </c>
      <c r="C17400" t="s">
        <v>53157</v>
      </c>
      <c r="D17400" t="s">
        <v>53158</v>
      </c>
      <c r="E17400" t="s">
        <v>53159</v>
      </c>
      <c r="F17400" t="s">
        <v>53164</v>
      </c>
      <c r="G17400" s="2" t="str">
        <f>HYPERLINK("https://probpalata.gov.ru/files/ИП260500261100003.jpeg","Скачать индивидуальный QR-код магазина")</f>
        <v>Скачать индивидуальный QR-код магазина</v>
      </c>
    </row>
    <row r="17401" spans="1:7" x14ac:dyDescent="0.25">
      <c r="A17401" t="s">
        <v>52944</v>
      </c>
      <c r="B17401" t="s">
        <v>53165</v>
      </c>
      <c r="C17401" t="s">
        <v>53157</v>
      </c>
      <c r="D17401" t="s">
        <v>53158</v>
      </c>
      <c r="E17401" t="s">
        <v>53159</v>
      </c>
      <c r="F17401" t="s">
        <v>53166</v>
      </c>
      <c r="G17401" s="2" t="str">
        <f>HYPERLINK("https://probpalata.gov.ru/files/ИП260500261100004.jpeg","Скачать индивидуальный QR-код магазина")</f>
        <v>Скачать индивидуальный QR-код магазина</v>
      </c>
    </row>
    <row r="17402" spans="1:7" x14ac:dyDescent="0.25">
      <c r="A17402" t="s">
        <v>52944</v>
      </c>
      <c r="B17402" t="s">
        <v>53167</v>
      </c>
      <c r="C17402" t="s">
        <v>53157</v>
      </c>
      <c r="D17402" t="s">
        <v>53158</v>
      </c>
      <c r="E17402" t="s">
        <v>53159</v>
      </c>
      <c r="F17402" t="s">
        <v>53168</v>
      </c>
      <c r="G17402" s="2" t="str">
        <f>HYPERLINK("https://probpalata.gov.ru/files/ИП260500261100005.jpeg","Скачать индивидуальный QR-код магазина")</f>
        <v>Скачать индивидуальный QR-код магазина</v>
      </c>
    </row>
    <row r="17403" spans="1:7" x14ac:dyDescent="0.25">
      <c r="A17403" t="s">
        <v>52944</v>
      </c>
      <c r="B17403" t="s">
        <v>53169</v>
      </c>
      <c r="C17403" t="s">
        <v>53170</v>
      </c>
      <c r="D17403" t="s">
        <v>53171</v>
      </c>
      <c r="E17403" t="s">
        <v>53172</v>
      </c>
      <c r="F17403" t="s">
        <v>53173</v>
      </c>
      <c r="G17403" s="2" t="str">
        <f>HYPERLINK("https://probpalata.gov.ru/files/ИП260501656000001.jpeg","Скачать индивидуальный QR-код магазина")</f>
        <v>Скачать индивидуальный QR-код магазина</v>
      </c>
    </row>
    <row r="17404" spans="1:7" x14ac:dyDescent="0.25">
      <c r="A17404" t="s">
        <v>52944</v>
      </c>
      <c r="B17404" t="s">
        <v>53174</v>
      </c>
      <c r="C17404" t="s">
        <v>53175</v>
      </c>
      <c r="D17404" t="s">
        <v>53176</v>
      </c>
      <c r="E17404" t="s">
        <v>53177</v>
      </c>
      <c r="F17404" t="s">
        <v>53178</v>
      </c>
      <c r="G17404" s="2" t="str">
        <f>HYPERLINK("https://probpalata.gov.ru/files/ИП260500765400000.jpeg","Скачать индивидуальный QR-код магазина")</f>
        <v>Скачать индивидуальный QR-код магазина</v>
      </c>
    </row>
    <row r="17405" spans="1:7" x14ac:dyDescent="0.25">
      <c r="A17405" t="s">
        <v>52944</v>
      </c>
      <c r="B17405" t="s">
        <v>53156</v>
      </c>
      <c r="C17405" t="s">
        <v>53179</v>
      </c>
      <c r="D17405" t="s">
        <v>53180</v>
      </c>
      <c r="E17405" t="s">
        <v>53181</v>
      </c>
      <c r="F17405" t="s">
        <v>53182</v>
      </c>
      <c r="G17405" s="2" t="str">
        <f>HYPERLINK("https://probpalata.gov.ru/files/ЮЛ260500702700000.jpeg","Скачать индивидуальный QR-код магазина")</f>
        <v>Скачать индивидуальный QR-код магазина</v>
      </c>
    </row>
    <row r="17406" spans="1:7" x14ac:dyDescent="0.25">
      <c r="A17406" t="s">
        <v>52944</v>
      </c>
      <c r="B17406" t="s">
        <v>53183</v>
      </c>
      <c r="C17406" t="s">
        <v>53184</v>
      </c>
      <c r="D17406" t="s">
        <v>53185</v>
      </c>
      <c r="E17406" t="s">
        <v>53186</v>
      </c>
      <c r="F17406" t="s">
        <v>53187</v>
      </c>
      <c r="G17406" s="2" t="str">
        <f>HYPERLINK("https://probpalata.gov.ru/files/ЮЛ260501680400000.jpeg","Скачать индивидуальный QR-код магазина")</f>
        <v>Скачать индивидуальный QR-код магазина</v>
      </c>
    </row>
    <row r="17407" spans="1:7" x14ac:dyDescent="0.25">
      <c r="A17407" t="s">
        <v>52944</v>
      </c>
      <c r="B17407" t="s">
        <v>53188</v>
      </c>
      <c r="C17407" t="s">
        <v>53184</v>
      </c>
      <c r="D17407" t="s">
        <v>53185</v>
      </c>
      <c r="E17407" t="s">
        <v>53186</v>
      </c>
      <c r="F17407" t="s">
        <v>53189</v>
      </c>
      <c r="G17407" s="2" t="str">
        <f>HYPERLINK("https://probpalata.gov.ru/files/ЮЛ260501680400002.jpeg","Скачать индивидуальный QR-код магазина")</f>
        <v>Скачать индивидуальный QR-код магазина</v>
      </c>
    </row>
    <row r="17408" spans="1:7" x14ac:dyDescent="0.25">
      <c r="A17408" t="s">
        <v>52944</v>
      </c>
      <c r="B17408" t="s">
        <v>53190</v>
      </c>
      <c r="C17408" t="s">
        <v>53191</v>
      </c>
      <c r="D17408" t="s">
        <v>53192</v>
      </c>
      <c r="E17408" t="s">
        <v>53193</v>
      </c>
      <c r="F17408" t="s">
        <v>53194</v>
      </c>
      <c r="G17408" s="2" t="str">
        <f>HYPERLINK("https://probpalata.gov.ru/files/ИП260503804200000.jpeg","Скачать индивидуальный QR-код магазина")</f>
        <v>Скачать индивидуальный QR-код магазина</v>
      </c>
    </row>
    <row r="17409" spans="1:7" x14ac:dyDescent="0.25">
      <c r="A17409" t="s">
        <v>52944</v>
      </c>
      <c r="B17409" t="s">
        <v>53195</v>
      </c>
      <c r="C17409" t="s">
        <v>53191</v>
      </c>
      <c r="D17409" t="s">
        <v>53192</v>
      </c>
      <c r="E17409" t="s">
        <v>53193</v>
      </c>
      <c r="F17409" t="s">
        <v>53196</v>
      </c>
      <c r="G17409" s="2" t="str">
        <f>HYPERLINK("https://probpalata.gov.ru/files/ИП260503804200001.jpeg","Скачать индивидуальный QR-код магазина")</f>
        <v>Скачать индивидуальный QR-код магазина</v>
      </c>
    </row>
    <row r="17410" spans="1:7" x14ac:dyDescent="0.25">
      <c r="A17410" t="s">
        <v>52944</v>
      </c>
      <c r="B17410" t="s">
        <v>53197</v>
      </c>
      <c r="C17410" t="s">
        <v>53198</v>
      </c>
      <c r="D17410" t="s">
        <v>53199</v>
      </c>
      <c r="E17410" t="s">
        <v>53200</v>
      </c>
      <c r="F17410" t="s">
        <v>53201</v>
      </c>
      <c r="G17410" s="2" t="str">
        <f>HYPERLINK("https://probpalata.gov.ru/files/ИП260503650600000.jpeg","Скачать индивидуальный QR-код магазина")</f>
        <v>Скачать индивидуальный QR-код магазина</v>
      </c>
    </row>
    <row r="17411" spans="1:7" x14ac:dyDescent="0.25">
      <c r="A17411" t="s">
        <v>52944</v>
      </c>
      <c r="B17411" t="s">
        <v>53202</v>
      </c>
      <c r="C17411" t="s">
        <v>53203</v>
      </c>
      <c r="D17411" t="s">
        <v>53204</v>
      </c>
      <c r="E17411" t="s">
        <v>53205</v>
      </c>
      <c r="F17411" t="s">
        <v>53206</v>
      </c>
      <c r="G17411" s="2" t="str">
        <f>HYPERLINK("https://probpalata.gov.ru/files/ИП260500297600000.jpeg","Скачать индивидуальный QR-код магазина")</f>
        <v>Скачать индивидуальный QR-код магазина</v>
      </c>
    </row>
    <row r="17412" spans="1:7" x14ac:dyDescent="0.25">
      <c r="A17412" t="s">
        <v>52944</v>
      </c>
      <c r="B17412" t="s">
        <v>53207</v>
      </c>
      <c r="C17412" t="s">
        <v>53208</v>
      </c>
      <c r="D17412" t="s">
        <v>53209</v>
      </c>
      <c r="E17412" t="s">
        <v>53210</v>
      </c>
      <c r="F17412" t="s">
        <v>53211</v>
      </c>
      <c r="G17412" s="2" t="str">
        <f>HYPERLINK("https://probpalata.gov.ru/files/ИП260503137500000.jpeg","Скачать индивидуальный QR-код магазина")</f>
        <v>Скачать индивидуальный QR-код магазина</v>
      </c>
    </row>
    <row r="17413" spans="1:7" x14ac:dyDescent="0.25">
      <c r="A17413" t="s">
        <v>52944</v>
      </c>
      <c r="B17413" t="s">
        <v>53212</v>
      </c>
      <c r="C17413" t="s">
        <v>53213</v>
      </c>
      <c r="D17413" t="s">
        <v>53214</v>
      </c>
      <c r="E17413" t="s">
        <v>53215</v>
      </c>
      <c r="F17413" t="s">
        <v>53216</v>
      </c>
      <c r="G17413" s="2" t="str">
        <f>HYPERLINK("https://probpalata.gov.ru/files/ИП260500186300000.jpeg","Скачать индивидуальный QR-код магазина")</f>
        <v>Скачать индивидуальный QR-код магазина</v>
      </c>
    </row>
    <row r="17414" spans="1:7" x14ac:dyDescent="0.25">
      <c r="A17414" t="s">
        <v>52944</v>
      </c>
      <c r="B17414" t="s">
        <v>53217</v>
      </c>
      <c r="C17414" t="s">
        <v>53218</v>
      </c>
      <c r="D17414" t="s">
        <v>53219</v>
      </c>
      <c r="E17414" t="s">
        <v>53220</v>
      </c>
      <c r="F17414" t="s">
        <v>53221</v>
      </c>
      <c r="G17414" s="2" t="str">
        <f>HYPERLINK("https://probpalata.gov.ru/files/ИП260500627500000.jpeg","Скачать индивидуальный QR-код магазина")</f>
        <v>Скачать индивидуальный QR-код магазина</v>
      </c>
    </row>
    <row r="17415" spans="1:7" x14ac:dyDescent="0.25">
      <c r="A17415" t="s">
        <v>52944</v>
      </c>
      <c r="B17415" t="s">
        <v>53222</v>
      </c>
      <c r="C17415" t="s">
        <v>53223</v>
      </c>
      <c r="D17415" t="s">
        <v>53224</v>
      </c>
      <c r="E17415" t="s">
        <v>53225</v>
      </c>
      <c r="F17415" t="s">
        <v>53226</v>
      </c>
      <c r="G17415" s="2" t="str">
        <f>HYPERLINK("https://probpalata.gov.ru/files/ИП260500796600000.jpeg","Скачать индивидуальный QR-код магазина")</f>
        <v>Скачать индивидуальный QR-код магазина</v>
      </c>
    </row>
    <row r="17416" spans="1:7" x14ac:dyDescent="0.25">
      <c r="A17416" t="s">
        <v>52944</v>
      </c>
      <c r="B17416" t="s">
        <v>53227</v>
      </c>
      <c r="C17416" t="s">
        <v>53223</v>
      </c>
      <c r="D17416" t="s">
        <v>53224</v>
      </c>
      <c r="E17416" t="s">
        <v>53225</v>
      </c>
      <c r="F17416" t="s">
        <v>53228</v>
      </c>
      <c r="G17416" s="2" t="str">
        <f>HYPERLINK("https://probpalata.gov.ru/files/ИП260500796600002.jpeg","Скачать индивидуальный QR-код магазина")</f>
        <v>Скачать индивидуальный QR-код магазина</v>
      </c>
    </row>
    <row r="17417" spans="1:7" x14ac:dyDescent="0.25">
      <c r="A17417" t="s">
        <v>52944</v>
      </c>
      <c r="B17417" t="s">
        <v>53229</v>
      </c>
      <c r="C17417" t="s">
        <v>53223</v>
      </c>
      <c r="D17417" t="s">
        <v>53224</v>
      </c>
      <c r="E17417" t="s">
        <v>53225</v>
      </c>
      <c r="F17417" t="s">
        <v>53230</v>
      </c>
      <c r="G17417" s="2" t="str">
        <f>HYPERLINK("https://probpalata.gov.ru/files/ИП260500796600003.jpeg","Скачать индивидуальный QR-код магазина")</f>
        <v>Скачать индивидуальный QR-код магазина</v>
      </c>
    </row>
    <row r="17418" spans="1:7" x14ac:dyDescent="0.25">
      <c r="A17418" t="s">
        <v>52944</v>
      </c>
      <c r="B17418" t="s">
        <v>52958</v>
      </c>
      <c r="C17418" t="s">
        <v>53223</v>
      </c>
      <c r="D17418" t="s">
        <v>53224</v>
      </c>
      <c r="E17418" t="s">
        <v>53225</v>
      </c>
      <c r="F17418" t="s">
        <v>53231</v>
      </c>
      <c r="G17418" s="2" t="str">
        <f>HYPERLINK("https://probpalata.gov.ru/files/ИП260500796600004.jpeg","Скачать индивидуальный QR-код магазина")</f>
        <v>Скачать индивидуальный QR-код магазина</v>
      </c>
    </row>
    <row r="17419" spans="1:7" x14ac:dyDescent="0.25">
      <c r="A17419" t="s">
        <v>52944</v>
      </c>
      <c r="B17419" t="s">
        <v>53232</v>
      </c>
      <c r="C17419" t="s">
        <v>53233</v>
      </c>
      <c r="D17419" t="s">
        <v>53234</v>
      </c>
      <c r="E17419" t="s">
        <v>53235</v>
      </c>
      <c r="F17419" t="s">
        <v>53236</v>
      </c>
      <c r="G17419" s="2" t="str">
        <f>HYPERLINK("https://probpalata.gov.ru/files/ИП260500690600000.jpeg","Скачать индивидуальный QR-код магазина")</f>
        <v>Скачать индивидуальный QR-код магазина</v>
      </c>
    </row>
    <row r="17420" spans="1:7" x14ac:dyDescent="0.25">
      <c r="A17420" t="s">
        <v>52944</v>
      </c>
      <c r="B17420" t="s">
        <v>53237</v>
      </c>
      <c r="C17420" t="s">
        <v>53233</v>
      </c>
      <c r="D17420" t="s">
        <v>53234</v>
      </c>
      <c r="E17420" t="s">
        <v>53235</v>
      </c>
      <c r="F17420" t="s">
        <v>53238</v>
      </c>
      <c r="G17420" s="2" t="str">
        <f>HYPERLINK("https://probpalata.gov.ru/files/ИП260500690600001.jpeg","Скачать индивидуальный QR-код магазина")</f>
        <v>Скачать индивидуальный QR-код магазина</v>
      </c>
    </row>
    <row r="17421" spans="1:7" x14ac:dyDescent="0.25">
      <c r="A17421" t="s">
        <v>52944</v>
      </c>
      <c r="B17421" t="s">
        <v>53239</v>
      </c>
      <c r="C17421" t="s">
        <v>53240</v>
      </c>
      <c r="D17421" t="s">
        <v>53241</v>
      </c>
      <c r="E17421" t="s">
        <v>53242</v>
      </c>
      <c r="F17421" t="s">
        <v>53243</v>
      </c>
      <c r="G17421" s="2" t="str">
        <f>HYPERLINK("https://probpalata.gov.ru/files/ИП260500826500000.jpeg","Скачать индивидуальный QR-код магазина")</f>
        <v>Скачать индивидуальный QR-код магазина</v>
      </c>
    </row>
    <row r="17422" spans="1:7" x14ac:dyDescent="0.25">
      <c r="A17422" t="s">
        <v>52944</v>
      </c>
      <c r="B17422" t="s">
        <v>53244</v>
      </c>
      <c r="C17422" t="s">
        <v>53245</v>
      </c>
      <c r="D17422" t="s">
        <v>53246</v>
      </c>
      <c r="E17422" t="s">
        <v>53247</v>
      </c>
      <c r="F17422" t="s">
        <v>53248</v>
      </c>
      <c r="G17422" s="2" t="str">
        <f>HYPERLINK("https://probpalata.gov.ru/files/ИП260501487400000.jpeg","Скачать индивидуальный QR-код магазина")</f>
        <v>Скачать индивидуальный QR-код магазина</v>
      </c>
    </row>
    <row r="17423" spans="1:7" x14ac:dyDescent="0.25">
      <c r="A17423" t="s">
        <v>52944</v>
      </c>
      <c r="B17423" t="s">
        <v>53249</v>
      </c>
      <c r="C17423" t="s">
        <v>53245</v>
      </c>
      <c r="D17423" t="s">
        <v>53246</v>
      </c>
      <c r="E17423" t="s">
        <v>53247</v>
      </c>
      <c r="F17423" t="s">
        <v>53250</v>
      </c>
      <c r="G17423" s="2" t="str">
        <f>HYPERLINK("https://probpalata.gov.ru/files/ИП260501487400001.jpeg","Скачать индивидуальный QR-код магазина")</f>
        <v>Скачать индивидуальный QR-код магазина</v>
      </c>
    </row>
    <row r="17424" spans="1:7" x14ac:dyDescent="0.25">
      <c r="A17424" t="s">
        <v>52944</v>
      </c>
      <c r="B17424" t="s">
        <v>53251</v>
      </c>
      <c r="C17424" t="s">
        <v>53252</v>
      </c>
      <c r="D17424" t="s">
        <v>53253</v>
      </c>
      <c r="E17424" t="s">
        <v>53254</v>
      </c>
      <c r="F17424" t="s">
        <v>53255</v>
      </c>
      <c r="G17424" s="2" t="str">
        <f>HYPERLINK("https://probpalata.gov.ru/files/ЮЛ260500555600000.jpeg","Скачать индивидуальный QR-код магазина")</f>
        <v>Скачать индивидуальный QR-код магазина</v>
      </c>
    </row>
    <row r="17425" spans="1:7" x14ac:dyDescent="0.25">
      <c r="A17425" t="s">
        <v>52944</v>
      </c>
      <c r="B17425" t="s">
        <v>53237</v>
      </c>
      <c r="C17425" t="s">
        <v>53252</v>
      </c>
      <c r="D17425" t="s">
        <v>53253</v>
      </c>
      <c r="E17425" t="s">
        <v>53254</v>
      </c>
      <c r="F17425" t="s">
        <v>53256</v>
      </c>
      <c r="G17425" s="2" t="str">
        <f>HYPERLINK("https://probpalata.gov.ru/files/ЮЛ260500555600001.jpeg","Скачать индивидуальный QR-код магазина")</f>
        <v>Скачать индивидуальный QR-код магазина</v>
      </c>
    </row>
    <row r="17426" spans="1:7" x14ac:dyDescent="0.25">
      <c r="A17426" t="s">
        <v>52944</v>
      </c>
      <c r="B17426" t="s">
        <v>53257</v>
      </c>
      <c r="C17426" t="s">
        <v>53252</v>
      </c>
      <c r="D17426" t="s">
        <v>53253</v>
      </c>
      <c r="E17426" t="s">
        <v>53254</v>
      </c>
      <c r="F17426" t="s">
        <v>53258</v>
      </c>
      <c r="G17426" s="2" t="str">
        <f>HYPERLINK("https://probpalata.gov.ru/files/ЮЛ260500555600004.jpeg","Скачать индивидуальный QR-код магазина")</f>
        <v>Скачать индивидуальный QR-код магазина</v>
      </c>
    </row>
    <row r="17427" spans="1:7" x14ac:dyDescent="0.25">
      <c r="A17427" t="s">
        <v>52944</v>
      </c>
      <c r="B17427" t="s">
        <v>53259</v>
      </c>
      <c r="C17427" t="s">
        <v>53252</v>
      </c>
      <c r="D17427" t="s">
        <v>53253</v>
      </c>
      <c r="E17427" t="s">
        <v>53254</v>
      </c>
      <c r="F17427" t="s">
        <v>53260</v>
      </c>
      <c r="G17427" s="2" t="str">
        <f>HYPERLINK("https://probpalata.gov.ru/files/ЮЛ260500555600005.jpeg","Скачать индивидуальный QR-код магазина")</f>
        <v>Скачать индивидуальный QR-код магазина</v>
      </c>
    </row>
    <row r="17428" spans="1:7" x14ac:dyDescent="0.25">
      <c r="A17428" t="s">
        <v>52944</v>
      </c>
      <c r="B17428" t="s">
        <v>53251</v>
      </c>
      <c r="C17428" t="s">
        <v>53252</v>
      </c>
      <c r="D17428" t="s">
        <v>53253</v>
      </c>
      <c r="E17428" t="s">
        <v>53254</v>
      </c>
      <c r="F17428" t="s">
        <v>53261</v>
      </c>
      <c r="G17428" s="2" t="str">
        <f>HYPERLINK("https://probpalata.gov.ru/files/ЮЛ260500555600006.jpeg","Скачать индивидуальный QR-код магазина")</f>
        <v>Скачать индивидуальный QR-код магазина</v>
      </c>
    </row>
    <row r="17429" spans="1:7" x14ac:dyDescent="0.25">
      <c r="A17429" t="s">
        <v>52944</v>
      </c>
      <c r="B17429" t="s">
        <v>53262</v>
      </c>
      <c r="C17429" t="s">
        <v>53252</v>
      </c>
      <c r="D17429" t="s">
        <v>53253</v>
      </c>
      <c r="E17429" t="s">
        <v>53254</v>
      </c>
      <c r="F17429" t="s">
        <v>53263</v>
      </c>
      <c r="G17429" s="2" t="str">
        <f>HYPERLINK("https://probpalata.gov.ru/files/ЮЛ260500555600007.jpeg","Скачать индивидуальный QR-код магазина")</f>
        <v>Скачать индивидуальный QR-код магазина</v>
      </c>
    </row>
    <row r="17430" spans="1:7" x14ac:dyDescent="0.25">
      <c r="A17430" t="s">
        <v>52944</v>
      </c>
      <c r="B17430" t="s">
        <v>53264</v>
      </c>
      <c r="C17430" t="s">
        <v>53265</v>
      </c>
      <c r="D17430" t="s">
        <v>53266</v>
      </c>
      <c r="E17430" t="s">
        <v>53267</v>
      </c>
      <c r="F17430" t="s">
        <v>53268</v>
      </c>
      <c r="G17430" s="2" t="str">
        <f>HYPERLINK("https://probpalata.gov.ru/files/ИП260500856200000.jpeg","Скачать индивидуальный QR-код магазина")</f>
        <v>Скачать индивидуальный QR-код магазина</v>
      </c>
    </row>
    <row r="17431" spans="1:7" x14ac:dyDescent="0.25">
      <c r="A17431" t="s">
        <v>52944</v>
      </c>
      <c r="B17431" t="s">
        <v>53269</v>
      </c>
      <c r="C17431" t="s">
        <v>53270</v>
      </c>
      <c r="D17431" t="s">
        <v>53271</v>
      </c>
      <c r="E17431" t="s">
        <v>53272</v>
      </c>
      <c r="F17431" t="s">
        <v>53273</v>
      </c>
      <c r="G17431" s="2" t="str">
        <f>HYPERLINK("https://probpalata.gov.ru/files/ИП260500610200000.jpeg","Скачать индивидуальный QR-код магазина")</f>
        <v>Скачать индивидуальный QR-код магазина</v>
      </c>
    </row>
    <row r="17432" spans="1:7" x14ac:dyDescent="0.25">
      <c r="A17432" t="s">
        <v>52944</v>
      </c>
      <c r="B17432" t="s">
        <v>53274</v>
      </c>
      <c r="C17432" t="s">
        <v>19250</v>
      </c>
      <c r="D17432" t="s">
        <v>19251</v>
      </c>
      <c r="E17432" t="s">
        <v>19252</v>
      </c>
      <c r="F17432" t="s">
        <v>53275</v>
      </c>
      <c r="G17432" s="2" t="str">
        <f>HYPERLINK("https://probpalata.gov.ru/files/ЮЛ260501309700006.jpeg","Скачать индивидуальный QR-код магазина")</f>
        <v>Скачать индивидуальный QR-код магазина</v>
      </c>
    </row>
    <row r="17433" spans="1:7" x14ac:dyDescent="0.25">
      <c r="A17433" t="s">
        <v>52944</v>
      </c>
      <c r="B17433" t="s">
        <v>53276</v>
      </c>
      <c r="C17433" t="s">
        <v>53277</v>
      </c>
      <c r="D17433" t="s">
        <v>53278</v>
      </c>
      <c r="E17433" t="s">
        <v>53279</v>
      </c>
      <c r="F17433" t="s">
        <v>53280</v>
      </c>
      <c r="G17433" s="2" t="str">
        <f>HYPERLINK("https://probpalata.gov.ru/files/ИП260501904900000.jpeg","Скачать индивидуальный QR-код магазина")</f>
        <v>Скачать индивидуальный QR-код магазина</v>
      </c>
    </row>
    <row r="17434" spans="1:7" x14ac:dyDescent="0.25">
      <c r="A17434" t="s">
        <v>52944</v>
      </c>
      <c r="B17434" t="s">
        <v>53281</v>
      </c>
      <c r="C17434" t="s">
        <v>53282</v>
      </c>
      <c r="D17434" t="s">
        <v>53283</v>
      </c>
      <c r="E17434" t="s">
        <v>53284</v>
      </c>
      <c r="F17434" t="s">
        <v>53285</v>
      </c>
      <c r="G17434" s="2" t="str">
        <f>HYPERLINK("https://probpalata.gov.ru/files/ИП260501414500000.jpeg","Скачать индивидуальный QR-код магазина")</f>
        <v>Скачать индивидуальный QR-код магазина</v>
      </c>
    </row>
    <row r="17435" spans="1:7" x14ac:dyDescent="0.25">
      <c r="A17435" t="s">
        <v>52944</v>
      </c>
      <c r="B17435" t="s">
        <v>53286</v>
      </c>
      <c r="C17435" t="s">
        <v>53287</v>
      </c>
      <c r="D17435" t="s">
        <v>53288</v>
      </c>
      <c r="E17435" t="s">
        <v>53289</v>
      </c>
      <c r="F17435" t="s">
        <v>53290</v>
      </c>
      <c r="G17435" s="2" t="str">
        <f>HYPERLINK("https://probpalata.gov.ru/files/ЮЛ260500555900000.jpeg","Скачать индивидуальный QR-код магазина")</f>
        <v>Скачать индивидуальный QR-код магазина</v>
      </c>
    </row>
    <row r="17436" spans="1:7" x14ac:dyDescent="0.25">
      <c r="A17436" t="s">
        <v>52944</v>
      </c>
      <c r="B17436" t="s">
        <v>53291</v>
      </c>
      <c r="C17436" t="s">
        <v>53292</v>
      </c>
      <c r="D17436" t="s">
        <v>53293</v>
      </c>
      <c r="E17436" t="s">
        <v>53294</v>
      </c>
      <c r="F17436" t="s">
        <v>53295</v>
      </c>
      <c r="G17436" s="2" t="str">
        <f>HYPERLINK("https://probpalata.gov.ru/files/ИП260500939900000.jpeg","Скачать индивидуальный QR-код магазина")</f>
        <v>Скачать индивидуальный QR-код магазина</v>
      </c>
    </row>
    <row r="17437" spans="1:7" x14ac:dyDescent="0.25">
      <c r="A17437" t="s">
        <v>52944</v>
      </c>
      <c r="B17437" t="s">
        <v>53296</v>
      </c>
      <c r="C17437" t="s">
        <v>53297</v>
      </c>
      <c r="D17437" t="s">
        <v>53298</v>
      </c>
      <c r="E17437" t="s">
        <v>53299</v>
      </c>
      <c r="F17437" t="s">
        <v>53300</v>
      </c>
      <c r="G17437" s="2" t="str">
        <f>HYPERLINK("https://probpalata.gov.ru/files/ИП260500187900000.jpeg","Скачать индивидуальный QR-код магазина")</f>
        <v>Скачать индивидуальный QR-код магазина</v>
      </c>
    </row>
    <row r="17438" spans="1:7" x14ac:dyDescent="0.25">
      <c r="A17438" t="s">
        <v>52944</v>
      </c>
      <c r="B17438" t="s">
        <v>53301</v>
      </c>
      <c r="C17438" t="s">
        <v>53302</v>
      </c>
      <c r="D17438" t="s">
        <v>53303</v>
      </c>
      <c r="E17438" t="s">
        <v>53304</v>
      </c>
      <c r="F17438" t="s">
        <v>53305</v>
      </c>
      <c r="G17438" s="2" t="str">
        <f>HYPERLINK("https://probpalata.gov.ru/files/ЮЛ260500693100000.jpeg","Скачать индивидуальный QR-код магазина")</f>
        <v>Скачать индивидуальный QR-код магазина</v>
      </c>
    </row>
    <row r="17439" spans="1:7" x14ac:dyDescent="0.25">
      <c r="A17439" t="s">
        <v>52944</v>
      </c>
      <c r="B17439" t="s">
        <v>53306</v>
      </c>
      <c r="C17439" t="s">
        <v>53307</v>
      </c>
      <c r="D17439" t="s">
        <v>53308</v>
      </c>
      <c r="E17439" t="s">
        <v>53309</v>
      </c>
      <c r="F17439" t="s">
        <v>53310</v>
      </c>
      <c r="G17439" s="2" t="str">
        <f>HYPERLINK("https://probpalata.gov.ru/files/ИП260500304100000.jpeg","Скачать индивидуальный QR-код магазина")</f>
        <v>Скачать индивидуальный QR-код магазина</v>
      </c>
    </row>
    <row r="17440" spans="1:7" x14ac:dyDescent="0.25">
      <c r="A17440" t="s">
        <v>52944</v>
      </c>
      <c r="B17440" t="s">
        <v>53311</v>
      </c>
      <c r="C17440" t="s">
        <v>53312</v>
      </c>
      <c r="D17440" t="s">
        <v>53313</v>
      </c>
      <c r="E17440" t="s">
        <v>53314</v>
      </c>
      <c r="F17440" t="s">
        <v>53315</v>
      </c>
      <c r="G17440" s="2" t="str">
        <f>HYPERLINK("https://probpalata.gov.ru/files/ИП260500827100000.jpeg","Скачать индивидуальный QR-код магазина")</f>
        <v>Скачать индивидуальный QR-код магазина</v>
      </c>
    </row>
    <row r="17441" spans="1:7" x14ac:dyDescent="0.25">
      <c r="A17441" t="s">
        <v>52944</v>
      </c>
      <c r="B17441" t="s">
        <v>53316</v>
      </c>
      <c r="C17441" t="s">
        <v>53317</v>
      </c>
      <c r="D17441" t="s">
        <v>53318</v>
      </c>
      <c r="E17441" t="s">
        <v>53319</v>
      </c>
      <c r="F17441" t="s">
        <v>53320</v>
      </c>
      <c r="G17441" s="2" t="str">
        <f>HYPERLINK("https://probpalata.gov.ru/files/ИП260500627400000.jpeg","Скачать индивидуальный QR-код магазина")</f>
        <v>Скачать индивидуальный QR-код магазина</v>
      </c>
    </row>
    <row r="17442" spans="1:7" x14ac:dyDescent="0.25">
      <c r="A17442" t="s">
        <v>52944</v>
      </c>
      <c r="B17442" t="s">
        <v>53321</v>
      </c>
      <c r="C17442" t="s">
        <v>53322</v>
      </c>
      <c r="D17442" t="s">
        <v>53323</v>
      </c>
      <c r="E17442" t="s">
        <v>53324</v>
      </c>
      <c r="F17442" t="s">
        <v>53325</v>
      </c>
      <c r="G17442" s="2" t="str">
        <f>HYPERLINK("https://probpalata.gov.ru/files/ЮЛ260500531400000.jpeg","Скачать индивидуальный QR-код магазина")</f>
        <v>Скачать индивидуальный QR-код магазина</v>
      </c>
    </row>
    <row r="17443" spans="1:7" x14ac:dyDescent="0.25">
      <c r="A17443" t="s">
        <v>52944</v>
      </c>
      <c r="B17443" t="s">
        <v>53326</v>
      </c>
      <c r="C17443" t="s">
        <v>53327</v>
      </c>
      <c r="D17443" t="s">
        <v>53328</v>
      </c>
      <c r="E17443" t="s">
        <v>53329</v>
      </c>
      <c r="F17443" t="s">
        <v>53330</v>
      </c>
      <c r="G17443" s="2" t="str">
        <f>HYPERLINK("https://probpalata.gov.ru/files/ИП260503349100000.jpeg","Скачать индивидуальный QR-код магазина")</f>
        <v>Скачать индивидуальный QR-код магазина</v>
      </c>
    </row>
    <row r="17444" spans="1:7" x14ac:dyDescent="0.25">
      <c r="A17444" t="s">
        <v>52944</v>
      </c>
      <c r="B17444" t="s">
        <v>53331</v>
      </c>
      <c r="C17444" t="s">
        <v>14596</v>
      </c>
      <c r="D17444" t="s">
        <v>14597</v>
      </c>
      <c r="E17444" t="s">
        <v>14598</v>
      </c>
      <c r="F17444" t="s">
        <v>53332</v>
      </c>
      <c r="G17444" s="2" t="str">
        <f>HYPERLINK("https://probpalata.gov.ru/files/ИП260500627700000.jpeg","Скачать индивидуальный QR-код магазина")</f>
        <v>Скачать индивидуальный QR-код магазина</v>
      </c>
    </row>
    <row r="17445" spans="1:7" x14ac:dyDescent="0.25">
      <c r="A17445" t="s">
        <v>52944</v>
      </c>
      <c r="B17445" t="s">
        <v>53333</v>
      </c>
      <c r="C17445" t="s">
        <v>14596</v>
      </c>
      <c r="D17445" t="s">
        <v>14597</v>
      </c>
      <c r="E17445" t="s">
        <v>14598</v>
      </c>
      <c r="F17445" t="s">
        <v>53334</v>
      </c>
      <c r="G17445" s="2" t="str">
        <f>HYPERLINK("https://probpalata.gov.ru/files/ИП260500627700002.jpeg","Скачать индивидуальный QR-код магазина")</f>
        <v>Скачать индивидуальный QR-код магазина</v>
      </c>
    </row>
    <row r="17446" spans="1:7" x14ac:dyDescent="0.25">
      <c r="A17446" t="s">
        <v>52944</v>
      </c>
      <c r="B17446" t="s">
        <v>53335</v>
      </c>
      <c r="C17446" t="s">
        <v>14596</v>
      </c>
      <c r="D17446" t="s">
        <v>14597</v>
      </c>
      <c r="E17446" t="s">
        <v>14598</v>
      </c>
      <c r="F17446" t="s">
        <v>53336</v>
      </c>
      <c r="G17446" s="2" t="str">
        <f>HYPERLINK("https://probpalata.gov.ru/files/ИП260500627700003.jpeg","Скачать индивидуальный QR-код магазина")</f>
        <v>Скачать индивидуальный QR-код магазина</v>
      </c>
    </row>
    <row r="17447" spans="1:7" x14ac:dyDescent="0.25">
      <c r="A17447" t="s">
        <v>52944</v>
      </c>
      <c r="B17447" t="s">
        <v>53337</v>
      </c>
      <c r="C17447" t="s">
        <v>14596</v>
      </c>
      <c r="D17447" t="s">
        <v>14597</v>
      </c>
      <c r="E17447" t="s">
        <v>14598</v>
      </c>
      <c r="F17447" t="s">
        <v>53338</v>
      </c>
      <c r="G17447" s="2" t="str">
        <f>HYPERLINK("https://probpalata.gov.ru/files/ИП260500627700005.jpeg","Скачать индивидуальный QR-код магазина")</f>
        <v>Скачать индивидуальный QR-код магазина</v>
      </c>
    </row>
    <row r="17448" spans="1:7" x14ac:dyDescent="0.25">
      <c r="A17448" t="s">
        <v>52944</v>
      </c>
      <c r="B17448" t="s">
        <v>53339</v>
      </c>
      <c r="C17448" t="s">
        <v>14596</v>
      </c>
      <c r="D17448" t="s">
        <v>14597</v>
      </c>
      <c r="E17448" t="s">
        <v>14598</v>
      </c>
      <c r="F17448" t="s">
        <v>53340</v>
      </c>
      <c r="G17448" s="2" t="str">
        <f>HYPERLINK("https://probpalata.gov.ru/files/ИП260500627700006.jpeg","Скачать индивидуальный QR-код магазина")</f>
        <v>Скачать индивидуальный QR-код магазина</v>
      </c>
    </row>
    <row r="17449" spans="1:7" x14ac:dyDescent="0.25">
      <c r="A17449" t="s">
        <v>52944</v>
      </c>
      <c r="B17449" t="s">
        <v>53341</v>
      </c>
      <c r="C17449" t="s">
        <v>14596</v>
      </c>
      <c r="D17449" t="s">
        <v>14597</v>
      </c>
      <c r="E17449" t="s">
        <v>14598</v>
      </c>
      <c r="F17449" t="s">
        <v>53342</v>
      </c>
      <c r="G17449" s="2" t="str">
        <f>HYPERLINK("https://probpalata.gov.ru/files/ИП260500627700007.jpeg","Скачать индивидуальный QR-код магазина")</f>
        <v>Скачать индивидуальный QR-код магазина</v>
      </c>
    </row>
    <row r="17450" spans="1:7" x14ac:dyDescent="0.25">
      <c r="A17450" t="s">
        <v>52944</v>
      </c>
      <c r="B17450" t="s">
        <v>53343</v>
      </c>
      <c r="C17450" t="s">
        <v>14596</v>
      </c>
      <c r="D17450" t="s">
        <v>14597</v>
      </c>
      <c r="E17450" t="s">
        <v>14598</v>
      </c>
      <c r="F17450" t="s">
        <v>53344</v>
      </c>
      <c r="G17450" s="2" t="str">
        <f>HYPERLINK("https://probpalata.gov.ru/files/ИП260500627700015.jpeg","Скачать индивидуальный QR-код магазина")</f>
        <v>Скачать индивидуальный QR-код магазина</v>
      </c>
    </row>
    <row r="17451" spans="1:7" x14ac:dyDescent="0.25">
      <c r="A17451" t="s">
        <v>52944</v>
      </c>
      <c r="B17451" t="s">
        <v>53345</v>
      </c>
      <c r="C17451" t="s">
        <v>53346</v>
      </c>
      <c r="D17451" t="s">
        <v>53347</v>
      </c>
      <c r="E17451" t="s">
        <v>53348</v>
      </c>
      <c r="F17451" t="s">
        <v>53349</v>
      </c>
      <c r="G17451" s="2" t="str">
        <f>HYPERLINK("https://probpalata.gov.ru/files/ИП260500611600000.jpeg","Скачать индивидуальный QR-код магазина")</f>
        <v>Скачать индивидуальный QR-код магазина</v>
      </c>
    </row>
    <row r="17452" spans="1:7" x14ac:dyDescent="0.25">
      <c r="A17452" t="s">
        <v>52944</v>
      </c>
      <c r="B17452" t="s">
        <v>53350</v>
      </c>
      <c r="C17452" t="s">
        <v>53351</v>
      </c>
      <c r="D17452" t="s">
        <v>53352</v>
      </c>
      <c r="E17452" t="s">
        <v>53353</v>
      </c>
      <c r="F17452" t="s">
        <v>53354</v>
      </c>
      <c r="G17452" s="2" t="str">
        <f>HYPERLINK("https://probpalata.gov.ru/files/ИП260500436100000.jpeg","Скачать индивидуальный QR-код магазина")</f>
        <v>Скачать индивидуальный QR-код магазина</v>
      </c>
    </row>
    <row r="17453" spans="1:7" x14ac:dyDescent="0.25">
      <c r="A17453" t="s">
        <v>52944</v>
      </c>
      <c r="B17453" t="s">
        <v>53355</v>
      </c>
      <c r="C17453" t="s">
        <v>53351</v>
      </c>
      <c r="D17453" t="s">
        <v>53352</v>
      </c>
      <c r="E17453" t="s">
        <v>53353</v>
      </c>
      <c r="F17453" t="s">
        <v>53356</v>
      </c>
      <c r="G17453" s="2" t="str">
        <f>HYPERLINK("https://probpalata.gov.ru/files/ИП260500436100001.jpeg","Скачать индивидуальный QR-код магазина")</f>
        <v>Скачать индивидуальный QR-код магазина</v>
      </c>
    </row>
    <row r="17454" spans="1:7" x14ac:dyDescent="0.25">
      <c r="A17454" t="s">
        <v>52944</v>
      </c>
      <c r="B17454" t="s">
        <v>53357</v>
      </c>
      <c r="C17454" t="s">
        <v>53351</v>
      </c>
      <c r="D17454" t="s">
        <v>53352</v>
      </c>
      <c r="E17454" t="s">
        <v>53353</v>
      </c>
      <c r="F17454" t="s">
        <v>53358</v>
      </c>
      <c r="G17454" s="2" t="str">
        <f>HYPERLINK("https://probpalata.gov.ru/files/ИП260500436100002.jpeg","Скачать индивидуальный QR-код магазина")</f>
        <v>Скачать индивидуальный QR-код магазина</v>
      </c>
    </row>
    <row r="17455" spans="1:7" x14ac:dyDescent="0.25">
      <c r="A17455" t="s">
        <v>52944</v>
      </c>
      <c r="B17455" t="s">
        <v>53359</v>
      </c>
      <c r="C17455" t="s">
        <v>53360</v>
      </c>
      <c r="D17455" t="s">
        <v>53361</v>
      </c>
      <c r="E17455" t="s">
        <v>53362</v>
      </c>
      <c r="F17455" t="s">
        <v>53363</v>
      </c>
      <c r="G17455" s="2" t="str">
        <f>HYPERLINK("https://probpalata.gov.ru/files/ИП260503871500000.jpeg","Скачать индивидуальный QR-код магазина")</f>
        <v>Скачать индивидуальный QR-код магазина</v>
      </c>
    </row>
    <row r="17456" spans="1:7" x14ac:dyDescent="0.25">
      <c r="A17456" t="s">
        <v>52944</v>
      </c>
      <c r="B17456" t="s">
        <v>53364</v>
      </c>
      <c r="C17456" t="s">
        <v>53365</v>
      </c>
      <c r="D17456" t="s">
        <v>53366</v>
      </c>
      <c r="E17456" t="s">
        <v>53367</v>
      </c>
      <c r="F17456" t="s">
        <v>53368</v>
      </c>
      <c r="G17456" s="2" t="str">
        <f>HYPERLINK("https://probpalata.gov.ru/files/ИП260500303700000.jpeg","Скачать индивидуальный QR-код магазина")</f>
        <v>Скачать индивидуальный QR-код магазина</v>
      </c>
    </row>
    <row r="17457" spans="1:7" x14ac:dyDescent="0.25">
      <c r="A17457" t="s">
        <v>52944</v>
      </c>
      <c r="B17457" t="s">
        <v>53369</v>
      </c>
      <c r="C17457" t="s">
        <v>53370</v>
      </c>
      <c r="D17457" t="s">
        <v>53371</v>
      </c>
      <c r="E17457" t="s">
        <v>53372</v>
      </c>
      <c r="F17457" t="s">
        <v>53373</v>
      </c>
      <c r="G17457" s="2" t="str">
        <f>HYPERLINK("https://probpalata.gov.ru/files/ИП200503881500000.jpeg","Скачать индивидуальный QR-код магазина")</f>
        <v>Скачать индивидуальный QR-код магазина</v>
      </c>
    </row>
    <row r="17458" spans="1:7" x14ac:dyDescent="0.25">
      <c r="A17458" t="s">
        <v>52944</v>
      </c>
      <c r="B17458" t="s">
        <v>53374</v>
      </c>
      <c r="C17458" t="s">
        <v>53375</v>
      </c>
      <c r="D17458" t="s">
        <v>53376</v>
      </c>
      <c r="E17458" t="s">
        <v>53377</v>
      </c>
      <c r="F17458" t="s">
        <v>53378</v>
      </c>
      <c r="G17458" s="2" t="str">
        <f>HYPERLINK("https://probpalata.gov.ru/files/ИП260503354600000.jpeg","Скачать индивидуальный QR-код магазина")</f>
        <v>Скачать индивидуальный QR-код магазина</v>
      </c>
    </row>
    <row r="17459" spans="1:7" x14ac:dyDescent="0.25">
      <c r="A17459" t="s">
        <v>52944</v>
      </c>
      <c r="B17459" t="s">
        <v>53379</v>
      </c>
      <c r="C17459" t="s">
        <v>53380</v>
      </c>
      <c r="D17459" t="s">
        <v>53381</v>
      </c>
      <c r="E17459" t="s">
        <v>53382</v>
      </c>
      <c r="F17459" t="s">
        <v>53383</v>
      </c>
      <c r="G17459" s="2" t="str">
        <f>HYPERLINK("https://probpalata.gov.ru/files/ИП260500777100000.jpeg","Скачать индивидуальный QR-код магазина")</f>
        <v>Скачать индивидуальный QR-код магазина</v>
      </c>
    </row>
    <row r="17460" spans="1:7" x14ac:dyDescent="0.25">
      <c r="A17460" t="s">
        <v>52944</v>
      </c>
      <c r="B17460" t="s">
        <v>53384</v>
      </c>
      <c r="C17460" t="s">
        <v>53385</v>
      </c>
      <c r="D17460" t="s">
        <v>53386</v>
      </c>
      <c r="E17460" t="s">
        <v>53387</v>
      </c>
      <c r="F17460" t="s">
        <v>53388</v>
      </c>
      <c r="G17460" s="2" t="str">
        <f>HYPERLINK("https://probpalata.gov.ru/files/ИП260503597100000.jpeg","Скачать индивидуальный QR-код магазина")</f>
        <v>Скачать индивидуальный QR-код магазина</v>
      </c>
    </row>
    <row r="17461" spans="1:7" x14ac:dyDescent="0.25">
      <c r="A17461" t="s">
        <v>52944</v>
      </c>
      <c r="B17461" t="s">
        <v>53389</v>
      </c>
      <c r="C17461" t="s">
        <v>53390</v>
      </c>
      <c r="D17461" t="s">
        <v>53391</v>
      </c>
      <c r="E17461" t="s">
        <v>53392</v>
      </c>
      <c r="F17461" t="s">
        <v>53393</v>
      </c>
      <c r="G17461" s="2" t="str">
        <f>HYPERLINK("https://probpalata.gov.ru/files/ИП260500614200000.jpeg","Скачать индивидуальный QR-код магазина")</f>
        <v>Скачать индивидуальный QR-код магазина</v>
      </c>
    </row>
    <row r="17462" spans="1:7" x14ac:dyDescent="0.25">
      <c r="A17462" t="s">
        <v>52944</v>
      </c>
      <c r="B17462" t="s">
        <v>53394</v>
      </c>
      <c r="C17462" t="s">
        <v>53395</v>
      </c>
      <c r="D17462" t="s">
        <v>53396</v>
      </c>
      <c r="E17462" t="s">
        <v>53397</v>
      </c>
      <c r="F17462" t="s">
        <v>53398</v>
      </c>
      <c r="G17462" s="2" t="str">
        <f>HYPERLINK("https://probpalata.gov.ru/files/ИП260500102400000.jpeg","Скачать индивидуальный QR-код магазина")</f>
        <v>Скачать индивидуальный QR-код магазина</v>
      </c>
    </row>
    <row r="17463" spans="1:7" x14ac:dyDescent="0.25">
      <c r="A17463" t="s">
        <v>52944</v>
      </c>
      <c r="B17463" t="s">
        <v>53399</v>
      </c>
      <c r="C17463" t="s">
        <v>14607</v>
      </c>
      <c r="D17463" t="s">
        <v>14608</v>
      </c>
      <c r="E17463" t="s">
        <v>14609</v>
      </c>
      <c r="F17463" t="s">
        <v>53400</v>
      </c>
      <c r="G17463" s="2" t="str">
        <f>HYPERLINK("https://probpalata.gov.ru/files/ИП260503892600000.jpeg","Скачать индивидуальный QR-код магазина")</f>
        <v>Скачать индивидуальный QR-код магазина</v>
      </c>
    </row>
    <row r="17464" spans="1:7" x14ac:dyDescent="0.25">
      <c r="A17464" t="s">
        <v>52944</v>
      </c>
      <c r="B17464" t="s">
        <v>53401</v>
      </c>
      <c r="C17464" t="s">
        <v>53402</v>
      </c>
      <c r="D17464" t="s">
        <v>53403</v>
      </c>
      <c r="E17464" t="s">
        <v>53404</v>
      </c>
      <c r="F17464" t="s">
        <v>53405</v>
      </c>
      <c r="G17464" s="2" t="str">
        <f>HYPERLINK("https://probpalata.gov.ru/files/ИП260500440700000.jpeg","Скачать индивидуальный QR-код магазина")</f>
        <v>Скачать индивидуальный QR-код магазина</v>
      </c>
    </row>
    <row r="17465" spans="1:7" x14ac:dyDescent="0.25">
      <c r="A17465" t="s">
        <v>52944</v>
      </c>
      <c r="B17465" t="s">
        <v>53406</v>
      </c>
      <c r="C17465" t="s">
        <v>53402</v>
      </c>
      <c r="D17465" t="s">
        <v>53403</v>
      </c>
      <c r="E17465" t="s">
        <v>53404</v>
      </c>
      <c r="F17465" t="s">
        <v>53407</v>
      </c>
      <c r="G17465" s="2" t="str">
        <f>HYPERLINK("https://probpalata.gov.ru/files/ИП260500440700002.jpeg","Скачать индивидуальный QR-код магазина")</f>
        <v>Скачать индивидуальный QR-код магазина</v>
      </c>
    </row>
    <row r="17466" spans="1:7" x14ac:dyDescent="0.25">
      <c r="A17466" t="s">
        <v>52944</v>
      </c>
      <c r="B17466" t="s">
        <v>53408</v>
      </c>
      <c r="C17466" t="s">
        <v>53409</v>
      </c>
      <c r="D17466" t="s">
        <v>53410</v>
      </c>
      <c r="E17466" t="s">
        <v>53411</v>
      </c>
      <c r="F17466" t="s">
        <v>53412</v>
      </c>
      <c r="G17466" s="2" t="str">
        <f>HYPERLINK("https://probpalata.gov.ru/files/ИП260503233900000.jpeg","Скачать индивидуальный QR-код магазина")</f>
        <v>Скачать индивидуальный QR-код магазина</v>
      </c>
    </row>
    <row r="17467" spans="1:7" x14ac:dyDescent="0.25">
      <c r="A17467" t="s">
        <v>52944</v>
      </c>
      <c r="B17467" t="s">
        <v>53413</v>
      </c>
      <c r="C17467" t="s">
        <v>53414</v>
      </c>
      <c r="D17467" t="s">
        <v>53415</v>
      </c>
      <c r="E17467" t="s">
        <v>53416</v>
      </c>
      <c r="F17467" t="s">
        <v>53417</v>
      </c>
      <c r="G17467" s="2" t="str">
        <f>HYPERLINK("https://probpalata.gov.ru/files/ИП260501361100000.jpeg","Скачать индивидуальный QR-код магазина")</f>
        <v>Скачать индивидуальный QR-код магазина</v>
      </c>
    </row>
    <row r="17468" spans="1:7" x14ac:dyDescent="0.25">
      <c r="A17468" t="s">
        <v>52944</v>
      </c>
      <c r="B17468" t="s">
        <v>53418</v>
      </c>
      <c r="C17468" t="s">
        <v>53419</v>
      </c>
      <c r="D17468" t="s">
        <v>53420</v>
      </c>
      <c r="E17468" t="s">
        <v>53421</v>
      </c>
      <c r="F17468" t="s">
        <v>53422</v>
      </c>
      <c r="G17468" s="2" t="str">
        <f>HYPERLINK("https://probpalata.gov.ru/files/ИП260500971500000.jpeg","Скачать индивидуальный QR-код магазина")</f>
        <v>Скачать индивидуальный QR-код магазина</v>
      </c>
    </row>
    <row r="17469" spans="1:7" x14ac:dyDescent="0.25">
      <c r="A17469" t="s">
        <v>52944</v>
      </c>
      <c r="B17469" t="s">
        <v>53423</v>
      </c>
      <c r="C17469" t="s">
        <v>53424</v>
      </c>
      <c r="D17469" t="s">
        <v>53425</v>
      </c>
      <c r="E17469" t="s">
        <v>53426</v>
      </c>
      <c r="F17469" t="s">
        <v>53427</v>
      </c>
      <c r="G17469" s="2" t="str">
        <f>HYPERLINK("https://probpalata.gov.ru/files/ИП260503715500000.jpeg","Скачать индивидуальный QR-код магазина")</f>
        <v>Скачать индивидуальный QR-код магазина</v>
      </c>
    </row>
    <row r="17470" spans="1:7" x14ac:dyDescent="0.25">
      <c r="A17470" t="s">
        <v>52944</v>
      </c>
      <c r="B17470" t="s">
        <v>53428</v>
      </c>
      <c r="C17470" t="s">
        <v>53429</v>
      </c>
      <c r="D17470" t="s">
        <v>53430</v>
      </c>
      <c r="E17470" t="s">
        <v>53431</v>
      </c>
      <c r="F17470" t="s">
        <v>53432</v>
      </c>
      <c r="G17470" s="2" t="str">
        <f>HYPERLINK("https://probpalata.gov.ru/files/ИП260501750800000.jpeg","Скачать индивидуальный QR-код магазина")</f>
        <v>Скачать индивидуальный QR-код магазина</v>
      </c>
    </row>
    <row r="17471" spans="1:7" x14ac:dyDescent="0.25">
      <c r="A17471" t="s">
        <v>52944</v>
      </c>
      <c r="B17471" t="s">
        <v>53433</v>
      </c>
      <c r="C17471" t="s">
        <v>53434</v>
      </c>
      <c r="D17471" t="s">
        <v>53435</v>
      </c>
      <c r="E17471" t="s">
        <v>53436</v>
      </c>
      <c r="F17471" t="s">
        <v>53437</v>
      </c>
      <c r="G17471" s="2" t="str">
        <f>HYPERLINK("https://probpalata.gov.ru/files/ИП260503870200000.jpeg","Скачать индивидуальный QR-код магазина")</f>
        <v>Скачать индивидуальный QR-код магазина</v>
      </c>
    </row>
    <row r="17472" spans="1:7" x14ac:dyDescent="0.25">
      <c r="A17472" t="s">
        <v>52944</v>
      </c>
      <c r="B17472" t="s">
        <v>53413</v>
      </c>
      <c r="C17472" t="s">
        <v>53438</v>
      </c>
      <c r="D17472" t="s">
        <v>53439</v>
      </c>
      <c r="E17472" t="s">
        <v>53440</v>
      </c>
      <c r="F17472" t="s">
        <v>53441</v>
      </c>
      <c r="G17472" s="2" t="str">
        <f>HYPERLINK("https://probpalata.gov.ru/files/ИП260503703000000.jpeg","Скачать индивидуальный QR-код магазина")</f>
        <v>Скачать индивидуальный QR-код магазина</v>
      </c>
    </row>
    <row r="17473" spans="1:7" x14ac:dyDescent="0.25">
      <c r="A17473" t="s">
        <v>52944</v>
      </c>
      <c r="B17473" t="s">
        <v>53442</v>
      </c>
      <c r="C17473" t="s">
        <v>53443</v>
      </c>
      <c r="D17473" t="s">
        <v>53444</v>
      </c>
      <c r="E17473" t="s">
        <v>53445</v>
      </c>
      <c r="F17473" t="s">
        <v>53446</v>
      </c>
      <c r="G17473" s="2" t="str">
        <f>HYPERLINK("https://probpalata.gov.ru/files/ЮЛ260500402500000.jpeg","Скачать индивидуальный QR-код магазина")</f>
        <v>Скачать индивидуальный QR-код магазина</v>
      </c>
    </row>
    <row r="17474" spans="1:7" x14ac:dyDescent="0.25">
      <c r="A17474" t="s">
        <v>52944</v>
      </c>
      <c r="B17474" t="s">
        <v>53447</v>
      </c>
      <c r="C17474" t="s">
        <v>53448</v>
      </c>
      <c r="D17474" t="s">
        <v>53449</v>
      </c>
      <c r="E17474" t="s">
        <v>53450</v>
      </c>
      <c r="F17474" t="s">
        <v>53451</v>
      </c>
      <c r="G17474" s="2" t="str">
        <f>HYPERLINK("https://probpalata.gov.ru/files/ИП260500776700000.jpeg","Скачать индивидуальный QR-код магазина")</f>
        <v>Скачать индивидуальный QR-код магазина</v>
      </c>
    </row>
    <row r="17475" spans="1:7" x14ac:dyDescent="0.25">
      <c r="A17475" t="s">
        <v>52944</v>
      </c>
      <c r="B17475" t="s">
        <v>53452</v>
      </c>
      <c r="C17475" t="s">
        <v>53453</v>
      </c>
      <c r="D17475" t="s">
        <v>53454</v>
      </c>
      <c r="E17475" t="s">
        <v>53455</v>
      </c>
      <c r="F17475" t="s">
        <v>53456</v>
      </c>
      <c r="G17475" s="2" t="str">
        <f>HYPERLINK("https://probpalata.gov.ru/files/ИП260500556600001.jpeg","Скачать индивидуальный QR-код магазина")</f>
        <v>Скачать индивидуальный QR-код магазина</v>
      </c>
    </row>
    <row r="17476" spans="1:7" x14ac:dyDescent="0.25">
      <c r="A17476" t="s">
        <v>52944</v>
      </c>
      <c r="B17476" t="s">
        <v>53457</v>
      </c>
      <c r="C17476" t="s">
        <v>53453</v>
      </c>
      <c r="D17476" t="s">
        <v>53454</v>
      </c>
      <c r="E17476" t="s">
        <v>53455</v>
      </c>
      <c r="F17476" t="s">
        <v>53458</v>
      </c>
      <c r="G17476" s="2" t="str">
        <f>HYPERLINK("https://probpalata.gov.ru/files/ИП260500556600002.jpeg","Скачать индивидуальный QR-код магазина")</f>
        <v>Скачать индивидуальный QR-код магазина</v>
      </c>
    </row>
    <row r="17477" spans="1:7" x14ac:dyDescent="0.25">
      <c r="A17477" t="s">
        <v>52944</v>
      </c>
      <c r="B17477" t="s">
        <v>53459</v>
      </c>
      <c r="C17477" t="s">
        <v>53453</v>
      </c>
      <c r="D17477" t="s">
        <v>53454</v>
      </c>
      <c r="E17477" t="s">
        <v>53455</v>
      </c>
      <c r="F17477" t="s">
        <v>53460</v>
      </c>
      <c r="G17477" s="2" t="str">
        <f>HYPERLINK("https://probpalata.gov.ru/files/ИП260500556600003.jpeg","Скачать индивидуальный QR-код магазина")</f>
        <v>Скачать индивидуальный QR-код магазина</v>
      </c>
    </row>
    <row r="17478" spans="1:7" x14ac:dyDescent="0.25">
      <c r="A17478" t="s">
        <v>52944</v>
      </c>
      <c r="B17478" t="s">
        <v>53461</v>
      </c>
      <c r="C17478" t="s">
        <v>53453</v>
      </c>
      <c r="D17478" t="s">
        <v>53454</v>
      </c>
      <c r="E17478" t="s">
        <v>53455</v>
      </c>
      <c r="F17478" t="s">
        <v>53462</v>
      </c>
      <c r="G17478" s="2" t="str">
        <f>HYPERLINK("https://probpalata.gov.ru/files/ИП260500556600004.jpeg","Скачать индивидуальный QR-код магазина")</f>
        <v>Скачать индивидуальный QR-код магазина</v>
      </c>
    </row>
    <row r="17479" spans="1:7" x14ac:dyDescent="0.25">
      <c r="A17479" t="s">
        <v>52944</v>
      </c>
      <c r="B17479" t="s">
        <v>53463</v>
      </c>
      <c r="C17479" t="s">
        <v>53453</v>
      </c>
      <c r="D17479" t="s">
        <v>53454</v>
      </c>
      <c r="E17479" t="s">
        <v>53455</v>
      </c>
      <c r="F17479" t="s">
        <v>53464</v>
      </c>
      <c r="G17479" s="2" t="str">
        <f>HYPERLINK("https://probpalata.gov.ru/files/ИП260500556600005.jpeg","Скачать индивидуальный QR-код магазина")</f>
        <v>Скачать индивидуальный QR-код магазина</v>
      </c>
    </row>
    <row r="17480" spans="1:7" x14ac:dyDescent="0.25">
      <c r="A17480" t="s">
        <v>52944</v>
      </c>
      <c r="B17480" t="s">
        <v>53465</v>
      </c>
      <c r="C17480" t="s">
        <v>53453</v>
      </c>
      <c r="D17480" t="s">
        <v>53454</v>
      </c>
      <c r="E17480" t="s">
        <v>53455</v>
      </c>
      <c r="F17480" t="s">
        <v>53466</v>
      </c>
      <c r="G17480" s="2" t="str">
        <f>HYPERLINK("https://probpalata.gov.ru/files/ИП260500556600006.jpeg","Скачать индивидуальный QR-код магазина")</f>
        <v>Скачать индивидуальный QR-код магазина</v>
      </c>
    </row>
    <row r="17481" spans="1:7" x14ac:dyDescent="0.25">
      <c r="A17481" t="s">
        <v>52944</v>
      </c>
      <c r="B17481" t="s">
        <v>53467</v>
      </c>
      <c r="C17481" t="s">
        <v>53453</v>
      </c>
      <c r="D17481" t="s">
        <v>53454</v>
      </c>
      <c r="E17481" t="s">
        <v>53455</v>
      </c>
      <c r="F17481" t="s">
        <v>53468</v>
      </c>
      <c r="G17481" s="2" t="str">
        <f>HYPERLINK("https://probpalata.gov.ru/files/ИП260500556600007.jpeg","Скачать индивидуальный QR-код магазина")</f>
        <v>Скачать индивидуальный QR-код магазина</v>
      </c>
    </row>
    <row r="17482" spans="1:7" x14ac:dyDescent="0.25">
      <c r="A17482" t="s">
        <v>52944</v>
      </c>
      <c r="B17482" t="s">
        <v>53469</v>
      </c>
      <c r="C17482" t="s">
        <v>53453</v>
      </c>
      <c r="D17482" t="s">
        <v>53454</v>
      </c>
      <c r="E17482" t="s">
        <v>53455</v>
      </c>
      <c r="F17482" t="s">
        <v>53470</v>
      </c>
      <c r="G17482" s="2" t="str">
        <f>HYPERLINK("https://probpalata.gov.ru/files/ИП260500556600008.jpeg","Скачать индивидуальный QR-код магазина")</f>
        <v>Скачать индивидуальный QR-код магазина</v>
      </c>
    </row>
    <row r="17483" spans="1:7" x14ac:dyDescent="0.25">
      <c r="A17483" t="s">
        <v>52944</v>
      </c>
      <c r="B17483" t="s">
        <v>53471</v>
      </c>
      <c r="C17483" t="s">
        <v>53453</v>
      </c>
      <c r="D17483" t="s">
        <v>53454</v>
      </c>
      <c r="E17483" t="s">
        <v>53455</v>
      </c>
      <c r="F17483" t="s">
        <v>53472</v>
      </c>
      <c r="G17483" s="2" t="str">
        <f>HYPERLINK("https://probpalata.gov.ru/files/ИП260500556600009.jpeg","Скачать индивидуальный QR-код магазина")</f>
        <v>Скачать индивидуальный QR-код магазина</v>
      </c>
    </row>
    <row r="17484" spans="1:7" x14ac:dyDescent="0.25">
      <c r="A17484" t="s">
        <v>52944</v>
      </c>
      <c r="B17484" t="s">
        <v>53473</v>
      </c>
      <c r="C17484" t="s">
        <v>53453</v>
      </c>
      <c r="D17484" t="s">
        <v>53454</v>
      </c>
      <c r="E17484" t="s">
        <v>53455</v>
      </c>
      <c r="F17484" t="s">
        <v>53474</v>
      </c>
      <c r="G17484" s="2" t="str">
        <f>HYPERLINK("https://probpalata.gov.ru/files/ИП260500556600010.jpeg","Скачать индивидуальный QR-код магазина")</f>
        <v>Скачать индивидуальный QR-код магазина</v>
      </c>
    </row>
    <row r="17485" spans="1:7" x14ac:dyDescent="0.25">
      <c r="A17485" t="s">
        <v>52944</v>
      </c>
      <c r="B17485" t="s">
        <v>53475</v>
      </c>
      <c r="C17485" t="s">
        <v>53453</v>
      </c>
      <c r="D17485" t="s">
        <v>53454</v>
      </c>
      <c r="E17485" t="s">
        <v>53455</v>
      </c>
      <c r="F17485" t="s">
        <v>53476</v>
      </c>
      <c r="G17485" s="2" t="str">
        <f>HYPERLINK("https://probpalata.gov.ru/files/ИП260500556600011.jpeg","Скачать индивидуальный QR-код магазина")</f>
        <v>Скачать индивидуальный QR-код магазина</v>
      </c>
    </row>
    <row r="17486" spans="1:7" x14ac:dyDescent="0.25">
      <c r="A17486" t="s">
        <v>52944</v>
      </c>
      <c r="B17486" t="s">
        <v>53477</v>
      </c>
      <c r="C17486" t="s">
        <v>53453</v>
      </c>
      <c r="D17486" t="s">
        <v>53454</v>
      </c>
      <c r="E17486" t="s">
        <v>53455</v>
      </c>
      <c r="F17486" t="s">
        <v>53478</v>
      </c>
      <c r="G17486" s="2" t="str">
        <f>HYPERLINK("https://probpalata.gov.ru/files/ИП260500556600014.jpeg","Скачать индивидуальный QR-код магазина")</f>
        <v>Скачать индивидуальный QR-код магазина</v>
      </c>
    </row>
    <row r="17487" spans="1:7" x14ac:dyDescent="0.25">
      <c r="A17487" t="s">
        <v>52944</v>
      </c>
      <c r="B17487" t="s">
        <v>53479</v>
      </c>
      <c r="C17487" t="s">
        <v>53480</v>
      </c>
      <c r="D17487" t="s">
        <v>53481</v>
      </c>
      <c r="E17487" t="s">
        <v>53482</v>
      </c>
      <c r="F17487" t="s">
        <v>53483</v>
      </c>
      <c r="G17487" s="2" t="str">
        <f>HYPERLINK("https://probpalata.gov.ru/files/ИП260500071000000.jpeg","Скачать индивидуальный QR-код магазина")</f>
        <v>Скачать индивидуальный QR-код магазина</v>
      </c>
    </row>
    <row r="17488" spans="1:7" x14ac:dyDescent="0.25">
      <c r="A17488" t="s">
        <v>52944</v>
      </c>
      <c r="B17488" t="s">
        <v>53484</v>
      </c>
      <c r="C17488" t="s">
        <v>53480</v>
      </c>
      <c r="D17488" t="s">
        <v>53481</v>
      </c>
      <c r="E17488" t="s">
        <v>53482</v>
      </c>
      <c r="F17488" t="s">
        <v>53485</v>
      </c>
      <c r="G17488" s="2" t="str">
        <f>HYPERLINK("https://probpalata.gov.ru/files/ИП260500071000002.jpeg","Скачать индивидуальный QR-код магазина")</f>
        <v>Скачать индивидуальный QR-код магазина</v>
      </c>
    </row>
    <row r="17489" spans="1:7" x14ac:dyDescent="0.25">
      <c r="A17489" t="s">
        <v>52944</v>
      </c>
      <c r="B17489" t="s">
        <v>53486</v>
      </c>
      <c r="C17489" t="s">
        <v>53480</v>
      </c>
      <c r="D17489" t="s">
        <v>53481</v>
      </c>
      <c r="E17489" t="s">
        <v>53482</v>
      </c>
      <c r="F17489" t="s">
        <v>53487</v>
      </c>
      <c r="G17489" s="2" t="str">
        <f>HYPERLINK("https://probpalata.gov.ru/files/ИП260500071000004.jpeg","Скачать индивидуальный QR-код магазина")</f>
        <v>Скачать индивидуальный QR-код магазина</v>
      </c>
    </row>
    <row r="17490" spans="1:7" x14ac:dyDescent="0.25">
      <c r="A17490" t="s">
        <v>52944</v>
      </c>
      <c r="B17490" t="s">
        <v>53488</v>
      </c>
      <c r="C17490" t="s">
        <v>53480</v>
      </c>
      <c r="D17490" t="s">
        <v>53481</v>
      </c>
      <c r="E17490" t="s">
        <v>53482</v>
      </c>
      <c r="F17490" t="s">
        <v>53489</v>
      </c>
      <c r="G17490" s="2" t="str">
        <f>HYPERLINK("https://probpalata.gov.ru/files/ИП260500071000008.jpeg","Скачать индивидуальный QR-код магазина")</f>
        <v>Скачать индивидуальный QR-код магазина</v>
      </c>
    </row>
    <row r="17491" spans="1:7" x14ac:dyDescent="0.25">
      <c r="A17491" t="s">
        <v>52944</v>
      </c>
      <c r="B17491" t="s">
        <v>53490</v>
      </c>
      <c r="C17491" t="s">
        <v>53491</v>
      </c>
      <c r="D17491" t="s">
        <v>53492</v>
      </c>
      <c r="E17491" t="s">
        <v>53493</v>
      </c>
      <c r="F17491" t="s">
        <v>53494</v>
      </c>
      <c r="G17491" s="2" t="str">
        <f>HYPERLINK("https://probpalata.gov.ru/files/ИП260500550500000.jpeg","Скачать индивидуальный QR-код магазина")</f>
        <v>Скачать индивидуальный QR-код магазина</v>
      </c>
    </row>
    <row r="17492" spans="1:7" x14ac:dyDescent="0.25">
      <c r="A17492" t="s">
        <v>52944</v>
      </c>
      <c r="B17492" t="s">
        <v>53467</v>
      </c>
      <c r="C17492" t="s">
        <v>3634</v>
      </c>
      <c r="D17492" t="s">
        <v>53495</v>
      </c>
      <c r="E17492" t="s">
        <v>53496</v>
      </c>
      <c r="F17492" t="s">
        <v>53497</v>
      </c>
      <c r="G17492" s="2" t="str">
        <f>HYPERLINK("https://probpalata.gov.ru/files/ЮЛ260500612700001.jpeg","Скачать индивидуальный QR-код магазина")</f>
        <v>Скачать индивидуальный QR-код магазина</v>
      </c>
    </row>
    <row r="17493" spans="1:7" x14ac:dyDescent="0.25">
      <c r="A17493" t="s">
        <v>52944</v>
      </c>
      <c r="B17493" t="s">
        <v>53498</v>
      </c>
      <c r="C17493" t="s">
        <v>53499</v>
      </c>
      <c r="D17493" t="s">
        <v>53500</v>
      </c>
      <c r="E17493" t="s">
        <v>53501</v>
      </c>
      <c r="F17493" t="s">
        <v>53502</v>
      </c>
      <c r="G17493" s="2" t="str">
        <f>HYPERLINK("https://probpalata.gov.ru/files/ИП260500435100000.jpeg","Скачать индивидуальный QR-код магазина")</f>
        <v>Скачать индивидуальный QR-код магазина</v>
      </c>
    </row>
    <row r="17494" spans="1:7" x14ac:dyDescent="0.25">
      <c r="A17494" t="s">
        <v>52944</v>
      </c>
      <c r="B17494" t="s">
        <v>53503</v>
      </c>
      <c r="C17494" t="s">
        <v>53504</v>
      </c>
      <c r="D17494" t="s">
        <v>53505</v>
      </c>
      <c r="E17494" t="s">
        <v>53506</v>
      </c>
      <c r="F17494" t="s">
        <v>53507</v>
      </c>
      <c r="G17494" s="2" t="str">
        <f>HYPERLINK("https://probpalata.gov.ru/files/ИП260503999700000.jpeg","Скачать индивидуальный QR-код магазина")</f>
        <v>Скачать индивидуальный QR-код магазина</v>
      </c>
    </row>
    <row r="17495" spans="1:7" x14ac:dyDescent="0.25">
      <c r="A17495" t="s">
        <v>52944</v>
      </c>
      <c r="B17495" t="s">
        <v>53508</v>
      </c>
      <c r="C17495" t="s">
        <v>53509</v>
      </c>
      <c r="D17495" t="s">
        <v>53510</v>
      </c>
      <c r="E17495" t="s">
        <v>53511</v>
      </c>
      <c r="F17495" t="s">
        <v>53512</v>
      </c>
      <c r="G17495" s="2" t="str">
        <f>HYPERLINK("https://probpalata.gov.ru/files/ЮЛ260500259700002.jpeg","Скачать индивидуальный QR-код магазина")</f>
        <v>Скачать индивидуальный QR-код магазина</v>
      </c>
    </row>
    <row r="17496" spans="1:7" x14ac:dyDescent="0.25">
      <c r="A17496" t="s">
        <v>52944</v>
      </c>
      <c r="B17496" t="s">
        <v>53513</v>
      </c>
      <c r="C17496" t="s">
        <v>53509</v>
      </c>
      <c r="D17496" t="s">
        <v>53510</v>
      </c>
      <c r="E17496" t="s">
        <v>53511</v>
      </c>
      <c r="F17496" t="s">
        <v>53514</v>
      </c>
      <c r="G17496" s="2" t="str">
        <f>HYPERLINK("https://probpalata.gov.ru/files/ЮЛ260500259700003.jpeg","Скачать индивидуальный QR-код магазина")</f>
        <v>Скачать индивидуальный QR-код магазина</v>
      </c>
    </row>
    <row r="17497" spans="1:7" x14ac:dyDescent="0.25">
      <c r="A17497" t="s">
        <v>52944</v>
      </c>
      <c r="B17497" t="s">
        <v>53515</v>
      </c>
      <c r="C17497" t="s">
        <v>53516</v>
      </c>
      <c r="D17497" t="s">
        <v>53517</v>
      </c>
      <c r="E17497" t="s">
        <v>53518</v>
      </c>
      <c r="F17497" t="s">
        <v>53519</v>
      </c>
      <c r="G17497" s="2" t="str">
        <f>HYPERLINK("https://probpalata.gov.ru/files/ЮЛ260500762900000.jpeg","Скачать индивидуальный QR-код магазина")</f>
        <v>Скачать индивидуальный QR-код магазина</v>
      </c>
    </row>
    <row r="17498" spans="1:7" x14ac:dyDescent="0.25">
      <c r="A17498" t="s">
        <v>52944</v>
      </c>
      <c r="B17498" t="s">
        <v>53520</v>
      </c>
      <c r="C17498" t="s">
        <v>14617</v>
      </c>
      <c r="D17498" t="s">
        <v>14618</v>
      </c>
      <c r="E17498" t="s">
        <v>14619</v>
      </c>
      <c r="F17498" t="s">
        <v>53521</v>
      </c>
      <c r="G17498" s="2" t="str">
        <f>HYPERLINK("https://probpalata.gov.ru/files/ИП260500608400002.jpeg","Скачать индивидуальный QR-код магазина")</f>
        <v>Скачать индивидуальный QR-код магазина</v>
      </c>
    </row>
    <row r="17499" spans="1:7" x14ac:dyDescent="0.25">
      <c r="A17499" t="s">
        <v>52944</v>
      </c>
      <c r="B17499" t="s">
        <v>53522</v>
      </c>
      <c r="C17499" t="s">
        <v>14617</v>
      </c>
      <c r="D17499" t="s">
        <v>14618</v>
      </c>
      <c r="E17499" t="s">
        <v>14619</v>
      </c>
      <c r="F17499" t="s">
        <v>53523</v>
      </c>
      <c r="G17499" s="2" t="str">
        <f>HYPERLINK("https://probpalata.gov.ru/files/ИП260500608400005.jpeg","Скачать индивидуальный QR-код магазина")</f>
        <v>Скачать индивидуальный QR-код магазина</v>
      </c>
    </row>
    <row r="17500" spans="1:7" x14ac:dyDescent="0.25">
      <c r="A17500" t="s">
        <v>52944</v>
      </c>
      <c r="B17500" t="s">
        <v>53524</v>
      </c>
      <c r="C17500" t="s">
        <v>53525</v>
      </c>
      <c r="D17500" t="s">
        <v>53526</v>
      </c>
      <c r="E17500" t="s">
        <v>53527</v>
      </c>
      <c r="F17500" t="s">
        <v>53528</v>
      </c>
      <c r="G17500" s="2" t="str">
        <f>HYPERLINK("https://probpalata.gov.ru/files/ИП260500318300000.jpeg","Скачать индивидуальный QR-код магазина")</f>
        <v>Скачать индивидуальный QR-код магазина</v>
      </c>
    </row>
    <row r="17501" spans="1:7" x14ac:dyDescent="0.25">
      <c r="A17501" t="s">
        <v>52944</v>
      </c>
      <c r="B17501" t="s">
        <v>53529</v>
      </c>
      <c r="C17501" t="s">
        <v>53530</v>
      </c>
      <c r="D17501" t="s">
        <v>53531</v>
      </c>
      <c r="E17501" t="s">
        <v>53532</v>
      </c>
      <c r="F17501" t="s">
        <v>53533</v>
      </c>
      <c r="G17501" s="2" t="str">
        <f>HYPERLINK("https://probpalata.gov.ru/files/ИП260500612000000.jpeg","Скачать индивидуальный QR-код магазина")</f>
        <v>Скачать индивидуальный QR-код магазина</v>
      </c>
    </row>
    <row r="17502" spans="1:7" x14ac:dyDescent="0.25">
      <c r="A17502" t="s">
        <v>52944</v>
      </c>
      <c r="B17502" t="s">
        <v>53534</v>
      </c>
      <c r="C17502" t="s">
        <v>53535</v>
      </c>
      <c r="D17502" t="s">
        <v>53536</v>
      </c>
      <c r="E17502" t="s">
        <v>53537</v>
      </c>
      <c r="F17502" t="s">
        <v>53538</v>
      </c>
      <c r="G17502" s="2" t="str">
        <f>HYPERLINK("https://probpalata.gov.ru/files/ИП890700622900002.jpeg","Скачать индивидуальный QR-код магазина")</f>
        <v>Скачать индивидуальный QR-код магазина</v>
      </c>
    </row>
    <row r="17503" spans="1:7" x14ac:dyDescent="0.25">
      <c r="A17503" t="s">
        <v>52944</v>
      </c>
      <c r="B17503" t="s">
        <v>53539</v>
      </c>
      <c r="C17503" t="s">
        <v>53535</v>
      </c>
      <c r="D17503" t="s">
        <v>53536</v>
      </c>
      <c r="E17503" t="s">
        <v>53537</v>
      </c>
      <c r="F17503" t="s">
        <v>53540</v>
      </c>
      <c r="G17503" s="2" t="str">
        <f>HYPERLINK("https://probpalata.gov.ru/files/ИП890700622900004.jpeg","Скачать индивидуальный QR-код магазина")</f>
        <v>Скачать индивидуальный QR-код магазина</v>
      </c>
    </row>
    <row r="17504" spans="1:7" x14ac:dyDescent="0.25">
      <c r="A17504" t="s">
        <v>52944</v>
      </c>
      <c r="B17504" t="s">
        <v>53541</v>
      </c>
      <c r="C17504" t="s">
        <v>53535</v>
      </c>
      <c r="D17504" t="s">
        <v>53536</v>
      </c>
      <c r="E17504" t="s">
        <v>53537</v>
      </c>
      <c r="F17504" t="s">
        <v>53542</v>
      </c>
      <c r="G17504" s="2" t="str">
        <f>HYPERLINK("https://probpalata.gov.ru/files/ИП890700622900005.jpeg","Скачать индивидуальный QR-код магазина")</f>
        <v>Скачать индивидуальный QR-код магазина</v>
      </c>
    </row>
    <row r="17505" spans="1:7" x14ac:dyDescent="0.25">
      <c r="A17505" t="s">
        <v>52944</v>
      </c>
      <c r="B17505" t="s">
        <v>53543</v>
      </c>
      <c r="C17505" t="s">
        <v>53535</v>
      </c>
      <c r="D17505" t="s">
        <v>53536</v>
      </c>
      <c r="E17505" t="s">
        <v>53537</v>
      </c>
      <c r="F17505" t="s">
        <v>53544</v>
      </c>
      <c r="G17505" s="2" t="str">
        <f>HYPERLINK("https://probpalata.gov.ru/files/ИП890700622900008.jpeg","Скачать индивидуальный QR-код магазина")</f>
        <v>Скачать индивидуальный QR-код магазина</v>
      </c>
    </row>
    <row r="17506" spans="1:7" x14ac:dyDescent="0.25">
      <c r="A17506" t="s">
        <v>52944</v>
      </c>
      <c r="B17506" t="s">
        <v>53545</v>
      </c>
      <c r="C17506" t="s">
        <v>53535</v>
      </c>
      <c r="D17506" t="s">
        <v>53536</v>
      </c>
      <c r="E17506" t="s">
        <v>53537</v>
      </c>
      <c r="F17506" t="s">
        <v>53546</v>
      </c>
      <c r="G17506" s="2" t="str">
        <f>HYPERLINK("https://probpalata.gov.ru/files/ИП890700622900009.jpeg","Скачать индивидуальный QR-код магазина")</f>
        <v>Скачать индивидуальный QR-код магазина</v>
      </c>
    </row>
    <row r="17507" spans="1:7" x14ac:dyDescent="0.25">
      <c r="A17507" t="s">
        <v>52944</v>
      </c>
      <c r="B17507" t="s">
        <v>53547</v>
      </c>
      <c r="C17507" t="s">
        <v>2185</v>
      </c>
      <c r="D17507" t="s">
        <v>2186</v>
      </c>
      <c r="E17507" t="s">
        <v>2187</v>
      </c>
      <c r="F17507" t="s">
        <v>53548</v>
      </c>
      <c r="G17507" s="2" t="str">
        <f>HYPERLINK("https://probpalata.gov.ru/files/ЮЛ480100215000012.jpeg","Скачать индивидуальный QR-код магазина")</f>
        <v>Скачать индивидуальный QR-код магазина</v>
      </c>
    </row>
    <row r="17508" spans="1:7" x14ac:dyDescent="0.25">
      <c r="A17508" t="s">
        <v>52944</v>
      </c>
      <c r="B17508" t="s">
        <v>53549</v>
      </c>
      <c r="C17508" t="s">
        <v>2185</v>
      </c>
      <c r="D17508" t="s">
        <v>2186</v>
      </c>
      <c r="E17508" t="s">
        <v>2187</v>
      </c>
      <c r="F17508" t="s">
        <v>53550</v>
      </c>
      <c r="G17508" s="2" t="str">
        <f>HYPERLINK("https://probpalata.gov.ru/files/ЮЛ480100215000023.jpeg","Скачать индивидуальный QR-код магазина")</f>
        <v>Скачать индивидуальный QR-код магазина</v>
      </c>
    </row>
    <row r="17509" spans="1:7" x14ac:dyDescent="0.25">
      <c r="A17509" t="s">
        <v>52944</v>
      </c>
      <c r="B17509" t="s">
        <v>53529</v>
      </c>
      <c r="C17509" t="s">
        <v>53551</v>
      </c>
      <c r="D17509" t="s">
        <v>53552</v>
      </c>
      <c r="E17509" t="s">
        <v>53553</v>
      </c>
      <c r="F17509" t="s">
        <v>53554</v>
      </c>
      <c r="G17509" s="2" t="str">
        <f>HYPERLINK("https://probpalata.gov.ru/files/ИП260500356600000.jpeg","Скачать индивидуальный QR-код магазина")</f>
        <v>Скачать индивидуальный QR-код магазина</v>
      </c>
    </row>
    <row r="17510" spans="1:7" x14ac:dyDescent="0.25">
      <c r="A17510" t="s">
        <v>52944</v>
      </c>
      <c r="B17510" t="s">
        <v>53555</v>
      </c>
      <c r="C17510" t="s">
        <v>671</v>
      </c>
      <c r="D17510" t="s">
        <v>672</v>
      </c>
      <c r="E17510" t="s">
        <v>673</v>
      </c>
      <c r="F17510" t="s">
        <v>53556</v>
      </c>
      <c r="G17510" s="2" t="str">
        <f>HYPERLINK("https://probpalata.gov.ru/files/ИП500100445500028.jpeg","Скачать индивидуальный QR-код магазина")</f>
        <v>Скачать индивидуальный QR-код магазина</v>
      </c>
    </row>
    <row r="17511" spans="1:7" x14ac:dyDescent="0.25">
      <c r="A17511" t="s">
        <v>52944</v>
      </c>
      <c r="B17511" t="s">
        <v>53557</v>
      </c>
      <c r="C17511" t="s">
        <v>3783</v>
      </c>
      <c r="D17511" t="s">
        <v>3784</v>
      </c>
      <c r="E17511" t="s">
        <v>3785</v>
      </c>
      <c r="F17511" t="s">
        <v>53558</v>
      </c>
      <c r="G17511" s="2" t="str">
        <f>HYPERLINK("https://probpalata.gov.ru/files/ИП610400829500016.jpeg","Скачать индивидуальный QR-код магазина")</f>
        <v>Скачать индивидуальный QR-код магазина</v>
      </c>
    </row>
    <row r="17512" spans="1:7" x14ac:dyDescent="0.25">
      <c r="A17512" t="s">
        <v>52944</v>
      </c>
      <c r="B17512" t="s">
        <v>53559</v>
      </c>
      <c r="C17512" t="s">
        <v>3133</v>
      </c>
      <c r="D17512" t="s">
        <v>3134</v>
      </c>
      <c r="E17512" t="s">
        <v>3135</v>
      </c>
      <c r="F17512" t="s">
        <v>53560</v>
      </c>
      <c r="G17512" s="2" t="str">
        <f>HYPERLINK("https://probpalata.gov.ru/files/ИП610401294100038.jpeg","Скачать индивидуальный QR-код магазина")</f>
        <v>Скачать индивидуальный QR-код магазина</v>
      </c>
    </row>
    <row r="17513" spans="1:7" x14ac:dyDescent="0.25">
      <c r="A17513" t="s">
        <v>52944</v>
      </c>
      <c r="B17513" t="s">
        <v>53561</v>
      </c>
      <c r="C17513" t="s">
        <v>3133</v>
      </c>
      <c r="D17513" t="s">
        <v>3134</v>
      </c>
      <c r="E17513" t="s">
        <v>3135</v>
      </c>
      <c r="F17513" t="s">
        <v>53562</v>
      </c>
      <c r="G17513" s="2" t="str">
        <f>HYPERLINK("https://probpalata.gov.ru/files/ИП610401294100039.jpeg","Скачать индивидуальный QR-код магазина")</f>
        <v>Скачать индивидуальный QR-код магазина</v>
      </c>
    </row>
    <row r="17514" spans="1:7" x14ac:dyDescent="0.25">
      <c r="A17514" t="s">
        <v>52944</v>
      </c>
      <c r="B17514" t="s">
        <v>53563</v>
      </c>
      <c r="C17514" t="s">
        <v>3133</v>
      </c>
      <c r="D17514" t="s">
        <v>3134</v>
      </c>
      <c r="E17514" t="s">
        <v>3135</v>
      </c>
      <c r="F17514" t="s">
        <v>53564</v>
      </c>
      <c r="G17514" s="2" t="str">
        <f>HYPERLINK("https://probpalata.gov.ru/files/ИП610401294100042.jpeg","Скачать индивидуальный QR-код магазина")</f>
        <v>Скачать индивидуальный QR-код магазина</v>
      </c>
    </row>
    <row r="17515" spans="1:7" x14ac:dyDescent="0.25">
      <c r="A17515" t="s">
        <v>52944</v>
      </c>
      <c r="B17515" t="s">
        <v>53565</v>
      </c>
      <c r="C17515" t="s">
        <v>53566</v>
      </c>
      <c r="D17515" t="s">
        <v>53567</v>
      </c>
      <c r="E17515" t="s">
        <v>53568</v>
      </c>
      <c r="F17515" t="s">
        <v>53569</v>
      </c>
      <c r="G17515" s="2" t="str">
        <f>HYPERLINK("https://probpalata.gov.ru/files/ИП610400876400000.jpeg","Скачать индивидуальный QR-код магазина")</f>
        <v>Скачать индивидуальный QR-код магазина</v>
      </c>
    </row>
    <row r="17516" spans="1:7" x14ac:dyDescent="0.25">
      <c r="A17516" t="s">
        <v>52944</v>
      </c>
      <c r="B17516" t="s">
        <v>53570</v>
      </c>
      <c r="C17516" t="s">
        <v>53566</v>
      </c>
      <c r="D17516" t="s">
        <v>53567</v>
      </c>
      <c r="E17516" t="s">
        <v>53568</v>
      </c>
      <c r="F17516" t="s">
        <v>53571</v>
      </c>
      <c r="G17516" s="2" t="str">
        <f>HYPERLINK("https://probpalata.gov.ru/files/ИП610400876400001.jpeg","Скачать индивидуальный QR-код магазина")</f>
        <v>Скачать индивидуальный QR-код магазина</v>
      </c>
    </row>
    <row r="17517" spans="1:7" x14ac:dyDescent="0.25">
      <c r="A17517" t="s">
        <v>52944</v>
      </c>
      <c r="B17517" t="s">
        <v>53572</v>
      </c>
      <c r="C17517" t="s">
        <v>53566</v>
      </c>
      <c r="D17517" t="s">
        <v>53567</v>
      </c>
      <c r="E17517" t="s">
        <v>53568</v>
      </c>
      <c r="F17517" t="s">
        <v>53573</v>
      </c>
      <c r="G17517" s="2" t="str">
        <f>HYPERLINK("https://probpalata.gov.ru/files/ИП610400876400003.jpeg","Скачать индивидуальный QR-код магазина")</f>
        <v>Скачать индивидуальный QR-код магазина</v>
      </c>
    </row>
    <row r="17518" spans="1:7" x14ac:dyDescent="0.25">
      <c r="A17518" t="s">
        <v>52944</v>
      </c>
      <c r="B17518" t="s">
        <v>53574</v>
      </c>
      <c r="C17518" t="s">
        <v>53566</v>
      </c>
      <c r="D17518" t="s">
        <v>53567</v>
      </c>
      <c r="E17518" t="s">
        <v>53568</v>
      </c>
      <c r="F17518" t="s">
        <v>53575</v>
      </c>
      <c r="G17518" s="2" t="str">
        <f>HYPERLINK("https://probpalata.gov.ru/files/ИП610400876400005.jpeg","Скачать индивидуальный QR-код магазина")</f>
        <v>Скачать индивидуальный QR-код магазина</v>
      </c>
    </row>
    <row r="17519" spans="1:7" x14ac:dyDescent="0.25">
      <c r="A17519" t="s">
        <v>52944</v>
      </c>
      <c r="B17519" t="s">
        <v>53576</v>
      </c>
      <c r="C17519" t="s">
        <v>53566</v>
      </c>
      <c r="D17519" t="s">
        <v>53567</v>
      </c>
      <c r="E17519" t="s">
        <v>53568</v>
      </c>
      <c r="F17519" t="s">
        <v>53577</v>
      </c>
      <c r="G17519" s="2" t="str">
        <f>HYPERLINK("https://probpalata.gov.ru/files/ИП610400876400009.jpeg","Скачать индивидуальный QR-код магазина")</f>
        <v>Скачать индивидуальный QR-код магазина</v>
      </c>
    </row>
    <row r="17520" spans="1:7" x14ac:dyDescent="0.25">
      <c r="A17520" t="s">
        <v>52944</v>
      </c>
      <c r="B17520" t="s">
        <v>53578</v>
      </c>
      <c r="C17520" t="s">
        <v>53566</v>
      </c>
      <c r="D17520" t="s">
        <v>53567</v>
      </c>
      <c r="E17520" t="s">
        <v>53568</v>
      </c>
      <c r="F17520" t="s">
        <v>53579</v>
      </c>
      <c r="G17520" s="2" t="str">
        <f>HYPERLINK("https://probpalata.gov.ru/files/ИП610400876400014.jpeg","Скачать индивидуальный QR-код магазина")</f>
        <v>Скачать индивидуальный QR-код магазина</v>
      </c>
    </row>
    <row r="17521" spans="1:7" x14ac:dyDescent="0.25">
      <c r="A17521" t="s">
        <v>52944</v>
      </c>
      <c r="B17521" t="s">
        <v>53580</v>
      </c>
      <c r="C17521" t="s">
        <v>53566</v>
      </c>
      <c r="D17521" t="s">
        <v>53567</v>
      </c>
      <c r="E17521" t="s">
        <v>53568</v>
      </c>
      <c r="F17521" t="s">
        <v>53581</v>
      </c>
      <c r="G17521" s="2" t="str">
        <f>HYPERLINK("https://probpalata.gov.ru/files/ИП610400876400015.jpeg","Скачать индивидуальный QR-код магазина")</f>
        <v>Скачать индивидуальный QR-код магазина</v>
      </c>
    </row>
    <row r="17522" spans="1:7" x14ac:dyDescent="0.25">
      <c r="A17522" t="s">
        <v>52944</v>
      </c>
      <c r="B17522" t="s">
        <v>53582</v>
      </c>
      <c r="C17522" t="s">
        <v>53566</v>
      </c>
      <c r="D17522" t="s">
        <v>53567</v>
      </c>
      <c r="E17522" t="s">
        <v>53568</v>
      </c>
      <c r="F17522" t="s">
        <v>53583</v>
      </c>
      <c r="G17522" s="2" t="str">
        <f>HYPERLINK("https://probpalata.gov.ru/files/ИП610400876400016.jpeg","Скачать индивидуальный QR-код магазина")</f>
        <v>Скачать индивидуальный QR-код магазина</v>
      </c>
    </row>
    <row r="17523" spans="1:7" x14ac:dyDescent="0.25">
      <c r="A17523" t="s">
        <v>52944</v>
      </c>
      <c r="B17523" t="s">
        <v>53584</v>
      </c>
      <c r="C17523" t="s">
        <v>53566</v>
      </c>
      <c r="D17523" t="s">
        <v>53567</v>
      </c>
      <c r="E17523" t="s">
        <v>53568</v>
      </c>
      <c r="F17523" t="s">
        <v>53585</v>
      </c>
      <c r="G17523" s="2" t="str">
        <f>HYPERLINK("https://probpalata.gov.ru/files/ИП610400876400017.jpeg","Скачать индивидуальный QR-код магазина")</f>
        <v>Скачать индивидуальный QR-код магазина</v>
      </c>
    </row>
    <row r="17524" spans="1:7" x14ac:dyDescent="0.25">
      <c r="A17524" t="s">
        <v>52944</v>
      </c>
      <c r="B17524" t="s">
        <v>53586</v>
      </c>
      <c r="C17524" t="s">
        <v>53566</v>
      </c>
      <c r="D17524" t="s">
        <v>53567</v>
      </c>
      <c r="E17524" t="s">
        <v>53568</v>
      </c>
      <c r="F17524" t="s">
        <v>53587</v>
      </c>
      <c r="G17524" s="2" t="str">
        <f>HYPERLINK("https://probpalata.gov.ru/files/ИП610400876400018.jpeg","Скачать индивидуальный QR-код магазина")</f>
        <v>Скачать индивидуальный QR-код магазина</v>
      </c>
    </row>
    <row r="17525" spans="1:7" x14ac:dyDescent="0.25">
      <c r="A17525" t="s">
        <v>52944</v>
      </c>
      <c r="B17525" t="s">
        <v>53588</v>
      </c>
      <c r="C17525" t="s">
        <v>7965</v>
      </c>
      <c r="D17525" t="s">
        <v>7966</v>
      </c>
      <c r="E17525" t="s">
        <v>7967</v>
      </c>
      <c r="F17525" t="s">
        <v>53589</v>
      </c>
      <c r="G17525" s="2" t="str">
        <f>HYPERLINK("https://probpalata.gov.ru/files/ЮЛ660700070800043.jpeg","Скачать индивидуальный QR-код магазина")</f>
        <v>Скачать индивидуальный QR-код магазина</v>
      </c>
    </row>
    <row r="17526" spans="1:7" x14ac:dyDescent="0.25">
      <c r="A17526" t="s">
        <v>52944</v>
      </c>
      <c r="B17526" t="s">
        <v>53590</v>
      </c>
      <c r="C17526" t="s">
        <v>7965</v>
      </c>
      <c r="D17526" t="s">
        <v>7966</v>
      </c>
      <c r="E17526" t="s">
        <v>7967</v>
      </c>
      <c r="F17526" t="s">
        <v>53591</v>
      </c>
      <c r="G17526" s="2" t="str">
        <f>HYPERLINK("https://probpalata.gov.ru/files/ЮЛ660700070800047.jpeg","Скачать индивидуальный QR-код магазина")</f>
        <v>Скачать индивидуальный QR-код магазина</v>
      </c>
    </row>
    <row r="17527" spans="1:7" x14ac:dyDescent="0.25">
      <c r="A17527" t="s">
        <v>52944</v>
      </c>
      <c r="B17527" t="s">
        <v>53592</v>
      </c>
      <c r="C17527" t="s">
        <v>7965</v>
      </c>
      <c r="D17527" t="s">
        <v>7966</v>
      </c>
      <c r="E17527" t="s">
        <v>7967</v>
      </c>
      <c r="F17527" t="s">
        <v>53593</v>
      </c>
      <c r="G17527" s="2" t="str">
        <f>HYPERLINK("https://probpalata.gov.ru/files/ЮЛ660700070800140.jpeg","Скачать индивидуальный QR-код магазина")</f>
        <v>Скачать индивидуальный QR-код магазина</v>
      </c>
    </row>
    <row r="17528" spans="1:7" x14ac:dyDescent="0.25">
      <c r="A17528" t="s">
        <v>52944</v>
      </c>
      <c r="B17528" t="s">
        <v>53594</v>
      </c>
      <c r="C17528" t="s">
        <v>7965</v>
      </c>
      <c r="D17528" t="s">
        <v>7966</v>
      </c>
      <c r="E17528" t="s">
        <v>7967</v>
      </c>
      <c r="F17528" t="s">
        <v>53595</v>
      </c>
      <c r="G17528" s="2" t="str">
        <f>HYPERLINK("https://probpalata.gov.ru/files/ЮЛ660700070800154.jpeg","Скачать индивидуальный QR-код магазина")</f>
        <v>Скачать индивидуальный QR-код магазина</v>
      </c>
    </row>
    <row r="17529" spans="1:7" x14ac:dyDescent="0.25">
      <c r="A17529" t="s">
        <v>52944</v>
      </c>
      <c r="B17529" t="s">
        <v>53596</v>
      </c>
      <c r="C17529" t="s">
        <v>7965</v>
      </c>
      <c r="D17529" t="s">
        <v>7966</v>
      </c>
      <c r="E17529" t="s">
        <v>7967</v>
      </c>
      <c r="F17529" t="s">
        <v>53597</v>
      </c>
      <c r="G17529" s="2" t="str">
        <f>HYPERLINK("https://probpalata.gov.ru/files/ЮЛ660700070800164.jpeg","Скачать индивидуальный QR-код магазина")</f>
        <v>Скачать индивидуальный QR-код магазина</v>
      </c>
    </row>
    <row r="17530" spans="1:7" x14ac:dyDescent="0.25">
      <c r="A17530" t="s">
        <v>52944</v>
      </c>
      <c r="B17530" t="s">
        <v>53598</v>
      </c>
      <c r="C17530" t="s">
        <v>7965</v>
      </c>
      <c r="D17530" t="s">
        <v>7966</v>
      </c>
      <c r="E17530" t="s">
        <v>7967</v>
      </c>
      <c r="F17530" t="s">
        <v>53599</v>
      </c>
      <c r="G17530" s="2" t="str">
        <f>HYPERLINK("https://probpalata.gov.ru/files/ЮЛ660700070800168.jpeg","Скачать индивидуальный QR-код магазина")</f>
        <v>Скачать индивидуальный QR-код магазина</v>
      </c>
    </row>
    <row r="17531" spans="1:7" x14ac:dyDescent="0.25">
      <c r="A17531" t="s">
        <v>52944</v>
      </c>
      <c r="B17531" t="s">
        <v>53600</v>
      </c>
      <c r="C17531" t="s">
        <v>7965</v>
      </c>
      <c r="D17531" t="s">
        <v>7966</v>
      </c>
      <c r="E17531" t="s">
        <v>7967</v>
      </c>
      <c r="F17531" t="s">
        <v>53601</v>
      </c>
      <c r="G17531" s="2" t="str">
        <f>HYPERLINK("https://probpalata.gov.ru/files/ЮЛ660700070800207.jpeg","Скачать индивидуальный QR-код магазина")</f>
        <v>Скачать индивидуальный QR-код магазина</v>
      </c>
    </row>
    <row r="17532" spans="1:7" x14ac:dyDescent="0.25">
      <c r="A17532" t="s">
        <v>52944</v>
      </c>
      <c r="B17532" t="s">
        <v>53602</v>
      </c>
      <c r="C17532" t="s">
        <v>7965</v>
      </c>
      <c r="D17532" t="s">
        <v>7966</v>
      </c>
      <c r="E17532" t="s">
        <v>7967</v>
      </c>
      <c r="F17532" t="s">
        <v>53603</v>
      </c>
      <c r="G17532" s="2" t="str">
        <f>HYPERLINK("https://probpalata.gov.ru/files/ЮЛ660700070800212.jpeg","Скачать индивидуальный QR-код магазина")</f>
        <v>Скачать индивидуальный QR-код магазина</v>
      </c>
    </row>
    <row r="17533" spans="1:7" x14ac:dyDescent="0.25">
      <c r="A17533" t="s">
        <v>52944</v>
      </c>
      <c r="B17533" t="s">
        <v>53604</v>
      </c>
      <c r="C17533" t="s">
        <v>1745</v>
      </c>
      <c r="D17533" t="s">
        <v>1746</v>
      </c>
      <c r="E17533" t="s">
        <v>1747</v>
      </c>
      <c r="F17533" t="s">
        <v>53605</v>
      </c>
      <c r="G17533" s="2" t="str">
        <f>HYPERLINK("https://probpalata.gov.ru/files/ЮЛ770100201500535.jpeg","Скачать индивидуальный QR-код магазина")</f>
        <v>Скачать индивидуальный QR-код магазина</v>
      </c>
    </row>
    <row r="17534" spans="1:7" x14ac:dyDescent="0.25">
      <c r="A17534" t="s">
        <v>52944</v>
      </c>
      <c r="B17534" t="s">
        <v>53606</v>
      </c>
      <c r="C17534" t="s">
        <v>1745</v>
      </c>
      <c r="D17534" t="s">
        <v>1746</v>
      </c>
      <c r="E17534" t="s">
        <v>1747</v>
      </c>
      <c r="F17534" t="s">
        <v>53607</v>
      </c>
      <c r="G17534" s="2" t="str">
        <f>HYPERLINK("https://probpalata.gov.ru/files/ЮЛ770100201500542.jpeg","Скачать индивидуальный QR-код магазина")</f>
        <v>Скачать индивидуальный QR-код магазина</v>
      </c>
    </row>
    <row r="17535" spans="1:7" x14ac:dyDescent="0.25">
      <c r="A17535" t="s">
        <v>52944</v>
      </c>
      <c r="B17535" t="s">
        <v>53608</v>
      </c>
      <c r="C17535" t="s">
        <v>1745</v>
      </c>
      <c r="D17535" t="s">
        <v>1746</v>
      </c>
      <c r="E17535" t="s">
        <v>1747</v>
      </c>
      <c r="F17535" t="s">
        <v>53609</v>
      </c>
      <c r="G17535" s="2" t="str">
        <f>HYPERLINK("https://probpalata.gov.ru/files/ЮЛ770100201500546.jpeg","Скачать индивидуальный QR-код магазина")</f>
        <v>Скачать индивидуальный QR-код магазина</v>
      </c>
    </row>
    <row r="17536" spans="1:7" x14ac:dyDescent="0.25">
      <c r="A17536" t="s">
        <v>52944</v>
      </c>
      <c r="B17536" t="s">
        <v>53610</v>
      </c>
      <c r="C17536" t="s">
        <v>1745</v>
      </c>
      <c r="D17536" t="s">
        <v>1746</v>
      </c>
      <c r="E17536" t="s">
        <v>1747</v>
      </c>
      <c r="F17536" t="s">
        <v>53611</v>
      </c>
      <c r="G17536" s="2" t="str">
        <f>HYPERLINK("https://probpalata.gov.ru/files/ЮЛ770100201500550.jpeg","Скачать индивидуальный QR-код магазина")</f>
        <v>Скачать индивидуальный QR-код магазина</v>
      </c>
    </row>
    <row r="17537" spans="1:7" x14ac:dyDescent="0.25">
      <c r="A17537" t="s">
        <v>52944</v>
      </c>
      <c r="B17537" t="s">
        <v>53612</v>
      </c>
      <c r="C17537" t="s">
        <v>1745</v>
      </c>
      <c r="D17537" t="s">
        <v>1746</v>
      </c>
      <c r="E17537" t="s">
        <v>1747</v>
      </c>
      <c r="F17537" t="s">
        <v>53613</v>
      </c>
      <c r="G17537" s="2" t="str">
        <f>HYPERLINK("https://probpalata.gov.ru/files/ЮЛ770100201500558.jpeg","Скачать индивидуальный QR-код магазина")</f>
        <v>Скачать индивидуальный QR-код магазина</v>
      </c>
    </row>
    <row r="17538" spans="1:7" x14ac:dyDescent="0.25">
      <c r="A17538" t="s">
        <v>52944</v>
      </c>
      <c r="B17538" t="s">
        <v>53614</v>
      </c>
      <c r="C17538" t="s">
        <v>1745</v>
      </c>
      <c r="D17538" t="s">
        <v>1746</v>
      </c>
      <c r="E17538" t="s">
        <v>1747</v>
      </c>
      <c r="F17538" t="s">
        <v>53615</v>
      </c>
      <c r="G17538" s="2" t="str">
        <f>HYPERLINK("https://probpalata.gov.ru/files/ЮЛ770100201500561.jpeg","Скачать индивидуальный QR-код магазина")</f>
        <v>Скачать индивидуальный QR-код магазина</v>
      </c>
    </row>
    <row r="17539" spans="1:7" x14ac:dyDescent="0.25">
      <c r="A17539" t="s">
        <v>52944</v>
      </c>
      <c r="B17539" t="s">
        <v>53616</v>
      </c>
      <c r="C17539" t="s">
        <v>1745</v>
      </c>
      <c r="D17539" t="s">
        <v>1746</v>
      </c>
      <c r="E17539" t="s">
        <v>1747</v>
      </c>
      <c r="F17539" t="s">
        <v>53617</v>
      </c>
      <c r="G17539" s="2" t="str">
        <f>HYPERLINK("https://probpalata.gov.ru/files/ЮЛ770100201500563.jpeg","Скачать индивидуальный QR-код магазина")</f>
        <v>Скачать индивидуальный QR-код магазина</v>
      </c>
    </row>
    <row r="17540" spans="1:7" x14ac:dyDescent="0.25">
      <c r="A17540" t="s">
        <v>52944</v>
      </c>
      <c r="B17540" t="s">
        <v>53618</v>
      </c>
      <c r="C17540" t="s">
        <v>1745</v>
      </c>
      <c r="D17540" t="s">
        <v>1746</v>
      </c>
      <c r="E17540" t="s">
        <v>1747</v>
      </c>
      <c r="F17540" t="s">
        <v>53619</v>
      </c>
      <c r="G17540" s="2" t="str">
        <f>HYPERLINK("https://probpalata.gov.ru/files/ЮЛ770100201500564.jpeg","Скачать индивидуальный QR-код магазина")</f>
        <v>Скачать индивидуальный QR-код магазина</v>
      </c>
    </row>
    <row r="17541" spans="1:7" x14ac:dyDescent="0.25">
      <c r="A17541" t="s">
        <v>52944</v>
      </c>
      <c r="B17541" t="s">
        <v>53620</v>
      </c>
      <c r="C17541" t="s">
        <v>1745</v>
      </c>
      <c r="D17541" t="s">
        <v>1746</v>
      </c>
      <c r="E17541" t="s">
        <v>1747</v>
      </c>
      <c r="F17541" t="s">
        <v>53621</v>
      </c>
      <c r="G17541" s="2" t="str">
        <f>HYPERLINK("https://probpalata.gov.ru/files/ЮЛ770100201500573.jpeg","Скачать индивидуальный QR-код магазина")</f>
        <v>Скачать индивидуальный QR-код магазина</v>
      </c>
    </row>
    <row r="17542" spans="1:7" x14ac:dyDescent="0.25">
      <c r="A17542" t="s">
        <v>52944</v>
      </c>
      <c r="B17542" t="s">
        <v>53622</v>
      </c>
      <c r="C17542" t="s">
        <v>713</v>
      </c>
      <c r="D17542" t="s">
        <v>714</v>
      </c>
      <c r="E17542" t="s">
        <v>715</v>
      </c>
      <c r="F17542" t="s">
        <v>53623</v>
      </c>
      <c r="G17542" s="2" t="str">
        <f>HYPERLINK("https://probpalata.gov.ru/files/ЮЛ770101216600139.jpeg","Скачать индивидуальный QR-код магазина")</f>
        <v>Скачать индивидуальный QR-код магазина</v>
      </c>
    </row>
    <row r="17543" spans="1:7" x14ac:dyDescent="0.25">
      <c r="A17543" t="s">
        <v>52944</v>
      </c>
      <c r="B17543" t="s">
        <v>53624</v>
      </c>
      <c r="C17543" t="s">
        <v>713</v>
      </c>
      <c r="D17543" t="s">
        <v>714</v>
      </c>
      <c r="E17543" t="s">
        <v>715</v>
      </c>
      <c r="F17543" t="s">
        <v>53625</v>
      </c>
      <c r="G17543" s="2" t="str">
        <f>HYPERLINK("https://probpalata.gov.ru/files/ЮЛ770101216600374.jpeg","Скачать индивидуальный QR-код магазина")</f>
        <v>Скачать индивидуальный QR-код магазина</v>
      </c>
    </row>
    <row r="17544" spans="1:7" x14ac:dyDescent="0.25">
      <c r="A17544" t="s">
        <v>52944</v>
      </c>
      <c r="B17544" t="s">
        <v>53626</v>
      </c>
      <c r="C17544" t="s">
        <v>713</v>
      </c>
      <c r="D17544" t="s">
        <v>714</v>
      </c>
      <c r="E17544" t="s">
        <v>715</v>
      </c>
      <c r="F17544" t="s">
        <v>53627</v>
      </c>
      <c r="G17544" s="2" t="str">
        <f>HYPERLINK("https://probpalata.gov.ru/files/ЮЛ770101216600469.jpeg","Скачать индивидуальный QR-код магазина")</f>
        <v>Скачать индивидуальный QR-код магазина</v>
      </c>
    </row>
    <row r="17545" spans="1:7" x14ac:dyDescent="0.25">
      <c r="A17545" t="s">
        <v>52944</v>
      </c>
      <c r="B17545" t="s">
        <v>53628</v>
      </c>
      <c r="C17545" t="s">
        <v>713</v>
      </c>
      <c r="D17545" t="s">
        <v>714</v>
      </c>
      <c r="E17545" t="s">
        <v>715</v>
      </c>
      <c r="F17545" t="s">
        <v>53629</v>
      </c>
      <c r="G17545" s="2" t="str">
        <f>HYPERLINK("https://probpalata.gov.ru/files/ЮЛ770101216600752.jpeg","Скачать индивидуальный QR-код магазина")</f>
        <v>Скачать индивидуальный QR-код магазина</v>
      </c>
    </row>
    <row r="17546" spans="1:7" x14ac:dyDescent="0.25">
      <c r="A17546" t="s">
        <v>52944</v>
      </c>
      <c r="B17546" t="s">
        <v>53630</v>
      </c>
      <c r="C17546" t="s">
        <v>713</v>
      </c>
      <c r="D17546" t="s">
        <v>714</v>
      </c>
      <c r="E17546" t="s">
        <v>715</v>
      </c>
      <c r="F17546" t="s">
        <v>53631</v>
      </c>
      <c r="G17546" s="2" t="str">
        <f>HYPERLINK("https://probpalata.gov.ru/files/ЮЛ770101216600774.jpeg","Скачать индивидуальный QR-код магазина")</f>
        <v>Скачать индивидуальный QR-код магазина</v>
      </c>
    </row>
    <row r="17547" spans="1:7" x14ac:dyDescent="0.25">
      <c r="A17547" t="s">
        <v>52944</v>
      </c>
      <c r="B17547" t="s">
        <v>53632</v>
      </c>
      <c r="C17547" t="s">
        <v>713</v>
      </c>
      <c r="D17547" t="s">
        <v>714</v>
      </c>
      <c r="E17547" t="s">
        <v>715</v>
      </c>
      <c r="F17547" t="s">
        <v>53633</v>
      </c>
      <c r="G17547" s="2" t="str">
        <f>HYPERLINK("https://probpalata.gov.ru/files/ЮЛ770101216600786.jpeg","Скачать индивидуальный QR-код магазина")</f>
        <v>Скачать индивидуальный QR-код магазина</v>
      </c>
    </row>
    <row r="17548" spans="1:7" x14ac:dyDescent="0.25">
      <c r="A17548" t="s">
        <v>52944</v>
      </c>
      <c r="B17548" t="s">
        <v>53634</v>
      </c>
      <c r="C17548" t="s">
        <v>713</v>
      </c>
      <c r="D17548" t="s">
        <v>714</v>
      </c>
      <c r="E17548" t="s">
        <v>715</v>
      </c>
      <c r="F17548" t="s">
        <v>53635</v>
      </c>
      <c r="G17548" s="2" t="str">
        <f>HYPERLINK("https://probpalata.gov.ru/files/ЮЛ770101216600828.jpeg","Скачать индивидуальный QR-код магазина")</f>
        <v>Скачать индивидуальный QR-код магазина</v>
      </c>
    </row>
    <row r="17549" spans="1:7" x14ac:dyDescent="0.25">
      <c r="A17549" t="s">
        <v>52944</v>
      </c>
      <c r="B17549" t="s">
        <v>53636</v>
      </c>
      <c r="C17549" t="s">
        <v>713</v>
      </c>
      <c r="D17549" t="s">
        <v>714</v>
      </c>
      <c r="E17549" t="s">
        <v>715</v>
      </c>
      <c r="F17549" t="s">
        <v>53637</v>
      </c>
      <c r="G17549" s="2" t="str">
        <f>HYPERLINK("https://probpalata.gov.ru/files/ЮЛ770101216600973.jpeg","Скачать индивидуальный QR-код магазина")</f>
        <v>Скачать индивидуальный QR-код магазина</v>
      </c>
    </row>
    <row r="17550" spans="1:7" x14ac:dyDescent="0.25">
      <c r="A17550" t="s">
        <v>52944</v>
      </c>
      <c r="B17550" t="s">
        <v>53638</v>
      </c>
      <c r="C17550" t="s">
        <v>15102</v>
      </c>
      <c r="D17550" t="s">
        <v>15103</v>
      </c>
      <c r="E17550" t="s">
        <v>15104</v>
      </c>
      <c r="F17550" t="s">
        <v>53639</v>
      </c>
      <c r="G17550" s="2" t="str">
        <f>HYPERLINK("https://probpalata.gov.ru/files/ИП770101587900004.jpeg","Скачать индивидуальный QR-код магазина")</f>
        <v>Скачать индивидуальный QR-код магазина</v>
      </c>
    </row>
    <row r="17551" spans="1:7" x14ac:dyDescent="0.25">
      <c r="A17551" t="s">
        <v>52944</v>
      </c>
      <c r="B17551" t="s">
        <v>53640</v>
      </c>
      <c r="C17551" t="s">
        <v>15121</v>
      </c>
      <c r="D17551" t="s">
        <v>15122</v>
      </c>
      <c r="E17551" t="s">
        <v>15123</v>
      </c>
      <c r="F17551" t="s">
        <v>53641</v>
      </c>
      <c r="G17551" s="2" t="str">
        <f>HYPERLINK("https://probpalata.gov.ru/files/ЮЛ770101324600044.jpeg","Скачать индивидуальный QR-код магазина")</f>
        <v>Скачать индивидуальный QR-код магазина</v>
      </c>
    </row>
    <row r="17552" spans="1:7" x14ac:dyDescent="0.25">
      <c r="A17552" t="s">
        <v>52944</v>
      </c>
      <c r="B17552" t="s">
        <v>53642</v>
      </c>
      <c r="C17552" t="s">
        <v>15121</v>
      </c>
      <c r="D17552" t="s">
        <v>15122</v>
      </c>
      <c r="E17552" t="s">
        <v>15123</v>
      </c>
      <c r="F17552" t="s">
        <v>53643</v>
      </c>
      <c r="G17552" s="2" t="str">
        <f>HYPERLINK("https://probpalata.gov.ru/files/ЮЛ770101324600052.jpeg","Скачать индивидуальный QR-код магазина")</f>
        <v>Скачать индивидуальный QR-код магазина</v>
      </c>
    </row>
    <row r="17553" spans="1:7" x14ac:dyDescent="0.25">
      <c r="A17553" t="s">
        <v>52944</v>
      </c>
      <c r="B17553" t="s">
        <v>53644</v>
      </c>
      <c r="C17553" t="s">
        <v>1416</v>
      </c>
      <c r="D17553" t="s">
        <v>1417</v>
      </c>
      <c r="E17553" t="s">
        <v>1418</v>
      </c>
      <c r="F17553" t="s">
        <v>53645</v>
      </c>
      <c r="G17553" s="2" t="str">
        <f>HYPERLINK("https://probpalata.gov.ru/files/ЮЛ770100419400076.jpeg","Скачать индивидуальный QR-код магазина")</f>
        <v>Скачать индивидуальный QR-код магазина</v>
      </c>
    </row>
    <row r="17554" spans="1:7" x14ac:dyDescent="0.25">
      <c r="A17554" t="s">
        <v>52944</v>
      </c>
      <c r="B17554" t="s">
        <v>53646</v>
      </c>
      <c r="C17554" t="s">
        <v>1416</v>
      </c>
      <c r="D17554" t="s">
        <v>1417</v>
      </c>
      <c r="E17554" t="s">
        <v>1418</v>
      </c>
      <c r="F17554" t="s">
        <v>53647</v>
      </c>
      <c r="G17554" s="2" t="str">
        <f>HYPERLINK("https://probpalata.gov.ru/files/ЮЛ770100419400085.jpeg","Скачать индивидуальный QR-код магазина")</f>
        <v>Скачать индивидуальный QR-код магазина</v>
      </c>
    </row>
    <row r="17555" spans="1:7" x14ac:dyDescent="0.25">
      <c r="A17555" t="s">
        <v>52944</v>
      </c>
      <c r="B17555" t="s">
        <v>53648</v>
      </c>
      <c r="C17555" t="s">
        <v>1416</v>
      </c>
      <c r="D17555" t="s">
        <v>1417</v>
      </c>
      <c r="E17555" t="s">
        <v>1418</v>
      </c>
      <c r="F17555" t="s">
        <v>53649</v>
      </c>
      <c r="G17555" s="2" t="str">
        <f>HYPERLINK("https://probpalata.gov.ru/files/ЮЛ770100419400182.jpeg","Скачать индивидуальный QR-код магазина")</f>
        <v>Скачать индивидуальный QR-код магазина</v>
      </c>
    </row>
    <row r="17556" spans="1:7" x14ac:dyDescent="0.25">
      <c r="A17556" t="s">
        <v>52944</v>
      </c>
      <c r="B17556" t="s">
        <v>53650</v>
      </c>
      <c r="C17556" t="s">
        <v>1416</v>
      </c>
      <c r="D17556" t="s">
        <v>1417</v>
      </c>
      <c r="E17556" t="s">
        <v>1418</v>
      </c>
      <c r="F17556" t="s">
        <v>53651</v>
      </c>
      <c r="G17556" s="2" t="str">
        <f>HYPERLINK("https://probpalata.gov.ru/files/ЮЛ770100419400183.jpeg","Скачать индивидуальный QR-код магазина")</f>
        <v>Скачать индивидуальный QR-код магазина</v>
      </c>
    </row>
    <row r="17557" spans="1:7" x14ac:dyDescent="0.25">
      <c r="A17557" t="s">
        <v>52944</v>
      </c>
      <c r="B17557" t="s">
        <v>53652</v>
      </c>
      <c r="C17557" t="s">
        <v>1416</v>
      </c>
      <c r="D17557" t="s">
        <v>1417</v>
      </c>
      <c r="E17557" t="s">
        <v>1418</v>
      </c>
      <c r="F17557" t="s">
        <v>53653</v>
      </c>
      <c r="G17557" s="2" t="str">
        <f>HYPERLINK("https://probpalata.gov.ru/files/ЮЛ770100419400185.jpeg","Скачать индивидуальный QR-код магазина")</f>
        <v>Скачать индивидуальный QR-код магазина</v>
      </c>
    </row>
    <row r="17558" spans="1:7" x14ac:dyDescent="0.25">
      <c r="A17558" t="s">
        <v>52944</v>
      </c>
      <c r="B17558" t="s">
        <v>53237</v>
      </c>
      <c r="C17558" t="s">
        <v>1416</v>
      </c>
      <c r="D17558" t="s">
        <v>1417</v>
      </c>
      <c r="E17558" t="s">
        <v>1418</v>
      </c>
      <c r="F17558" t="s">
        <v>53654</v>
      </c>
      <c r="G17558" s="2" t="str">
        <f>HYPERLINK("https://probpalata.gov.ru/files/ЮЛ770100419400187.jpeg","Скачать индивидуальный QR-код магазина")</f>
        <v>Скачать индивидуальный QR-код магазина</v>
      </c>
    </row>
    <row r="17559" spans="1:7" x14ac:dyDescent="0.25">
      <c r="A17559" t="s">
        <v>52944</v>
      </c>
      <c r="B17559" t="s">
        <v>53655</v>
      </c>
      <c r="C17559" t="s">
        <v>1416</v>
      </c>
      <c r="D17559" t="s">
        <v>1417</v>
      </c>
      <c r="E17559" t="s">
        <v>1418</v>
      </c>
      <c r="F17559" t="s">
        <v>53656</v>
      </c>
      <c r="G17559" s="2" t="str">
        <f>HYPERLINK("https://probpalata.gov.ru/files/ЮЛ770100419400191.jpeg","Скачать индивидуальный QR-код магазина")</f>
        <v>Скачать индивидуальный QR-код магазина</v>
      </c>
    </row>
    <row r="17560" spans="1:7" x14ac:dyDescent="0.25">
      <c r="A17560" t="s">
        <v>52944</v>
      </c>
      <c r="B17560" t="s">
        <v>53657</v>
      </c>
      <c r="C17560" t="s">
        <v>1416</v>
      </c>
      <c r="D17560" t="s">
        <v>1417</v>
      </c>
      <c r="E17560" t="s">
        <v>1418</v>
      </c>
      <c r="F17560" t="s">
        <v>53658</v>
      </c>
      <c r="G17560" s="2" t="str">
        <f>HYPERLINK("https://probpalata.gov.ru/files/ЮЛ770100419400238.jpeg","Скачать индивидуальный QR-код магазина")</f>
        <v>Скачать индивидуальный QR-код магазина</v>
      </c>
    </row>
    <row r="17561" spans="1:7" x14ac:dyDescent="0.25">
      <c r="A17561" t="s">
        <v>52944</v>
      </c>
      <c r="B17561" t="s">
        <v>53659</v>
      </c>
      <c r="C17561" t="s">
        <v>53660</v>
      </c>
      <c r="D17561" t="s">
        <v>53661</v>
      </c>
      <c r="E17561" t="s">
        <v>53662</v>
      </c>
      <c r="F17561" t="s">
        <v>53663</v>
      </c>
      <c r="G17561" s="2" t="str">
        <f>HYPERLINK("https://probpalata.gov.ru/files/ИП260503751600000.jpeg","Скачать индивидуальный QR-код магазина")</f>
        <v>Скачать индивидуальный QR-код магазина</v>
      </c>
    </row>
    <row r="17562" spans="1:7" x14ac:dyDescent="0.25">
      <c r="A17562" t="s">
        <v>52944</v>
      </c>
      <c r="B17562" t="s">
        <v>53664</v>
      </c>
      <c r="C17562" t="s">
        <v>748</v>
      </c>
      <c r="D17562" t="s">
        <v>749</v>
      </c>
      <c r="E17562" t="s">
        <v>750</v>
      </c>
      <c r="F17562" t="s">
        <v>53665</v>
      </c>
      <c r="G17562" s="2" t="str">
        <f>HYPERLINK("https://probpalata.gov.ru/files/ЮЛ770100193500064.jpeg","Скачать индивидуальный QR-код магазина")</f>
        <v>Скачать индивидуальный QR-код магазина</v>
      </c>
    </row>
    <row r="17563" spans="1:7" x14ac:dyDescent="0.25">
      <c r="A17563" t="s">
        <v>52944</v>
      </c>
      <c r="B17563" t="s">
        <v>53666</v>
      </c>
      <c r="C17563" t="s">
        <v>748</v>
      </c>
      <c r="D17563" t="s">
        <v>749</v>
      </c>
      <c r="E17563" t="s">
        <v>750</v>
      </c>
      <c r="F17563" t="s">
        <v>53667</v>
      </c>
      <c r="G17563" s="2" t="str">
        <f>HYPERLINK("https://probpalata.gov.ru/files/ЮЛ770100193500356.jpeg","Скачать индивидуальный QR-код магазина")</f>
        <v>Скачать индивидуальный QR-код магазина</v>
      </c>
    </row>
    <row r="17564" spans="1:7" x14ac:dyDescent="0.25">
      <c r="A17564" t="s">
        <v>52944</v>
      </c>
      <c r="B17564" t="s">
        <v>53668</v>
      </c>
      <c r="C17564" t="s">
        <v>748</v>
      </c>
      <c r="D17564" t="s">
        <v>749</v>
      </c>
      <c r="E17564" t="s">
        <v>750</v>
      </c>
      <c r="F17564" t="s">
        <v>53669</v>
      </c>
      <c r="G17564" s="2" t="str">
        <f>HYPERLINK("https://probpalata.gov.ru/files/ЮЛ770100193500357.jpeg","Скачать индивидуальный QR-код магазина")</f>
        <v>Скачать индивидуальный QR-код магазина</v>
      </c>
    </row>
    <row r="17565" spans="1:7" x14ac:dyDescent="0.25">
      <c r="A17565" t="s">
        <v>52944</v>
      </c>
      <c r="B17565" t="s">
        <v>53670</v>
      </c>
      <c r="C17565" t="s">
        <v>748</v>
      </c>
      <c r="D17565" t="s">
        <v>749</v>
      </c>
      <c r="E17565" t="s">
        <v>750</v>
      </c>
      <c r="F17565" t="s">
        <v>53671</v>
      </c>
      <c r="G17565" s="2" t="str">
        <f>HYPERLINK("https://probpalata.gov.ru/files/ЮЛ770100193500358.jpeg","Скачать индивидуальный QR-код магазина")</f>
        <v>Скачать индивидуальный QR-код магазина</v>
      </c>
    </row>
    <row r="17566" spans="1:7" x14ac:dyDescent="0.25">
      <c r="A17566" t="s">
        <v>52944</v>
      </c>
      <c r="B17566" t="s">
        <v>53672</v>
      </c>
      <c r="C17566" t="s">
        <v>748</v>
      </c>
      <c r="D17566" t="s">
        <v>749</v>
      </c>
      <c r="E17566" t="s">
        <v>750</v>
      </c>
      <c r="F17566" t="s">
        <v>53673</v>
      </c>
      <c r="G17566" s="2" t="str">
        <f>HYPERLINK("https://probpalata.gov.ru/files/ЮЛ770100193500359.jpeg","Скачать индивидуальный QR-код магазина")</f>
        <v>Скачать индивидуальный QR-код магазина</v>
      </c>
    </row>
    <row r="17567" spans="1:7" x14ac:dyDescent="0.25">
      <c r="A17567" t="s">
        <v>52944</v>
      </c>
      <c r="B17567" t="s">
        <v>53674</v>
      </c>
      <c r="C17567" t="s">
        <v>748</v>
      </c>
      <c r="D17567" t="s">
        <v>749</v>
      </c>
      <c r="E17567" t="s">
        <v>750</v>
      </c>
      <c r="F17567" t="s">
        <v>53675</v>
      </c>
      <c r="G17567" s="2" t="str">
        <f>HYPERLINK("https://probpalata.gov.ru/files/ЮЛ770100193500360.jpeg","Скачать индивидуальный QR-код магазина")</f>
        <v>Скачать индивидуальный QR-код магазина</v>
      </c>
    </row>
    <row r="17568" spans="1:7" x14ac:dyDescent="0.25">
      <c r="A17568" t="s">
        <v>52944</v>
      </c>
      <c r="B17568" t="s">
        <v>53676</v>
      </c>
      <c r="C17568" t="s">
        <v>748</v>
      </c>
      <c r="D17568" t="s">
        <v>749</v>
      </c>
      <c r="E17568" t="s">
        <v>750</v>
      </c>
      <c r="F17568" t="s">
        <v>53677</v>
      </c>
      <c r="G17568" s="2" t="str">
        <f>HYPERLINK("https://probpalata.gov.ru/files/ЮЛ770100193500361.jpeg","Скачать индивидуальный QR-код магазина")</f>
        <v>Скачать индивидуальный QR-код магазина</v>
      </c>
    </row>
    <row r="17569" spans="1:7" x14ac:dyDescent="0.25">
      <c r="A17569" t="s">
        <v>52944</v>
      </c>
      <c r="B17569" t="s">
        <v>53678</v>
      </c>
      <c r="C17569" t="s">
        <v>748</v>
      </c>
      <c r="D17569" t="s">
        <v>749</v>
      </c>
      <c r="E17569" t="s">
        <v>750</v>
      </c>
      <c r="F17569" t="s">
        <v>53679</v>
      </c>
      <c r="G17569" s="2" t="str">
        <f>HYPERLINK("https://probpalata.gov.ru/files/ЮЛ770100193500497.jpeg","Скачать индивидуальный QR-код магазина")</f>
        <v>Скачать индивидуальный QR-код магазина</v>
      </c>
    </row>
    <row r="17570" spans="1:7" x14ac:dyDescent="0.25">
      <c r="A17570" t="s">
        <v>52944</v>
      </c>
      <c r="B17570" t="s">
        <v>53680</v>
      </c>
      <c r="C17570" t="s">
        <v>748</v>
      </c>
      <c r="D17570" t="s">
        <v>749</v>
      </c>
      <c r="E17570" t="s">
        <v>750</v>
      </c>
      <c r="F17570" t="s">
        <v>53681</v>
      </c>
      <c r="G17570" s="2" t="str">
        <f>HYPERLINK("https://probpalata.gov.ru/files/ЮЛ770100193500548.jpeg","Скачать индивидуальный QR-код магазина")</f>
        <v>Скачать индивидуальный QR-код магазина</v>
      </c>
    </row>
    <row r="17571" spans="1:7" x14ac:dyDescent="0.25">
      <c r="A17571" t="s">
        <v>52944</v>
      </c>
      <c r="B17571" t="s">
        <v>53682</v>
      </c>
      <c r="C17571" t="s">
        <v>748</v>
      </c>
      <c r="D17571" t="s">
        <v>749</v>
      </c>
      <c r="E17571" t="s">
        <v>750</v>
      </c>
      <c r="F17571" t="s">
        <v>53683</v>
      </c>
      <c r="G17571" s="2" t="str">
        <f>HYPERLINK("https://probpalata.gov.ru/files/ЮЛ770100193500800.jpeg","Скачать индивидуальный QR-код магазина")</f>
        <v>Скачать индивидуальный QR-код магазина</v>
      </c>
    </row>
    <row r="17572" spans="1:7" x14ac:dyDescent="0.25">
      <c r="A17572" t="s">
        <v>52944</v>
      </c>
      <c r="B17572" t="s">
        <v>53684</v>
      </c>
      <c r="C17572" t="s">
        <v>748</v>
      </c>
      <c r="D17572" t="s">
        <v>749</v>
      </c>
      <c r="E17572" t="s">
        <v>750</v>
      </c>
      <c r="F17572" t="s">
        <v>53685</v>
      </c>
      <c r="G17572" s="2" t="str">
        <f>HYPERLINK("https://probpalata.gov.ru/files/ЮЛ770100193500831.jpeg","Скачать индивидуальный QR-код магазина")</f>
        <v>Скачать индивидуальный QR-код магазина</v>
      </c>
    </row>
    <row r="17573" spans="1:7" x14ac:dyDescent="0.25">
      <c r="A17573" t="s">
        <v>52944</v>
      </c>
      <c r="B17573" t="s">
        <v>53686</v>
      </c>
      <c r="C17573" t="s">
        <v>748</v>
      </c>
      <c r="D17573" t="s">
        <v>749</v>
      </c>
      <c r="E17573" t="s">
        <v>750</v>
      </c>
      <c r="F17573" t="s">
        <v>53687</v>
      </c>
      <c r="G17573" s="2" t="str">
        <f>HYPERLINK("https://probpalata.gov.ru/files/ЮЛ770100193500838.jpeg","Скачать индивидуальный QR-код магазина")</f>
        <v>Скачать индивидуальный QR-код магазина</v>
      </c>
    </row>
    <row r="17574" spans="1:7" x14ac:dyDescent="0.25">
      <c r="A17574" t="s">
        <v>52944</v>
      </c>
      <c r="B17574" t="s">
        <v>53688</v>
      </c>
      <c r="C17574" t="s">
        <v>748</v>
      </c>
      <c r="D17574" t="s">
        <v>749</v>
      </c>
      <c r="E17574" t="s">
        <v>750</v>
      </c>
      <c r="F17574" t="s">
        <v>53689</v>
      </c>
      <c r="G17574" s="2" t="str">
        <f>HYPERLINK("https://probpalata.gov.ru/files/ЮЛ770100193500894.jpeg","Скачать индивидуальный QR-код магазина")</f>
        <v>Скачать индивидуальный QR-код магазина</v>
      </c>
    </row>
    <row r="17575" spans="1:7" x14ac:dyDescent="0.25">
      <c r="A17575" t="s">
        <v>52944</v>
      </c>
      <c r="B17575" t="s">
        <v>53690</v>
      </c>
      <c r="C17575" t="s">
        <v>748</v>
      </c>
      <c r="D17575" t="s">
        <v>749</v>
      </c>
      <c r="E17575" t="s">
        <v>750</v>
      </c>
      <c r="F17575" t="s">
        <v>53691</v>
      </c>
      <c r="G17575" s="2" t="str">
        <f>HYPERLINK("https://probpalata.gov.ru/files/ЮЛ770100193500896.jpeg","Скачать индивидуальный QR-код магазина")</f>
        <v>Скачать индивидуальный QR-код магазина</v>
      </c>
    </row>
    <row r="17576" spans="1:7" x14ac:dyDescent="0.25">
      <c r="A17576" t="s">
        <v>52944</v>
      </c>
      <c r="B17576" t="s">
        <v>53618</v>
      </c>
      <c r="C17576" t="s">
        <v>748</v>
      </c>
      <c r="D17576" t="s">
        <v>749</v>
      </c>
      <c r="E17576" t="s">
        <v>750</v>
      </c>
      <c r="F17576" t="s">
        <v>53692</v>
      </c>
      <c r="G17576" s="2" t="str">
        <f>HYPERLINK("https://probpalata.gov.ru/files/ЮЛ770100193500898.jpeg","Скачать индивидуальный QR-код магазина")</f>
        <v>Скачать индивидуальный QR-код магазина</v>
      </c>
    </row>
    <row r="17577" spans="1:7" x14ac:dyDescent="0.25">
      <c r="A17577" t="s">
        <v>52944</v>
      </c>
      <c r="B17577" t="s">
        <v>53693</v>
      </c>
      <c r="C17577" t="s">
        <v>748</v>
      </c>
      <c r="D17577" t="s">
        <v>749</v>
      </c>
      <c r="E17577" t="s">
        <v>750</v>
      </c>
      <c r="F17577" t="s">
        <v>53694</v>
      </c>
      <c r="G17577" s="2" t="str">
        <f>HYPERLINK("https://probpalata.gov.ru/files/ЮЛ770100193500905.jpeg","Скачать индивидуальный QR-код магазина")</f>
        <v>Скачать индивидуальный QR-код магазина</v>
      </c>
    </row>
    <row r="17578" spans="1:7" x14ac:dyDescent="0.25">
      <c r="A17578" t="s">
        <v>52944</v>
      </c>
      <c r="B17578" t="s">
        <v>53695</v>
      </c>
      <c r="C17578" t="s">
        <v>748</v>
      </c>
      <c r="D17578" t="s">
        <v>749</v>
      </c>
      <c r="E17578" t="s">
        <v>750</v>
      </c>
      <c r="F17578" t="s">
        <v>53696</v>
      </c>
      <c r="G17578" s="2" t="str">
        <f>HYPERLINK("https://probpalata.gov.ru/files/ЮЛ770100193500908.jpeg","Скачать индивидуальный QR-код магазина")</f>
        <v>Скачать индивидуальный QR-код магазина</v>
      </c>
    </row>
    <row r="17579" spans="1:7" x14ac:dyDescent="0.25">
      <c r="A17579" t="s">
        <v>52944</v>
      </c>
      <c r="B17579" t="s">
        <v>53614</v>
      </c>
      <c r="C17579" t="s">
        <v>748</v>
      </c>
      <c r="D17579" t="s">
        <v>749</v>
      </c>
      <c r="E17579" t="s">
        <v>750</v>
      </c>
      <c r="F17579" t="s">
        <v>53697</v>
      </c>
      <c r="G17579" s="2" t="str">
        <f>HYPERLINK("https://probpalata.gov.ru/files/ЮЛ770100193500909.jpeg","Скачать индивидуальный QR-код магазина")</f>
        <v>Скачать индивидуальный QR-код магазина</v>
      </c>
    </row>
    <row r="17580" spans="1:7" x14ac:dyDescent="0.25">
      <c r="A17580" t="s">
        <v>52944</v>
      </c>
      <c r="B17580" t="s">
        <v>53698</v>
      </c>
      <c r="C17580" t="s">
        <v>748</v>
      </c>
      <c r="D17580" t="s">
        <v>749</v>
      </c>
      <c r="E17580" t="s">
        <v>750</v>
      </c>
      <c r="F17580" t="s">
        <v>53699</v>
      </c>
      <c r="G17580" s="2" t="str">
        <f>HYPERLINK("https://probpalata.gov.ru/files/ЮЛ770100193500921.jpeg","Скачать индивидуальный QR-код магазина")</f>
        <v>Скачать индивидуальный QR-код магазина</v>
      </c>
    </row>
    <row r="17581" spans="1:7" x14ac:dyDescent="0.25">
      <c r="A17581" t="s">
        <v>52944</v>
      </c>
      <c r="B17581" t="s">
        <v>53700</v>
      </c>
      <c r="C17581" t="s">
        <v>748</v>
      </c>
      <c r="D17581" t="s">
        <v>749</v>
      </c>
      <c r="E17581" t="s">
        <v>750</v>
      </c>
      <c r="F17581" t="s">
        <v>53701</v>
      </c>
      <c r="G17581" s="2" t="str">
        <f>HYPERLINK("https://probpalata.gov.ru/files/ЮЛ770100193500945.jpeg","Скачать индивидуальный QR-код магазина")</f>
        <v>Скачать индивидуальный QR-код магазина</v>
      </c>
    </row>
    <row r="17582" spans="1:7" x14ac:dyDescent="0.25">
      <c r="A17582" t="s">
        <v>52944</v>
      </c>
      <c r="B17582" t="s">
        <v>53606</v>
      </c>
      <c r="C17582" t="s">
        <v>748</v>
      </c>
      <c r="D17582" t="s">
        <v>749</v>
      </c>
      <c r="E17582" t="s">
        <v>750</v>
      </c>
      <c r="F17582" t="s">
        <v>53702</v>
      </c>
      <c r="G17582" s="2" t="str">
        <f>HYPERLINK("https://probpalata.gov.ru/files/ЮЛ770100193500970.jpeg","Скачать индивидуальный QR-код магазина")</f>
        <v>Скачать индивидуальный QR-код магазина</v>
      </c>
    </row>
    <row r="17583" spans="1:7" x14ac:dyDescent="0.25">
      <c r="A17583" t="s">
        <v>52944</v>
      </c>
      <c r="B17583" t="s">
        <v>53703</v>
      </c>
      <c r="C17583" t="s">
        <v>748</v>
      </c>
      <c r="D17583" t="s">
        <v>749</v>
      </c>
      <c r="E17583" t="s">
        <v>750</v>
      </c>
      <c r="F17583" t="s">
        <v>53704</v>
      </c>
      <c r="G17583" s="2" t="str">
        <f>HYPERLINK("https://probpalata.gov.ru/files/ЮЛ770100193501049.jpeg","Скачать индивидуальный QR-код магазина")</f>
        <v>Скачать индивидуальный QR-код магазина</v>
      </c>
    </row>
    <row r="17584" spans="1:7" x14ac:dyDescent="0.25">
      <c r="A17584" t="s">
        <v>52944</v>
      </c>
      <c r="B17584" t="s">
        <v>53705</v>
      </c>
      <c r="C17584" t="s">
        <v>748</v>
      </c>
      <c r="D17584" t="s">
        <v>749</v>
      </c>
      <c r="E17584" t="s">
        <v>750</v>
      </c>
      <c r="F17584" t="s">
        <v>53706</v>
      </c>
      <c r="G17584" s="2" t="str">
        <f>HYPERLINK("https://probpalata.gov.ru/files/ЮЛ770100193501051.jpeg","Скачать индивидуальный QR-код магазина")</f>
        <v>Скачать индивидуальный QR-код магазина</v>
      </c>
    </row>
    <row r="17585" spans="1:7" x14ac:dyDescent="0.25">
      <c r="A17585" t="s">
        <v>52944</v>
      </c>
      <c r="B17585" t="s">
        <v>53707</v>
      </c>
      <c r="C17585" t="s">
        <v>748</v>
      </c>
      <c r="D17585" t="s">
        <v>749</v>
      </c>
      <c r="E17585" t="s">
        <v>750</v>
      </c>
      <c r="F17585" t="s">
        <v>53708</v>
      </c>
      <c r="G17585" s="2" t="str">
        <f>HYPERLINK("https://probpalata.gov.ru/files/ЮЛ770100193501061.jpeg","Скачать индивидуальный QR-код магазина")</f>
        <v>Скачать индивидуальный QR-код магазина</v>
      </c>
    </row>
    <row r="17586" spans="1:7" x14ac:dyDescent="0.25">
      <c r="A17586" t="s">
        <v>52944</v>
      </c>
      <c r="B17586" t="s">
        <v>53709</v>
      </c>
      <c r="C17586" t="s">
        <v>748</v>
      </c>
      <c r="D17586" t="s">
        <v>749</v>
      </c>
      <c r="E17586" t="s">
        <v>750</v>
      </c>
      <c r="F17586" t="s">
        <v>53710</v>
      </c>
      <c r="G17586" s="2" t="str">
        <f>HYPERLINK("https://probpalata.gov.ru/files/ЮЛ770100193501074.jpeg","Скачать индивидуальный QR-код магазина")</f>
        <v>Скачать индивидуальный QR-код магазина</v>
      </c>
    </row>
    <row r="17587" spans="1:7" x14ac:dyDescent="0.25">
      <c r="A17587" t="s">
        <v>52944</v>
      </c>
      <c r="B17587" t="s">
        <v>53711</v>
      </c>
      <c r="C17587" t="s">
        <v>748</v>
      </c>
      <c r="D17587" t="s">
        <v>749</v>
      </c>
      <c r="E17587" t="s">
        <v>750</v>
      </c>
      <c r="F17587" t="s">
        <v>53712</v>
      </c>
      <c r="G17587" s="2" t="str">
        <f>HYPERLINK("https://probpalata.gov.ru/files/ЮЛ770100193501084.jpeg","Скачать индивидуальный QR-код магазина")</f>
        <v>Скачать индивидуальный QR-код магазина</v>
      </c>
    </row>
    <row r="17588" spans="1:7" x14ac:dyDescent="0.25">
      <c r="A17588" t="s">
        <v>52944</v>
      </c>
      <c r="B17588" t="s">
        <v>53713</v>
      </c>
      <c r="C17588" t="s">
        <v>748</v>
      </c>
      <c r="D17588" t="s">
        <v>749</v>
      </c>
      <c r="E17588" t="s">
        <v>750</v>
      </c>
      <c r="F17588" t="s">
        <v>53714</v>
      </c>
      <c r="G17588" s="2" t="str">
        <f>HYPERLINK("https://probpalata.gov.ru/files/ЮЛ770100193501087.jpeg","Скачать индивидуальный QR-код магазина")</f>
        <v>Скачать индивидуальный QR-код магазина</v>
      </c>
    </row>
    <row r="17589" spans="1:7" x14ac:dyDescent="0.25">
      <c r="A17589" t="s">
        <v>52944</v>
      </c>
      <c r="B17589" t="s">
        <v>53715</v>
      </c>
      <c r="C17589" t="s">
        <v>748</v>
      </c>
      <c r="D17589" t="s">
        <v>749</v>
      </c>
      <c r="E17589" t="s">
        <v>750</v>
      </c>
      <c r="F17589" t="s">
        <v>53716</v>
      </c>
      <c r="G17589" s="2" t="str">
        <f>HYPERLINK("https://probpalata.gov.ru/files/ЮЛ770100193501089.jpeg","Скачать индивидуальный QR-код магазина")</f>
        <v>Скачать индивидуальный QR-код магазина</v>
      </c>
    </row>
    <row r="17590" spans="1:7" x14ac:dyDescent="0.25">
      <c r="A17590" t="s">
        <v>52944</v>
      </c>
      <c r="B17590" t="s">
        <v>53717</v>
      </c>
      <c r="C17590" t="s">
        <v>748</v>
      </c>
      <c r="D17590" t="s">
        <v>749</v>
      </c>
      <c r="E17590" t="s">
        <v>750</v>
      </c>
      <c r="F17590" t="s">
        <v>53718</v>
      </c>
      <c r="G17590" s="2" t="str">
        <f>HYPERLINK("https://probpalata.gov.ru/files/ЮЛ770100193501111.jpeg","Скачать индивидуальный QR-код магазина")</f>
        <v>Скачать индивидуальный QR-код магазина</v>
      </c>
    </row>
    <row r="17591" spans="1:7" x14ac:dyDescent="0.25">
      <c r="A17591" t="s">
        <v>52944</v>
      </c>
      <c r="B17591" t="s">
        <v>53719</v>
      </c>
      <c r="C17591" t="s">
        <v>773</v>
      </c>
      <c r="D17591" t="s">
        <v>774</v>
      </c>
      <c r="E17591" t="s">
        <v>775</v>
      </c>
      <c r="F17591" t="s">
        <v>53720</v>
      </c>
      <c r="G17591" s="2" t="str">
        <f>HYPERLINK("https://probpalata.gov.ru/files/ЮЛ780300131300001.jpeg","Скачать индивидуальный QR-код магазина")</f>
        <v>Скачать индивидуальный QR-код магазина</v>
      </c>
    </row>
    <row r="17592" spans="1:7" x14ac:dyDescent="0.25">
      <c r="A17592" t="s">
        <v>52944</v>
      </c>
      <c r="B17592" t="s">
        <v>53721</v>
      </c>
      <c r="C17592" t="s">
        <v>773</v>
      </c>
      <c r="D17592" t="s">
        <v>774</v>
      </c>
      <c r="E17592" t="s">
        <v>775</v>
      </c>
      <c r="F17592" t="s">
        <v>53722</v>
      </c>
      <c r="G17592" s="2" t="str">
        <f>HYPERLINK("https://probpalata.gov.ru/files/ЮЛ780300131300002.jpeg","Скачать индивидуальный QR-код магазина")</f>
        <v>Скачать индивидуальный QR-код магазина</v>
      </c>
    </row>
    <row r="17593" spans="1:7" x14ac:dyDescent="0.25">
      <c r="A17593" t="s">
        <v>52944</v>
      </c>
      <c r="B17593" t="s">
        <v>53723</v>
      </c>
      <c r="C17593" t="s">
        <v>773</v>
      </c>
      <c r="D17593" t="s">
        <v>774</v>
      </c>
      <c r="E17593" t="s">
        <v>775</v>
      </c>
      <c r="F17593" t="s">
        <v>53724</v>
      </c>
      <c r="G17593" s="2" t="str">
        <f>HYPERLINK("https://probpalata.gov.ru/files/ЮЛ780300131300003.jpeg","Скачать индивидуальный QR-код магазина")</f>
        <v>Скачать индивидуальный QR-код магазина</v>
      </c>
    </row>
    <row r="17594" spans="1:7" x14ac:dyDescent="0.25">
      <c r="A17594" t="s">
        <v>52944</v>
      </c>
      <c r="B17594" t="s">
        <v>53725</v>
      </c>
      <c r="C17594" t="s">
        <v>773</v>
      </c>
      <c r="D17594" t="s">
        <v>774</v>
      </c>
      <c r="E17594" t="s">
        <v>775</v>
      </c>
      <c r="F17594" t="s">
        <v>53726</v>
      </c>
      <c r="G17594" s="2" t="str">
        <f>HYPERLINK("https://probpalata.gov.ru/files/ЮЛ780300131300004.jpeg","Скачать индивидуальный QR-код магазина")</f>
        <v>Скачать индивидуальный QR-код магазина</v>
      </c>
    </row>
    <row r="17595" spans="1:7" x14ac:dyDescent="0.25">
      <c r="A17595" t="s">
        <v>52944</v>
      </c>
      <c r="B17595" t="s">
        <v>53727</v>
      </c>
      <c r="C17595" t="s">
        <v>773</v>
      </c>
      <c r="D17595" t="s">
        <v>774</v>
      </c>
      <c r="E17595" t="s">
        <v>775</v>
      </c>
      <c r="F17595" t="s">
        <v>53728</v>
      </c>
      <c r="G17595" s="2" t="str">
        <f>HYPERLINK("https://probpalata.gov.ru/files/ЮЛ780300131300005.jpeg","Скачать индивидуальный QR-код магазина")</f>
        <v>Скачать индивидуальный QR-код магазина</v>
      </c>
    </row>
    <row r="17596" spans="1:7" x14ac:dyDescent="0.25">
      <c r="A17596" t="s">
        <v>52944</v>
      </c>
      <c r="B17596" t="s">
        <v>53729</v>
      </c>
      <c r="C17596" t="s">
        <v>773</v>
      </c>
      <c r="D17596" t="s">
        <v>774</v>
      </c>
      <c r="E17596" t="s">
        <v>775</v>
      </c>
      <c r="F17596" t="s">
        <v>53730</v>
      </c>
      <c r="G17596" s="2" t="str">
        <f>HYPERLINK("https://probpalata.gov.ru/files/ЮЛ780300131300006.jpeg","Скачать индивидуальный QR-код магазина")</f>
        <v>Скачать индивидуальный QR-код магазина</v>
      </c>
    </row>
    <row r="17597" spans="1:7" x14ac:dyDescent="0.25">
      <c r="A17597" t="s">
        <v>52944</v>
      </c>
      <c r="B17597" t="s">
        <v>53269</v>
      </c>
      <c r="C17597" t="s">
        <v>773</v>
      </c>
      <c r="D17597" t="s">
        <v>774</v>
      </c>
      <c r="E17597" t="s">
        <v>775</v>
      </c>
      <c r="F17597" t="s">
        <v>53731</v>
      </c>
      <c r="G17597" s="2" t="str">
        <f>HYPERLINK("https://probpalata.gov.ru/files/ЮЛ780300131300010.jpeg","Скачать индивидуальный QR-код магазина")</f>
        <v>Скачать индивидуальный QR-код магазина</v>
      </c>
    </row>
    <row r="17598" spans="1:7" x14ac:dyDescent="0.25">
      <c r="A17598" t="s">
        <v>52944</v>
      </c>
      <c r="B17598" t="s">
        <v>53732</v>
      </c>
      <c r="C17598" t="s">
        <v>773</v>
      </c>
      <c r="D17598" t="s">
        <v>774</v>
      </c>
      <c r="E17598" t="s">
        <v>775</v>
      </c>
      <c r="F17598" t="s">
        <v>53733</v>
      </c>
      <c r="G17598" s="2" t="str">
        <f>HYPERLINK("https://probpalata.gov.ru/files/ЮЛ780300131300012.jpeg","Скачать индивидуальный QR-код магазина")</f>
        <v>Скачать индивидуальный QR-код магазина</v>
      </c>
    </row>
    <row r="17599" spans="1:7" x14ac:dyDescent="0.25">
      <c r="A17599" t="s">
        <v>52944</v>
      </c>
      <c r="B17599" t="s">
        <v>53734</v>
      </c>
      <c r="C17599" t="s">
        <v>773</v>
      </c>
      <c r="D17599" t="s">
        <v>774</v>
      </c>
      <c r="E17599" t="s">
        <v>775</v>
      </c>
      <c r="F17599" t="s">
        <v>53735</v>
      </c>
      <c r="G17599" s="2" t="str">
        <f>HYPERLINK("https://probpalata.gov.ru/files/ЮЛ780300131300013.jpeg","Скачать индивидуальный QR-код магазина")</f>
        <v>Скачать индивидуальный QR-код магазина</v>
      </c>
    </row>
    <row r="17600" spans="1:7" x14ac:dyDescent="0.25">
      <c r="A17600" t="s">
        <v>52944</v>
      </c>
      <c r="B17600" t="s">
        <v>53736</v>
      </c>
      <c r="C17600" t="s">
        <v>773</v>
      </c>
      <c r="D17600" t="s">
        <v>774</v>
      </c>
      <c r="E17600" t="s">
        <v>775</v>
      </c>
      <c r="F17600" t="s">
        <v>53737</v>
      </c>
      <c r="G17600" s="2" t="str">
        <f>HYPERLINK("https://probpalata.gov.ru/files/ЮЛ780300131300015.jpeg","Скачать индивидуальный QR-код магазина")</f>
        <v>Скачать индивидуальный QR-код магазина</v>
      </c>
    </row>
    <row r="17601" spans="1:7" x14ac:dyDescent="0.25">
      <c r="A17601" t="s">
        <v>52944</v>
      </c>
      <c r="B17601" t="s">
        <v>53738</v>
      </c>
      <c r="C17601" t="s">
        <v>773</v>
      </c>
      <c r="D17601" t="s">
        <v>774</v>
      </c>
      <c r="E17601" t="s">
        <v>775</v>
      </c>
      <c r="F17601" t="s">
        <v>53739</v>
      </c>
      <c r="G17601" s="2" t="str">
        <f>HYPERLINK("https://probpalata.gov.ru/files/ЮЛ780300131300361.jpeg","Скачать индивидуальный QR-код магазина")</f>
        <v>Скачать индивидуальный QR-код магазина</v>
      </c>
    </row>
    <row r="17602" spans="1:7" x14ac:dyDescent="0.25">
      <c r="A17602" t="s">
        <v>52944</v>
      </c>
      <c r="B17602" t="s">
        <v>53740</v>
      </c>
      <c r="C17602" t="s">
        <v>773</v>
      </c>
      <c r="D17602" t="s">
        <v>774</v>
      </c>
      <c r="E17602" t="s">
        <v>775</v>
      </c>
      <c r="F17602" t="s">
        <v>53741</v>
      </c>
      <c r="G17602" s="2" t="str">
        <f>HYPERLINK("https://probpalata.gov.ru/files/ЮЛ780300131300363.jpeg","Скачать индивидуальный QR-код магазина")</f>
        <v>Скачать индивидуальный QR-код магазина</v>
      </c>
    </row>
    <row r="17603" spans="1:7" x14ac:dyDescent="0.25">
      <c r="A17603" t="s">
        <v>52944</v>
      </c>
      <c r="B17603" t="s">
        <v>53742</v>
      </c>
      <c r="C17603" t="s">
        <v>773</v>
      </c>
      <c r="D17603" t="s">
        <v>774</v>
      </c>
      <c r="E17603" t="s">
        <v>775</v>
      </c>
      <c r="F17603" t="s">
        <v>53743</v>
      </c>
      <c r="G17603" s="2" t="str">
        <f>HYPERLINK("https://probpalata.gov.ru/files/ЮЛ780300131300364.jpeg","Скачать индивидуальный QR-код магазина")</f>
        <v>Скачать индивидуальный QR-код магазина</v>
      </c>
    </row>
    <row r="17604" spans="1:7" x14ac:dyDescent="0.25">
      <c r="A17604" t="s">
        <v>52944</v>
      </c>
      <c r="B17604" t="s">
        <v>53744</v>
      </c>
      <c r="C17604" t="s">
        <v>773</v>
      </c>
      <c r="D17604" t="s">
        <v>774</v>
      </c>
      <c r="E17604" t="s">
        <v>775</v>
      </c>
      <c r="F17604" t="s">
        <v>53745</v>
      </c>
      <c r="G17604" s="2" t="str">
        <f>HYPERLINK("https://probpalata.gov.ru/files/ЮЛ780300131300450.jpeg","Скачать индивидуальный QR-код магазина")</f>
        <v>Скачать индивидуальный QR-код магазина</v>
      </c>
    </row>
    <row r="17605" spans="1:7" x14ac:dyDescent="0.25">
      <c r="A17605" t="s">
        <v>52944</v>
      </c>
      <c r="B17605" t="s">
        <v>53746</v>
      </c>
      <c r="C17605" t="s">
        <v>773</v>
      </c>
      <c r="D17605" t="s">
        <v>774</v>
      </c>
      <c r="E17605" t="s">
        <v>775</v>
      </c>
      <c r="F17605" t="s">
        <v>53747</v>
      </c>
      <c r="G17605" s="2" t="str">
        <f>HYPERLINK("https://probpalata.gov.ru/files/ЮЛ780300131300475.jpeg","Скачать индивидуальный QR-код магазина")</f>
        <v>Скачать индивидуальный QR-код магазина</v>
      </c>
    </row>
    <row r="17606" spans="1:7" x14ac:dyDescent="0.25">
      <c r="A17606" t="s">
        <v>52944</v>
      </c>
      <c r="B17606" t="s">
        <v>53748</v>
      </c>
      <c r="C17606" t="s">
        <v>787</v>
      </c>
      <c r="D17606" t="s">
        <v>788</v>
      </c>
      <c r="E17606" t="s">
        <v>789</v>
      </c>
      <c r="F17606" t="s">
        <v>53749</v>
      </c>
      <c r="G17606" s="2" t="str">
        <f>HYPERLINK("https://probpalata.gov.ru/files/ЮЛ780300328000101.jpeg","Скачать индивидуальный QR-код магазина")</f>
        <v>Скачать индивидуальный QR-код магазина</v>
      </c>
    </row>
    <row r="17607" spans="1:7" x14ac:dyDescent="0.25">
      <c r="A17607" t="s">
        <v>52944</v>
      </c>
      <c r="B17607" t="s">
        <v>53750</v>
      </c>
      <c r="C17607" t="s">
        <v>787</v>
      </c>
      <c r="D17607" t="s">
        <v>788</v>
      </c>
      <c r="E17607" t="s">
        <v>789</v>
      </c>
      <c r="F17607" t="s">
        <v>53751</v>
      </c>
      <c r="G17607" s="2" t="str">
        <f>HYPERLINK("https://probpalata.gov.ru/files/ЮЛ780300328000102.jpeg","Скачать индивидуальный QR-код магазина")</f>
        <v>Скачать индивидуальный QR-код магазина</v>
      </c>
    </row>
    <row r="17608" spans="1:7" x14ac:dyDescent="0.25">
      <c r="A17608" t="s">
        <v>52944</v>
      </c>
      <c r="B17608" t="s">
        <v>53752</v>
      </c>
      <c r="C17608" t="s">
        <v>787</v>
      </c>
      <c r="D17608" t="s">
        <v>788</v>
      </c>
      <c r="E17608" t="s">
        <v>789</v>
      </c>
      <c r="F17608" t="s">
        <v>53753</v>
      </c>
      <c r="G17608" s="2" t="str">
        <f>HYPERLINK("https://probpalata.gov.ru/files/ЮЛ780300328000103.jpeg","Скачать индивидуальный QR-код магазина")</f>
        <v>Скачать индивидуальный QR-код магазина</v>
      </c>
    </row>
    <row r="17609" spans="1:7" x14ac:dyDescent="0.25">
      <c r="A17609" t="s">
        <v>52944</v>
      </c>
      <c r="B17609" t="s">
        <v>53754</v>
      </c>
      <c r="C17609" t="s">
        <v>787</v>
      </c>
      <c r="D17609" t="s">
        <v>788</v>
      </c>
      <c r="E17609" t="s">
        <v>789</v>
      </c>
      <c r="F17609" t="s">
        <v>53755</v>
      </c>
      <c r="G17609" s="2" t="str">
        <f>HYPERLINK("https://probpalata.gov.ru/files/ЮЛ780300328000167.jpeg","Скачать индивидуальный QR-код магазина")</f>
        <v>Скачать индивидуальный QR-код магазина</v>
      </c>
    </row>
    <row r="17610" spans="1:7" x14ac:dyDescent="0.25">
      <c r="A17610" t="s">
        <v>52944</v>
      </c>
      <c r="B17610" t="s">
        <v>53756</v>
      </c>
      <c r="C17610" t="s">
        <v>787</v>
      </c>
      <c r="D17610" t="s">
        <v>788</v>
      </c>
      <c r="E17610" t="s">
        <v>789</v>
      </c>
      <c r="F17610" t="s">
        <v>53757</v>
      </c>
      <c r="G17610" s="2" t="str">
        <f>HYPERLINK("https://probpalata.gov.ru/files/ЮЛ780300328000169.jpeg","Скачать индивидуальный QR-код магазина")</f>
        <v>Скачать индивидуальный QR-код магазина</v>
      </c>
    </row>
    <row r="17611" spans="1:7" x14ac:dyDescent="0.25">
      <c r="A17611" t="s">
        <v>52944</v>
      </c>
      <c r="B17611" t="s">
        <v>53758</v>
      </c>
      <c r="C17611" t="s">
        <v>787</v>
      </c>
      <c r="D17611" t="s">
        <v>788</v>
      </c>
      <c r="E17611" t="s">
        <v>789</v>
      </c>
      <c r="F17611" t="s">
        <v>53759</v>
      </c>
      <c r="G17611" s="2" t="str">
        <f>HYPERLINK("https://probpalata.gov.ru/files/ЮЛ780300328000171.jpeg","Скачать индивидуальный QR-код магазина")</f>
        <v>Скачать индивидуальный QR-код магазина</v>
      </c>
    </row>
    <row r="17612" spans="1:7" x14ac:dyDescent="0.25">
      <c r="A17612" t="s">
        <v>52944</v>
      </c>
      <c r="B17612" t="s">
        <v>53760</v>
      </c>
      <c r="C17612" t="s">
        <v>787</v>
      </c>
      <c r="D17612" t="s">
        <v>788</v>
      </c>
      <c r="E17612" t="s">
        <v>789</v>
      </c>
      <c r="F17612" t="s">
        <v>53761</v>
      </c>
      <c r="G17612" s="2" t="str">
        <f>HYPERLINK("https://probpalata.gov.ru/files/ЮЛ780300328000174.jpeg","Скачать индивидуальный QR-код магазина")</f>
        <v>Скачать индивидуальный QR-код магазина</v>
      </c>
    </row>
    <row r="17613" spans="1:7" x14ac:dyDescent="0.25">
      <c r="A17613" t="s">
        <v>52944</v>
      </c>
      <c r="B17613" t="s">
        <v>53762</v>
      </c>
      <c r="C17613" t="s">
        <v>4077</v>
      </c>
      <c r="D17613" t="s">
        <v>4078</v>
      </c>
      <c r="E17613" t="s">
        <v>4079</v>
      </c>
      <c r="F17613" t="s">
        <v>53763</v>
      </c>
      <c r="G17613" s="2" t="str">
        <f>HYPERLINK("https://probpalata.gov.ru/files/ЮЛ780300331800052.jpeg","Скачать индивидуальный QR-код магазина")</f>
        <v>Скачать индивидуальный QR-код магазина</v>
      </c>
    </row>
    <row r="17614" spans="1:7" x14ac:dyDescent="0.25">
      <c r="A17614" t="s">
        <v>52944</v>
      </c>
      <c r="B17614" t="s">
        <v>53764</v>
      </c>
      <c r="C17614" t="s">
        <v>791</v>
      </c>
      <c r="D17614" t="s">
        <v>792</v>
      </c>
      <c r="E17614" t="s">
        <v>793</v>
      </c>
      <c r="F17614" t="s">
        <v>53765</v>
      </c>
      <c r="G17614" s="2" t="str">
        <f>HYPERLINK("https://probpalata.gov.ru/files/ЮЛ780300323500030.jpeg","Скачать индивидуальный QR-код магазина")</f>
        <v>Скачать индивидуальный QR-код магазина</v>
      </c>
    </row>
    <row r="17615" spans="1:7" x14ac:dyDescent="0.25">
      <c r="A17615" t="s">
        <v>52944</v>
      </c>
      <c r="B17615" t="s">
        <v>53766</v>
      </c>
      <c r="C17615" t="s">
        <v>798</v>
      </c>
      <c r="D17615" t="s">
        <v>799</v>
      </c>
      <c r="E17615" t="s">
        <v>800</v>
      </c>
      <c r="F17615" t="s">
        <v>53767</v>
      </c>
      <c r="G17615" s="2" t="str">
        <f>HYPERLINK("https://probpalata.gov.ru/files/ЮЛ780300308200081.jpeg","Скачать индивидуальный QR-код магазина")</f>
        <v>Скачать индивидуальный QR-код магазина</v>
      </c>
    </row>
    <row r="17616" spans="1:7" x14ac:dyDescent="0.25">
      <c r="A17616" t="s">
        <v>52944</v>
      </c>
      <c r="B17616" t="s">
        <v>53768</v>
      </c>
      <c r="C17616" t="s">
        <v>798</v>
      </c>
      <c r="D17616" t="s">
        <v>799</v>
      </c>
      <c r="E17616" t="s">
        <v>800</v>
      </c>
      <c r="F17616" t="s">
        <v>53769</v>
      </c>
      <c r="G17616" s="2" t="str">
        <f>HYPERLINK("https://probpalata.gov.ru/files/ЮЛ780300308200082.jpeg","Скачать индивидуальный QR-код магазина")</f>
        <v>Скачать индивидуальный QR-код магазина</v>
      </c>
    </row>
    <row r="17617" spans="1:7" x14ac:dyDescent="0.25">
      <c r="A17617" t="s">
        <v>52944</v>
      </c>
      <c r="B17617" t="s">
        <v>53770</v>
      </c>
      <c r="C17617" t="s">
        <v>798</v>
      </c>
      <c r="D17617" t="s">
        <v>799</v>
      </c>
      <c r="E17617" t="s">
        <v>800</v>
      </c>
      <c r="F17617" t="s">
        <v>53771</v>
      </c>
      <c r="G17617" s="2" t="str">
        <f>HYPERLINK("https://probpalata.gov.ru/files/ЮЛ780300308200127.jpeg","Скачать индивидуальный QR-код магазина")</f>
        <v>Скачать индивидуальный QR-код магазина</v>
      </c>
    </row>
    <row r="17618" spans="1:7" x14ac:dyDescent="0.25">
      <c r="A17618" t="s">
        <v>52944</v>
      </c>
      <c r="B17618" t="s">
        <v>53772</v>
      </c>
      <c r="C17618" t="s">
        <v>798</v>
      </c>
      <c r="D17618" t="s">
        <v>799</v>
      </c>
      <c r="E17618" t="s">
        <v>800</v>
      </c>
      <c r="F17618" t="s">
        <v>53773</v>
      </c>
      <c r="G17618" s="2" t="str">
        <f>HYPERLINK("https://probpalata.gov.ru/files/ЮЛ780300308200129.jpeg","Скачать индивидуальный QR-код магазина")</f>
        <v>Скачать индивидуальный QR-код магазина</v>
      </c>
    </row>
    <row r="17619" spans="1:7" x14ac:dyDescent="0.25">
      <c r="A17619" t="s">
        <v>52944</v>
      </c>
      <c r="B17619" t="s">
        <v>53774</v>
      </c>
      <c r="C17619" t="s">
        <v>798</v>
      </c>
      <c r="D17619" t="s">
        <v>799</v>
      </c>
      <c r="E17619" t="s">
        <v>800</v>
      </c>
      <c r="F17619" t="s">
        <v>53775</v>
      </c>
      <c r="G17619" s="2" t="str">
        <f>HYPERLINK("https://probpalata.gov.ru/files/ЮЛ780300308200196.jpeg","Скачать индивидуальный QR-код магазина")</f>
        <v>Скачать индивидуальный QR-код магазина</v>
      </c>
    </row>
    <row r="17620" spans="1:7" x14ac:dyDescent="0.25">
      <c r="A17620" t="s">
        <v>52944</v>
      </c>
      <c r="B17620" t="s">
        <v>53776</v>
      </c>
      <c r="C17620" t="s">
        <v>798</v>
      </c>
      <c r="D17620" t="s">
        <v>799</v>
      </c>
      <c r="E17620" t="s">
        <v>800</v>
      </c>
      <c r="F17620" t="s">
        <v>53777</v>
      </c>
      <c r="G17620" s="2" t="str">
        <f>HYPERLINK("https://probpalata.gov.ru/files/ЮЛ780300308200512.jpeg","Скачать индивидуальный QR-код магазина")</f>
        <v>Скачать индивидуальный QR-код магазина</v>
      </c>
    </row>
    <row r="17621" spans="1:7" x14ac:dyDescent="0.25">
      <c r="A17621" t="s">
        <v>52944</v>
      </c>
      <c r="B17621" t="s">
        <v>53778</v>
      </c>
      <c r="C17621" t="s">
        <v>798</v>
      </c>
      <c r="D17621" t="s">
        <v>799</v>
      </c>
      <c r="E17621" t="s">
        <v>800</v>
      </c>
      <c r="F17621" t="s">
        <v>53779</v>
      </c>
      <c r="G17621" s="2" t="str">
        <f>HYPERLINK("https://probpalata.gov.ru/files/ЮЛ780300308200519.jpeg","Скачать индивидуальный QR-код магазина")</f>
        <v>Скачать индивидуальный QR-код магазина</v>
      </c>
    </row>
    <row r="17622" spans="1:7" x14ac:dyDescent="0.25">
      <c r="A17622" t="s">
        <v>52944</v>
      </c>
      <c r="B17622" t="s">
        <v>53780</v>
      </c>
      <c r="C17622" t="s">
        <v>798</v>
      </c>
      <c r="D17622" t="s">
        <v>799</v>
      </c>
      <c r="E17622" t="s">
        <v>800</v>
      </c>
      <c r="F17622" t="s">
        <v>53781</v>
      </c>
      <c r="G17622" s="2" t="str">
        <f>HYPERLINK("https://probpalata.gov.ru/files/ЮЛ780300308200521.jpeg","Скачать индивидуальный QR-код магазина")</f>
        <v>Скачать индивидуальный QR-код магазина</v>
      </c>
    </row>
    <row r="17623" spans="1:7" x14ac:dyDescent="0.25">
      <c r="A17623" t="s">
        <v>52944</v>
      </c>
      <c r="B17623" t="s">
        <v>53782</v>
      </c>
      <c r="C17623" t="s">
        <v>798</v>
      </c>
      <c r="D17623" t="s">
        <v>799</v>
      </c>
      <c r="E17623" t="s">
        <v>800</v>
      </c>
      <c r="F17623" t="s">
        <v>53783</v>
      </c>
      <c r="G17623" s="2" t="str">
        <f>HYPERLINK("https://probpalata.gov.ru/files/ЮЛ780300308200525.jpeg","Скачать индивидуальный QR-код магазина")</f>
        <v>Скачать индивидуальный QR-код магазина</v>
      </c>
    </row>
    <row r="17624" spans="1:7" x14ac:dyDescent="0.25">
      <c r="A17624" t="s">
        <v>52944</v>
      </c>
      <c r="B17624" t="s">
        <v>53784</v>
      </c>
      <c r="C17624" t="s">
        <v>798</v>
      </c>
      <c r="D17624" t="s">
        <v>799</v>
      </c>
      <c r="E17624" t="s">
        <v>800</v>
      </c>
      <c r="F17624" t="s">
        <v>53785</v>
      </c>
      <c r="G17624" s="2" t="str">
        <f>HYPERLINK("https://probpalata.gov.ru/files/ЮЛ780300308200529.jpeg","Скачать индивидуальный QR-код магазина")</f>
        <v>Скачать индивидуальный QR-код магазина</v>
      </c>
    </row>
    <row r="17625" spans="1:7" x14ac:dyDescent="0.25">
      <c r="A17625" t="s">
        <v>52944</v>
      </c>
      <c r="B17625" t="s">
        <v>53618</v>
      </c>
      <c r="C17625" t="s">
        <v>798</v>
      </c>
      <c r="D17625" t="s">
        <v>799</v>
      </c>
      <c r="E17625" t="s">
        <v>800</v>
      </c>
      <c r="F17625" t="s">
        <v>53786</v>
      </c>
      <c r="G17625" s="2" t="str">
        <f>HYPERLINK("https://probpalata.gov.ru/files/ЮЛ780300308200577.jpeg","Скачать индивидуальный QR-код магазина")</f>
        <v>Скачать индивидуальный QR-код магазина</v>
      </c>
    </row>
    <row r="17626" spans="1:7" x14ac:dyDescent="0.25">
      <c r="A17626" t="s">
        <v>52944</v>
      </c>
      <c r="B17626" t="s">
        <v>53787</v>
      </c>
      <c r="C17626" t="s">
        <v>798</v>
      </c>
      <c r="D17626" t="s">
        <v>799</v>
      </c>
      <c r="E17626" t="s">
        <v>800</v>
      </c>
      <c r="F17626" t="s">
        <v>53788</v>
      </c>
      <c r="G17626" s="2" t="str">
        <f>HYPERLINK("https://probpalata.gov.ru/files/ЮЛ780300308200578.jpeg","Скачать индивидуальный QR-код магазина")</f>
        <v>Скачать индивидуальный QR-код магазина</v>
      </c>
    </row>
    <row r="17627" spans="1:7" x14ac:dyDescent="0.25">
      <c r="A17627" t="s">
        <v>52944</v>
      </c>
      <c r="B17627" t="s">
        <v>53789</v>
      </c>
      <c r="C17627" t="s">
        <v>798</v>
      </c>
      <c r="D17627" t="s">
        <v>799</v>
      </c>
      <c r="E17627" t="s">
        <v>800</v>
      </c>
      <c r="F17627" t="s">
        <v>53790</v>
      </c>
      <c r="G17627" s="2" t="str">
        <f>HYPERLINK("https://probpalata.gov.ru/files/ЮЛ780300308200600.jpeg","Скачать индивидуальный QR-код магазина")</f>
        <v>Скачать индивидуальный QR-код магазина</v>
      </c>
    </row>
    <row r="17628" spans="1:7" x14ac:dyDescent="0.25">
      <c r="A17628" t="s">
        <v>52944</v>
      </c>
      <c r="B17628" t="s">
        <v>53791</v>
      </c>
      <c r="C17628" t="s">
        <v>798</v>
      </c>
      <c r="D17628" t="s">
        <v>799</v>
      </c>
      <c r="E17628" t="s">
        <v>800</v>
      </c>
      <c r="F17628" t="s">
        <v>53792</v>
      </c>
      <c r="G17628" s="2" t="str">
        <f>HYPERLINK("https://probpalata.gov.ru/files/ЮЛ780300308200788.jpeg","Скачать индивидуальный QR-код магазина")</f>
        <v>Скачать индивидуальный QR-код магазина</v>
      </c>
    </row>
    <row r="17629" spans="1:7" x14ac:dyDescent="0.25">
      <c r="A17629" t="s">
        <v>52944</v>
      </c>
      <c r="B17629" t="s">
        <v>53793</v>
      </c>
      <c r="C17629" t="s">
        <v>798</v>
      </c>
      <c r="D17629" t="s">
        <v>799</v>
      </c>
      <c r="E17629" t="s">
        <v>800</v>
      </c>
      <c r="F17629" t="s">
        <v>53794</v>
      </c>
      <c r="G17629" s="2" t="str">
        <f>HYPERLINK("https://probpalata.gov.ru/files/ЮЛ780300308200798.jpeg","Скачать индивидуальный QR-код магазина")</f>
        <v>Скачать индивидуальный QR-код магазина</v>
      </c>
    </row>
    <row r="17630" spans="1:7" x14ac:dyDescent="0.25">
      <c r="A17630" t="s">
        <v>52944</v>
      </c>
      <c r="B17630" t="s">
        <v>53795</v>
      </c>
      <c r="C17630" t="s">
        <v>798</v>
      </c>
      <c r="D17630" t="s">
        <v>799</v>
      </c>
      <c r="E17630" t="s">
        <v>800</v>
      </c>
      <c r="F17630" t="s">
        <v>53796</v>
      </c>
      <c r="G17630" s="2" t="str">
        <f>HYPERLINK("https://probpalata.gov.ru/files/ЮЛ780300308200821.jpeg","Скачать индивидуальный QR-код магазина")</f>
        <v>Скачать индивидуальный QR-код магазина</v>
      </c>
    </row>
    <row r="17631" spans="1:7" x14ac:dyDescent="0.25">
      <c r="A17631" t="s">
        <v>52944</v>
      </c>
      <c r="B17631" t="s">
        <v>53797</v>
      </c>
      <c r="C17631" t="s">
        <v>798</v>
      </c>
      <c r="D17631" t="s">
        <v>799</v>
      </c>
      <c r="E17631" t="s">
        <v>800</v>
      </c>
      <c r="F17631" t="s">
        <v>53798</v>
      </c>
      <c r="G17631" s="2" t="str">
        <f>HYPERLINK("https://probpalata.gov.ru/files/ЮЛ780300308200829.jpeg","Скачать индивидуальный QR-код магазина")</f>
        <v>Скачать индивидуальный QR-код магазина</v>
      </c>
    </row>
    <row r="17632" spans="1:7" x14ac:dyDescent="0.25">
      <c r="A17632" t="s">
        <v>52944</v>
      </c>
      <c r="B17632" t="s">
        <v>53799</v>
      </c>
      <c r="C17632" t="s">
        <v>798</v>
      </c>
      <c r="D17632" t="s">
        <v>799</v>
      </c>
      <c r="E17632" t="s">
        <v>800</v>
      </c>
      <c r="F17632" t="s">
        <v>53800</v>
      </c>
      <c r="G17632" s="2" t="str">
        <f>HYPERLINK("https://probpalata.gov.ru/files/ЮЛ780300308200846.jpeg","Скачать индивидуальный QR-код магазина")</f>
        <v>Скачать индивидуальный QR-код магазина</v>
      </c>
    </row>
    <row r="17633" spans="1:7" x14ac:dyDescent="0.25">
      <c r="A17633" t="s">
        <v>52944</v>
      </c>
      <c r="B17633" t="s">
        <v>53801</v>
      </c>
      <c r="C17633" t="s">
        <v>798</v>
      </c>
      <c r="D17633" t="s">
        <v>799</v>
      </c>
      <c r="E17633" t="s">
        <v>800</v>
      </c>
      <c r="F17633" t="s">
        <v>53802</v>
      </c>
      <c r="G17633" s="2" t="str">
        <f>HYPERLINK("https://probpalata.gov.ru/files/ЮЛ780300308200851.jpeg","Скачать индивидуальный QR-код магазина")</f>
        <v>Скачать индивидуальный QR-код магазина</v>
      </c>
    </row>
    <row r="17634" spans="1:7" x14ac:dyDescent="0.25">
      <c r="A17634" t="s">
        <v>52944</v>
      </c>
      <c r="B17634" t="s">
        <v>53803</v>
      </c>
      <c r="C17634" t="s">
        <v>798</v>
      </c>
      <c r="D17634" t="s">
        <v>799</v>
      </c>
      <c r="E17634" t="s">
        <v>800</v>
      </c>
      <c r="F17634" t="s">
        <v>53804</v>
      </c>
      <c r="G17634" s="2" t="str">
        <f>HYPERLINK("https://probpalata.gov.ru/files/ЮЛ780300308200853.jpeg","Скачать индивидуальный QR-код магазина")</f>
        <v>Скачать индивидуальный QR-код магазина</v>
      </c>
    </row>
    <row r="17635" spans="1:7" x14ac:dyDescent="0.25">
      <c r="A17635" t="s">
        <v>52944</v>
      </c>
      <c r="B17635" t="s">
        <v>53805</v>
      </c>
      <c r="C17635" t="s">
        <v>798</v>
      </c>
      <c r="D17635" t="s">
        <v>799</v>
      </c>
      <c r="E17635" t="s">
        <v>800</v>
      </c>
      <c r="F17635" t="s">
        <v>53806</v>
      </c>
      <c r="G17635" s="2" t="str">
        <f>HYPERLINK("https://probpalata.gov.ru/files/ЮЛ780300308200856.jpeg","Скачать индивидуальный QR-код магазина")</f>
        <v>Скачать индивидуальный QR-код магазина</v>
      </c>
    </row>
    <row r="17636" spans="1:7" x14ac:dyDescent="0.25">
      <c r="A17636" t="s">
        <v>52944</v>
      </c>
      <c r="B17636" t="s">
        <v>53807</v>
      </c>
      <c r="C17636" t="s">
        <v>798</v>
      </c>
      <c r="D17636" t="s">
        <v>799</v>
      </c>
      <c r="E17636" t="s">
        <v>800</v>
      </c>
      <c r="F17636" t="s">
        <v>53808</v>
      </c>
      <c r="G17636" s="2" t="str">
        <f>HYPERLINK("https://probpalata.gov.ru/files/ЮЛ780300308200885.jpeg","Скачать индивидуальный QR-код магазина")</f>
        <v>Скачать индивидуальный QR-код магазина</v>
      </c>
    </row>
    <row r="17637" spans="1:7" x14ac:dyDescent="0.25">
      <c r="A17637" t="s">
        <v>52944</v>
      </c>
      <c r="B17637" t="s">
        <v>53809</v>
      </c>
      <c r="C17637" t="s">
        <v>798</v>
      </c>
      <c r="D17637" t="s">
        <v>799</v>
      </c>
      <c r="E17637" t="s">
        <v>800</v>
      </c>
      <c r="F17637" t="s">
        <v>53810</v>
      </c>
      <c r="G17637" s="2" t="str">
        <f>HYPERLINK("https://probpalata.gov.ru/files/ЮЛ780300308200889.jpeg","Скачать индивидуальный QR-код магазина")</f>
        <v>Скачать индивидуальный QR-код магазина</v>
      </c>
    </row>
    <row r="17638" spans="1:7" x14ac:dyDescent="0.25">
      <c r="A17638" t="s">
        <v>52944</v>
      </c>
      <c r="B17638" t="s">
        <v>53811</v>
      </c>
      <c r="C17638" t="s">
        <v>798</v>
      </c>
      <c r="D17638" t="s">
        <v>799</v>
      </c>
      <c r="E17638" t="s">
        <v>800</v>
      </c>
      <c r="F17638" t="s">
        <v>53812</v>
      </c>
      <c r="G17638" s="2" t="str">
        <f>HYPERLINK("https://probpalata.gov.ru/files/ЮЛ780300308200891.jpeg","Скачать индивидуальный QR-код магазина")</f>
        <v>Скачать индивидуальный QR-код магазина</v>
      </c>
    </row>
    <row r="17639" spans="1:7" x14ac:dyDescent="0.25">
      <c r="A17639" t="s">
        <v>52944</v>
      </c>
      <c r="B17639" t="s">
        <v>53813</v>
      </c>
      <c r="C17639" t="s">
        <v>798</v>
      </c>
      <c r="D17639" t="s">
        <v>799</v>
      </c>
      <c r="E17639" t="s">
        <v>800</v>
      </c>
      <c r="F17639" t="s">
        <v>53814</v>
      </c>
      <c r="G17639" s="2" t="str">
        <f>HYPERLINK("https://probpalata.gov.ru/files/ЮЛ780300308200893.jpeg","Скачать индивидуальный QR-код магазина")</f>
        <v>Скачать индивидуальный QR-код магазина</v>
      </c>
    </row>
    <row r="17640" spans="1:7" x14ac:dyDescent="0.25">
      <c r="A17640" t="s">
        <v>52944</v>
      </c>
      <c r="B17640" t="s">
        <v>53723</v>
      </c>
      <c r="C17640" t="s">
        <v>798</v>
      </c>
      <c r="D17640" t="s">
        <v>799</v>
      </c>
      <c r="E17640" t="s">
        <v>800</v>
      </c>
      <c r="F17640" t="s">
        <v>53815</v>
      </c>
      <c r="G17640" s="2" t="str">
        <f>HYPERLINK("https://probpalata.gov.ru/files/ЮЛ780300308200895.jpeg","Скачать индивидуальный QR-код магазина")</f>
        <v>Скачать индивидуальный QR-код магазина</v>
      </c>
    </row>
    <row r="17641" spans="1:7" x14ac:dyDescent="0.25">
      <c r="A17641" t="s">
        <v>52944</v>
      </c>
      <c r="B17641" t="s">
        <v>53816</v>
      </c>
      <c r="C17641" t="s">
        <v>798</v>
      </c>
      <c r="D17641" t="s">
        <v>799</v>
      </c>
      <c r="E17641" t="s">
        <v>800</v>
      </c>
      <c r="F17641" t="s">
        <v>53817</v>
      </c>
      <c r="G17641" s="2" t="str">
        <f>HYPERLINK("https://probpalata.gov.ru/files/ЮЛ780300308200900.jpeg","Скачать индивидуальный QR-код магазина")</f>
        <v>Скачать индивидуальный QR-код магазина</v>
      </c>
    </row>
    <row r="17642" spans="1:7" x14ac:dyDescent="0.25">
      <c r="A17642" t="s">
        <v>52944</v>
      </c>
      <c r="B17642" t="s">
        <v>53818</v>
      </c>
      <c r="C17642" t="s">
        <v>798</v>
      </c>
      <c r="D17642" t="s">
        <v>799</v>
      </c>
      <c r="E17642" t="s">
        <v>800</v>
      </c>
      <c r="F17642" t="s">
        <v>53819</v>
      </c>
      <c r="G17642" s="2" t="str">
        <f>HYPERLINK("https://probpalata.gov.ru/files/ЮЛ780300308200986.jpeg","Скачать индивидуальный QR-код магазина")</f>
        <v>Скачать индивидуальный QR-код магазина</v>
      </c>
    </row>
    <row r="17643" spans="1:7" x14ac:dyDescent="0.25">
      <c r="A17643" t="s">
        <v>52944</v>
      </c>
      <c r="B17643" t="s">
        <v>53820</v>
      </c>
      <c r="C17643" t="s">
        <v>798</v>
      </c>
      <c r="D17643" t="s">
        <v>799</v>
      </c>
      <c r="E17643" t="s">
        <v>800</v>
      </c>
      <c r="F17643" t="s">
        <v>53821</v>
      </c>
      <c r="G17643" s="2" t="str">
        <f>HYPERLINK("https://probpalata.gov.ru/files/ЮЛ780300308201097.jpeg","Скачать индивидуальный QR-код магазина")</f>
        <v>Скачать индивидуальный QR-код магазина</v>
      </c>
    </row>
    <row r="17644" spans="1:7" x14ac:dyDescent="0.25">
      <c r="A17644" t="s">
        <v>52944</v>
      </c>
      <c r="B17644" t="s">
        <v>53822</v>
      </c>
      <c r="C17644" t="s">
        <v>798</v>
      </c>
      <c r="D17644" t="s">
        <v>799</v>
      </c>
      <c r="E17644" t="s">
        <v>800</v>
      </c>
      <c r="F17644" t="s">
        <v>53823</v>
      </c>
      <c r="G17644" s="2" t="str">
        <f>HYPERLINK("https://probpalata.gov.ru/files/ЮЛ780300308201194.jpeg","Скачать индивидуальный QR-код магазина")</f>
        <v>Скачать индивидуальный QR-код магазина</v>
      </c>
    </row>
    <row r="17645" spans="1:7" x14ac:dyDescent="0.25">
      <c r="A17645" t="s">
        <v>52944</v>
      </c>
      <c r="B17645" t="s">
        <v>53824</v>
      </c>
      <c r="C17645" t="s">
        <v>823</v>
      </c>
      <c r="D17645" t="s">
        <v>824</v>
      </c>
      <c r="E17645" t="s">
        <v>825</v>
      </c>
      <c r="F17645" t="s">
        <v>53825</v>
      </c>
      <c r="G17645" s="2" t="str">
        <f>HYPERLINK("https://probpalata.gov.ru/files/ЮЛ780300363500139.jpeg","Скачать индивидуальный QR-код магазина")</f>
        <v>Скачать индивидуальный QR-код магазина</v>
      </c>
    </row>
    <row r="17646" spans="1:7" x14ac:dyDescent="0.25">
      <c r="A17646" t="s">
        <v>52944</v>
      </c>
      <c r="B17646" t="s">
        <v>53764</v>
      </c>
      <c r="C17646" t="s">
        <v>823</v>
      </c>
      <c r="D17646" t="s">
        <v>824</v>
      </c>
      <c r="E17646" t="s">
        <v>825</v>
      </c>
      <c r="F17646" t="s">
        <v>53826</v>
      </c>
      <c r="G17646" s="2" t="str">
        <f>HYPERLINK("https://probpalata.gov.ru/files/ЮЛ780300363500215.jpeg","Скачать индивидуальный QR-код магазина")</f>
        <v>Скачать индивидуальный QR-код магазина</v>
      </c>
    </row>
    <row r="17647" spans="1:7" x14ac:dyDescent="0.25">
      <c r="A17647" t="s">
        <v>52944</v>
      </c>
      <c r="B17647" t="s">
        <v>53827</v>
      </c>
      <c r="C17647" t="s">
        <v>53828</v>
      </c>
      <c r="D17647" t="s">
        <v>53829</v>
      </c>
      <c r="E17647" t="s">
        <v>53830</v>
      </c>
      <c r="F17647" t="s">
        <v>53831</v>
      </c>
      <c r="G17647" s="2" t="str">
        <f>HYPERLINK("https://probpalata.gov.ru/files/ИП260503888700000.jpeg","Скачать индивидуальный QR-код магазина")</f>
        <v>Скачать индивидуальный QR-код магазина</v>
      </c>
    </row>
    <row r="17648" spans="1:7" x14ac:dyDescent="0.25">
      <c r="A17648" t="s">
        <v>52944</v>
      </c>
      <c r="B17648" t="s">
        <v>53832</v>
      </c>
      <c r="C17648" t="s">
        <v>1501</v>
      </c>
      <c r="D17648" t="s">
        <v>1502</v>
      </c>
      <c r="E17648" t="s">
        <v>1503</v>
      </c>
      <c r="F17648" t="s">
        <v>53833</v>
      </c>
      <c r="G17648" s="2" t="str">
        <f>HYPERLINK("https://probpalata.gov.ru/files/ЮЛ770100439200213.jpeg","Скачать индивидуальный QR-код магазина")</f>
        <v>Скачать индивидуальный QR-код магазина</v>
      </c>
    </row>
    <row r="17649" spans="1:7" x14ac:dyDescent="0.25">
      <c r="A17649" t="s">
        <v>52944</v>
      </c>
      <c r="B17649" t="s">
        <v>53834</v>
      </c>
      <c r="C17649" t="s">
        <v>1501</v>
      </c>
      <c r="D17649" t="s">
        <v>1502</v>
      </c>
      <c r="E17649" t="s">
        <v>1503</v>
      </c>
      <c r="F17649" t="s">
        <v>53835</v>
      </c>
      <c r="G17649" s="2" t="str">
        <f>HYPERLINK("https://probpalata.gov.ru/files/ЮЛ770100439200223.jpeg","Скачать индивидуальный QR-код магазина")</f>
        <v>Скачать индивидуальный QR-код магазина</v>
      </c>
    </row>
    <row r="17650" spans="1:7" x14ac:dyDescent="0.25">
      <c r="A17650" t="s">
        <v>53836</v>
      </c>
      <c r="B17650" t="s">
        <v>53837</v>
      </c>
      <c r="C17650" t="s">
        <v>6443</v>
      </c>
      <c r="D17650" t="s">
        <v>6444</v>
      </c>
      <c r="E17650" t="s">
        <v>6445</v>
      </c>
      <c r="F17650" t="s">
        <v>53838</v>
      </c>
      <c r="G17650" s="2" t="str">
        <f>HYPERLINK("https://probpalata.gov.ru/files/ИП520600153500010.jpeg","Скачать индивидуальный QR-код магазина")</f>
        <v>Скачать индивидуальный QR-код магазина</v>
      </c>
    </row>
    <row r="17651" spans="1:7" x14ac:dyDescent="0.25">
      <c r="A17651" t="s">
        <v>53836</v>
      </c>
      <c r="B17651" t="s">
        <v>53839</v>
      </c>
      <c r="C17651" t="s">
        <v>2443</v>
      </c>
      <c r="D17651" t="s">
        <v>2444</v>
      </c>
      <c r="E17651" t="s">
        <v>2445</v>
      </c>
      <c r="F17651" t="s">
        <v>53840</v>
      </c>
      <c r="G17651" s="2" t="str">
        <f>HYPERLINK("https://probpalata.gov.ru/files/ИП770100193400006.jpeg","Скачать индивидуальный QR-код магазина")</f>
        <v>Скачать индивидуальный QR-код магазина</v>
      </c>
    </row>
    <row r="17652" spans="1:7" x14ac:dyDescent="0.25">
      <c r="A17652" t="s">
        <v>53836</v>
      </c>
      <c r="B17652" t="s">
        <v>53841</v>
      </c>
      <c r="C17652" t="s">
        <v>2185</v>
      </c>
      <c r="D17652" t="s">
        <v>2186</v>
      </c>
      <c r="E17652" t="s">
        <v>2187</v>
      </c>
      <c r="F17652" t="s">
        <v>53842</v>
      </c>
      <c r="G17652" s="2" t="str">
        <f>HYPERLINK("https://probpalata.gov.ru/files/ЮЛ480100215000027.jpeg","Скачать индивидуальный QR-код магазина")</f>
        <v>Скачать индивидуальный QR-код магазина</v>
      </c>
    </row>
    <row r="17653" spans="1:7" x14ac:dyDescent="0.25">
      <c r="A17653" t="s">
        <v>53836</v>
      </c>
      <c r="B17653" t="s">
        <v>53843</v>
      </c>
      <c r="C17653" t="s">
        <v>2185</v>
      </c>
      <c r="D17653" t="s">
        <v>2186</v>
      </c>
      <c r="E17653" t="s">
        <v>2187</v>
      </c>
      <c r="F17653" t="s">
        <v>53844</v>
      </c>
      <c r="G17653" s="2" t="str">
        <f>HYPERLINK("https://probpalata.gov.ru/files/ЮЛ480100215000037.jpeg","Скачать индивидуальный QR-код магазина")</f>
        <v>Скачать индивидуальный QR-код магазина</v>
      </c>
    </row>
    <row r="17654" spans="1:7" x14ac:dyDescent="0.25">
      <c r="A17654" t="s">
        <v>53836</v>
      </c>
      <c r="B17654" t="s">
        <v>53845</v>
      </c>
      <c r="C17654" t="s">
        <v>671</v>
      </c>
      <c r="D17654" t="s">
        <v>672</v>
      </c>
      <c r="E17654" t="s">
        <v>673</v>
      </c>
      <c r="F17654" t="s">
        <v>53846</v>
      </c>
      <c r="G17654" s="2" t="str">
        <f>HYPERLINK("https://probpalata.gov.ru/files/ИП500100445500125.jpeg","Скачать индивидуальный QR-код магазина")</f>
        <v>Скачать индивидуальный QR-код магазина</v>
      </c>
    </row>
    <row r="17655" spans="1:7" x14ac:dyDescent="0.25">
      <c r="A17655" t="s">
        <v>53836</v>
      </c>
      <c r="B17655" t="s">
        <v>53847</v>
      </c>
      <c r="C17655" t="s">
        <v>1735</v>
      </c>
      <c r="D17655" t="s">
        <v>1736</v>
      </c>
      <c r="E17655" t="s">
        <v>1737</v>
      </c>
      <c r="F17655" t="s">
        <v>53848</v>
      </c>
      <c r="G17655" s="2" t="str">
        <f>HYPERLINK("https://probpalata.gov.ru/files/ЮЛ520603376600069.jpeg","Скачать индивидуальный QR-код магазина")</f>
        <v>Скачать индивидуальный QR-код магазина</v>
      </c>
    </row>
    <row r="17656" spans="1:7" x14ac:dyDescent="0.25">
      <c r="A17656" t="s">
        <v>53836</v>
      </c>
      <c r="B17656" t="s">
        <v>53849</v>
      </c>
      <c r="C17656" t="s">
        <v>53850</v>
      </c>
      <c r="D17656" t="s">
        <v>53851</v>
      </c>
      <c r="E17656" t="s">
        <v>53852</v>
      </c>
      <c r="F17656" t="s">
        <v>53853</v>
      </c>
      <c r="G17656" s="2" t="str">
        <f>HYPERLINK("https://probpalata.gov.ru/files/ЮЛ680103313100000.jpeg","Скачать индивидуальный QR-код магазина")</f>
        <v>Скачать индивидуальный QR-код магазина</v>
      </c>
    </row>
    <row r="17657" spans="1:7" x14ac:dyDescent="0.25">
      <c r="A17657" t="s">
        <v>53836</v>
      </c>
      <c r="B17657" t="s">
        <v>53854</v>
      </c>
      <c r="C17657" t="s">
        <v>53850</v>
      </c>
      <c r="D17657" t="s">
        <v>53851</v>
      </c>
      <c r="E17657" t="s">
        <v>53852</v>
      </c>
      <c r="F17657" t="s">
        <v>53855</v>
      </c>
      <c r="G17657" s="2" t="str">
        <f>HYPERLINK("https://probpalata.gov.ru/files/ЮЛ680103313100001.jpeg","Скачать индивидуальный QR-код магазина")</f>
        <v>Скачать индивидуальный QR-код магазина</v>
      </c>
    </row>
    <row r="17658" spans="1:7" x14ac:dyDescent="0.25">
      <c r="A17658" t="s">
        <v>53836</v>
      </c>
      <c r="B17658" t="s">
        <v>53856</v>
      </c>
      <c r="C17658" t="s">
        <v>53850</v>
      </c>
      <c r="D17658" t="s">
        <v>53851</v>
      </c>
      <c r="E17658" t="s">
        <v>53852</v>
      </c>
      <c r="F17658" t="s">
        <v>53857</v>
      </c>
      <c r="G17658" s="2" t="str">
        <f>HYPERLINK("https://probpalata.gov.ru/files/ЮЛ680103313100002.jpeg","Скачать индивидуальный QR-код магазина")</f>
        <v>Скачать индивидуальный QR-код магазина</v>
      </c>
    </row>
    <row r="17659" spans="1:7" x14ac:dyDescent="0.25">
      <c r="A17659" t="s">
        <v>53836</v>
      </c>
      <c r="B17659" t="s">
        <v>53858</v>
      </c>
      <c r="C17659" t="s">
        <v>53859</v>
      </c>
      <c r="D17659" t="s">
        <v>53860</v>
      </c>
      <c r="E17659" t="s">
        <v>53861</v>
      </c>
      <c r="F17659" t="s">
        <v>53862</v>
      </c>
      <c r="G17659" s="2" t="str">
        <f>HYPERLINK("https://probpalata.gov.ru/files/ЮЛ680103726300000.jpeg","Скачать индивидуальный QR-код магазина")</f>
        <v>Скачать индивидуальный QR-код магазина</v>
      </c>
    </row>
    <row r="17660" spans="1:7" x14ac:dyDescent="0.25">
      <c r="A17660" t="s">
        <v>53836</v>
      </c>
      <c r="B17660" t="s">
        <v>53863</v>
      </c>
      <c r="C17660" t="s">
        <v>53864</v>
      </c>
      <c r="D17660" t="s">
        <v>53865</v>
      </c>
      <c r="E17660" t="s">
        <v>53866</v>
      </c>
      <c r="F17660" t="s">
        <v>53867</v>
      </c>
      <c r="G17660" s="2" t="str">
        <f>HYPERLINK("https://probpalata.gov.ru/files/ИП680100204800000.jpeg","Скачать индивидуальный QR-код магазина")</f>
        <v>Скачать индивидуальный QR-код магазина</v>
      </c>
    </row>
    <row r="17661" spans="1:7" x14ac:dyDescent="0.25">
      <c r="A17661" t="s">
        <v>53836</v>
      </c>
      <c r="B17661" t="s">
        <v>53868</v>
      </c>
      <c r="C17661" t="s">
        <v>53869</v>
      </c>
      <c r="D17661" t="s">
        <v>53870</v>
      </c>
      <c r="E17661" t="s">
        <v>53871</v>
      </c>
      <c r="F17661" t="s">
        <v>53872</v>
      </c>
      <c r="G17661" s="2" t="str">
        <f>HYPERLINK("https://probpalata.gov.ru/files/ИП680100236500000.jpeg","Скачать индивидуальный QR-код магазина")</f>
        <v>Скачать индивидуальный QR-код магазина</v>
      </c>
    </row>
    <row r="17662" spans="1:7" x14ac:dyDescent="0.25">
      <c r="A17662" t="s">
        <v>53836</v>
      </c>
      <c r="B17662" t="s">
        <v>53873</v>
      </c>
      <c r="C17662" t="s">
        <v>53869</v>
      </c>
      <c r="D17662" t="s">
        <v>53870</v>
      </c>
      <c r="E17662" t="s">
        <v>53871</v>
      </c>
      <c r="F17662" t="s">
        <v>53874</v>
      </c>
      <c r="G17662" s="2" t="str">
        <f>HYPERLINK("https://probpalata.gov.ru/files/ИП680100236500001.jpeg","Скачать индивидуальный QR-код магазина")</f>
        <v>Скачать индивидуальный QR-код магазина</v>
      </c>
    </row>
    <row r="17663" spans="1:7" x14ac:dyDescent="0.25">
      <c r="A17663" t="s">
        <v>53836</v>
      </c>
      <c r="B17663" t="s">
        <v>53868</v>
      </c>
      <c r="C17663" t="s">
        <v>53869</v>
      </c>
      <c r="D17663" t="s">
        <v>53870</v>
      </c>
      <c r="E17663" t="s">
        <v>53871</v>
      </c>
      <c r="F17663" t="s">
        <v>53875</v>
      </c>
      <c r="G17663" s="2" t="str">
        <f>HYPERLINK("https://probpalata.gov.ru/files/ИП680100236500002.jpeg","Скачать индивидуальный QR-код магазина")</f>
        <v>Скачать индивидуальный QR-код магазина</v>
      </c>
    </row>
    <row r="17664" spans="1:7" x14ac:dyDescent="0.25">
      <c r="A17664" t="s">
        <v>53836</v>
      </c>
      <c r="B17664" t="s">
        <v>53876</v>
      </c>
      <c r="C17664" t="s">
        <v>53869</v>
      </c>
      <c r="D17664" t="s">
        <v>53870</v>
      </c>
      <c r="E17664" t="s">
        <v>53871</v>
      </c>
      <c r="F17664" t="s">
        <v>53877</v>
      </c>
      <c r="G17664" s="2" t="str">
        <f>HYPERLINK("https://probpalata.gov.ru/files/ИП680100236500003.jpeg","Скачать индивидуальный QR-код магазина")</f>
        <v>Скачать индивидуальный QR-код магазина</v>
      </c>
    </row>
    <row r="17665" spans="1:7" x14ac:dyDescent="0.25">
      <c r="A17665" t="s">
        <v>53836</v>
      </c>
      <c r="B17665" t="s">
        <v>53878</v>
      </c>
      <c r="C17665" t="s">
        <v>53869</v>
      </c>
      <c r="D17665" t="s">
        <v>53870</v>
      </c>
      <c r="E17665" t="s">
        <v>53871</v>
      </c>
      <c r="F17665" t="s">
        <v>53879</v>
      </c>
      <c r="G17665" s="2" t="str">
        <f>HYPERLINK("https://probpalata.gov.ru/files/ИП680100236500004.jpeg","Скачать индивидуальный QR-код магазина")</f>
        <v>Скачать индивидуальный QR-код магазина</v>
      </c>
    </row>
    <row r="17666" spans="1:7" x14ac:dyDescent="0.25">
      <c r="A17666" t="s">
        <v>53836</v>
      </c>
      <c r="B17666" t="s">
        <v>53880</v>
      </c>
      <c r="C17666" t="s">
        <v>53869</v>
      </c>
      <c r="D17666" t="s">
        <v>53870</v>
      </c>
      <c r="E17666" t="s">
        <v>53871</v>
      </c>
      <c r="F17666" t="s">
        <v>53881</v>
      </c>
      <c r="G17666" s="2" t="str">
        <f>HYPERLINK("https://probpalata.gov.ru/files/ИП680100236500005.jpeg","Скачать индивидуальный QR-код магазина")</f>
        <v>Скачать индивидуальный QR-код магазина</v>
      </c>
    </row>
    <row r="17667" spans="1:7" x14ac:dyDescent="0.25">
      <c r="A17667" t="s">
        <v>53836</v>
      </c>
      <c r="B17667" t="s">
        <v>53882</v>
      </c>
      <c r="C17667" t="s">
        <v>53869</v>
      </c>
      <c r="D17667" t="s">
        <v>53870</v>
      </c>
      <c r="E17667" t="s">
        <v>53871</v>
      </c>
      <c r="F17667" t="s">
        <v>53883</v>
      </c>
      <c r="G17667" s="2" t="str">
        <f>HYPERLINK("https://probpalata.gov.ru/files/ИП680100236500006.jpeg","Скачать индивидуальный QR-код магазина")</f>
        <v>Скачать индивидуальный QR-код магазина</v>
      </c>
    </row>
    <row r="17668" spans="1:7" x14ac:dyDescent="0.25">
      <c r="A17668" t="s">
        <v>53836</v>
      </c>
      <c r="B17668" t="s">
        <v>53884</v>
      </c>
      <c r="C17668" t="s">
        <v>53869</v>
      </c>
      <c r="D17668" t="s">
        <v>53870</v>
      </c>
      <c r="E17668" t="s">
        <v>53871</v>
      </c>
      <c r="F17668" t="s">
        <v>53885</v>
      </c>
      <c r="G17668" s="2" t="str">
        <f>HYPERLINK("https://probpalata.gov.ru/files/ИП680100236500007.jpeg","Скачать индивидуальный QR-код магазина")</f>
        <v>Скачать индивидуальный QR-код магазина</v>
      </c>
    </row>
    <row r="17669" spans="1:7" x14ac:dyDescent="0.25">
      <c r="A17669" t="s">
        <v>53836</v>
      </c>
      <c r="B17669" t="s">
        <v>53886</v>
      </c>
      <c r="C17669" t="s">
        <v>53887</v>
      </c>
      <c r="D17669" t="s">
        <v>53888</v>
      </c>
      <c r="E17669" t="s">
        <v>53889</v>
      </c>
      <c r="F17669" t="s">
        <v>53890</v>
      </c>
      <c r="G17669" s="2" t="str">
        <f>HYPERLINK("https://probpalata.gov.ru/files/ИП680101432800000.jpeg","Скачать индивидуальный QR-код магазина")</f>
        <v>Скачать индивидуальный QR-код магазина</v>
      </c>
    </row>
    <row r="17670" spans="1:7" x14ac:dyDescent="0.25">
      <c r="A17670" t="s">
        <v>53836</v>
      </c>
      <c r="B17670" t="s">
        <v>53891</v>
      </c>
      <c r="C17670" t="s">
        <v>53892</v>
      </c>
      <c r="D17670" t="s">
        <v>53893</v>
      </c>
      <c r="E17670" t="s">
        <v>53894</v>
      </c>
      <c r="F17670" t="s">
        <v>53895</v>
      </c>
      <c r="G17670" s="2" t="str">
        <f>HYPERLINK("https://probpalata.gov.ru/files/ИП680100765000000.jpeg","Скачать индивидуальный QR-код магазина")</f>
        <v>Скачать индивидуальный QR-код магазина</v>
      </c>
    </row>
    <row r="17671" spans="1:7" x14ac:dyDescent="0.25">
      <c r="A17671" t="s">
        <v>53836</v>
      </c>
      <c r="B17671" t="s">
        <v>53896</v>
      </c>
      <c r="C17671" t="s">
        <v>53892</v>
      </c>
      <c r="D17671" t="s">
        <v>53893</v>
      </c>
      <c r="E17671" t="s">
        <v>53894</v>
      </c>
      <c r="F17671" t="s">
        <v>53897</v>
      </c>
      <c r="G17671" s="2" t="str">
        <f>HYPERLINK("https://probpalata.gov.ru/files/ИП680100765000002.jpeg","Скачать индивидуальный QR-код магазина")</f>
        <v>Скачать индивидуальный QR-код магазина</v>
      </c>
    </row>
    <row r="17672" spans="1:7" x14ac:dyDescent="0.25">
      <c r="A17672" t="s">
        <v>53836</v>
      </c>
      <c r="B17672" t="s">
        <v>53898</v>
      </c>
      <c r="C17672" t="s">
        <v>5023</v>
      </c>
      <c r="D17672" t="s">
        <v>53899</v>
      </c>
      <c r="E17672" t="s">
        <v>53900</v>
      </c>
      <c r="F17672" t="s">
        <v>53901</v>
      </c>
      <c r="G17672" s="2" t="str">
        <f>HYPERLINK("https://probpalata.gov.ru/files/ЮЛ680103486800000.jpeg","Скачать индивидуальный QR-код магазина")</f>
        <v>Скачать индивидуальный QR-код магазина</v>
      </c>
    </row>
    <row r="17673" spans="1:7" x14ac:dyDescent="0.25">
      <c r="A17673" t="s">
        <v>53836</v>
      </c>
      <c r="B17673" t="s">
        <v>53902</v>
      </c>
      <c r="C17673" t="s">
        <v>53903</v>
      </c>
      <c r="D17673" t="s">
        <v>53904</v>
      </c>
      <c r="E17673" t="s">
        <v>53905</v>
      </c>
      <c r="F17673" t="s">
        <v>53906</v>
      </c>
      <c r="G17673" s="2" t="str">
        <f>HYPERLINK("https://probpalata.gov.ru/files/ЮЛ680100081800000.jpeg","Скачать индивидуальный QR-код магазина")</f>
        <v>Скачать индивидуальный QR-код магазина</v>
      </c>
    </row>
    <row r="17674" spans="1:7" x14ac:dyDescent="0.25">
      <c r="A17674" t="s">
        <v>53836</v>
      </c>
      <c r="B17674" t="s">
        <v>53907</v>
      </c>
      <c r="C17674" t="s">
        <v>53903</v>
      </c>
      <c r="D17674" t="s">
        <v>53904</v>
      </c>
      <c r="E17674" t="s">
        <v>53905</v>
      </c>
      <c r="F17674" t="s">
        <v>53908</v>
      </c>
      <c r="G17674" s="2" t="str">
        <f>HYPERLINK("https://probpalata.gov.ru/files/ЮЛ680100081800001.jpeg","Скачать индивидуальный QR-код магазина")</f>
        <v>Скачать индивидуальный QR-код магазина</v>
      </c>
    </row>
    <row r="17675" spans="1:7" x14ac:dyDescent="0.25">
      <c r="A17675" t="s">
        <v>53836</v>
      </c>
      <c r="B17675" t="s">
        <v>53909</v>
      </c>
      <c r="C17675" t="s">
        <v>53903</v>
      </c>
      <c r="D17675" t="s">
        <v>53904</v>
      </c>
      <c r="E17675" t="s">
        <v>53905</v>
      </c>
      <c r="F17675" t="s">
        <v>53910</v>
      </c>
      <c r="G17675" s="2" t="str">
        <f>HYPERLINK("https://probpalata.gov.ru/files/ЮЛ680100081800002.jpeg","Скачать индивидуальный QR-код магазина")</f>
        <v>Скачать индивидуальный QR-код магазина</v>
      </c>
    </row>
    <row r="17676" spans="1:7" x14ac:dyDescent="0.25">
      <c r="A17676" t="s">
        <v>53836</v>
      </c>
      <c r="B17676" t="s">
        <v>53911</v>
      </c>
      <c r="C17676" t="s">
        <v>53912</v>
      </c>
      <c r="D17676" t="s">
        <v>53913</v>
      </c>
      <c r="E17676" t="s">
        <v>53914</v>
      </c>
      <c r="F17676" t="s">
        <v>53915</v>
      </c>
      <c r="G17676" s="2" t="str">
        <f>HYPERLINK("https://probpalata.gov.ru/files/ИП680101130600000.jpeg","Скачать индивидуальный QR-код магазина")</f>
        <v>Скачать индивидуальный QR-код магазина</v>
      </c>
    </row>
    <row r="17677" spans="1:7" x14ac:dyDescent="0.25">
      <c r="A17677" t="s">
        <v>53836</v>
      </c>
      <c r="B17677" t="s">
        <v>53916</v>
      </c>
      <c r="C17677" t="s">
        <v>53917</v>
      </c>
      <c r="D17677" t="s">
        <v>53918</v>
      </c>
      <c r="E17677" t="s">
        <v>53919</v>
      </c>
      <c r="F17677" t="s">
        <v>53920</v>
      </c>
      <c r="G17677" s="2" t="str">
        <f>HYPERLINK("https://probpalata.gov.ru/files/ЮЛ680100725000000.jpeg","Скачать индивидуальный QR-код магазина")</f>
        <v>Скачать индивидуальный QR-код магазина</v>
      </c>
    </row>
    <row r="17678" spans="1:7" x14ac:dyDescent="0.25">
      <c r="A17678" t="s">
        <v>53836</v>
      </c>
      <c r="B17678" t="s">
        <v>53921</v>
      </c>
      <c r="C17678" t="s">
        <v>53922</v>
      </c>
      <c r="D17678" t="s">
        <v>53923</v>
      </c>
      <c r="E17678" t="s">
        <v>53924</v>
      </c>
      <c r="F17678" t="s">
        <v>53925</v>
      </c>
      <c r="G17678" s="2" t="str">
        <f>HYPERLINK("https://probpalata.gov.ru/files/ЮЛ680100374800000.jpeg","Скачать индивидуальный QR-код магазина")</f>
        <v>Скачать индивидуальный QR-код магазина</v>
      </c>
    </row>
    <row r="17679" spans="1:7" x14ac:dyDescent="0.25">
      <c r="A17679" t="s">
        <v>53836</v>
      </c>
      <c r="B17679" t="s">
        <v>53926</v>
      </c>
      <c r="C17679" t="s">
        <v>53922</v>
      </c>
      <c r="D17679" t="s">
        <v>53923</v>
      </c>
      <c r="E17679" t="s">
        <v>53924</v>
      </c>
      <c r="F17679" t="s">
        <v>53927</v>
      </c>
      <c r="G17679" s="2" t="str">
        <f>HYPERLINK("https://probpalata.gov.ru/files/ЮЛ680100374800001.jpeg","Скачать индивидуальный QR-код магазина")</f>
        <v>Скачать индивидуальный QR-код магазина</v>
      </c>
    </row>
    <row r="17680" spans="1:7" x14ac:dyDescent="0.25">
      <c r="A17680" t="s">
        <v>53836</v>
      </c>
      <c r="B17680" t="s">
        <v>53928</v>
      </c>
      <c r="C17680" t="s">
        <v>53922</v>
      </c>
      <c r="D17680" t="s">
        <v>53923</v>
      </c>
      <c r="E17680" t="s">
        <v>53924</v>
      </c>
      <c r="F17680" t="s">
        <v>53929</v>
      </c>
      <c r="G17680" s="2" t="str">
        <f>HYPERLINK("https://probpalata.gov.ru/files/ЮЛ680100374800002.jpeg","Скачать индивидуальный QR-код магазина")</f>
        <v>Скачать индивидуальный QR-код магазина</v>
      </c>
    </row>
    <row r="17681" spans="1:7" x14ac:dyDescent="0.25">
      <c r="A17681" t="s">
        <v>53836</v>
      </c>
      <c r="B17681" t="s">
        <v>53930</v>
      </c>
      <c r="C17681" t="s">
        <v>53931</v>
      </c>
      <c r="D17681" t="s">
        <v>53932</v>
      </c>
      <c r="E17681" t="s">
        <v>53933</v>
      </c>
      <c r="F17681" t="s">
        <v>53934</v>
      </c>
      <c r="G17681" s="2" t="str">
        <f>HYPERLINK("https://probpalata.gov.ru/files/ИП680101368100000.jpeg","Скачать индивидуальный QR-код магазина")</f>
        <v>Скачать индивидуальный QR-код магазина</v>
      </c>
    </row>
    <row r="17682" spans="1:7" x14ac:dyDescent="0.25">
      <c r="A17682" t="s">
        <v>53836</v>
      </c>
      <c r="B17682" t="s">
        <v>53935</v>
      </c>
      <c r="C17682" t="s">
        <v>53931</v>
      </c>
      <c r="D17682" t="s">
        <v>53932</v>
      </c>
      <c r="E17682" t="s">
        <v>53933</v>
      </c>
      <c r="F17682" t="s">
        <v>53936</v>
      </c>
      <c r="G17682" s="2" t="str">
        <f>HYPERLINK("https://probpalata.gov.ru/files/ИП680101368100001.jpeg","Скачать индивидуальный QR-код магазина")</f>
        <v>Скачать индивидуальный QR-код магазина</v>
      </c>
    </row>
    <row r="17683" spans="1:7" x14ac:dyDescent="0.25">
      <c r="A17683" t="s">
        <v>53836</v>
      </c>
      <c r="B17683" t="s">
        <v>53937</v>
      </c>
      <c r="C17683" t="s">
        <v>53938</v>
      </c>
      <c r="D17683" t="s">
        <v>53939</v>
      </c>
      <c r="E17683" t="s">
        <v>53940</v>
      </c>
      <c r="F17683" t="s">
        <v>53941</v>
      </c>
      <c r="G17683" s="2" t="str">
        <f>HYPERLINK("https://probpalata.gov.ru/files/ИП680100148500000.jpeg","Скачать индивидуальный QR-код магазина")</f>
        <v>Скачать индивидуальный QR-код магазина</v>
      </c>
    </row>
    <row r="17684" spans="1:7" x14ac:dyDescent="0.25">
      <c r="A17684" t="s">
        <v>53836</v>
      </c>
      <c r="B17684" t="s">
        <v>53942</v>
      </c>
      <c r="C17684" t="s">
        <v>53943</v>
      </c>
      <c r="D17684" t="s">
        <v>53944</v>
      </c>
      <c r="E17684" t="s">
        <v>53945</v>
      </c>
      <c r="F17684" t="s">
        <v>53946</v>
      </c>
      <c r="G17684" s="2" t="str">
        <f>HYPERLINK("https://probpalata.gov.ru/files/ИП680103210000000.jpeg","Скачать индивидуальный QR-код магазина")</f>
        <v>Скачать индивидуальный QR-код магазина</v>
      </c>
    </row>
    <row r="17685" spans="1:7" x14ac:dyDescent="0.25">
      <c r="A17685" t="s">
        <v>53836</v>
      </c>
      <c r="B17685" t="s">
        <v>53947</v>
      </c>
      <c r="C17685" t="s">
        <v>53943</v>
      </c>
      <c r="D17685" t="s">
        <v>53944</v>
      </c>
      <c r="E17685" t="s">
        <v>53945</v>
      </c>
      <c r="F17685" t="s">
        <v>53948</v>
      </c>
      <c r="G17685" s="2" t="str">
        <f>HYPERLINK("https://probpalata.gov.ru/files/ИП680103210000001.jpeg","Скачать индивидуальный QR-код магазина")</f>
        <v>Скачать индивидуальный QR-код магазина</v>
      </c>
    </row>
    <row r="17686" spans="1:7" x14ac:dyDescent="0.25">
      <c r="A17686" t="s">
        <v>53836</v>
      </c>
      <c r="B17686" t="s">
        <v>53949</v>
      </c>
      <c r="C17686" t="s">
        <v>53943</v>
      </c>
      <c r="D17686" t="s">
        <v>53944</v>
      </c>
      <c r="E17686" t="s">
        <v>53945</v>
      </c>
      <c r="F17686" t="s">
        <v>53950</v>
      </c>
      <c r="G17686" s="2" t="str">
        <f>HYPERLINK("https://probpalata.gov.ru/files/ИП680103210000002.jpeg","Скачать индивидуальный QR-код магазина")</f>
        <v>Скачать индивидуальный QR-код магазина</v>
      </c>
    </row>
    <row r="17687" spans="1:7" x14ac:dyDescent="0.25">
      <c r="A17687" t="s">
        <v>53836</v>
      </c>
      <c r="B17687" t="s">
        <v>53951</v>
      </c>
      <c r="C17687" t="s">
        <v>53952</v>
      </c>
      <c r="D17687" t="s">
        <v>53953</v>
      </c>
      <c r="E17687" t="s">
        <v>53954</v>
      </c>
      <c r="F17687" t="s">
        <v>53955</v>
      </c>
      <c r="G17687" s="2" t="str">
        <f>HYPERLINK("https://probpalata.gov.ru/files/ИП680100628300000.jpeg","Скачать индивидуальный QR-код магазина")</f>
        <v>Скачать индивидуальный QR-код магазина</v>
      </c>
    </row>
    <row r="17688" spans="1:7" x14ac:dyDescent="0.25">
      <c r="A17688" t="s">
        <v>53836</v>
      </c>
      <c r="B17688" t="s">
        <v>53956</v>
      </c>
      <c r="C17688" t="s">
        <v>53957</v>
      </c>
      <c r="D17688" t="s">
        <v>53958</v>
      </c>
      <c r="E17688" t="s">
        <v>53959</v>
      </c>
      <c r="F17688" t="s">
        <v>53960</v>
      </c>
      <c r="G17688" s="2" t="str">
        <f>HYPERLINK("https://probpalata.gov.ru/files/ИП680100939300000.jpeg","Скачать индивидуальный QR-код магазина")</f>
        <v>Скачать индивидуальный QR-код магазина</v>
      </c>
    </row>
    <row r="17689" spans="1:7" x14ac:dyDescent="0.25">
      <c r="A17689" t="s">
        <v>53836</v>
      </c>
      <c r="B17689" t="s">
        <v>53961</v>
      </c>
      <c r="C17689" t="s">
        <v>53957</v>
      </c>
      <c r="D17689" t="s">
        <v>53958</v>
      </c>
      <c r="E17689" t="s">
        <v>53959</v>
      </c>
      <c r="F17689" t="s">
        <v>53962</v>
      </c>
      <c r="G17689" s="2" t="str">
        <f>HYPERLINK("https://probpalata.gov.ru/files/ИП680100939300001.jpeg","Скачать индивидуальный QR-код магазина")</f>
        <v>Скачать индивидуальный QR-код магазина</v>
      </c>
    </row>
    <row r="17690" spans="1:7" x14ac:dyDescent="0.25">
      <c r="A17690" t="s">
        <v>53836</v>
      </c>
      <c r="B17690" t="s">
        <v>53963</v>
      </c>
      <c r="C17690" t="s">
        <v>53964</v>
      </c>
      <c r="D17690" t="s">
        <v>53965</v>
      </c>
      <c r="E17690" t="s">
        <v>53966</v>
      </c>
      <c r="F17690" t="s">
        <v>53967</v>
      </c>
      <c r="G17690" s="2" t="str">
        <f>HYPERLINK("https://probpalata.gov.ru/files/ИП680100941800000.jpeg","Скачать индивидуальный QR-код магазина")</f>
        <v>Скачать индивидуальный QR-код магазина</v>
      </c>
    </row>
    <row r="17691" spans="1:7" x14ac:dyDescent="0.25">
      <c r="A17691" t="s">
        <v>53836</v>
      </c>
      <c r="B17691" t="s">
        <v>53968</v>
      </c>
      <c r="C17691" t="s">
        <v>53969</v>
      </c>
      <c r="D17691" t="s">
        <v>53970</v>
      </c>
      <c r="E17691" t="s">
        <v>53971</v>
      </c>
      <c r="F17691" t="s">
        <v>53972</v>
      </c>
      <c r="G17691" s="2" t="str">
        <f>HYPERLINK("https://probpalata.gov.ru/files/ИП680100515900000.jpeg","Скачать индивидуальный QR-код магазина")</f>
        <v>Скачать индивидуальный QR-код магазина</v>
      </c>
    </row>
    <row r="17692" spans="1:7" x14ac:dyDescent="0.25">
      <c r="A17692" t="s">
        <v>53836</v>
      </c>
      <c r="B17692" t="s">
        <v>53973</v>
      </c>
      <c r="C17692" t="s">
        <v>53974</v>
      </c>
      <c r="D17692" t="s">
        <v>53975</v>
      </c>
      <c r="E17692" t="s">
        <v>53976</v>
      </c>
      <c r="F17692" t="s">
        <v>53977</v>
      </c>
      <c r="G17692" s="2" t="str">
        <f>HYPERLINK("https://probpalata.gov.ru/files/ИП680101055500000.jpeg","Скачать индивидуальный QR-код магазина")</f>
        <v>Скачать индивидуальный QR-код магазина</v>
      </c>
    </row>
    <row r="17693" spans="1:7" x14ac:dyDescent="0.25">
      <c r="A17693" t="s">
        <v>53836</v>
      </c>
      <c r="B17693" t="s">
        <v>53978</v>
      </c>
      <c r="C17693" t="s">
        <v>53974</v>
      </c>
      <c r="D17693" t="s">
        <v>53975</v>
      </c>
      <c r="E17693" t="s">
        <v>53976</v>
      </c>
      <c r="F17693" t="s">
        <v>53979</v>
      </c>
      <c r="G17693" s="2" t="str">
        <f>HYPERLINK("https://probpalata.gov.ru/files/ИП680101055500001.jpeg","Скачать индивидуальный QR-код магазина")</f>
        <v>Скачать индивидуальный QR-код магазина</v>
      </c>
    </row>
    <row r="17694" spans="1:7" x14ac:dyDescent="0.25">
      <c r="A17694" t="s">
        <v>53836</v>
      </c>
      <c r="B17694" t="s">
        <v>53980</v>
      </c>
      <c r="C17694" t="s">
        <v>53981</v>
      </c>
      <c r="D17694" t="s">
        <v>53982</v>
      </c>
      <c r="E17694" t="s">
        <v>53983</v>
      </c>
      <c r="F17694" t="s">
        <v>53984</v>
      </c>
      <c r="G17694" s="2" t="str">
        <f>HYPERLINK("https://probpalata.gov.ru/files/ЮЛ680100776600000.jpeg","Скачать индивидуальный QR-код магазина")</f>
        <v>Скачать индивидуальный QR-код магазина</v>
      </c>
    </row>
    <row r="17695" spans="1:7" x14ac:dyDescent="0.25">
      <c r="A17695" t="s">
        <v>53836</v>
      </c>
      <c r="B17695" t="s">
        <v>53985</v>
      </c>
      <c r="C17695" t="s">
        <v>53986</v>
      </c>
      <c r="D17695" t="s">
        <v>53987</v>
      </c>
      <c r="E17695" t="s">
        <v>53988</v>
      </c>
      <c r="F17695" t="s">
        <v>53989</v>
      </c>
      <c r="G17695" s="2" t="str">
        <f>HYPERLINK("https://probpalata.gov.ru/files/ИП680100862100000.jpeg","Скачать индивидуальный QR-код магазина")</f>
        <v>Скачать индивидуальный QR-код магазина</v>
      </c>
    </row>
    <row r="17696" spans="1:7" x14ac:dyDescent="0.25">
      <c r="A17696" t="s">
        <v>53836</v>
      </c>
      <c r="B17696" t="s">
        <v>53990</v>
      </c>
      <c r="C17696" t="s">
        <v>53991</v>
      </c>
      <c r="D17696" t="s">
        <v>53992</v>
      </c>
      <c r="E17696" t="s">
        <v>53993</v>
      </c>
      <c r="F17696" t="s">
        <v>53994</v>
      </c>
      <c r="G17696" s="2" t="str">
        <f>HYPERLINK("https://probpalata.gov.ru/files/ИП680103261000000.jpeg","Скачать индивидуальный QR-код магазина")</f>
        <v>Скачать индивидуальный QR-код магазина</v>
      </c>
    </row>
    <row r="17697" spans="1:7" x14ac:dyDescent="0.25">
      <c r="A17697" t="s">
        <v>53836</v>
      </c>
      <c r="B17697" t="s">
        <v>53995</v>
      </c>
      <c r="C17697" t="s">
        <v>53991</v>
      </c>
      <c r="D17697" t="s">
        <v>53992</v>
      </c>
      <c r="E17697" t="s">
        <v>53993</v>
      </c>
      <c r="F17697" t="s">
        <v>53996</v>
      </c>
      <c r="G17697" s="2" t="str">
        <f>HYPERLINK("https://probpalata.gov.ru/files/ИП680103261000001.jpeg","Скачать индивидуальный QR-код магазина")</f>
        <v>Скачать индивидуальный QR-код магазина</v>
      </c>
    </row>
    <row r="17698" spans="1:7" x14ac:dyDescent="0.25">
      <c r="A17698" t="s">
        <v>53836</v>
      </c>
      <c r="B17698" t="s">
        <v>53997</v>
      </c>
      <c r="C17698" t="s">
        <v>53998</v>
      </c>
      <c r="D17698" t="s">
        <v>53999</v>
      </c>
      <c r="E17698" t="s">
        <v>54000</v>
      </c>
      <c r="F17698" t="s">
        <v>54001</v>
      </c>
      <c r="G17698" s="2" t="str">
        <f>HYPERLINK("https://probpalata.gov.ru/files/ИП680103947100000.jpeg","Скачать индивидуальный QR-код магазина")</f>
        <v>Скачать индивидуальный QR-код магазина</v>
      </c>
    </row>
    <row r="17699" spans="1:7" x14ac:dyDescent="0.25">
      <c r="A17699" t="s">
        <v>53836</v>
      </c>
      <c r="B17699" t="s">
        <v>54002</v>
      </c>
      <c r="C17699" t="s">
        <v>54003</v>
      </c>
      <c r="D17699" t="s">
        <v>54004</v>
      </c>
      <c r="E17699" t="s">
        <v>54005</v>
      </c>
      <c r="F17699" t="s">
        <v>54006</v>
      </c>
      <c r="G17699" s="2" t="str">
        <f>HYPERLINK("https://probpalata.gov.ru/files/ИП680101234500000.jpeg","Скачать индивидуальный QR-код магазина")</f>
        <v>Скачать индивидуальный QR-код магазина</v>
      </c>
    </row>
    <row r="17700" spans="1:7" x14ac:dyDescent="0.25">
      <c r="A17700" t="s">
        <v>53836</v>
      </c>
      <c r="B17700" t="s">
        <v>54007</v>
      </c>
      <c r="C17700" t="s">
        <v>54008</v>
      </c>
      <c r="D17700" t="s">
        <v>54009</v>
      </c>
      <c r="E17700" t="s">
        <v>54010</v>
      </c>
      <c r="F17700" t="s">
        <v>54011</v>
      </c>
      <c r="G17700" s="2" t="str">
        <f>HYPERLINK("https://probpalata.gov.ru/files/ИП680103171300000.jpeg","Скачать индивидуальный QR-код магазина")</f>
        <v>Скачать индивидуальный QR-код магазина</v>
      </c>
    </row>
    <row r="17701" spans="1:7" x14ac:dyDescent="0.25">
      <c r="A17701" t="s">
        <v>53836</v>
      </c>
      <c r="B17701" t="s">
        <v>54012</v>
      </c>
      <c r="C17701" t="s">
        <v>54008</v>
      </c>
      <c r="D17701" t="s">
        <v>54009</v>
      </c>
      <c r="E17701" t="s">
        <v>54010</v>
      </c>
      <c r="F17701" t="s">
        <v>54013</v>
      </c>
      <c r="G17701" s="2" t="str">
        <f>HYPERLINK("https://probpalata.gov.ru/files/ИП680103171300001.jpeg","Скачать индивидуальный QR-код магазина")</f>
        <v>Скачать индивидуальный QR-код магазина</v>
      </c>
    </row>
    <row r="17702" spans="1:7" x14ac:dyDescent="0.25">
      <c r="A17702" t="s">
        <v>53836</v>
      </c>
      <c r="B17702" t="s">
        <v>54014</v>
      </c>
      <c r="C17702" t="s">
        <v>54015</v>
      </c>
      <c r="D17702" t="s">
        <v>54016</v>
      </c>
      <c r="E17702" t="s">
        <v>54017</v>
      </c>
      <c r="F17702" t="s">
        <v>54018</v>
      </c>
      <c r="G17702" s="2" t="str">
        <f>HYPERLINK("https://probpalata.gov.ru/files/ИП680103559000000.jpeg","Скачать индивидуальный QR-код магазина")</f>
        <v>Скачать индивидуальный QR-код магазина</v>
      </c>
    </row>
    <row r="17703" spans="1:7" x14ac:dyDescent="0.25">
      <c r="A17703" t="s">
        <v>53836</v>
      </c>
      <c r="B17703" t="s">
        <v>54019</v>
      </c>
      <c r="C17703" t="s">
        <v>54020</v>
      </c>
      <c r="D17703" t="s">
        <v>54021</v>
      </c>
      <c r="E17703" t="s">
        <v>54022</v>
      </c>
      <c r="F17703" t="s">
        <v>54023</v>
      </c>
      <c r="G17703" s="2" t="str">
        <f>HYPERLINK("https://probpalata.gov.ru/files/ИП680100529200000.jpeg","Скачать индивидуальный QR-код магазина")</f>
        <v>Скачать индивидуальный QR-код магазина</v>
      </c>
    </row>
    <row r="17704" spans="1:7" x14ac:dyDescent="0.25">
      <c r="A17704" t="s">
        <v>53836</v>
      </c>
      <c r="B17704" t="s">
        <v>54024</v>
      </c>
      <c r="C17704" t="s">
        <v>54025</v>
      </c>
      <c r="D17704" t="s">
        <v>54026</v>
      </c>
      <c r="E17704" t="s">
        <v>54027</v>
      </c>
      <c r="F17704" t="s">
        <v>54028</v>
      </c>
      <c r="G17704" s="2" t="str">
        <f>HYPERLINK("https://probpalata.gov.ru/files/ИП680100257400000.jpeg","Скачать индивидуальный QR-код магазина")</f>
        <v>Скачать индивидуальный QR-код магазина</v>
      </c>
    </row>
    <row r="17705" spans="1:7" x14ac:dyDescent="0.25">
      <c r="A17705" t="s">
        <v>53836</v>
      </c>
      <c r="B17705" t="s">
        <v>54029</v>
      </c>
      <c r="C17705" t="s">
        <v>54030</v>
      </c>
      <c r="D17705" t="s">
        <v>54031</v>
      </c>
      <c r="E17705" t="s">
        <v>54032</v>
      </c>
      <c r="F17705" t="s">
        <v>54033</v>
      </c>
      <c r="G17705" s="2" t="str">
        <f>HYPERLINK("https://probpalata.gov.ru/files/ИП680100901100000.jpeg","Скачать индивидуальный QR-код магазина")</f>
        <v>Скачать индивидуальный QR-код магазина</v>
      </c>
    </row>
    <row r="17706" spans="1:7" x14ac:dyDescent="0.25">
      <c r="A17706" t="s">
        <v>53836</v>
      </c>
      <c r="B17706" t="s">
        <v>54034</v>
      </c>
      <c r="C17706" t="s">
        <v>54030</v>
      </c>
      <c r="D17706" t="s">
        <v>54031</v>
      </c>
      <c r="E17706" t="s">
        <v>54032</v>
      </c>
      <c r="F17706" t="s">
        <v>54035</v>
      </c>
      <c r="G17706" s="2" t="str">
        <f>HYPERLINK("https://probpalata.gov.ru/files/ИП680100901100001.jpeg","Скачать индивидуальный QR-код магазина")</f>
        <v>Скачать индивидуальный QR-код магазина</v>
      </c>
    </row>
    <row r="17707" spans="1:7" x14ac:dyDescent="0.25">
      <c r="A17707" t="s">
        <v>53836</v>
      </c>
      <c r="B17707" t="s">
        <v>54036</v>
      </c>
      <c r="C17707" t="s">
        <v>54030</v>
      </c>
      <c r="D17707" t="s">
        <v>54031</v>
      </c>
      <c r="E17707" t="s">
        <v>54032</v>
      </c>
      <c r="F17707" t="s">
        <v>54037</v>
      </c>
      <c r="G17707" s="2" t="str">
        <f>HYPERLINK("https://probpalata.gov.ru/files/ИП680100901100003.jpeg","Скачать индивидуальный QR-код магазина")</f>
        <v>Скачать индивидуальный QR-код магазина</v>
      </c>
    </row>
    <row r="17708" spans="1:7" x14ac:dyDescent="0.25">
      <c r="A17708" t="s">
        <v>53836</v>
      </c>
      <c r="B17708" t="s">
        <v>54038</v>
      </c>
      <c r="C17708" t="s">
        <v>54039</v>
      </c>
      <c r="D17708" t="s">
        <v>54040</v>
      </c>
      <c r="E17708" t="s">
        <v>54041</v>
      </c>
      <c r="F17708" t="s">
        <v>54042</v>
      </c>
      <c r="G17708" s="2" t="str">
        <f>HYPERLINK("https://probpalata.gov.ru/files/ИП680100621700000.jpeg","Скачать индивидуальный QR-код магазина")</f>
        <v>Скачать индивидуальный QR-код магазина</v>
      </c>
    </row>
    <row r="17709" spans="1:7" x14ac:dyDescent="0.25">
      <c r="A17709" t="s">
        <v>53836</v>
      </c>
      <c r="B17709" t="s">
        <v>54043</v>
      </c>
      <c r="C17709" t="s">
        <v>54039</v>
      </c>
      <c r="D17709" t="s">
        <v>54040</v>
      </c>
      <c r="E17709" t="s">
        <v>54041</v>
      </c>
      <c r="F17709" t="s">
        <v>54044</v>
      </c>
      <c r="G17709" s="2" t="str">
        <f>HYPERLINK("https://probpalata.gov.ru/files/ИП680100621700001.jpeg","Скачать индивидуальный QR-код магазина")</f>
        <v>Скачать индивидуальный QR-код магазина</v>
      </c>
    </row>
    <row r="17710" spans="1:7" x14ac:dyDescent="0.25">
      <c r="A17710" t="s">
        <v>53836</v>
      </c>
      <c r="B17710" t="s">
        <v>54045</v>
      </c>
      <c r="C17710" t="s">
        <v>54046</v>
      </c>
      <c r="D17710" t="s">
        <v>54047</v>
      </c>
      <c r="E17710" t="s">
        <v>54048</v>
      </c>
      <c r="F17710" t="s">
        <v>54049</v>
      </c>
      <c r="G17710" s="2" t="str">
        <f>HYPERLINK("https://probpalata.gov.ru/files/ИП680100970600000.jpeg","Скачать индивидуальный QR-код магазина")</f>
        <v>Скачать индивидуальный QR-код магазина</v>
      </c>
    </row>
    <row r="17711" spans="1:7" x14ac:dyDescent="0.25">
      <c r="A17711" t="s">
        <v>53836</v>
      </c>
      <c r="B17711" t="s">
        <v>54050</v>
      </c>
      <c r="C17711" t="s">
        <v>54051</v>
      </c>
      <c r="D17711" t="s">
        <v>54052</v>
      </c>
      <c r="E17711" t="s">
        <v>54053</v>
      </c>
      <c r="F17711" t="s">
        <v>54054</v>
      </c>
      <c r="G17711" s="2" t="str">
        <f>HYPERLINK("https://probpalata.gov.ru/files/ИП000100899800000.jpeg","Скачать индивидуальный QR-код магазина")</f>
        <v>Скачать индивидуальный QR-код магазина</v>
      </c>
    </row>
    <row r="17712" spans="1:7" x14ac:dyDescent="0.25">
      <c r="A17712" t="s">
        <v>53836</v>
      </c>
      <c r="B17712" t="s">
        <v>54055</v>
      </c>
      <c r="C17712" t="s">
        <v>54056</v>
      </c>
      <c r="D17712" t="s">
        <v>54057</v>
      </c>
      <c r="E17712" t="s">
        <v>54058</v>
      </c>
      <c r="F17712" t="s">
        <v>54059</v>
      </c>
      <c r="G17712" s="2" t="str">
        <f>HYPERLINK("https://probpalata.gov.ru/files/ИП680101015900000.jpeg","Скачать индивидуальный QR-код магазина")</f>
        <v>Скачать индивидуальный QR-код магазина</v>
      </c>
    </row>
    <row r="17713" spans="1:7" x14ac:dyDescent="0.25">
      <c r="A17713" t="s">
        <v>53836</v>
      </c>
      <c r="B17713" t="s">
        <v>54060</v>
      </c>
      <c r="C17713" t="s">
        <v>48321</v>
      </c>
      <c r="D17713" t="s">
        <v>54061</v>
      </c>
      <c r="E17713" t="s">
        <v>54062</v>
      </c>
      <c r="F17713" t="s">
        <v>54063</v>
      </c>
      <c r="G17713" s="2" t="str">
        <f>HYPERLINK("https://probpalata.gov.ru/files/ЮЛ680101234800000.jpeg","Скачать индивидуальный QR-код магазина")</f>
        <v>Скачать индивидуальный QR-код магазина</v>
      </c>
    </row>
    <row r="17714" spans="1:7" x14ac:dyDescent="0.25">
      <c r="A17714" t="s">
        <v>53836</v>
      </c>
      <c r="B17714" t="s">
        <v>54064</v>
      </c>
      <c r="C17714" t="s">
        <v>54065</v>
      </c>
      <c r="D17714" t="s">
        <v>54066</v>
      </c>
      <c r="E17714" t="s">
        <v>54067</v>
      </c>
      <c r="F17714" t="s">
        <v>54068</v>
      </c>
      <c r="G17714" s="2" t="str">
        <f>HYPERLINK("https://probpalata.gov.ru/files/ИП680101147500000.jpeg","Скачать индивидуальный QR-код магазина")</f>
        <v>Скачать индивидуальный QR-код магазина</v>
      </c>
    </row>
    <row r="17715" spans="1:7" x14ac:dyDescent="0.25">
      <c r="A17715" t="s">
        <v>53836</v>
      </c>
      <c r="B17715" t="s">
        <v>54069</v>
      </c>
      <c r="C17715" t="s">
        <v>54070</v>
      </c>
      <c r="D17715" t="s">
        <v>54071</v>
      </c>
      <c r="E17715" t="s">
        <v>54072</v>
      </c>
      <c r="F17715" t="s">
        <v>54073</v>
      </c>
      <c r="G17715" s="2" t="str">
        <f>HYPERLINK("https://probpalata.gov.ru/files/ИП680103314700000.jpeg","Скачать индивидуальный QR-код магазина")</f>
        <v>Скачать индивидуальный QR-код магазина</v>
      </c>
    </row>
    <row r="17716" spans="1:7" x14ac:dyDescent="0.25">
      <c r="A17716" t="s">
        <v>53836</v>
      </c>
      <c r="B17716" t="s">
        <v>54074</v>
      </c>
      <c r="C17716" t="s">
        <v>54075</v>
      </c>
      <c r="D17716" t="s">
        <v>54076</v>
      </c>
      <c r="E17716" t="s">
        <v>54077</v>
      </c>
      <c r="F17716" t="s">
        <v>54078</v>
      </c>
      <c r="G17716" s="2" t="str">
        <f>HYPERLINK("https://probpalata.gov.ru/files/ИП680101018900000.jpeg","Скачать индивидуальный QR-код магазина")</f>
        <v>Скачать индивидуальный QR-код магазина</v>
      </c>
    </row>
    <row r="17717" spans="1:7" x14ac:dyDescent="0.25">
      <c r="A17717" t="s">
        <v>53836</v>
      </c>
      <c r="B17717" t="s">
        <v>54079</v>
      </c>
      <c r="C17717" t="s">
        <v>54075</v>
      </c>
      <c r="D17717" t="s">
        <v>54076</v>
      </c>
      <c r="E17717" t="s">
        <v>54077</v>
      </c>
      <c r="F17717" t="s">
        <v>54080</v>
      </c>
      <c r="G17717" s="2" t="str">
        <f>HYPERLINK("https://probpalata.gov.ru/files/ИП680101018900001.jpeg","Скачать индивидуальный QR-код магазина")</f>
        <v>Скачать индивидуальный QR-код магазина</v>
      </c>
    </row>
    <row r="17718" spans="1:7" x14ac:dyDescent="0.25">
      <c r="A17718" t="s">
        <v>53836</v>
      </c>
      <c r="B17718" t="s">
        <v>54081</v>
      </c>
      <c r="C17718" t="s">
        <v>54082</v>
      </c>
      <c r="D17718" t="s">
        <v>54083</v>
      </c>
      <c r="E17718" t="s">
        <v>54084</v>
      </c>
      <c r="F17718" t="s">
        <v>54085</v>
      </c>
      <c r="G17718" s="2" t="str">
        <f>HYPERLINK("https://probpalata.gov.ru/files/ИП680100726500000.jpeg","Скачать индивидуальный QR-код магазина")</f>
        <v>Скачать индивидуальный QR-код магазина</v>
      </c>
    </row>
    <row r="17719" spans="1:7" x14ac:dyDescent="0.25">
      <c r="A17719" t="s">
        <v>53836</v>
      </c>
      <c r="B17719" t="s">
        <v>54086</v>
      </c>
      <c r="C17719" t="s">
        <v>54082</v>
      </c>
      <c r="D17719" t="s">
        <v>54083</v>
      </c>
      <c r="E17719" t="s">
        <v>54084</v>
      </c>
      <c r="F17719" t="s">
        <v>54087</v>
      </c>
      <c r="G17719" s="2" t="str">
        <f>HYPERLINK("https://probpalata.gov.ru/files/ИП680100726500004.jpeg","Скачать индивидуальный QR-код магазина")</f>
        <v>Скачать индивидуальный QR-код магазина</v>
      </c>
    </row>
    <row r="17720" spans="1:7" x14ac:dyDescent="0.25">
      <c r="A17720" t="s">
        <v>53836</v>
      </c>
      <c r="B17720" t="s">
        <v>54088</v>
      </c>
      <c r="C17720" t="s">
        <v>54082</v>
      </c>
      <c r="D17720" t="s">
        <v>54083</v>
      </c>
      <c r="E17720" t="s">
        <v>54084</v>
      </c>
      <c r="F17720" t="s">
        <v>54089</v>
      </c>
      <c r="G17720" s="2" t="str">
        <f>HYPERLINK("https://probpalata.gov.ru/files/ИП680100726500005.jpeg","Скачать индивидуальный QR-код магазина")</f>
        <v>Скачать индивидуальный QR-код магазина</v>
      </c>
    </row>
    <row r="17721" spans="1:7" x14ac:dyDescent="0.25">
      <c r="A17721" t="s">
        <v>53836</v>
      </c>
      <c r="B17721" t="s">
        <v>54090</v>
      </c>
      <c r="C17721" t="s">
        <v>54091</v>
      </c>
      <c r="D17721" t="s">
        <v>54092</v>
      </c>
      <c r="E17721" t="s">
        <v>54093</v>
      </c>
      <c r="F17721" t="s">
        <v>54094</v>
      </c>
      <c r="G17721" s="2" t="str">
        <f>HYPERLINK("https://probpalata.gov.ru/files/ИП680103263200000.jpeg","Скачать индивидуальный QR-код магазина")</f>
        <v>Скачать индивидуальный QR-код магазина</v>
      </c>
    </row>
    <row r="17722" spans="1:7" x14ac:dyDescent="0.25">
      <c r="A17722" t="s">
        <v>53836</v>
      </c>
      <c r="B17722" t="s">
        <v>54095</v>
      </c>
      <c r="C17722" t="s">
        <v>54096</v>
      </c>
      <c r="D17722" t="s">
        <v>54097</v>
      </c>
      <c r="E17722" t="s">
        <v>54098</v>
      </c>
      <c r="F17722" t="s">
        <v>54099</v>
      </c>
      <c r="G17722" s="2" t="str">
        <f>HYPERLINK("https://probpalata.gov.ru/files/ИП680101239700000.jpeg","Скачать индивидуальный QR-код магазина")</f>
        <v>Скачать индивидуальный QR-код магазина</v>
      </c>
    </row>
    <row r="17723" spans="1:7" x14ac:dyDescent="0.25">
      <c r="A17723" t="s">
        <v>53836</v>
      </c>
      <c r="B17723" t="s">
        <v>54100</v>
      </c>
      <c r="C17723" t="s">
        <v>54096</v>
      </c>
      <c r="D17723" t="s">
        <v>54097</v>
      </c>
      <c r="E17723" t="s">
        <v>54098</v>
      </c>
      <c r="F17723" t="s">
        <v>54101</v>
      </c>
      <c r="G17723" s="2" t="str">
        <f>HYPERLINK("https://probpalata.gov.ru/files/ИП680101239700001.jpeg","Скачать индивидуальный QR-код магазина")</f>
        <v>Скачать индивидуальный QR-код магазина</v>
      </c>
    </row>
    <row r="17724" spans="1:7" x14ac:dyDescent="0.25">
      <c r="A17724" t="s">
        <v>53836</v>
      </c>
      <c r="B17724" t="s">
        <v>54102</v>
      </c>
      <c r="C17724" t="s">
        <v>54096</v>
      </c>
      <c r="D17724" t="s">
        <v>54097</v>
      </c>
      <c r="E17724" t="s">
        <v>54098</v>
      </c>
      <c r="F17724" t="s">
        <v>54103</v>
      </c>
      <c r="G17724" s="2" t="str">
        <f>HYPERLINK("https://probpalata.gov.ru/files/ИП680101239700002.jpeg","Скачать индивидуальный QR-код магазина")</f>
        <v>Скачать индивидуальный QR-код магазина</v>
      </c>
    </row>
    <row r="17725" spans="1:7" x14ac:dyDescent="0.25">
      <c r="A17725" t="s">
        <v>53836</v>
      </c>
      <c r="B17725" t="s">
        <v>54104</v>
      </c>
      <c r="C17725" t="s">
        <v>54096</v>
      </c>
      <c r="D17725" t="s">
        <v>54097</v>
      </c>
      <c r="E17725" t="s">
        <v>54098</v>
      </c>
      <c r="F17725" t="s">
        <v>54105</v>
      </c>
      <c r="G17725" s="2" t="str">
        <f>HYPERLINK("https://probpalata.gov.ru/files/ИП680101239700005.jpeg","Скачать индивидуальный QR-код магазина")</f>
        <v>Скачать индивидуальный QR-код магазина</v>
      </c>
    </row>
    <row r="17726" spans="1:7" x14ac:dyDescent="0.25">
      <c r="A17726" t="s">
        <v>53836</v>
      </c>
      <c r="B17726" t="s">
        <v>54106</v>
      </c>
      <c r="C17726" t="s">
        <v>54107</v>
      </c>
      <c r="D17726" t="s">
        <v>54108</v>
      </c>
      <c r="E17726" t="s">
        <v>54109</v>
      </c>
      <c r="F17726" t="s">
        <v>54110</v>
      </c>
      <c r="G17726" s="2" t="str">
        <f>HYPERLINK("https://probpalata.gov.ru/files/ИП680100630200001.jpeg","Скачать индивидуальный QR-код магазина")</f>
        <v>Скачать индивидуальный QR-код магазина</v>
      </c>
    </row>
    <row r="17727" spans="1:7" x14ac:dyDescent="0.25">
      <c r="A17727" t="s">
        <v>53836</v>
      </c>
      <c r="B17727" t="s">
        <v>54111</v>
      </c>
      <c r="C17727" t="s">
        <v>54112</v>
      </c>
      <c r="D17727" t="s">
        <v>54113</v>
      </c>
      <c r="E17727" t="s">
        <v>54114</v>
      </c>
      <c r="F17727" t="s">
        <v>54115</v>
      </c>
      <c r="G17727" s="2" t="str">
        <f>HYPERLINK("https://probpalata.gov.ru/files/ИП680101816400000.jpeg","Скачать индивидуальный QR-код магазина")</f>
        <v>Скачать индивидуальный QR-код магазина</v>
      </c>
    </row>
    <row r="17728" spans="1:7" x14ac:dyDescent="0.25">
      <c r="A17728" t="s">
        <v>53836</v>
      </c>
      <c r="B17728" t="s">
        <v>54116</v>
      </c>
      <c r="C17728" t="s">
        <v>1745</v>
      </c>
      <c r="D17728" t="s">
        <v>1746</v>
      </c>
      <c r="E17728" t="s">
        <v>1747</v>
      </c>
      <c r="F17728" t="s">
        <v>54117</v>
      </c>
      <c r="G17728" s="2" t="str">
        <f>HYPERLINK("https://probpalata.gov.ru/files/ЮЛ770100201500559.jpeg","Скачать индивидуальный QR-код магазина")</f>
        <v>Скачать индивидуальный QR-код магазина</v>
      </c>
    </row>
    <row r="17729" spans="1:7" x14ac:dyDescent="0.25">
      <c r="A17729" t="s">
        <v>53836</v>
      </c>
      <c r="B17729" t="s">
        <v>54118</v>
      </c>
      <c r="C17729" t="s">
        <v>1745</v>
      </c>
      <c r="D17729" t="s">
        <v>1746</v>
      </c>
      <c r="E17729" t="s">
        <v>1747</v>
      </c>
      <c r="F17729" t="s">
        <v>54119</v>
      </c>
      <c r="G17729" s="2" t="str">
        <f>HYPERLINK("https://probpalata.gov.ru/files/ЮЛ770100201500570.jpeg","Скачать индивидуальный QR-код магазина")</f>
        <v>Скачать индивидуальный QR-код магазина</v>
      </c>
    </row>
    <row r="17730" spans="1:7" x14ac:dyDescent="0.25">
      <c r="A17730" t="s">
        <v>53836</v>
      </c>
      <c r="B17730" t="s">
        <v>54120</v>
      </c>
      <c r="C17730" t="s">
        <v>713</v>
      </c>
      <c r="D17730" t="s">
        <v>714</v>
      </c>
      <c r="E17730" t="s">
        <v>715</v>
      </c>
      <c r="F17730" t="s">
        <v>54121</v>
      </c>
      <c r="G17730" s="2" t="str">
        <f>HYPERLINK("https://probpalata.gov.ru/files/ЮЛ770101216600090.jpeg","Скачать индивидуальный QR-код магазина")</f>
        <v>Скачать индивидуальный QR-код магазина</v>
      </c>
    </row>
    <row r="17731" spans="1:7" x14ac:dyDescent="0.25">
      <c r="A17731" t="s">
        <v>53836</v>
      </c>
      <c r="B17731" t="s">
        <v>54122</v>
      </c>
      <c r="C17731" t="s">
        <v>713</v>
      </c>
      <c r="D17731" t="s">
        <v>714</v>
      </c>
      <c r="E17731" t="s">
        <v>715</v>
      </c>
      <c r="F17731" t="s">
        <v>54123</v>
      </c>
      <c r="G17731" s="2" t="str">
        <f>HYPERLINK("https://probpalata.gov.ru/files/ЮЛ770101216600262.jpeg","Скачать индивидуальный QR-код магазина")</f>
        <v>Скачать индивидуальный QR-код магазина</v>
      </c>
    </row>
    <row r="17732" spans="1:7" x14ac:dyDescent="0.25">
      <c r="A17732" t="s">
        <v>53836</v>
      </c>
      <c r="B17732" t="s">
        <v>54124</v>
      </c>
      <c r="C17732" t="s">
        <v>713</v>
      </c>
      <c r="D17732" t="s">
        <v>714</v>
      </c>
      <c r="E17732" t="s">
        <v>715</v>
      </c>
      <c r="F17732" t="s">
        <v>54125</v>
      </c>
      <c r="G17732" s="2" t="str">
        <f>HYPERLINK("https://probpalata.gov.ru/files/ЮЛ770101216600418.jpeg","Скачать индивидуальный QR-код магазина")</f>
        <v>Скачать индивидуальный QR-код магазина</v>
      </c>
    </row>
    <row r="17733" spans="1:7" x14ac:dyDescent="0.25">
      <c r="A17733" t="s">
        <v>53836</v>
      </c>
      <c r="B17733" t="s">
        <v>54126</v>
      </c>
      <c r="C17733" t="s">
        <v>713</v>
      </c>
      <c r="D17733" t="s">
        <v>714</v>
      </c>
      <c r="E17733" t="s">
        <v>715</v>
      </c>
      <c r="F17733" t="s">
        <v>54127</v>
      </c>
      <c r="G17733" s="2" t="str">
        <f>HYPERLINK("https://probpalata.gov.ru/files/ЮЛ770101216600648.jpeg","Скачать индивидуальный QR-код магазина")</f>
        <v>Скачать индивидуальный QR-код магазина</v>
      </c>
    </row>
    <row r="17734" spans="1:7" x14ac:dyDescent="0.25">
      <c r="A17734" t="s">
        <v>53836</v>
      </c>
      <c r="B17734" t="s">
        <v>54128</v>
      </c>
      <c r="C17734" t="s">
        <v>713</v>
      </c>
      <c r="D17734" t="s">
        <v>714</v>
      </c>
      <c r="E17734" t="s">
        <v>715</v>
      </c>
      <c r="F17734" t="s">
        <v>54129</v>
      </c>
      <c r="G17734" s="2" t="str">
        <f>HYPERLINK("https://probpalata.gov.ru/files/ЮЛ770101216600846.jpeg","Скачать индивидуальный QR-код магазина")</f>
        <v>Скачать индивидуальный QR-код магазина</v>
      </c>
    </row>
    <row r="17735" spans="1:7" x14ac:dyDescent="0.25">
      <c r="A17735" t="s">
        <v>53836</v>
      </c>
      <c r="B17735" t="s">
        <v>54130</v>
      </c>
      <c r="C17735" t="s">
        <v>713</v>
      </c>
      <c r="D17735" t="s">
        <v>714</v>
      </c>
      <c r="E17735" t="s">
        <v>715</v>
      </c>
      <c r="F17735" t="s">
        <v>54131</v>
      </c>
      <c r="G17735" s="2" t="str">
        <f>HYPERLINK("https://probpalata.gov.ru/files/ЮЛ770101216600882.jpeg","Скачать индивидуальный QR-код магазина")</f>
        <v>Скачать индивидуальный QR-код магазина</v>
      </c>
    </row>
    <row r="17736" spans="1:7" x14ac:dyDescent="0.25">
      <c r="A17736" t="s">
        <v>53836</v>
      </c>
      <c r="B17736" t="s">
        <v>54132</v>
      </c>
      <c r="C17736" t="s">
        <v>748</v>
      </c>
      <c r="D17736" t="s">
        <v>749</v>
      </c>
      <c r="E17736" t="s">
        <v>750</v>
      </c>
      <c r="F17736" t="s">
        <v>54133</v>
      </c>
      <c r="G17736" s="2" t="str">
        <f>HYPERLINK("https://probpalata.gov.ru/files/ЮЛ770100193500022.jpeg","Скачать индивидуальный QR-код магазина")</f>
        <v>Скачать индивидуальный QR-код магазина</v>
      </c>
    </row>
    <row r="17737" spans="1:7" x14ac:dyDescent="0.25">
      <c r="A17737" t="s">
        <v>53836</v>
      </c>
      <c r="B17737" t="s">
        <v>54134</v>
      </c>
      <c r="C17737" t="s">
        <v>748</v>
      </c>
      <c r="D17737" t="s">
        <v>749</v>
      </c>
      <c r="E17737" t="s">
        <v>750</v>
      </c>
      <c r="F17737" t="s">
        <v>54135</v>
      </c>
      <c r="G17737" s="2" t="str">
        <f>HYPERLINK("https://probpalata.gov.ru/files/ЮЛ770100193500023.jpeg","Скачать индивидуальный QR-код магазина")</f>
        <v>Скачать индивидуальный QR-код магазина</v>
      </c>
    </row>
    <row r="17738" spans="1:7" x14ac:dyDescent="0.25">
      <c r="A17738" t="s">
        <v>53836</v>
      </c>
      <c r="B17738" t="s">
        <v>54136</v>
      </c>
      <c r="C17738" t="s">
        <v>748</v>
      </c>
      <c r="D17738" t="s">
        <v>749</v>
      </c>
      <c r="E17738" t="s">
        <v>750</v>
      </c>
      <c r="F17738" t="s">
        <v>54137</v>
      </c>
      <c r="G17738" s="2" t="str">
        <f>HYPERLINK("https://probpalata.gov.ru/files/ЮЛ770100193500510.jpeg","Скачать индивидуальный QR-код магазина")</f>
        <v>Скачать индивидуальный QR-код магазина</v>
      </c>
    </row>
    <row r="17739" spans="1:7" x14ac:dyDescent="0.25">
      <c r="A17739" t="s">
        <v>53836</v>
      </c>
      <c r="B17739" t="s">
        <v>54116</v>
      </c>
      <c r="C17739" t="s">
        <v>748</v>
      </c>
      <c r="D17739" t="s">
        <v>749</v>
      </c>
      <c r="E17739" t="s">
        <v>750</v>
      </c>
      <c r="F17739" t="s">
        <v>54138</v>
      </c>
      <c r="G17739" s="2" t="str">
        <f>HYPERLINK("https://probpalata.gov.ru/files/ЮЛ770100193500893.jpeg","Скачать индивидуальный QR-код магазина")</f>
        <v>Скачать индивидуальный QR-код магазина</v>
      </c>
    </row>
    <row r="17740" spans="1:7" x14ac:dyDescent="0.25">
      <c r="A17740" t="s">
        <v>53836</v>
      </c>
      <c r="B17740" t="s">
        <v>54139</v>
      </c>
      <c r="C17740" t="s">
        <v>748</v>
      </c>
      <c r="D17740" t="s">
        <v>749</v>
      </c>
      <c r="E17740" t="s">
        <v>750</v>
      </c>
      <c r="F17740" t="s">
        <v>54140</v>
      </c>
      <c r="G17740" s="2" t="str">
        <f>HYPERLINK("https://probpalata.gov.ru/files/ЮЛ770100193500968.jpeg","Скачать индивидуальный QR-код магазина")</f>
        <v>Скачать индивидуальный QR-код магазина</v>
      </c>
    </row>
    <row r="17741" spans="1:7" x14ac:dyDescent="0.25">
      <c r="A17741" t="s">
        <v>53836</v>
      </c>
      <c r="B17741" t="s">
        <v>54141</v>
      </c>
      <c r="C17741" t="s">
        <v>773</v>
      </c>
      <c r="D17741" t="s">
        <v>774</v>
      </c>
      <c r="E17741" t="s">
        <v>775</v>
      </c>
      <c r="F17741" t="s">
        <v>54142</v>
      </c>
      <c r="G17741" s="2" t="str">
        <f>HYPERLINK("https://probpalata.gov.ru/files/ЮЛ780300131300103.jpeg","Скачать индивидуальный QR-код магазина")</f>
        <v>Скачать индивидуальный QR-код магазина</v>
      </c>
    </row>
    <row r="17742" spans="1:7" x14ac:dyDescent="0.25">
      <c r="A17742" t="s">
        <v>53836</v>
      </c>
      <c r="B17742" t="s">
        <v>54143</v>
      </c>
      <c r="C17742" t="s">
        <v>773</v>
      </c>
      <c r="D17742" t="s">
        <v>774</v>
      </c>
      <c r="E17742" t="s">
        <v>775</v>
      </c>
      <c r="F17742" t="s">
        <v>54144</v>
      </c>
      <c r="G17742" s="2" t="str">
        <f>HYPERLINK("https://probpalata.gov.ru/files/ЮЛ780300131300137.jpeg","Скачать индивидуальный QR-код магазина")</f>
        <v>Скачать индивидуальный QR-код магазина</v>
      </c>
    </row>
    <row r="17743" spans="1:7" x14ac:dyDescent="0.25">
      <c r="A17743" t="s">
        <v>53836</v>
      </c>
      <c r="B17743" t="s">
        <v>54145</v>
      </c>
      <c r="C17743" t="s">
        <v>773</v>
      </c>
      <c r="D17743" t="s">
        <v>774</v>
      </c>
      <c r="E17743" t="s">
        <v>775</v>
      </c>
      <c r="F17743" t="s">
        <v>54146</v>
      </c>
      <c r="G17743" s="2" t="str">
        <f>HYPERLINK("https://probpalata.gov.ru/files/ЮЛ780300131300138.jpeg","Скачать индивидуальный QR-код магазина")</f>
        <v>Скачать индивидуальный QR-код магазина</v>
      </c>
    </row>
    <row r="17744" spans="1:7" x14ac:dyDescent="0.25">
      <c r="A17744" t="s">
        <v>53836</v>
      </c>
      <c r="B17744" t="s">
        <v>54147</v>
      </c>
      <c r="C17744" t="s">
        <v>773</v>
      </c>
      <c r="D17744" t="s">
        <v>774</v>
      </c>
      <c r="E17744" t="s">
        <v>775</v>
      </c>
      <c r="F17744" t="s">
        <v>54148</v>
      </c>
      <c r="G17744" s="2" t="str">
        <f>HYPERLINK("https://probpalata.gov.ru/files/ЮЛ780300131300276.jpeg","Скачать индивидуальный QR-код магазина")</f>
        <v>Скачать индивидуальный QR-код магазина</v>
      </c>
    </row>
    <row r="17745" spans="1:7" x14ac:dyDescent="0.25">
      <c r="A17745" t="s">
        <v>53836</v>
      </c>
      <c r="B17745" t="s">
        <v>54149</v>
      </c>
      <c r="C17745" t="s">
        <v>798</v>
      </c>
      <c r="D17745" t="s">
        <v>799</v>
      </c>
      <c r="E17745" t="s">
        <v>800</v>
      </c>
      <c r="F17745" t="s">
        <v>54150</v>
      </c>
      <c r="G17745" s="2" t="str">
        <f>HYPERLINK("https://probpalata.gov.ru/files/ЮЛ780300308200416.jpeg","Скачать индивидуальный QR-код магазина")</f>
        <v>Скачать индивидуальный QR-код магазина</v>
      </c>
    </row>
    <row r="17746" spans="1:7" x14ac:dyDescent="0.25">
      <c r="A17746" t="s">
        <v>53836</v>
      </c>
      <c r="B17746" t="s">
        <v>54151</v>
      </c>
      <c r="C17746" t="s">
        <v>798</v>
      </c>
      <c r="D17746" t="s">
        <v>799</v>
      </c>
      <c r="E17746" t="s">
        <v>800</v>
      </c>
      <c r="F17746" t="s">
        <v>54152</v>
      </c>
      <c r="G17746" s="2" t="str">
        <f>HYPERLINK("https://probpalata.gov.ru/files/ЮЛ780300308200787.jpeg","Скачать индивидуальный QR-код магазина")</f>
        <v>Скачать индивидуальный QR-код магазина</v>
      </c>
    </row>
    <row r="17747" spans="1:7" x14ac:dyDescent="0.25">
      <c r="A17747" t="s">
        <v>53836</v>
      </c>
      <c r="B17747" t="s">
        <v>54153</v>
      </c>
      <c r="C17747" t="s">
        <v>798</v>
      </c>
      <c r="D17747" t="s">
        <v>799</v>
      </c>
      <c r="E17747" t="s">
        <v>800</v>
      </c>
      <c r="F17747" t="s">
        <v>54154</v>
      </c>
      <c r="G17747" s="2" t="str">
        <f>HYPERLINK("https://probpalata.gov.ru/files/ЮЛ780300308200796.jpeg","Скачать индивидуальный QR-код магазина")</f>
        <v>Скачать индивидуальный QR-код магазина</v>
      </c>
    </row>
    <row r="17748" spans="1:7" x14ac:dyDescent="0.25">
      <c r="A17748" t="s">
        <v>53836</v>
      </c>
      <c r="B17748" t="s">
        <v>54147</v>
      </c>
      <c r="C17748" t="s">
        <v>798</v>
      </c>
      <c r="D17748" t="s">
        <v>799</v>
      </c>
      <c r="E17748" t="s">
        <v>800</v>
      </c>
      <c r="F17748" t="s">
        <v>54155</v>
      </c>
      <c r="G17748" s="2" t="str">
        <f>HYPERLINK("https://probpalata.gov.ru/files/ЮЛ780300308200806.jpeg","Скачать индивидуальный QR-код магазина")</f>
        <v>Скачать индивидуальный QR-код магазина</v>
      </c>
    </row>
    <row r="17749" spans="1:7" x14ac:dyDescent="0.25">
      <c r="A17749" t="s">
        <v>53836</v>
      </c>
      <c r="B17749" t="s">
        <v>54156</v>
      </c>
      <c r="C17749" t="s">
        <v>798</v>
      </c>
      <c r="D17749" t="s">
        <v>799</v>
      </c>
      <c r="E17749" t="s">
        <v>800</v>
      </c>
      <c r="F17749" t="s">
        <v>54157</v>
      </c>
      <c r="G17749" s="2" t="str">
        <f>HYPERLINK("https://probpalata.gov.ru/files/ЮЛ780300308201002.jpeg","Скачать индивидуальный QR-код магазина")</f>
        <v>Скачать индивидуальный QR-код магазина</v>
      </c>
    </row>
    <row r="17750" spans="1:7" x14ac:dyDescent="0.25">
      <c r="A17750" t="s">
        <v>53836</v>
      </c>
      <c r="B17750" t="s">
        <v>54158</v>
      </c>
      <c r="C17750" t="s">
        <v>1501</v>
      </c>
      <c r="D17750" t="s">
        <v>1502</v>
      </c>
      <c r="E17750" t="s">
        <v>1503</v>
      </c>
      <c r="F17750" t="s">
        <v>54159</v>
      </c>
      <c r="G17750" s="2" t="str">
        <f>HYPERLINK("https://probpalata.gov.ru/files/ЮЛ770100439200129.jpeg","Скачать индивидуальный QR-код магазина")</f>
        <v>Скачать индивидуальный QR-код магазина</v>
      </c>
    </row>
    <row r="17751" spans="1:7" x14ac:dyDescent="0.25">
      <c r="A17751" t="s">
        <v>54160</v>
      </c>
      <c r="B17751" t="s">
        <v>54161</v>
      </c>
      <c r="C17751" t="s">
        <v>54162</v>
      </c>
      <c r="D17751" t="s">
        <v>54163</v>
      </c>
      <c r="E17751" t="s">
        <v>54164</v>
      </c>
      <c r="F17751" t="s">
        <v>54165</v>
      </c>
      <c r="G17751" s="2" t="str">
        <f>HYPERLINK("https://probpalata.gov.ru/files/ИП770101144800000.jpeg","Скачать индивидуальный QR-код магазина")</f>
        <v>Скачать индивидуальный QR-код магазина</v>
      </c>
    </row>
    <row r="17752" spans="1:7" x14ac:dyDescent="0.25">
      <c r="A17752" t="s">
        <v>54160</v>
      </c>
      <c r="B17752" t="s">
        <v>54166</v>
      </c>
      <c r="C17752" t="s">
        <v>2171</v>
      </c>
      <c r="D17752" t="s">
        <v>2172</v>
      </c>
      <c r="E17752" t="s">
        <v>2173</v>
      </c>
      <c r="F17752" t="s">
        <v>54167</v>
      </c>
      <c r="G17752" s="2" t="str">
        <f>HYPERLINK("https://probpalata.gov.ru/files/ЮЛ500100602500003.jpeg","Скачать индивидуальный QR-код магазина")</f>
        <v>Скачать индивидуальный QR-код магазина</v>
      </c>
    </row>
    <row r="17753" spans="1:7" x14ac:dyDescent="0.25">
      <c r="A17753" t="s">
        <v>54160</v>
      </c>
      <c r="B17753" t="s">
        <v>54168</v>
      </c>
      <c r="C17753" t="s">
        <v>2171</v>
      </c>
      <c r="D17753" t="s">
        <v>2172</v>
      </c>
      <c r="E17753" t="s">
        <v>2173</v>
      </c>
      <c r="F17753" t="s">
        <v>54169</v>
      </c>
      <c r="G17753" s="2" t="str">
        <f>HYPERLINK("https://probpalata.gov.ru/files/ЮЛ500100602500004.jpeg","Скачать индивидуальный QR-код магазина")</f>
        <v>Скачать индивидуальный QR-код магазина</v>
      </c>
    </row>
    <row r="17754" spans="1:7" x14ac:dyDescent="0.25">
      <c r="A17754" t="s">
        <v>54160</v>
      </c>
      <c r="B17754" t="s">
        <v>54170</v>
      </c>
      <c r="C17754" t="s">
        <v>5067</v>
      </c>
      <c r="D17754" t="s">
        <v>5068</v>
      </c>
      <c r="E17754" t="s">
        <v>5069</v>
      </c>
      <c r="F17754" t="s">
        <v>54171</v>
      </c>
      <c r="G17754" s="2" t="str">
        <f>HYPERLINK("https://probpalata.gov.ru/files/ИП350300596400024.jpeg","Скачать индивидуальный QR-код магазина")</f>
        <v>Скачать индивидуальный QR-код магазина</v>
      </c>
    </row>
    <row r="17755" spans="1:7" x14ac:dyDescent="0.25">
      <c r="A17755" t="s">
        <v>54160</v>
      </c>
      <c r="B17755" t="s">
        <v>54172</v>
      </c>
      <c r="C17755" t="s">
        <v>5067</v>
      </c>
      <c r="D17755" t="s">
        <v>5068</v>
      </c>
      <c r="E17755" t="s">
        <v>5069</v>
      </c>
      <c r="F17755" t="s">
        <v>54173</v>
      </c>
      <c r="G17755" s="2" t="str">
        <f>HYPERLINK("https://probpalata.gov.ru/files/ИП350300596400025.jpeg","Скачать индивидуальный QR-код магазина")</f>
        <v>Скачать индивидуальный QR-код магазина</v>
      </c>
    </row>
    <row r="17756" spans="1:7" x14ac:dyDescent="0.25">
      <c r="A17756" t="s">
        <v>54160</v>
      </c>
      <c r="B17756" t="s">
        <v>54174</v>
      </c>
      <c r="C17756" t="s">
        <v>54175</v>
      </c>
      <c r="D17756" t="s">
        <v>54176</v>
      </c>
      <c r="E17756" t="s">
        <v>54177</v>
      </c>
      <c r="F17756" t="s">
        <v>54178</v>
      </c>
      <c r="G17756" s="2" t="str">
        <f>HYPERLINK("https://probpalata.gov.ru/files/ИП440200706800000.jpeg","Скачать индивидуальный QR-код магазина")</f>
        <v>Скачать индивидуальный QR-код магазина</v>
      </c>
    </row>
    <row r="17757" spans="1:7" x14ac:dyDescent="0.25">
      <c r="A17757" t="s">
        <v>54160</v>
      </c>
      <c r="B17757" t="s">
        <v>54179</v>
      </c>
      <c r="C17757" t="s">
        <v>54180</v>
      </c>
      <c r="D17757" t="s">
        <v>54181</v>
      </c>
      <c r="E17757" t="s">
        <v>54182</v>
      </c>
      <c r="F17757" t="s">
        <v>54183</v>
      </c>
      <c r="G17757" s="2" t="str">
        <f>HYPERLINK("https://probpalata.gov.ru/files/ИП500101328100000.jpeg","Скачать индивидуальный QR-код магазина")</f>
        <v>Скачать индивидуальный QR-код магазина</v>
      </c>
    </row>
    <row r="17758" spans="1:7" x14ac:dyDescent="0.25">
      <c r="A17758" t="s">
        <v>54160</v>
      </c>
      <c r="B17758" t="s">
        <v>54184</v>
      </c>
      <c r="C17758" t="s">
        <v>27303</v>
      </c>
      <c r="D17758" t="s">
        <v>27304</v>
      </c>
      <c r="E17758" t="s">
        <v>27305</v>
      </c>
      <c r="F17758" t="s">
        <v>54185</v>
      </c>
      <c r="G17758" s="2" t="str">
        <f>HYPERLINK("https://probpalata.gov.ru/files/ЮЛ500100201300003.jpeg","Скачать индивидуальный QR-код магазина")</f>
        <v>Скачать индивидуальный QR-код магазина</v>
      </c>
    </row>
    <row r="17759" spans="1:7" x14ac:dyDescent="0.25">
      <c r="A17759" t="s">
        <v>54160</v>
      </c>
      <c r="B17759" t="s">
        <v>54186</v>
      </c>
      <c r="C17759" t="s">
        <v>27303</v>
      </c>
      <c r="D17759" t="s">
        <v>27304</v>
      </c>
      <c r="E17759" t="s">
        <v>27305</v>
      </c>
      <c r="F17759" t="s">
        <v>54187</v>
      </c>
      <c r="G17759" s="2" t="str">
        <f>HYPERLINK("https://probpalata.gov.ru/files/ЮЛ500100201300007.jpeg","Скачать индивидуальный QR-код магазина")</f>
        <v>Скачать индивидуальный QR-код магазина</v>
      </c>
    </row>
    <row r="17760" spans="1:7" x14ac:dyDescent="0.25">
      <c r="A17760" t="s">
        <v>54160</v>
      </c>
      <c r="B17760" t="s">
        <v>54188</v>
      </c>
      <c r="C17760" t="s">
        <v>3069</v>
      </c>
      <c r="D17760" t="s">
        <v>3070</v>
      </c>
      <c r="E17760" t="s">
        <v>3071</v>
      </c>
      <c r="F17760" t="s">
        <v>54189</v>
      </c>
      <c r="G17760" s="2" t="str">
        <f>HYPERLINK("https://probpalata.gov.ru/files/ИП500100862700003.jpeg","Скачать индивидуальный QR-код магазина")</f>
        <v>Скачать индивидуальный QR-код магазина</v>
      </c>
    </row>
    <row r="17761" spans="1:7" x14ac:dyDescent="0.25">
      <c r="A17761" t="s">
        <v>54160</v>
      </c>
      <c r="B17761" t="s">
        <v>54190</v>
      </c>
      <c r="C17761" t="s">
        <v>54191</v>
      </c>
      <c r="D17761" t="s">
        <v>54192</v>
      </c>
      <c r="E17761" t="s">
        <v>54193</v>
      </c>
      <c r="F17761" t="s">
        <v>54194</v>
      </c>
      <c r="G17761" s="2" t="str">
        <f>HYPERLINK("https://probpalata.gov.ru/files/ИП500100469200000.jpeg","Скачать индивидуальный QR-код магазина")</f>
        <v>Скачать индивидуальный QR-код магазина</v>
      </c>
    </row>
    <row r="17762" spans="1:7" x14ac:dyDescent="0.25">
      <c r="A17762" t="s">
        <v>54160</v>
      </c>
      <c r="B17762" t="s">
        <v>54195</v>
      </c>
      <c r="C17762" t="s">
        <v>681</v>
      </c>
      <c r="D17762" t="s">
        <v>682</v>
      </c>
      <c r="E17762" t="s">
        <v>683</v>
      </c>
      <c r="F17762" t="s">
        <v>54196</v>
      </c>
      <c r="G17762" s="2" t="str">
        <f>HYPERLINK("https://probpalata.gov.ru/files/ИП520600807800032.jpeg","Скачать индивидуальный QR-код магазина")</f>
        <v>Скачать индивидуальный QR-код магазина</v>
      </c>
    </row>
    <row r="17763" spans="1:7" x14ac:dyDescent="0.25">
      <c r="A17763" t="s">
        <v>54160</v>
      </c>
      <c r="B17763" t="s">
        <v>54197</v>
      </c>
      <c r="C17763" t="s">
        <v>54198</v>
      </c>
      <c r="D17763" t="s">
        <v>54199</v>
      </c>
      <c r="E17763" t="s">
        <v>54200</v>
      </c>
      <c r="F17763" t="s">
        <v>54201</v>
      </c>
      <c r="G17763" s="2" t="str">
        <f>HYPERLINK("https://probpalata.gov.ru/files/ИП770100194000000.jpeg","Скачать индивидуальный QR-код магазина")</f>
        <v>Скачать индивидуальный QR-код магазина</v>
      </c>
    </row>
    <row r="17764" spans="1:7" x14ac:dyDescent="0.25">
      <c r="A17764" t="s">
        <v>54160</v>
      </c>
      <c r="B17764" t="s">
        <v>54190</v>
      </c>
      <c r="C17764" t="s">
        <v>21845</v>
      </c>
      <c r="D17764" t="s">
        <v>54202</v>
      </c>
      <c r="E17764" t="s">
        <v>54203</v>
      </c>
      <c r="F17764" t="s">
        <v>54204</v>
      </c>
      <c r="G17764" s="2" t="str">
        <f>HYPERLINK("https://probpalata.gov.ru/files/ЮЛ690104090200000.jpeg","Скачать индивидуальный QR-код магазина")</f>
        <v>Скачать индивидуальный QR-код магазина</v>
      </c>
    </row>
    <row r="17765" spans="1:7" x14ac:dyDescent="0.25">
      <c r="A17765" t="s">
        <v>54160</v>
      </c>
      <c r="B17765" t="s">
        <v>54205</v>
      </c>
      <c r="C17765" t="s">
        <v>54206</v>
      </c>
      <c r="D17765" t="s">
        <v>54207</v>
      </c>
      <c r="E17765" t="s">
        <v>54208</v>
      </c>
      <c r="F17765" t="s">
        <v>54209</v>
      </c>
      <c r="G17765" s="2" t="str">
        <f>HYPERLINK("https://probpalata.gov.ru/files/ЮЛ690101305800000.jpeg","Скачать индивидуальный QR-код магазина")</f>
        <v>Скачать индивидуальный QR-код магазина</v>
      </c>
    </row>
    <row r="17766" spans="1:7" x14ac:dyDescent="0.25">
      <c r="A17766" t="s">
        <v>54160</v>
      </c>
      <c r="B17766" t="s">
        <v>54210</v>
      </c>
      <c r="C17766" t="s">
        <v>54206</v>
      </c>
      <c r="D17766" t="s">
        <v>54207</v>
      </c>
      <c r="E17766" t="s">
        <v>54208</v>
      </c>
      <c r="F17766" t="s">
        <v>54211</v>
      </c>
      <c r="G17766" s="2" t="str">
        <f>HYPERLINK("https://probpalata.gov.ru/files/ЮЛ690101305800001.jpeg","Скачать индивидуальный QR-код магазина")</f>
        <v>Скачать индивидуальный QR-код магазина</v>
      </c>
    </row>
    <row r="17767" spans="1:7" x14ac:dyDescent="0.25">
      <c r="A17767" t="s">
        <v>54160</v>
      </c>
      <c r="B17767" t="s">
        <v>54212</v>
      </c>
      <c r="C17767" t="s">
        <v>54213</v>
      </c>
      <c r="D17767" t="s">
        <v>54214</v>
      </c>
      <c r="E17767" t="s">
        <v>54215</v>
      </c>
      <c r="F17767" t="s">
        <v>54216</v>
      </c>
      <c r="G17767" s="2" t="str">
        <f>HYPERLINK("https://probpalata.gov.ru/files/ИП690104083900000.jpeg","Скачать индивидуальный QR-код магазина")</f>
        <v>Скачать индивидуальный QR-код магазина</v>
      </c>
    </row>
    <row r="17768" spans="1:7" x14ac:dyDescent="0.25">
      <c r="A17768" t="s">
        <v>54160</v>
      </c>
      <c r="B17768" t="s">
        <v>54217</v>
      </c>
      <c r="C17768" t="s">
        <v>54218</v>
      </c>
      <c r="D17768" t="s">
        <v>54219</v>
      </c>
      <c r="E17768" t="s">
        <v>54220</v>
      </c>
      <c r="F17768" t="s">
        <v>54221</v>
      </c>
      <c r="G17768" s="2" t="str">
        <f>HYPERLINK("https://probpalata.gov.ru/files/ЮЛ690100387100000.jpeg","Скачать индивидуальный QR-код магазина")</f>
        <v>Скачать индивидуальный QR-код магазина</v>
      </c>
    </row>
    <row r="17769" spans="1:7" x14ac:dyDescent="0.25">
      <c r="A17769" t="s">
        <v>54160</v>
      </c>
      <c r="B17769" t="s">
        <v>54222</v>
      </c>
      <c r="C17769" t="s">
        <v>54223</v>
      </c>
      <c r="D17769" t="s">
        <v>54224</v>
      </c>
      <c r="E17769" t="s">
        <v>54225</v>
      </c>
      <c r="F17769" t="s">
        <v>54226</v>
      </c>
      <c r="G17769" s="2" t="str">
        <f>HYPERLINK("https://probpalata.gov.ru/files/ИП690101806000000.jpeg","Скачать индивидуальный QR-код магазина")</f>
        <v>Скачать индивидуальный QR-код магазина</v>
      </c>
    </row>
    <row r="17770" spans="1:7" x14ac:dyDescent="0.25">
      <c r="A17770" t="s">
        <v>54160</v>
      </c>
      <c r="B17770" t="s">
        <v>54227</v>
      </c>
      <c r="C17770" t="s">
        <v>54228</v>
      </c>
      <c r="D17770" t="s">
        <v>54229</v>
      </c>
      <c r="E17770" t="s">
        <v>54230</v>
      </c>
      <c r="F17770" t="s">
        <v>54231</v>
      </c>
      <c r="G17770" s="2" t="str">
        <f>HYPERLINK("https://probpalata.gov.ru/files/ИП690100250800000.jpeg","Скачать индивидуальный QR-код магазина")</f>
        <v>Скачать индивидуальный QR-код магазина</v>
      </c>
    </row>
    <row r="17771" spans="1:7" x14ac:dyDescent="0.25">
      <c r="A17771" t="s">
        <v>54160</v>
      </c>
      <c r="B17771" t="s">
        <v>54232</v>
      </c>
      <c r="C17771" t="s">
        <v>54228</v>
      </c>
      <c r="D17771" t="s">
        <v>54229</v>
      </c>
      <c r="E17771" t="s">
        <v>54230</v>
      </c>
      <c r="F17771" t="s">
        <v>54233</v>
      </c>
      <c r="G17771" s="2" t="str">
        <f>HYPERLINK("https://probpalata.gov.ru/files/ИП690100250800001.jpeg","Скачать индивидуальный QR-код магазина")</f>
        <v>Скачать индивидуальный QR-код магазина</v>
      </c>
    </row>
    <row r="17772" spans="1:7" x14ac:dyDescent="0.25">
      <c r="A17772" t="s">
        <v>54160</v>
      </c>
      <c r="B17772" t="s">
        <v>54234</v>
      </c>
      <c r="C17772" t="s">
        <v>54228</v>
      </c>
      <c r="D17772" t="s">
        <v>54229</v>
      </c>
      <c r="E17772" t="s">
        <v>54230</v>
      </c>
      <c r="F17772" t="s">
        <v>54235</v>
      </c>
      <c r="G17772" s="2" t="str">
        <f>HYPERLINK("https://probpalata.gov.ru/files/ИП690100250800002.jpeg","Скачать индивидуальный QR-код магазина")</f>
        <v>Скачать индивидуальный QR-код магазина</v>
      </c>
    </row>
    <row r="17773" spans="1:7" x14ac:dyDescent="0.25">
      <c r="A17773" t="s">
        <v>54160</v>
      </c>
      <c r="B17773" t="s">
        <v>54236</v>
      </c>
      <c r="C17773" t="s">
        <v>54237</v>
      </c>
      <c r="D17773" t="s">
        <v>54238</v>
      </c>
      <c r="E17773" t="s">
        <v>54239</v>
      </c>
      <c r="F17773" t="s">
        <v>54240</v>
      </c>
      <c r="G17773" s="2" t="str">
        <f>HYPERLINK("https://probpalata.gov.ru/files/ИП690100277700000.jpeg","Скачать индивидуальный QR-код магазина")</f>
        <v>Скачать индивидуальный QR-код магазина</v>
      </c>
    </row>
    <row r="17774" spans="1:7" x14ac:dyDescent="0.25">
      <c r="A17774" t="s">
        <v>54160</v>
      </c>
      <c r="B17774" t="s">
        <v>54241</v>
      </c>
      <c r="C17774" t="s">
        <v>54242</v>
      </c>
      <c r="D17774" t="s">
        <v>54243</v>
      </c>
      <c r="E17774" t="s">
        <v>54244</v>
      </c>
      <c r="F17774" t="s">
        <v>54245</v>
      </c>
      <c r="G17774" s="2" t="str">
        <f>HYPERLINK("https://probpalata.gov.ru/files/ИП690101117500000.jpeg","Скачать индивидуальный QR-код магазина")</f>
        <v>Скачать индивидуальный QR-код магазина</v>
      </c>
    </row>
    <row r="17775" spans="1:7" x14ac:dyDescent="0.25">
      <c r="A17775" t="s">
        <v>54160</v>
      </c>
      <c r="B17775" t="s">
        <v>54246</v>
      </c>
      <c r="C17775" t="s">
        <v>54247</v>
      </c>
      <c r="D17775" t="s">
        <v>54248</v>
      </c>
      <c r="E17775" t="s">
        <v>54249</v>
      </c>
      <c r="F17775" t="s">
        <v>54250</v>
      </c>
      <c r="G17775" s="2" t="str">
        <f>HYPERLINK("https://probpalata.gov.ru/files/ИП690101669400000.jpeg","Скачать индивидуальный QR-код магазина")</f>
        <v>Скачать индивидуальный QR-код магазина</v>
      </c>
    </row>
    <row r="17776" spans="1:7" x14ac:dyDescent="0.25">
      <c r="A17776" t="s">
        <v>54160</v>
      </c>
      <c r="B17776" t="s">
        <v>54251</v>
      </c>
      <c r="C17776" t="s">
        <v>54252</v>
      </c>
      <c r="D17776" t="s">
        <v>54253</v>
      </c>
      <c r="E17776" t="s">
        <v>54254</v>
      </c>
      <c r="F17776" t="s">
        <v>54255</v>
      </c>
      <c r="G17776" s="2" t="str">
        <f>HYPERLINK("https://probpalata.gov.ru/files/ИП690103298700000.jpeg","Скачать индивидуальный QR-код магазина")</f>
        <v>Скачать индивидуальный QR-код магазина</v>
      </c>
    </row>
    <row r="17777" spans="1:7" x14ac:dyDescent="0.25">
      <c r="A17777" t="s">
        <v>54160</v>
      </c>
      <c r="B17777" t="s">
        <v>54256</v>
      </c>
      <c r="C17777" t="s">
        <v>54257</v>
      </c>
      <c r="D17777" t="s">
        <v>54258</v>
      </c>
      <c r="E17777" t="s">
        <v>54259</v>
      </c>
      <c r="F17777" t="s">
        <v>54260</v>
      </c>
      <c r="G17777" s="2" t="str">
        <f>HYPERLINK("https://probpalata.gov.ru/files/ИП690100093500000.jpeg","Скачать индивидуальный QR-код магазина")</f>
        <v>Скачать индивидуальный QR-код магазина</v>
      </c>
    </row>
    <row r="17778" spans="1:7" x14ac:dyDescent="0.25">
      <c r="A17778" t="s">
        <v>54160</v>
      </c>
      <c r="B17778" t="s">
        <v>54261</v>
      </c>
      <c r="C17778" t="s">
        <v>54262</v>
      </c>
      <c r="D17778" t="s">
        <v>54263</v>
      </c>
      <c r="E17778" t="s">
        <v>54264</v>
      </c>
      <c r="F17778" t="s">
        <v>54265</v>
      </c>
      <c r="G17778" s="2" t="str">
        <f>HYPERLINK("https://probpalata.gov.ru/files/ИП690100194900000.jpeg","Скачать индивидуальный QR-код магазина")</f>
        <v>Скачать индивидуальный QR-код магазина</v>
      </c>
    </row>
    <row r="17779" spans="1:7" x14ac:dyDescent="0.25">
      <c r="A17779" t="s">
        <v>54160</v>
      </c>
      <c r="B17779" t="s">
        <v>54266</v>
      </c>
      <c r="C17779" t="s">
        <v>54262</v>
      </c>
      <c r="D17779" t="s">
        <v>54263</v>
      </c>
      <c r="E17779" t="s">
        <v>54264</v>
      </c>
      <c r="F17779" t="s">
        <v>54267</v>
      </c>
      <c r="G17779" s="2" t="str">
        <f>HYPERLINK("https://probpalata.gov.ru/files/ИП690100194900001.jpeg","Скачать индивидуальный QR-код магазина")</f>
        <v>Скачать индивидуальный QR-код магазина</v>
      </c>
    </row>
    <row r="17780" spans="1:7" x14ac:dyDescent="0.25">
      <c r="A17780" t="s">
        <v>54160</v>
      </c>
      <c r="B17780" t="s">
        <v>54268</v>
      </c>
      <c r="C17780" t="s">
        <v>54269</v>
      </c>
      <c r="D17780" t="s">
        <v>54270</v>
      </c>
      <c r="E17780" t="s">
        <v>54271</v>
      </c>
      <c r="F17780" t="s">
        <v>54272</v>
      </c>
      <c r="G17780" s="2" t="str">
        <f>HYPERLINK("https://probpalata.gov.ru/files/ИП690100803200000.jpeg","Скачать индивидуальный QR-код магазина")</f>
        <v>Скачать индивидуальный QR-код магазина</v>
      </c>
    </row>
    <row r="17781" spans="1:7" x14ac:dyDescent="0.25">
      <c r="A17781" t="s">
        <v>54160</v>
      </c>
      <c r="B17781" t="s">
        <v>54273</v>
      </c>
      <c r="C17781" t="s">
        <v>54269</v>
      </c>
      <c r="D17781" t="s">
        <v>54270</v>
      </c>
      <c r="E17781" t="s">
        <v>54271</v>
      </c>
      <c r="F17781" t="s">
        <v>54274</v>
      </c>
      <c r="G17781" s="2" t="str">
        <f>HYPERLINK("https://probpalata.gov.ru/files/ИП690100803200004.jpeg","Скачать индивидуальный QR-код магазина")</f>
        <v>Скачать индивидуальный QR-код магазина</v>
      </c>
    </row>
    <row r="17782" spans="1:7" x14ac:dyDescent="0.25">
      <c r="A17782" t="s">
        <v>54160</v>
      </c>
      <c r="B17782" t="s">
        <v>54275</v>
      </c>
      <c r="C17782" t="s">
        <v>54269</v>
      </c>
      <c r="D17782" t="s">
        <v>54270</v>
      </c>
      <c r="E17782" t="s">
        <v>54271</v>
      </c>
      <c r="F17782" t="s">
        <v>54276</v>
      </c>
      <c r="G17782" s="2" t="str">
        <f>HYPERLINK("https://probpalata.gov.ru/files/ИП690100803200005.jpeg","Скачать индивидуальный QR-код магазина")</f>
        <v>Скачать индивидуальный QR-код магазина</v>
      </c>
    </row>
    <row r="17783" spans="1:7" x14ac:dyDescent="0.25">
      <c r="A17783" t="s">
        <v>54160</v>
      </c>
      <c r="B17783" t="s">
        <v>54277</v>
      </c>
      <c r="C17783" t="s">
        <v>54278</v>
      </c>
      <c r="D17783" t="s">
        <v>54279</v>
      </c>
      <c r="E17783" t="s">
        <v>54280</v>
      </c>
      <c r="F17783" t="s">
        <v>54281</v>
      </c>
      <c r="G17783" s="2" t="str">
        <f>HYPERLINK("https://probpalata.gov.ru/files/ИП690100704100000.jpeg","Скачать индивидуальный QR-код магазина")</f>
        <v>Скачать индивидуальный QR-код магазина</v>
      </c>
    </row>
    <row r="17784" spans="1:7" x14ac:dyDescent="0.25">
      <c r="A17784" t="s">
        <v>54160</v>
      </c>
      <c r="B17784" t="s">
        <v>54282</v>
      </c>
      <c r="C17784" t="s">
        <v>54283</v>
      </c>
      <c r="D17784" t="s">
        <v>54284</v>
      </c>
      <c r="E17784" t="s">
        <v>54285</v>
      </c>
      <c r="F17784" t="s">
        <v>54286</v>
      </c>
      <c r="G17784" s="2" t="str">
        <f>HYPERLINK("https://probpalata.gov.ru/files/ИП690103494200000.jpeg","Скачать индивидуальный QR-код магазина")</f>
        <v>Скачать индивидуальный QR-код магазина</v>
      </c>
    </row>
    <row r="17785" spans="1:7" x14ac:dyDescent="0.25">
      <c r="A17785" t="s">
        <v>54160</v>
      </c>
      <c r="B17785" t="s">
        <v>54287</v>
      </c>
      <c r="C17785" t="s">
        <v>54283</v>
      </c>
      <c r="D17785" t="s">
        <v>54284</v>
      </c>
      <c r="E17785" t="s">
        <v>54285</v>
      </c>
      <c r="F17785" t="s">
        <v>54288</v>
      </c>
      <c r="G17785" s="2" t="str">
        <f>HYPERLINK("https://probpalata.gov.ru/files/ИП690103494200001.jpeg","Скачать индивидуальный QR-код магазина")</f>
        <v>Скачать индивидуальный QR-код магазина</v>
      </c>
    </row>
    <row r="17786" spans="1:7" x14ac:dyDescent="0.25">
      <c r="A17786" t="s">
        <v>54160</v>
      </c>
      <c r="B17786" t="s">
        <v>54289</v>
      </c>
      <c r="C17786" t="s">
        <v>54290</v>
      </c>
      <c r="D17786" t="s">
        <v>54291</v>
      </c>
      <c r="E17786" t="s">
        <v>54292</v>
      </c>
      <c r="F17786" t="s">
        <v>54293</v>
      </c>
      <c r="G17786" s="2" t="str">
        <f>HYPERLINK("https://probpalata.gov.ru/files/ИП770101447500000.jpeg","Скачать индивидуальный QR-код магазина")</f>
        <v>Скачать индивидуальный QR-код магазина</v>
      </c>
    </row>
    <row r="17787" spans="1:7" x14ac:dyDescent="0.25">
      <c r="A17787" t="s">
        <v>54160</v>
      </c>
      <c r="B17787" t="s">
        <v>54294</v>
      </c>
      <c r="C17787" t="s">
        <v>54295</v>
      </c>
      <c r="D17787" t="s">
        <v>54296</v>
      </c>
      <c r="E17787" t="s">
        <v>54297</v>
      </c>
      <c r="F17787" t="s">
        <v>54298</v>
      </c>
      <c r="G17787" s="2" t="str">
        <f>HYPERLINK("https://probpalata.gov.ru/files/ЮЛ690100254900001.jpeg","Скачать индивидуальный QR-код магазина")</f>
        <v>Скачать индивидуальный QR-код магазина</v>
      </c>
    </row>
    <row r="17788" spans="1:7" x14ac:dyDescent="0.25">
      <c r="A17788" t="s">
        <v>54160</v>
      </c>
      <c r="B17788" t="s">
        <v>54299</v>
      </c>
      <c r="C17788" t="s">
        <v>54295</v>
      </c>
      <c r="D17788" t="s">
        <v>54296</v>
      </c>
      <c r="E17788" t="s">
        <v>54297</v>
      </c>
      <c r="F17788" t="s">
        <v>54300</v>
      </c>
      <c r="G17788" s="2" t="str">
        <f>HYPERLINK("https://probpalata.gov.ru/files/ЮЛ690100254900002.jpeg","Скачать индивидуальный QR-код магазина")</f>
        <v>Скачать индивидуальный QR-код магазина</v>
      </c>
    </row>
    <row r="17789" spans="1:7" x14ac:dyDescent="0.25">
      <c r="A17789" t="s">
        <v>54160</v>
      </c>
      <c r="B17789" t="s">
        <v>54301</v>
      </c>
      <c r="C17789" t="s">
        <v>54295</v>
      </c>
      <c r="D17789" t="s">
        <v>54296</v>
      </c>
      <c r="E17789" t="s">
        <v>54297</v>
      </c>
      <c r="F17789" t="s">
        <v>54302</v>
      </c>
      <c r="G17789" s="2" t="str">
        <f>HYPERLINK("https://probpalata.gov.ru/files/ЮЛ690100254900004.jpeg","Скачать индивидуальный QR-код магазина")</f>
        <v>Скачать индивидуальный QR-код магазина</v>
      </c>
    </row>
    <row r="17790" spans="1:7" x14ac:dyDescent="0.25">
      <c r="A17790" t="s">
        <v>54160</v>
      </c>
      <c r="B17790" t="s">
        <v>54303</v>
      </c>
      <c r="C17790" t="s">
        <v>54295</v>
      </c>
      <c r="D17790" t="s">
        <v>54296</v>
      </c>
      <c r="E17790" t="s">
        <v>54297</v>
      </c>
      <c r="F17790" t="s">
        <v>54304</v>
      </c>
      <c r="G17790" s="2" t="str">
        <f>HYPERLINK("https://probpalata.gov.ru/files/ЮЛ690100254900005.jpeg","Скачать индивидуальный QR-код магазина")</f>
        <v>Скачать индивидуальный QR-код магазина</v>
      </c>
    </row>
    <row r="17791" spans="1:7" x14ac:dyDescent="0.25">
      <c r="A17791" t="s">
        <v>54160</v>
      </c>
      <c r="B17791" t="s">
        <v>54305</v>
      </c>
      <c r="C17791" t="s">
        <v>54295</v>
      </c>
      <c r="D17791" t="s">
        <v>54296</v>
      </c>
      <c r="E17791" t="s">
        <v>54297</v>
      </c>
      <c r="F17791" t="s">
        <v>54306</v>
      </c>
      <c r="G17791" s="2" t="str">
        <f>HYPERLINK("https://probpalata.gov.ru/files/ЮЛ690100254900006.jpeg","Скачать индивидуальный QR-код магазина")</f>
        <v>Скачать индивидуальный QR-код магазина</v>
      </c>
    </row>
    <row r="17792" spans="1:7" x14ac:dyDescent="0.25">
      <c r="A17792" t="s">
        <v>54160</v>
      </c>
      <c r="B17792" t="s">
        <v>54307</v>
      </c>
      <c r="C17792" t="s">
        <v>54295</v>
      </c>
      <c r="D17792" t="s">
        <v>54296</v>
      </c>
      <c r="E17792" t="s">
        <v>54297</v>
      </c>
      <c r="F17792" t="s">
        <v>54308</v>
      </c>
      <c r="G17792" s="2" t="str">
        <f>HYPERLINK("https://probpalata.gov.ru/files/ЮЛ690100254900007.jpeg","Скачать индивидуальный QR-код магазина")</f>
        <v>Скачать индивидуальный QR-код магазина</v>
      </c>
    </row>
    <row r="17793" spans="1:7" x14ac:dyDescent="0.25">
      <c r="A17793" t="s">
        <v>54160</v>
      </c>
      <c r="B17793" t="s">
        <v>54309</v>
      </c>
      <c r="C17793" t="s">
        <v>54295</v>
      </c>
      <c r="D17793" t="s">
        <v>54296</v>
      </c>
      <c r="E17793" t="s">
        <v>54297</v>
      </c>
      <c r="F17793" t="s">
        <v>54310</v>
      </c>
      <c r="G17793" s="2" t="str">
        <f>HYPERLINK("https://probpalata.gov.ru/files/ЮЛ690100254900008.jpeg","Скачать индивидуальный QR-код магазина")</f>
        <v>Скачать индивидуальный QR-код магазина</v>
      </c>
    </row>
    <row r="17794" spans="1:7" x14ac:dyDescent="0.25">
      <c r="A17794" t="s">
        <v>54160</v>
      </c>
      <c r="B17794" t="s">
        <v>54311</v>
      </c>
      <c r="C17794" t="s">
        <v>54295</v>
      </c>
      <c r="D17794" t="s">
        <v>54296</v>
      </c>
      <c r="E17794" t="s">
        <v>54297</v>
      </c>
      <c r="F17794" t="s">
        <v>54312</v>
      </c>
      <c r="G17794" s="2" t="str">
        <f>HYPERLINK("https://probpalata.gov.ru/files/ЮЛ690100254900010.jpeg","Скачать индивидуальный QR-код магазина")</f>
        <v>Скачать индивидуальный QR-код магазина</v>
      </c>
    </row>
    <row r="17795" spans="1:7" x14ac:dyDescent="0.25">
      <c r="A17795" t="s">
        <v>54160</v>
      </c>
      <c r="B17795" t="s">
        <v>54313</v>
      </c>
      <c r="C17795" t="s">
        <v>54295</v>
      </c>
      <c r="D17795" t="s">
        <v>54296</v>
      </c>
      <c r="E17795" t="s">
        <v>54297</v>
      </c>
      <c r="F17795" t="s">
        <v>54314</v>
      </c>
      <c r="G17795" s="2" t="str">
        <f>HYPERLINK("https://probpalata.gov.ru/files/ЮЛ690100254900011.jpeg","Скачать индивидуальный QR-код магазина")</f>
        <v>Скачать индивидуальный QR-код магазина</v>
      </c>
    </row>
    <row r="17796" spans="1:7" x14ac:dyDescent="0.25">
      <c r="A17796" t="s">
        <v>54160</v>
      </c>
      <c r="B17796" t="s">
        <v>54315</v>
      </c>
      <c r="C17796" t="s">
        <v>54295</v>
      </c>
      <c r="D17796" t="s">
        <v>54296</v>
      </c>
      <c r="E17796" t="s">
        <v>54297</v>
      </c>
      <c r="F17796" t="s">
        <v>54316</v>
      </c>
      <c r="G17796" s="2" t="str">
        <f>HYPERLINK("https://probpalata.gov.ru/files/ЮЛ690100254900012.jpeg","Скачать индивидуальный QR-код магазина")</f>
        <v>Скачать индивидуальный QR-код магазина</v>
      </c>
    </row>
    <row r="17797" spans="1:7" x14ac:dyDescent="0.25">
      <c r="A17797" t="s">
        <v>54160</v>
      </c>
      <c r="B17797" t="s">
        <v>54317</v>
      </c>
      <c r="C17797" t="s">
        <v>54295</v>
      </c>
      <c r="D17797" t="s">
        <v>54296</v>
      </c>
      <c r="E17797" t="s">
        <v>54297</v>
      </c>
      <c r="F17797" t="s">
        <v>54318</v>
      </c>
      <c r="G17797" s="2" t="str">
        <f>HYPERLINK("https://probpalata.gov.ru/files/ЮЛ690100254900013.jpeg","Скачать индивидуальный QR-код магазина")</f>
        <v>Скачать индивидуальный QR-код магазина</v>
      </c>
    </row>
    <row r="17798" spans="1:7" x14ac:dyDescent="0.25">
      <c r="A17798" t="s">
        <v>54160</v>
      </c>
      <c r="B17798" t="s">
        <v>54319</v>
      </c>
      <c r="C17798" t="s">
        <v>54295</v>
      </c>
      <c r="D17798" t="s">
        <v>54296</v>
      </c>
      <c r="E17798" t="s">
        <v>54297</v>
      </c>
      <c r="F17798" t="s">
        <v>54320</v>
      </c>
      <c r="G17798" s="2" t="str">
        <f>HYPERLINK("https://probpalata.gov.ru/files/ЮЛ690100254900014.jpeg","Скачать индивидуальный QR-код магазина")</f>
        <v>Скачать индивидуальный QR-код магазина</v>
      </c>
    </row>
    <row r="17799" spans="1:7" x14ac:dyDescent="0.25">
      <c r="A17799" t="s">
        <v>54160</v>
      </c>
      <c r="B17799" t="s">
        <v>54321</v>
      </c>
      <c r="C17799" t="s">
        <v>54322</v>
      </c>
      <c r="D17799" t="s">
        <v>54323</v>
      </c>
      <c r="E17799" t="s">
        <v>54324</v>
      </c>
      <c r="F17799" t="s">
        <v>54325</v>
      </c>
      <c r="G17799" s="2" t="str">
        <f>HYPERLINK("https://probpalata.gov.ru/files/ЮЛ690100258800000.jpeg","Скачать индивидуальный QR-код магазина")</f>
        <v>Скачать индивидуальный QR-код магазина</v>
      </c>
    </row>
    <row r="17800" spans="1:7" x14ac:dyDescent="0.25">
      <c r="A17800" t="s">
        <v>54160</v>
      </c>
      <c r="B17800" t="s">
        <v>54326</v>
      </c>
      <c r="C17800" t="s">
        <v>54327</v>
      </c>
      <c r="D17800" t="s">
        <v>54328</v>
      </c>
      <c r="E17800" t="s">
        <v>54329</v>
      </c>
      <c r="F17800" t="s">
        <v>54330</v>
      </c>
      <c r="G17800" s="2" t="str">
        <f>HYPERLINK("https://probpalata.gov.ru/files/ЮЛ690100467100000.jpeg","Скачать индивидуальный QR-код магазина")</f>
        <v>Скачать индивидуальный QR-код магазина</v>
      </c>
    </row>
    <row r="17801" spans="1:7" x14ac:dyDescent="0.25">
      <c r="A17801" t="s">
        <v>54160</v>
      </c>
      <c r="B17801" t="s">
        <v>54331</v>
      </c>
      <c r="C17801" t="s">
        <v>2039</v>
      </c>
      <c r="D17801" t="s">
        <v>54332</v>
      </c>
      <c r="E17801" t="s">
        <v>54333</v>
      </c>
      <c r="F17801" t="s">
        <v>54334</v>
      </c>
      <c r="G17801" s="2" t="str">
        <f>HYPERLINK("https://probpalata.gov.ru/files/ЮЛ690100867200000.jpeg","Скачать индивидуальный QR-код магазина")</f>
        <v>Скачать индивидуальный QR-код магазина</v>
      </c>
    </row>
    <row r="17802" spans="1:7" x14ac:dyDescent="0.25">
      <c r="A17802" t="s">
        <v>54160</v>
      </c>
      <c r="B17802" t="s">
        <v>54335</v>
      </c>
      <c r="C17802" t="s">
        <v>54336</v>
      </c>
      <c r="D17802" t="s">
        <v>54337</v>
      </c>
      <c r="E17802" t="s">
        <v>54338</v>
      </c>
      <c r="F17802" t="s">
        <v>54339</v>
      </c>
      <c r="G17802" s="2" t="str">
        <f>HYPERLINK("https://probpalata.gov.ru/files/ИП690100165800000.jpeg","Скачать индивидуальный QR-код магазина")</f>
        <v>Скачать индивидуальный QR-код магазина</v>
      </c>
    </row>
    <row r="17803" spans="1:7" x14ac:dyDescent="0.25">
      <c r="A17803" t="s">
        <v>54160</v>
      </c>
      <c r="B17803" t="s">
        <v>54340</v>
      </c>
      <c r="C17803" t="s">
        <v>54341</v>
      </c>
      <c r="D17803" t="s">
        <v>54342</v>
      </c>
      <c r="E17803" t="s">
        <v>54343</v>
      </c>
      <c r="F17803" t="s">
        <v>54344</v>
      </c>
      <c r="G17803" s="2" t="str">
        <f>HYPERLINK("https://probpalata.gov.ru/files/ИП690101588500000.jpeg","Скачать индивидуальный QR-код магазина")</f>
        <v>Скачать индивидуальный QR-код магазина</v>
      </c>
    </row>
    <row r="17804" spans="1:7" x14ac:dyDescent="0.25">
      <c r="A17804" t="s">
        <v>54160</v>
      </c>
      <c r="B17804" t="s">
        <v>54345</v>
      </c>
      <c r="C17804" t="s">
        <v>54346</v>
      </c>
      <c r="D17804" t="s">
        <v>54347</v>
      </c>
      <c r="E17804" t="s">
        <v>54348</v>
      </c>
      <c r="F17804" t="s">
        <v>54349</v>
      </c>
      <c r="G17804" s="2" t="str">
        <f>HYPERLINK("https://probpalata.gov.ru/files/ИП770100543300000.jpeg","Скачать индивидуальный QR-код магазина")</f>
        <v>Скачать индивидуальный QR-код магазина</v>
      </c>
    </row>
    <row r="17805" spans="1:7" x14ac:dyDescent="0.25">
      <c r="A17805" t="s">
        <v>54160</v>
      </c>
      <c r="B17805" t="s">
        <v>54350</v>
      </c>
      <c r="C17805" t="s">
        <v>54351</v>
      </c>
      <c r="D17805" t="s">
        <v>54352</v>
      </c>
      <c r="E17805" t="s">
        <v>54353</v>
      </c>
      <c r="F17805" t="s">
        <v>54354</v>
      </c>
      <c r="G17805" s="2" t="str">
        <f>HYPERLINK("https://probpalata.gov.ru/files/ИП690100292900000.jpeg","Скачать индивидуальный QR-код магазина")</f>
        <v>Скачать индивидуальный QR-код магазина</v>
      </c>
    </row>
    <row r="17806" spans="1:7" x14ac:dyDescent="0.25">
      <c r="A17806" t="s">
        <v>54160</v>
      </c>
      <c r="B17806" t="s">
        <v>54355</v>
      </c>
      <c r="C17806" t="s">
        <v>54356</v>
      </c>
      <c r="D17806" t="s">
        <v>54357</v>
      </c>
      <c r="E17806" t="s">
        <v>54358</v>
      </c>
      <c r="F17806" t="s">
        <v>54359</v>
      </c>
      <c r="G17806" s="2" t="str">
        <f>HYPERLINK("https://probpalata.gov.ru/files/ИП690100111800000.jpeg","Скачать индивидуальный QR-код магазина")</f>
        <v>Скачать индивидуальный QR-код магазина</v>
      </c>
    </row>
    <row r="17807" spans="1:7" x14ac:dyDescent="0.25">
      <c r="A17807" t="s">
        <v>54160</v>
      </c>
      <c r="B17807" t="s">
        <v>54360</v>
      </c>
      <c r="C17807" t="s">
        <v>54361</v>
      </c>
      <c r="D17807" t="s">
        <v>54362</v>
      </c>
      <c r="E17807" t="s">
        <v>54363</v>
      </c>
      <c r="F17807" t="s">
        <v>54364</v>
      </c>
      <c r="G17807" s="2" t="str">
        <f>HYPERLINK("https://probpalata.gov.ru/files/ИП690101055300000.jpeg","Скачать индивидуальный QR-код магазина")</f>
        <v>Скачать индивидуальный QR-код магазина</v>
      </c>
    </row>
    <row r="17808" spans="1:7" x14ac:dyDescent="0.25">
      <c r="A17808" t="s">
        <v>54160</v>
      </c>
      <c r="B17808" t="s">
        <v>54365</v>
      </c>
      <c r="C17808" t="s">
        <v>54366</v>
      </c>
      <c r="D17808" t="s">
        <v>54367</v>
      </c>
      <c r="E17808" t="s">
        <v>54368</v>
      </c>
      <c r="F17808" t="s">
        <v>54369</v>
      </c>
      <c r="G17808" s="2" t="str">
        <f>HYPERLINK("https://probpalata.gov.ru/files/ИП690100421100000.jpeg","Скачать индивидуальный QR-код магазина")</f>
        <v>Скачать индивидуальный QR-код магазина</v>
      </c>
    </row>
    <row r="17809" spans="1:7" x14ac:dyDescent="0.25">
      <c r="A17809" t="s">
        <v>54160</v>
      </c>
      <c r="B17809" t="s">
        <v>54370</v>
      </c>
      <c r="C17809" t="s">
        <v>54371</v>
      </c>
      <c r="D17809" t="s">
        <v>54372</v>
      </c>
      <c r="E17809" t="s">
        <v>54373</v>
      </c>
      <c r="F17809" t="s">
        <v>54374</v>
      </c>
      <c r="G17809" s="2" t="str">
        <f>HYPERLINK("https://probpalata.gov.ru/files/ИП690101504500000.jpeg","Скачать индивидуальный QR-код магазина")</f>
        <v>Скачать индивидуальный QR-код магазина</v>
      </c>
    </row>
    <row r="17810" spans="1:7" x14ac:dyDescent="0.25">
      <c r="A17810" t="s">
        <v>54160</v>
      </c>
      <c r="B17810" t="s">
        <v>54375</v>
      </c>
      <c r="C17810" t="s">
        <v>54376</v>
      </c>
      <c r="D17810" t="s">
        <v>54377</v>
      </c>
      <c r="E17810" t="s">
        <v>54378</v>
      </c>
      <c r="F17810" t="s">
        <v>54379</v>
      </c>
      <c r="G17810" s="2" t="str">
        <f>HYPERLINK("https://probpalata.gov.ru/files/ИП690100610300000.jpeg","Скачать индивидуальный QR-код магазина")</f>
        <v>Скачать индивидуальный QR-код магазина</v>
      </c>
    </row>
    <row r="17811" spans="1:7" x14ac:dyDescent="0.25">
      <c r="A17811" t="s">
        <v>54160</v>
      </c>
      <c r="B17811" t="s">
        <v>54380</v>
      </c>
      <c r="C17811" t="s">
        <v>54381</v>
      </c>
      <c r="D17811" t="s">
        <v>54382</v>
      </c>
      <c r="E17811" t="s">
        <v>54383</v>
      </c>
      <c r="F17811" t="s">
        <v>54384</v>
      </c>
      <c r="G17811" s="2" t="str">
        <f>HYPERLINK("https://probpalata.gov.ru/files/ИП690100901800000.jpeg","Скачать индивидуальный QR-код магазина")</f>
        <v>Скачать индивидуальный QR-код магазина</v>
      </c>
    </row>
    <row r="17812" spans="1:7" x14ac:dyDescent="0.25">
      <c r="A17812" t="s">
        <v>54160</v>
      </c>
      <c r="B17812" t="s">
        <v>54385</v>
      </c>
      <c r="C17812" t="s">
        <v>54386</v>
      </c>
      <c r="D17812" t="s">
        <v>54387</v>
      </c>
      <c r="E17812" t="s">
        <v>54388</v>
      </c>
      <c r="F17812" t="s">
        <v>54389</v>
      </c>
      <c r="G17812" s="2" t="str">
        <f>HYPERLINK("https://probpalata.gov.ru/files/ИП690100774600000.jpeg","Скачать индивидуальный QR-код магазина")</f>
        <v>Скачать индивидуальный QR-код магазина</v>
      </c>
    </row>
    <row r="17813" spans="1:7" x14ac:dyDescent="0.25">
      <c r="A17813" t="s">
        <v>54160</v>
      </c>
      <c r="B17813" t="s">
        <v>54390</v>
      </c>
      <c r="C17813" t="s">
        <v>54391</v>
      </c>
      <c r="D17813" t="s">
        <v>54392</v>
      </c>
      <c r="E17813" t="s">
        <v>54393</v>
      </c>
      <c r="F17813" t="s">
        <v>54394</v>
      </c>
      <c r="G17813" s="2" t="str">
        <f>HYPERLINK("https://probpalata.gov.ru/files/ИП690101083300000.jpeg","Скачать индивидуальный QR-код магазина")</f>
        <v>Скачать индивидуальный QR-код магазина</v>
      </c>
    </row>
    <row r="17814" spans="1:7" x14ac:dyDescent="0.25">
      <c r="A17814" t="s">
        <v>54160</v>
      </c>
      <c r="B17814" t="s">
        <v>54395</v>
      </c>
      <c r="C17814" t="s">
        <v>54396</v>
      </c>
      <c r="D17814" t="s">
        <v>54397</v>
      </c>
      <c r="E17814" t="s">
        <v>54398</v>
      </c>
      <c r="F17814" t="s">
        <v>54399</v>
      </c>
      <c r="G17814" s="2" t="str">
        <f>HYPERLINK("https://probpalata.gov.ru/files/ИП690100295100000.jpeg","Скачать индивидуальный QR-код магазина")</f>
        <v>Скачать индивидуальный QR-код магазина</v>
      </c>
    </row>
    <row r="17815" spans="1:7" x14ac:dyDescent="0.25">
      <c r="A17815" t="s">
        <v>54160</v>
      </c>
      <c r="B17815" t="s">
        <v>54400</v>
      </c>
      <c r="C17815" t="s">
        <v>54401</v>
      </c>
      <c r="D17815" t="s">
        <v>54402</v>
      </c>
      <c r="E17815" t="s">
        <v>54403</v>
      </c>
      <c r="F17815" t="s">
        <v>54404</v>
      </c>
      <c r="G17815" s="2" t="str">
        <f>HYPERLINK("https://probpalata.gov.ru/files/ИП690100888700000.jpeg","Скачать индивидуальный QR-код магазина")</f>
        <v>Скачать индивидуальный QR-код магазина</v>
      </c>
    </row>
    <row r="17816" spans="1:7" x14ac:dyDescent="0.25">
      <c r="A17816" t="s">
        <v>54160</v>
      </c>
      <c r="B17816" t="s">
        <v>54405</v>
      </c>
      <c r="C17816" t="s">
        <v>54406</v>
      </c>
      <c r="D17816" t="s">
        <v>54407</v>
      </c>
      <c r="E17816" t="s">
        <v>54408</v>
      </c>
      <c r="F17816" t="s">
        <v>54409</v>
      </c>
      <c r="G17816" s="2" t="str">
        <f>HYPERLINK("https://probpalata.gov.ru/files/ИП690100482700000.jpeg","Скачать индивидуальный QR-код магазина")</f>
        <v>Скачать индивидуальный QR-код магазина</v>
      </c>
    </row>
    <row r="17817" spans="1:7" x14ac:dyDescent="0.25">
      <c r="A17817" t="s">
        <v>54160</v>
      </c>
      <c r="B17817" t="s">
        <v>54410</v>
      </c>
      <c r="C17817" t="s">
        <v>54406</v>
      </c>
      <c r="D17817" t="s">
        <v>54407</v>
      </c>
      <c r="E17817" t="s">
        <v>54408</v>
      </c>
      <c r="F17817" t="s">
        <v>54411</v>
      </c>
      <c r="G17817" s="2" t="str">
        <f>HYPERLINK("https://probpalata.gov.ru/files/ИП690100482700001.jpeg","Скачать индивидуальный QR-код магазина")</f>
        <v>Скачать индивидуальный QR-код магазина</v>
      </c>
    </row>
    <row r="17818" spans="1:7" x14ac:dyDescent="0.25">
      <c r="A17818" t="s">
        <v>54160</v>
      </c>
      <c r="B17818" t="s">
        <v>54412</v>
      </c>
      <c r="C17818" t="s">
        <v>54413</v>
      </c>
      <c r="D17818" t="s">
        <v>54414</v>
      </c>
      <c r="E17818" t="s">
        <v>54415</v>
      </c>
      <c r="F17818" t="s">
        <v>54416</v>
      </c>
      <c r="G17818" s="2" t="str">
        <f>HYPERLINK("https://probpalata.gov.ru/files/ИП690103329200000.jpeg","Скачать индивидуальный QR-код магазина")</f>
        <v>Скачать индивидуальный QR-код магазина</v>
      </c>
    </row>
    <row r="17819" spans="1:7" x14ac:dyDescent="0.25">
      <c r="A17819" t="s">
        <v>54160</v>
      </c>
      <c r="B17819" t="s">
        <v>54417</v>
      </c>
      <c r="C17819" t="s">
        <v>54413</v>
      </c>
      <c r="D17819" t="s">
        <v>54414</v>
      </c>
      <c r="E17819" t="s">
        <v>54415</v>
      </c>
      <c r="F17819" t="s">
        <v>54418</v>
      </c>
      <c r="G17819" s="2" t="str">
        <f>HYPERLINK("https://probpalata.gov.ru/files/ИП690103329200001.jpeg","Скачать индивидуальный QR-код магазина")</f>
        <v>Скачать индивидуальный QR-код магазина</v>
      </c>
    </row>
    <row r="17820" spans="1:7" x14ac:dyDescent="0.25">
      <c r="A17820" t="s">
        <v>54160</v>
      </c>
      <c r="B17820" t="s">
        <v>54419</v>
      </c>
      <c r="C17820" t="s">
        <v>54420</v>
      </c>
      <c r="D17820" t="s">
        <v>54421</v>
      </c>
      <c r="E17820" t="s">
        <v>54422</v>
      </c>
      <c r="F17820" t="s">
        <v>54423</v>
      </c>
      <c r="G17820" s="2" t="str">
        <f>HYPERLINK("https://probpalata.gov.ru/files/ИП690101360100000.jpeg","Скачать индивидуальный QR-код магазина")</f>
        <v>Скачать индивидуальный QR-код магазина</v>
      </c>
    </row>
    <row r="17821" spans="1:7" x14ac:dyDescent="0.25">
      <c r="A17821" t="s">
        <v>54160</v>
      </c>
      <c r="B17821" t="s">
        <v>54424</v>
      </c>
      <c r="C17821" t="s">
        <v>54425</v>
      </c>
      <c r="D17821" t="s">
        <v>54426</v>
      </c>
      <c r="E17821" t="s">
        <v>54427</v>
      </c>
      <c r="F17821" t="s">
        <v>54428</v>
      </c>
      <c r="G17821" s="2" t="str">
        <f>HYPERLINK("https://probpalata.gov.ru/files/ИП690101035500000.jpeg","Скачать индивидуальный QR-код магазина")</f>
        <v>Скачать индивидуальный QR-код магазина</v>
      </c>
    </row>
    <row r="17822" spans="1:7" x14ac:dyDescent="0.25">
      <c r="A17822" t="s">
        <v>54160</v>
      </c>
      <c r="B17822" t="s">
        <v>54429</v>
      </c>
      <c r="C17822" t="s">
        <v>54430</v>
      </c>
      <c r="D17822" t="s">
        <v>54431</v>
      </c>
      <c r="E17822" t="s">
        <v>54432</v>
      </c>
      <c r="F17822" t="s">
        <v>54433</v>
      </c>
      <c r="G17822" s="2" t="str">
        <f>HYPERLINK("https://probpalata.gov.ru/files/ИП780300345300000.jpeg","Скачать индивидуальный QR-код магазина")</f>
        <v>Скачать индивидуальный QR-код магазина</v>
      </c>
    </row>
    <row r="17823" spans="1:7" x14ac:dyDescent="0.25">
      <c r="A17823" t="s">
        <v>54160</v>
      </c>
      <c r="B17823" t="s">
        <v>54434</v>
      </c>
      <c r="C17823" t="s">
        <v>54435</v>
      </c>
      <c r="D17823" t="s">
        <v>54436</v>
      </c>
      <c r="E17823" t="s">
        <v>54437</v>
      </c>
      <c r="F17823" t="s">
        <v>54438</v>
      </c>
      <c r="G17823" s="2" t="str">
        <f>HYPERLINK("https://probpalata.gov.ru/files/ИП690100897700000.jpeg","Скачать индивидуальный QR-код магазина")</f>
        <v>Скачать индивидуальный QR-код магазина</v>
      </c>
    </row>
    <row r="17824" spans="1:7" x14ac:dyDescent="0.25">
      <c r="A17824" t="s">
        <v>54160</v>
      </c>
      <c r="B17824" t="s">
        <v>54439</v>
      </c>
      <c r="C17824" t="s">
        <v>54440</v>
      </c>
      <c r="D17824" t="s">
        <v>54441</v>
      </c>
      <c r="E17824" t="s">
        <v>54442</v>
      </c>
      <c r="F17824" t="s">
        <v>54443</v>
      </c>
      <c r="G17824" s="2" t="str">
        <f>HYPERLINK("https://probpalata.gov.ru/files/ИП690101281600000.jpeg","Скачать индивидуальный QR-код магазина")</f>
        <v>Скачать индивидуальный QR-код магазина</v>
      </c>
    </row>
    <row r="17825" spans="1:7" x14ac:dyDescent="0.25">
      <c r="A17825" t="s">
        <v>54160</v>
      </c>
      <c r="B17825" t="s">
        <v>54444</v>
      </c>
      <c r="C17825" t="s">
        <v>54440</v>
      </c>
      <c r="D17825" t="s">
        <v>54441</v>
      </c>
      <c r="E17825" t="s">
        <v>54442</v>
      </c>
      <c r="F17825" t="s">
        <v>54445</v>
      </c>
      <c r="G17825" s="2" t="str">
        <f>HYPERLINK("https://probpalata.gov.ru/files/ИП690101281600001.jpeg","Скачать индивидуальный QR-код магазина")</f>
        <v>Скачать индивидуальный QR-код магазина</v>
      </c>
    </row>
    <row r="17826" spans="1:7" x14ac:dyDescent="0.25">
      <c r="A17826" t="s">
        <v>54160</v>
      </c>
      <c r="B17826" t="s">
        <v>54446</v>
      </c>
      <c r="C17826" t="s">
        <v>54440</v>
      </c>
      <c r="D17826" t="s">
        <v>54441</v>
      </c>
      <c r="E17826" t="s">
        <v>54442</v>
      </c>
      <c r="F17826" t="s">
        <v>54447</v>
      </c>
      <c r="G17826" s="2" t="str">
        <f>HYPERLINK("https://probpalata.gov.ru/files/ИП690101281600002.jpeg","Скачать индивидуальный QR-код магазина")</f>
        <v>Скачать индивидуальный QR-код магазина</v>
      </c>
    </row>
    <row r="17827" spans="1:7" x14ac:dyDescent="0.25">
      <c r="A17827" t="s">
        <v>54160</v>
      </c>
      <c r="B17827" t="s">
        <v>54448</v>
      </c>
      <c r="C17827" t="s">
        <v>54440</v>
      </c>
      <c r="D17827" t="s">
        <v>54441</v>
      </c>
      <c r="E17827" t="s">
        <v>54442</v>
      </c>
      <c r="F17827" t="s">
        <v>54449</v>
      </c>
      <c r="G17827" s="2" t="str">
        <f>HYPERLINK("https://probpalata.gov.ru/files/ИП690101281600003.jpeg","Скачать индивидуальный QR-код магазина")</f>
        <v>Скачать индивидуальный QR-код магазина</v>
      </c>
    </row>
    <row r="17828" spans="1:7" x14ac:dyDescent="0.25">
      <c r="A17828" t="s">
        <v>54160</v>
      </c>
      <c r="B17828" t="s">
        <v>54450</v>
      </c>
      <c r="C17828" t="s">
        <v>54451</v>
      </c>
      <c r="D17828" t="s">
        <v>54452</v>
      </c>
      <c r="E17828" t="s">
        <v>54453</v>
      </c>
      <c r="F17828" t="s">
        <v>54454</v>
      </c>
      <c r="G17828" s="2" t="str">
        <f>HYPERLINK("https://probpalata.gov.ru/files/ЮЛ690101308600000.jpeg","Скачать индивидуальный QR-код магазина")</f>
        <v>Скачать индивидуальный QR-код магазина</v>
      </c>
    </row>
    <row r="17829" spans="1:7" x14ac:dyDescent="0.25">
      <c r="A17829" t="s">
        <v>54160</v>
      </c>
      <c r="B17829" t="s">
        <v>54455</v>
      </c>
      <c r="C17829" t="s">
        <v>54456</v>
      </c>
      <c r="D17829" t="s">
        <v>54457</v>
      </c>
      <c r="E17829" t="s">
        <v>54458</v>
      </c>
      <c r="F17829" t="s">
        <v>54459</v>
      </c>
      <c r="G17829" s="2" t="str">
        <f>HYPERLINK("https://probpalata.gov.ru/files/ЮЛ690103696800000.jpeg","Скачать индивидуальный QR-код магазина")</f>
        <v>Скачать индивидуальный QR-код магазина</v>
      </c>
    </row>
    <row r="17830" spans="1:7" x14ac:dyDescent="0.25">
      <c r="A17830" t="s">
        <v>54160</v>
      </c>
      <c r="B17830" t="s">
        <v>54460</v>
      </c>
      <c r="C17830" t="s">
        <v>54461</v>
      </c>
      <c r="D17830" t="s">
        <v>54462</v>
      </c>
      <c r="E17830" t="s">
        <v>54463</v>
      </c>
      <c r="F17830" t="s">
        <v>54464</v>
      </c>
      <c r="G17830" s="2" t="str">
        <f>HYPERLINK("https://probpalata.gov.ru/files/ЮЛ690103147800000.jpeg","Скачать индивидуальный QR-код магазина")</f>
        <v>Скачать индивидуальный QR-код магазина</v>
      </c>
    </row>
    <row r="17831" spans="1:7" x14ac:dyDescent="0.25">
      <c r="A17831" t="s">
        <v>54160</v>
      </c>
      <c r="B17831" t="s">
        <v>54465</v>
      </c>
      <c r="C17831" t="s">
        <v>6606</v>
      </c>
      <c r="D17831" t="s">
        <v>54466</v>
      </c>
      <c r="E17831" t="s">
        <v>54467</v>
      </c>
      <c r="F17831" t="s">
        <v>54468</v>
      </c>
      <c r="G17831" s="2" t="str">
        <f>HYPERLINK("https://probpalata.gov.ru/files/ЮЛ690103217200000.jpeg","Скачать индивидуальный QR-код магазина")</f>
        <v>Скачать индивидуальный QR-код магазина</v>
      </c>
    </row>
    <row r="17832" spans="1:7" x14ac:dyDescent="0.25">
      <c r="A17832" t="s">
        <v>54160</v>
      </c>
      <c r="B17832" t="s">
        <v>54469</v>
      </c>
      <c r="C17832" t="s">
        <v>54470</v>
      </c>
      <c r="D17832" t="s">
        <v>54471</v>
      </c>
      <c r="E17832" t="s">
        <v>54472</v>
      </c>
      <c r="F17832" t="s">
        <v>54473</v>
      </c>
      <c r="G17832" s="2" t="str">
        <f>HYPERLINK("https://probpalata.gov.ru/files/ИП690100409800000.jpeg","Скачать индивидуальный QR-код магазина")</f>
        <v>Скачать индивидуальный QR-код магазина</v>
      </c>
    </row>
    <row r="17833" spans="1:7" x14ac:dyDescent="0.25">
      <c r="A17833" t="s">
        <v>54160</v>
      </c>
      <c r="B17833" t="s">
        <v>54474</v>
      </c>
      <c r="C17833" t="s">
        <v>54475</v>
      </c>
      <c r="D17833" t="s">
        <v>54476</v>
      </c>
      <c r="E17833" t="s">
        <v>54477</v>
      </c>
      <c r="F17833" t="s">
        <v>54478</v>
      </c>
      <c r="G17833" s="2" t="str">
        <f>HYPERLINK("https://probpalata.gov.ru/files/ЮЛ690101528000000.jpeg","Скачать индивидуальный QR-код магазина")</f>
        <v>Скачать индивидуальный QR-код магазина</v>
      </c>
    </row>
    <row r="17834" spans="1:7" x14ac:dyDescent="0.25">
      <c r="A17834" t="s">
        <v>54160</v>
      </c>
      <c r="B17834" t="s">
        <v>54479</v>
      </c>
      <c r="C17834" t="s">
        <v>54480</v>
      </c>
      <c r="D17834" t="s">
        <v>54481</v>
      </c>
      <c r="E17834" t="s">
        <v>54482</v>
      </c>
      <c r="F17834" t="s">
        <v>54483</v>
      </c>
      <c r="G17834" s="2" t="str">
        <f>HYPERLINK("https://probpalata.gov.ru/files/ЮЛ690100248400002.jpeg","Скачать индивидуальный QR-код магазина")</f>
        <v>Скачать индивидуальный QR-код магазина</v>
      </c>
    </row>
    <row r="17835" spans="1:7" x14ac:dyDescent="0.25">
      <c r="A17835" t="s">
        <v>54160</v>
      </c>
      <c r="B17835" t="s">
        <v>54484</v>
      </c>
      <c r="C17835" t="s">
        <v>54480</v>
      </c>
      <c r="D17835" t="s">
        <v>54481</v>
      </c>
      <c r="E17835" t="s">
        <v>54482</v>
      </c>
      <c r="F17835" t="s">
        <v>54485</v>
      </c>
      <c r="G17835" s="2" t="str">
        <f>HYPERLINK("https://probpalata.gov.ru/files/ЮЛ690100248400003.jpeg","Скачать индивидуальный QR-код магазина")</f>
        <v>Скачать индивидуальный QR-код магазина</v>
      </c>
    </row>
    <row r="17836" spans="1:7" x14ac:dyDescent="0.25">
      <c r="A17836" t="s">
        <v>54160</v>
      </c>
      <c r="B17836" t="s">
        <v>54486</v>
      </c>
      <c r="C17836" t="s">
        <v>54480</v>
      </c>
      <c r="D17836" t="s">
        <v>54481</v>
      </c>
      <c r="E17836" t="s">
        <v>54482</v>
      </c>
      <c r="F17836" t="s">
        <v>54487</v>
      </c>
      <c r="G17836" s="2" t="str">
        <f>HYPERLINK("https://probpalata.gov.ru/files/ЮЛ690100248400004.jpeg","Скачать индивидуальный QR-код магазина")</f>
        <v>Скачать индивидуальный QR-код магазина</v>
      </c>
    </row>
    <row r="17837" spans="1:7" x14ac:dyDescent="0.25">
      <c r="A17837" t="s">
        <v>54160</v>
      </c>
      <c r="B17837" t="s">
        <v>54488</v>
      </c>
      <c r="C17837" t="s">
        <v>54489</v>
      </c>
      <c r="D17837" t="s">
        <v>54490</v>
      </c>
      <c r="E17837" t="s">
        <v>54491</v>
      </c>
      <c r="F17837" t="s">
        <v>54492</v>
      </c>
      <c r="G17837" s="2" t="str">
        <f>HYPERLINK("https://probpalata.gov.ru/files/ЮЛ690103553400000.jpeg","Скачать индивидуальный QR-код магазина")</f>
        <v>Скачать индивидуальный QR-код магазина</v>
      </c>
    </row>
    <row r="17838" spans="1:7" x14ac:dyDescent="0.25">
      <c r="A17838" t="s">
        <v>54160</v>
      </c>
      <c r="B17838" t="s">
        <v>54493</v>
      </c>
      <c r="C17838" t="s">
        <v>54494</v>
      </c>
      <c r="D17838" t="s">
        <v>54495</v>
      </c>
      <c r="E17838" t="s">
        <v>54496</v>
      </c>
      <c r="F17838" t="s">
        <v>54497</v>
      </c>
      <c r="G17838" s="2" t="str">
        <f>HYPERLINK("https://probpalata.gov.ru/files/ЮЛ690100388800000.jpeg","Скачать индивидуальный QR-код магазина")</f>
        <v>Скачать индивидуальный QR-код магазина</v>
      </c>
    </row>
    <row r="17839" spans="1:7" x14ac:dyDescent="0.25">
      <c r="A17839" t="s">
        <v>54160</v>
      </c>
      <c r="B17839" t="s">
        <v>54498</v>
      </c>
      <c r="C17839" t="s">
        <v>54499</v>
      </c>
      <c r="D17839" t="s">
        <v>54500</v>
      </c>
      <c r="E17839" t="s">
        <v>54501</v>
      </c>
      <c r="F17839" t="s">
        <v>54502</v>
      </c>
      <c r="G17839" s="2" t="str">
        <f>HYPERLINK("https://probpalata.gov.ru/files/ЮЛ690100391000000.jpeg","Скачать индивидуальный QR-код магазина")</f>
        <v>Скачать индивидуальный QR-код магазина</v>
      </c>
    </row>
    <row r="17840" spans="1:7" x14ac:dyDescent="0.25">
      <c r="A17840" t="s">
        <v>54160</v>
      </c>
      <c r="B17840" t="s">
        <v>54503</v>
      </c>
      <c r="C17840" t="s">
        <v>54504</v>
      </c>
      <c r="D17840" t="s">
        <v>54505</v>
      </c>
      <c r="E17840" t="s">
        <v>54506</v>
      </c>
      <c r="F17840" t="s">
        <v>54507</v>
      </c>
      <c r="G17840" s="2" t="str">
        <f>HYPERLINK("https://probpalata.gov.ru/files/ИП690103065100000.jpeg","Скачать индивидуальный QR-код магазина")</f>
        <v>Скачать индивидуальный QR-код магазина</v>
      </c>
    </row>
    <row r="17841" spans="1:7" x14ac:dyDescent="0.25">
      <c r="A17841" t="s">
        <v>54160</v>
      </c>
      <c r="B17841" t="s">
        <v>54508</v>
      </c>
      <c r="C17841" t="s">
        <v>54509</v>
      </c>
      <c r="D17841" t="s">
        <v>54510</v>
      </c>
      <c r="E17841" t="s">
        <v>54511</v>
      </c>
      <c r="F17841" t="s">
        <v>54512</v>
      </c>
      <c r="G17841" s="2" t="str">
        <f>HYPERLINK("https://probpalata.gov.ru/files/ИП690103268200000.jpeg","Скачать индивидуальный QR-код магазина")</f>
        <v>Скачать индивидуальный QR-код магазина</v>
      </c>
    </row>
    <row r="17842" spans="1:7" x14ac:dyDescent="0.25">
      <c r="A17842" t="s">
        <v>54160</v>
      </c>
      <c r="B17842" t="s">
        <v>54513</v>
      </c>
      <c r="C17842" t="s">
        <v>20904</v>
      </c>
      <c r="D17842" t="s">
        <v>20905</v>
      </c>
      <c r="E17842" t="s">
        <v>20906</v>
      </c>
      <c r="F17842" t="s">
        <v>54514</v>
      </c>
      <c r="G17842" s="2" t="str">
        <f>HYPERLINK("https://probpalata.gov.ru/files/ЮЛ760201041800011.jpeg","Скачать индивидуальный QR-код магазина")</f>
        <v>Скачать индивидуальный QR-код магазина</v>
      </c>
    </row>
    <row r="17843" spans="1:7" x14ac:dyDescent="0.25">
      <c r="A17843" t="s">
        <v>54160</v>
      </c>
      <c r="B17843" t="s">
        <v>54172</v>
      </c>
      <c r="C17843" t="s">
        <v>1416</v>
      </c>
      <c r="D17843" t="s">
        <v>1417</v>
      </c>
      <c r="E17843" t="s">
        <v>1418</v>
      </c>
      <c r="F17843" t="s">
        <v>54515</v>
      </c>
      <c r="G17843" s="2" t="str">
        <f>HYPERLINK("https://probpalata.gov.ru/files/ЮЛ770100419400138.jpeg","Скачать индивидуальный QR-код магазина")</f>
        <v>Скачать индивидуальный QR-код магазина</v>
      </c>
    </row>
    <row r="17844" spans="1:7" x14ac:dyDescent="0.25">
      <c r="A17844" t="s">
        <v>54160</v>
      </c>
      <c r="B17844" t="s">
        <v>54516</v>
      </c>
      <c r="C17844" t="s">
        <v>748</v>
      </c>
      <c r="D17844" t="s">
        <v>749</v>
      </c>
      <c r="E17844" t="s">
        <v>750</v>
      </c>
      <c r="F17844" t="s">
        <v>54517</v>
      </c>
      <c r="G17844" s="2" t="str">
        <f>HYPERLINK("https://probpalata.gov.ru/files/ЮЛ770100193500024.jpeg","Скачать индивидуальный QR-код магазина")</f>
        <v>Скачать индивидуальный QR-код магазина</v>
      </c>
    </row>
    <row r="17845" spans="1:7" x14ac:dyDescent="0.25">
      <c r="A17845" t="s">
        <v>54160</v>
      </c>
      <c r="B17845" t="s">
        <v>54518</v>
      </c>
      <c r="C17845" t="s">
        <v>748</v>
      </c>
      <c r="D17845" t="s">
        <v>749</v>
      </c>
      <c r="E17845" t="s">
        <v>750</v>
      </c>
      <c r="F17845" t="s">
        <v>54519</v>
      </c>
      <c r="G17845" s="2" t="str">
        <f>HYPERLINK("https://probpalata.gov.ru/files/ЮЛ770100193500026.jpeg","Скачать индивидуальный QR-код магазина")</f>
        <v>Скачать индивидуальный QR-код магазина</v>
      </c>
    </row>
    <row r="17846" spans="1:7" x14ac:dyDescent="0.25">
      <c r="A17846" t="s">
        <v>54160</v>
      </c>
      <c r="B17846" t="s">
        <v>54520</v>
      </c>
      <c r="C17846" t="s">
        <v>748</v>
      </c>
      <c r="D17846" t="s">
        <v>749</v>
      </c>
      <c r="E17846" t="s">
        <v>750</v>
      </c>
      <c r="F17846" t="s">
        <v>54521</v>
      </c>
      <c r="G17846" s="2" t="str">
        <f>HYPERLINK("https://probpalata.gov.ru/files/ЮЛ770100193500558.jpeg","Скачать индивидуальный QR-код магазина")</f>
        <v>Скачать индивидуальный QR-код магазина</v>
      </c>
    </row>
    <row r="17847" spans="1:7" x14ac:dyDescent="0.25">
      <c r="A17847" t="s">
        <v>54160</v>
      </c>
      <c r="B17847" t="s">
        <v>54522</v>
      </c>
      <c r="C17847" t="s">
        <v>748</v>
      </c>
      <c r="D17847" t="s">
        <v>749</v>
      </c>
      <c r="E17847" t="s">
        <v>750</v>
      </c>
      <c r="F17847" t="s">
        <v>54523</v>
      </c>
      <c r="G17847" s="2" t="str">
        <f>HYPERLINK("https://probpalata.gov.ru/files/ЮЛ770100193500588.jpeg","Скачать индивидуальный QR-код магазина")</f>
        <v>Скачать индивидуальный QR-код магазина</v>
      </c>
    </row>
    <row r="17848" spans="1:7" x14ac:dyDescent="0.25">
      <c r="A17848" t="s">
        <v>54160</v>
      </c>
      <c r="B17848" t="s">
        <v>54524</v>
      </c>
      <c r="C17848" t="s">
        <v>773</v>
      </c>
      <c r="D17848" t="s">
        <v>774</v>
      </c>
      <c r="E17848" t="s">
        <v>775</v>
      </c>
      <c r="F17848" t="s">
        <v>54525</v>
      </c>
      <c r="G17848" s="2" t="str">
        <f>HYPERLINK("https://probpalata.gov.ru/files/ЮЛ780300131300488.jpeg","Скачать индивидуальный QR-код магазина")</f>
        <v>Скачать индивидуальный QR-код магазина</v>
      </c>
    </row>
    <row r="17849" spans="1:7" x14ac:dyDescent="0.25">
      <c r="A17849" t="s">
        <v>54160</v>
      </c>
      <c r="B17849" t="s">
        <v>54526</v>
      </c>
      <c r="C17849" t="s">
        <v>787</v>
      </c>
      <c r="D17849" t="s">
        <v>788</v>
      </c>
      <c r="E17849" t="s">
        <v>789</v>
      </c>
      <c r="F17849" t="s">
        <v>54527</v>
      </c>
      <c r="G17849" s="2" t="str">
        <f>HYPERLINK("https://probpalata.gov.ru/files/ЮЛ780300328000074.jpeg","Скачать индивидуальный QR-код магазина")</f>
        <v>Скачать индивидуальный QR-код магазина</v>
      </c>
    </row>
    <row r="17850" spans="1:7" x14ac:dyDescent="0.25">
      <c r="A17850" t="s">
        <v>54160</v>
      </c>
      <c r="B17850" t="s">
        <v>54528</v>
      </c>
      <c r="C17850" t="s">
        <v>791</v>
      </c>
      <c r="D17850" t="s">
        <v>792</v>
      </c>
      <c r="E17850" t="s">
        <v>793</v>
      </c>
      <c r="F17850" t="s">
        <v>54529</v>
      </c>
      <c r="G17850" s="2" t="str">
        <f>HYPERLINK("https://probpalata.gov.ru/files/ЮЛ780300323500031.jpeg","Скачать индивидуальный QR-код магазина")</f>
        <v>Скачать индивидуальный QR-код магазина</v>
      </c>
    </row>
    <row r="17851" spans="1:7" x14ac:dyDescent="0.25">
      <c r="A17851" t="s">
        <v>54160</v>
      </c>
      <c r="B17851" t="s">
        <v>54530</v>
      </c>
      <c r="C17851" t="s">
        <v>791</v>
      </c>
      <c r="D17851" t="s">
        <v>792</v>
      </c>
      <c r="E17851" t="s">
        <v>793</v>
      </c>
      <c r="F17851" t="s">
        <v>54531</v>
      </c>
      <c r="G17851" s="2" t="str">
        <f>HYPERLINK("https://probpalata.gov.ru/files/ЮЛ780300323500057.jpeg","Скачать индивидуальный QR-код магазина")</f>
        <v>Скачать индивидуальный QR-код магазина</v>
      </c>
    </row>
    <row r="17852" spans="1:7" x14ac:dyDescent="0.25">
      <c r="A17852" t="s">
        <v>54160</v>
      </c>
      <c r="B17852" t="s">
        <v>54532</v>
      </c>
      <c r="C17852" t="s">
        <v>791</v>
      </c>
      <c r="D17852" t="s">
        <v>792</v>
      </c>
      <c r="E17852" t="s">
        <v>793</v>
      </c>
      <c r="F17852" t="s">
        <v>54533</v>
      </c>
      <c r="G17852" s="2" t="str">
        <f>HYPERLINK("https://probpalata.gov.ru/files/ЮЛ780300323500215.jpeg","Скачать индивидуальный QR-код магазина")</f>
        <v>Скачать индивидуальный QR-код магазина</v>
      </c>
    </row>
    <row r="17853" spans="1:7" x14ac:dyDescent="0.25">
      <c r="A17853" t="s">
        <v>54160</v>
      </c>
      <c r="B17853" t="s">
        <v>54534</v>
      </c>
      <c r="C17853" t="s">
        <v>798</v>
      </c>
      <c r="D17853" t="s">
        <v>799</v>
      </c>
      <c r="E17853" t="s">
        <v>800</v>
      </c>
      <c r="F17853" t="s">
        <v>54535</v>
      </c>
      <c r="G17853" s="2" t="str">
        <f>HYPERLINK("https://probpalata.gov.ru/files/ЮЛ780300308200012.jpeg","Скачать индивидуальный QR-код магазина")</f>
        <v>Скачать индивидуальный QR-код магазина</v>
      </c>
    </row>
    <row r="17854" spans="1:7" x14ac:dyDescent="0.25">
      <c r="A17854" t="s">
        <v>54160</v>
      </c>
      <c r="B17854" t="s">
        <v>54536</v>
      </c>
      <c r="C17854" t="s">
        <v>798</v>
      </c>
      <c r="D17854" t="s">
        <v>799</v>
      </c>
      <c r="E17854" t="s">
        <v>800</v>
      </c>
      <c r="F17854" t="s">
        <v>54537</v>
      </c>
      <c r="G17854" s="2" t="str">
        <f>HYPERLINK("https://probpalata.gov.ru/files/ЮЛ780300308200119.jpeg","Скачать индивидуальный QR-код магазина")</f>
        <v>Скачать индивидуальный QR-код магазина</v>
      </c>
    </row>
    <row r="17855" spans="1:7" x14ac:dyDescent="0.25">
      <c r="A17855" t="s">
        <v>54160</v>
      </c>
      <c r="B17855" t="s">
        <v>54538</v>
      </c>
      <c r="C17855" t="s">
        <v>798</v>
      </c>
      <c r="D17855" t="s">
        <v>799</v>
      </c>
      <c r="E17855" t="s">
        <v>800</v>
      </c>
      <c r="F17855" t="s">
        <v>54539</v>
      </c>
      <c r="G17855" s="2" t="str">
        <f>HYPERLINK("https://probpalata.gov.ru/files/ЮЛ780300308200310.jpeg","Скачать индивидуальный QR-код магазина")</f>
        <v>Скачать индивидуальный QR-код магазина</v>
      </c>
    </row>
    <row r="17856" spans="1:7" x14ac:dyDescent="0.25">
      <c r="A17856" t="s">
        <v>54160</v>
      </c>
      <c r="B17856" t="s">
        <v>54524</v>
      </c>
      <c r="C17856" t="s">
        <v>798</v>
      </c>
      <c r="D17856" t="s">
        <v>799</v>
      </c>
      <c r="E17856" t="s">
        <v>800</v>
      </c>
      <c r="F17856" t="s">
        <v>54540</v>
      </c>
      <c r="G17856" s="2" t="str">
        <f>HYPERLINK("https://probpalata.gov.ru/files/ЮЛ780300308200721.jpeg","Скачать индивидуальный QR-код магазина")</f>
        <v>Скачать индивидуальный QR-код магазина</v>
      </c>
    </row>
    <row r="17857" spans="1:7" x14ac:dyDescent="0.25">
      <c r="A17857" t="s">
        <v>54160</v>
      </c>
      <c r="B17857" t="s">
        <v>54541</v>
      </c>
      <c r="C17857" t="s">
        <v>798</v>
      </c>
      <c r="D17857" t="s">
        <v>799</v>
      </c>
      <c r="E17857" t="s">
        <v>800</v>
      </c>
      <c r="F17857" t="s">
        <v>54542</v>
      </c>
      <c r="G17857" s="2" t="str">
        <f>HYPERLINK("https://probpalata.gov.ru/files/ЮЛ780300308200744.jpeg","Скачать индивидуальный QR-код магазина")</f>
        <v>Скачать индивидуальный QR-код магазина</v>
      </c>
    </row>
    <row r="17858" spans="1:7" x14ac:dyDescent="0.25">
      <c r="A17858" t="s">
        <v>54160</v>
      </c>
      <c r="B17858" t="s">
        <v>54543</v>
      </c>
      <c r="C17858" t="s">
        <v>798</v>
      </c>
      <c r="D17858" t="s">
        <v>799</v>
      </c>
      <c r="E17858" t="s">
        <v>800</v>
      </c>
      <c r="F17858" t="s">
        <v>54544</v>
      </c>
      <c r="G17858" s="2" t="str">
        <f>HYPERLINK("https://probpalata.gov.ru/files/ЮЛ780300308201090.jpeg","Скачать индивидуальный QR-код магазина")</f>
        <v>Скачать индивидуальный QR-код магазина</v>
      </c>
    </row>
    <row r="17859" spans="1:7" x14ac:dyDescent="0.25">
      <c r="A17859" t="s">
        <v>54160</v>
      </c>
      <c r="B17859" t="s">
        <v>54530</v>
      </c>
      <c r="C17859" t="s">
        <v>823</v>
      </c>
      <c r="D17859" t="s">
        <v>824</v>
      </c>
      <c r="E17859" t="s">
        <v>825</v>
      </c>
      <c r="F17859" t="s">
        <v>54545</v>
      </c>
      <c r="G17859" s="2" t="str">
        <f>HYPERLINK("https://probpalata.gov.ru/files/ЮЛ780300363500010.jpeg","Скачать индивидуальный QR-код магазина")</f>
        <v>Скачать индивидуальный QR-код магазина</v>
      </c>
    </row>
    <row r="17860" spans="1:7" x14ac:dyDescent="0.25">
      <c r="A17860" t="s">
        <v>54160</v>
      </c>
      <c r="B17860" t="s">
        <v>54528</v>
      </c>
      <c r="C17860" t="s">
        <v>823</v>
      </c>
      <c r="D17860" t="s">
        <v>824</v>
      </c>
      <c r="E17860" t="s">
        <v>825</v>
      </c>
      <c r="F17860" t="s">
        <v>54546</v>
      </c>
      <c r="G17860" s="2" t="str">
        <f>HYPERLINK("https://probpalata.gov.ru/files/ЮЛ780300363500016.jpeg","Скачать индивидуальный QR-код магазина")</f>
        <v>Скачать индивидуальный QR-код магазина</v>
      </c>
    </row>
    <row r="17861" spans="1:7" x14ac:dyDescent="0.25">
      <c r="A17861" t="s">
        <v>54160</v>
      </c>
      <c r="B17861" t="s">
        <v>54547</v>
      </c>
      <c r="C17861" t="s">
        <v>823</v>
      </c>
      <c r="D17861" t="s">
        <v>824</v>
      </c>
      <c r="E17861" t="s">
        <v>825</v>
      </c>
      <c r="F17861" t="s">
        <v>54548</v>
      </c>
      <c r="G17861" s="2" t="str">
        <f>HYPERLINK("https://probpalata.gov.ru/files/ЮЛ780300363500282.jpeg","Скачать индивидуальный QR-код магазина")</f>
        <v>Скачать индивидуальный QR-код магазина</v>
      </c>
    </row>
    <row r="17862" spans="1:7" x14ac:dyDescent="0.25">
      <c r="A17862" t="s">
        <v>54160</v>
      </c>
      <c r="B17862" t="s">
        <v>54549</v>
      </c>
      <c r="C17862" t="s">
        <v>1501</v>
      </c>
      <c r="D17862" t="s">
        <v>1502</v>
      </c>
      <c r="E17862" t="s">
        <v>1503</v>
      </c>
      <c r="F17862" t="s">
        <v>54550</v>
      </c>
      <c r="G17862" s="2" t="str">
        <f>HYPERLINK("https://probpalata.gov.ru/files/ЮЛ770100439200258.jpeg","Скачать индивидуальный QR-код магазина")</f>
        <v>Скачать индивидуальный QR-код магазина</v>
      </c>
    </row>
    <row r="17863" spans="1:7" x14ac:dyDescent="0.25">
      <c r="A17863" t="s">
        <v>54551</v>
      </c>
      <c r="B17863" t="s">
        <v>54552</v>
      </c>
      <c r="C17863" t="s">
        <v>6915</v>
      </c>
      <c r="D17863" t="s">
        <v>6916</v>
      </c>
      <c r="E17863" t="s">
        <v>6917</v>
      </c>
      <c r="F17863" t="s">
        <v>54553</v>
      </c>
      <c r="G17863" s="2" t="str">
        <f>HYPERLINK("https://probpalata.gov.ru/files/ЮЛ240803662200023.jpeg","Скачать индивидуальный QR-код магазина")</f>
        <v>Скачать индивидуальный QR-код магазина</v>
      </c>
    </row>
    <row r="17864" spans="1:7" x14ac:dyDescent="0.25">
      <c r="A17864" t="s">
        <v>54551</v>
      </c>
      <c r="B17864" t="s">
        <v>54554</v>
      </c>
      <c r="C17864" t="s">
        <v>6915</v>
      </c>
      <c r="D17864" t="s">
        <v>6916</v>
      </c>
      <c r="E17864" t="s">
        <v>6917</v>
      </c>
      <c r="F17864" t="s">
        <v>54555</v>
      </c>
      <c r="G17864" s="2" t="str">
        <f>HYPERLINK("https://probpalata.gov.ru/files/ЮЛ240803662200024.jpeg","Скачать индивидуальный QR-код магазина")</f>
        <v>Скачать индивидуальный QR-код магазина</v>
      </c>
    </row>
    <row r="17865" spans="1:7" x14ac:dyDescent="0.25">
      <c r="A17865" t="s">
        <v>54551</v>
      </c>
      <c r="B17865" t="s">
        <v>54556</v>
      </c>
      <c r="C17865" t="s">
        <v>6915</v>
      </c>
      <c r="D17865" t="s">
        <v>6916</v>
      </c>
      <c r="E17865" t="s">
        <v>6917</v>
      </c>
      <c r="F17865" t="s">
        <v>54557</v>
      </c>
      <c r="G17865" s="2" t="str">
        <f>HYPERLINK("https://probpalata.gov.ru/files/ЮЛ240803662200025.jpeg","Скачать индивидуальный QR-код магазина")</f>
        <v>Скачать индивидуальный QR-код магазина</v>
      </c>
    </row>
    <row r="17866" spans="1:7" x14ac:dyDescent="0.25">
      <c r="A17866" t="s">
        <v>54551</v>
      </c>
      <c r="B17866" t="s">
        <v>54558</v>
      </c>
      <c r="C17866" t="s">
        <v>6915</v>
      </c>
      <c r="D17866" t="s">
        <v>6916</v>
      </c>
      <c r="E17866" t="s">
        <v>6917</v>
      </c>
      <c r="F17866" t="s">
        <v>54559</v>
      </c>
      <c r="G17866" s="2" t="str">
        <f>HYPERLINK("https://probpalata.gov.ru/files/ЮЛ240803662200028.jpeg","Скачать индивидуальный QR-код магазина")</f>
        <v>Скачать индивидуальный QR-код магазина</v>
      </c>
    </row>
    <row r="17867" spans="1:7" x14ac:dyDescent="0.25">
      <c r="A17867" t="s">
        <v>54551</v>
      </c>
      <c r="B17867" t="s">
        <v>54560</v>
      </c>
      <c r="C17867" t="s">
        <v>6915</v>
      </c>
      <c r="D17867" t="s">
        <v>6916</v>
      </c>
      <c r="E17867" t="s">
        <v>6917</v>
      </c>
      <c r="F17867" t="s">
        <v>54561</v>
      </c>
      <c r="G17867" s="2" t="str">
        <f>HYPERLINK("https://probpalata.gov.ru/files/ЮЛ240803662200029.jpeg","Скачать индивидуальный QR-код магазина")</f>
        <v>Скачать индивидуальный QR-код магазина</v>
      </c>
    </row>
    <row r="17868" spans="1:7" x14ac:dyDescent="0.25">
      <c r="A17868" t="s">
        <v>54551</v>
      </c>
      <c r="B17868" t="s">
        <v>54562</v>
      </c>
      <c r="C17868" t="s">
        <v>6915</v>
      </c>
      <c r="D17868" t="s">
        <v>6916</v>
      </c>
      <c r="E17868" t="s">
        <v>6917</v>
      </c>
      <c r="F17868" t="s">
        <v>54563</v>
      </c>
      <c r="G17868" s="2" t="str">
        <f>HYPERLINK("https://probpalata.gov.ru/files/ЮЛ240803662200031.jpeg","Скачать индивидуальный QR-код магазина")</f>
        <v>Скачать индивидуальный QR-код магазина</v>
      </c>
    </row>
    <row r="17869" spans="1:7" x14ac:dyDescent="0.25">
      <c r="A17869" t="s">
        <v>54551</v>
      </c>
      <c r="B17869" t="s">
        <v>54564</v>
      </c>
      <c r="C17869" t="s">
        <v>6915</v>
      </c>
      <c r="D17869" t="s">
        <v>6916</v>
      </c>
      <c r="E17869" t="s">
        <v>6917</v>
      </c>
      <c r="F17869" t="s">
        <v>54565</v>
      </c>
      <c r="G17869" s="2" t="str">
        <f>HYPERLINK("https://probpalata.gov.ru/files/ЮЛ240803662200032.jpeg","Скачать индивидуальный QR-код магазина")</f>
        <v>Скачать индивидуальный QR-код магазина</v>
      </c>
    </row>
    <row r="17870" spans="1:7" x14ac:dyDescent="0.25">
      <c r="A17870" t="s">
        <v>54551</v>
      </c>
      <c r="B17870" t="s">
        <v>54566</v>
      </c>
      <c r="C17870" t="s">
        <v>6915</v>
      </c>
      <c r="D17870" t="s">
        <v>6916</v>
      </c>
      <c r="E17870" t="s">
        <v>6917</v>
      </c>
      <c r="F17870" t="s">
        <v>54567</v>
      </c>
      <c r="G17870" s="2" t="str">
        <f>HYPERLINK("https://probpalata.gov.ru/files/ЮЛ240803662200034.jpeg","Скачать индивидуальный QR-код магазина")</f>
        <v>Скачать индивидуальный QR-код магазина</v>
      </c>
    </row>
    <row r="17871" spans="1:7" x14ac:dyDescent="0.25">
      <c r="A17871" t="s">
        <v>54551</v>
      </c>
      <c r="B17871" t="s">
        <v>54568</v>
      </c>
      <c r="C17871" t="s">
        <v>6915</v>
      </c>
      <c r="D17871" t="s">
        <v>6916</v>
      </c>
      <c r="E17871" t="s">
        <v>6917</v>
      </c>
      <c r="F17871" t="s">
        <v>54569</v>
      </c>
      <c r="G17871" s="2" t="str">
        <f>HYPERLINK("https://probpalata.gov.ru/files/ЮЛ240803662200035.jpeg","Скачать индивидуальный QR-код магазина")</f>
        <v>Скачать индивидуальный QR-код магазина</v>
      </c>
    </row>
    <row r="17872" spans="1:7" x14ac:dyDescent="0.25">
      <c r="A17872" t="s">
        <v>54551</v>
      </c>
      <c r="B17872" t="s">
        <v>54570</v>
      </c>
      <c r="C17872" t="s">
        <v>6915</v>
      </c>
      <c r="D17872" t="s">
        <v>6916</v>
      </c>
      <c r="E17872" t="s">
        <v>6917</v>
      </c>
      <c r="F17872" t="s">
        <v>54571</v>
      </c>
      <c r="G17872" s="2" t="str">
        <f>HYPERLINK("https://probpalata.gov.ru/files/ЮЛ240803662200036.jpeg","Скачать индивидуальный QR-код магазина")</f>
        <v>Скачать индивидуальный QR-код магазина</v>
      </c>
    </row>
    <row r="17873" spans="1:7" x14ac:dyDescent="0.25">
      <c r="A17873" t="s">
        <v>54551</v>
      </c>
      <c r="B17873" t="s">
        <v>54572</v>
      </c>
      <c r="C17873" t="s">
        <v>6915</v>
      </c>
      <c r="D17873" t="s">
        <v>6916</v>
      </c>
      <c r="E17873" t="s">
        <v>6917</v>
      </c>
      <c r="F17873" t="s">
        <v>54573</v>
      </c>
      <c r="G17873" s="2" t="str">
        <f>HYPERLINK("https://probpalata.gov.ru/files/ЮЛ240803662200037.jpeg","Скачать индивидуальный QR-код магазина")</f>
        <v>Скачать индивидуальный QR-код магазина</v>
      </c>
    </row>
    <row r="17874" spans="1:7" x14ac:dyDescent="0.25">
      <c r="A17874" t="s">
        <v>54551</v>
      </c>
      <c r="B17874" t="s">
        <v>54574</v>
      </c>
      <c r="C17874" t="s">
        <v>6915</v>
      </c>
      <c r="D17874" t="s">
        <v>6916</v>
      </c>
      <c r="E17874" t="s">
        <v>6917</v>
      </c>
      <c r="F17874" t="s">
        <v>54575</v>
      </c>
      <c r="G17874" s="2" t="str">
        <f>HYPERLINK("https://probpalata.gov.ru/files/ЮЛ240803662200038.jpeg","Скачать индивидуальный QR-код магазина")</f>
        <v>Скачать индивидуальный QR-код магазина</v>
      </c>
    </row>
    <row r="17875" spans="1:7" x14ac:dyDescent="0.25">
      <c r="A17875" t="s">
        <v>54551</v>
      </c>
      <c r="B17875" t="s">
        <v>54576</v>
      </c>
      <c r="C17875" t="s">
        <v>14558</v>
      </c>
      <c r="D17875" t="s">
        <v>14559</v>
      </c>
      <c r="E17875" t="s">
        <v>14560</v>
      </c>
      <c r="F17875" t="s">
        <v>54577</v>
      </c>
      <c r="G17875" s="2" t="str">
        <f>HYPERLINK("https://probpalata.gov.ru/files/ЮЛ240800183000011.jpeg","Скачать индивидуальный QR-код магазина")</f>
        <v>Скачать индивидуальный QR-код магазина</v>
      </c>
    </row>
    <row r="17876" spans="1:7" x14ac:dyDescent="0.25">
      <c r="A17876" t="s">
        <v>54551</v>
      </c>
      <c r="B17876" t="s">
        <v>54578</v>
      </c>
      <c r="C17876" t="s">
        <v>14558</v>
      </c>
      <c r="D17876" t="s">
        <v>14559</v>
      </c>
      <c r="E17876" t="s">
        <v>14560</v>
      </c>
      <c r="F17876" t="s">
        <v>54579</v>
      </c>
      <c r="G17876" s="2" t="str">
        <f>HYPERLINK("https://probpalata.gov.ru/files/ЮЛ240800183000014.jpeg","Скачать индивидуальный QR-код магазина")</f>
        <v>Скачать индивидуальный QR-код магазина</v>
      </c>
    </row>
    <row r="17877" spans="1:7" x14ac:dyDescent="0.25">
      <c r="A17877" t="s">
        <v>54551</v>
      </c>
      <c r="B17877" t="s">
        <v>54580</v>
      </c>
      <c r="C17877" t="s">
        <v>14558</v>
      </c>
      <c r="D17877" t="s">
        <v>14559</v>
      </c>
      <c r="E17877" t="s">
        <v>14560</v>
      </c>
      <c r="F17877" t="s">
        <v>54581</v>
      </c>
      <c r="G17877" s="2" t="str">
        <f>HYPERLINK("https://probpalata.gov.ru/files/ЮЛ240800183000090.jpeg","Скачать индивидуальный QR-код магазина")</f>
        <v>Скачать индивидуальный QR-код магазина</v>
      </c>
    </row>
    <row r="17878" spans="1:7" x14ac:dyDescent="0.25">
      <c r="A17878" t="s">
        <v>54551</v>
      </c>
      <c r="B17878" t="s">
        <v>54582</v>
      </c>
      <c r="C17878" t="s">
        <v>14558</v>
      </c>
      <c r="D17878" t="s">
        <v>14559</v>
      </c>
      <c r="E17878" t="s">
        <v>14560</v>
      </c>
      <c r="F17878" t="s">
        <v>54583</v>
      </c>
      <c r="G17878" s="2" t="str">
        <f>HYPERLINK("https://probpalata.gov.ru/files/ЮЛ240800183000094.jpeg","Скачать индивидуальный QR-код магазина")</f>
        <v>Скачать индивидуальный QR-код магазина</v>
      </c>
    </row>
    <row r="17879" spans="1:7" x14ac:dyDescent="0.25">
      <c r="A17879" t="s">
        <v>54551</v>
      </c>
      <c r="B17879" t="s">
        <v>54584</v>
      </c>
      <c r="C17879" t="s">
        <v>9980</v>
      </c>
      <c r="D17879" t="s">
        <v>9981</v>
      </c>
      <c r="E17879" t="s">
        <v>9982</v>
      </c>
      <c r="F17879" t="s">
        <v>54585</v>
      </c>
      <c r="G17879" s="2" t="str">
        <f>HYPERLINK("https://probpalata.gov.ru/files/ИП240801156100004.jpeg","Скачать индивидуальный QR-код магазина")</f>
        <v>Скачать индивидуальный QR-код магазина</v>
      </c>
    </row>
    <row r="17880" spans="1:7" x14ac:dyDescent="0.25">
      <c r="A17880" t="s">
        <v>54551</v>
      </c>
      <c r="B17880" t="s">
        <v>54586</v>
      </c>
      <c r="C17880" t="s">
        <v>54587</v>
      </c>
      <c r="D17880" t="s">
        <v>54588</v>
      </c>
      <c r="E17880" t="s">
        <v>54589</v>
      </c>
      <c r="F17880" t="s">
        <v>54590</v>
      </c>
      <c r="G17880" s="2" t="str">
        <f>HYPERLINK("https://probpalata.gov.ru/files/ИП470303545000000.jpeg","Скачать индивидуальный QR-код магазина")</f>
        <v>Скачать индивидуальный QR-код магазина</v>
      </c>
    </row>
    <row r="17881" spans="1:7" x14ac:dyDescent="0.25">
      <c r="A17881" t="s">
        <v>54551</v>
      </c>
      <c r="B17881" t="s">
        <v>54591</v>
      </c>
      <c r="C17881" t="s">
        <v>54592</v>
      </c>
      <c r="D17881" t="s">
        <v>54593</v>
      </c>
      <c r="E17881" t="s">
        <v>54594</v>
      </c>
      <c r="F17881" t="s">
        <v>54595</v>
      </c>
      <c r="G17881" s="2" t="str">
        <f>HYPERLINK("https://probpalata.gov.ru/files/ИП700803403700000.jpeg","Скачать индивидуальный QR-код магазина")</f>
        <v>Скачать индивидуальный QR-код магазина</v>
      </c>
    </row>
    <row r="17882" spans="1:7" x14ac:dyDescent="0.25">
      <c r="A17882" t="s">
        <v>54551</v>
      </c>
      <c r="B17882" t="s">
        <v>54596</v>
      </c>
      <c r="C17882" t="s">
        <v>2171</v>
      </c>
      <c r="D17882" t="s">
        <v>2172</v>
      </c>
      <c r="E17882" t="s">
        <v>2173</v>
      </c>
      <c r="F17882" t="s">
        <v>54597</v>
      </c>
      <c r="G17882" s="2" t="str">
        <f>HYPERLINK("https://probpalata.gov.ru/files/ЮЛ500100602500019.jpeg","Скачать индивидуальный QR-код магазина")</f>
        <v>Скачать индивидуальный QR-код магазина</v>
      </c>
    </row>
    <row r="17883" spans="1:7" x14ac:dyDescent="0.25">
      <c r="A17883" t="s">
        <v>54551</v>
      </c>
      <c r="B17883" t="s">
        <v>54598</v>
      </c>
      <c r="C17883" t="s">
        <v>2171</v>
      </c>
      <c r="D17883" t="s">
        <v>2172</v>
      </c>
      <c r="E17883" t="s">
        <v>2173</v>
      </c>
      <c r="F17883" t="s">
        <v>54599</v>
      </c>
      <c r="G17883" s="2" t="str">
        <f>HYPERLINK("https://probpalata.gov.ru/files/ЮЛ500100602500053.jpeg","Скачать индивидуальный QR-код магазина")</f>
        <v>Скачать индивидуальный QR-код магазина</v>
      </c>
    </row>
    <row r="17884" spans="1:7" x14ac:dyDescent="0.25">
      <c r="A17884" t="s">
        <v>54551</v>
      </c>
      <c r="B17884" t="s">
        <v>54600</v>
      </c>
      <c r="C17884" t="s">
        <v>2171</v>
      </c>
      <c r="D17884" t="s">
        <v>2172</v>
      </c>
      <c r="E17884" t="s">
        <v>2173</v>
      </c>
      <c r="F17884" t="s">
        <v>54601</v>
      </c>
      <c r="G17884" s="2" t="str">
        <f>HYPERLINK("https://probpalata.gov.ru/files/ЮЛ500100602500055.jpeg","Скачать индивидуальный QR-код магазина")</f>
        <v>Скачать индивидуальный QR-код магазина</v>
      </c>
    </row>
    <row r="17885" spans="1:7" x14ac:dyDescent="0.25">
      <c r="A17885" t="s">
        <v>54551</v>
      </c>
      <c r="B17885" t="s">
        <v>54602</v>
      </c>
      <c r="C17885" t="s">
        <v>54603</v>
      </c>
      <c r="D17885" t="s">
        <v>54604</v>
      </c>
      <c r="E17885" t="s">
        <v>54605</v>
      </c>
      <c r="F17885" t="s">
        <v>54606</v>
      </c>
      <c r="G17885" s="2" t="str">
        <f>HYPERLINK("https://probpalata.gov.ru/files/ЮЛ540801933800001.jpeg","Скачать индивидуальный QR-код магазина")</f>
        <v>Скачать индивидуальный QR-код магазина</v>
      </c>
    </row>
    <row r="17886" spans="1:7" x14ac:dyDescent="0.25">
      <c r="A17886" t="s">
        <v>54551</v>
      </c>
      <c r="B17886" t="s">
        <v>54607</v>
      </c>
      <c r="C17886" t="s">
        <v>32398</v>
      </c>
      <c r="D17886" t="s">
        <v>32399</v>
      </c>
      <c r="E17886" t="s">
        <v>32400</v>
      </c>
      <c r="F17886" t="s">
        <v>54608</v>
      </c>
      <c r="G17886" s="2" t="str">
        <f>HYPERLINK("https://probpalata.gov.ru/files/ИП540801446600012.jpeg","Скачать индивидуальный QR-код магазина")</f>
        <v>Скачать индивидуальный QR-код магазина</v>
      </c>
    </row>
    <row r="17887" spans="1:7" x14ac:dyDescent="0.25">
      <c r="A17887" t="s">
        <v>54551</v>
      </c>
      <c r="B17887" t="s">
        <v>54609</v>
      </c>
      <c r="C17887" t="s">
        <v>32398</v>
      </c>
      <c r="D17887" t="s">
        <v>32399</v>
      </c>
      <c r="E17887" t="s">
        <v>32400</v>
      </c>
      <c r="F17887" t="s">
        <v>54610</v>
      </c>
      <c r="G17887" s="2" t="str">
        <f>HYPERLINK("https://probpalata.gov.ru/files/ИП540801446600013.jpeg","Скачать индивидуальный QR-код магазина")</f>
        <v>Скачать индивидуальный QR-код магазина</v>
      </c>
    </row>
    <row r="17888" spans="1:7" x14ac:dyDescent="0.25">
      <c r="A17888" t="s">
        <v>54551</v>
      </c>
      <c r="B17888" t="s">
        <v>54611</v>
      </c>
      <c r="C17888" t="s">
        <v>10759</v>
      </c>
      <c r="D17888" t="s">
        <v>10760</v>
      </c>
      <c r="E17888" t="s">
        <v>10761</v>
      </c>
      <c r="F17888" t="s">
        <v>54612</v>
      </c>
      <c r="G17888" s="2" t="str">
        <f>HYPERLINK("https://probpalata.gov.ru/files/ИП540800118900005.jpeg","Скачать индивидуальный QR-код магазина")</f>
        <v>Скачать индивидуальный QR-код магазина</v>
      </c>
    </row>
    <row r="17889" spans="1:7" x14ac:dyDescent="0.25">
      <c r="A17889" t="s">
        <v>54551</v>
      </c>
      <c r="B17889" t="s">
        <v>54613</v>
      </c>
      <c r="C17889" t="s">
        <v>10759</v>
      </c>
      <c r="D17889" t="s">
        <v>10760</v>
      </c>
      <c r="E17889" t="s">
        <v>10761</v>
      </c>
      <c r="F17889" t="s">
        <v>54614</v>
      </c>
      <c r="G17889" s="2" t="str">
        <f>HYPERLINK("https://probpalata.gov.ru/files/ИП540800118900008.jpeg","Скачать индивидуальный QR-код магазина")</f>
        <v>Скачать индивидуальный QR-код магазина</v>
      </c>
    </row>
    <row r="17890" spans="1:7" x14ac:dyDescent="0.25">
      <c r="A17890" t="s">
        <v>54551</v>
      </c>
      <c r="B17890" t="s">
        <v>54615</v>
      </c>
      <c r="C17890" t="s">
        <v>10759</v>
      </c>
      <c r="D17890" t="s">
        <v>10760</v>
      </c>
      <c r="E17890" t="s">
        <v>10761</v>
      </c>
      <c r="F17890" t="s">
        <v>54616</v>
      </c>
      <c r="G17890" s="2" t="str">
        <f>HYPERLINK("https://probpalata.gov.ru/files/ИП540800118900009.jpeg","Скачать индивидуальный QR-код магазина")</f>
        <v>Скачать индивидуальный QR-код магазина</v>
      </c>
    </row>
    <row r="17891" spans="1:7" x14ac:dyDescent="0.25">
      <c r="A17891" t="s">
        <v>54551</v>
      </c>
      <c r="B17891" t="s">
        <v>54617</v>
      </c>
      <c r="C17891" t="s">
        <v>54618</v>
      </c>
      <c r="D17891" t="s">
        <v>54619</v>
      </c>
      <c r="E17891" t="s">
        <v>54620</v>
      </c>
      <c r="F17891" t="s">
        <v>54621</v>
      </c>
      <c r="G17891" s="2" t="str">
        <f>HYPERLINK("https://probpalata.gov.ru/files/ИП700800140900000.jpeg","Скачать индивидуальный QR-код магазина")</f>
        <v>Скачать индивидуальный QR-код магазина</v>
      </c>
    </row>
    <row r="17892" spans="1:7" x14ac:dyDescent="0.25">
      <c r="A17892" t="s">
        <v>54551</v>
      </c>
      <c r="B17892" t="s">
        <v>54622</v>
      </c>
      <c r="C17892" t="s">
        <v>10062</v>
      </c>
      <c r="D17892" t="s">
        <v>54623</v>
      </c>
      <c r="E17892" t="s">
        <v>54624</v>
      </c>
      <c r="F17892" t="s">
        <v>54625</v>
      </c>
      <c r="G17892" s="2" t="str">
        <f>HYPERLINK("https://probpalata.gov.ru/files/ЮЛ700801551400000.jpeg","Скачать индивидуальный QR-код магазина")</f>
        <v>Скачать индивидуальный QR-код магазина</v>
      </c>
    </row>
    <row r="17893" spans="1:7" x14ac:dyDescent="0.25">
      <c r="A17893" t="s">
        <v>54551</v>
      </c>
      <c r="B17893" t="s">
        <v>54626</v>
      </c>
      <c r="C17893" t="s">
        <v>10062</v>
      </c>
      <c r="D17893" t="s">
        <v>54623</v>
      </c>
      <c r="E17893" t="s">
        <v>54624</v>
      </c>
      <c r="F17893" t="s">
        <v>54627</v>
      </c>
      <c r="G17893" s="2" t="str">
        <f>HYPERLINK("https://probpalata.gov.ru/files/ЮЛ700801551400001.jpeg","Скачать индивидуальный QR-код магазина")</f>
        <v>Скачать индивидуальный QR-код магазина</v>
      </c>
    </row>
    <row r="17894" spans="1:7" x14ac:dyDescent="0.25">
      <c r="A17894" t="s">
        <v>54551</v>
      </c>
      <c r="B17894" t="s">
        <v>54628</v>
      </c>
      <c r="C17894" t="s">
        <v>10062</v>
      </c>
      <c r="D17894" t="s">
        <v>54623</v>
      </c>
      <c r="E17894" t="s">
        <v>54624</v>
      </c>
      <c r="F17894" t="s">
        <v>54629</v>
      </c>
      <c r="G17894" s="2" t="str">
        <f>HYPERLINK("https://probpalata.gov.ru/files/ЮЛ700801551400002.jpeg","Скачать индивидуальный QR-код магазина")</f>
        <v>Скачать индивидуальный QR-код магазина</v>
      </c>
    </row>
    <row r="17895" spans="1:7" x14ac:dyDescent="0.25">
      <c r="A17895" t="s">
        <v>54551</v>
      </c>
      <c r="B17895" t="s">
        <v>54630</v>
      </c>
      <c r="C17895" t="s">
        <v>54631</v>
      </c>
      <c r="D17895" t="s">
        <v>54632</v>
      </c>
      <c r="E17895" t="s">
        <v>54633</v>
      </c>
      <c r="F17895" t="s">
        <v>54634</v>
      </c>
      <c r="G17895" s="2" t="str">
        <f>HYPERLINK("https://probpalata.gov.ru/files/ИП700801569900000.jpeg","Скачать индивидуальный QR-код магазина")</f>
        <v>Скачать индивидуальный QR-код магазина</v>
      </c>
    </row>
    <row r="17896" spans="1:7" x14ac:dyDescent="0.25">
      <c r="A17896" t="s">
        <v>54551</v>
      </c>
      <c r="B17896" t="s">
        <v>54635</v>
      </c>
      <c r="C17896" t="s">
        <v>54636</v>
      </c>
      <c r="D17896" t="s">
        <v>54637</v>
      </c>
      <c r="E17896" t="s">
        <v>54638</v>
      </c>
      <c r="F17896" t="s">
        <v>54639</v>
      </c>
      <c r="G17896" s="2" t="str">
        <f>HYPERLINK("https://probpalata.gov.ru/files/ИП770103348600000.jpeg","Скачать индивидуальный QR-код магазина")</f>
        <v>Скачать индивидуальный QR-код магазина</v>
      </c>
    </row>
    <row r="17897" spans="1:7" x14ac:dyDescent="0.25">
      <c r="A17897" t="s">
        <v>54551</v>
      </c>
      <c r="B17897" t="s">
        <v>54640</v>
      </c>
      <c r="C17897" t="s">
        <v>54636</v>
      </c>
      <c r="D17897" t="s">
        <v>54637</v>
      </c>
      <c r="E17897" t="s">
        <v>54638</v>
      </c>
      <c r="F17897" t="s">
        <v>54641</v>
      </c>
      <c r="G17897" s="2" t="str">
        <f>HYPERLINK("https://probpalata.gov.ru/files/ИП770103348600001.jpeg","Скачать индивидуальный QR-код магазина")</f>
        <v>Скачать индивидуальный QR-код магазина</v>
      </c>
    </row>
    <row r="17898" spans="1:7" x14ac:dyDescent="0.25">
      <c r="A17898" t="s">
        <v>54551</v>
      </c>
      <c r="B17898" t="s">
        <v>54642</v>
      </c>
      <c r="C17898" t="s">
        <v>54643</v>
      </c>
      <c r="D17898" t="s">
        <v>54644</v>
      </c>
      <c r="E17898" t="s">
        <v>54645</v>
      </c>
      <c r="F17898" t="s">
        <v>54646</v>
      </c>
      <c r="G17898" s="2" t="str">
        <f>HYPERLINK("https://probpalata.gov.ru/files/ИП700801763000000.jpeg","Скачать индивидуальный QR-код магазина")</f>
        <v>Скачать индивидуальный QR-код магазина</v>
      </c>
    </row>
    <row r="17899" spans="1:7" x14ac:dyDescent="0.25">
      <c r="A17899" t="s">
        <v>54551</v>
      </c>
      <c r="B17899" t="s">
        <v>54647</v>
      </c>
      <c r="C17899" t="s">
        <v>54643</v>
      </c>
      <c r="D17899" t="s">
        <v>54644</v>
      </c>
      <c r="E17899" t="s">
        <v>54645</v>
      </c>
      <c r="F17899" t="s">
        <v>54648</v>
      </c>
      <c r="G17899" s="2" t="str">
        <f>HYPERLINK("https://probpalata.gov.ru/files/ИП700801763000003.jpeg","Скачать индивидуальный QR-код магазина")</f>
        <v>Скачать индивидуальный QR-код магазина</v>
      </c>
    </row>
    <row r="17900" spans="1:7" x14ac:dyDescent="0.25">
      <c r="A17900" t="s">
        <v>54551</v>
      </c>
      <c r="B17900" t="s">
        <v>54649</v>
      </c>
      <c r="C17900" t="s">
        <v>54650</v>
      </c>
      <c r="D17900" t="s">
        <v>54651</v>
      </c>
      <c r="E17900" t="s">
        <v>54652</v>
      </c>
      <c r="F17900" t="s">
        <v>54653</v>
      </c>
      <c r="G17900" s="2" t="str">
        <f>HYPERLINK("https://probpalata.gov.ru/files/ИП700801899900000.jpeg","Скачать индивидуальный QR-код магазина")</f>
        <v>Скачать индивидуальный QR-код магазина</v>
      </c>
    </row>
    <row r="17901" spans="1:7" x14ac:dyDescent="0.25">
      <c r="A17901" t="s">
        <v>54551</v>
      </c>
      <c r="B17901" t="s">
        <v>54654</v>
      </c>
      <c r="C17901" t="s">
        <v>54655</v>
      </c>
      <c r="D17901" t="s">
        <v>54656</v>
      </c>
      <c r="E17901" t="s">
        <v>54657</v>
      </c>
      <c r="F17901" t="s">
        <v>54658</v>
      </c>
      <c r="G17901" s="2" t="str">
        <f>HYPERLINK("https://probpalata.gov.ru/files/ИП700803456100000.jpeg","Скачать индивидуальный QR-код магазина")</f>
        <v>Скачать индивидуальный QR-код магазина</v>
      </c>
    </row>
    <row r="17902" spans="1:7" x14ac:dyDescent="0.25">
      <c r="A17902" t="s">
        <v>54551</v>
      </c>
      <c r="B17902" t="s">
        <v>54576</v>
      </c>
      <c r="C17902" t="s">
        <v>54659</v>
      </c>
      <c r="D17902" t="s">
        <v>54660</v>
      </c>
      <c r="E17902" t="s">
        <v>54661</v>
      </c>
      <c r="F17902" t="s">
        <v>54662</v>
      </c>
      <c r="G17902" s="2" t="str">
        <f>HYPERLINK("https://probpalata.gov.ru/files/ИП700801914600000.jpeg","Скачать индивидуальный QR-код магазина")</f>
        <v>Скачать индивидуальный QR-код магазина</v>
      </c>
    </row>
    <row r="17903" spans="1:7" x14ac:dyDescent="0.25">
      <c r="A17903" t="s">
        <v>54551</v>
      </c>
      <c r="B17903" t="s">
        <v>54663</v>
      </c>
      <c r="C17903" t="s">
        <v>54659</v>
      </c>
      <c r="D17903" t="s">
        <v>54660</v>
      </c>
      <c r="E17903" t="s">
        <v>54661</v>
      </c>
      <c r="F17903" t="s">
        <v>54664</v>
      </c>
      <c r="G17903" s="2" t="str">
        <f>HYPERLINK("https://probpalata.gov.ru/files/ИП700801914600001.jpeg","Скачать индивидуальный QR-код магазина")</f>
        <v>Скачать индивидуальный QR-код магазина</v>
      </c>
    </row>
    <row r="17904" spans="1:7" x14ac:dyDescent="0.25">
      <c r="A17904" t="s">
        <v>54551</v>
      </c>
      <c r="B17904" t="s">
        <v>54665</v>
      </c>
      <c r="C17904" t="s">
        <v>54659</v>
      </c>
      <c r="D17904" t="s">
        <v>54660</v>
      </c>
      <c r="E17904" t="s">
        <v>54661</v>
      </c>
      <c r="F17904" t="s">
        <v>54666</v>
      </c>
      <c r="G17904" s="2" t="str">
        <f>HYPERLINK("https://probpalata.gov.ru/files/ИП700801914600002.jpeg","Скачать индивидуальный QR-код магазина")</f>
        <v>Скачать индивидуальный QR-код магазина</v>
      </c>
    </row>
    <row r="17905" spans="1:7" x14ac:dyDescent="0.25">
      <c r="A17905" t="s">
        <v>54551</v>
      </c>
      <c r="B17905" t="s">
        <v>54667</v>
      </c>
      <c r="C17905" t="s">
        <v>54659</v>
      </c>
      <c r="D17905" t="s">
        <v>54660</v>
      </c>
      <c r="E17905" t="s">
        <v>54661</v>
      </c>
      <c r="F17905" t="s">
        <v>54668</v>
      </c>
      <c r="G17905" s="2" t="str">
        <f>HYPERLINK("https://probpalata.gov.ru/files/ИП700801914600003.jpeg","Скачать индивидуальный QR-код магазина")</f>
        <v>Скачать индивидуальный QR-код магазина</v>
      </c>
    </row>
    <row r="17906" spans="1:7" x14ac:dyDescent="0.25">
      <c r="A17906" t="s">
        <v>54551</v>
      </c>
      <c r="B17906" t="s">
        <v>54669</v>
      </c>
      <c r="C17906" t="s">
        <v>54659</v>
      </c>
      <c r="D17906" t="s">
        <v>54660</v>
      </c>
      <c r="E17906" t="s">
        <v>54661</v>
      </c>
      <c r="F17906" t="s">
        <v>54670</v>
      </c>
      <c r="G17906" s="2" t="str">
        <f>HYPERLINK("https://probpalata.gov.ru/files/ИП700801914600004.jpeg","Скачать индивидуальный QR-код магазина")</f>
        <v>Скачать индивидуальный QR-код магазина</v>
      </c>
    </row>
    <row r="17907" spans="1:7" x14ac:dyDescent="0.25">
      <c r="A17907" t="s">
        <v>54551</v>
      </c>
      <c r="B17907" t="s">
        <v>54671</v>
      </c>
      <c r="C17907" t="s">
        <v>54672</v>
      </c>
      <c r="D17907" t="s">
        <v>54673</v>
      </c>
      <c r="E17907" t="s">
        <v>54674</v>
      </c>
      <c r="F17907" t="s">
        <v>54675</v>
      </c>
      <c r="G17907" s="2" t="str">
        <f>HYPERLINK("https://probpalata.gov.ru/files/ЮЛ700801440600000.jpeg","Скачать индивидуальный QR-код магазина")</f>
        <v>Скачать индивидуальный QR-код магазина</v>
      </c>
    </row>
    <row r="17908" spans="1:7" x14ac:dyDescent="0.25">
      <c r="A17908" t="s">
        <v>54551</v>
      </c>
      <c r="B17908" t="s">
        <v>54676</v>
      </c>
      <c r="C17908" t="s">
        <v>54672</v>
      </c>
      <c r="D17908" t="s">
        <v>54673</v>
      </c>
      <c r="E17908" t="s">
        <v>54674</v>
      </c>
      <c r="F17908" t="s">
        <v>54677</v>
      </c>
      <c r="G17908" s="2" t="str">
        <f>HYPERLINK("https://probpalata.gov.ru/files/ЮЛ700801440600001.jpeg","Скачать индивидуальный QR-код магазина")</f>
        <v>Скачать индивидуальный QR-код магазина</v>
      </c>
    </row>
    <row r="17909" spans="1:7" x14ac:dyDescent="0.25">
      <c r="A17909" t="s">
        <v>54551</v>
      </c>
      <c r="B17909" t="s">
        <v>54678</v>
      </c>
      <c r="C17909" t="s">
        <v>54672</v>
      </c>
      <c r="D17909" t="s">
        <v>54673</v>
      </c>
      <c r="E17909" t="s">
        <v>54674</v>
      </c>
      <c r="F17909" t="s">
        <v>54679</v>
      </c>
      <c r="G17909" s="2" t="str">
        <f>HYPERLINK("https://probpalata.gov.ru/files/ЮЛ700801440600002.jpeg","Скачать индивидуальный QR-код магазина")</f>
        <v>Скачать индивидуальный QR-код магазина</v>
      </c>
    </row>
    <row r="17910" spans="1:7" x14ac:dyDescent="0.25">
      <c r="A17910" t="s">
        <v>54551</v>
      </c>
      <c r="B17910" t="s">
        <v>54680</v>
      </c>
      <c r="C17910" t="s">
        <v>54672</v>
      </c>
      <c r="D17910" t="s">
        <v>54673</v>
      </c>
      <c r="E17910" t="s">
        <v>54674</v>
      </c>
      <c r="F17910" t="s">
        <v>54681</v>
      </c>
      <c r="G17910" s="2" t="str">
        <f>HYPERLINK("https://probpalata.gov.ru/files/ЮЛ700801440600003.jpeg","Скачать индивидуальный QR-код магазина")</f>
        <v>Скачать индивидуальный QR-код магазина</v>
      </c>
    </row>
    <row r="17911" spans="1:7" x14ac:dyDescent="0.25">
      <c r="A17911" t="s">
        <v>54551</v>
      </c>
      <c r="B17911" t="s">
        <v>54682</v>
      </c>
      <c r="C17911" t="s">
        <v>54672</v>
      </c>
      <c r="D17911" t="s">
        <v>54673</v>
      </c>
      <c r="E17911" t="s">
        <v>54674</v>
      </c>
      <c r="F17911" t="s">
        <v>54683</v>
      </c>
      <c r="G17911" s="2" t="str">
        <f>HYPERLINK("https://probpalata.gov.ru/files/ЮЛ700801440600004.jpeg","Скачать индивидуальный QR-код магазина")</f>
        <v>Скачать индивидуальный QR-код магазина</v>
      </c>
    </row>
    <row r="17912" spans="1:7" x14ac:dyDescent="0.25">
      <c r="A17912" t="s">
        <v>54551</v>
      </c>
      <c r="B17912" t="s">
        <v>54684</v>
      </c>
      <c r="C17912" t="s">
        <v>54672</v>
      </c>
      <c r="D17912" t="s">
        <v>54673</v>
      </c>
      <c r="E17912" t="s">
        <v>54674</v>
      </c>
      <c r="F17912" t="s">
        <v>54685</v>
      </c>
      <c r="G17912" s="2" t="str">
        <f>HYPERLINK("https://probpalata.gov.ru/files/ЮЛ700801440600005.jpeg","Скачать индивидуальный QR-код магазина")</f>
        <v>Скачать индивидуальный QR-код магазина</v>
      </c>
    </row>
    <row r="17913" spans="1:7" x14ac:dyDescent="0.25">
      <c r="A17913" t="s">
        <v>54551</v>
      </c>
      <c r="B17913" t="s">
        <v>54686</v>
      </c>
      <c r="C17913" t="s">
        <v>54672</v>
      </c>
      <c r="D17913" t="s">
        <v>54673</v>
      </c>
      <c r="E17913" t="s">
        <v>54674</v>
      </c>
      <c r="F17913" t="s">
        <v>54687</v>
      </c>
      <c r="G17913" s="2" t="str">
        <f>HYPERLINK("https://probpalata.gov.ru/files/ЮЛ700801440600006.jpeg","Скачать индивидуальный QR-код магазина")</f>
        <v>Скачать индивидуальный QR-код магазина</v>
      </c>
    </row>
    <row r="17914" spans="1:7" x14ac:dyDescent="0.25">
      <c r="A17914" t="s">
        <v>54551</v>
      </c>
      <c r="B17914" t="s">
        <v>54688</v>
      </c>
      <c r="C17914" t="s">
        <v>54672</v>
      </c>
      <c r="D17914" t="s">
        <v>54673</v>
      </c>
      <c r="E17914" t="s">
        <v>54674</v>
      </c>
      <c r="F17914" t="s">
        <v>54689</v>
      </c>
      <c r="G17914" s="2" t="str">
        <f>HYPERLINK("https://probpalata.gov.ru/files/ЮЛ700801440600007.jpeg","Скачать индивидуальный QR-код магазина")</f>
        <v>Скачать индивидуальный QR-код магазина</v>
      </c>
    </row>
    <row r="17915" spans="1:7" x14ac:dyDescent="0.25">
      <c r="A17915" t="s">
        <v>54551</v>
      </c>
      <c r="B17915" t="s">
        <v>54690</v>
      </c>
      <c r="C17915" t="s">
        <v>54672</v>
      </c>
      <c r="D17915" t="s">
        <v>54673</v>
      </c>
      <c r="E17915" t="s">
        <v>54674</v>
      </c>
      <c r="F17915" t="s">
        <v>54691</v>
      </c>
      <c r="G17915" s="2" t="str">
        <f>HYPERLINK("https://probpalata.gov.ru/files/ЮЛ700801440600008.jpeg","Скачать индивидуальный QR-код магазина")</f>
        <v>Скачать индивидуальный QR-код магазина</v>
      </c>
    </row>
    <row r="17916" spans="1:7" x14ac:dyDescent="0.25">
      <c r="A17916" t="s">
        <v>54551</v>
      </c>
      <c r="B17916" t="s">
        <v>54692</v>
      </c>
      <c r="C17916" t="s">
        <v>54672</v>
      </c>
      <c r="D17916" t="s">
        <v>54673</v>
      </c>
      <c r="E17916" t="s">
        <v>54674</v>
      </c>
      <c r="F17916" t="s">
        <v>54693</v>
      </c>
      <c r="G17916" s="2" t="str">
        <f>HYPERLINK("https://probpalata.gov.ru/files/ЮЛ700801440600009.jpeg","Скачать индивидуальный QR-код магазина")</f>
        <v>Скачать индивидуальный QR-код магазина</v>
      </c>
    </row>
    <row r="17917" spans="1:7" x14ac:dyDescent="0.25">
      <c r="A17917" t="s">
        <v>54551</v>
      </c>
      <c r="B17917" t="s">
        <v>54694</v>
      </c>
      <c r="C17917" t="s">
        <v>54672</v>
      </c>
      <c r="D17917" t="s">
        <v>54673</v>
      </c>
      <c r="E17917" t="s">
        <v>54674</v>
      </c>
      <c r="F17917" t="s">
        <v>54695</v>
      </c>
      <c r="G17917" s="2" t="str">
        <f>HYPERLINK("https://probpalata.gov.ru/files/ЮЛ700801440600010.jpeg","Скачать индивидуальный QR-код магазина")</f>
        <v>Скачать индивидуальный QR-код магазина</v>
      </c>
    </row>
    <row r="17918" spans="1:7" x14ac:dyDescent="0.25">
      <c r="A17918" t="s">
        <v>54551</v>
      </c>
      <c r="B17918" t="s">
        <v>54696</v>
      </c>
      <c r="C17918" t="s">
        <v>54672</v>
      </c>
      <c r="D17918" t="s">
        <v>54673</v>
      </c>
      <c r="E17918" t="s">
        <v>54674</v>
      </c>
      <c r="F17918" t="s">
        <v>54697</v>
      </c>
      <c r="G17918" s="2" t="str">
        <f>HYPERLINK("https://probpalata.gov.ru/files/ЮЛ700801440600011.jpeg","Скачать индивидуальный QR-код магазина")</f>
        <v>Скачать индивидуальный QR-код магазина</v>
      </c>
    </row>
    <row r="17919" spans="1:7" x14ac:dyDescent="0.25">
      <c r="A17919" t="s">
        <v>54551</v>
      </c>
      <c r="B17919" t="s">
        <v>54698</v>
      </c>
      <c r="C17919" t="s">
        <v>54699</v>
      </c>
      <c r="D17919" t="s">
        <v>54700</v>
      </c>
      <c r="E17919" t="s">
        <v>54701</v>
      </c>
      <c r="F17919" t="s">
        <v>54702</v>
      </c>
      <c r="G17919" s="2" t="str">
        <f>HYPERLINK("https://probpalata.gov.ru/files/ИП700801019800000.jpeg","Скачать индивидуальный QR-код магазина")</f>
        <v>Скачать индивидуальный QR-код магазина</v>
      </c>
    </row>
    <row r="17920" spans="1:7" x14ac:dyDescent="0.25">
      <c r="A17920" t="s">
        <v>54551</v>
      </c>
      <c r="B17920" t="s">
        <v>54703</v>
      </c>
      <c r="C17920" t="s">
        <v>54699</v>
      </c>
      <c r="D17920" t="s">
        <v>54700</v>
      </c>
      <c r="E17920" t="s">
        <v>54701</v>
      </c>
      <c r="F17920" t="s">
        <v>54704</v>
      </c>
      <c r="G17920" s="2" t="str">
        <f>HYPERLINK("https://probpalata.gov.ru/files/ИП700801019800001.jpeg","Скачать индивидуальный QR-код магазина")</f>
        <v>Скачать индивидуальный QR-код магазина</v>
      </c>
    </row>
    <row r="17921" spans="1:7" x14ac:dyDescent="0.25">
      <c r="A17921" t="s">
        <v>54551</v>
      </c>
      <c r="B17921" t="s">
        <v>54705</v>
      </c>
      <c r="C17921" t="s">
        <v>54699</v>
      </c>
      <c r="D17921" t="s">
        <v>54700</v>
      </c>
      <c r="E17921" t="s">
        <v>54701</v>
      </c>
      <c r="F17921" t="s">
        <v>54706</v>
      </c>
      <c r="G17921" s="2" t="str">
        <f>HYPERLINK("https://probpalata.gov.ru/files/ИП700801019800002.jpeg","Скачать индивидуальный QR-код магазина")</f>
        <v>Скачать индивидуальный QR-код магазина</v>
      </c>
    </row>
    <row r="17922" spans="1:7" x14ac:dyDescent="0.25">
      <c r="A17922" t="s">
        <v>54551</v>
      </c>
      <c r="B17922" t="s">
        <v>54707</v>
      </c>
      <c r="C17922" t="s">
        <v>54708</v>
      </c>
      <c r="D17922" t="s">
        <v>54709</v>
      </c>
      <c r="E17922" t="s">
        <v>54710</v>
      </c>
      <c r="F17922" t="s">
        <v>54711</v>
      </c>
      <c r="G17922" s="2" t="str">
        <f>HYPERLINK("https://probpalata.gov.ru/files/ИП700800610000000.jpeg","Скачать индивидуальный QR-код магазина")</f>
        <v>Скачать индивидуальный QR-код магазина</v>
      </c>
    </row>
    <row r="17923" spans="1:7" x14ac:dyDescent="0.25">
      <c r="A17923" t="s">
        <v>54551</v>
      </c>
      <c r="B17923" t="s">
        <v>54712</v>
      </c>
      <c r="C17923" t="s">
        <v>54708</v>
      </c>
      <c r="D17923" t="s">
        <v>54709</v>
      </c>
      <c r="E17923" t="s">
        <v>54710</v>
      </c>
      <c r="F17923" t="s">
        <v>54713</v>
      </c>
      <c r="G17923" s="2" t="str">
        <f>HYPERLINK("https://probpalata.gov.ru/files/ИП700800610000001.jpeg","Скачать индивидуальный QR-код магазина")</f>
        <v>Скачать индивидуальный QR-код магазина</v>
      </c>
    </row>
    <row r="17924" spans="1:7" x14ac:dyDescent="0.25">
      <c r="A17924" t="s">
        <v>54551</v>
      </c>
      <c r="B17924" t="s">
        <v>54714</v>
      </c>
      <c r="C17924" t="s">
        <v>54708</v>
      </c>
      <c r="D17924" t="s">
        <v>54709</v>
      </c>
      <c r="E17924" t="s">
        <v>54710</v>
      </c>
      <c r="F17924" t="s">
        <v>54715</v>
      </c>
      <c r="G17924" s="2" t="str">
        <f>HYPERLINK("https://probpalata.gov.ru/files/ИП700800610000002.jpeg","Скачать индивидуальный QR-код магазина")</f>
        <v>Скачать индивидуальный QR-код магазина</v>
      </c>
    </row>
    <row r="17925" spans="1:7" x14ac:dyDescent="0.25">
      <c r="A17925" t="s">
        <v>54551</v>
      </c>
      <c r="B17925" t="s">
        <v>54716</v>
      </c>
      <c r="C17925" t="s">
        <v>54708</v>
      </c>
      <c r="D17925" t="s">
        <v>54709</v>
      </c>
      <c r="E17925" t="s">
        <v>54710</v>
      </c>
      <c r="F17925" t="s">
        <v>54717</v>
      </c>
      <c r="G17925" s="2" t="str">
        <f>HYPERLINK("https://probpalata.gov.ru/files/ИП700800610000005.jpeg","Скачать индивидуальный QR-код магазина")</f>
        <v>Скачать индивидуальный QR-код магазина</v>
      </c>
    </row>
    <row r="17926" spans="1:7" x14ac:dyDescent="0.25">
      <c r="A17926" t="s">
        <v>54551</v>
      </c>
      <c r="B17926" t="s">
        <v>54718</v>
      </c>
      <c r="C17926" t="s">
        <v>54719</v>
      </c>
      <c r="D17926" t="s">
        <v>54720</v>
      </c>
      <c r="E17926" t="s">
        <v>54721</v>
      </c>
      <c r="F17926" t="s">
        <v>54722</v>
      </c>
      <c r="G17926" s="2" t="str">
        <f>HYPERLINK("https://probpalata.gov.ru/files/ИП700801514200000.jpeg","Скачать индивидуальный QR-код магазина")</f>
        <v>Скачать индивидуальный QR-код магазина</v>
      </c>
    </row>
    <row r="17927" spans="1:7" x14ac:dyDescent="0.25">
      <c r="A17927" t="s">
        <v>54551</v>
      </c>
      <c r="B17927" t="s">
        <v>54723</v>
      </c>
      <c r="C17927" t="s">
        <v>54724</v>
      </c>
      <c r="D17927" t="s">
        <v>54725</v>
      </c>
      <c r="E17927" t="s">
        <v>54726</v>
      </c>
      <c r="F17927" t="s">
        <v>54727</v>
      </c>
      <c r="G17927" s="2" t="str">
        <f>HYPERLINK("https://probpalata.gov.ru/files/ИП700801548500000.jpeg","Скачать индивидуальный QR-код магазина")</f>
        <v>Скачать индивидуальный QR-код магазина</v>
      </c>
    </row>
    <row r="17928" spans="1:7" x14ac:dyDescent="0.25">
      <c r="A17928" t="s">
        <v>54551</v>
      </c>
      <c r="B17928" t="s">
        <v>54728</v>
      </c>
      <c r="C17928" t="s">
        <v>22359</v>
      </c>
      <c r="D17928" t="s">
        <v>54729</v>
      </c>
      <c r="E17928" t="s">
        <v>54730</v>
      </c>
      <c r="F17928" t="s">
        <v>54731</v>
      </c>
      <c r="G17928" s="2" t="str">
        <f>HYPERLINK("https://probpalata.gov.ru/files/ЮЛ700801553000000.jpeg","Скачать индивидуальный QR-код магазина")</f>
        <v>Скачать индивидуальный QR-код магазина</v>
      </c>
    </row>
    <row r="17929" spans="1:7" x14ac:dyDescent="0.25">
      <c r="A17929" t="s">
        <v>54551</v>
      </c>
      <c r="B17929" t="s">
        <v>54732</v>
      </c>
      <c r="C17929" t="s">
        <v>54733</v>
      </c>
      <c r="D17929" t="s">
        <v>54734</v>
      </c>
      <c r="E17929" t="s">
        <v>54735</v>
      </c>
      <c r="F17929" t="s">
        <v>54736</v>
      </c>
      <c r="G17929" s="2" t="str">
        <f>HYPERLINK("https://probpalata.gov.ru/files/ИП700803394300000.jpeg","Скачать индивидуальный QR-код магазина")</f>
        <v>Скачать индивидуальный QR-код магазина</v>
      </c>
    </row>
    <row r="17930" spans="1:7" x14ac:dyDescent="0.25">
      <c r="A17930" t="s">
        <v>54551</v>
      </c>
      <c r="B17930" t="s">
        <v>54737</v>
      </c>
      <c r="C17930" t="s">
        <v>54738</v>
      </c>
      <c r="D17930" t="s">
        <v>54739</v>
      </c>
      <c r="E17930" t="s">
        <v>54740</v>
      </c>
      <c r="F17930" t="s">
        <v>54741</v>
      </c>
      <c r="G17930" s="2" t="str">
        <f>HYPERLINK("https://probpalata.gov.ru/files/ИП700801648300000.jpeg","Скачать индивидуальный QR-код магазина")</f>
        <v>Скачать индивидуальный QR-код магазина</v>
      </c>
    </row>
    <row r="17931" spans="1:7" x14ac:dyDescent="0.25">
      <c r="A17931" t="s">
        <v>54551</v>
      </c>
      <c r="B17931" t="s">
        <v>54742</v>
      </c>
      <c r="C17931" t="s">
        <v>54743</v>
      </c>
      <c r="D17931" t="s">
        <v>54744</v>
      </c>
      <c r="E17931" t="s">
        <v>54745</v>
      </c>
      <c r="F17931" t="s">
        <v>54746</v>
      </c>
      <c r="G17931" s="2" t="str">
        <f>HYPERLINK("https://probpalata.gov.ru/files/ИП700801599700000.jpeg","Скачать индивидуальный QR-код магазина")</f>
        <v>Скачать индивидуальный QR-код магазина</v>
      </c>
    </row>
    <row r="17932" spans="1:7" x14ac:dyDescent="0.25">
      <c r="A17932" t="s">
        <v>54551</v>
      </c>
      <c r="B17932" t="s">
        <v>54747</v>
      </c>
      <c r="C17932" t="s">
        <v>54748</v>
      </c>
      <c r="D17932" t="s">
        <v>54749</v>
      </c>
      <c r="E17932" t="s">
        <v>54750</v>
      </c>
      <c r="F17932" t="s">
        <v>54751</v>
      </c>
      <c r="G17932" s="2" t="str">
        <f>HYPERLINK("https://probpalata.gov.ru/files/ИП700800055600000.jpeg","Скачать индивидуальный QR-код магазина")</f>
        <v>Скачать индивидуальный QR-код магазина</v>
      </c>
    </row>
    <row r="17933" spans="1:7" x14ac:dyDescent="0.25">
      <c r="A17933" t="s">
        <v>54551</v>
      </c>
      <c r="B17933" t="s">
        <v>54752</v>
      </c>
      <c r="C17933" t="s">
        <v>54753</v>
      </c>
      <c r="D17933" t="s">
        <v>54754</v>
      </c>
      <c r="E17933" t="s">
        <v>54755</v>
      </c>
      <c r="F17933" t="s">
        <v>54756</v>
      </c>
      <c r="G17933" s="2" t="str">
        <f>HYPERLINK("https://probpalata.gov.ru/files/ЮЛ700801205900000.jpeg","Скачать индивидуальный QR-код магазина")</f>
        <v>Скачать индивидуальный QR-код магазина</v>
      </c>
    </row>
    <row r="17934" spans="1:7" x14ac:dyDescent="0.25">
      <c r="A17934" t="s">
        <v>54551</v>
      </c>
      <c r="B17934" t="s">
        <v>54757</v>
      </c>
      <c r="C17934" t="s">
        <v>54753</v>
      </c>
      <c r="D17934" t="s">
        <v>54754</v>
      </c>
      <c r="E17934" t="s">
        <v>54755</v>
      </c>
      <c r="F17934" t="s">
        <v>54758</v>
      </c>
      <c r="G17934" s="2" t="str">
        <f>HYPERLINK("https://probpalata.gov.ru/files/ЮЛ700801205900001.jpeg","Скачать индивидуальный QR-код магазина")</f>
        <v>Скачать индивидуальный QR-код магазина</v>
      </c>
    </row>
    <row r="17935" spans="1:7" x14ac:dyDescent="0.25">
      <c r="A17935" t="s">
        <v>54551</v>
      </c>
      <c r="B17935" t="s">
        <v>54759</v>
      </c>
      <c r="C17935" t="s">
        <v>54753</v>
      </c>
      <c r="D17935" t="s">
        <v>54754</v>
      </c>
      <c r="E17935" t="s">
        <v>54755</v>
      </c>
      <c r="F17935" t="s">
        <v>54760</v>
      </c>
      <c r="G17935" s="2" t="str">
        <f>HYPERLINK("https://probpalata.gov.ru/files/ЮЛ700801205900002.jpeg","Скачать индивидуальный QR-код магазина")</f>
        <v>Скачать индивидуальный QR-код магазина</v>
      </c>
    </row>
    <row r="17936" spans="1:7" x14ac:dyDescent="0.25">
      <c r="A17936" t="s">
        <v>54551</v>
      </c>
      <c r="B17936" t="s">
        <v>54761</v>
      </c>
      <c r="C17936" t="s">
        <v>54762</v>
      </c>
      <c r="D17936" t="s">
        <v>54763</v>
      </c>
      <c r="E17936" t="s">
        <v>54764</v>
      </c>
      <c r="F17936" t="s">
        <v>54765</v>
      </c>
      <c r="G17936" s="2" t="str">
        <f>HYPERLINK("https://probpalata.gov.ru/files/ИП700803984200000.jpeg","Скачать индивидуальный QR-код магазина")</f>
        <v>Скачать индивидуальный QR-код магазина</v>
      </c>
    </row>
    <row r="17937" spans="1:7" x14ac:dyDescent="0.25">
      <c r="A17937" t="s">
        <v>54551</v>
      </c>
      <c r="B17937" t="s">
        <v>54766</v>
      </c>
      <c r="C17937" t="s">
        <v>54767</v>
      </c>
      <c r="D17937" t="s">
        <v>54768</v>
      </c>
      <c r="E17937" t="s">
        <v>54769</v>
      </c>
      <c r="F17937" t="s">
        <v>54770</v>
      </c>
      <c r="G17937" s="2" t="str">
        <f>HYPERLINK("https://probpalata.gov.ru/files/ИП700801211000000.jpeg","Скачать индивидуальный QR-код магазина")</f>
        <v>Скачать индивидуальный QR-код магазина</v>
      </c>
    </row>
    <row r="17938" spans="1:7" x14ac:dyDescent="0.25">
      <c r="A17938" t="s">
        <v>54551</v>
      </c>
      <c r="B17938" t="s">
        <v>54771</v>
      </c>
      <c r="C17938" t="s">
        <v>3742</v>
      </c>
      <c r="D17938" t="s">
        <v>54772</v>
      </c>
      <c r="E17938" t="s">
        <v>54773</v>
      </c>
      <c r="F17938" t="s">
        <v>54774</v>
      </c>
      <c r="G17938" s="2" t="str">
        <f>HYPERLINK("https://probpalata.gov.ru/files/ЮЛ700800500400000.jpeg","Скачать индивидуальный QR-код магазина")</f>
        <v>Скачать индивидуальный QR-код магазина</v>
      </c>
    </row>
    <row r="17939" spans="1:7" x14ac:dyDescent="0.25">
      <c r="A17939" t="s">
        <v>54551</v>
      </c>
      <c r="B17939" t="s">
        <v>54775</v>
      </c>
      <c r="C17939" t="s">
        <v>3742</v>
      </c>
      <c r="D17939" t="s">
        <v>54772</v>
      </c>
      <c r="E17939" t="s">
        <v>54773</v>
      </c>
      <c r="F17939" t="s">
        <v>54776</v>
      </c>
      <c r="G17939" s="2" t="str">
        <f>HYPERLINK("https://probpalata.gov.ru/files/ЮЛ700800500400001.jpeg","Скачать индивидуальный QR-код магазина")</f>
        <v>Скачать индивидуальный QR-код магазина</v>
      </c>
    </row>
    <row r="17940" spans="1:7" x14ac:dyDescent="0.25">
      <c r="A17940" t="s">
        <v>54551</v>
      </c>
      <c r="B17940" t="s">
        <v>54777</v>
      </c>
      <c r="C17940" t="s">
        <v>3742</v>
      </c>
      <c r="D17940" t="s">
        <v>54772</v>
      </c>
      <c r="E17940" t="s">
        <v>54773</v>
      </c>
      <c r="F17940" t="s">
        <v>54778</v>
      </c>
      <c r="G17940" s="2" t="str">
        <f>HYPERLINK("https://probpalata.gov.ru/files/ЮЛ700800500400002.jpeg","Скачать индивидуальный QR-код магазина")</f>
        <v>Скачать индивидуальный QR-код магазина</v>
      </c>
    </row>
    <row r="17941" spans="1:7" x14ac:dyDescent="0.25">
      <c r="A17941" t="s">
        <v>54551</v>
      </c>
      <c r="B17941" t="s">
        <v>54779</v>
      </c>
      <c r="C17941" t="s">
        <v>54780</v>
      </c>
      <c r="D17941" t="s">
        <v>54781</v>
      </c>
      <c r="E17941" t="s">
        <v>54782</v>
      </c>
      <c r="F17941" t="s">
        <v>54783</v>
      </c>
      <c r="G17941" s="2" t="str">
        <f>HYPERLINK("https://probpalata.gov.ru/files/ЮЛ700801255800000.jpeg","Скачать индивидуальный QR-код магазина")</f>
        <v>Скачать индивидуальный QR-код магазина</v>
      </c>
    </row>
    <row r="17942" spans="1:7" x14ac:dyDescent="0.25">
      <c r="A17942" t="s">
        <v>54551</v>
      </c>
      <c r="B17942" t="s">
        <v>54784</v>
      </c>
      <c r="C17942" t="s">
        <v>54785</v>
      </c>
      <c r="D17942" t="s">
        <v>54786</v>
      </c>
      <c r="E17942" t="s">
        <v>54787</v>
      </c>
      <c r="F17942" t="s">
        <v>54788</v>
      </c>
      <c r="G17942" s="2" t="str">
        <f>HYPERLINK("https://probpalata.gov.ru/files/ЮЛ700801546200000.jpeg","Скачать индивидуальный QR-код магазина")</f>
        <v>Скачать индивидуальный QR-код магазина</v>
      </c>
    </row>
    <row r="17943" spans="1:7" x14ac:dyDescent="0.25">
      <c r="A17943" t="s">
        <v>54551</v>
      </c>
      <c r="B17943" t="s">
        <v>54789</v>
      </c>
      <c r="C17943" t="s">
        <v>54790</v>
      </c>
      <c r="D17943" t="s">
        <v>54791</v>
      </c>
      <c r="E17943" t="s">
        <v>54792</v>
      </c>
      <c r="F17943" t="s">
        <v>54793</v>
      </c>
      <c r="G17943" s="2" t="str">
        <f>HYPERLINK("https://probpalata.gov.ru/files/ЮЛ700803915600000.jpeg","Скачать индивидуальный QR-код магазина")</f>
        <v>Скачать индивидуальный QR-код магазина</v>
      </c>
    </row>
    <row r="17944" spans="1:7" x14ac:dyDescent="0.25">
      <c r="A17944" t="s">
        <v>54551</v>
      </c>
      <c r="B17944" t="s">
        <v>54794</v>
      </c>
      <c r="C17944" t="s">
        <v>54795</v>
      </c>
      <c r="D17944" t="s">
        <v>54796</v>
      </c>
      <c r="E17944" t="s">
        <v>54797</v>
      </c>
      <c r="F17944" t="s">
        <v>54798</v>
      </c>
      <c r="G17944" s="2" t="str">
        <f>HYPERLINK("https://probpalata.gov.ru/files/ЮЛ700801739600000.jpeg","Скачать индивидуальный QR-код магазина")</f>
        <v>Скачать индивидуальный QR-код магазина</v>
      </c>
    </row>
    <row r="17945" spans="1:7" x14ac:dyDescent="0.25">
      <c r="A17945" t="s">
        <v>54551</v>
      </c>
      <c r="B17945" t="s">
        <v>54799</v>
      </c>
      <c r="C17945" t="s">
        <v>54800</v>
      </c>
      <c r="D17945" t="s">
        <v>54801</v>
      </c>
      <c r="E17945" t="s">
        <v>54802</v>
      </c>
      <c r="F17945" t="s">
        <v>54803</v>
      </c>
      <c r="G17945" s="2" t="str">
        <f>HYPERLINK("https://probpalata.gov.ru/files/ИП700803514900000.jpeg","Скачать индивидуальный QR-код магазина")</f>
        <v>Скачать индивидуальный QR-код магазина</v>
      </c>
    </row>
    <row r="17946" spans="1:7" x14ac:dyDescent="0.25">
      <c r="A17946" t="s">
        <v>54551</v>
      </c>
      <c r="B17946" t="s">
        <v>54804</v>
      </c>
      <c r="C17946" t="s">
        <v>16760</v>
      </c>
      <c r="D17946" t="s">
        <v>16761</v>
      </c>
      <c r="E17946" t="s">
        <v>16762</v>
      </c>
      <c r="F17946" t="s">
        <v>54805</v>
      </c>
      <c r="G17946" s="2" t="str">
        <f>HYPERLINK("https://probpalata.gov.ru/files/ИП700801161100000.jpeg","Скачать индивидуальный QR-код магазина")</f>
        <v>Скачать индивидуальный QR-код магазина</v>
      </c>
    </row>
    <row r="17947" spans="1:7" x14ac:dyDescent="0.25">
      <c r="A17947" t="s">
        <v>54551</v>
      </c>
      <c r="B17947" t="s">
        <v>54806</v>
      </c>
      <c r="C17947" t="s">
        <v>54807</v>
      </c>
      <c r="D17947" t="s">
        <v>54808</v>
      </c>
      <c r="E17947" t="s">
        <v>54809</v>
      </c>
      <c r="F17947" t="s">
        <v>54810</v>
      </c>
      <c r="G17947" s="2" t="str">
        <f>HYPERLINK("https://probpalata.gov.ru/files/ИП700801006400000.jpeg","Скачать индивидуальный QR-код магазина")</f>
        <v>Скачать индивидуальный QR-код магазина</v>
      </c>
    </row>
    <row r="17948" spans="1:7" x14ac:dyDescent="0.25">
      <c r="A17948" t="s">
        <v>54551</v>
      </c>
      <c r="B17948" t="s">
        <v>54811</v>
      </c>
      <c r="C17948" t="s">
        <v>54812</v>
      </c>
      <c r="D17948" t="s">
        <v>54813</v>
      </c>
      <c r="E17948" t="s">
        <v>54814</v>
      </c>
      <c r="F17948" t="s">
        <v>54815</v>
      </c>
      <c r="G17948" s="2" t="str">
        <f>HYPERLINK("https://probpalata.gov.ru/files/ИП700801223600000.jpeg","Скачать индивидуальный QR-код магазина")</f>
        <v>Скачать индивидуальный QR-код магазина</v>
      </c>
    </row>
    <row r="17949" spans="1:7" x14ac:dyDescent="0.25">
      <c r="A17949" t="s">
        <v>54551</v>
      </c>
      <c r="B17949" t="s">
        <v>54816</v>
      </c>
      <c r="C17949" t="s">
        <v>54817</v>
      </c>
      <c r="D17949" t="s">
        <v>54818</v>
      </c>
      <c r="E17949" t="s">
        <v>54819</v>
      </c>
      <c r="F17949" t="s">
        <v>54820</v>
      </c>
      <c r="G17949" s="2" t="str">
        <f>HYPERLINK("https://probpalata.gov.ru/files/ИП700801558600000.jpeg","Скачать индивидуальный QR-код магазина")</f>
        <v>Скачать индивидуальный QR-код магазина</v>
      </c>
    </row>
    <row r="17950" spans="1:7" x14ac:dyDescent="0.25">
      <c r="A17950" t="s">
        <v>54551</v>
      </c>
      <c r="B17950" t="s">
        <v>54821</v>
      </c>
      <c r="C17950" t="s">
        <v>54817</v>
      </c>
      <c r="D17950" t="s">
        <v>54818</v>
      </c>
      <c r="E17950" t="s">
        <v>54819</v>
      </c>
      <c r="F17950" t="s">
        <v>54822</v>
      </c>
      <c r="G17950" s="2" t="str">
        <f>HYPERLINK("https://probpalata.gov.ru/files/ИП700801558600004.jpeg","Скачать индивидуальный QR-код магазина")</f>
        <v>Скачать индивидуальный QR-код магазина</v>
      </c>
    </row>
    <row r="17951" spans="1:7" x14ac:dyDescent="0.25">
      <c r="A17951" t="s">
        <v>54551</v>
      </c>
      <c r="B17951" t="s">
        <v>54752</v>
      </c>
      <c r="C17951" t="s">
        <v>54817</v>
      </c>
      <c r="D17951" t="s">
        <v>54818</v>
      </c>
      <c r="E17951" t="s">
        <v>54819</v>
      </c>
      <c r="F17951" t="s">
        <v>54823</v>
      </c>
      <c r="G17951" s="2" t="str">
        <f>HYPERLINK("https://probpalata.gov.ru/files/ИП700801558600005.jpeg","Скачать индивидуальный QR-код магазина")</f>
        <v>Скачать индивидуальный QR-код магазина</v>
      </c>
    </row>
    <row r="17952" spans="1:7" x14ac:dyDescent="0.25">
      <c r="A17952" t="s">
        <v>54551</v>
      </c>
      <c r="B17952" t="s">
        <v>54667</v>
      </c>
      <c r="C17952" t="s">
        <v>54817</v>
      </c>
      <c r="D17952" t="s">
        <v>54818</v>
      </c>
      <c r="E17952" t="s">
        <v>54819</v>
      </c>
      <c r="F17952" t="s">
        <v>54824</v>
      </c>
      <c r="G17952" s="2" t="str">
        <f>HYPERLINK("https://probpalata.gov.ru/files/ИП700801558600006.jpeg","Скачать индивидуальный QR-код магазина")</f>
        <v>Скачать индивидуальный QR-код магазина</v>
      </c>
    </row>
    <row r="17953" spans="1:7" x14ac:dyDescent="0.25">
      <c r="A17953" t="s">
        <v>54551</v>
      </c>
      <c r="B17953" t="s">
        <v>54825</v>
      </c>
      <c r="C17953" t="s">
        <v>54826</v>
      </c>
      <c r="D17953" t="s">
        <v>54827</v>
      </c>
      <c r="E17953" t="s">
        <v>54828</v>
      </c>
      <c r="F17953" t="s">
        <v>54829</v>
      </c>
      <c r="G17953" s="2" t="str">
        <f>HYPERLINK("https://probpalata.gov.ru/files/ЮЛ700801312200000.jpeg","Скачать индивидуальный QR-код магазина")</f>
        <v>Скачать индивидуальный QR-код магазина</v>
      </c>
    </row>
    <row r="17954" spans="1:7" x14ac:dyDescent="0.25">
      <c r="A17954" t="s">
        <v>54551</v>
      </c>
      <c r="B17954" t="s">
        <v>54830</v>
      </c>
      <c r="C17954" t="s">
        <v>54831</v>
      </c>
      <c r="D17954" t="s">
        <v>54832</v>
      </c>
      <c r="E17954" t="s">
        <v>54833</v>
      </c>
      <c r="F17954" t="s">
        <v>54834</v>
      </c>
      <c r="G17954" s="2" t="str">
        <f>HYPERLINK("https://probpalata.gov.ru/files/ИП700803190300000.jpeg","Скачать индивидуальный QR-код магазина")</f>
        <v>Скачать индивидуальный QR-код магазина</v>
      </c>
    </row>
    <row r="17955" spans="1:7" x14ac:dyDescent="0.25">
      <c r="A17955" t="s">
        <v>54551</v>
      </c>
      <c r="B17955" t="s">
        <v>54835</v>
      </c>
      <c r="C17955" t="s">
        <v>54836</v>
      </c>
      <c r="D17955" t="s">
        <v>54837</v>
      </c>
      <c r="E17955" t="s">
        <v>54838</v>
      </c>
      <c r="F17955" t="s">
        <v>54839</v>
      </c>
      <c r="G17955" s="2" t="str">
        <f>HYPERLINK("https://probpalata.gov.ru/files/ЮЛ700800220000000.jpeg","Скачать индивидуальный QR-код магазина")</f>
        <v>Скачать индивидуальный QR-код магазина</v>
      </c>
    </row>
    <row r="17956" spans="1:7" x14ac:dyDescent="0.25">
      <c r="A17956" t="s">
        <v>54551</v>
      </c>
      <c r="B17956" t="s">
        <v>54840</v>
      </c>
      <c r="C17956" t="s">
        <v>54841</v>
      </c>
      <c r="D17956" t="s">
        <v>54842</v>
      </c>
      <c r="E17956" t="s">
        <v>54843</v>
      </c>
      <c r="F17956" t="s">
        <v>54844</v>
      </c>
      <c r="G17956" s="2" t="str">
        <f>HYPERLINK("https://probpalata.gov.ru/files/ИП700803987900000.jpeg","Скачать индивидуальный QR-код магазина")</f>
        <v>Скачать индивидуальный QR-код магазина</v>
      </c>
    </row>
    <row r="17957" spans="1:7" x14ac:dyDescent="0.25">
      <c r="A17957" t="s">
        <v>54551</v>
      </c>
      <c r="B17957" t="s">
        <v>54845</v>
      </c>
      <c r="C17957" t="s">
        <v>54841</v>
      </c>
      <c r="D17957" t="s">
        <v>54842</v>
      </c>
      <c r="E17957" t="s">
        <v>54843</v>
      </c>
      <c r="F17957" t="s">
        <v>54846</v>
      </c>
      <c r="G17957" s="2" t="str">
        <f>HYPERLINK("https://probpalata.gov.ru/files/ИП700803987900001.jpeg","Скачать индивидуальный QR-код магазина")</f>
        <v>Скачать индивидуальный QR-код магазина</v>
      </c>
    </row>
    <row r="17958" spans="1:7" x14ac:dyDescent="0.25">
      <c r="A17958" t="s">
        <v>54551</v>
      </c>
      <c r="B17958" t="s">
        <v>54847</v>
      </c>
      <c r="C17958" t="s">
        <v>54848</v>
      </c>
      <c r="D17958" t="s">
        <v>54849</v>
      </c>
      <c r="E17958" t="s">
        <v>54850</v>
      </c>
      <c r="F17958" t="s">
        <v>54851</v>
      </c>
      <c r="G17958" s="2" t="str">
        <f>HYPERLINK("https://probpalata.gov.ru/files/ИП700801704200000.jpeg","Скачать индивидуальный QR-код магазина")</f>
        <v>Скачать индивидуальный QR-код магазина</v>
      </c>
    </row>
    <row r="17959" spans="1:7" x14ac:dyDescent="0.25">
      <c r="A17959" t="s">
        <v>54551</v>
      </c>
      <c r="B17959" t="s">
        <v>54852</v>
      </c>
      <c r="C17959" t="s">
        <v>54853</v>
      </c>
      <c r="D17959" t="s">
        <v>54854</v>
      </c>
      <c r="E17959" t="s">
        <v>54855</v>
      </c>
      <c r="F17959" t="s">
        <v>54856</v>
      </c>
      <c r="G17959" s="2" t="str">
        <f>HYPERLINK("https://probpalata.gov.ru/files/ИП700801548300000.jpeg","Скачать индивидуальный QR-код магазина")</f>
        <v>Скачать индивидуальный QR-код магазина</v>
      </c>
    </row>
    <row r="17960" spans="1:7" x14ac:dyDescent="0.25">
      <c r="A17960" t="s">
        <v>54551</v>
      </c>
      <c r="B17960" t="s">
        <v>54857</v>
      </c>
      <c r="C17960" t="s">
        <v>54853</v>
      </c>
      <c r="D17960" t="s">
        <v>54854</v>
      </c>
      <c r="E17960" t="s">
        <v>54855</v>
      </c>
      <c r="F17960" t="s">
        <v>54858</v>
      </c>
      <c r="G17960" s="2" t="str">
        <f>HYPERLINK("https://probpalata.gov.ru/files/ИП700801548300001.jpeg","Скачать индивидуальный QR-код магазина")</f>
        <v>Скачать индивидуальный QR-код магазина</v>
      </c>
    </row>
    <row r="17961" spans="1:7" x14ac:dyDescent="0.25">
      <c r="A17961" t="s">
        <v>54551</v>
      </c>
      <c r="B17961" t="s">
        <v>54859</v>
      </c>
      <c r="C17961" t="s">
        <v>713</v>
      </c>
      <c r="D17961" t="s">
        <v>714</v>
      </c>
      <c r="E17961" t="s">
        <v>715</v>
      </c>
      <c r="F17961" t="s">
        <v>54860</v>
      </c>
      <c r="G17961" s="2" t="str">
        <f>HYPERLINK("https://probpalata.gov.ru/files/ЮЛ770101216600264.jpeg","Скачать индивидуальный QR-код магазина")</f>
        <v>Скачать индивидуальный QR-код магазина</v>
      </c>
    </row>
    <row r="17962" spans="1:7" x14ac:dyDescent="0.25">
      <c r="A17962" t="s">
        <v>54551</v>
      </c>
      <c r="B17962" t="s">
        <v>54861</v>
      </c>
      <c r="C17962" t="s">
        <v>713</v>
      </c>
      <c r="D17962" t="s">
        <v>714</v>
      </c>
      <c r="E17962" t="s">
        <v>715</v>
      </c>
      <c r="F17962" t="s">
        <v>54862</v>
      </c>
      <c r="G17962" s="2" t="str">
        <f>HYPERLINK("https://probpalata.gov.ru/files/ЮЛ770101216600265.jpeg","Скачать индивидуальный QR-код магазина")</f>
        <v>Скачать индивидуальный QR-код магазина</v>
      </c>
    </row>
    <row r="17963" spans="1:7" x14ac:dyDescent="0.25">
      <c r="A17963" t="s">
        <v>54551</v>
      </c>
      <c r="B17963" t="s">
        <v>54863</v>
      </c>
      <c r="C17963" t="s">
        <v>713</v>
      </c>
      <c r="D17963" t="s">
        <v>714</v>
      </c>
      <c r="E17963" t="s">
        <v>715</v>
      </c>
      <c r="F17963" t="s">
        <v>54864</v>
      </c>
      <c r="G17963" s="2" t="str">
        <f>HYPERLINK("https://probpalata.gov.ru/files/ЮЛ770101216600533.jpeg","Скачать индивидуальный QR-код магазина")</f>
        <v>Скачать индивидуальный QR-код магазина</v>
      </c>
    </row>
    <row r="17964" spans="1:7" x14ac:dyDescent="0.25">
      <c r="A17964" t="s">
        <v>54551</v>
      </c>
      <c r="B17964" t="s">
        <v>54865</v>
      </c>
      <c r="C17964" t="s">
        <v>713</v>
      </c>
      <c r="D17964" t="s">
        <v>714</v>
      </c>
      <c r="E17964" t="s">
        <v>715</v>
      </c>
      <c r="F17964" t="s">
        <v>54866</v>
      </c>
      <c r="G17964" s="2" t="str">
        <f>HYPERLINK("https://probpalata.gov.ru/files/ЮЛ770101216600575.jpeg","Скачать индивидуальный QR-код магазина")</f>
        <v>Скачать индивидуальный QR-код магазина</v>
      </c>
    </row>
    <row r="17965" spans="1:7" x14ac:dyDescent="0.25">
      <c r="A17965" t="s">
        <v>54551</v>
      </c>
      <c r="B17965" t="s">
        <v>54867</v>
      </c>
      <c r="C17965" t="s">
        <v>713</v>
      </c>
      <c r="D17965" t="s">
        <v>714</v>
      </c>
      <c r="E17965" t="s">
        <v>715</v>
      </c>
      <c r="F17965" t="s">
        <v>54868</v>
      </c>
      <c r="G17965" s="2" t="str">
        <f>HYPERLINK("https://probpalata.gov.ru/files/ЮЛ770101216600719.jpeg","Скачать индивидуальный QR-код магазина")</f>
        <v>Скачать индивидуальный QR-код магазина</v>
      </c>
    </row>
    <row r="17966" spans="1:7" x14ac:dyDescent="0.25">
      <c r="A17966" t="s">
        <v>54551</v>
      </c>
      <c r="B17966" t="s">
        <v>54869</v>
      </c>
      <c r="C17966" t="s">
        <v>713</v>
      </c>
      <c r="D17966" t="s">
        <v>714</v>
      </c>
      <c r="E17966" t="s">
        <v>715</v>
      </c>
      <c r="F17966" t="s">
        <v>54870</v>
      </c>
      <c r="G17966" s="2" t="str">
        <f>HYPERLINK("https://probpalata.gov.ru/files/ЮЛ770101216600767.jpeg","Скачать индивидуальный QR-код магазина")</f>
        <v>Скачать индивидуальный QR-код магазина</v>
      </c>
    </row>
    <row r="17967" spans="1:7" x14ac:dyDescent="0.25">
      <c r="A17967" t="s">
        <v>54551</v>
      </c>
      <c r="B17967" t="s">
        <v>54871</v>
      </c>
      <c r="C17967" t="s">
        <v>713</v>
      </c>
      <c r="D17967" t="s">
        <v>714</v>
      </c>
      <c r="E17967" t="s">
        <v>715</v>
      </c>
      <c r="F17967" t="s">
        <v>54872</v>
      </c>
      <c r="G17967" s="2" t="str">
        <f>HYPERLINK("https://probpalata.gov.ru/files/ЮЛ770101216600792.jpeg","Скачать индивидуальный QR-код магазина")</f>
        <v>Скачать индивидуальный QR-код магазина</v>
      </c>
    </row>
    <row r="17968" spans="1:7" x14ac:dyDescent="0.25">
      <c r="A17968" t="s">
        <v>54551</v>
      </c>
      <c r="B17968" t="s">
        <v>54873</v>
      </c>
      <c r="C17968" t="s">
        <v>713</v>
      </c>
      <c r="D17968" t="s">
        <v>714</v>
      </c>
      <c r="E17968" t="s">
        <v>715</v>
      </c>
      <c r="F17968" t="s">
        <v>54874</v>
      </c>
      <c r="G17968" s="2" t="str">
        <f>HYPERLINK("https://probpalata.gov.ru/files/ЮЛ770101216600797.jpeg","Скачать индивидуальный QR-код магазина")</f>
        <v>Скачать индивидуальный QR-код магазина</v>
      </c>
    </row>
    <row r="17969" spans="1:7" x14ac:dyDescent="0.25">
      <c r="A17969" t="s">
        <v>54551</v>
      </c>
      <c r="B17969" t="s">
        <v>54875</v>
      </c>
      <c r="C17969" t="s">
        <v>713</v>
      </c>
      <c r="D17969" t="s">
        <v>714</v>
      </c>
      <c r="E17969" t="s">
        <v>715</v>
      </c>
      <c r="F17969" t="s">
        <v>54876</v>
      </c>
      <c r="G17969" s="2" t="str">
        <f>HYPERLINK("https://probpalata.gov.ru/files/ЮЛ770101216600844.jpeg","Скачать индивидуальный QR-код магазина")</f>
        <v>Скачать индивидуальный QR-код магазина</v>
      </c>
    </row>
    <row r="17970" spans="1:7" x14ac:dyDescent="0.25">
      <c r="A17970" t="s">
        <v>54551</v>
      </c>
      <c r="B17970" t="s">
        <v>54877</v>
      </c>
      <c r="C17970" t="s">
        <v>713</v>
      </c>
      <c r="D17970" t="s">
        <v>714</v>
      </c>
      <c r="E17970" t="s">
        <v>715</v>
      </c>
      <c r="F17970" t="s">
        <v>54878</v>
      </c>
      <c r="G17970" s="2" t="str">
        <f>HYPERLINK("https://probpalata.gov.ru/files/ЮЛ770101216600872.jpeg","Скачать индивидуальный QR-код магазина")</f>
        <v>Скачать индивидуальный QR-код магазина</v>
      </c>
    </row>
    <row r="17971" spans="1:7" x14ac:dyDescent="0.25">
      <c r="A17971" t="s">
        <v>54551</v>
      </c>
      <c r="B17971" t="s">
        <v>54879</v>
      </c>
      <c r="C17971" t="s">
        <v>1416</v>
      </c>
      <c r="D17971" t="s">
        <v>1417</v>
      </c>
      <c r="E17971" t="s">
        <v>1418</v>
      </c>
      <c r="F17971" t="s">
        <v>54880</v>
      </c>
      <c r="G17971" s="2" t="str">
        <f>HYPERLINK("https://probpalata.gov.ru/files/ЮЛ770100419400109.jpeg","Скачать индивидуальный QR-код магазина")</f>
        <v>Скачать индивидуальный QR-код магазина</v>
      </c>
    </row>
    <row r="17972" spans="1:7" x14ac:dyDescent="0.25">
      <c r="A17972" t="s">
        <v>54551</v>
      </c>
      <c r="B17972" t="s">
        <v>54881</v>
      </c>
      <c r="C17972" t="s">
        <v>1416</v>
      </c>
      <c r="D17972" t="s">
        <v>1417</v>
      </c>
      <c r="E17972" t="s">
        <v>1418</v>
      </c>
      <c r="F17972" t="s">
        <v>54882</v>
      </c>
      <c r="G17972" s="2" t="str">
        <f>HYPERLINK("https://probpalata.gov.ru/files/ЮЛ770100419400234.jpeg","Скачать индивидуальный QR-код магазина")</f>
        <v>Скачать индивидуальный QR-код магазина</v>
      </c>
    </row>
    <row r="17973" spans="1:7" x14ac:dyDescent="0.25">
      <c r="A17973" t="s">
        <v>54551</v>
      </c>
      <c r="B17973" t="s">
        <v>54883</v>
      </c>
      <c r="C17973" t="s">
        <v>748</v>
      </c>
      <c r="D17973" t="s">
        <v>749</v>
      </c>
      <c r="E17973" t="s">
        <v>750</v>
      </c>
      <c r="F17973" t="s">
        <v>54884</v>
      </c>
      <c r="G17973" s="2" t="str">
        <f>HYPERLINK("https://probpalata.gov.ru/files/ЮЛ770100193500027.jpeg","Скачать индивидуальный QR-код магазина")</f>
        <v>Скачать индивидуальный QR-код магазина</v>
      </c>
    </row>
    <row r="17974" spans="1:7" x14ac:dyDescent="0.25">
      <c r="A17974" t="s">
        <v>54551</v>
      </c>
      <c r="B17974" t="s">
        <v>54885</v>
      </c>
      <c r="C17974" t="s">
        <v>748</v>
      </c>
      <c r="D17974" t="s">
        <v>749</v>
      </c>
      <c r="E17974" t="s">
        <v>750</v>
      </c>
      <c r="F17974" t="s">
        <v>54886</v>
      </c>
      <c r="G17974" s="2" t="str">
        <f>HYPERLINK("https://probpalata.gov.ru/files/ЮЛ770100193500029.jpeg","Скачать индивидуальный QR-код магазина")</f>
        <v>Скачать индивидуальный QR-код магазина</v>
      </c>
    </row>
    <row r="17975" spans="1:7" x14ac:dyDescent="0.25">
      <c r="A17975" t="s">
        <v>54551</v>
      </c>
      <c r="B17975" t="s">
        <v>54887</v>
      </c>
      <c r="C17975" t="s">
        <v>748</v>
      </c>
      <c r="D17975" t="s">
        <v>749</v>
      </c>
      <c r="E17975" t="s">
        <v>750</v>
      </c>
      <c r="F17975" t="s">
        <v>54888</v>
      </c>
      <c r="G17975" s="2" t="str">
        <f>HYPERLINK("https://probpalata.gov.ru/files/ЮЛ770100193500030.jpeg","Скачать индивидуальный QR-код магазина")</f>
        <v>Скачать индивидуальный QR-код магазина</v>
      </c>
    </row>
    <row r="17976" spans="1:7" x14ac:dyDescent="0.25">
      <c r="A17976" t="s">
        <v>54551</v>
      </c>
      <c r="B17976" t="s">
        <v>54889</v>
      </c>
      <c r="C17976" t="s">
        <v>748</v>
      </c>
      <c r="D17976" t="s">
        <v>749</v>
      </c>
      <c r="E17976" t="s">
        <v>750</v>
      </c>
      <c r="F17976" t="s">
        <v>54890</v>
      </c>
      <c r="G17976" s="2" t="str">
        <f>HYPERLINK("https://probpalata.gov.ru/files/ЮЛ770100193500697.jpeg","Скачать индивидуальный QR-код магазина")</f>
        <v>Скачать индивидуальный QR-код магазина</v>
      </c>
    </row>
    <row r="17977" spans="1:7" x14ac:dyDescent="0.25">
      <c r="A17977" t="s">
        <v>54551</v>
      </c>
      <c r="B17977" t="s">
        <v>54891</v>
      </c>
      <c r="C17977" t="s">
        <v>748</v>
      </c>
      <c r="D17977" t="s">
        <v>749</v>
      </c>
      <c r="E17977" t="s">
        <v>750</v>
      </c>
      <c r="F17977" t="s">
        <v>54892</v>
      </c>
      <c r="G17977" s="2" t="str">
        <f>HYPERLINK("https://probpalata.gov.ru/files/ЮЛ770100193500769.jpeg","Скачать индивидуальный QR-код магазина")</f>
        <v>Скачать индивидуальный QR-код магазина</v>
      </c>
    </row>
    <row r="17978" spans="1:7" x14ac:dyDescent="0.25">
      <c r="A17978" t="s">
        <v>54551</v>
      </c>
      <c r="B17978" t="s">
        <v>54893</v>
      </c>
      <c r="C17978" t="s">
        <v>748</v>
      </c>
      <c r="D17978" t="s">
        <v>749</v>
      </c>
      <c r="E17978" t="s">
        <v>750</v>
      </c>
      <c r="F17978" t="s">
        <v>54894</v>
      </c>
      <c r="G17978" s="2" t="str">
        <f>HYPERLINK("https://probpalata.gov.ru/files/ЮЛ770100193500787.jpeg","Скачать индивидуальный QR-код магазина")</f>
        <v>Скачать индивидуальный QR-код магазина</v>
      </c>
    </row>
    <row r="17979" spans="1:7" x14ac:dyDescent="0.25">
      <c r="A17979" t="s">
        <v>54551</v>
      </c>
      <c r="B17979" t="s">
        <v>54895</v>
      </c>
      <c r="C17979" t="s">
        <v>748</v>
      </c>
      <c r="D17979" t="s">
        <v>749</v>
      </c>
      <c r="E17979" t="s">
        <v>750</v>
      </c>
      <c r="F17979" t="s">
        <v>54896</v>
      </c>
      <c r="G17979" s="2" t="str">
        <f>HYPERLINK("https://probpalata.gov.ru/files/ЮЛ770100193500841.jpeg","Скачать индивидуальный QR-код магазина")</f>
        <v>Скачать индивидуальный QR-код магазина</v>
      </c>
    </row>
    <row r="17980" spans="1:7" x14ac:dyDescent="0.25">
      <c r="A17980" t="s">
        <v>54551</v>
      </c>
      <c r="B17980" t="s">
        <v>54897</v>
      </c>
      <c r="C17980" t="s">
        <v>16834</v>
      </c>
      <c r="D17980" t="s">
        <v>16835</v>
      </c>
      <c r="E17980" t="s">
        <v>16836</v>
      </c>
      <c r="F17980" t="s">
        <v>54898</v>
      </c>
      <c r="G17980" s="2" t="str">
        <f>HYPERLINK("https://probpalata.gov.ru/files/ИП780300136300014.jpeg","Скачать индивидуальный QR-код магазина")</f>
        <v>Скачать индивидуальный QR-код магазина</v>
      </c>
    </row>
    <row r="17981" spans="1:7" x14ac:dyDescent="0.25">
      <c r="A17981" t="s">
        <v>54551</v>
      </c>
      <c r="B17981" t="s">
        <v>54899</v>
      </c>
      <c r="C17981" t="s">
        <v>773</v>
      </c>
      <c r="D17981" t="s">
        <v>774</v>
      </c>
      <c r="E17981" t="s">
        <v>775</v>
      </c>
      <c r="F17981" t="s">
        <v>54900</v>
      </c>
      <c r="G17981" s="2" t="str">
        <f>HYPERLINK("https://probpalata.gov.ru/files/ЮЛ780300131300142.jpeg","Скачать индивидуальный QR-код магазина")</f>
        <v>Скачать индивидуальный QR-код магазина</v>
      </c>
    </row>
    <row r="17982" spans="1:7" x14ac:dyDescent="0.25">
      <c r="A17982" t="s">
        <v>54551</v>
      </c>
      <c r="B17982" t="s">
        <v>54901</v>
      </c>
      <c r="C17982" t="s">
        <v>773</v>
      </c>
      <c r="D17982" t="s">
        <v>774</v>
      </c>
      <c r="E17982" t="s">
        <v>775</v>
      </c>
      <c r="F17982" t="s">
        <v>54902</v>
      </c>
      <c r="G17982" s="2" t="str">
        <f>HYPERLINK("https://probpalata.gov.ru/files/ЮЛ780300131300143.jpeg","Скачать индивидуальный QR-код магазина")</f>
        <v>Скачать индивидуальный QR-код магазина</v>
      </c>
    </row>
    <row r="17983" spans="1:7" x14ac:dyDescent="0.25">
      <c r="A17983" t="s">
        <v>54551</v>
      </c>
      <c r="B17983" t="s">
        <v>54903</v>
      </c>
      <c r="C17983" t="s">
        <v>773</v>
      </c>
      <c r="D17983" t="s">
        <v>774</v>
      </c>
      <c r="E17983" t="s">
        <v>775</v>
      </c>
      <c r="F17983" t="s">
        <v>54904</v>
      </c>
      <c r="G17983" s="2" t="str">
        <f>HYPERLINK("https://probpalata.gov.ru/files/ЮЛ780300131300144.jpeg","Скачать индивидуальный QR-код магазина")</f>
        <v>Скачать индивидуальный QR-код магазина</v>
      </c>
    </row>
    <row r="17984" spans="1:7" x14ac:dyDescent="0.25">
      <c r="A17984" t="s">
        <v>54551</v>
      </c>
      <c r="B17984" t="s">
        <v>54905</v>
      </c>
      <c r="C17984" t="s">
        <v>773</v>
      </c>
      <c r="D17984" t="s">
        <v>774</v>
      </c>
      <c r="E17984" t="s">
        <v>775</v>
      </c>
      <c r="F17984" t="s">
        <v>54906</v>
      </c>
      <c r="G17984" s="2" t="str">
        <f>HYPERLINK("https://probpalata.gov.ru/files/ЮЛ780300131300145.jpeg","Скачать индивидуальный QR-код магазина")</f>
        <v>Скачать индивидуальный QR-код магазина</v>
      </c>
    </row>
    <row r="17985" spans="1:7" x14ac:dyDescent="0.25">
      <c r="A17985" t="s">
        <v>54551</v>
      </c>
      <c r="B17985" t="s">
        <v>54907</v>
      </c>
      <c r="C17985" t="s">
        <v>773</v>
      </c>
      <c r="D17985" t="s">
        <v>774</v>
      </c>
      <c r="E17985" t="s">
        <v>775</v>
      </c>
      <c r="F17985" t="s">
        <v>54908</v>
      </c>
      <c r="G17985" s="2" t="str">
        <f>HYPERLINK("https://probpalata.gov.ru/files/ЮЛ780300131300277.jpeg","Скачать индивидуальный QR-код магазина")</f>
        <v>Скачать индивидуальный QR-код магазина</v>
      </c>
    </row>
    <row r="17986" spans="1:7" x14ac:dyDescent="0.25">
      <c r="A17986" t="s">
        <v>54551</v>
      </c>
      <c r="B17986" t="s">
        <v>54909</v>
      </c>
      <c r="C17986" t="s">
        <v>773</v>
      </c>
      <c r="D17986" t="s">
        <v>774</v>
      </c>
      <c r="E17986" t="s">
        <v>775</v>
      </c>
      <c r="F17986" t="s">
        <v>54910</v>
      </c>
      <c r="G17986" s="2" t="str">
        <f>HYPERLINK("https://probpalata.gov.ru/files/ЮЛ780300131300615.jpeg","Скачать индивидуальный QR-код магазина")</f>
        <v>Скачать индивидуальный QR-код магазина</v>
      </c>
    </row>
    <row r="17987" spans="1:7" x14ac:dyDescent="0.25">
      <c r="A17987" t="s">
        <v>54551</v>
      </c>
      <c r="B17987" t="s">
        <v>54911</v>
      </c>
      <c r="C17987" t="s">
        <v>4077</v>
      </c>
      <c r="D17987" t="s">
        <v>4078</v>
      </c>
      <c r="E17987" t="s">
        <v>4079</v>
      </c>
      <c r="F17987" t="s">
        <v>54912</v>
      </c>
      <c r="G17987" s="2" t="str">
        <f>HYPERLINK("https://probpalata.gov.ru/files/ЮЛ780300331800069.jpeg","Скачать индивидуальный QR-код магазина")</f>
        <v>Скачать индивидуальный QR-код магазина</v>
      </c>
    </row>
    <row r="17988" spans="1:7" x14ac:dyDescent="0.25">
      <c r="A17988" t="s">
        <v>54551</v>
      </c>
      <c r="B17988" t="s">
        <v>54887</v>
      </c>
      <c r="C17988" t="s">
        <v>798</v>
      </c>
      <c r="D17988" t="s">
        <v>799</v>
      </c>
      <c r="E17988" t="s">
        <v>800</v>
      </c>
      <c r="F17988" t="s">
        <v>54913</v>
      </c>
      <c r="G17988" s="2" t="str">
        <f>HYPERLINK("https://probpalata.gov.ru/files/ЮЛ780300308200239.jpeg","Скачать индивидуальный QR-код магазина")</f>
        <v>Скачать индивидуальный QR-код магазина</v>
      </c>
    </row>
    <row r="17989" spans="1:7" x14ac:dyDescent="0.25">
      <c r="A17989" t="s">
        <v>54551</v>
      </c>
      <c r="B17989" t="s">
        <v>54914</v>
      </c>
      <c r="C17989" t="s">
        <v>798</v>
      </c>
      <c r="D17989" t="s">
        <v>799</v>
      </c>
      <c r="E17989" t="s">
        <v>800</v>
      </c>
      <c r="F17989" t="s">
        <v>54915</v>
      </c>
      <c r="G17989" s="2" t="str">
        <f>HYPERLINK("https://probpalata.gov.ru/files/ЮЛ780300308200241.jpeg","Скачать индивидуальный QR-код магазина")</f>
        <v>Скачать индивидуальный QR-код магазина</v>
      </c>
    </row>
    <row r="17990" spans="1:7" x14ac:dyDescent="0.25">
      <c r="A17990" t="s">
        <v>54551</v>
      </c>
      <c r="B17990" t="s">
        <v>54916</v>
      </c>
      <c r="C17990" t="s">
        <v>798</v>
      </c>
      <c r="D17990" t="s">
        <v>799</v>
      </c>
      <c r="E17990" t="s">
        <v>800</v>
      </c>
      <c r="F17990" t="s">
        <v>54917</v>
      </c>
      <c r="G17990" s="2" t="str">
        <f>HYPERLINK("https://probpalata.gov.ru/files/ЮЛ780300308200311.jpeg","Скачать индивидуальный QR-код магазина")</f>
        <v>Скачать индивидуальный QR-код магазина</v>
      </c>
    </row>
    <row r="17991" spans="1:7" x14ac:dyDescent="0.25">
      <c r="A17991" t="s">
        <v>54551</v>
      </c>
      <c r="B17991" t="s">
        <v>54918</v>
      </c>
      <c r="C17991" t="s">
        <v>798</v>
      </c>
      <c r="D17991" t="s">
        <v>799</v>
      </c>
      <c r="E17991" t="s">
        <v>800</v>
      </c>
      <c r="F17991" t="s">
        <v>54919</v>
      </c>
      <c r="G17991" s="2" t="str">
        <f>HYPERLINK("https://probpalata.gov.ru/files/ЮЛ780300308200473.jpeg","Скачать индивидуальный QR-код магазина")</f>
        <v>Скачать индивидуальный QR-код магазина</v>
      </c>
    </row>
    <row r="17992" spans="1:7" x14ac:dyDescent="0.25">
      <c r="A17992" t="s">
        <v>54551</v>
      </c>
      <c r="B17992" t="s">
        <v>54920</v>
      </c>
      <c r="C17992" t="s">
        <v>798</v>
      </c>
      <c r="D17992" t="s">
        <v>799</v>
      </c>
      <c r="E17992" t="s">
        <v>800</v>
      </c>
      <c r="F17992" t="s">
        <v>54921</v>
      </c>
      <c r="G17992" s="2" t="str">
        <f>HYPERLINK("https://probpalata.gov.ru/files/ЮЛ780300308200628.jpeg","Скачать индивидуальный QR-код магазина")</f>
        <v>Скачать индивидуальный QR-код магазина</v>
      </c>
    </row>
    <row r="17993" spans="1:7" x14ac:dyDescent="0.25">
      <c r="A17993" t="s">
        <v>54551</v>
      </c>
      <c r="B17993" t="s">
        <v>54922</v>
      </c>
      <c r="C17993" t="s">
        <v>798</v>
      </c>
      <c r="D17993" t="s">
        <v>799</v>
      </c>
      <c r="E17993" t="s">
        <v>800</v>
      </c>
      <c r="F17993" t="s">
        <v>54923</v>
      </c>
      <c r="G17993" s="2" t="str">
        <f>HYPERLINK("https://probpalata.gov.ru/files/ЮЛ780300308200975.jpeg","Скачать индивидуальный QR-код магазина")</f>
        <v>Скачать индивидуальный QR-код магазина</v>
      </c>
    </row>
    <row r="17994" spans="1:7" x14ac:dyDescent="0.25">
      <c r="A17994" t="s">
        <v>54551</v>
      </c>
      <c r="B17994" t="s">
        <v>54924</v>
      </c>
      <c r="C17994" t="s">
        <v>798</v>
      </c>
      <c r="D17994" t="s">
        <v>799</v>
      </c>
      <c r="E17994" t="s">
        <v>800</v>
      </c>
      <c r="F17994" t="s">
        <v>54925</v>
      </c>
      <c r="G17994" s="2" t="str">
        <f>HYPERLINK("https://probpalata.gov.ru/files/ЮЛ780300308201045.jpeg","Скачать индивидуальный QR-код магазина")</f>
        <v>Скачать индивидуальный QR-код магазина</v>
      </c>
    </row>
    <row r="17995" spans="1:7" x14ac:dyDescent="0.25">
      <c r="A17995" t="s">
        <v>54551</v>
      </c>
      <c r="B17995" t="s">
        <v>54926</v>
      </c>
      <c r="C17995" t="s">
        <v>798</v>
      </c>
      <c r="D17995" t="s">
        <v>799</v>
      </c>
      <c r="E17995" t="s">
        <v>800</v>
      </c>
      <c r="F17995" t="s">
        <v>54927</v>
      </c>
      <c r="G17995" s="2" t="str">
        <f>HYPERLINK("https://probpalata.gov.ru/files/ЮЛ780300308201056.jpeg","Скачать индивидуальный QR-код магазина")</f>
        <v>Скачать индивидуальный QR-код магазина</v>
      </c>
    </row>
    <row r="17996" spans="1:7" x14ac:dyDescent="0.25">
      <c r="A17996" t="s">
        <v>54551</v>
      </c>
      <c r="B17996" t="s">
        <v>54928</v>
      </c>
      <c r="C17996" t="s">
        <v>798</v>
      </c>
      <c r="D17996" t="s">
        <v>799</v>
      </c>
      <c r="E17996" t="s">
        <v>800</v>
      </c>
      <c r="F17996" t="s">
        <v>54929</v>
      </c>
      <c r="G17996" s="2" t="str">
        <f>HYPERLINK("https://probpalata.gov.ru/files/ЮЛ780300308201077.jpeg","Скачать индивидуальный QR-код магазина")</f>
        <v>Скачать индивидуальный QR-код магазина</v>
      </c>
    </row>
    <row r="17997" spans="1:7" x14ac:dyDescent="0.25">
      <c r="A17997" t="s">
        <v>54551</v>
      </c>
      <c r="B17997" t="s">
        <v>54930</v>
      </c>
      <c r="C17997" t="s">
        <v>1490</v>
      </c>
      <c r="D17997" t="s">
        <v>1491</v>
      </c>
      <c r="E17997" t="s">
        <v>1492</v>
      </c>
      <c r="F17997" t="s">
        <v>54931</v>
      </c>
      <c r="G17997" s="2" t="str">
        <f>HYPERLINK("https://probpalata.gov.ru/files/ЮЛ780301261200050.jpeg","Скачать индивидуальный QR-код магазина")</f>
        <v>Скачать индивидуальный QR-код магазина</v>
      </c>
    </row>
    <row r="17998" spans="1:7" x14ac:dyDescent="0.25">
      <c r="A17998" t="s">
        <v>54932</v>
      </c>
      <c r="B17998" t="s">
        <v>54933</v>
      </c>
      <c r="C17998" t="s">
        <v>2171</v>
      </c>
      <c r="D17998" t="s">
        <v>2172</v>
      </c>
      <c r="E17998" t="s">
        <v>2173</v>
      </c>
      <c r="F17998" t="s">
        <v>54934</v>
      </c>
      <c r="G17998" s="2" t="str">
        <f>HYPERLINK("https://probpalata.gov.ru/files/ЮЛ500100602500042.jpeg","Скачать индивидуальный QR-код магазина")</f>
        <v>Скачать индивидуальный QR-код магазина</v>
      </c>
    </row>
    <row r="17999" spans="1:7" x14ac:dyDescent="0.25">
      <c r="A17999" t="s">
        <v>54932</v>
      </c>
      <c r="B17999" t="s">
        <v>54935</v>
      </c>
      <c r="C17999" t="s">
        <v>4559</v>
      </c>
      <c r="D17999" t="s">
        <v>4560</v>
      </c>
      <c r="E17999" t="s">
        <v>4561</v>
      </c>
      <c r="F17999" t="s">
        <v>54936</v>
      </c>
      <c r="G17999" s="2" t="str">
        <f>HYPERLINK("https://probpalata.gov.ru/files/ИП440200822300010.jpeg","Скачать индивидуальный QR-код магазина")</f>
        <v>Скачать индивидуальный QR-код магазина</v>
      </c>
    </row>
    <row r="18000" spans="1:7" x14ac:dyDescent="0.25">
      <c r="A18000" t="s">
        <v>54932</v>
      </c>
      <c r="B18000" t="s">
        <v>54937</v>
      </c>
      <c r="C18000" t="s">
        <v>4575</v>
      </c>
      <c r="D18000" t="s">
        <v>4576</v>
      </c>
      <c r="E18000" t="s">
        <v>4577</v>
      </c>
      <c r="F18000" t="s">
        <v>54938</v>
      </c>
      <c r="G18000" s="2" t="str">
        <f>HYPERLINK("https://probpalata.gov.ru/files/ИП350300414400006.jpeg","Скачать индивидуальный QR-код магазина")</f>
        <v>Скачать индивидуальный QR-код магазина</v>
      </c>
    </row>
    <row r="18001" spans="1:7" x14ac:dyDescent="0.25">
      <c r="A18001" t="s">
        <v>54932</v>
      </c>
      <c r="B18001" t="s">
        <v>54939</v>
      </c>
      <c r="C18001" t="s">
        <v>4575</v>
      </c>
      <c r="D18001" t="s">
        <v>4576</v>
      </c>
      <c r="E18001" t="s">
        <v>4577</v>
      </c>
      <c r="F18001" t="s">
        <v>54940</v>
      </c>
      <c r="G18001" s="2" t="str">
        <f>HYPERLINK("https://probpalata.gov.ru/files/ИП350300414400019.jpeg","Скачать индивидуальный QR-код магазина")</f>
        <v>Скачать индивидуальный QR-код магазина</v>
      </c>
    </row>
    <row r="18002" spans="1:7" x14ac:dyDescent="0.25">
      <c r="A18002" t="s">
        <v>54932</v>
      </c>
      <c r="B18002" t="s">
        <v>54941</v>
      </c>
      <c r="C18002" t="s">
        <v>4575</v>
      </c>
      <c r="D18002" t="s">
        <v>4576</v>
      </c>
      <c r="E18002" t="s">
        <v>4577</v>
      </c>
      <c r="F18002" t="s">
        <v>54942</v>
      </c>
      <c r="G18002" s="2" t="str">
        <f>HYPERLINK("https://probpalata.gov.ru/files/ИП350300414400020.jpeg","Скачать индивидуальный QR-код магазина")</f>
        <v>Скачать индивидуальный QR-код магазина</v>
      </c>
    </row>
    <row r="18003" spans="1:7" x14ac:dyDescent="0.25">
      <c r="A18003" t="s">
        <v>54932</v>
      </c>
      <c r="B18003" t="s">
        <v>54943</v>
      </c>
      <c r="C18003" t="s">
        <v>4575</v>
      </c>
      <c r="D18003" t="s">
        <v>4576</v>
      </c>
      <c r="E18003" t="s">
        <v>4577</v>
      </c>
      <c r="F18003" t="s">
        <v>54944</v>
      </c>
      <c r="G18003" s="2" t="str">
        <f>HYPERLINK("https://probpalata.gov.ru/files/ИП350300414400021.jpeg","Скачать индивидуальный QR-код магазина")</f>
        <v>Скачать индивидуальный QR-код магазина</v>
      </c>
    </row>
    <row r="18004" spans="1:7" x14ac:dyDescent="0.25">
      <c r="A18004" t="s">
        <v>54932</v>
      </c>
      <c r="B18004" t="s">
        <v>54945</v>
      </c>
      <c r="C18004" t="s">
        <v>54946</v>
      </c>
      <c r="D18004" t="s">
        <v>54947</v>
      </c>
      <c r="E18004" t="s">
        <v>54948</v>
      </c>
      <c r="F18004" t="s">
        <v>54949</v>
      </c>
      <c r="G18004" s="2" t="str">
        <f>HYPERLINK("https://probpalata.gov.ru/files/ИП500101068200000.jpeg","Скачать индивидуальный QR-код магазина")</f>
        <v>Скачать индивидуальный QR-код магазина</v>
      </c>
    </row>
    <row r="18005" spans="1:7" x14ac:dyDescent="0.25">
      <c r="A18005" t="s">
        <v>54932</v>
      </c>
      <c r="B18005" t="s">
        <v>54950</v>
      </c>
      <c r="C18005" t="s">
        <v>671</v>
      </c>
      <c r="D18005" t="s">
        <v>672</v>
      </c>
      <c r="E18005" t="s">
        <v>673</v>
      </c>
      <c r="F18005" t="s">
        <v>54951</v>
      </c>
      <c r="G18005" s="2" t="str">
        <f>HYPERLINK("https://probpalata.gov.ru/files/ИП500100445500023.jpeg","Скачать индивидуальный QR-код магазина")</f>
        <v>Скачать индивидуальный QR-код магазина</v>
      </c>
    </row>
    <row r="18006" spans="1:7" x14ac:dyDescent="0.25">
      <c r="A18006" t="s">
        <v>54932</v>
      </c>
      <c r="B18006" t="s">
        <v>54952</v>
      </c>
      <c r="C18006" t="s">
        <v>671</v>
      </c>
      <c r="D18006" t="s">
        <v>672</v>
      </c>
      <c r="E18006" t="s">
        <v>673</v>
      </c>
      <c r="F18006" t="s">
        <v>54953</v>
      </c>
      <c r="G18006" s="2" t="str">
        <f>HYPERLINK("https://probpalata.gov.ru/files/ИП500100445500085.jpeg","Скачать индивидуальный QR-код магазина")</f>
        <v>Скачать индивидуальный QR-код магазина</v>
      </c>
    </row>
    <row r="18007" spans="1:7" x14ac:dyDescent="0.25">
      <c r="A18007" t="s">
        <v>54932</v>
      </c>
      <c r="B18007" t="s">
        <v>54954</v>
      </c>
      <c r="C18007" t="s">
        <v>54955</v>
      </c>
      <c r="D18007" t="s">
        <v>54956</v>
      </c>
      <c r="E18007" t="s">
        <v>54957</v>
      </c>
      <c r="F18007" t="s">
        <v>54958</v>
      </c>
      <c r="G18007" s="2" t="str">
        <f>HYPERLINK("https://probpalata.gov.ru/files/ИП500103706500000.jpeg","Скачать индивидуальный QR-код магазина")</f>
        <v>Скачать индивидуальный QR-код магазина</v>
      </c>
    </row>
    <row r="18008" spans="1:7" x14ac:dyDescent="0.25">
      <c r="A18008" t="s">
        <v>54932</v>
      </c>
      <c r="B18008" t="s">
        <v>54959</v>
      </c>
      <c r="C18008" t="s">
        <v>1735</v>
      </c>
      <c r="D18008" t="s">
        <v>1736</v>
      </c>
      <c r="E18008" t="s">
        <v>1737</v>
      </c>
      <c r="F18008" t="s">
        <v>54960</v>
      </c>
      <c r="G18008" s="2" t="str">
        <f>HYPERLINK("https://probpalata.gov.ru/files/ЮЛ520603376600067.jpeg","Скачать индивидуальный QR-код магазина")</f>
        <v>Скачать индивидуальный QR-код магазина</v>
      </c>
    </row>
    <row r="18009" spans="1:7" x14ac:dyDescent="0.25">
      <c r="A18009" t="s">
        <v>54932</v>
      </c>
      <c r="B18009" t="s">
        <v>54961</v>
      </c>
      <c r="C18009" t="s">
        <v>703</v>
      </c>
      <c r="D18009" t="s">
        <v>704</v>
      </c>
      <c r="E18009" t="s">
        <v>705</v>
      </c>
      <c r="F18009" t="s">
        <v>54962</v>
      </c>
      <c r="G18009" s="2" t="str">
        <f>HYPERLINK("https://probpalata.gov.ru/files/ИП610400426600007.jpeg","Скачать индивидуальный QR-код магазина")</f>
        <v>Скачать индивидуальный QR-код магазина</v>
      </c>
    </row>
    <row r="18010" spans="1:7" x14ac:dyDescent="0.25">
      <c r="A18010" t="s">
        <v>54932</v>
      </c>
      <c r="B18010" t="s">
        <v>54963</v>
      </c>
      <c r="C18010" t="s">
        <v>54964</v>
      </c>
      <c r="D18010" t="s">
        <v>54965</v>
      </c>
      <c r="E18010" t="s">
        <v>54966</v>
      </c>
      <c r="F18010" t="s">
        <v>54967</v>
      </c>
      <c r="G18010" s="2" t="str">
        <f>HYPERLINK("https://probpalata.gov.ru/files/ИП710101709400000.jpeg","Скачать индивидуальный QR-код магазина")</f>
        <v>Скачать индивидуальный QR-код магазина</v>
      </c>
    </row>
    <row r="18011" spans="1:7" x14ac:dyDescent="0.25">
      <c r="A18011" t="s">
        <v>54932</v>
      </c>
      <c r="B18011" t="s">
        <v>54968</v>
      </c>
      <c r="C18011" t="s">
        <v>54969</v>
      </c>
      <c r="D18011" t="s">
        <v>54970</v>
      </c>
      <c r="E18011" t="s">
        <v>54971</v>
      </c>
      <c r="F18011" t="s">
        <v>54972</v>
      </c>
      <c r="G18011" s="2" t="str">
        <f>HYPERLINK("https://probpalata.gov.ru/files/ИП710100642900000.jpeg","Скачать индивидуальный QR-код магазина")</f>
        <v>Скачать индивидуальный QR-код магазина</v>
      </c>
    </row>
    <row r="18012" spans="1:7" x14ac:dyDescent="0.25">
      <c r="A18012" t="s">
        <v>54932</v>
      </c>
      <c r="B18012" t="s">
        <v>54973</v>
      </c>
      <c r="C18012" t="s">
        <v>54969</v>
      </c>
      <c r="D18012" t="s">
        <v>54970</v>
      </c>
      <c r="E18012" t="s">
        <v>54971</v>
      </c>
      <c r="F18012" t="s">
        <v>54974</v>
      </c>
      <c r="G18012" s="2" t="str">
        <f>HYPERLINK("https://probpalata.gov.ru/files/ИП710100642900001.jpeg","Скачать индивидуальный QR-код магазина")</f>
        <v>Скачать индивидуальный QR-код магазина</v>
      </c>
    </row>
    <row r="18013" spans="1:7" x14ac:dyDescent="0.25">
      <c r="A18013" t="s">
        <v>54932</v>
      </c>
      <c r="B18013" t="s">
        <v>54975</v>
      </c>
      <c r="C18013" t="s">
        <v>54969</v>
      </c>
      <c r="D18013" t="s">
        <v>54970</v>
      </c>
      <c r="E18013" t="s">
        <v>54971</v>
      </c>
      <c r="F18013" t="s">
        <v>54976</v>
      </c>
      <c r="G18013" s="2" t="str">
        <f>HYPERLINK("https://probpalata.gov.ru/files/ИП710100642900002.jpeg","Скачать индивидуальный QR-код магазина")</f>
        <v>Скачать индивидуальный QR-код магазина</v>
      </c>
    </row>
    <row r="18014" spans="1:7" x14ac:dyDescent="0.25">
      <c r="A18014" t="s">
        <v>54932</v>
      </c>
      <c r="B18014" t="s">
        <v>54977</v>
      </c>
      <c r="C18014" t="s">
        <v>54969</v>
      </c>
      <c r="D18014" t="s">
        <v>54970</v>
      </c>
      <c r="E18014" t="s">
        <v>54971</v>
      </c>
      <c r="F18014" t="s">
        <v>54978</v>
      </c>
      <c r="G18014" s="2" t="str">
        <f>HYPERLINK("https://probpalata.gov.ru/files/ИП710100642900008.jpeg","Скачать индивидуальный QR-код магазина")</f>
        <v>Скачать индивидуальный QR-код магазина</v>
      </c>
    </row>
    <row r="18015" spans="1:7" x14ac:dyDescent="0.25">
      <c r="A18015" t="s">
        <v>54932</v>
      </c>
      <c r="B18015" t="s">
        <v>54979</v>
      </c>
      <c r="C18015" t="s">
        <v>54980</v>
      </c>
      <c r="D18015" t="s">
        <v>54981</v>
      </c>
      <c r="E18015" t="s">
        <v>54982</v>
      </c>
      <c r="F18015" t="s">
        <v>54983</v>
      </c>
      <c r="G18015" s="2" t="str">
        <f>HYPERLINK("https://probpalata.gov.ru/files/ЮЛ710103662700000.jpeg","Скачать индивидуальный QR-код магазина")</f>
        <v>Скачать индивидуальный QR-код магазина</v>
      </c>
    </row>
    <row r="18016" spans="1:7" x14ac:dyDescent="0.25">
      <c r="A18016" t="s">
        <v>54932</v>
      </c>
      <c r="B18016" t="s">
        <v>54984</v>
      </c>
      <c r="C18016" t="s">
        <v>54980</v>
      </c>
      <c r="D18016" t="s">
        <v>54981</v>
      </c>
      <c r="E18016" t="s">
        <v>54982</v>
      </c>
      <c r="F18016" t="s">
        <v>54985</v>
      </c>
      <c r="G18016" s="2" t="str">
        <f>HYPERLINK("https://probpalata.gov.ru/files/ЮЛ710103662700002.jpeg","Скачать индивидуальный QR-код магазина")</f>
        <v>Скачать индивидуальный QR-код магазина</v>
      </c>
    </row>
    <row r="18017" spans="1:7" x14ac:dyDescent="0.25">
      <c r="A18017" t="s">
        <v>54932</v>
      </c>
      <c r="B18017" t="s">
        <v>54986</v>
      </c>
      <c r="C18017" t="s">
        <v>54987</v>
      </c>
      <c r="D18017" t="s">
        <v>54988</v>
      </c>
      <c r="E18017" t="s">
        <v>54989</v>
      </c>
      <c r="F18017" t="s">
        <v>54990</v>
      </c>
      <c r="G18017" s="2" t="str">
        <f>HYPERLINK("https://probpalata.gov.ru/files/ИП710103334600000.jpeg","Скачать индивидуальный QR-код магазина")</f>
        <v>Скачать индивидуальный QR-код магазина</v>
      </c>
    </row>
    <row r="18018" spans="1:7" x14ac:dyDescent="0.25">
      <c r="A18018" t="s">
        <v>54932</v>
      </c>
      <c r="B18018" t="s">
        <v>54991</v>
      </c>
      <c r="C18018" t="s">
        <v>54992</v>
      </c>
      <c r="D18018" t="s">
        <v>54993</v>
      </c>
      <c r="E18018" t="s">
        <v>54994</v>
      </c>
      <c r="F18018" t="s">
        <v>54995</v>
      </c>
      <c r="G18018" s="2" t="str">
        <f>HYPERLINK("https://probpalata.gov.ru/files/ЮЛ710100694400000.jpeg","Скачать индивидуальный QR-код магазина")</f>
        <v>Скачать индивидуальный QR-код магазина</v>
      </c>
    </row>
    <row r="18019" spans="1:7" x14ac:dyDescent="0.25">
      <c r="A18019" t="s">
        <v>54932</v>
      </c>
      <c r="B18019" t="s">
        <v>54996</v>
      </c>
      <c r="C18019" t="s">
        <v>45378</v>
      </c>
      <c r="D18019" t="s">
        <v>54997</v>
      </c>
      <c r="E18019" t="s">
        <v>54998</v>
      </c>
      <c r="F18019" t="s">
        <v>54999</v>
      </c>
      <c r="G18019" s="2" t="str">
        <f>HYPERLINK("https://probpalata.gov.ru/files/ЮЛ710100198900000.jpeg","Скачать индивидуальный QR-код магазина")</f>
        <v>Скачать индивидуальный QR-код магазина</v>
      </c>
    </row>
    <row r="18020" spans="1:7" x14ac:dyDescent="0.25">
      <c r="A18020" t="s">
        <v>54932</v>
      </c>
      <c r="B18020" t="s">
        <v>55000</v>
      </c>
      <c r="C18020" t="s">
        <v>55001</v>
      </c>
      <c r="D18020" t="s">
        <v>55002</v>
      </c>
      <c r="E18020" t="s">
        <v>55003</v>
      </c>
      <c r="F18020" t="s">
        <v>55004</v>
      </c>
      <c r="G18020" s="2" t="str">
        <f>HYPERLINK("https://probpalata.gov.ru/files/ИП710100058600000.jpeg","Скачать индивидуальный QR-код магазина")</f>
        <v>Скачать индивидуальный QR-код магазина</v>
      </c>
    </row>
    <row r="18021" spans="1:7" x14ac:dyDescent="0.25">
      <c r="A18021" t="s">
        <v>54932</v>
      </c>
      <c r="B18021" t="s">
        <v>55005</v>
      </c>
      <c r="C18021" t="s">
        <v>2219</v>
      </c>
      <c r="D18021" t="s">
        <v>2220</v>
      </c>
      <c r="E18021" t="s">
        <v>2221</v>
      </c>
      <c r="F18021" t="s">
        <v>55006</v>
      </c>
      <c r="G18021" s="2" t="str">
        <f>HYPERLINK("https://probpalata.gov.ru/files/ИП710100775300006.jpeg","Скачать индивидуальный QR-код магазина")</f>
        <v>Скачать индивидуальный QR-код магазина</v>
      </c>
    </row>
    <row r="18022" spans="1:7" x14ac:dyDescent="0.25">
      <c r="A18022" t="s">
        <v>54932</v>
      </c>
      <c r="B18022" t="s">
        <v>55007</v>
      </c>
      <c r="C18022" t="s">
        <v>2219</v>
      </c>
      <c r="D18022" t="s">
        <v>2220</v>
      </c>
      <c r="E18022" t="s">
        <v>2221</v>
      </c>
      <c r="F18022" t="s">
        <v>55008</v>
      </c>
      <c r="G18022" s="2" t="str">
        <f>HYPERLINK("https://probpalata.gov.ru/files/ИП710100775300007.jpeg","Скачать индивидуальный QR-код магазина")</f>
        <v>Скачать индивидуальный QR-код магазина</v>
      </c>
    </row>
    <row r="18023" spans="1:7" x14ac:dyDescent="0.25">
      <c r="A18023" t="s">
        <v>54932</v>
      </c>
      <c r="B18023" t="s">
        <v>55009</v>
      </c>
      <c r="C18023" t="s">
        <v>5127</v>
      </c>
      <c r="D18023" t="s">
        <v>5128</v>
      </c>
      <c r="E18023" t="s">
        <v>5129</v>
      </c>
      <c r="F18023" t="s">
        <v>55010</v>
      </c>
      <c r="G18023" s="2" t="str">
        <f>HYPERLINK("https://probpalata.gov.ru/files/ИП000100637600000.jpeg","Скачать индивидуальный QR-код магазина")</f>
        <v>Скачать индивидуальный QR-код магазина</v>
      </c>
    </row>
    <row r="18024" spans="1:7" x14ac:dyDescent="0.25">
      <c r="A18024" t="s">
        <v>54932</v>
      </c>
      <c r="B18024" t="s">
        <v>55011</v>
      </c>
      <c r="C18024" t="s">
        <v>5127</v>
      </c>
      <c r="D18024" t="s">
        <v>5128</v>
      </c>
      <c r="E18024" t="s">
        <v>5129</v>
      </c>
      <c r="F18024" t="s">
        <v>55012</v>
      </c>
      <c r="G18024" s="2" t="str">
        <f>HYPERLINK("https://probpalata.gov.ru/files/ИП000100637600009.jpeg","Скачать индивидуальный QR-код магазина")</f>
        <v>Скачать индивидуальный QR-код магазина</v>
      </c>
    </row>
    <row r="18025" spans="1:7" x14ac:dyDescent="0.25">
      <c r="A18025" t="s">
        <v>54932</v>
      </c>
      <c r="B18025" t="s">
        <v>55013</v>
      </c>
      <c r="C18025" t="s">
        <v>5127</v>
      </c>
      <c r="D18025" t="s">
        <v>5128</v>
      </c>
      <c r="E18025" t="s">
        <v>5129</v>
      </c>
      <c r="F18025" t="s">
        <v>55014</v>
      </c>
      <c r="G18025" s="2" t="str">
        <f>HYPERLINK("https://probpalata.gov.ru/files/ИП000100637600010.jpeg","Скачать индивидуальный QR-код магазина")</f>
        <v>Скачать индивидуальный QR-код магазина</v>
      </c>
    </row>
    <row r="18026" spans="1:7" x14ac:dyDescent="0.25">
      <c r="A18026" t="s">
        <v>54932</v>
      </c>
      <c r="B18026" t="s">
        <v>55015</v>
      </c>
      <c r="C18026" t="s">
        <v>5127</v>
      </c>
      <c r="D18026" t="s">
        <v>5128</v>
      </c>
      <c r="E18026" t="s">
        <v>5129</v>
      </c>
      <c r="F18026" t="s">
        <v>55016</v>
      </c>
      <c r="G18026" s="2" t="str">
        <f>HYPERLINK("https://probpalata.gov.ru/files/ИП000100637600012.jpeg","Скачать индивидуальный QR-код магазина")</f>
        <v>Скачать индивидуальный QR-код магазина</v>
      </c>
    </row>
    <row r="18027" spans="1:7" x14ac:dyDescent="0.25">
      <c r="A18027" t="s">
        <v>54932</v>
      </c>
      <c r="B18027" t="s">
        <v>55017</v>
      </c>
      <c r="C18027" t="s">
        <v>55018</v>
      </c>
      <c r="D18027" t="s">
        <v>55019</v>
      </c>
      <c r="E18027" t="s">
        <v>55020</v>
      </c>
      <c r="F18027" t="s">
        <v>55021</v>
      </c>
      <c r="G18027" s="2" t="str">
        <f>HYPERLINK("https://probpalata.gov.ru/files/ИП710100942600000.jpeg","Скачать индивидуальный QR-код магазина")</f>
        <v>Скачать индивидуальный QR-код магазина</v>
      </c>
    </row>
    <row r="18028" spans="1:7" x14ac:dyDescent="0.25">
      <c r="A18028" t="s">
        <v>54932</v>
      </c>
      <c r="B18028" t="s">
        <v>55022</v>
      </c>
      <c r="C18028" t="s">
        <v>55023</v>
      </c>
      <c r="D18028" t="s">
        <v>55024</v>
      </c>
      <c r="E18028" t="s">
        <v>55025</v>
      </c>
      <c r="F18028" t="s">
        <v>55026</v>
      </c>
      <c r="G18028" s="2" t="str">
        <f>HYPERLINK("https://probpalata.gov.ru/files/ЮЛ710100456700001.jpeg","Скачать индивидуальный QR-код магазина")</f>
        <v>Скачать индивидуальный QR-код магазина</v>
      </c>
    </row>
    <row r="18029" spans="1:7" x14ac:dyDescent="0.25">
      <c r="A18029" t="s">
        <v>54932</v>
      </c>
      <c r="B18029" t="s">
        <v>55027</v>
      </c>
      <c r="C18029" t="s">
        <v>55023</v>
      </c>
      <c r="D18029" t="s">
        <v>55024</v>
      </c>
      <c r="E18029" t="s">
        <v>55025</v>
      </c>
      <c r="F18029" t="s">
        <v>55028</v>
      </c>
      <c r="G18029" s="2" t="str">
        <f>HYPERLINK("https://probpalata.gov.ru/files/ЮЛ710100456700003.jpeg","Скачать индивидуальный QR-код магазина")</f>
        <v>Скачать индивидуальный QR-код магазина</v>
      </c>
    </row>
    <row r="18030" spans="1:7" x14ac:dyDescent="0.25">
      <c r="A18030" t="s">
        <v>54932</v>
      </c>
      <c r="B18030" t="s">
        <v>55029</v>
      </c>
      <c r="C18030" t="s">
        <v>55023</v>
      </c>
      <c r="D18030" t="s">
        <v>55024</v>
      </c>
      <c r="E18030" t="s">
        <v>55025</v>
      </c>
      <c r="F18030" t="s">
        <v>55030</v>
      </c>
      <c r="G18030" s="2" t="str">
        <f>HYPERLINK("https://probpalata.gov.ru/files/ЮЛ710100456700004.jpeg","Скачать индивидуальный QR-код магазина")</f>
        <v>Скачать индивидуальный QR-код магазина</v>
      </c>
    </row>
    <row r="18031" spans="1:7" x14ac:dyDescent="0.25">
      <c r="A18031" t="s">
        <v>54932</v>
      </c>
      <c r="B18031" t="s">
        <v>55031</v>
      </c>
      <c r="C18031" t="s">
        <v>54030</v>
      </c>
      <c r="D18031" t="s">
        <v>55032</v>
      </c>
      <c r="E18031" t="s">
        <v>55033</v>
      </c>
      <c r="F18031" t="s">
        <v>55034</v>
      </c>
      <c r="G18031" s="2" t="str">
        <f>HYPERLINK("https://probpalata.gov.ru/files/ИП710100767200000.jpeg","Скачать индивидуальный QR-код магазина")</f>
        <v>Скачать индивидуальный QR-код магазина</v>
      </c>
    </row>
    <row r="18032" spans="1:7" x14ac:dyDescent="0.25">
      <c r="A18032" t="s">
        <v>54932</v>
      </c>
      <c r="B18032" t="s">
        <v>55035</v>
      </c>
      <c r="C18032" t="s">
        <v>55036</v>
      </c>
      <c r="D18032" t="s">
        <v>55037</v>
      </c>
      <c r="E18032" t="s">
        <v>55038</v>
      </c>
      <c r="F18032" t="s">
        <v>55039</v>
      </c>
      <c r="G18032" s="2" t="str">
        <f>HYPERLINK("https://probpalata.gov.ru/files/ИП710100377400000.jpeg","Скачать индивидуальный QR-код магазина")</f>
        <v>Скачать индивидуальный QR-код магазина</v>
      </c>
    </row>
    <row r="18033" spans="1:7" x14ac:dyDescent="0.25">
      <c r="A18033" t="s">
        <v>54932</v>
      </c>
      <c r="B18033" t="s">
        <v>55040</v>
      </c>
      <c r="C18033" t="s">
        <v>55036</v>
      </c>
      <c r="D18033" t="s">
        <v>55037</v>
      </c>
      <c r="E18033" t="s">
        <v>55038</v>
      </c>
      <c r="F18033" t="s">
        <v>55041</v>
      </c>
      <c r="G18033" s="2" t="str">
        <f>HYPERLINK("https://probpalata.gov.ru/files/ИП710100377400001.jpeg","Скачать индивидуальный QR-код магазина")</f>
        <v>Скачать индивидуальный QR-код магазина</v>
      </c>
    </row>
    <row r="18034" spans="1:7" x14ac:dyDescent="0.25">
      <c r="A18034" t="s">
        <v>54932</v>
      </c>
      <c r="B18034" t="s">
        <v>55042</v>
      </c>
      <c r="C18034" t="s">
        <v>55043</v>
      </c>
      <c r="D18034" t="s">
        <v>55044</v>
      </c>
      <c r="E18034" t="s">
        <v>55045</v>
      </c>
      <c r="F18034" t="s">
        <v>55046</v>
      </c>
      <c r="G18034" s="2" t="str">
        <f>HYPERLINK("https://probpalata.gov.ru/files/ИП710101236300000.jpeg","Скачать индивидуальный QR-код магазина")</f>
        <v>Скачать индивидуальный QR-код магазина</v>
      </c>
    </row>
    <row r="18035" spans="1:7" x14ac:dyDescent="0.25">
      <c r="A18035" t="s">
        <v>54932</v>
      </c>
      <c r="B18035" t="s">
        <v>55047</v>
      </c>
      <c r="C18035" t="s">
        <v>55048</v>
      </c>
      <c r="D18035" t="s">
        <v>55049</v>
      </c>
      <c r="E18035" t="s">
        <v>55050</v>
      </c>
      <c r="F18035" t="s">
        <v>55051</v>
      </c>
      <c r="G18035" s="2" t="str">
        <f>HYPERLINK("https://probpalata.gov.ru/files/ИП710100630500000.jpeg","Скачать индивидуальный QR-код магазина")</f>
        <v>Скачать индивидуальный QR-код магазина</v>
      </c>
    </row>
    <row r="18036" spans="1:7" x14ac:dyDescent="0.25">
      <c r="A18036" t="s">
        <v>54932</v>
      </c>
      <c r="B18036" t="s">
        <v>55052</v>
      </c>
      <c r="C18036" t="s">
        <v>55048</v>
      </c>
      <c r="D18036" t="s">
        <v>55049</v>
      </c>
      <c r="E18036" t="s">
        <v>55050</v>
      </c>
      <c r="F18036" t="s">
        <v>55053</v>
      </c>
      <c r="G18036" s="2" t="str">
        <f>HYPERLINK("https://probpalata.gov.ru/files/ИП710100630500001.jpeg","Скачать индивидуальный QR-код магазина")</f>
        <v>Скачать индивидуальный QR-код магазина</v>
      </c>
    </row>
    <row r="18037" spans="1:7" x14ac:dyDescent="0.25">
      <c r="A18037" t="s">
        <v>54932</v>
      </c>
      <c r="B18037" t="s">
        <v>55054</v>
      </c>
      <c r="C18037" t="s">
        <v>55048</v>
      </c>
      <c r="D18037" t="s">
        <v>55049</v>
      </c>
      <c r="E18037" t="s">
        <v>55050</v>
      </c>
      <c r="F18037" t="s">
        <v>55055</v>
      </c>
      <c r="G18037" s="2" t="str">
        <f>HYPERLINK("https://probpalata.gov.ru/files/ИП710100630500002.jpeg","Скачать индивидуальный QR-код магазина")</f>
        <v>Скачать индивидуальный QR-код магазина</v>
      </c>
    </row>
    <row r="18038" spans="1:7" x14ac:dyDescent="0.25">
      <c r="A18038" t="s">
        <v>54932</v>
      </c>
      <c r="B18038" t="s">
        <v>55056</v>
      </c>
      <c r="C18038" t="s">
        <v>55057</v>
      </c>
      <c r="D18038" t="s">
        <v>55058</v>
      </c>
      <c r="E18038" t="s">
        <v>55059</v>
      </c>
      <c r="F18038" t="s">
        <v>55060</v>
      </c>
      <c r="G18038" s="2" t="str">
        <f>HYPERLINK("https://probpalata.gov.ru/files/ИП710103291900000.jpeg","Скачать индивидуальный QR-код магазина")</f>
        <v>Скачать индивидуальный QR-код магазина</v>
      </c>
    </row>
    <row r="18039" spans="1:7" x14ac:dyDescent="0.25">
      <c r="A18039" t="s">
        <v>54932</v>
      </c>
      <c r="B18039" t="s">
        <v>55061</v>
      </c>
      <c r="C18039" t="s">
        <v>2226</v>
      </c>
      <c r="D18039" t="s">
        <v>2227</v>
      </c>
      <c r="E18039" t="s">
        <v>2228</v>
      </c>
      <c r="F18039" t="s">
        <v>55062</v>
      </c>
      <c r="G18039" s="2" t="str">
        <f>HYPERLINK("https://probpalata.gov.ru/files/ИП710101061900000.jpeg","Скачать индивидуальный QR-код магазина")</f>
        <v>Скачать индивидуальный QR-код магазина</v>
      </c>
    </row>
    <row r="18040" spans="1:7" x14ac:dyDescent="0.25">
      <c r="A18040" t="s">
        <v>54932</v>
      </c>
      <c r="B18040" t="s">
        <v>55063</v>
      </c>
      <c r="C18040" t="s">
        <v>55064</v>
      </c>
      <c r="D18040" t="s">
        <v>55065</v>
      </c>
      <c r="E18040" t="s">
        <v>55066</v>
      </c>
      <c r="F18040" t="s">
        <v>55067</v>
      </c>
      <c r="G18040" s="2" t="str">
        <f>HYPERLINK("https://probpalata.gov.ru/files/ЮЛ710100450200001.jpeg","Скачать индивидуальный QR-код магазина")</f>
        <v>Скачать индивидуальный QR-код магазина</v>
      </c>
    </row>
    <row r="18041" spans="1:7" x14ac:dyDescent="0.25">
      <c r="A18041" t="s">
        <v>54932</v>
      </c>
      <c r="B18041" t="s">
        <v>55068</v>
      </c>
      <c r="C18041" t="s">
        <v>55064</v>
      </c>
      <c r="D18041" t="s">
        <v>55065</v>
      </c>
      <c r="E18041" t="s">
        <v>55066</v>
      </c>
      <c r="F18041" t="s">
        <v>55069</v>
      </c>
      <c r="G18041" s="2" t="str">
        <f>HYPERLINK("https://probpalata.gov.ru/files/ЮЛ710100450200002.jpeg","Скачать индивидуальный QR-код магазина")</f>
        <v>Скачать индивидуальный QR-код магазина</v>
      </c>
    </row>
    <row r="18042" spans="1:7" x14ac:dyDescent="0.25">
      <c r="A18042" t="s">
        <v>54932</v>
      </c>
      <c r="B18042" t="s">
        <v>55070</v>
      </c>
      <c r="C18042" t="s">
        <v>55064</v>
      </c>
      <c r="D18042" t="s">
        <v>55065</v>
      </c>
      <c r="E18042" t="s">
        <v>55066</v>
      </c>
      <c r="F18042" t="s">
        <v>55071</v>
      </c>
      <c r="G18042" s="2" t="str">
        <f>HYPERLINK("https://probpalata.gov.ru/files/ЮЛ710100450200004.jpeg","Скачать индивидуальный QR-код магазина")</f>
        <v>Скачать индивидуальный QR-код магазина</v>
      </c>
    </row>
    <row r="18043" spans="1:7" x14ac:dyDescent="0.25">
      <c r="A18043" t="s">
        <v>54932</v>
      </c>
      <c r="B18043" t="s">
        <v>55072</v>
      </c>
      <c r="C18043" t="s">
        <v>7478</v>
      </c>
      <c r="D18043" t="s">
        <v>55073</v>
      </c>
      <c r="E18043" t="s">
        <v>55074</v>
      </c>
      <c r="F18043" t="s">
        <v>55075</v>
      </c>
      <c r="G18043" s="2" t="str">
        <f>HYPERLINK("https://probpalata.gov.ru/files/ЮЛ710100465800002.jpeg","Скачать индивидуальный QR-код магазина")</f>
        <v>Скачать индивидуальный QR-код магазина</v>
      </c>
    </row>
    <row r="18044" spans="1:7" x14ac:dyDescent="0.25">
      <c r="A18044" t="s">
        <v>54932</v>
      </c>
      <c r="B18044" t="s">
        <v>55076</v>
      </c>
      <c r="C18044" t="s">
        <v>7478</v>
      </c>
      <c r="D18044" t="s">
        <v>55073</v>
      </c>
      <c r="E18044" t="s">
        <v>55074</v>
      </c>
      <c r="F18044" t="s">
        <v>55077</v>
      </c>
      <c r="G18044" s="2" t="str">
        <f>HYPERLINK("https://probpalata.gov.ru/files/ЮЛ710100465800004.jpeg","Скачать индивидуальный QR-код магазина")</f>
        <v>Скачать индивидуальный QR-код магазина</v>
      </c>
    </row>
    <row r="18045" spans="1:7" x14ac:dyDescent="0.25">
      <c r="A18045" t="s">
        <v>54932</v>
      </c>
      <c r="B18045" t="s">
        <v>55078</v>
      </c>
      <c r="C18045" t="s">
        <v>2286</v>
      </c>
      <c r="D18045" t="s">
        <v>55079</v>
      </c>
      <c r="E18045" t="s">
        <v>55080</v>
      </c>
      <c r="F18045" t="s">
        <v>55081</v>
      </c>
      <c r="G18045" s="2" t="str">
        <f>HYPERLINK("https://probpalata.gov.ru/files/ЮЛ710100196300000.jpeg","Скачать индивидуальный QR-код магазина")</f>
        <v>Скачать индивидуальный QR-код магазина</v>
      </c>
    </row>
    <row r="18046" spans="1:7" x14ac:dyDescent="0.25">
      <c r="A18046" t="s">
        <v>54932</v>
      </c>
      <c r="B18046" t="s">
        <v>55082</v>
      </c>
      <c r="C18046" t="s">
        <v>55083</v>
      </c>
      <c r="D18046" t="s">
        <v>55084</v>
      </c>
      <c r="E18046" t="s">
        <v>55085</v>
      </c>
      <c r="F18046" t="s">
        <v>55086</v>
      </c>
      <c r="G18046" s="2" t="str">
        <f>HYPERLINK("https://probpalata.gov.ru/files/ИП710103294500000.jpeg","Скачать индивидуальный QR-код магазина")</f>
        <v>Скачать индивидуальный QR-код магазина</v>
      </c>
    </row>
    <row r="18047" spans="1:7" x14ac:dyDescent="0.25">
      <c r="A18047" t="s">
        <v>54932</v>
      </c>
      <c r="B18047" t="s">
        <v>55087</v>
      </c>
      <c r="C18047" t="s">
        <v>17474</v>
      </c>
      <c r="D18047" t="s">
        <v>17475</v>
      </c>
      <c r="E18047" t="s">
        <v>17476</v>
      </c>
      <c r="F18047" t="s">
        <v>55088</v>
      </c>
      <c r="G18047" s="2" t="str">
        <f>HYPERLINK("https://probpalata.gov.ru/files/ИП710101724000001.jpeg","Скачать индивидуальный QR-код магазина")</f>
        <v>Скачать индивидуальный QR-код магазина</v>
      </c>
    </row>
    <row r="18048" spans="1:7" x14ac:dyDescent="0.25">
      <c r="A18048" t="s">
        <v>54932</v>
      </c>
      <c r="B18048" t="s">
        <v>55089</v>
      </c>
      <c r="C18048" t="s">
        <v>17474</v>
      </c>
      <c r="D18048" t="s">
        <v>17475</v>
      </c>
      <c r="E18048" t="s">
        <v>17476</v>
      </c>
      <c r="F18048" t="s">
        <v>55090</v>
      </c>
      <c r="G18048" s="2" t="str">
        <f>HYPERLINK("https://probpalata.gov.ru/files/ИП710101724000002.jpeg","Скачать индивидуальный QR-код магазина")</f>
        <v>Скачать индивидуальный QR-код магазина</v>
      </c>
    </row>
    <row r="18049" spans="1:7" x14ac:dyDescent="0.25">
      <c r="A18049" t="s">
        <v>54932</v>
      </c>
      <c r="B18049" t="s">
        <v>55091</v>
      </c>
      <c r="C18049" t="s">
        <v>17474</v>
      </c>
      <c r="D18049" t="s">
        <v>17475</v>
      </c>
      <c r="E18049" t="s">
        <v>17476</v>
      </c>
      <c r="F18049" t="s">
        <v>55092</v>
      </c>
      <c r="G18049" s="2" t="str">
        <f>HYPERLINK("https://probpalata.gov.ru/files/ИП710101724000003.jpeg","Скачать индивидуальный QR-код магазина")</f>
        <v>Скачать индивидуальный QR-код магазина</v>
      </c>
    </row>
    <row r="18050" spans="1:7" x14ac:dyDescent="0.25">
      <c r="A18050" t="s">
        <v>54932</v>
      </c>
      <c r="B18050" t="s">
        <v>55093</v>
      </c>
      <c r="C18050" t="s">
        <v>17474</v>
      </c>
      <c r="D18050" t="s">
        <v>17475</v>
      </c>
      <c r="E18050" t="s">
        <v>17476</v>
      </c>
      <c r="F18050" t="s">
        <v>55094</v>
      </c>
      <c r="G18050" s="2" t="str">
        <f>HYPERLINK("https://probpalata.gov.ru/files/ИП710101724000006.jpeg","Скачать индивидуальный QR-код магазина")</f>
        <v>Скачать индивидуальный QR-код магазина</v>
      </c>
    </row>
    <row r="18051" spans="1:7" x14ac:dyDescent="0.25">
      <c r="A18051" t="s">
        <v>54932</v>
      </c>
      <c r="B18051" t="s">
        <v>55095</v>
      </c>
      <c r="C18051" t="s">
        <v>17474</v>
      </c>
      <c r="D18051" t="s">
        <v>17475</v>
      </c>
      <c r="E18051" t="s">
        <v>17476</v>
      </c>
      <c r="F18051" t="s">
        <v>55096</v>
      </c>
      <c r="G18051" s="2" t="str">
        <f>HYPERLINK("https://probpalata.gov.ru/files/ИП710101724000007.jpeg","Скачать индивидуальный QR-код магазина")</f>
        <v>Скачать индивидуальный QR-код магазина</v>
      </c>
    </row>
    <row r="18052" spans="1:7" x14ac:dyDescent="0.25">
      <c r="A18052" t="s">
        <v>54932</v>
      </c>
      <c r="B18052" t="s">
        <v>55097</v>
      </c>
      <c r="C18052" t="s">
        <v>17474</v>
      </c>
      <c r="D18052" t="s">
        <v>17475</v>
      </c>
      <c r="E18052" t="s">
        <v>17476</v>
      </c>
      <c r="F18052" t="s">
        <v>55098</v>
      </c>
      <c r="G18052" s="2" t="str">
        <f>HYPERLINK("https://probpalata.gov.ru/files/ИП710101724000008.jpeg","Скачать индивидуальный QR-код магазина")</f>
        <v>Скачать индивидуальный QR-код магазина</v>
      </c>
    </row>
    <row r="18053" spans="1:7" x14ac:dyDescent="0.25">
      <c r="A18053" t="s">
        <v>54932</v>
      </c>
      <c r="B18053" t="s">
        <v>55099</v>
      </c>
      <c r="C18053" t="s">
        <v>17474</v>
      </c>
      <c r="D18053" t="s">
        <v>17475</v>
      </c>
      <c r="E18053" t="s">
        <v>17476</v>
      </c>
      <c r="F18053" t="s">
        <v>55100</v>
      </c>
      <c r="G18053" s="2" t="str">
        <f>HYPERLINK("https://probpalata.gov.ru/files/ИП710101724000009.jpeg","Скачать индивидуальный QR-код магазина")</f>
        <v>Скачать индивидуальный QR-код магазина</v>
      </c>
    </row>
    <row r="18054" spans="1:7" x14ac:dyDescent="0.25">
      <c r="A18054" t="s">
        <v>54932</v>
      </c>
      <c r="B18054" t="s">
        <v>55101</v>
      </c>
      <c r="C18054" t="s">
        <v>2231</v>
      </c>
      <c r="D18054" t="s">
        <v>2232</v>
      </c>
      <c r="E18054" t="s">
        <v>2233</v>
      </c>
      <c r="F18054" t="s">
        <v>55102</v>
      </c>
      <c r="G18054" s="2" t="str">
        <f>HYPERLINK("https://probpalata.gov.ru/files/ИП000100534900017.jpeg","Скачать индивидуальный QR-код магазина")</f>
        <v>Скачать индивидуальный QR-код магазина</v>
      </c>
    </row>
    <row r="18055" spans="1:7" x14ac:dyDescent="0.25">
      <c r="A18055" t="s">
        <v>54932</v>
      </c>
      <c r="B18055" t="s">
        <v>55103</v>
      </c>
      <c r="C18055" t="s">
        <v>2231</v>
      </c>
      <c r="D18055" t="s">
        <v>2232</v>
      </c>
      <c r="E18055" t="s">
        <v>2233</v>
      </c>
      <c r="F18055" t="s">
        <v>55104</v>
      </c>
      <c r="G18055" s="2" t="str">
        <f>HYPERLINK("https://probpalata.gov.ru/files/ИП000100534900018.jpeg","Скачать индивидуальный QR-код магазина")</f>
        <v>Скачать индивидуальный QR-код магазина</v>
      </c>
    </row>
    <row r="18056" spans="1:7" x14ac:dyDescent="0.25">
      <c r="A18056" t="s">
        <v>54932</v>
      </c>
      <c r="B18056" t="s">
        <v>55105</v>
      </c>
      <c r="C18056" t="s">
        <v>2231</v>
      </c>
      <c r="D18056" t="s">
        <v>2232</v>
      </c>
      <c r="E18056" t="s">
        <v>2233</v>
      </c>
      <c r="F18056" t="s">
        <v>55106</v>
      </c>
      <c r="G18056" s="2" t="str">
        <f>HYPERLINK("https://probpalata.gov.ru/files/ИП000100534900020.jpeg","Скачать индивидуальный QR-код магазина")</f>
        <v>Скачать индивидуальный QR-код магазина</v>
      </c>
    </row>
    <row r="18057" spans="1:7" x14ac:dyDescent="0.25">
      <c r="A18057" t="s">
        <v>54932</v>
      </c>
      <c r="B18057" t="s">
        <v>55107</v>
      </c>
      <c r="C18057" t="s">
        <v>2231</v>
      </c>
      <c r="D18057" t="s">
        <v>2232</v>
      </c>
      <c r="E18057" t="s">
        <v>2233</v>
      </c>
      <c r="F18057" t="s">
        <v>55108</v>
      </c>
      <c r="G18057" s="2" t="str">
        <f>HYPERLINK("https://probpalata.gov.ru/files/ИП000100534900022.jpeg","Скачать индивидуальный QR-код магазина")</f>
        <v>Скачать индивидуальный QR-код магазина</v>
      </c>
    </row>
    <row r="18058" spans="1:7" x14ac:dyDescent="0.25">
      <c r="A18058" t="s">
        <v>54932</v>
      </c>
      <c r="B18058" t="s">
        <v>55109</v>
      </c>
      <c r="C18058" t="s">
        <v>2231</v>
      </c>
      <c r="D18058" t="s">
        <v>2232</v>
      </c>
      <c r="E18058" t="s">
        <v>2233</v>
      </c>
      <c r="F18058" t="s">
        <v>55110</v>
      </c>
      <c r="G18058" s="2" t="str">
        <f>HYPERLINK("https://probpalata.gov.ru/files/ИП000100534900023.jpeg","Скачать индивидуальный QR-код магазина")</f>
        <v>Скачать индивидуальный QR-код магазина</v>
      </c>
    </row>
    <row r="18059" spans="1:7" x14ac:dyDescent="0.25">
      <c r="A18059" t="s">
        <v>54932</v>
      </c>
      <c r="B18059" t="s">
        <v>55111</v>
      </c>
      <c r="C18059" t="s">
        <v>2231</v>
      </c>
      <c r="D18059" t="s">
        <v>2232</v>
      </c>
      <c r="E18059" t="s">
        <v>2233</v>
      </c>
      <c r="F18059" t="s">
        <v>55112</v>
      </c>
      <c r="G18059" s="2" t="str">
        <f>HYPERLINK("https://probpalata.gov.ru/files/ИП000100534900024.jpeg","Скачать индивидуальный QR-код магазина")</f>
        <v>Скачать индивидуальный QR-код магазина</v>
      </c>
    </row>
    <row r="18060" spans="1:7" x14ac:dyDescent="0.25">
      <c r="A18060" t="s">
        <v>54932</v>
      </c>
      <c r="B18060" t="s">
        <v>55113</v>
      </c>
      <c r="C18060" t="s">
        <v>2231</v>
      </c>
      <c r="D18060" t="s">
        <v>2232</v>
      </c>
      <c r="E18060" t="s">
        <v>2233</v>
      </c>
      <c r="F18060" t="s">
        <v>55114</v>
      </c>
      <c r="G18060" s="2" t="str">
        <f>HYPERLINK("https://probpalata.gov.ru/files/ИП000100534900025.jpeg","Скачать индивидуальный QR-код магазина")</f>
        <v>Скачать индивидуальный QR-код магазина</v>
      </c>
    </row>
    <row r="18061" spans="1:7" x14ac:dyDescent="0.25">
      <c r="A18061" t="s">
        <v>54932</v>
      </c>
      <c r="B18061" t="s">
        <v>55115</v>
      </c>
      <c r="C18061" t="s">
        <v>2231</v>
      </c>
      <c r="D18061" t="s">
        <v>2232</v>
      </c>
      <c r="E18061" t="s">
        <v>2233</v>
      </c>
      <c r="F18061" t="s">
        <v>55116</v>
      </c>
      <c r="G18061" s="2" t="str">
        <f>HYPERLINK("https://probpalata.gov.ru/files/ИП000100534900026.jpeg","Скачать индивидуальный QR-код магазина")</f>
        <v>Скачать индивидуальный QR-код магазина</v>
      </c>
    </row>
    <row r="18062" spans="1:7" x14ac:dyDescent="0.25">
      <c r="A18062" t="s">
        <v>54932</v>
      </c>
      <c r="B18062" t="s">
        <v>55117</v>
      </c>
      <c r="C18062" t="s">
        <v>2231</v>
      </c>
      <c r="D18062" t="s">
        <v>2232</v>
      </c>
      <c r="E18062" t="s">
        <v>2233</v>
      </c>
      <c r="F18062" t="s">
        <v>55118</v>
      </c>
      <c r="G18062" s="2" t="str">
        <f>HYPERLINK("https://probpalata.gov.ru/files/ИП000100534900027.jpeg","Скачать индивидуальный QR-код магазина")</f>
        <v>Скачать индивидуальный QR-код магазина</v>
      </c>
    </row>
    <row r="18063" spans="1:7" x14ac:dyDescent="0.25">
      <c r="A18063" t="s">
        <v>54932</v>
      </c>
      <c r="B18063" t="s">
        <v>55119</v>
      </c>
      <c r="C18063" t="s">
        <v>55120</v>
      </c>
      <c r="D18063" t="s">
        <v>55121</v>
      </c>
      <c r="E18063" t="s">
        <v>55122</v>
      </c>
      <c r="F18063" t="s">
        <v>55123</v>
      </c>
      <c r="G18063" s="2" t="str">
        <f>HYPERLINK("https://probpalata.gov.ru/files/ЮЛ710100465000002.jpeg","Скачать индивидуальный QR-код магазина")</f>
        <v>Скачать индивидуальный QR-код магазина</v>
      </c>
    </row>
    <row r="18064" spans="1:7" x14ac:dyDescent="0.25">
      <c r="A18064" t="s">
        <v>54932</v>
      </c>
      <c r="B18064" t="s">
        <v>55124</v>
      </c>
      <c r="C18064" t="s">
        <v>55120</v>
      </c>
      <c r="D18064" t="s">
        <v>55121</v>
      </c>
      <c r="E18064" t="s">
        <v>55122</v>
      </c>
      <c r="F18064" t="s">
        <v>55125</v>
      </c>
      <c r="G18064" s="2" t="str">
        <f>HYPERLINK("https://probpalata.gov.ru/files/ЮЛ710100465000003.jpeg","Скачать индивидуальный QR-код магазина")</f>
        <v>Скачать индивидуальный QR-код магазина</v>
      </c>
    </row>
    <row r="18065" spans="1:7" x14ac:dyDescent="0.25">
      <c r="A18065" t="s">
        <v>54932</v>
      </c>
      <c r="B18065" t="s">
        <v>55126</v>
      </c>
      <c r="C18065" t="s">
        <v>55120</v>
      </c>
      <c r="D18065" t="s">
        <v>55121</v>
      </c>
      <c r="E18065" t="s">
        <v>55122</v>
      </c>
      <c r="F18065" t="s">
        <v>55127</v>
      </c>
      <c r="G18065" s="2" t="str">
        <f>HYPERLINK("https://probpalata.gov.ru/files/ЮЛ710100465000004.jpeg","Скачать индивидуальный QR-код магазина")</f>
        <v>Скачать индивидуальный QR-код магазина</v>
      </c>
    </row>
    <row r="18066" spans="1:7" x14ac:dyDescent="0.25">
      <c r="A18066" t="s">
        <v>54932</v>
      </c>
      <c r="B18066" t="s">
        <v>55128</v>
      </c>
      <c r="C18066" t="s">
        <v>55129</v>
      </c>
      <c r="D18066" t="s">
        <v>55130</v>
      </c>
      <c r="E18066" t="s">
        <v>55131</v>
      </c>
      <c r="F18066" t="s">
        <v>55132</v>
      </c>
      <c r="G18066" s="2" t="str">
        <f>HYPERLINK("https://probpalata.gov.ru/files/ЮЛ710100470700002.jpeg","Скачать индивидуальный QR-код магазина")</f>
        <v>Скачать индивидуальный QR-код магазина</v>
      </c>
    </row>
    <row r="18067" spans="1:7" x14ac:dyDescent="0.25">
      <c r="A18067" t="s">
        <v>54932</v>
      </c>
      <c r="B18067" t="s">
        <v>55133</v>
      </c>
      <c r="C18067" t="s">
        <v>55129</v>
      </c>
      <c r="D18067" t="s">
        <v>55130</v>
      </c>
      <c r="E18067" t="s">
        <v>55131</v>
      </c>
      <c r="F18067" t="s">
        <v>55134</v>
      </c>
      <c r="G18067" s="2" t="str">
        <f>HYPERLINK("https://probpalata.gov.ru/files/ЮЛ710100470700003.jpeg","Скачать индивидуальный QR-код магазина")</f>
        <v>Скачать индивидуальный QR-код магазина</v>
      </c>
    </row>
    <row r="18068" spans="1:7" x14ac:dyDescent="0.25">
      <c r="A18068" t="s">
        <v>54932</v>
      </c>
      <c r="B18068" t="s">
        <v>55135</v>
      </c>
      <c r="C18068" t="s">
        <v>55129</v>
      </c>
      <c r="D18068" t="s">
        <v>55130</v>
      </c>
      <c r="E18068" t="s">
        <v>55131</v>
      </c>
      <c r="F18068" t="s">
        <v>55136</v>
      </c>
      <c r="G18068" s="2" t="str">
        <f>HYPERLINK("https://probpalata.gov.ru/files/ЮЛ710100470700004.jpeg","Скачать индивидуальный QR-код магазина")</f>
        <v>Скачать индивидуальный QR-код магазина</v>
      </c>
    </row>
    <row r="18069" spans="1:7" x14ac:dyDescent="0.25">
      <c r="A18069" t="s">
        <v>54932</v>
      </c>
      <c r="B18069" t="s">
        <v>55137</v>
      </c>
      <c r="C18069" t="s">
        <v>55129</v>
      </c>
      <c r="D18069" t="s">
        <v>55130</v>
      </c>
      <c r="E18069" t="s">
        <v>55131</v>
      </c>
      <c r="F18069" t="s">
        <v>55138</v>
      </c>
      <c r="G18069" s="2" t="str">
        <f>HYPERLINK("https://probpalata.gov.ru/files/ЮЛ710100470700005.jpeg","Скачать индивидуальный QR-код магазина")</f>
        <v>Скачать индивидуальный QR-код магазина</v>
      </c>
    </row>
    <row r="18070" spans="1:7" x14ac:dyDescent="0.25">
      <c r="A18070" t="s">
        <v>54932</v>
      </c>
      <c r="B18070" t="s">
        <v>55139</v>
      </c>
      <c r="C18070" t="s">
        <v>55140</v>
      </c>
      <c r="D18070" t="s">
        <v>55141</v>
      </c>
      <c r="E18070" t="s">
        <v>55142</v>
      </c>
      <c r="F18070" t="s">
        <v>55143</v>
      </c>
      <c r="G18070" s="2" t="str">
        <f>HYPERLINK("https://probpalata.gov.ru/files/ЮЛ710100519000000.jpeg","Скачать индивидуальный QR-код магазина")</f>
        <v>Скачать индивидуальный QR-код магазина</v>
      </c>
    </row>
    <row r="18071" spans="1:7" x14ac:dyDescent="0.25">
      <c r="A18071" t="s">
        <v>54932</v>
      </c>
      <c r="B18071" t="s">
        <v>55144</v>
      </c>
      <c r="C18071" t="s">
        <v>55140</v>
      </c>
      <c r="D18071" t="s">
        <v>55141</v>
      </c>
      <c r="E18071" t="s">
        <v>55142</v>
      </c>
      <c r="F18071" t="s">
        <v>55145</v>
      </c>
      <c r="G18071" s="2" t="str">
        <f>HYPERLINK("https://probpalata.gov.ru/files/ЮЛ710100519000001.jpeg","Скачать индивидуальный QR-код магазина")</f>
        <v>Скачать индивидуальный QR-код магазина</v>
      </c>
    </row>
    <row r="18072" spans="1:7" x14ac:dyDescent="0.25">
      <c r="A18072" t="s">
        <v>54932</v>
      </c>
      <c r="B18072" t="s">
        <v>55146</v>
      </c>
      <c r="C18072" t="s">
        <v>55140</v>
      </c>
      <c r="D18072" t="s">
        <v>55141</v>
      </c>
      <c r="E18072" t="s">
        <v>55142</v>
      </c>
      <c r="F18072" t="s">
        <v>55147</v>
      </c>
      <c r="G18072" s="2" t="str">
        <f>HYPERLINK("https://probpalata.gov.ru/files/ЮЛ710100519000003.jpeg","Скачать индивидуальный QR-код магазина")</f>
        <v>Скачать индивидуальный QR-код магазина</v>
      </c>
    </row>
    <row r="18073" spans="1:7" x14ac:dyDescent="0.25">
      <c r="A18073" t="s">
        <v>54932</v>
      </c>
      <c r="B18073" t="s">
        <v>55148</v>
      </c>
      <c r="C18073" t="s">
        <v>55140</v>
      </c>
      <c r="D18073" t="s">
        <v>55141</v>
      </c>
      <c r="E18073" t="s">
        <v>55142</v>
      </c>
      <c r="F18073" t="s">
        <v>55149</v>
      </c>
      <c r="G18073" s="2" t="str">
        <f>HYPERLINK("https://probpalata.gov.ru/files/ЮЛ710100519000011.jpeg","Скачать индивидуальный QR-код магазина")</f>
        <v>Скачать индивидуальный QR-код магазина</v>
      </c>
    </row>
    <row r="18074" spans="1:7" x14ac:dyDescent="0.25">
      <c r="A18074" t="s">
        <v>54932</v>
      </c>
      <c r="B18074" t="s">
        <v>55150</v>
      </c>
      <c r="C18074" t="s">
        <v>55151</v>
      </c>
      <c r="D18074" t="s">
        <v>55152</v>
      </c>
      <c r="E18074" t="s">
        <v>55153</v>
      </c>
      <c r="F18074" t="s">
        <v>55154</v>
      </c>
      <c r="G18074" s="2" t="str">
        <f>HYPERLINK("https://probpalata.gov.ru/files/ИП710100484300000.jpeg","Скачать индивидуальный QR-код магазина")</f>
        <v>Скачать индивидуальный QR-код магазина</v>
      </c>
    </row>
    <row r="18075" spans="1:7" x14ac:dyDescent="0.25">
      <c r="A18075" t="s">
        <v>54932</v>
      </c>
      <c r="B18075" t="s">
        <v>55155</v>
      </c>
      <c r="C18075" t="s">
        <v>55156</v>
      </c>
      <c r="D18075" t="s">
        <v>55157</v>
      </c>
      <c r="E18075" t="s">
        <v>55158</v>
      </c>
      <c r="F18075" t="s">
        <v>55159</v>
      </c>
      <c r="G18075" s="2" t="str">
        <f>HYPERLINK("https://probpalata.gov.ru/files/ЮЛ710100140500000.jpeg","Скачать индивидуальный QR-код магазина")</f>
        <v>Скачать индивидуальный QR-код магазина</v>
      </c>
    </row>
    <row r="18076" spans="1:7" x14ac:dyDescent="0.25">
      <c r="A18076" t="s">
        <v>54932</v>
      </c>
      <c r="B18076" t="s">
        <v>55160</v>
      </c>
      <c r="C18076" t="s">
        <v>55161</v>
      </c>
      <c r="D18076" t="s">
        <v>55162</v>
      </c>
      <c r="E18076" t="s">
        <v>55163</v>
      </c>
      <c r="F18076" t="s">
        <v>55164</v>
      </c>
      <c r="G18076" s="2" t="str">
        <f>HYPERLINK("https://probpalata.gov.ru/files/ИП710101065800000.jpeg","Скачать индивидуальный QR-код магазина")</f>
        <v>Скачать индивидуальный QR-код магазина</v>
      </c>
    </row>
    <row r="18077" spans="1:7" x14ac:dyDescent="0.25">
      <c r="A18077" t="s">
        <v>54932</v>
      </c>
      <c r="B18077" t="s">
        <v>55165</v>
      </c>
      <c r="C18077" t="s">
        <v>55166</v>
      </c>
      <c r="D18077" t="s">
        <v>55167</v>
      </c>
      <c r="E18077" t="s">
        <v>55168</v>
      </c>
      <c r="F18077" t="s">
        <v>55169</v>
      </c>
      <c r="G18077" s="2" t="str">
        <f>HYPERLINK("https://probpalata.gov.ru/files/ЮЛ710100744000000.jpeg","Скачать индивидуальный QR-код магазина")</f>
        <v>Скачать индивидуальный QR-код магазина</v>
      </c>
    </row>
    <row r="18078" spans="1:7" x14ac:dyDescent="0.25">
      <c r="A18078" t="s">
        <v>54932</v>
      </c>
      <c r="B18078" t="s">
        <v>55170</v>
      </c>
      <c r="C18078" t="s">
        <v>55171</v>
      </c>
      <c r="D18078" t="s">
        <v>55172</v>
      </c>
      <c r="E18078" t="s">
        <v>55173</v>
      </c>
      <c r="F18078" t="s">
        <v>55174</v>
      </c>
      <c r="G18078" s="2" t="str">
        <f>HYPERLINK("https://probpalata.gov.ru/files/ИП710100902700000.jpeg","Скачать индивидуальный QR-код магазина")</f>
        <v>Скачать индивидуальный QR-код магазина</v>
      </c>
    </row>
    <row r="18079" spans="1:7" x14ac:dyDescent="0.25">
      <c r="A18079" t="s">
        <v>54932</v>
      </c>
      <c r="B18079" t="s">
        <v>55175</v>
      </c>
      <c r="C18079" t="s">
        <v>55171</v>
      </c>
      <c r="D18079" t="s">
        <v>55172</v>
      </c>
      <c r="E18079" t="s">
        <v>55173</v>
      </c>
      <c r="F18079" t="s">
        <v>55176</v>
      </c>
      <c r="G18079" s="2" t="str">
        <f>HYPERLINK("https://probpalata.gov.ru/files/ИП710100902700001.jpeg","Скачать индивидуальный QR-код магазина")</f>
        <v>Скачать индивидуальный QR-код магазина</v>
      </c>
    </row>
    <row r="18080" spans="1:7" x14ac:dyDescent="0.25">
      <c r="A18080" t="s">
        <v>54932</v>
      </c>
      <c r="B18080" t="s">
        <v>55177</v>
      </c>
      <c r="C18080" t="s">
        <v>55171</v>
      </c>
      <c r="D18080" t="s">
        <v>55172</v>
      </c>
      <c r="E18080" t="s">
        <v>55173</v>
      </c>
      <c r="F18080" t="s">
        <v>55178</v>
      </c>
      <c r="G18080" s="2" t="str">
        <f>HYPERLINK("https://probpalata.gov.ru/files/ИП710100902700003.jpeg","Скачать индивидуальный QR-код магазина")</f>
        <v>Скачать индивидуальный QR-код магазина</v>
      </c>
    </row>
    <row r="18081" spans="1:7" x14ac:dyDescent="0.25">
      <c r="A18081" t="s">
        <v>54932</v>
      </c>
      <c r="B18081" t="s">
        <v>55179</v>
      </c>
      <c r="C18081" t="s">
        <v>55171</v>
      </c>
      <c r="D18081" t="s">
        <v>55172</v>
      </c>
      <c r="E18081" t="s">
        <v>55173</v>
      </c>
      <c r="F18081" t="s">
        <v>55180</v>
      </c>
      <c r="G18081" s="2" t="str">
        <f>HYPERLINK("https://probpalata.gov.ru/files/ИП710100902700004.jpeg","Скачать индивидуальный QR-код магазина")</f>
        <v>Скачать индивидуальный QR-код магазина</v>
      </c>
    </row>
    <row r="18082" spans="1:7" x14ac:dyDescent="0.25">
      <c r="A18082" t="s">
        <v>54932</v>
      </c>
      <c r="B18082" t="s">
        <v>55181</v>
      </c>
      <c r="C18082" t="s">
        <v>55171</v>
      </c>
      <c r="D18082" t="s">
        <v>55172</v>
      </c>
      <c r="E18082" t="s">
        <v>55173</v>
      </c>
      <c r="F18082" t="s">
        <v>55182</v>
      </c>
      <c r="G18082" s="2" t="str">
        <f>HYPERLINK("https://probpalata.gov.ru/files/ИП710100902700005.jpeg","Скачать индивидуальный QR-код магазина")</f>
        <v>Скачать индивидуальный QR-код магазина</v>
      </c>
    </row>
    <row r="18083" spans="1:7" x14ac:dyDescent="0.25">
      <c r="A18083" t="s">
        <v>54932</v>
      </c>
      <c r="B18083" t="s">
        <v>55183</v>
      </c>
      <c r="C18083" t="s">
        <v>55184</v>
      </c>
      <c r="D18083" t="s">
        <v>55185</v>
      </c>
      <c r="E18083" t="s">
        <v>55186</v>
      </c>
      <c r="F18083" t="s">
        <v>55187</v>
      </c>
      <c r="G18083" s="2" t="str">
        <f>HYPERLINK("https://probpalata.gov.ru/files/ИП710101684700000.jpeg","Скачать индивидуальный QR-код магазина")</f>
        <v>Скачать индивидуальный QR-код магазина</v>
      </c>
    </row>
    <row r="18084" spans="1:7" x14ac:dyDescent="0.25">
      <c r="A18084" t="s">
        <v>54932</v>
      </c>
      <c r="B18084" t="s">
        <v>55188</v>
      </c>
      <c r="C18084" t="s">
        <v>55189</v>
      </c>
      <c r="D18084" t="s">
        <v>55190</v>
      </c>
      <c r="E18084" t="s">
        <v>55191</v>
      </c>
      <c r="F18084" t="s">
        <v>55192</v>
      </c>
      <c r="G18084" s="2" t="str">
        <f>HYPERLINK("https://probpalata.gov.ru/files/ИП710100331900000.jpeg","Скачать индивидуальный QR-код магазина")</f>
        <v>Скачать индивидуальный QR-код магазина</v>
      </c>
    </row>
    <row r="18085" spans="1:7" x14ac:dyDescent="0.25">
      <c r="A18085" t="s">
        <v>54932</v>
      </c>
      <c r="B18085" t="s">
        <v>55193</v>
      </c>
      <c r="C18085" t="s">
        <v>55194</v>
      </c>
      <c r="D18085" t="s">
        <v>55195</v>
      </c>
      <c r="E18085" t="s">
        <v>55196</v>
      </c>
      <c r="F18085" t="s">
        <v>55197</v>
      </c>
      <c r="G18085" s="2" t="str">
        <f>HYPERLINK("https://probpalata.gov.ru/files/ИП710101228700000.jpeg","Скачать индивидуальный QR-код магазина")</f>
        <v>Скачать индивидуальный QR-код магазина</v>
      </c>
    </row>
    <row r="18086" spans="1:7" x14ac:dyDescent="0.25">
      <c r="A18086" t="s">
        <v>54932</v>
      </c>
      <c r="B18086" t="s">
        <v>55198</v>
      </c>
      <c r="C18086" t="s">
        <v>55199</v>
      </c>
      <c r="D18086" t="s">
        <v>55200</v>
      </c>
      <c r="E18086" t="s">
        <v>55201</v>
      </c>
      <c r="F18086" t="s">
        <v>55202</v>
      </c>
      <c r="G18086" s="2" t="str">
        <f>HYPERLINK("https://probpalata.gov.ru/files/ИП710100864600000.jpeg","Скачать индивидуальный QR-код магазина")</f>
        <v>Скачать индивидуальный QR-код магазина</v>
      </c>
    </row>
    <row r="18087" spans="1:7" x14ac:dyDescent="0.25">
      <c r="A18087" t="s">
        <v>54932</v>
      </c>
      <c r="B18087" t="s">
        <v>55203</v>
      </c>
      <c r="C18087" t="s">
        <v>55204</v>
      </c>
      <c r="D18087" t="s">
        <v>55205</v>
      </c>
      <c r="E18087" t="s">
        <v>55206</v>
      </c>
      <c r="F18087" t="s">
        <v>55207</v>
      </c>
      <c r="G18087" s="2" t="str">
        <f>HYPERLINK("https://probpalata.gov.ru/files/ИП770100953400000.jpeg","Скачать индивидуальный QR-код магазина")</f>
        <v>Скачать индивидуальный QR-код магазина</v>
      </c>
    </row>
    <row r="18088" spans="1:7" x14ac:dyDescent="0.25">
      <c r="A18088" t="s">
        <v>54932</v>
      </c>
      <c r="B18088" t="s">
        <v>55208</v>
      </c>
      <c r="C18088" t="s">
        <v>55209</v>
      </c>
      <c r="D18088" t="s">
        <v>55210</v>
      </c>
      <c r="E18088" t="s">
        <v>55211</v>
      </c>
      <c r="F18088" t="s">
        <v>55212</v>
      </c>
      <c r="G18088" s="2" t="str">
        <f>HYPERLINK("https://probpalata.gov.ru/files/ИП710103664000000.jpeg","Скачать индивидуальный QR-код магазина")</f>
        <v>Скачать индивидуальный QR-код магазина</v>
      </c>
    </row>
    <row r="18089" spans="1:7" x14ac:dyDescent="0.25">
      <c r="A18089" t="s">
        <v>54932</v>
      </c>
      <c r="B18089" t="s">
        <v>55213</v>
      </c>
      <c r="C18089" t="s">
        <v>55209</v>
      </c>
      <c r="D18089" t="s">
        <v>55210</v>
      </c>
      <c r="E18089" t="s">
        <v>55211</v>
      </c>
      <c r="F18089" t="s">
        <v>55214</v>
      </c>
      <c r="G18089" s="2" t="str">
        <f>HYPERLINK("https://probpalata.gov.ru/files/ИП710103664000001.jpeg","Скачать индивидуальный QR-код магазина")</f>
        <v>Скачать индивидуальный QR-код магазина</v>
      </c>
    </row>
    <row r="18090" spans="1:7" x14ac:dyDescent="0.25">
      <c r="A18090" t="s">
        <v>54932</v>
      </c>
      <c r="B18090" t="s">
        <v>55215</v>
      </c>
      <c r="C18090" t="s">
        <v>55209</v>
      </c>
      <c r="D18090" t="s">
        <v>55210</v>
      </c>
      <c r="E18090" t="s">
        <v>55211</v>
      </c>
      <c r="F18090" t="s">
        <v>55216</v>
      </c>
      <c r="G18090" s="2" t="str">
        <f>HYPERLINK("https://probpalata.gov.ru/files/ИП710103664000002.jpeg","Скачать индивидуальный QR-код магазина")</f>
        <v>Скачать индивидуальный QR-код магазина</v>
      </c>
    </row>
    <row r="18091" spans="1:7" x14ac:dyDescent="0.25">
      <c r="A18091" t="s">
        <v>54932</v>
      </c>
      <c r="B18091" t="s">
        <v>55217</v>
      </c>
      <c r="C18091" t="s">
        <v>55218</v>
      </c>
      <c r="D18091" t="s">
        <v>55219</v>
      </c>
      <c r="E18091" t="s">
        <v>55220</v>
      </c>
      <c r="F18091" t="s">
        <v>55221</v>
      </c>
      <c r="G18091" s="2" t="str">
        <f>HYPERLINK("https://probpalata.gov.ru/files/ЮЛ710100645100000.jpeg","Скачать индивидуальный QR-код магазина")</f>
        <v>Скачать индивидуальный QR-код магазина</v>
      </c>
    </row>
    <row r="18092" spans="1:7" x14ac:dyDescent="0.25">
      <c r="A18092" t="s">
        <v>54932</v>
      </c>
      <c r="B18092" t="s">
        <v>55222</v>
      </c>
      <c r="C18092" t="s">
        <v>55218</v>
      </c>
      <c r="D18092" t="s">
        <v>55219</v>
      </c>
      <c r="E18092" t="s">
        <v>55220</v>
      </c>
      <c r="F18092" t="s">
        <v>55223</v>
      </c>
      <c r="G18092" s="2" t="str">
        <f>HYPERLINK("https://probpalata.gov.ru/files/ЮЛ710100645100001.jpeg","Скачать индивидуальный QR-код магазина")</f>
        <v>Скачать индивидуальный QR-код магазина</v>
      </c>
    </row>
    <row r="18093" spans="1:7" x14ac:dyDescent="0.25">
      <c r="A18093" t="s">
        <v>54932</v>
      </c>
      <c r="B18093" t="s">
        <v>55224</v>
      </c>
      <c r="C18093" t="s">
        <v>55218</v>
      </c>
      <c r="D18093" t="s">
        <v>55219</v>
      </c>
      <c r="E18093" t="s">
        <v>55220</v>
      </c>
      <c r="F18093" t="s">
        <v>55225</v>
      </c>
      <c r="G18093" s="2" t="str">
        <f>HYPERLINK("https://probpalata.gov.ru/files/ЮЛ710100645100004.jpeg","Скачать индивидуальный QR-код магазина")</f>
        <v>Скачать индивидуальный QR-код магазина</v>
      </c>
    </row>
    <row r="18094" spans="1:7" x14ac:dyDescent="0.25">
      <c r="A18094" t="s">
        <v>54932</v>
      </c>
      <c r="B18094" t="s">
        <v>55226</v>
      </c>
      <c r="C18094" t="s">
        <v>55218</v>
      </c>
      <c r="D18094" t="s">
        <v>55219</v>
      </c>
      <c r="E18094" t="s">
        <v>55220</v>
      </c>
      <c r="F18094" t="s">
        <v>55227</v>
      </c>
      <c r="G18094" s="2" t="str">
        <f>HYPERLINK("https://probpalata.gov.ru/files/ЮЛ710100645100005.jpeg","Скачать индивидуальный QR-код магазина")</f>
        <v>Скачать индивидуальный QR-код магазина</v>
      </c>
    </row>
    <row r="18095" spans="1:7" x14ac:dyDescent="0.25">
      <c r="A18095" t="s">
        <v>54932</v>
      </c>
      <c r="B18095" t="s">
        <v>55228</v>
      </c>
      <c r="C18095" t="s">
        <v>55229</v>
      </c>
      <c r="D18095" t="s">
        <v>55230</v>
      </c>
      <c r="E18095" t="s">
        <v>55231</v>
      </c>
      <c r="F18095" t="s">
        <v>55232</v>
      </c>
      <c r="G18095" s="2" t="str">
        <f>HYPERLINK("https://probpalata.gov.ru/files/ИП710101585100000.jpeg","Скачать индивидуальный QR-код магазина")</f>
        <v>Скачать индивидуальный QR-код магазина</v>
      </c>
    </row>
    <row r="18096" spans="1:7" x14ac:dyDescent="0.25">
      <c r="A18096" t="s">
        <v>54932</v>
      </c>
      <c r="B18096" t="s">
        <v>55233</v>
      </c>
      <c r="C18096" t="s">
        <v>1745</v>
      </c>
      <c r="D18096" t="s">
        <v>1746</v>
      </c>
      <c r="E18096" t="s">
        <v>1747</v>
      </c>
      <c r="F18096" t="s">
        <v>55234</v>
      </c>
      <c r="G18096" s="2" t="str">
        <f>HYPERLINK("https://probpalata.gov.ru/files/ЮЛ770100201500557.jpeg","Скачать индивидуальный QR-код магазина")</f>
        <v>Скачать индивидуальный QR-код магазина</v>
      </c>
    </row>
    <row r="18097" spans="1:7" x14ac:dyDescent="0.25">
      <c r="A18097" t="s">
        <v>54932</v>
      </c>
      <c r="B18097" t="s">
        <v>55235</v>
      </c>
      <c r="C18097" t="s">
        <v>1745</v>
      </c>
      <c r="D18097" t="s">
        <v>1746</v>
      </c>
      <c r="E18097" t="s">
        <v>1747</v>
      </c>
      <c r="F18097" t="s">
        <v>55236</v>
      </c>
      <c r="G18097" s="2" t="str">
        <f>HYPERLINK("https://probpalata.gov.ru/files/ЮЛ770100201500565.jpeg","Скачать индивидуальный QR-код магазина")</f>
        <v>Скачать индивидуальный QR-код магазина</v>
      </c>
    </row>
    <row r="18098" spans="1:7" x14ac:dyDescent="0.25">
      <c r="A18098" t="s">
        <v>54932</v>
      </c>
      <c r="B18098" t="s">
        <v>55076</v>
      </c>
      <c r="C18098" t="s">
        <v>1745</v>
      </c>
      <c r="D18098" t="s">
        <v>1746</v>
      </c>
      <c r="E18098" t="s">
        <v>1747</v>
      </c>
      <c r="F18098" t="s">
        <v>55237</v>
      </c>
      <c r="G18098" s="2" t="str">
        <f>HYPERLINK("https://probpalata.gov.ru/files/ЮЛ770100201500579.jpeg","Скачать индивидуальный QR-код магазина")</f>
        <v>Скачать индивидуальный QR-код магазина</v>
      </c>
    </row>
    <row r="18099" spans="1:7" x14ac:dyDescent="0.25">
      <c r="A18099" t="s">
        <v>54932</v>
      </c>
      <c r="B18099" t="s">
        <v>55238</v>
      </c>
      <c r="C18099" t="s">
        <v>1745</v>
      </c>
      <c r="D18099" t="s">
        <v>1746</v>
      </c>
      <c r="E18099" t="s">
        <v>1747</v>
      </c>
      <c r="F18099" t="s">
        <v>55239</v>
      </c>
      <c r="G18099" s="2" t="str">
        <f>HYPERLINK("https://probpalata.gov.ru/files/ЮЛ770100201500580.jpeg","Скачать индивидуальный QR-код магазина")</f>
        <v>Скачать индивидуальный QR-код магазина</v>
      </c>
    </row>
    <row r="18100" spans="1:7" x14ac:dyDescent="0.25">
      <c r="A18100" t="s">
        <v>54932</v>
      </c>
      <c r="B18100" t="s">
        <v>55137</v>
      </c>
      <c r="C18100" t="s">
        <v>1745</v>
      </c>
      <c r="D18100" t="s">
        <v>1746</v>
      </c>
      <c r="E18100" t="s">
        <v>1747</v>
      </c>
      <c r="F18100" t="s">
        <v>55240</v>
      </c>
      <c r="G18100" s="2" t="str">
        <f>HYPERLINK("https://probpalata.gov.ru/files/ЮЛ770100201500596.jpeg","Скачать индивидуальный QR-код магазина")</f>
        <v>Скачать индивидуальный QR-код магазина</v>
      </c>
    </row>
    <row r="18101" spans="1:7" x14ac:dyDescent="0.25">
      <c r="A18101" t="s">
        <v>54932</v>
      </c>
      <c r="B18101" t="s">
        <v>55241</v>
      </c>
      <c r="C18101" t="s">
        <v>1745</v>
      </c>
      <c r="D18101" t="s">
        <v>1746</v>
      </c>
      <c r="E18101" t="s">
        <v>1747</v>
      </c>
      <c r="F18101" t="s">
        <v>55242</v>
      </c>
      <c r="G18101" s="2" t="str">
        <f>HYPERLINK("https://probpalata.gov.ru/files/ЮЛ770100201500740.jpeg","Скачать индивидуальный QR-код магазина")</f>
        <v>Скачать индивидуальный QR-код магазина</v>
      </c>
    </row>
    <row r="18102" spans="1:7" x14ac:dyDescent="0.25">
      <c r="A18102" t="s">
        <v>54932</v>
      </c>
      <c r="B18102" t="s">
        <v>55243</v>
      </c>
      <c r="C18102" t="s">
        <v>3157</v>
      </c>
      <c r="D18102" t="s">
        <v>3158</v>
      </c>
      <c r="E18102" t="s">
        <v>3159</v>
      </c>
      <c r="F18102" t="s">
        <v>55244</v>
      </c>
      <c r="G18102" s="2" t="str">
        <f>HYPERLINK("https://probpalata.gov.ru/files/ИП770100417900008.jpeg","Скачать индивидуальный QR-код магазина")</f>
        <v>Скачать индивидуальный QR-код магазина</v>
      </c>
    </row>
    <row r="18103" spans="1:7" x14ac:dyDescent="0.25">
      <c r="A18103" t="s">
        <v>54932</v>
      </c>
      <c r="B18103" t="s">
        <v>55245</v>
      </c>
      <c r="C18103" t="s">
        <v>1416</v>
      </c>
      <c r="D18103" t="s">
        <v>1417</v>
      </c>
      <c r="E18103" t="s">
        <v>1418</v>
      </c>
      <c r="F18103" t="s">
        <v>55246</v>
      </c>
      <c r="G18103" s="2" t="str">
        <f>HYPERLINK("https://probpalata.gov.ru/files/ЮЛ770100419400015.jpeg","Скачать индивидуальный QR-код магазина")</f>
        <v>Скачать индивидуальный QR-код магазина</v>
      </c>
    </row>
    <row r="18104" spans="1:7" x14ac:dyDescent="0.25">
      <c r="A18104" t="s">
        <v>54932</v>
      </c>
      <c r="B18104" t="s">
        <v>54952</v>
      </c>
      <c r="C18104" t="s">
        <v>1416</v>
      </c>
      <c r="D18104" t="s">
        <v>1417</v>
      </c>
      <c r="E18104" t="s">
        <v>1418</v>
      </c>
      <c r="F18104" t="s">
        <v>55247</v>
      </c>
      <c r="G18104" s="2" t="str">
        <f>HYPERLINK("https://probpalata.gov.ru/files/ЮЛ770100419400149.jpeg","Скачать индивидуальный QR-код магазина")</f>
        <v>Скачать индивидуальный QR-код магазина</v>
      </c>
    </row>
    <row r="18105" spans="1:7" x14ac:dyDescent="0.25">
      <c r="A18105" t="s">
        <v>54932</v>
      </c>
      <c r="B18105" t="s">
        <v>55248</v>
      </c>
      <c r="C18105" t="s">
        <v>748</v>
      </c>
      <c r="D18105" t="s">
        <v>749</v>
      </c>
      <c r="E18105" t="s">
        <v>750</v>
      </c>
      <c r="F18105" t="s">
        <v>55249</v>
      </c>
      <c r="G18105" s="2" t="str">
        <f>HYPERLINK("https://probpalata.gov.ru/files/ЮЛ770100193500032.jpeg","Скачать индивидуальный QR-код магазина")</f>
        <v>Скачать индивидуальный QR-код магазина</v>
      </c>
    </row>
    <row r="18106" spans="1:7" x14ac:dyDescent="0.25">
      <c r="A18106" t="s">
        <v>54932</v>
      </c>
      <c r="B18106" t="s">
        <v>55250</v>
      </c>
      <c r="C18106" t="s">
        <v>748</v>
      </c>
      <c r="D18106" t="s">
        <v>749</v>
      </c>
      <c r="E18106" t="s">
        <v>750</v>
      </c>
      <c r="F18106" t="s">
        <v>55251</v>
      </c>
      <c r="G18106" s="2" t="str">
        <f>HYPERLINK("https://probpalata.gov.ru/files/ЮЛ770100193500033.jpeg","Скачать индивидуальный QR-код магазина")</f>
        <v>Скачать индивидуальный QR-код магазина</v>
      </c>
    </row>
    <row r="18107" spans="1:7" x14ac:dyDescent="0.25">
      <c r="A18107" t="s">
        <v>54932</v>
      </c>
      <c r="B18107" t="s">
        <v>55252</v>
      </c>
      <c r="C18107" t="s">
        <v>748</v>
      </c>
      <c r="D18107" t="s">
        <v>749</v>
      </c>
      <c r="E18107" t="s">
        <v>750</v>
      </c>
      <c r="F18107" t="s">
        <v>55253</v>
      </c>
      <c r="G18107" s="2" t="str">
        <f>HYPERLINK("https://probpalata.gov.ru/files/ЮЛ770100193500520.jpeg","Скачать индивидуальный QR-код магазина")</f>
        <v>Скачать индивидуальный QR-код магазина</v>
      </c>
    </row>
    <row r="18108" spans="1:7" x14ac:dyDescent="0.25">
      <c r="A18108" t="s">
        <v>54932</v>
      </c>
      <c r="B18108" t="s">
        <v>55254</v>
      </c>
      <c r="C18108" t="s">
        <v>748</v>
      </c>
      <c r="D18108" t="s">
        <v>749</v>
      </c>
      <c r="E18108" t="s">
        <v>750</v>
      </c>
      <c r="F18108" t="s">
        <v>55255</v>
      </c>
      <c r="G18108" s="2" t="str">
        <f>HYPERLINK("https://probpalata.gov.ru/files/ЮЛ770100193500559.jpeg","Скачать индивидуальный QR-код магазина")</f>
        <v>Скачать индивидуальный QR-код магазина</v>
      </c>
    </row>
    <row r="18109" spans="1:7" x14ac:dyDescent="0.25">
      <c r="A18109" t="s">
        <v>54932</v>
      </c>
      <c r="B18109" t="s">
        <v>55245</v>
      </c>
      <c r="C18109" t="s">
        <v>748</v>
      </c>
      <c r="D18109" t="s">
        <v>749</v>
      </c>
      <c r="E18109" t="s">
        <v>750</v>
      </c>
      <c r="F18109" t="s">
        <v>55256</v>
      </c>
      <c r="G18109" s="2" t="str">
        <f>HYPERLINK("https://probpalata.gov.ru/files/ЮЛ770100193500761.jpeg","Скачать индивидуальный QR-код магазина")</f>
        <v>Скачать индивидуальный QR-код магазина</v>
      </c>
    </row>
    <row r="18110" spans="1:7" x14ac:dyDescent="0.25">
      <c r="A18110" t="s">
        <v>54932</v>
      </c>
      <c r="B18110" t="s">
        <v>55257</v>
      </c>
      <c r="C18110" t="s">
        <v>748</v>
      </c>
      <c r="D18110" t="s">
        <v>749</v>
      </c>
      <c r="E18110" t="s">
        <v>750</v>
      </c>
      <c r="F18110" t="s">
        <v>55258</v>
      </c>
      <c r="G18110" s="2" t="str">
        <f>HYPERLINK("https://probpalata.gov.ru/files/ЮЛ770100193500904.jpeg","Скачать индивидуальный QR-код магазина")</f>
        <v>Скачать индивидуальный QR-код магазина</v>
      </c>
    </row>
    <row r="18111" spans="1:7" x14ac:dyDescent="0.25">
      <c r="A18111" t="s">
        <v>54932</v>
      </c>
      <c r="B18111" t="s">
        <v>55259</v>
      </c>
      <c r="C18111" t="s">
        <v>748</v>
      </c>
      <c r="D18111" t="s">
        <v>749</v>
      </c>
      <c r="E18111" t="s">
        <v>750</v>
      </c>
      <c r="F18111" t="s">
        <v>55260</v>
      </c>
      <c r="G18111" s="2" t="str">
        <f>HYPERLINK("https://probpalata.gov.ru/files/ЮЛ770100193500944.jpeg","Скачать индивидуальный QR-код магазина")</f>
        <v>Скачать индивидуальный QR-код магазина</v>
      </c>
    </row>
    <row r="18112" spans="1:7" x14ac:dyDescent="0.25">
      <c r="A18112" t="s">
        <v>54932</v>
      </c>
      <c r="B18112" t="s">
        <v>55261</v>
      </c>
      <c r="C18112" t="s">
        <v>748</v>
      </c>
      <c r="D18112" t="s">
        <v>749</v>
      </c>
      <c r="E18112" t="s">
        <v>750</v>
      </c>
      <c r="F18112" t="s">
        <v>55262</v>
      </c>
      <c r="G18112" s="2" t="str">
        <f>HYPERLINK("https://probpalata.gov.ru/files/ЮЛ770100193500956.jpeg","Скачать индивидуальный QR-код магазина")</f>
        <v>Скачать индивидуальный QR-код магазина</v>
      </c>
    </row>
    <row r="18113" spans="1:7" x14ac:dyDescent="0.25">
      <c r="A18113" t="s">
        <v>54932</v>
      </c>
      <c r="B18113" t="s">
        <v>55076</v>
      </c>
      <c r="C18113" t="s">
        <v>748</v>
      </c>
      <c r="D18113" t="s">
        <v>749</v>
      </c>
      <c r="E18113" t="s">
        <v>750</v>
      </c>
      <c r="F18113" t="s">
        <v>55263</v>
      </c>
      <c r="G18113" s="2" t="str">
        <f>HYPERLINK("https://probpalata.gov.ru/files/ЮЛ770100193500957.jpeg","Скачать индивидуальный QR-код магазина")</f>
        <v>Скачать индивидуальный QR-код магазина</v>
      </c>
    </row>
    <row r="18114" spans="1:7" x14ac:dyDescent="0.25">
      <c r="A18114" t="s">
        <v>54932</v>
      </c>
      <c r="B18114" t="s">
        <v>55264</v>
      </c>
      <c r="C18114" t="s">
        <v>748</v>
      </c>
      <c r="D18114" t="s">
        <v>749</v>
      </c>
      <c r="E18114" t="s">
        <v>750</v>
      </c>
      <c r="F18114" t="s">
        <v>55265</v>
      </c>
      <c r="G18114" s="2" t="str">
        <f>HYPERLINK("https://probpalata.gov.ru/files/ЮЛ770100193500963.jpeg","Скачать индивидуальный QR-код магазина")</f>
        <v>Скачать индивидуальный QR-код магазина</v>
      </c>
    </row>
    <row r="18115" spans="1:7" x14ac:dyDescent="0.25">
      <c r="A18115" t="s">
        <v>54932</v>
      </c>
      <c r="B18115" t="s">
        <v>55266</v>
      </c>
      <c r="C18115" t="s">
        <v>748</v>
      </c>
      <c r="D18115" t="s">
        <v>749</v>
      </c>
      <c r="E18115" t="s">
        <v>750</v>
      </c>
      <c r="F18115" t="s">
        <v>55267</v>
      </c>
      <c r="G18115" s="2" t="str">
        <f>HYPERLINK("https://probpalata.gov.ru/files/ЮЛ770100193500964.jpeg","Скачать индивидуальный QR-код магазина")</f>
        <v>Скачать индивидуальный QR-код магазина</v>
      </c>
    </row>
    <row r="18116" spans="1:7" x14ac:dyDescent="0.25">
      <c r="A18116" t="s">
        <v>54932</v>
      </c>
      <c r="B18116" t="s">
        <v>55137</v>
      </c>
      <c r="C18116" t="s">
        <v>748</v>
      </c>
      <c r="D18116" t="s">
        <v>749</v>
      </c>
      <c r="E18116" t="s">
        <v>750</v>
      </c>
      <c r="F18116" t="s">
        <v>55268</v>
      </c>
      <c r="G18116" s="2" t="str">
        <f>HYPERLINK("https://probpalata.gov.ru/files/ЮЛ770100193500991.jpeg","Скачать индивидуальный QR-код магазина")</f>
        <v>Скачать индивидуальный QR-код магазина</v>
      </c>
    </row>
    <row r="18117" spans="1:7" x14ac:dyDescent="0.25">
      <c r="A18117" t="s">
        <v>54932</v>
      </c>
      <c r="B18117" t="s">
        <v>55269</v>
      </c>
      <c r="C18117" t="s">
        <v>748</v>
      </c>
      <c r="D18117" t="s">
        <v>749</v>
      </c>
      <c r="E18117" t="s">
        <v>750</v>
      </c>
      <c r="F18117" t="s">
        <v>55270</v>
      </c>
      <c r="G18117" s="2" t="str">
        <f>HYPERLINK("https://probpalata.gov.ru/files/ЮЛ770100193500999.jpeg","Скачать индивидуальный QR-код магазина")</f>
        <v>Скачать индивидуальный QR-код магазина</v>
      </c>
    </row>
    <row r="18118" spans="1:7" x14ac:dyDescent="0.25">
      <c r="A18118" t="s">
        <v>54932</v>
      </c>
      <c r="B18118" t="s">
        <v>55271</v>
      </c>
      <c r="C18118" t="s">
        <v>748</v>
      </c>
      <c r="D18118" t="s">
        <v>749</v>
      </c>
      <c r="E18118" t="s">
        <v>750</v>
      </c>
      <c r="F18118" t="s">
        <v>55272</v>
      </c>
      <c r="G18118" s="2" t="str">
        <f>HYPERLINK("https://probpalata.gov.ru/files/ЮЛ770100193501003.jpeg","Скачать индивидуальный QR-код магазина")</f>
        <v>Скачать индивидуальный QR-код магазина</v>
      </c>
    </row>
    <row r="18119" spans="1:7" x14ac:dyDescent="0.25">
      <c r="A18119" t="s">
        <v>54932</v>
      </c>
      <c r="B18119" t="s">
        <v>55273</v>
      </c>
      <c r="C18119" t="s">
        <v>748</v>
      </c>
      <c r="D18119" t="s">
        <v>749</v>
      </c>
      <c r="E18119" t="s">
        <v>750</v>
      </c>
      <c r="F18119" t="s">
        <v>55274</v>
      </c>
      <c r="G18119" s="2" t="str">
        <f>HYPERLINK("https://probpalata.gov.ru/files/ЮЛ770100193501044.jpeg","Скачать индивидуальный QR-код магазина")</f>
        <v>Скачать индивидуальный QR-код магазина</v>
      </c>
    </row>
    <row r="18120" spans="1:7" x14ac:dyDescent="0.25">
      <c r="A18120" t="s">
        <v>54932</v>
      </c>
      <c r="B18120" t="s">
        <v>55275</v>
      </c>
      <c r="C18120" t="s">
        <v>24777</v>
      </c>
      <c r="D18120" t="s">
        <v>24778</v>
      </c>
      <c r="E18120" t="s">
        <v>24779</v>
      </c>
      <c r="F18120" t="s">
        <v>55276</v>
      </c>
      <c r="G18120" s="2" t="str">
        <f>HYPERLINK("https://probpalata.gov.ru/files/ИП770101183600003.jpeg","Скачать индивидуальный QR-код магазина")</f>
        <v>Скачать индивидуальный QR-код магазина</v>
      </c>
    </row>
    <row r="18121" spans="1:7" x14ac:dyDescent="0.25">
      <c r="A18121" t="s">
        <v>54932</v>
      </c>
      <c r="B18121" t="s">
        <v>55277</v>
      </c>
      <c r="C18121" t="s">
        <v>773</v>
      </c>
      <c r="D18121" t="s">
        <v>774</v>
      </c>
      <c r="E18121" t="s">
        <v>775</v>
      </c>
      <c r="F18121" t="s">
        <v>55278</v>
      </c>
      <c r="G18121" s="2" t="str">
        <f>HYPERLINK("https://probpalata.gov.ru/files/ЮЛ780300131300132.jpeg","Скачать индивидуальный QR-код магазина")</f>
        <v>Скачать индивидуальный QR-код магазина</v>
      </c>
    </row>
    <row r="18122" spans="1:7" x14ac:dyDescent="0.25">
      <c r="A18122" t="s">
        <v>54932</v>
      </c>
      <c r="B18122" t="s">
        <v>55279</v>
      </c>
      <c r="C18122" t="s">
        <v>773</v>
      </c>
      <c r="D18122" t="s">
        <v>774</v>
      </c>
      <c r="E18122" t="s">
        <v>775</v>
      </c>
      <c r="F18122" t="s">
        <v>55280</v>
      </c>
      <c r="G18122" s="2" t="str">
        <f>HYPERLINK("https://probpalata.gov.ru/files/ЮЛ780300131300147.jpeg","Скачать индивидуальный QR-код магазина")</f>
        <v>Скачать индивидуальный QR-код магазина</v>
      </c>
    </row>
    <row r="18123" spans="1:7" x14ac:dyDescent="0.25">
      <c r="A18123" t="s">
        <v>54932</v>
      </c>
      <c r="B18123" t="s">
        <v>55281</v>
      </c>
      <c r="C18123" t="s">
        <v>773</v>
      </c>
      <c r="D18123" t="s">
        <v>774</v>
      </c>
      <c r="E18123" t="s">
        <v>775</v>
      </c>
      <c r="F18123" t="s">
        <v>55282</v>
      </c>
      <c r="G18123" s="2" t="str">
        <f>HYPERLINK("https://probpalata.gov.ru/files/ЮЛ780300131300148.jpeg","Скачать индивидуальный QR-код магазина")</f>
        <v>Скачать индивидуальный QR-код магазина</v>
      </c>
    </row>
    <row r="18124" spans="1:7" x14ac:dyDescent="0.25">
      <c r="A18124" t="s">
        <v>54932</v>
      </c>
      <c r="B18124" t="s">
        <v>55283</v>
      </c>
      <c r="C18124" t="s">
        <v>773</v>
      </c>
      <c r="D18124" t="s">
        <v>774</v>
      </c>
      <c r="E18124" t="s">
        <v>775</v>
      </c>
      <c r="F18124" t="s">
        <v>55284</v>
      </c>
      <c r="G18124" s="2" t="str">
        <f>HYPERLINK("https://probpalata.gov.ru/files/ЮЛ780300131300149.jpeg","Скачать индивидуальный QR-код магазина")</f>
        <v>Скачать индивидуальный QR-код магазина</v>
      </c>
    </row>
    <row r="18125" spans="1:7" x14ac:dyDescent="0.25">
      <c r="A18125" t="s">
        <v>54932</v>
      </c>
      <c r="B18125" t="s">
        <v>55285</v>
      </c>
      <c r="C18125" t="s">
        <v>773</v>
      </c>
      <c r="D18125" t="s">
        <v>774</v>
      </c>
      <c r="E18125" t="s">
        <v>775</v>
      </c>
      <c r="F18125" t="s">
        <v>55286</v>
      </c>
      <c r="G18125" s="2" t="str">
        <f>HYPERLINK("https://probpalata.gov.ru/files/ЮЛ780300131300150.jpeg","Скачать индивидуальный QR-код магазина")</f>
        <v>Скачать индивидуальный QR-код магазина</v>
      </c>
    </row>
    <row r="18126" spans="1:7" x14ac:dyDescent="0.25">
      <c r="A18126" t="s">
        <v>54932</v>
      </c>
      <c r="B18126" t="s">
        <v>55287</v>
      </c>
      <c r="C18126" t="s">
        <v>773</v>
      </c>
      <c r="D18126" t="s">
        <v>774</v>
      </c>
      <c r="E18126" t="s">
        <v>775</v>
      </c>
      <c r="F18126" t="s">
        <v>55288</v>
      </c>
      <c r="G18126" s="2" t="str">
        <f>HYPERLINK("https://probpalata.gov.ru/files/ЮЛ780300131300553.jpeg","Скачать индивидуальный QR-код магазина")</f>
        <v>Скачать индивидуальный QR-код магазина</v>
      </c>
    </row>
    <row r="18127" spans="1:7" x14ac:dyDescent="0.25">
      <c r="A18127" t="s">
        <v>54932</v>
      </c>
      <c r="B18127" t="s">
        <v>55289</v>
      </c>
      <c r="C18127" t="s">
        <v>787</v>
      </c>
      <c r="D18127" t="s">
        <v>788</v>
      </c>
      <c r="E18127" t="s">
        <v>789</v>
      </c>
      <c r="F18127" t="s">
        <v>55290</v>
      </c>
      <c r="G18127" s="2" t="str">
        <f>HYPERLINK("https://probpalata.gov.ru/files/ЮЛ780300328000076.jpeg","Скачать индивидуальный QR-код магазина")</f>
        <v>Скачать индивидуальный QR-код магазина</v>
      </c>
    </row>
    <row r="18128" spans="1:7" x14ac:dyDescent="0.25">
      <c r="A18128" t="s">
        <v>54932</v>
      </c>
      <c r="B18128" t="s">
        <v>55291</v>
      </c>
      <c r="C18128" t="s">
        <v>787</v>
      </c>
      <c r="D18128" t="s">
        <v>788</v>
      </c>
      <c r="E18128" t="s">
        <v>789</v>
      </c>
      <c r="F18128" t="s">
        <v>55292</v>
      </c>
      <c r="G18128" s="2" t="str">
        <f>HYPERLINK("https://probpalata.gov.ru/files/ЮЛ780300328000079.jpeg","Скачать индивидуальный QR-код магазина")</f>
        <v>Скачать индивидуальный QR-код магазина</v>
      </c>
    </row>
    <row r="18129" spans="1:7" x14ac:dyDescent="0.25">
      <c r="A18129" t="s">
        <v>54932</v>
      </c>
      <c r="B18129" t="s">
        <v>55293</v>
      </c>
      <c r="C18129" t="s">
        <v>4077</v>
      </c>
      <c r="D18129" t="s">
        <v>4078</v>
      </c>
      <c r="E18129" t="s">
        <v>4079</v>
      </c>
      <c r="F18129" t="s">
        <v>55294</v>
      </c>
      <c r="G18129" s="2" t="str">
        <f>HYPERLINK("https://probpalata.gov.ru/files/ЮЛ780300331800092.jpeg","Скачать индивидуальный QR-код магазина")</f>
        <v>Скачать индивидуальный QR-код магазина</v>
      </c>
    </row>
    <row r="18130" spans="1:7" x14ac:dyDescent="0.25">
      <c r="A18130" t="s">
        <v>54932</v>
      </c>
      <c r="B18130" t="s">
        <v>55295</v>
      </c>
      <c r="C18130" t="s">
        <v>798</v>
      </c>
      <c r="D18130" t="s">
        <v>799</v>
      </c>
      <c r="E18130" t="s">
        <v>800</v>
      </c>
      <c r="F18130" t="s">
        <v>55296</v>
      </c>
      <c r="G18130" s="2" t="str">
        <f>HYPERLINK("https://probpalata.gov.ru/files/ЮЛ780300308200001.jpeg","Скачать индивидуальный QR-код магазина")</f>
        <v>Скачать индивидуальный QR-код магазина</v>
      </c>
    </row>
    <row r="18131" spans="1:7" x14ac:dyDescent="0.25">
      <c r="A18131" t="s">
        <v>54932</v>
      </c>
      <c r="B18131" t="s">
        <v>55297</v>
      </c>
      <c r="C18131" t="s">
        <v>798</v>
      </c>
      <c r="D18131" t="s">
        <v>799</v>
      </c>
      <c r="E18131" t="s">
        <v>800</v>
      </c>
      <c r="F18131" t="s">
        <v>55298</v>
      </c>
      <c r="G18131" s="2" t="str">
        <f>HYPERLINK("https://probpalata.gov.ru/files/ЮЛ780300308200004.jpeg","Скачать индивидуальный QR-код магазина")</f>
        <v>Скачать индивидуальный QR-код магазина</v>
      </c>
    </row>
    <row r="18132" spans="1:7" x14ac:dyDescent="0.25">
      <c r="A18132" t="s">
        <v>54932</v>
      </c>
      <c r="B18132" t="s">
        <v>55299</v>
      </c>
      <c r="C18132" t="s">
        <v>798</v>
      </c>
      <c r="D18132" t="s">
        <v>799</v>
      </c>
      <c r="E18132" t="s">
        <v>800</v>
      </c>
      <c r="F18132" t="s">
        <v>55300</v>
      </c>
      <c r="G18132" s="2" t="str">
        <f>HYPERLINK("https://probpalata.gov.ru/files/ЮЛ780300308200005.jpeg","Скачать индивидуальный QR-код магазина")</f>
        <v>Скачать индивидуальный QR-код магазина</v>
      </c>
    </row>
    <row r="18133" spans="1:7" x14ac:dyDescent="0.25">
      <c r="A18133" t="s">
        <v>54932</v>
      </c>
      <c r="B18133" t="s">
        <v>55301</v>
      </c>
      <c r="C18133" t="s">
        <v>798</v>
      </c>
      <c r="D18133" t="s">
        <v>799</v>
      </c>
      <c r="E18133" t="s">
        <v>800</v>
      </c>
      <c r="F18133" t="s">
        <v>55302</v>
      </c>
      <c r="G18133" s="2" t="str">
        <f>HYPERLINK("https://probpalata.gov.ru/files/ЮЛ780300308200187.jpeg","Скачать индивидуальный QR-код магазина")</f>
        <v>Скачать индивидуальный QR-код магазина</v>
      </c>
    </row>
    <row r="18134" spans="1:7" x14ac:dyDescent="0.25">
      <c r="A18134" t="s">
        <v>54932</v>
      </c>
      <c r="B18134" t="s">
        <v>55303</v>
      </c>
      <c r="C18134" t="s">
        <v>798</v>
      </c>
      <c r="D18134" t="s">
        <v>799</v>
      </c>
      <c r="E18134" t="s">
        <v>800</v>
      </c>
      <c r="F18134" t="s">
        <v>55304</v>
      </c>
      <c r="G18134" s="2" t="str">
        <f>HYPERLINK("https://probpalata.gov.ru/files/ЮЛ780300308200572.jpeg","Скачать индивидуальный QR-код магазина")</f>
        <v>Скачать индивидуальный QR-код магазина</v>
      </c>
    </row>
    <row r="18135" spans="1:7" x14ac:dyDescent="0.25">
      <c r="A18135" t="s">
        <v>54932</v>
      </c>
      <c r="B18135" t="s">
        <v>55305</v>
      </c>
      <c r="C18135" t="s">
        <v>798</v>
      </c>
      <c r="D18135" t="s">
        <v>799</v>
      </c>
      <c r="E18135" t="s">
        <v>800</v>
      </c>
      <c r="F18135" t="s">
        <v>55306</v>
      </c>
      <c r="G18135" s="2" t="str">
        <f>HYPERLINK("https://probpalata.gov.ru/files/ЮЛ780300308200574.jpeg","Скачать индивидуальный QR-код магазина")</f>
        <v>Скачать индивидуальный QR-код магазина</v>
      </c>
    </row>
    <row r="18136" spans="1:7" x14ac:dyDescent="0.25">
      <c r="A18136" t="s">
        <v>54932</v>
      </c>
      <c r="B18136" t="s">
        <v>55307</v>
      </c>
      <c r="C18136" t="s">
        <v>798</v>
      </c>
      <c r="D18136" t="s">
        <v>799</v>
      </c>
      <c r="E18136" t="s">
        <v>800</v>
      </c>
      <c r="F18136" t="s">
        <v>55308</v>
      </c>
      <c r="G18136" s="2" t="str">
        <f>HYPERLINK("https://probpalata.gov.ru/files/ЮЛ780300308200576.jpeg","Скачать индивидуальный QR-код магазина")</f>
        <v>Скачать индивидуальный QR-код магазина</v>
      </c>
    </row>
    <row r="18137" spans="1:7" x14ac:dyDescent="0.25">
      <c r="A18137" t="s">
        <v>54932</v>
      </c>
      <c r="B18137" t="s">
        <v>55309</v>
      </c>
      <c r="C18137" t="s">
        <v>798</v>
      </c>
      <c r="D18137" t="s">
        <v>799</v>
      </c>
      <c r="E18137" t="s">
        <v>800</v>
      </c>
      <c r="F18137" t="s">
        <v>55310</v>
      </c>
      <c r="G18137" s="2" t="str">
        <f>HYPERLINK("https://probpalata.gov.ru/files/ЮЛ780300308200750.jpeg","Скачать индивидуальный QR-код магазина")</f>
        <v>Скачать индивидуальный QR-код магазина</v>
      </c>
    </row>
    <row r="18138" spans="1:7" x14ac:dyDescent="0.25">
      <c r="A18138" t="s">
        <v>54932</v>
      </c>
      <c r="B18138" t="s">
        <v>55311</v>
      </c>
      <c r="C18138" t="s">
        <v>798</v>
      </c>
      <c r="D18138" t="s">
        <v>799</v>
      </c>
      <c r="E18138" t="s">
        <v>800</v>
      </c>
      <c r="F18138" t="s">
        <v>55312</v>
      </c>
      <c r="G18138" s="2" t="str">
        <f>HYPERLINK("https://probpalata.gov.ru/files/ЮЛ780300308200782.jpeg","Скачать индивидуальный QR-код магазина")</f>
        <v>Скачать индивидуальный QR-код магазина</v>
      </c>
    </row>
    <row r="18139" spans="1:7" x14ac:dyDescent="0.25">
      <c r="A18139" t="s">
        <v>54932</v>
      </c>
      <c r="B18139" t="s">
        <v>55313</v>
      </c>
      <c r="C18139" t="s">
        <v>798</v>
      </c>
      <c r="D18139" t="s">
        <v>799</v>
      </c>
      <c r="E18139" t="s">
        <v>800</v>
      </c>
      <c r="F18139" t="s">
        <v>55314</v>
      </c>
      <c r="G18139" s="2" t="str">
        <f>HYPERLINK("https://probpalata.gov.ru/files/ЮЛ780300308200824.jpeg","Скачать индивидуальный QR-код магазина")</f>
        <v>Скачать индивидуальный QR-код магазина</v>
      </c>
    </row>
    <row r="18140" spans="1:7" x14ac:dyDescent="0.25">
      <c r="A18140" t="s">
        <v>54932</v>
      </c>
      <c r="B18140" t="s">
        <v>55283</v>
      </c>
      <c r="C18140" t="s">
        <v>798</v>
      </c>
      <c r="D18140" t="s">
        <v>799</v>
      </c>
      <c r="E18140" t="s">
        <v>800</v>
      </c>
      <c r="F18140" t="s">
        <v>55315</v>
      </c>
      <c r="G18140" s="2" t="str">
        <f>HYPERLINK("https://probpalata.gov.ru/files/ЮЛ780300308200879.jpeg","Скачать индивидуальный QR-код магазина")</f>
        <v>Скачать индивидуальный QR-код магазина</v>
      </c>
    </row>
    <row r="18141" spans="1:7" x14ac:dyDescent="0.25">
      <c r="A18141" t="s">
        <v>54932</v>
      </c>
      <c r="B18141" t="s">
        <v>55316</v>
      </c>
      <c r="C18141" t="s">
        <v>798</v>
      </c>
      <c r="D18141" t="s">
        <v>799</v>
      </c>
      <c r="E18141" t="s">
        <v>800</v>
      </c>
      <c r="F18141" t="s">
        <v>55317</v>
      </c>
      <c r="G18141" s="2" t="str">
        <f>HYPERLINK("https://probpalata.gov.ru/files/ЮЛ780300308200887.jpeg","Скачать индивидуальный QR-код магазина")</f>
        <v>Скачать индивидуальный QR-код магазина</v>
      </c>
    </row>
    <row r="18142" spans="1:7" x14ac:dyDescent="0.25">
      <c r="A18142" t="s">
        <v>54932</v>
      </c>
      <c r="B18142" t="s">
        <v>55318</v>
      </c>
      <c r="C18142" t="s">
        <v>798</v>
      </c>
      <c r="D18142" t="s">
        <v>799</v>
      </c>
      <c r="E18142" t="s">
        <v>800</v>
      </c>
      <c r="F18142" t="s">
        <v>55319</v>
      </c>
      <c r="G18142" s="2" t="str">
        <f>HYPERLINK("https://probpalata.gov.ru/files/ЮЛ780300308201005.jpeg","Скачать индивидуальный QR-код магазина")</f>
        <v>Скачать индивидуальный QR-код магазина</v>
      </c>
    </row>
    <row r="18143" spans="1:7" x14ac:dyDescent="0.25">
      <c r="A18143" t="s">
        <v>54932</v>
      </c>
      <c r="B18143" t="s">
        <v>55273</v>
      </c>
      <c r="C18143" t="s">
        <v>798</v>
      </c>
      <c r="D18143" t="s">
        <v>799</v>
      </c>
      <c r="E18143" t="s">
        <v>800</v>
      </c>
      <c r="F18143" t="s">
        <v>55320</v>
      </c>
      <c r="G18143" s="2" t="str">
        <f>HYPERLINK("https://probpalata.gov.ru/files/ЮЛ780300308201189.jpeg","Скачать индивидуальный QR-код магазина")</f>
        <v>Скачать индивидуальный QR-код магазина</v>
      </c>
    </row>
    <row r="18144" spans="1:7" x14ac:dyDescent="0.25">
      <c r="A18144" t="s">
        <v>54932</v>
      </c>
      <c r="B18144" t="s">
        <v>55321</v>
      </c>
      <c r="C18144" t="s">
        <v>798</v>
      </c>
      <c r="D18144" t="s">
        <v>799</v>
      </c>
      <c r="E18144" t="s">
        <v>800</v>
      </c>
      <c r="F18144" t="s">
        <v>55322</v>
      </c>
      <c r="G18144" s="2" t="str">
        <f>HYPERLINK("https://probpalata.gov.ru/files/ЮЛ780300308201192.jpeg","Скачать индивидуальный QR-код магазина")</f>
        <v>Скачать индивидуальный QR-код магазина</v>
      </c>
    </row>
    <row r="18145" spans="1:7" x14ac:dyDescent="0.25">
      <c r="A18145" t="s">
        <v>54932</v>
      </c>
      <c r="B18145" t="s">
        <v>55323</v>
      </c>
      <c r="C18145" t="s">
        <v>823</v>
      </c>
      <c r="D18145" t="s">
        <v>824</v>
      </c>
      <c r="E18145" t="s">
        <v>825</v>
      </c>
      <c r="F18145" t="s">
        <v>55324</v>
      </c>
      <c r="G18145" s="2" t="str">
        <f>HYPERLINK("https://probpalata.gov.ru/files/ЮЛ780300363500226.jpeg","Скачать индивидуальный QR-код магазина")</f>
        <v>Скачать индивидуальный QR-код магазина</v>
      </c>
    </row>
    <row r="18146" spans="1:7" x14ac:dyDescent="0.25">
      <c r="A18146" t="s">
        <v>54932</v>
      </c>
      <c r="B18146" t="s">
        <v>55325</v>
      </c>
      <c r="C18146" t="s">
        <v>25998</v>
      </c>
      <c r="D18146" t="s">
        <v>25999</v>
      </c>
      <c r="E18146" t="s">
        <v>26000</v>
      </c>
      <c r="F18146" t="s">
        <v>55326</v>
      </c>
      <c r="G18146" s="2" t="str">
        <f>HYPERLINK("https://probpalata.gov.ru/files/ЮЛ770103800100002.jpeg","Скачать индивидуальный QR-код магазина")</f>
        <v>Скачать индивидуальный QR-код магазина</v>
      </c>
    </row>
    <row r="18147" spans="1:7" x14ac:dyDescent="0.25">
      <c r="A18147" t="s">
        <v>54932</v>
      </c>
      <c r="B18147" t="s">
        <v>55327</v>
      </c>
      <c r="C18147" t="s">
        <v>1501</v>
      </c>
      <c r="D18147" t="s">
        <v>1502</v>
      </c>
      <c r="E18147" t="s">
        <v>1503</v>
      </c>
      <c r="F18147" t="s">
        <v>55328</v>
      </c>
      <c r="G18147" s="2" t="str">
        <f>HYPERLINK("https://probpalata.gov.ru/files/ЮЛ770100439200131.jpeg","Скачать индивидуальный QR-код магазина")</f>
        <v>Скачать индивидуальный QR-код магазина</v>
      </c>
    </row>
    <row r="18148" spans="1:7" x14ac:dyDescent="0.25">
      <c r="A18148" t="s">
        <v>54932</v>
      </c>
      <c r="B18148" t="s">
        <v>55329</v>
      </c>
      <c r="C18148" t="s">
        <v>1501</v>
      </c>
      <c r="D18148" t="s">
        <v>1502</v>
      </c>
      <c r="E18148" t="s">
        <v>1503</v>
      </c>
      <c r="F18148" t="s">
        <v>55330</v>
      </c>
      <c r="G18148" s="2" t="str">
        <f>HYPERLINK("https://probpalata.gov.ru/files/ЮЛ770100439200221.jpeg","Скачать индивидуальный QR-код магазина")</f>
        <v>Скачать индивидуальный QR-код магазина</v>
      </c>
    </row>
    <row r="18149" spans="1:7" x14ac:dyDescent="0.25">
      <c r="A18149" t="s">
        <v>55331</v>
      </c>
      <c r="B18149" t="s">
        <v>55332</v>
      </c>
      <c r="C18149" t="s">
        <v>55333</v>
      </c>
      <c r="D18149" t="s">
        <v>55334</v>
      </c>
      <c r="E18149" t="s">
        <v>55335</v>
      </c>
      <c r="F18149" t="s">
        <v>55336</v>
      </c>
      <c r="G18149" s="2" t="str">
        <f>HYPERLINK("https://probpalata.gov.ru/files/ИП230403887600000.jpeg","Скачать индивидуальный QR-код магазина")</f>
        <v>Скачать индивидуальный QR-код магазина</v>
      </c>
    </row>
    <row r="18150" spans="1:7" x14ac:dyDescent="0.25">
      <c r="A18150" t="s">
        <v>55331</v>
      </c>
      <c r="B18150" t="s">
        <v>55337</v>
      </c>
      <c r="C18150" t="s">
        <v>14558</v>
      </c>
      <c r="D18150" t="s">
        <v>14559</v>
      </c>
      <c r="E18150" t="s">
        <v>14560</v>
      </c>
      <c r="F18150" t="s">
        <v>55338</v>
      </c>
      <c r="G18150" s="2" t="str">
        <f>HYPERLINK("https://probpalata.gov.ru/files/ЮЛ240800183000018.jpeg","Скачать индивидуальный QR-код магазина")</f>
        <v>Скачать индивидуальный QR-код магазина</v>
      </c>
    </row>
    <row r="18151" spans="1:7" x14ac:dyDescent="0.25">
      <c r="A18151" t="s">
        <v>55331</v>
      </c>
      <c r="B18151" t="s">
        <v>55339</v>
      </c>
      <c r="C18151" t="s">
        <v>14558</v>
      </c>
      <c r="D18151" t="s">
        <v>14559</v>
      </c>
      <c r="E18151" t="s">
        <v>14560</v>
      </c>
      <c r="F18151" t="s">
        <v>55340</v>
      </c>
      <c r="G18151" s="2" t="str">
        <f>HYPERLINK("https://probpalata.gov.ru/files/ЮЛ240800183000019.jpeg","Скачать индивидуальный QR-код магазина")</f>
        <v>Скачать индивидуальный QR-код магазина</v>
      </c>
    </row>
    <row r="18152" spans="1:7" x14ac:dyDescent="0.25">
      <c r="A18152" t="s">
        <v>55331</v>
      </c>
      <c r="B18152" t="s">
        <v>55341</v>
      </c>
      <c r="C18152" t="s">
        <v>14558</v>
      </c>
      <c r="D18152" t="s">
        <v>14559</v>
      </c>
      <c r="E18152" t="s">
        <v>14560</v>
      </c>
      <c r="F18152" t="s">
        <v>55342</v>
      </c>
      <c r="G18152" s="2" t="str">
        <f>HYPERLINK("https://probpalata.gov.ru/files/ЮЛ240800183000020.jpeg","Скачать индивидуальный QR-код магазина")</f>
        <v>Скачать индивидуальный QR-код магазина</v>
      </c>
    </row>
    <row r="18153" spans="1:7" x14ac:dyDescent="0.25">
      <c r="A18153" t="s">
        <v>55331</v>
      </c>
      <c r="B18153" t="s">
        <v>55343</v>
      </c>
      <c r="C18153" t="s">
        <v>14558</v>
      </c>
      <c r="D18153" t="s">
        <v>14559</v>
      </c>
      <c r="E18153" t="s">
        <v>14560</v>
      </c>
      <c r="F18153" t="s">
        <v>55344</v>
      </c>
      <c r="G18153" s="2" t="str">
        <f>HYPERLINK("https://probpalata.gov.ru/files/ЮЛ240800183000021.jpeg","Скачать индивидуальный QR-код магазина")</f>
        <v>Скачать индивидуальный QR-код магазина</v>
      </c>
    </row>
    <row r="18154" spans="1:7" x14ac:dyDescent="0.25">
      <c r="A18154" t="s">
        <v>55331</v>
      </c>
      <c r="B18154" t="s">
        <v>55345</v>
      </c>
      <c r="C18154" t="s">
        <v>14558</v>
      </c>
      <c r="D18154" t="s">
        <v>14559</v>
      </c>
      <c r="E18154" t="s">
        <v>14560</v>
      </c>
      <c r="F18154" t="s">
        <v>55346</v>
      </c>
      <c r="G18154" s="2" t="str">
        <f>HYPERLINK("https://probpalata.gov.ru/files/ЮЛ240800183000095.jpeg","Скачать индивидуальный QR-код магазина")</f>
        <v>Скачать индивидуальный QR-код магазина</v>
      </c>
    </row>
    <row r="18155" spans="1:7" x14ac:dyDescent="0.25">
      <c r="A18155" t="s">
        <v>55331</v>
      </c>
      <c r="B18155" t="s">
        <v>55347</v>
      </c>
      <c r="C18155" t="s">
        <v>9980</v>
      </c>
      <c r="D18155" t="s">
        <v>9981</v>
      </c>
      <c r="E18155" t="s">
        <v>9982</v>
      </c>
      <c r="F18155" t="s">
        <v>55348</v>
      </c>
      <c r="G18155" s="2" t="str">
        <f>HYPERLINK("https://probpalata.gov.ru/files/ИП240801156100005.jpeg","Скачать индивидуальный QR-код магазина")</f>
        <v>Скачать индивидуальный QR-код магазина</v>
      </c>
    </row>
    <row r="18156" spans="1:7" x14ac:dyDescent="0.25">
      <c r="A18156" t="s">
        <v>55331</v>
      </c>
      <c r="B18156" t="s">
        <v>55347</v>
      </c>
      <c r="C18156" t="s">
        <v>671</v>
      </c>
      <c r="D18156" t="s">
        <v>672</v>
      </c>
      <c r="E18156" t="s">
        <v>673</v>
      </c>
      <c r="F18156" t="s">
        <v>55349</v>
      </c>
      <c r="G18156" s="2" t="str">
        <f>HYPERLINK("https://probpalata.gov.ru/files/ИП500100445500027.jpeg","Скачать индивидуальный QR-код магазина")</f>
        <v>Скачать индивидуальный QR-код магазина</v>
      </c>
    </row>
    <row r="18157" spans="1:7" x14ac:dyDescent="0.25">
      <c r="A18157" t="s">
        <v>55331</v>
      </c>
      <c r="B18157" t="s">
        <v>55350</v>
      </c>
      <c r="C18157" t="s">
        <v>671</v>
      </c>
      <c r="D18157" t="s">
        <v>672</v>
      </c>
      <c r="E18157" t="s">
        <v>673</v>
      </c>
      <c r="F18157" t="s">
        <v>55351</v>
      </c>
      <c r="G18157" s="2" t="str">
        <f>HYPERLINK("https://probpalata.gov.ru/files/ИП500100445500121.jpeg","Скачать индивидуальный QR-код магазина")</f>
        <v>Скачать индивидуальный QR-код магазина</v>
      </c>
    </row>
    <row r="18158" spans="1:7" x14ac:dyDescent="0.25">
      <c r="A18158" t="s">
        <v>55331</v>
      </c>
      <c r="B18158" t="s">
        <v>55352</v>
      </c>
      <c r="C18158" t="s">
        <v>1735</v>
      </c>
      <c r="D18158" t="s">
        <v>1736</v>
      </c>
      <c r="E18158" t="s">
        <v>1737</v>
      </c>
      <c r="F18158" t="s">
        <v>55353</v>
      </c>
      <c r="G18158" s="2" t="str">
        <f>HYPERLINK("https://probpalata.gov.ru/files/ЮЛ520603376600031.jpeg","Скачать индивидуальный QR-код магазина")</f>
        <v>Скачать индивидуальный QR-код магазина</v>
      </c>
    </row>
    <row r="18159" spans="1:7" x14ac:dyDescent="0.25">
      <c r="A18159" t="s">
        <v>55331</v>
      </c>
      <c r="B18159" t="s">
        <v>55347</v>
      </c>
      <c r="C18159" t="s">
        <v>1735</v>
      </c>
      <c r="D18159" t="s">
        <v>1736</v>
      </c>
      <c r="E18159" t="s">
        <v>1737</v>
      </c>
      <c r="F18159" t="s">
        <v>55354</v>
      </c>
      <c r="G18159" s="2" t="str">
        <f>HYPERLINK("https://probpalata.gov.ru/files/ЮЛ520603376600047.jpeg","Скачать индивидуальный QR-код магазина")</f>
        <v>Скачать индивидуальный QR-код магазина</v>
      </c>
    </row>
    <row r="18160" spans="1:7" x14ac:dyDescent="0.25">
      <c r="A18160" t="s">
        <v>55331</v>
      </c>
      <c r="B18160" t="s">
        <v>55355</v>
      </c>
      <c r="C18160" t="s">
        <v>1735</v>
      </c>
      <c r="D18160" t="s">
        <v>1736</v>
      </c>
      <c r="E18160" t="s">
        <v>1737</v>
      </c>
      <c r="F18160" t="s">
        <v>55356</v>
      </c>
      <c r="G18160" s="2" t="str">
        <f>HYPERLINK("https://probpalata.gov.ru/files/ЮЛ520603376600066.jpeg","Скачать индивидуальный QR-код магазина")</f>
        <v>Скачать индивидуальный QR-код магазина</v>
      </c>
    </row>
    <row r="18161" spans="1:7" x14ac:dyDescent="0.25">
      <c r="A18161" t="s">
        <v>55331</v>
      </c>
      <c r="B18161" t="s">
        <v>55357</v>
      </c>
      <c r="C18161" t="s">
        <v>41440</v>
      </c>
      <c r="D18161" t="s">
        <v>41441</v>
      </c>
      <c r="E18161" t="s">
        <v>41442</v>
      </c>
      <c r="F18161" t="s">
        <v>55358</v>
      </c>
      <c r="G18161" s="2" t="str">
        <f>HYPERLINK("https://probpalata.gov.ru/files/ИП540801100000007.jpeg","Скачать индивидуальный QR-код магазина")</f>
        <v>Скачать индивидуальный QR-код магазина</v>
      </c>
    </row>
    <row r="18162" spans="1:7" x14ac:dyDescent="0.25">
      <c r="A18162" t="s">
        <v>55331</v>
      </c>
      <c r="B18162" t="s">
        <v>55359</v>
      </c>
      <c r="C18162" t="s">
        <v>33253</v>
      </c>
      <c r="D18162" t="s">
        <v>33254</v>
      </c>
      <c r="E18162" t="s">
        <v>33255</v>
      </c>
      <c r="F18162" t="s">
        <v>55360</v>
      </c>
      <c r="G18162" s="2" t="str">
        <f>HYPERLINK("https://probpalata.gov.ru/files/ИП550801602500001.jpeg","Скачать индивидуальный QR-код магазина")</f>
        <v>Скачать индивидуальный QR-код магазина</v>
      </c>
    </row>
    <row r="18163" spans="1:7" x14ac:dyDescent="0.25">
      <c r="A18163" t="s">
        <v>55331</v>
      </c>
      <c r="B18163" t="s">
        <v>55361</v>
      </c>
      <c r="C18163" t="s">
        <v>33253</v>
      </c>
      <c r="D18163" t="s">
        <v>33254</v>
      </c>
      <c r="E18163" t="s">
        <v>33255</v>
      </c>
      <c r="F18163" t="s">
        <v>55362</v>
      </c>
      <c r="G18163" s="2" t="str">
        <f>HYPERLINK("https://probpalata.gov.ru/files/ИП550801602500002.jpeg","Скачать индивидуальный QR-код магазина")</f>
        <v>Скачать индивидуальный QR-код магазина</v>
      </c>
    </row>
    <row r="18164" spans="1:7" x14ac:dyDescent="0.25">
      <c r="A18164" t="s">
        <v>55331</v>
      </c>
      <c r="B18164" t="s">
        <v>55363</v>
      </c>
      <c r="C18164" t="s">
        <v>33253</v>
      </c>
      <c r="D18164" t="s">
        <v>33254</v>
      </c>
      <c r="E18164" t="s">
        <v>33255</v>
      </c>
      <c r="F18164" t="s">
        <v>55364</v>
      </c>
      <c r="G18164" s="2" t="str">
        <f>HYPERLINK("https://probpalata.gov.ru/files/ИП550801602500005.jpeg","Скачать индивидуальный QR-код магазина")</f>
        <v>Скачать индивидуальный QR-код магазина</v>
      </c>
    </row>
    <row r="18165" spans="1:7" x14ac:dyDescent="0.25">
      <c r="A18165" t="s">
        <v>55331</v>
      </c>
      <c r="B18165" t="s">
        <v>55365</v>
      </c>
      <c r="C18165" t="s">
        <v>55366</v>
      </c>
      <c r="D18165" t="s">
        <v>55367</v>
      </c>
      <c r="E18165" t="s">
        <v>55368</v>
      </c>
      <c r="F18165" t="s">
        <v>55369</v>
      </c>
      <c r="G18165" s="2" t="str">
        <f>HYPERLINK("https://probpalata.gov.ru/files/ИП720703388700000.jpeg","Скачать индивидуальный QR-код магазина")</f>
        <v>Скачать индивидуальный QR-код магазина</v>
      </c>
    </row>
    <row r="18166" spans="1:7" x14ac:dyDescent="0.25">
      <c r="A18166" t="s">
        <v>55331</v>
      </c>
      <c r="B18166" t="s">
        <v>55370</v>
      </c>
      <c r="C18166" t="s">
        <v>55366</v>
      </c>
      <c r="D18166" t="s">
        <v>55367</v>
      </c>
      <c r="E18166" t="s">
        <v>55368</v>
      </c>
      <c r="F18166" t="s">
        <v>55371</v>
      </c>
      <c r="G18166" s="2" t="str">
        <f>HYPERLINK("https://probpalata.gov.ru/files/ИП720703388700002.jpeg","Скачать индивидуальный QR-код магазина")</f>
        <v>Скачать индивидуальный QR-код магазина</v>
      </c>
    </row>
    <row r="18167" spans="1:7" x14ac:dyDescent="0.25">
      <c r="A18167" t="s">
        <v>55331</v>
      </c>
      <c r="B18167" t="s">
        <v>55372</v>
      </c>
      <c r="C18167" t="s">
        <v>35262</v>
      </c>
      <c r="D18167" t="s">
        <v>35263</v>
      </c>
      <c r="E18167" t="s">
        <v>35264</v>
      </c>
      <c r="F18167" t="s">
        <v>55373</v>
      </c>
      <c r="G18167" s="2" t="str">
        <f>HYPERLINK("https://probpalata.gov.ru/files/ИП590601426900020.jpeg","Скачать индивидуальный QR-код магазина")</f>
        <v>Скачать индивидуальный QR-код магазина</v>
      </c>
    </row>
    <row r="18168" spans="1:7" x14ac:dyDescent="0.25">
      <c r="A18168" t="s">
        <v>55331</v>
      </c>
      <c r="B18168" t="s">
        <v>55374</v>
      </c>
      <c r="C18168" t="s">
        <v>35262</v>
      </c>
      <c r="D18168" t="s">
        <v>35263</v>
      </c>
      <c r="E18168" t="s">
        <v>35264</v>
      </c>
      <c r="F18168" t="s">
        <v>55375</v>
      </c>
      <c r="G18168" s="2" t="str">
        <f>HYPERLINK("https://probpalata.gov.ru/files/ИП590601426900021.jpeg","Скачать индивидуальный QR-код магазина")</f>
        <v>Скачать индивидуальный QR-код магазина</v>
      </c>
    </row>
    <row r="18169" spans="1:7" x14ac:dyDescent="0.25">
      <c r="A18169" t="s">
        <v>55331</v>
      </c>
      <c r="B18169" t="s">
        <v>55376</v>
      </c>
      <c r="C18169" t="s">
        <v>35262</v>
      </c>
      <c r="D18169" t="s">
        <v>35263</v>
      </c>
      <c r="E18169" t="s">
        <v>35264</v>
      </c>
      <c r="F18169" t="s">
        <v>55377</v>
      </c>
      <c r="G18169" s="2" t="str">
        <f>HYPERLINK("https://probpalata.gov.ru/files/ИП590601426900024.jpeg","Скачать индивидуальный QR-код магазина")</f>
        <v>Скачать индивидуальный QR-код магазина</v>
      </c>
    </row>
    <row r="18170" spans="1:7" x14ac:dyDescent="0.25">
      <c r="A18170" t="s">
        <v>55331</v>
      </c>
      <c r="B18170" t="s">
        <v>55378</v>
      </c>
      <c r="C18170" t="s">
        <v>35262</v>
      </c>
      <c r="D18170" t="s">
        <v>35263</v>
      </c>
      <c r="E18170" t="s">
        <v>35264</v>
      </c>
      <c r="F18170" t="s">
        <v>55379</v>
      </c>
      <c r="G18170" s="2" t="str">
        <f>HYPERLINK("https://probpalata.gov.ru/files/ИП590601426900046.jpeg","Скачать индивидуальный QR-код магазина")</f>
        <v>Скачать индивидуальный QR-код магазина</v>
      </c>
    </row>
    <row r="18171" spans="1:7" x14ac:dyDescent="0.25">
      <c r="A18171" t="s">
        <v>55331</v>
      </c>
      <c r="B18171" t="s">
        <v>55380</v>
      </c>
      <c r="C18171" t="s">
        <v>35262</v>
      </c>
      <c r="D18171" t="s">
        <v>35263</v>
      </c>
      <c r="E18171" t="s">
        <v>35264</v>
      </c>
      <c r="F18171" t="s">
        <v>55381</v>
      </c>
      <c r="G18171" s="2" t="str">
        <f>HYPERLINK("https://probpalata.gov.ru/files/ИП590601426900048.jpeg","Скачать индивидуальный QR-код магазина")</f>
        <v>Скачать индивидуальный QR-код магазина</v>
      </c>
    </row>
    <row r="18172" spans="1:7" x14ac:dyDescent="0.25">
      <c r="A18172" t="s">
        <v>55331</v>
      </c>
      <c r="B18172" t="s">
        <v>55382</v>
      </c>
      <c r="C18172" t="s">
        <v>55383</v>
      </c>
      <c r="D18172" t="s">
        <v>55384</v>
      </c>
      <c r="E18172" t="s">
        <v>55385</v>
      </c>
      <c r="F18172" t="s">
        <v>55386</v>
      </c>
      <c r="G18172" s="2" t="str">
        <f>HYPERLINK("https://probpalata.gov.ru/files/ИП720703176300000.jpeg","Скачать индивидуальный QR-код магазина")</f>
        <v>Скачать индивидуальный QR-код магазина</v>
      </c>
    </row>
    <row r="18173" spans="1:7" x14ac:dyDescent="0.25">
      <c r="A18173" t="s">
        <v>55331</v>
      </c>
      <c r="B18173" t="s">
        <v>55387</v>
      </c>
      <c r="C18173" t="s">
        <v>55383</v>
      </c>
      <c r="D18173" t="s">
        <v>55384</v>
      </c>
      <c r="E18173" t="s">
        <v>55385</v>
      </c>
      <c r="F18173" t="s">
        <v>55388</v>
      </c>
      <c r="G18173" s="2" t="str">
        <f>HYPERLINK("https://probpalata.gov.ru/files/ИП720703176300001.jpeg","Скачать индивидуальный QR-код магазина")</f>
        <v>Скачать индивидуальный QR-код магазина</v>
      </c>
    </row>
    <row r="18174" spans="1:7" x14ac:dyDescent="0.25">
      <c r="A18174" t="s">
        <v>55331</v>
      </c>
      <c r="B18174" t="s">
        <v>55389</v>
      </c>
      <c r="C18174" t="s">
        <v>55383</v>
      </c>
      <c r="D18174" t="s">
        <v>55384</v>
      </c>
      <c r="E18174" t="s">
        <v>55385</v>
      </c>
      <c r="F18174" t="s">
        <v>55390</v>
      </c>
      <c r="G18174" s="2" t="str">
        <f>HYPERLINK("https://probpalata.gov.ru/files/ИП720703176300002.jpeg","Скачать индивидуальный QR-код магазина")</f>
        <v>Скачать индивидуальный QR-код магазина</v>
      </c>
    </row>
    <row r="18175" spans="1:7" x14ac:dyDescent="0.25">
      <c r="A18175" t="s">
        <v>55331</v>
      </c>
      <c r="B18175" t="s">
        <v>55391</v>
      </c>
      <c r="C18175" t="s">
        <v>55383</v>
      </c>
      <c r="D18175" t="s">
        <v>55384</v>
      </c>
      <c r="E18175" t="s">
        <v>55385</v>
      </c>
      <c r="F18175" t="s">
        <v>55392</v>
      </c>
      <c r="G18175" s="2" t="str">
        <f>HYPERLINK("https://probpalata.gov.ru/files/ИП720703176300003.jpeg","Скачать индивидуальный QR-код магазина")</f>
        <v>Скачать индивидуальный QR-код магазина</v>
      </c>
    </row>
    <row r="18176" spans="1:7" x14ac:dyDescent="0.25">
      <c r="A18176" t="s">
        <v>55331</v>
      </c>
      <c r="B18176" t="s">
        <v>55393</v>
      </c>
      <c r="C18176" t="s">
        <v>55383</v>
      </c>
      <c r="D18176" t="s">
        <v>55384</v>
      </c>
      <c r="E18176" t="s">
        <v>55385</v>
      </c>
      <c r="F18176" t="s">
        <v>55394</v>
      </c>
      <c r="G18176" s="2" t="str">
        <f>HYPERLINK("https://probpalata.gov.ru/files/ИП720703176300004.jpeg","Скачать индивидуальный QR-код магазина")</f>
        <v>Скачать индивидуальный QR-код магазина</v>
      </c>
    </row>
    <row r="18177" spans="1:7" x14ac:dyDescent="0.25">
      <c r="A18177" t="s">
        <v>55331</v>
      </c>
      <c r="B18177" t="s">
        <v>55395</v>
      </c>
      <c r="C18177" t="s">
        <v>55396</v>
      </c>
      <c r="D18177" t="s">
        <v>55397</v>
      </c>
      <c r="E18177" t="s">
        <v>55398</v>
      </c>
      <c r="F18177" t="s">
        <v>55399</v>
      </c>
      <c r="G18177" s="2" t="str">
        <f>HYPERLINK("https://probpalata.gov.ru/files/ЮЛ630603727000001.jpeg","Скачать индивидуальный QR-код магазина")</f>
        <v>Скачать индивидуальный QR-код магазина</v>
      </c>
    </row>
    <row r="18178" spans="1:7" x14ac:dyDescent="0.25">
      <c r="A18178" t="s">
        <v>55331</v>
      </c>
      <c r="B18178" t="s">
        <v>55400</v>
      </c>
      <c r="C18178" t="s">
        <v>55396</v>
      </c>
      <c r="D18178" t="s">
        <v>55397</v>
      </c>
      <c r="E18178" t="s">
        <v>55398</v>
      </c>
      <c r="F18178" t="s">
        <v>55401</v>
      </c>
      <c r="G18178" s="2" t="str">
        <f>HYPERLINK("https://probpalata.gov.ru/files/ЮЛ630603727000002.jpeg","Скачать индивидуальный QR-код магазина")</f>
        <v>Скачать индивидуальный QR-код магазина</v>
      </c>
    </row>
    <row r="18179" spans="1:7" x14ac:dyDescent="0.25">
      <c r="A18179" t="s">
        <v>55331</v>
      </c>
      <c r="B18179" t="s">
        <v>55402</v>
      </c>
      <c r="C18179" t="s">
        <v>55396</v>
      </c>
      <c r="D18179" t="s">
        <v>55397</v>
      </c>
      <c r="E18179" t="s">
        <v>55398</v>
      </c>
      <c r="F18179" t="s">
        <v>55403</v>
      </c>
      <c r="G18179" s="2" t="str">
        <f>HYPERLINK("https://probpalata.gov.ru/files/ЮЛ630603727000003.jpeg","Скачать индивидуальный QR-код магазина")</f>
        <v>Скачать индивидуальный QR-код магазина</v>
      </c>
    </row>
    <row r="18180" spans="1:7" x14ac:dyDescent="0.25">
      <c r="A18180" t="s">
        <v>55331</v>
      </c>
      <c r="B18180" t="s">
        <v>55389</v>
      </c>
      <c r="C18180" t="s">
        <v>55396</v>
      </c>
      <c r="D18180" t="s">
        <v>55397</v>
      </c>
      <c r="E18180" t="s">
        <v>55398</v>
      </c>
      <c r="F18180" t="s">
        <v>55404</v>
      </c>
      <c r="G18180" s="2" t="str">
        <f>HYPERLINK("https://probpalata.gov.ru/files/ЮЛ630603727000004.jpeg","Скачать индивидуальный QR-код магазина")</f>
        <v>Скачать индивидуальный QR-код магазина</v>
      </c>
    </row>
    <row r="18181" spans="1:7" x14ac:dyDescent="0.25">
      <c r="A18181" t="s">
        <v>55331</v>
      </c>
      <c r="B18181" t="s">
        <v>55405</v>
      </c>
      <c r="C18181" t="s">
        <v>55396</v>
      </c>
      <c r="D18181" t="s">
        <v>55397</v>
      </c>
      <c r="E18181" t="s">
        <v>55398</v>
      </c>
      <c r="F18181" t="s">
        <v>55406</v>
      </c>
      <c r="G18181" s="2" t="str">
        <f>HYPERLINK("https://probpalata.gov.ru/files/ЮЛ630603727000005.jpeg","Скачать индивидуальный QR-код магазина")</f>
        <v>Скачать индивидуальный QR-код магазина</v>
      </c>
    </row>
    <row r="18182" spans="1:7" x14ac:dyDescent="0.25">
      <c r="A18182" t="s">
        <v>55331</v>
      </c>
      <c r="B18182" t="s">
        <v>55407</v>
      </c>
      <c r="C18182" t="s">
        <v>55396</v>
      </c>
      <c r="D18182" t="s">
        <v>55397</v>
      </c>
      <c r="E18182" t="s">
        <v>55398</v>
      </c>
      <c r="F18182" t="s">
        <v>55408</v>
      </c>
      <c r="G18182" s="2" t="str">
        <f>HYPERLINK("https://probpalata.gov.ru/files/ЮЛ630603727000006.jpeg","Скачать индивидуальный QR-код магазина")</f>
        <v>Скачать индивидуальный QR-код магазина</v>
      </c>
    </row>
    <row r="18183" spans="1:7" x14ac:dyDescent="0.25">
      <c r="A18183" t="s">
        <v>55331</v>
      </c>
      <c r="B18183" t="s">
        <v>55409</v>
      </c>
      <c r="C18183" t="s">
        <v>55396</v>
      </c>
      <c r="D18183" t="s">
        <v>55397</v>
      </c>
      <c r="E18183" t="s">
        <v>55398</v>
      </c>
      <c r="F18183" t="s">
        <v>55410</v>
      </c>
      <c r="G18183" s="2" t="str">
        <f>HYPERLINK("https://probpalata.gov.ru/files/ЮЛ630603727000007.jpeg","Скачать индивидуальный QR-код магазина")</f>
        <v>Скачать индивидуальный QR-код магазина</v>
      </c>
    </row>
    <row r="18184" spans="1:7" x14ac:dyDescent="0.25">
      <c r="A18184" t="s">
        <v>55331</v>
      </c>
      <c r="B18184" t="s">
        <v>55411</v>
      </c>
      <c r="C18184" t="s">
        <v>55396</v>
      </c>
      <c r="D18184" t="s">
        <v>55397</v>
      </c>
      <c r="E18184" t="s">
        <v>55398</v>
      </c>
      <c r="F18184" t="s">
        <v>55412</v>
      </c>
      <c r="G18184" s="2" t="str">
        <f>HYPERLINK("https://probpalata.gov.ru/files/ЮЛ630603727000008.jpeg","Скачать индивидуальный QR-код магазина")</f>
        <v>Скачать индивидуальный QR-код магазина</v>
      </c>
    </row>
    <row r="18185" spans="1:7" x14ac:dyDescent="0.25">
      <c r="A18185" t="s">
        <v>55331</v>
      </c>
      <c r="B18185" t="s">
        <v>55413</v>
      </c>
      <c r="C18185" t="s">
        <v>55396</v>
      </c>
      <c r="D18185" t="s">
        <v>55397</v>
      </c>
      <c r="E18185" t="s">
        <v>55398</v>
      </c>
      <c r="F18185" t="s">
        <v>55414</v>
      </c>
      <c r="G18185" s="2" t="str">
        <f>HYPERLINK("https://probpalata.gov.ru/files/ЮЛ630603727000009.jpeg","Скачать индивидуальный QR-код магазина")</f>
        <v>Скачать индивидуальный QR-код магазина</v>
      </c>
    </row>
    <row r="18186" spans="1:7" x14ac:dyDescent="0.25">
      <c r="A18186" t="s">
        <v>55331</v>
      </c>
      <c r="B18186" t="s">
        <v>55415</v>
      </c>
      <c r="C18186" t="s">
        <v>55416</v>
      </c>
      <c r="D18186" t="s">
        <v>55417</v>
      </c>
      <c r="E18186" t="s">
        <v>55418</v>
      </c>
      <c r="F18186" t="s">
        <v>55419</v>
      </c>
      <c r="G18186" s="2" t="str">
        <f>HYPERLINK("https://probpalata.gov.ru/files/ИП660701968800000.jpeg","Скачать индивидуальный QR-код магазина")</f>
        <v>Скачать индивидуальный QR-код магазина</v>
      </c>
    </row>
    <row r="18187" spans="1:7" x14ac:dyDescent="0.25">
      <c r="A18187" t="s">
        <v>55331</v>
      </c>
      <c r="B18187" t="s">
        <v>55420</v>
      </c>
      <c r="C18187" t="s">
        <v>55416</v>
      </c>
      <c r="D18187" t="s">
        <v>55417</v>
      </c>
      <c r="E18187" t="s">
        <v>55418</v>
      </c>
      <c r="F18187" t="s">
        <v>55421</v>
      </c>
      <c r="G18187" s="2" t="str">
        <f>HYPERLINK("https://probpalata.gov.ru/files/ИП660701968800003.jpeg","Скачать индивидуальный QR-код магазина")</f>
        <v>Скачать индивидуальный QR-код магазина</v>
      </c>
    </row>
    <row r="18188" spans="1:7" x14ac:dyDescent="0.25">
      <c r="A18188" t="s">
        <v>55331</v>
      </c>
      <c r="B18188" t="s">
        <v>55422</v>
      </c>
      <c r="C18188" t="s">
        <v>16750</v>
      </c>
      <c r="D18188" t="s">
        <v>16751</v>
      </c>
      <c r="E18188" t="s">
        <v>16752</v>
      </c>
      <c r="F18188" t="s">
        <v>55423</v>
      </c>
      <c r="G18188" s="2" t="str">
        <f>HYPERLINK("https://probpalata.gov.ru/files/ЮЛ660700429800001.jpeg","Скачать индивидуальный QR-код магазина")</f>
        <v>Скачать индивидуальный QR-код магазина</v>
      </c>
    </row>
    <row r="18189" spans="1:7" x14ac:dyDescent="0.25">
      <c r="A18189" t="s">
        <v>55331</v>
      </c>
      <c r="B18189" t="s">
        <v>55424</v>
      </c>
      <c r="C18189" t="s">
        <v>7965</v>
      </c>
      <c r="D18189" t="s">
        <v>7966</v>
      </c>
      <c r="E18189" t="s">
        <v>7967</v>
      </c>
      <c r="F18189" t="s">
        <v>55425</v>
      </c>
      <c r="G18189" s="2" t="str">
        <f>HYPERLINK("https://probpalata.gov.ru/files/ЮЛ660700070800128.jpeg","Скачать индивидуальный QR-код магазина")</f>
        <v>Скачать индивидуальный QR-код магазина</v>
      </c>
    </row>
    <row r="18190" spans="1:7" x14ac:dyDescent="0.25">
      <c r="A18190" t="s">
        <v>55331</v>
      </c>
      <c r="B18190" t="s">
        <v>55426</v>
      </c>
      <c r="C18190" t="s">
        <v>51772</v>
      </c>
      <c r="D18190" t="s">
        <v>51773</v>
      </c>
      <c r="E18190" t="s">
        <v>51774</v>
      </c>
      <c r="F18190" t="s">
        <v>55427</v>
      </c>
      <c r="G18190" s="2" t="str">
        <f>HYPERLINK("https://probpalata.gov.ru/files/ИП660701654100002.jpeg","Скачать индивидуальный QR-код магазина")</f>
        <v>Скачать индивидуальный QR-код магазина</v>
      </c>
    </row>
    <row r="18191" spans="1:7" x14ac:dyDescent="0.25">
      <c r="A18191" t="s">
        <v>55331</v>
      </c>
      <c r="B18191" t="s">
        <v>55428</v>
      </c>
      <c r="C18191" t="s">
        <v>37729</v>
      </c>
      <c r="D18191" t="s">
        <v>37730</v>
      </c>
      <c r="E18191" t="s">
        <v>37731</v>
      </c>
      <c r="F18191" t="s">
        <v>55429</v>
      </c>
      <c r="G18191" s="2" t="str">
        <f>HYPERLINK("https://probpalata.gov.ru/files/ЮЛ660703833300008.jpeg","Скачать индивидуальный QR-код магазина")</f>
        <v>Скачать индивидуальный QR-код магазина</v>
      </c>
    </row>
    <row r="18192" spans="1:7" x14ac:dyDescent="0.25">
      <c r="A18192" t="s">
        <v>55331</v>
      </c>
      <c r="B18192" t="s">
        <v>55430</v>
      </c>
      <c r="C18192" t="s">
        <v>37736</v>
      </c>
      <c r="D18192" t="s">
        <v>37737</v>
      </c>
      <c r="E18192" t="s">
        <v>37738</v>
      </c>
      <c r="F18192" t="s">
        <v>55431</v>
      </c>
      <c r="G18192" s="2" t="str">
        <f>HYPERLINK("https://probpalata.gov.ru/files/ЮЛ660700087900003.jpeg","Скачать индивидуальный QR-код магазина")</f>
        <v>Скачать индивидуальный QR-код магазина</v>
      </c>
    </row>
    <row r="18193" spans="1:7" x14ac:dyDescent="0.25">
      <c r="A18193" t="s">
        <v>55331</v>
      </c>
      <c r="B18193" t="s">
        <v>55432</v>
      </c>
      <c r="C18193" t="s">
        <v>14967</v>
      </c>
      <c r="D18193" t="s">
        <v>14968</v>
      </c>
      <c r="E18193" t="s">
        <v>14969</v>
      </c>
      <c r="F18193" t="s">
        <v>55433</v>
      </c>
      <c r="G18193" s="2" t="str">
        <f>HYPERLINK("https://probpalata.gov.ru/files/ЮЛ660701304200009.jpeg","Скачать индивидуальный QR-код магазина")</f>
        <v>Скачать индивидуальный QR-код магазина</v>
      </c>
    </row>
    <row r="18194" spans="1:7" x14ac:dyDescent="0.25">
      <c r="A18194" t="s">
        <v>55331</v>
      </c>
      <c r="B18194" t="s">
        <v>55434</v>
      </c>
      <c r="C18194" t="s">
        <v>55435</v>
      </c>
      <c r="D18194" t="s">
        <v>55436</v>
      </c>
      <c r="E18194" t="s">
        <v>55437</v>
      </c>
      <c r="F18194" t="s">
        <v>55438</v>
      </c>
      <c r="G18194" s="2" t="str">
        <f>HYPERLINK("https://probpalata.gov.ru/files/ИП860700750500000.jpeg","Скачать индивидуальный QR-код магазина")</f>
        <v>Скачать индивидуальный QR-код магазина</v>
      </c>
    </row>
    <row r="18195" spans="1:7" x14ac:dyDescent="0.25">
      <c r="A18195" t="s">
        <v>55331</v>
      </c>
      <c r="B18195" t="s">
        <v>55439</v>
      </c>
      <c r="C18195" t="s">
        <v>55440</v>
      </c>
      <c r="D18195" t="s">
        <v>55441</v>
      </c>
      <c r="E18195" t="s">
        <v>55442</v>
      </c>
      <c r="F18195" t="s">
        <v>55443</v>
      </c>
      <c r="G18195" s="2" t="str">
        <f>HYPERLINK("https://probpalata.gov.ru/files/ЮЛ720700854000000.jpeg","Скачать индивидуальный QR-код магазина")</f>
        <v>Скачать индивидуальный QR-код магазина</v>
      </c>
    </row>
    <row r="18196" spans="1:7" x14ac:dyDescent="0.25">
      <c r="A18196" t="s">
        <v>55331</v>
      </c>
      <c r="B18196" t="s">
        <v>55444</v>
      </c>
      <c r="C18196" t="s">
        <v>55445</v>
      </c>
      <c r="D18196" t="s">
        <v>55446</v>
      </c>
      <c r="E18196" t="s">
        <v>55447</v>
      </c>
      <c r="F18196" t="s">
        <v>55448</v>
      </c>
      <c r="G18196" s="2" t="str">
        <f>HYPERLINK("https://probpalata.gov.ru/files/ЮЛ720700794200000.jpeg","Скачать индивидуальный QR-код магазина")</f>
        <v>Скачать индивидуальный QR-код магазина</v>
      </c>
    </row>
    <row r="18197" spans="1:7" x14ac:dyDescent="0.25">
      <c r="A18197" t="s">
        <v>55331</v>
      </c>
      <c r="B18197" t="s">
        <v>55449</v>
      </c>
      <c r="C18197" t="s">
        <v>55445</v>
      </c>
      <c r="D18197" t="s">
        <v>55446</v>
      </c>
      <c r="E18197" t="s">
        <v>55447</v>
      </c>
      <c r="F18197" t="s">
        <v>55450</v>
      </c>
      <c r="G18197" s="2" t="str">
        <f>HYPERLINK("https://probpalata.gov.ru/files/ЮЛ720700794200001.jpeg","Скачать индивидуальный QR-код магазина")</f>
        <v>Скачать индивидуальный QR-код магазина</v>
      </c>
    </row>
    <row r="18198" spans="1:7" x14ac:dyDescent="0.25">
      <c r="A18198" t="s">
        <v>55331</v>
      </c>
      <c r="B18198" t="s">
        <v>55451</v>
      </c>
      <c r="C18198" t="s">
        <v>55445</v>
      </c>
      <c r="D18198" t="s">
        <v>55446</v>
      </c>
      <c r="E18198" t="s">
        <v>55447</v>
      </c>
      <c r="F18198" t="s">
        <v>55452</v>
      </c>
      <c r="G18198" s="2" t="str">
        <f>HYPERLINK("https://probpalata.gov.ru/files/ЮЛ720700794200002.jpeg","Скачать индивидуальный QR-код магазина")</f>
        <v>Скачать индивидуальный QR-код магазина</v>
      </c>
    </row>
    <row r="18199" spans="1:7" x14ac:dyDescent="0.25">
      <c r="A18199" t="s">
        <v>55331</v>
      </c>
      <c r="B18199" t="s">
        <v>55453</v>
      </c>
      <c r="C18199" t="s">
        <v>55445</v>
      </c>
      <c r="D18199" t="s">
        <v>55446</v>
      </c>
      <c r="E18199" t="s">
        <v>55447</v>
      </c>
      <c r="F18199" t="s">
        <v>55454</v>
      </c>
      <c r="G18199" s="2" t="str">
        <f>HYPERLINK("https://probpalata.gov.ru/files/ЮЛ720700794200003.jpeg","Скачать индивидуальный QR-код магазина")</f>
        <v>Скачать индивидуальный QR-код магазина</v>
      </c>
    </row>
    <row r="18200" spans="1:7" x14ac:dyDescent="0.25">
      <c r="A18200" t="s">
        <v>55331</v>
      </c>
      <c r="B18200" t="s">
        <v>55455</v>
      </c>
      <c r="C18200" t="s">
        <v>55445</v>
      </c>
      <c r="D18200" t="s">
        <v>55446</v>
      </c>
      <c r="E18200" t="s">
        <v>55447</v>
      </c>
      <c r="F18200" t="s">
        <v>55456</v>
      </c>
      <c r="G18200" s="2" t="str">
        <f>HYPERLINK("https://probpalata.gov.ru/files/ЮЛ720700794200005.jpeg","Скачать индивидуальный QR-код магазина")</f>
        <v>Скачать индивидуальный QR-код магазина</v>
      </c>
    </row>
    <row r="18201" spans="1:7" x14ac:dyDescent="0.25">
      <c r="A18201" t="s">
        <v>55331</v>
      </c>
      <c r="B18201" t="s">
        <v>55457</v>
      </c>
      <c r="C18201" t="s">
        <v>55445</v>
      </c>
      <c r="D18201" t="s">
        <v>55446</v>
      </c>
      <c r="E18201" t="s">
        <v>55447</v>
      </c>
      <c r="F18201" t="s">
        <v>55458</v>
      </c>
      <c r="G18201" s="2" t="str">
        <f>HYPERLINK("https://probpalata.gov.ru/files/ЮЛ720700794200006.jpeg","Скачать индивидуальный QR-код магазина")</f>
        <v>Скачать индивидуальный QR-код магазина</v>
      </c>
    </row>
    <row r="18202" spans="1:7" x14ac:dyDescent="0.25">
      <c r="A18202" t="s">
        <v>55331</v>
      </c>
      <c r="B18202" t="s">
        <v>55459</v>
      </c>
      <c r="C18202" t="s">
        <v>55445</v>
      </c>
      <c r="D18202" t="s">
        <v>55446</v>
      </c>
      <c r="E18202" t="s">
        <v>55447</v>
      </c>
      <c r="F18202" t="s">
        <v>55460</v>
      </c>
      <c r="G18202" s="2" t="str">
        <f>HYPERLINK("https://probpalata.gov.ru/files/ЮЛ720700794200007.jpeg","Скачать индивидуальный QR-код магазина")</f>
        <v>Скачать индивидуальный QR-код магазина</v>
      </c>
    </row>
    <row r="18203" spans="1:7" x14ac:dyDescent="0.25">
      <c r="A18203" t="s">
        <v>55331</v>
      </c>
      <c r="B18203" t="s">
        <v>55461</v>
      </c>
      <c r="C18203" t="s">
        <v>55462</v>
      </c>
      <c r="D18203" t="s">
        <v>55463</v>
      </c>
      <c r="E18203" t="s">
        <v>55464</v>
      </c>
      <c r="F18203" t="s">
        <v>55465</v>
      </c>
      <c r="G18203" s="2" t="str">
        <f>HYPERLINK("https://probpalata.gov.ru/files/ИП720703075300000.jpeg","Скачать индивидуальный QR-код магазина")</f>
        <v>Скачать индивидуальный QR-код магазина</v>
      </c>
    </row>
    <row r="18204" spans="1:7" x14ac:dyDescent="0.25">
      <c r="A18204" t="s">
        <v>55331</v>
      </c>
      <c r="B18204" t="s">
        <v>55466</v>
      </c>
      <c r="C18204" t="s">
        <v>55462</v>
      </c>
      <c r="D18204" t="s">
        <v>55463</v>
      </c>
      <c r="E18204" t="s">
        <v>55464</v>
      </c>
      <c r="F18204" t="s">
        <v>55467</v>
      </c>
      <c r="G18204" s="2" t="str">
        <f>HYPERLINK("https://probpalata.gov.ru/files/ИП720703075300001.jpeg","Скачать индивидуальный QR-код магазина")</f>
        <v>Скачать индивидуальный QR-код магазина</v>
      </c>
    </row>
    <row r="18205" spans="1:7" x14ac:dyDescent="0.25">
      <c r="A18205" t="s">
        <v>55331</v>
      </c>
      <c r="B18205" t="s">
        <v>55468</v>
      </c>
      <c r="C18205" t="s">
        <v>55462</v>
      </c>
      <c r="D18205" t="s">
        <v>55463</v>
      </c>
      <c r="E18205" t="s">
        <v>55464</v>
      </c>
      <c r="F18205" t="s">
        <v>55469</v>
      </c>
      <c r="G18205" s="2" t="str">
        <f>HYPERLINK("https://probpalata.gov.ru/files/ИП720703075300003.jpeg","Скачать индивидуальный QR-код магазина")</f>
        <v>Скачать индивидуальный QR-код магазина</v>
      </c>
    </row>
    <row r="18206" spans="1:7" x14ac:dyDescent="0.25">
      <c r="A18206" t="s">
        <v>55331</v>
      </c>
      <c r="B18206" t="s">
        <v>55470</v>
      </c>
      <c r="C18206" t="s">
        <v>55462</v>
      </c>
      <c r="D18206" t="s">
        <v>55463</v>
      </c>
      <c r="E18206" t="s">
        <v>55464</v>
      </c>
      <c r="F18206" t="s">
        <v>55471</v>
      </c>
      <c r="G18206" s="2" t="str">
        <f>HYPERLINK("https://probpalata.gov.ru/files/ИП720703075300004.jpeg","Скачать индивидуальный QR-код магазина")</f>
        <v>Скачать индивидуальный QR-код магазина</v>
      </c>
    </row>
    <row r="18207" spans="1:7" x14ac:dyDescent="0.25">
      <c r="A18207" t="s">
        <v>55331</v>
      </c>
      <c r="B18207" t="s">
        <v>55472</v>
      </c>
      <c r="C18207" t="s">
        <v>55473</v>
      </c>
      <c r="D18207" t="s">
        <v>55474</v>
      </c>
      <c r="E18207" t="s">
        <v>55475</v>
      </c>
      <c r="F18207" t="s">
        <v>55476</v>
      </c>
      <c r="G18207" s="2" t="str">
        <f>HYPERLINK("https://probpalata.gov.ru/files/ИП720701337600000.jpeg","Скачать индивидуальный QR-код магазина")</f>
        <v>Скачать индивидуальный QR-код магазина</v>
      </c>
    </row>
    <row r="18208" spans="1:7" x14ac:dyDescent="0.25">
      <c r="A18208" t="s">
        <v>55331</v>
      </c>
      <c r="B18208" t="s">
        <v>55477</v>
      </c>
      <c r="C18208" t="s">
        <v>55478</v>
      </c>
      <c r="D18208" t="s">
        <v>55479</v>
      </c>
      <c r="E18208" t="s">
        <v>55480</v>
      </c>
      <c r="F18208" t="s">
        <v>55481</v>
      </c>
      <c r="G18208" s="2" t="str">
        <f>HYPERLINK("https://probpalata.gov.ru/files/ЮЛ720700107700002.jpeg","Скачать индивидуальный QR-код магазина")</f>
        <v>Скачать индивидуальный QR-код магазина</v>
      </c>
    </row>
    <row r="18209" spans="1:7" x14ac:dyDescent="0.25">
      <c r="A18209" t="s">
        <v>55331</v>
      </c>
      <c r="B18209" t="s">
        <v>55482</v>
      </c>
      <c r="C18209" t="s">
        <v>55478</v>
      </c>
      <c r="D18209" t="s">
        <v>55479</v>
      </c>
      <c r="E18209" t="s">
        <v>55480</v>
      </c>
      <c r="F18209" t="s">
        <v>55483</v>
      </c>
      <c r="G18209" s="2" t="str">
        <f>HYPERLINK("https://probpalata.gov.ru/files/ЮЛ720700107700003.jpeg","Скачать индивидуальный QR-код магазина")</f>
        <v>Скачать индивидуальный QR-код магазина</v>
      </c>
    </row>
    <row r="18210" spans="1:7" x14ac:dyDescent="0.25">
      <c r="A18210" t="s">
        <v>55331</v>
      </c>
      <c r="B18210" t="s">
        <v>55457</v>
      </c>
      <c r="C18210" t="s">
        <v>55484</v>
      </c>
      <c r="D18210" t="s">
        <v>55485</v>
      </c>
      <c r="E18210" t="s">
        <v>55486</v>
      </c>
      <c r="F18210" t="s">
        <v>55487</v>
      </c>
      <c r="G18210" s="2" t="str">
        <f>HYPERLINK("https://probpalata.gov.ru/files/ЮЛ720701256500007.jpeg","Скачать индивидуальный QR-код магазина")</f>
        <v>Скачать индивидуальный QR-код магазина</v>
      </c>
    </row>
    <row r="18211" spans="1:7" x14ac:dyDescent="0.25">
      <c r="A18211" t="s">
        <v>55331</v>
      </c>
      <c r="B18211" t="s">
        <v>55488</v>
      </c>
      <c r="C18211" t="s">
        <v>55489</v>
      </c>
      <c r="D18211" t="s">
        <v>55490</v>
      </c>
      <c r="E18211" t="s">
        <v>55491</v>
      </c>
      <c r="F18211" t="s">
        <v>55492</v>
      </c>
      <c r="G18211" s="2" t="str">
        <f>HYPERLINK("https://probpalata.gov.ru/files/ИП720703624200000.jpeg","Скачать индивидуальный QR-код магазина")</f>
        <v>Скачать индивидуальный QR-код магазина</v>
      </c>
    </row>
    <row r="18212" spans="1:7" x14ac:dyDescent="0.25">
      <c r="A18212" t="s">
        <v>55331</v>
      </c>
      <c r="B18212" t="s">
        <v>55493</v>
      </c>
      <c r="C18212" t="s">
        <v>55494</v>
      </c>
      <c r="D18212" t="s">
        <v>55495</v>
      </c>
      <c r="E18212" t="s">
        <v>55496</v>
      </c>
      <c r="F18212" t="s">
        <v>55497</v>
      </c>
      <c r="G18212" s="2" t="str">
        <f>HYPERLINK("https://probpalata.gov.ru/files/ИП720701307800000.jpeg","Скачать индивидуальный QR-код магазина")</f>
        <v>Скачать индивидуальный QR-код магазина</v>
      </c>
    </row>
    <row r="18213" spans="1:7" x14ac:dyDescent="0.25">
      <c r="A18213" t="s">
        <v>55331</v>
      </c>
      <c r="B18213" t="s">
        <v>55498</v>
      </c>
      <c r="C18213" t="s">
        <v>55499</v>
      </c>
      <c r="D18213" t="s">
        <v>55500</v>
      </c>
      <c r="E18213" t="s">
        <v>55501</v>
      </c>
      <c r="F18213" t="s">
        <v>55502</v>
      </c>
      <c r="G18213" s="2" t="str">
        <f>HYPERLINK("https://probpalata.gov.ru/files/ЮЛ720700748200001.jpeg","Скачать индивидуальный QR-код магазина")</f>
        <v>Скачать индивидуальный QR-код магазина</v>
      </c>
    </row>
    <row r="18214" spans="1:7" x14ac:dyDescent="0.25">
      <c r="A18214" t="s">
        <v>55331</v>
      </c>
      <c r="B18214" t="s">
        <v>55503</v>
      </c>
      <c r="C18214" t="s">
        <v>55499</v>
      </c>
      <c r="D18214" t="s">
        <v>55500</v>
      </c>
      <c r="E18214" t="s">
        <v>55501</v>
      </c>
      <c r="F18214" t="s">
        <v>55504</v>
      </c>
      <c r="G18214" s="2" t="str">
        <f>HYPERLINK("https://probpalata.gov.ru/files/ЮЛ720700748200002.jpeg","Скачать индивидуальный QR-код магазина")</f>
        <v>Скачать индивидуальный QR-код магазина</v>
      </c>
    </row>
    <row r="18215" spans="1:7" x14ac:dyDescent="0.25">
      <c r="A18215" t="s">
        <v>55331</v>
      </c>
      <c r="B18215" t="s">
        <v>55505</v>
      </c>
      <c r="C18215" t="s">
        <v>55506</v>
      </c>
      <c r="D18215" t="s">
        <v>55507</v>
      </c>
      <c r="E18215" t="s">
        <v>55508</v>
      </c>
      <c r="F18215" t="s">
        <v>55509</v>
      </c>
      <c r="G18215" s="2" t="str">
        <f>HYPERLINK("https://probpalata.gov.ru/files/ЮЛ720703640800000.jpeg","Скачать индивидуальный QR-код магазина")</f>
        <v>Скачать индивидуальный QR-код магазина</v>
      </c>
    </row>
    <row r="18216" spans="1:7" x14ac:dyDescent="0.25">
      <c r="A18216" t="s">
        <v>55331</v>
      </c>
      <c r="B18216" t="s">
        <v>55510</v>
      </c>
      <c r="C18216" t="s">
        <v>55511</v>
      </c>
      <c r="D18216" t="s">
        <v>55512</v>
      </c>
      <c r="E18216" t="s">
        <v>55513</v>
      </c>
      <c r="F18216" t="s">
        <v>55514</v>
      </c>
      <c r="G18216" s="2" t="str">
        <f>HYPERLINK("https://probpalata.gov.ru/files/ЮЛ720703688900000.jpeg","Скачать индивидуальный QR-код магазина")</f>
        <v>Скачать индивидуальный QR-код магазина</v>
      </c>
    </row>
    <row r="18217" spans="1:7" x14ac:dyDescent="0.25">
      <c r="A18217" t="s">
        <v>55331</v>
      </c>
      <c r="B18217" t="s">
        <v>55515</v>
      </c>
      <c r="C18217" t="s">
        <v>55516</v>
      </c>
      <c r="D18217" t="s">
        <v>55517</v>
      </c>
      <c r="E18217" t="s">
        <v>55518</v>
      </c>
      <c r="F18217" t="s">
        <v>55519</v>
      </c>
      <c r="G18217" s="2" t="str">
        <f>HYPERLINK("https://probpalata.gov.ru/files/ЮЛ720704062400000.jpeg","Скачать индивидуальный QR-код магазина")</f>
        <v>Скачать индивидуальный QR-код магазина</v>
      </c>
    </row>
    <row r="18218" spans="1:7" x14ac:dyDescent="0.25">
      <c r="A18218" t="s">
        <v>55331</v>
      </c>
      <c r="B18218" t="s">
        <v>55520</v>
      </c>
      <c r="C18218" t="s">
        <v>55521</v>
      </c>
      <c r="D18218" t="s">
        <v>55522</v>
      </c>
      <c r="E18218" t="s">
        <v>55523</v>
      </c>
      <c r="F18218" t="s">
        <v>55524</v>
      </c>
      <c r="G18218" s="2" t="str">
        <f>HYPERLINK("https://probpalata.gov.ru/files/ИП720701273100000.jpeg","Скачать индивидуальный QR-код магазина")</f>
        <v>Скачать индивидуальный QR-код магазина</v>
      </c>
    </row>
    <row r="18219" spans="1:7" x14ac:dyDescent="0.25">
      <c r="A18219" t="s">
        <v>55331</v>
      </c>
      <c r="B18219" t="s">
        <v>55525</v>
      </c>
      <c r="C18219" t="s">
        <v>5136</v>
      </c>
      <c r="D18219" t="s">
        <v>5137</v>
      </c>
      <c r="E18219" t="s">
        <v>5138</v>
      </c>
      <c r="F18219" t="s">
        <v>55526</v>
      </c>
      <c r="G18219" s="2" t="str">
        <f>HYPERLINK("https://probpalata.gov.ru/files/ИП500101079300001.jpeg","Скачать индивидуальный QR-код магазина")</f>
        <v>Скачать индивидуальный QR-код магазина</v>
      </c>
    </row>
    <row r="18220" spans="1:7" x14ac:dyDescent="0.25">
      <c r="A18220" t="s">
        <v>55331</v>
      </c>
      <c r="B18220" t="s">
        <v>55527</v>
      </c>
      <c r="C18220" t="s">
        <v>55528</v>
      </c>
      <c r="D18220" t="s">
        <v>55529</v>
      </c>
      <c r="E18220" t="s">
        <v>55530</v>
      </c>
      <c r="F18220" t="s">
        <v>55531</v>
      </c>
      <c r="G18220" s="2" t="str">
        <f>HYPERLINK("https://probpalata.gov.ru/files/ЮЛ720700648800000.jpeg","Скачать индивидуальный QR-код магазина")</f>
        <v>Скачать индивидуальный QR-код магазина</v>
      </c>
    </row>
    <row r="18221" spans="1:7" x14ac:dyDescent="0.25">
      <c r="A18221" t="s">
        <v>55331</v>
      </c>
      <c r="B18221" t="s">
        <v>55503</v>
      </c>
      <c r="C18221" t="s">
        <v>55532</v>
      </c>
      <c r="D18221" t="s">
        <v>55533</v>
      </c>
      <c r="E18221" t="s">
        <v>55534</v>
      </c>
      <c r="F18221" t="s">
        <v>55535</v>
      </c>
      <c r="G18221" s="2" t="str">
        <f>HYPERLINK("https://probpalata.gov.ru/files/ИП720703641000001.jpeg","Скачать индивидуальный QR-код магазина")</f>
        <v>Скачать индивидуальный QR-код магазина</v>
      </c>
    </row>
    <row r="18222" spans="1:7" x14ac:dyDescent="0.25">
      <c r="A18222" t="s">
        <v>55331</v>
      </c>
      <c r="B18222" t="s">
        <v>55498</v>
      </c>
      <c r="C18222" t="s">
        <v>55532</v>
      </c>
      <c r="D18222" t="s">
        <v>55533</v>
      </c>
      <c r="E18222" t="s">
        <v>55534</v>
      </c>
      <c r="F18222" t="s">
        <v>55536</v>
      </c>
      <c r="G18222" s="2" t="str">
        <f>HYPERLINK("https://probpalata.gov.ru/files/ИП720703641000002.jpeg","Скачать индивидуальный QR-код магазина")</f>
        <v>Скачать индивидуальный QR-код магазина</v>
      </c>
    </row>
    <row r="18223" spans="1:7" x14ac:dyDescent="0.25">
      <c r="A18223" t="s">
        <v>55331</v>
      </c>
      <c r="B18223" t="s">
        <v>55537</v>
      </c>
      <c r="C18223" t="s">
        <v>35399</v>
      </c>
      <c r="D18223" t="s">
        <v>55538</v>
      </c>
      <c r="E18223" t="s">
        <v>55539</v>
      </c>
      <c r="F18223" t="s">
        <v>55540</v>
      </c>
      <c r="G18223" s="2" t="str">
        <f>HYPERLINK("https://probpalata.gov.ru/files/ЮЛ720700578000000.jpeg","Скачать индивидуальный QR-код магазина")</f>
        <v>Скачать индивидуальный QR-код магазина</v>
      </c>
    </row>
    <row r="18224" spans="1:7" x14ac:dyDescent="0.25">
      <c r="A18224" t="s">
        <v>55331</v>
      </c>
      <c r="B18224" t="s">
        <v>55482</v>
      </c>
      <c r="C18224" t="s">
        <v>55541</v>
      </c>
      <c r="D18224" t="s">
        <v>55542</v>
      </c>
      <c r="E18224" t="s">
        <v>55543</v>
      </c>
      <c r="F18224" t="s">
        <v>55544</v>
      </c>
      <c r="G18224" s="2" t="str">
        <f>HYPERLINK("https://probpalata.gov.ru/files/ЮЛ720700215600001.jpeg","Скачать индивидуальный QR-код магазина")</f>
        <v>Скачать индивидуальный QR-код магазина</v>
      </c>
    </row>
    <row r="18225" spans="1:7" x14ac:dyDescent="0.25">
      <c r="A18225" t="s">
        <v>55331</v>
      </c>
      <c r="B18225" t="s">
        <v>55477</v>
      </c>
      <c r="C18225" t="s">
        <v>55541</v>
      </c>
      <c r="D18225" t="s">
        <v>55542</v>
      </c>
      <c r="E18225" t="s">
        <v>55543</v>
      </c>
      <c r="F18225" t="s">
        <v>55545</v>
      </c>
      <c r="G18225" s="2" t="str">
        <f>HYPERLINK("https://probpalata.gov.ru/files/ЮЛ720700215600006.jpeg","Скачать индивидуальный QR-код магазина")</f>
        <v>Скачать индивидуальный QR-код магазина</v>
      </c>
    </row>
    <row r="18226" spans="1:7" x14ac:dyDescent="0.25">
      <c r="A18226" t="s">
        <v>55331</v>
      </c>
      <c r="B18226" t="s">
        <v>55370</v>
      </c>
      <c r="C18226" t="s">
        <v>55546</v>
      </c>
      <c r="D18226" t="s">
        <v>55547</v>
      </c>
      <c r="E18226" t="s">
        <v>55548</v>
      </c>
      <c r="F18226" t="s">
        <v>55549</v>
      </c>
      <c r="G18226" s="2" t="str">
        <f>HYPERLINK("https://probpalata.gov.ru/files/ЮЛ720701043400000.jpeg","Скачать индивидуальный QR-код магазина")</f>
        <v>Скачать индивидуальный QR-код магазина</v>
      </c>
    </row>
    <row r="18227" spans="1:7" x14ac:dyDescent="0.25">
      <c r="A18227" t="s">
        <v>55331</v>
      </c>
      <c r="B18227" t="s">
        <v>55550</v>
      </c>
      <c r="C18227" t="s">
        <v>55551</v>
      </c>
      <c r="D18227" t="s">
        <v>55552</v>
      </c>
      <c r="E18227" t="s">
        <v>55553</v>
      </c>
      <c r="F18227" t="s">
        <v>55554</v>
      </c>
      <c r="G18227" s="2" t="str">
        <f>HYPERLINK("https://probpalata.gov.ru/files/ЮЛ720703362700000.jpeg","Скачать индивидуальный QR-код магазина")</f>
        <v>Скачать индивидуальный QR-код магазина</v>
      </c>
    </row>
    <row r="18228" spans="1:7" x14ac:dyDescent="0.25">
      <c r="A18228" t="s">
        <v>55331</v>
      </c>
      <c r="B18228" t="s">
        <v>55555</v>
      </c>
      <c r="C18228" t="s">
        <v>55551</v>
      </c>
      <c r="D18228" t="s">
        <v>55552</v>
      </c>
      <c r="E18228" t="s">
        <v>55553</v>
      </c>
      <c r="F18228" t="s">
        <v>55556</v>
      </c>
      <c r="G18228" s="2" t="str">
        <f>HYPERLINK("https://probpalata.gov.ru/files/ЮЛ720703362700007.jpeg","Скачать индивидуальный QR-код магазина")</f>
        <v>Скачать индивидуальный QR-код магазина</v>
      </c>
    </row>
    <row r="18229" spans="1:7" x14ac:dyDescent="0.25">
      <c r="A18229" t="s">
        <v>55331</v>
      </c>
      <c r="B18229" t="s">
        <v>55550</v>
      </c>
      <c r="C18229" t="s">
        <v>55557</v>
      </c>
      <c r="D18229" t="s">
        <v>55558</v>
      </c>
      <c r="E18229" t="s">
        <v>55559</v>
      </c>
      <c r="F18229" t="s">
        <v>55560</v>
      </c>
      <c r="G18229" s="2" t="str">
        <f>HYPERLINK("https://probpalata.gov.ru/files/ИП720701111600000.jpeg","Скачать индивидуальный QR-код магазина")</f>
        <v>Скачать индивидуальный QR-код магазина</v>
      </c>
    </row>
    <row r="18230" spans="1:7" x14ac:dyDescent="0.25">
      <c r="A18230" t="s">
        <v>55331</v>
      </c>
      <c r="B18230" t="s">
        <v>55561</v>
      </c>
      <c r="C18230" t="s">
        <v>55562</v>
      </c>
      <c r="D18230" t="s">
        <v>55563</v>
      </c>
      <c r="E18230" t="s">
        <v>55564</v>
      </c>
      <c r="F18230" t="s">
        <v>55565</v>
      </c>
      <c r="G18230" s="2" t="str">
        <f>HYPERLINK("https://probpalata.gov.ru/files/ИП720702010600000.jpeg","Скачать индивидуальный QR-код магазина")</f>
        <v>Скачать индивидуальный QR-код магазина</v>
      </c>
    </row>
    <row r="18231" spans="1:7" x14ac:dyDescent="0.25">
      <c r="A18231" t="s">
        <v>55331</v>
      </c>
      <c r="B18231" t="s">
        <v>55566</v>
      </c>
      <c r="C18231" t="s">
        <v>55567</v>
      </c>
      <c r="D18231" t="s">
        <v>55568</v>
      </c>
      <c r="E18231" t="s">
        <v>55569</v>
      </c>
      <c r="F18231" t="s">
        <v>55570</v>
      </c>
      <c r="G18231" s="2" t="str">
        <f>HYPERLINK("https://probpalata.gov.ru/files/ИП720701348100000.jpeg","Скачать индивидуальный QR-код магазина")</f>
        <v>Скачать индивидуальный QR-код магазина</v>
      </c>
    </row>
    <row r="18232" spans="1:7" x14ac:dyDescent="0.25">
      <c r="A18232" t="s">
        <v>55331</v>
      </c>
      <c r="B18232" t="s">
        <v>55571</v>
      </c>
      <c r="C18232" t="s">
        <v>55567</v>
      </c>
      <c r="D18232" t="s">
        <v>55568</v>
      </c>
      <c r="E18232" t="s">
        <v>55569</v>
      </c>
      <c r="F18232" t="s">
        <v>55572</v>
      </c>
      <c r="G18232" s="2" t="str">
        <f>HYPERLINK("https://probpalata.gov.ru/files/ИП720701348100001.jpeg","Скачать индивидуальный QR-код магазина")</f>
        <v>Скачать индивидуальный QR-код магазина</v>
      </c>
    </row>
    <row r="18233" spans="1:7" x14ac:dyDescent="0.25">
      <c r="A18233" t="s">
        <v>55331</v>
      </c>
      <c r="B18233" t="s">
        <v>55573</v>
      </c>
      <c r="C18233" t="s">
        <v>55574</v>
      </c>
      <c r="D18233" t="s">
        <v>55575</v>
      </c>
      <c r="E18233" t="s">
        <v>55576</v>
      </c>
      <c r="F18233" t="s">
        <v>55577</v>
      </c>
      <c r="G18233" s="2" t="str">
        <f>HYPERLINK("https://probpalata.gov.ru/files/ИП720701923000000.jpeg","Скачать индивидуальный QR-код магазина")</f>
        <v>Скачать индивидуальный QR-код магазина</v>
      </c>
    </row>
    <row r="18234" spans="1:7" x14ac:dyDescent="0.25">
      <c r="A18234" t="s">
        <v>55331</v>
      </c>
      <c r="B18234" t="s">
        <v>55578</v>
      </c>
      <c r="C18234" t="s">
        <v>55579</v>
      </c>
      <c r="D18234" t="s">
        <v>55580</v>
      </c>
      <c r="E18234" t="s">
        <v>55581</v>
      </c>
      <c r="F18234" t="s">
        <v>55582</v>
      </c>
      <c r="G18234" s="2" t="str">
        <f>HYPERLINK("https://probpalata.gov.ru/files/ИП720700703600000.jpeg","Скачать индивидуальный QR-код магазина")</f>
        <v>Скачать индивидуальный QR-код магазина</v>
      </c>
    </row>
    <row r="18235" spans="1:7" x14ac:dyDescent="0.25">
      <c r="A18235" t="s">
        <v>55331</v>
      </c>
      <c r="B18235" t="s">
        <v>55583</v>
      </c>
      <c r="C18235" t="s">
        <v>55579</v>
      </c>
      <c r="D18235" t="s">
        <v>55580</v>
      </c>
      <c r="E18235" t="s">
        <v>55581</v>
      </c>
      <c r="F18235" t="s">
        <v>55584</v>
      </c>
      <c r="G18235" s="2" t="str">
        <f>HYPERLINK("https://probpalata.gov.ru/files/ИП720700703600003.jpeg","Скачать индивидуальный QR-код магазина")</f>
        <v>Скачать индивидуальный QR-код магазина</v>
      </c>
    </row>
    <row r="18236" spans="1:7" x14ac:dyDescent="0.25">
      <c r="A18236" t="s">
        <v>55331</v>
      </c>
      <c r="B18236" t="s">
        <v>55585</v>
      </c>
      <c r="C18236" t="s">
        <v>55586</v>
      </c>
      <c r="D18236" t="s">
        <v>55587</v>
      </c>
      <c r="E18236" t="s">
        <v>55588</v>
      </c>
      <c r="F18236" t="s">
        <v>55589</v>
      </c>
      <c r="G18236" s="2" t="str">
        <f>HYPERLINK("https://probpalata.gov.ru/files/ИП720704006600000.jpeg","Скачать индивидуальный QR-код магазина")</f>
        <v>Скачать индивидуальный QR-код магазина</v>
      </c>
    </row>
    <row r="18237" spans="1:7" x14ac:dyDescent="0.25">
      <c r="A18237" t="s">
        <v>55331</v>
      </c>
      <c r="B18237" t="s">
        <v>55590</v>
      </c>
      <c r="C18237" t="s">
        <v>55586</v>
      </c>
      <c r="D18237" t="s">
        <v>55587</v>
      </c>
      <c r="E18237" t="s">
        <v>55588</v>
      </c>
      <c r="F18237" t="s">
        <v>55591</v>
      </c>
      <c r="G18237" s="2" t="str">
        <f>HYPERLINK("https://probpalata.gov.ru/files/ИП720704006600001.jpeg","Скачать индивидуальный QR-код магазина")</f>
        <v>Скачать индивидуальный QR-код магазина</v>
      </c>
    </row>
    <row r="18238" spans="1:7" x14ac:dyDescent="0.25">
      <c r="A18238" t="s">
        <v>55331</v>
      </c>
      <c r="B18238" t="s">
        <v>55592</v>
      </c>
      <c r="C18238" t="s">
        <v>55593</v>
      </c>
      <c r="D18238" t="s">
        <v>55594</v>
      </c>
      <c r="E18238" t="s">
        <v>55595</v>
      </c>
      <c r="F18238" t="s">
        <v>55596</v>
      </c>
      <c r="G18238" s="2" t="str">
        <f>HYPERLINK("https://probpalata.gov.ru/files/ИП720701374900000.jpeg","Скачать индивидуальный QR-код магазина")</f>
        <v>Скачать индивидуальный QR-код магазина</v>
      </c>
    </row>
    <row r="18239" spans="1:7" x14ac:dyDescent="0.25">
      <c r="A18239" t="s">
        <v>55331</v>
      </c>
      <c r="B18239" t="s">
        <v>55597</v>
      </c>
      <c r="C18239" t="s">
        <v>55598</v>
      </c>
      <c r="D18239" t="s">
        <v>55599</v>
      </c>
      <c r="E18239" t="s">
        <v>55600</v>
      </c>
      <c r="F18239" t="s">
        <v>55601</v>
      </c>
      <c r="G18239" s="2" t="str">
        <f>HYPERLINK("https://probpalata.gov.ru/files/ЮЛ720703484500000.jpeg","Скачать индивидуальный QR-код магазина")</f>
        <v>Скачать индивидуальный QR-код магазина</v>
      </c>
    </row>
    <row r="18240" spans="1:7" x14ac:dyDescent="0.25">
      <c r="A18240" t="s">
        <v>55331</v>
      </c>
      <c r="B18240" t="s">
        <v>55571</v>
      </c>
      <c r="C18240" t="s">
        <v>55602</v>
      </c>
      <c r="D18240" t="s">
        <v>55603</v>
      </c>
      <c r="E18240" t="s">
        <v>55604</v>
      </c>
      <c r="F18240" t="s">
        <v>55605</v>
      </c>
      <c r="G18240" s="2" t="str">
        <f>HYPERLINK("https://probpalata.gov.ru/files/ИП720701619100000.jpeg","Скачать индивидуальный QR-код магазина")</f>
        <v>Скачать индивидуальный QR-код магазина</v>
      </c>
    </row>
    <row r="18241" spans="1:7" x14ac:dyDescent="0.25">
      <c r="A18241" t="s">
        <v>55331</v>
      </c>
      <c r="B18241" t="s">
        <v>55606</v>
      </c>
      <c r="C18241" t="s">
        <v>55607</v>
      </c>
      <c r="D18241" t="s">
        <v>55608</v>
      </c>
      <c r="E18241" t="s">
        <v>55609</v>
      </c>
      <c r="F18241" t="s">
        <v>55610</v>
      </c>
      <c r="G18241" s="2" t="str">
        <f>HYPERLINK("https://probpalata.gov.ru/files/ИП720703116800000.jpeg","Скачать индивидуальный QR-код магазина")</f>
        <v>Скачать индивидуальный QR-код магазина</v>
      </c>
    </row>
    <row r="18242" spans="1:7" x14ac:dyDescent="0.25">
      <c r="A18242" t="s">
        <v>55331</v>
      </c>
      <c r="B18242" t="s">
        <v>55611</v>
      </c>
      <c r="C18242" t="s">
        <v>55612</v>
      </c>
      <c r="D18242" t="s">
        <v>55613</v>
      </c>
      <c r="E18242" t="s">
        <v>55614</v>
      </c>
      <c r="F18242" t="s">
        <v>55615</v>
      </c>
      <c r="G18242" s="2" t="str">
        <f>HYPERLINK("https://probpalata.gov.ru/files/ИП720703109700000.jpeg","Скачать индивидуальный QR-код магазина")</f>
        <v>Скачать индивидуальный QR-код магазина</v>
      </c>
    </row>
    <row r="18243" spans="1:7" x14ac:dyDescent="0.25">
      <c r="A18243" t="s">
        <v>55331</v>
      </c>
      <c r="B18243" t="s">
        <v>55616</v>
      </c>
      <c r="C18243" t="s">
        <v>55617</v>
      </c>
      <c r="D18243" t="s">
        <v>55618</v>
      </c>
      <c r="E18243" t="s">
        <v>55619</v>
      </c>
      <c r="F18243" t="s">
        <v>55620</v>
      </c>
      <c r="G18243" s="2" t="str">
        <f>HYPERLINK("https://probpalata.gov.ru/files/ИП720700738500000.jpeg","Скачать индивидуальный QR-код магазина")</f>
        <v>Скачать индивидуальный QR-код магазина</v>
      </c>
    </row>
    <row r="18244" spans="1:7" x14ac:dyDescent="0.25">
      <c r="A18244" t="s">
        <v>55331</v>
      </c>
      <c r="B18244" t="s">
        <v>55590</v>
      </c>
      <c r="C18244" t="s">
        <v>55621</v>
      </c>
      <c r="D18244" t="s">
        <v>55622</v>
      </c>
      <c r="E18244" t="s">
        <v>55623</v>
      </c>
      <c r="F18244" t="s">
        <v>55624</v>
      </c>
      <c r="G18244" s="2" t="str">
        <f>HYPERLINK("https://probpalata.gov.ru/files/ИП720700123600000.jpeg","Скачать индивидуальный QR-код магазина")</f>
        <v>Скачать индивидуальный QR-код магазина</v>
      </c>
    </row>
    <row r="18245" spans="1:7" x14ac:dyDescent="0.25">
      <c r="A18245" t="s">
        <v>55331</v>
      </c>
      <c r="B18245" t="s">
        <v>55571</v>
      </c>
      <c r="C18245" t="s">
        <v>55621</v>
      </c>
      <c r="D18245" t="s">
        <v>55622</v>
      </c>
      <c r="E18245" t="s">
        <v>55623</v>
      </c>
      <c r="F18245" t="s">
        <v>55625</v>
      </c>
      <c r="G18245" s="2" t="str">
        <f>HYPERLINK("https://probpalata.gov.ru/files/ИП720700123600001.jpeg","Скачать индивидуальный QR-код магазина")</f>
        <v>Скачать индивидуальный QR-код магазина</v>
      </c>
    </row>
    <row r="18246" spans="1:7" x14ac:dyDescent="0.25">
      <c r="A18246" t="s">
        <v>55331</v>
      </c>
      <c r="B18246" t="s">
        <v>55626</v>
      </c>
      <c r="C18246" t="s">
        <v>55627</v>
      </c>
      <c r="D18246" t="s">
        <v>55628</v>
      </c>
      <c r="E18246" t="s">
        <v>55629</v>
      </c>
      <c r="F18246" t="s">
        <v>55630</v>
      </c>
      <c r="G18246" s="2" t="str">
        <f>HYPERLINK("https://probpalata.gov.ru/files/ИП720701140800000.jpeg","Скачать индивидуальный QR-код магазина")</f>
        <v>Скачать индивидуальный QR-код магазина</v>
      </c>
    </row>
    <row r="18247" spans="1:7" x14ac:dyDescent="0.25">
      <c r="A18247" t="s">
        <v>55331</v>
      </c>
      <c r="B18247" t="s">
        <v>55631</v>
      </c>
      <c r="C18247" t="s">
        <v>55632</v>
      </c>
      <c r="D18247" t="s">
        <v>55633</v>
      </c>
      <c r="E18247" t="s">
        <v>55634</v>
      </c>
      <c r="F18247" t="s">
        <v>55635</v>
      </c>
      <c r="G18247" s="2" t="str">
        <f>HYPERLINK("https://probpalata.gov.ru/files/ИП720700952900000.jpeg","Скачать индивидуальный QR-код магазина")</f>
        <v>Скачать индивидуальный QR-код магазина</v>
      </c>
    </row>
    <row r="18248" spans="1:7" x14ac:dyDescent="0.25">
      <c r="A18248" t="s">
        <v>55331</v>
      </c>
      <c r="B18248" t="s">
        <v>55636</v>
      </c>
      <c r="C18248" t="s">
        <v>55637</v>
      </c>
      <c r="D18248" t="s">
        <v>55638</v>
      </c>
      <c r="E18248" t="s">
        <v>55639</v>
      </c>
      <c r="F18248" t="s">
        <v>55640</v>
      </c>
      <c r="G18248" s="2" t="str">
        <f>HYPERLINK("https://probpalata.gov.ru/files/ИП720701179700000.jpeg","Скачать индивидуальный QR-код магазина")</f>
        <v>Скачать индивидуальный QR-код магазина</v>
      </c>
    </row>
    <row r="18249" spans="1:7" x14ac:dyDescent="0.25">
      <c r="A18249" t="s">
        <v>55331</v>
      </c>
      <c r="B18249" t="s">
        <v>55641</v>
      </c>
      <c r="C18249" t="s">
        <v>55642</v>
      </c>
      <c r="D18249" t="s">
        <v>55643</v>
      </c>
      <c r="E18249" t="s">
        <v>55644</v>
      </c>
      <c r="F18249" t="s">
        <v>55645</v>
      </c>
      <c r="G18249" s="2" t="str">
        <f>HYPERLINK("https://probpalata.gov.ru/files/ИП720700164100000.jpeg","Скачать индивидуальный QR-код магазина")</f>
        <v>Скачать индивидуальный QR-код магазина</v>
      </c>
    </row>
    <row r="18250" spans="1:7" x14ac:dyDescent="0.25">
      <c r="A18250" t="s">
        <v>55331</v>
      </c>
      <c r="B18250" t="s">
        <v>55646</v>
      </c>
      <c r="C18250" t="s">
        <v>55647</v>
      </c>
      <c r="D18250" t="s">
        <v>55648</v>
      </c>
      <c r="E18250" t="s">
        <v>55649</v>
      </c>
      <c r="F18250" t="s">
        <v>55650</v>
      </c>
      <c r="G18250" s="2" t="str">
        <f>HYPERLINK("https://probpalata.gov.ru/files/ИП720703894200000.jpeg","Скачать индивидуальный QR-код магазина")</f>
        <v>Скачать индивидуальный QR-код магазина</v>
      </c>
    </row>
    <row r="18251" spans="1:7" x14ac:dyDescent="0.25">
      <c r="A18251" t="s">
        <v>55331</v>
      </c>
      <c r="B18251" t="s">
        <v>55651</v>
      </c>
      <c r="C18251" t="s">
        <v>55652</v>
      </c>
      <c r="D18251" t="s">
        <v>55653</v>
      </c>
      <c r="E18251" t="s">
        <v>55654</v>
      </c>
      <c r="F18251" t="s">
        <v>55655</v>
      </c>
      <c r="G18251" s="2" t="str">
        <f>HYPERLINK("https://probpalata.gov.ru/files/ИП720700313400000.jpeg","Скачать индивидуальный QR-код магазина")</f>
        <v>Скачать индивидуальный QR-код магазина</v>
      </c>
    </row>
    <row r="18252" spans="1:7" x14ac:dyDescent="0.25">
      <c r="A18252" t="s">
        <v>55331</v>
      </c>
      <c r="B18252" t="s">
        <v>55656</v>
      </c>
      <c r="C18252" t="s">
        <v>55657</v>
      </c>
      <c r="D18252" t="s">
        <v>55658</v>
      </c>
      <c r="E18252" t="s">
        <v>55659</v>
      </c>
      <c r="F18252" t="s">
        <v>55660</v>
      </c>
      <c r="G18252" s="2" t="str">
        <f>HYPERLINK("https://probpalata.gov.ru/files/ИП720703409900000.jpeg","Скачать индивидуальный QR-код магазина")</f>
        <v>Скачать индивидуальный QR-код магазина</v>
      </c>
    </row>
    <row r="18253" spans="1:7" x14ac:dyDescent="0.25">
      <c r="A18253" t="s">
        <v>55331</v>
      </c>
      <c r="B18253" t="s">
        <v>55661</v>
      </c>
      <c r="C18253" t="s">
        <v>55662</v>
      </c>
      <c r="D18253" t="s">
        <v>55663</v>
      </c>
      <c r="E18253" t="s">
        <v>55664</v>
      </c>
      <c r="F18253" t="s">
        <v>55665</v>
      </c>
      <c r="G18253" s="2" t="str">
        <f>HYPERLINK("https://probpalata.gov.ru/files/ЮЛ720703211600000.jpeg","Скачать индивидуальный QR-код магазина")</f>
        <v>Скачать индивидуальный QR-код магазина</v>
      </c>
    </row>
    <row r="18254" spans="1:7" x14ac:dyDescent="0.25">
      <c r="A18254" t="s">
        <v>55331</v>
      </c>
      <c r="B18254" t="s">
        <v>55666</v>
      </c>
      <c r="C18254" t="s">
        <v>55662</v>
      </c>
      <c r="D18254" t="s">
        <v>55663</v>
      </c>
      <c r="E18254" t="s">
        <v>55664</v>
      </c>
      <c r="F18254" t="s">
        <v>55667</v>
      </c>
      <c r="G18254" s="2" t="str">
        <f>HYPERLINK("https://probpalata.gov.ru/files/ЮЛ720703211600002.jpeg","Скачать индивидуальный QR-код магазина")</f>
        <v>Скачать индивидуальный QR-код магазина</v>
      </c>
    </row>
    <row r="18255" spans="1:7" x14ac:dyDescent="0.25">
      <c r="A18255" t="s">
        <v>55331</v>
      </c>
      <c r="B18255" t="s">
        <v>55668</v>
      </c>
      <c r="C18255" t="s">
        <v>55669</v>
      </c>
      <c r="D18255" t="s">
        <v>55670</v>
      </c>
      <c r="E18255" t="s">
        <v>55671</v>
      </c>
      <c r="F18255" t="s">
        <v>55672</v>
      </c>
      <c r="G18255" s="2" t="str">
        <f>HYPERLINK("https://probpalata.gov.ru/files/ИП720701197800000.jpeg","Скачать индивидуальный QR-код магазина")</f>
        <v>Скачать индивидуальный QR-код магазина</v>
      </c>
    </row>
    <row r="18256" spans="1:7" x14ac:dyDescent="0.25">
      <c r="A18256" t="s">
        <v>55331</v>
      </c>
      <c r="B18256" t="s">
        <v>55673</v>
      </c>
      <c r="C18256" t="s">
        <v>55669</v>
      </c>
      <c r="D18256" t="s">
        <v>55670</v>
      </c>
      <c r="E18256" t="s">
        <v>55671</v>
      </c>
      <c r="F18256" t="s">
        <v>55674</v>
      </c>
      <c r="G18256" s="2" t="str">
        <f>HYPERLINK("https://probpalata.gov.ru/files/ИП720701197800001.jpeg","Скачать индивидуальный QR-код магазина")</f>
        <v>Скачать индивидуальный QR-код магазина</v>
      </c>
    </row>
    <row r="18257" spans="1:7" x14ac:dyDescent="0.25">
      <c r="A18257" t="s">
        <v>55331</v>
      </c>
      <c r="B18257" t="s">
        <v>55675</v>
      </c>
      <c r="C18257" t="s">
        <v>55669</v>
      </c>
      <c r="D18257" t="s">
        <v>55670</v>
      </c>
      <c r="E18257" t="s">
        <v>55671</v>
      </c>
      <c r="F18257" t="s">
        <v>55676</v>
      </c>
      <c r="G18257" s="2" t="str">
        <f>HYPERLINK("https://probpalata.gov.ru/files/ИП720701197800002.jpeg","Скачать индивидуальный QR-код магазина")</f>
        <v>Скачать индивидуальный QR-код магазина</v>
      </c>
    </row>
    <row r="18258" spans="1:7" x14ac:dyDescent="0.25">
      <c r="A18258" t="s">
        <v>55331</v>
      </c>
      <c r="B18258" t="s">
        <v>55677</v>
      </c>
      <c r="C18258" t="s">
        <v>55678</v>
      </c>
      <c r="D18258" t="s">
        <v>55679</v>
      </c>
      <c r="E18258" t="s">
        <v>55680</v>
      </c>
      <c r="F18258" t="s">
        <v>55681</v>
      </c>
      <c r="G18258" s="2" t="str">
        <f>HYPERLINK("https://probpalata.gov.ru/files/ИП720700113400000.jpeg","Скачать индивидуальный QR-код магазина")</f>
        <v>Скачать индивидуальный QR-код магазина</v>
      </c>
    </row>
    <row r="18259" spans="1:7" x14ac:dyDescent="0.25">
      <c r="A18259" t="s">
        <v>55331</v>
      </c>
      <c r="B18259" t="s">
        <v>55682</v>
      </c>
      <c r="C18259" t="s">
        <v>55683</v>
      </c>
      <c r="D18259" t="s">
        <v>55684</v>
      </c>
      <c r="E18259" t="s">
        <v>55685</v>
      </c>
      <c r="F18259" t="s">
        <v>55686</v>
      </c>
      <c r="G18259" s="2" t="str">
        <f>HYPERLINK("https://probpalata.gov.ru/files/ИП720703749600000.jpeg","Скачать индивидуальный QR-код магазина")</f>
        <v>Скачать индивидуальный QR-код магазина</v>
      </c>
    </row>
    <row r="18260" spans="1:7" x14ac:dyDescent="0.25">
      <c r="A18260" t="s">
        <v>55331</v>
      </c>
      <c r="B18260" t="s">
        <v>55687</v>
      </c>
      <c r="C18260" t="s">
        <v>55688</v>
      </c>
      <c r="D18260" t="s">
        <v>55689</v>
      </c>
      <c r="E18260" t="s">
        <v>55690</v>
      </c>
      <c r="F18260" t="s">
        <v>55691</v>
      </c>
      <c r="G18260" s="2" t="str">
        <f>HYPERLINK("https://probpalata.gov.ru/files/ИП720703071600000.jpeg","Скачать индивидуальный QR-код магазина")</f>
        <v>Скачать индивидуальный QR-код магазина</v>
      </c>
    </row>
    <row r="18261" spans="1:7" x14ac:dyDescent="0.25">
      <c r="A18261" t="s">
        <v>55331</v>
      </c>
      <c r="B18261" t="s">
        <v>55692</v>
      </c>
      <c r="C18261" t="s">
        <v>55693</v>
      </c>
      <c r="D18261" t="s">
        <v>55694</v>
      </c>
      <c r="E18261" t="s">
        <v>55695</v>
      </c>
      <c r="F18261" t="s">
        <v>55696</v>
      </c>
      <c r="G18261" s="2" t="str">
        <f>HYPERLINK("https://probpalata.gov.ru/files/ЮЛ740700699600001.jpeg","Скачать индивидуальный QR-код магазина")</f>
        <v>Скачать индивидуальный QR-код магазина</v>
      </c>
    </row>
    <row r="18262" spans="1:7" x14ac:dyDescent="0.25">
      <c r="A18262" t="s">
        <v>55331</v>
      </c>
      <c r="B18262" t="s">
        <v>55697</v>
      </c>
      <c r="C18262" t="s">
        <v>1740</v>
      </c>
      <c r="D18262" t="s">
        <v>1741</v>
      </c>
      <c r="E18262" t="s">
        <v>1742</v>
      </c>
      <c r="F18262" t="s">
        <v>55698</v>
      </c>
      <c r="G18262" s="2" t="str">
        <f>HYPERLINK("https://probpalata.gov.ru/files/ЮЛ760201190700047.jpeg","Скачать индивидуальный QR-код магазина")</f>
        <v>Скачать индивидуальный QR-код магазина</v>
      </c>
    </row>
    <row r="18263" spans="1:7" x14ac:dyDescent="0.25">
      <c r="A18263" t="s">
        <v>55331</v>
      </c>
      <c r="B18263" t="s">
        <v>55699</v>
      </c>
      <c r="C18263" t="s">
        <v>1740</v>
      </c>
      <c r="D18263" t="s">
        <v>1741</v>
      </c>
      <c r="E18263" t="s">
        <v>1742</v>
      </c>
      <c r="F18263" t="s">
        <v>55700</v>
      </c>
      <c r="G18263" s="2" t="str">
        <f>HYPERLINK("https://probpalata.gov.ru/files/ЮЛ760201190700048.jpeg","Скачать индивидуальный QR-код магазина")</f>
        <v>Скачать индивидуальный QR-код магазина</v>
      </c>
    </row>
    <row r="18264" spans="1:7" x14ac:dyDescent="0.25">
      <c r="A18264" t="s">
        <v>55331</v>
      </c>
      <c r="B18264" t="s">
        <v>55701</v>
      </c>
      <c r="C18264" t="s">
        <v>1740</v>
      </c>
      <c r="D18264" t="s">
        <v>1741</v>
      </c>
      <c r="E18264" t="s">
        <v>1742</v>
      </c>
      <c r="F18264" t="s">
        <v>55702</v>
      </c>
      <c r="G18264" s="2" t="str">
        <f>HYPERLINK("https://probpalata.gov.ru/files/ЮЛ760201190700050.jpeg","Скачать индивидуальный QR-код магазина")</f>
        <v>Скачать индивидуальный QR-код магазина</v>
      </c>
    </row>
    <row r="18265" spans="1:7" x14ac:dyDescent="0.25">
      <c r="A18265" t="s">
        <v>55331</v>
      </c>
      <c r="B18265" t="s">
        <v>55703</v>
      </c>
      <c r="C18265" t="s">
        <v>1740</v>
      </c>
      <c r="D18265" t="s">
        <v>1741</v>
      </c>
      <c r="E18265" t="s">
        <v>1742</v>
      </c>
      <c r="F18265" t="s">
        <v>55704</v>
      </c>
      <c r="G18265" s="2" t="str">
        <f>HYPERLINK("https://probpalata.gov.ru/files/ЮЛ760201190700064.jpeg","Скачать индивидуальный QR-код магазина")</f>
        <v>Скачать индивидуальный QR-код магазина</v>
      </c>
    </row>
    <row r="18266" spans="1:7" x14ac:dyDescent="0.25">
      <c r="A18266" t="s">
        <v>55331</v>
      </c>
      <c r="B18266" t="s">
        <v>55705</v>
      </c>
      <c r="C18266" t="s">
        <v>1740</v>
      </c>
      <c r="D18266" t="s">
        <v>1741</v>
      </c>
      <c r="E18266" t="s">
        <v>1742</v>
      </c>
      <c r="F18266" t="s">
        <v>55706</v>
      </c>
      <c r="G18266" s="2" t="str">
        <f>HYPERLINK("https://probpalata.gov.ru/files/ЮЛ760201190700065.jpeg","Скачать индивидуальный QR-код магазина")</f>
        <v>Скачать индивидуальный QR-код магазина</v>
      </c>
    </row>
    <row r="18267" spans="1:7" x14ac:dyDescent="0.25">
      <c r="A18267" t="s">
        <v>55331</v>
      </c>
      <c r="B18267" t="s">
        <v>55707</v>
      </c>
      <c r="C18267" t="s">
        <v>1740</v>
      </c>
      <c r="D18267" t="s">
        <v>1741</v>
      </c>
      <c r="E18267" t="s">
        <v>1742</v>
      </c>
      <c r="F18267" t="s">
        <v>55708</v>
      </c>
      <c r="G18267" s="2" t="str">
        <f>HYPERLINK("https://probpalata.gov.ru/files/ЮЛ760201190700076.jpeg","Скачать индивидуальный QR-код магазина")</f>
        <v>Скачать индивидуальный QR-код магазина</v>
      </c>
    </row>
    <row r="18268" spans="1:7" x14ac:dyDescent="0.25">
      <c r="A18268" t="s">
        <v>55331</v>
      </c>
      <c r="B18268" t="s">
        <v>55709</v>
      </c>
      <c r="C18268" t="s">
        <v>1745</v>
      </c>
      <c r="D18268" t="s">
        <v>1746</v>
      </c>
      <c r="E18268" t="s">
        <v>1747</v>
      </c>
      <c r="F18268" t="s">
        <v>55710</v>
      </c>
      <c r="G18268" s="2" t="str">
        <f>HYPERLINK("https://probpalata.gov.ru/files/ЮЛ770100201500581.jpeg","Скачать индивидуальный QR-код магазина")</f>
        <v>Скачать индивидуальный QR-код магазина</v>
      </c>
    </row>
    <row r="18269" spans="1:7" x14ac:dyDescent="0.25">
      <c r="A18269" t="s">
        <v>55331</v>
      </c>
      <c r="B18269" t="s">
        <v>55711</v>
      </c>
      <c r="C18269" t="s">
        <v>1745</v>
      </c>
      <c r="D18269" t="s">
        <v>1746</v>
      </c>
      <c r="E18269" t="s">
        <v>1747</v>
      </c>
      <c r="F18269" t="s">
        <v>55712</v>
      </c>
      <c r="G18269" s="2" t="str">
        <f>HYPERLINK("https://probpalata.gov.ru/files/ЮЛ770100201500585.jpeg","Скачать индивидуальный QR-код магазина")</f>
        <v>Скачать индивидуальный QR-код магазина</v>
      </c>
    </row>
    <row r="18270" spans="1:7" x14ac:dyDescent="0.25">
      <c r="A18270" t="s">
        <v>55331</v>
      </c>
      <c r="B18270" t="s">
        <v>55713</v>
      </c>
      <c r="C18270" t="s">
        <v>1745</v>
      </c>
      <c r="D18270" t="s">
        <v>1746</v>
      </c>
      <c r="E18270" t="s">
        <v>1747</v>
      </c>
      <c r="F18270" t="s">
        <v>55714</v>
      </c>
      <c r="G18270" s="2" t="str">
        <f>HYPERLINK("https://probpalata.gov.ru/files/ЮЛ770100201500587.jpeg","Скачать индивидуальный QR-код магазина")</f>
        <v>Скачать индивидуальный QR-код магазина</v>
      </c>
    </row>
    <row r="18271" spans="1:7" x14ac:dyDescent="0.25">
      <c r="A18271" t="s">
        <v>55331</v>
      </c>
      <c r="B18271" t="s">
        <v>55715</v>
      </c>
      <c r="C18271" t="s">
        <v>1745</v>
      </c>
      <c r="D18271" t="s">
        <v>1746</v>
      </c>
      <c r="E18271" t="s">
        <v>1747</v>
      </c>
      <c r="F18271" t="s">
        <v>55716</v>
      </c>
      <c r="G18271" s="2" t="str">
        <f>HYPERLINK("https://probpalata.gov.ru/files/ЮЛ770100201500848.jpeg","Скачать индивидуальный QR-код магазина")</f>
        <v>Скачать индивидуальный QR-код магазина</v>
      </c>
    </row>
    <row r="18272" spans="1:7" x14ac:dyDescent="0.25">
      <c r="A18272" t="s">
        <v>55331</v>
      </c>
      <c r="B18272" t="s">
        <v>55717</v>
      </c>
      <c r="C18272" t="s">
        <v>713</v>
      </c>
      <c r="D18272" t="s">
        <v>714</v>
      </c>
      <c r="E18272" t="s">
        <v>715</v>
      </c>
      <c r="F18272" t="s">
        <v>55718</v>
      </c>
      <c r="G18272" s="2" t="str">
        <f>HYPERLINK("https://probpalata.gov.ru/files/ЮЛ770101216600146.jpeg","Скачать индивидуальный QR-код магазина")</f>
        <v>Скачать индивидуальный QR-код магазина</v>
      </c>
    </row>
    <row r="18273" spans="1:7" x14ac:dyDescent="0.25">
      <c r="A18273" t="s">
        <v>55331</v>
      </c>
      <c r="B18273" t="s">
        <v>55719</v>
      </c>
      <c r="C18273" t="s">
        <v>713</v>
      </c>
      <c r="D18273" t="s">
        <v>714</v>
      </c>
      <c r="E18273" t="s">
        <v>715</v>
      </c>
      <c r="F18273" t="s">
        <v>55720</v>
      </c>
      <c r="G18273" s="2" t="str">
        <f>HYPERLINK("https://probpalata.gov.ru/files/ЮЛ770101216600155.jpeg","Скачать индивидуальный QR-код магазина")</f>
        <v>Скачать индивидуальный QR-код магазина</v>
      </c>
    </row>
    <row r="18274" spans="1:7" x14ac:dyDescent="0.25">
      <c r="A18274" t="s">
        <v>55331</v>
      </c>
      <c r="B18274" t="s">
        <v>55721</v>
      </c>
      <c r="C18274" t="s">
        <v>713</v>
      </c>
      <c r="D18274" t="s">
        <v>714</v>
      </c>
      <c r="E18274" t="s">
        <v>715</v>
      </c>
      <c r="F18274" t="s">
        <v>55722</v>
      </c>
      <c r="G18274" s="2" t="str">
        <f>HYPERLINK("https://probpalata.gov.ru/files/ЮЛ770101216600208.jpeg","Скачать индивидуальный QR-код магазина")</f>
        <v>Скачать индивидуальный QR-код магазина</v>
      </c>
    </row>
    <row r="18275" spans="1:7" x14ac:dyDescent="0.25">
      <c r="A18275" t="s">
        <v>55331</v>
      </c>
      <c r="B18275" t="s">
        <v>55723</v>
      </c>
      <c r="C18275" t="s">
        <v>713</v>
      </c>
      <c r="D18275" t="s">
        <v>714</v>
      </c>
      <c r="E18275" t="s">
        <v>715</v>
      </c>
      <c r="F18275" t="s">
        <v>55724</v>
      </c>
      <c r="G18275" s="2" t="str">
        <f>HYPERLINK("https://probpalata.gov.ru/files/ЮЛ770101216600266.jpeg","Скачать индивидуальный QR-код магазина")</f>
        <v>Скачать индивидуальный QR-код магазина</v>
      </c>
    </row>
    <row r="18276" spans="1:7" x14ac:dyDescent="0.25">
      <c r="A18276" t="s">
        <v>55331</v>
      </c>
      <c r="B18276" t="s">
        <v>55725</v>
      </c>
      <c r="C18276" t="s">
        <v>713</v>
      </c>
      <c r="D18276" t="s">
        <v>714</v>
      </c>
      <c r="E18276" t="s">
        <v>715</v>
      </c>
      <c r="F18276" t="s">
        <v>55726</v>
      </c>
      <c r="G18276" s="2" t="str">
        <f>HYPERLINK("https://probpalata.gov.ru/files/ЮЛ770101216600324.jpeg","Скачать индивидуальный QR-код магазина")</f>
        <v>Скачать индивидуальный QR-код магазина</v>
      </c>
    </row>
    <row r="18277" spans="1:7" x14ac:dyDescent="0.25">
      <c r="A18277" t="s">
        <v>55331</v>
      </c>
      <c r="B18277" t="s">
        <v>55727</v>
      </c>
      <c r="C18277" t="s">
        <v>713</v>
      </c>
      <c r="D18277" t="s">
        <v>714</v>
      </c>
      <c r="E18277" t="s">
        <v>715</v>
      </c>
      <c r="F18277" t="s">
        <v>55728</v>
      </c>
      <c r="G18277" s="2" t="str">
        <f>HYPERLINK("https://probpalata.gov.ru/files/ЮЛ770101216600350.jpeg","Скачать индивидуальный QR-код магазина")</f>
        <v>Скачать индивидуальный QR-код магазина</v>
      </c>
    </row>
    <row r="18278" spans="1:7" x14ac:dyDescent="0.25">
      <c r="A18278" t="s">
        <v>55331</v>
      </c>
      <c r="B18278" t="s">
        <v>55729</v>
      </c>
      <c r="C18278" t="s">
        <v>713</v>
      </c>
      <c r="D18278" t="s">
        <v>714</v>
      </c>
      <c r="E18278" t="s">
        <v>715</v>
      </c>
      <c r="F18278" t="s">
        <v>55730</v>
      </c>
      <c r="G18278" s="2" t="str">
        <f>HYPERLINK("https://probpalata.gov.ru/files/ЮЛ770101216600510.jpeg","Скачать индивидуальный QR-код магазина")</f>
        <v>Скачать индивидуальный QR-код магазина</v>
      </c>
    </row>
    <row r="18279" spans="1:7" x14ac:dyDescent="0.25">
      <c r="A18279" t="s">
        <v>55331</v>
      </c>
      <c r="B18279" t="s">
        <v>55731</v>
      </c>
      <c r="C18279" t="s">
        <v>713</v>
      </c>
      <c r="D18279" t="s">
        <v>714</v>
      </c>
      <c r="E18279" t="s">
        <v>715</v>
      </c>
      <c r="F18279" t="s">
        <v>55732</v>
      </c>
      <c r="G18279" s="2" t="str">
        <f>HYPERLINK("https://probpalata.gov.ru/files/ЮЛ770101216600515.jpeg","Скачать индивидуальный QR-код магазина")</f>
        <v>Скачать индивидуальный QR-код магазина</v>
      </c>
    </row>
    <row r="18280" spans="1:7" x14ac:dyDescent="0.25">
      <c r="A18280" t="s">
        <v>55331</v>
      </c>
      <c r="B18280" t="s">
        <v>55733</v>
      </c>
      <c r="C18280" t="s">
        <v>713</v>
      </c>
      <c r="D18280" t="s">
        <v>714</v>
      </c>
      <c r="E18280" t="s">
        <v>715</v>
      </c>
      <c r="F18280" t="s">
        <v>55734</v>
      </c>
      <c r="G18280" s="2" t="str">
        <f>HYPERLINK("https://probpalata.gov.ru/files/ЮЛ770101216600524.jpeg","Скачать индивидуальный QR-код магазина")</f>
        <v>Скачать индивидуальный QR-код магазина</v>
      </c>
    </row>
    <row r="18281" spans="1:7" x14ac:dyDescent="0.25">
      <c r="A18281" t="s">
        <v>55331</v>
      </c>
      <c r="B18281" t="s">
        <v>55735</v>
      </c>
      <c r="C18281" t="s">
        <v>713</v>
      </c>
      <c r="D18281" t="s">
        <v>714</v>
      </c>
      <c r="E18281" t="s">
        <v>715</v>
      </c>
      <c r="F18281" t="s">
        <v>55736</v>
      </c>
      <c r="G18281" s="2" t="str">
        <f>HYPERLINK("https://probpalata.gov.ru/files/ЮЛ770101216600615.jpeg","Скачать индивидуальный QR-код магазина")</f>
        <v>Скачать индивидуальный QR-код магазина</v>
      </c>
    </row>
    <row r="18282" spans="1:7" x14ac:dyDescent="0.25">
      <c r="A18282" t="s">
        <v>55331</v>
      </c>
      <c r="B18282" t="s">
        <v>55737</v>
      </c>
      <c r="C18282" t="s">
        <v>713</v>
      </c>
      <c r="D18282" t="s">
        <v>714</v>
      </c>
      <c r="E18282" t="s">
        <v>715</v>
      </c>
      <c r="F18282" t="s">
        <v>55738</v>
      </c>
      <c r="G18282" s="2" t="str">
        <f>HYPERLINK("https://probpalata.gov.ru/files/ЮЛ770101216600665.jpeg","Скачать индивидуальный QR-код магазина")</f>
        <v>Скачать индивидуальный QR-код магазина</v>
      </c>
    </row>
    <row r="18283" spans="1:7" x14ac:dyDescent="0.25">
      <c r="A18283" t="s">
        <v>55331</v>
      </c>
      <c r="B18283" t="s">
        <v>55739</v>
      </c>
      <c r="C18283" t="s">
        <v>713</v>
      </c>
      <c r="D18283" t="s">
        <v>714</v>
      </c>
      <c r="E18283" t="s">
        <v>715</v>
      </c>
      <c r="F18283" t="s">
        <v>55740</v>
      </c>
      <c r="G18283" s="2" t="str">
        <f>HYPERLINK("https://probpalata.gov.ru/files/ЮЛ770101216600675.jpeg","Скачать индивидуальный QR-код магазина")</f>
        <v>Скачать индивидуальный QR-код магазина</v>
      </c>
    </row>
    <row r="18284" spans="1:7" x14ac:dyDescent="0.25">
      <c r="A18284" t="s">
        <v>55331</v>
      </c>
      <c r="B18284" t="s">
        <v>55741</v>
      </c>
      <c r="C18284" t="s">
        <v>713</v>
      </c>
      <c r="D18284" t="s">
        <v>714</v>
      </c>
      <c r="E18284" t="s">
        <v>715</v>
      </c>
      <c r="F18284" t="s">
        <v>55742</v>
      </c>
      <c r="G18284" s="2" t="str">
        <f>HYPERLINK("https://probpalata.gov.ru/files/ЮЛ770101216600769.jpeg","Скачать индивидуальный QR-код магазина")</f>
        <v>Скачать индивидуальный QR-код магазина</v>
      </c>
    </row>
    <row r="18285" spans="1:7" x14ac:dyDescent="0.25">
      <c r="A18285" t="s">
        <v>55331</v>
      </c>
      <c r="B18285" t="s">
        <v>55743</v>
      </c>
      <c r="C18285" t="s">
        <v>713</v>
      </c>
      <c r="D18285" t="s">
        <v>714</v>
      </c>
      <c r="E18285" t="s">
        <v>715</v>
      </c>
      <c r="F18285" t="s">
        <v>55744</v>
      </c>
      <c r="G18285" s="2" t="str">
        <f>HYPERLINK("https://probpalata.gov.ru/files/ЮЛ770101216600787.jpeg","Скачать индивидуальный QR-код магазина")</f>
        <v>Скачать индивидуальный QR-код магазина</v>
      </c>
    </row>
    <row r="18286" spans="1:7" x14ac:dyDescent="0.25">
      <c r="A18286" t="s">
        <v>55331</v>
      </c>
      <c r="B18286" t="s">
        <v>55745</v>
      </c>
      <c r="C18286" t="s">
        <v>713</v>
      </c>
      <c r="D18286" t="s">
        <v>714</v>
      </c>
      <c r="E18286" t="s">
        <v>715</v>
      </c>
      <c r="F18286" t="s">
        <v>55746</v>
      </c>
      <c r="G18286" s="2" t="str">
        <f>HYPERLINK("https://probpalata.gov.ru/files/ЮЛ770101216600819.jpeg","Скачать индивидуальный QR-код магазина")</f>
        <v>Скачать индивидуальный QR-код магазина</v>
      </c>
    </row>
    <row r="18287" spans="1:7" x14ac:dyDescent="0.25">
      <c r="A18287" t="s">
        <v>55331</v>
      </c>
      <c r="B18287" t="s">
        <v>55747</v>
      </c>
      <c r="C18287" t="s">
        <v>713</v>
      </c>
      <c r="D18287" t="s">
        <v>714</v>
      </c>
      <c r="E18287" t="s">
        <v>715</v>
      </c>
      <c r="F18287" t="s">
        <v>55748</v>
      </c>
      <c r="G18287" s="2" t="str">
        <f>HYPERLINK("https://probpalata.gov.ru/files/ЮЛ770101216600871.jpeg","Скачать индивидуальный QR-код магазина")</f>
        <v>Скачать индивидуальный QR-код магазина</v>
      </c>
    </row>
    <row r="18288" spans="1:7" x14ac:dyDescent="0.25">
      <c r="A18288" t="s">
        <v>55331</v>
      </c>
      <c r="B18288" t="s">
        <v>55749</v>
      </c>
      <c r="C18288" t="s">
        <v>713</v>
      </c>
      <c r="D18288" t="s">
        <v>714</v>
      </c>
      <c r="E18288" t="s">
        <v>715</v>
      </c>
      <c r="F18288" t="s">
        <v>55750</v>
      </c>
      <c r="G18288" s="2" t="str">
        <f>HYPERLINK("https://probpalata.gov.ru/files/ЮЛ770101216600891.jpeg","Скачать индивидуальный QR-код магазина")</f>
        <v>Скачать индивидуальный QR-код магазина</v>
      </c>
    </row>
    <row r="18289" spans="1:7" x14ac:dyDescent="0.25">
      <c r="A18289" t="s">
        <v>55331</v>
      </c>
      <c r="B18289" t="s">
        <v>55751</v>
      </c>
      <c r="C18289" t="s">
        <v>713</v>
      </c>
      <c r="D18289" t="s">
        <v>714</v>
      </c>
      <c r="E18289" t="s">
        <v>715</v>
      </c>
      <c r="F18289" t="s">
        <v>55752</v>
      </c>
      <c r="G18289" s="2" t="str">
        <f>HYPERLINK("https://probpalata.gov.ru/files/ЮЛ770101216600946.jpeg","Скачать индивидуальный QR-код магазина")</f>
        <v>Скачать индивидуальный QR-код магазина</v>
      </c>
    </row>
    <row r="18290" spans="1:7" x14ac:dyDescent="0.25">
      <c r="A18290" t="s">
        <v>55331</v>
      </c>
      <c r="B18290" t="s">
        <v>55753</v>
      </c>
      <c r="C18290" t="s">
        <v>1416</v>
      </c>
      <c r="D18290" t="s">
        <v>1417</v>
      </c>
      <c r="E18290" t="s">
        <v>1418</v>
      </c>
      <c r="F18290" t="s">
        <v>55754</v>
      </c>
      <c r="G18290" s="2" t="str">
        <f>HYPERLINK("https://probpalata.gov.ru/files/ЮЛ770100419400056.jpeg","Скачать индивидуальный QR-код магазина")</f>
        <v>Скачать индивидуальный QR-код магазина</v>
      </c>
    </row>
    <row r="18291" spans="1:7" x14ac:dyDescent="0.25">
      <c r="A18291" t="s">
        <v>55331</v>
      </c>
      <c r="B18291" t="s">
        <v>55498</v>
      </c>
      <c r="C18291" t="s">
        <v>1416</v>
      </c>
      <c r="D18291" t="s">
        <v>1417</v>
      </c>
      <c r="E18291" t="s">
        <v>1418</v>
      </c>
      <c r="F18291" t="s">
        <v>55755</v>
      </c>
      <c r="G18291" s="2" t="str">
        <f>HYPERLINK("https://probpalata.gov.ru/files/ЮЛ770100419400059.jpeg","Скачать индивидуальный QR-код магазина")</f>
        <v>Скачать индивидуальный QR-код магазина</v>
      </c>
    </row>
    <row r="18292" spans="1:7" x14ac:dyDescent="0.25">
      <c r="A18292" t="s">
        <v>55331</v>
      </c>
      <c r="B18292" t="s">
        <v>55756</v>
      </c>
      <c r="C18292" t="s">
        <v>1416</v>
      </c>
      <c r="D18292" t="s">
        <v>1417</v>
      </c>
      <c r="E18292" t="s">
        <v>1418</v>
      </c>
      <c r="F18292" t="s">
        <v>55757</v>
      </c>
      <c r="G18292" s="2" t="str">
        <f>HYPERLINK("https://probpalata.gov.ru/files/ЮЛ770100419400176.jpeg","Скачать индивидуальный QR-код магазина")</f>
        <v>Скачать индивидуальный QR-код магазина</v>
      </c>
    </row>
    <row r="18293" spans="1:7" x14ac:dyDescent="0.25">
      <c r="A18293" t="s">
        <v>55331</v>
      </c>
      <c r="B18293" t="s">
        <v>55758</v>
      </c>
      <c r="C18293" t="s">
        <v>748</v>
      </c>
      <c r="D18293" t="s">
        <v>749</v>
      </c>
      <c r="E18293" t="s">
        <v>750</v>
      </c>
      <c r="F18293" t="s">
        <v>55759</v>
      </c>
      <c r="G18293" s="2" t="str">
        <f>HYPERLINK("https://probpalata.gov.ru/files/ЮЛ770100193500036.jpeg","Скачать индивидуальный QR-код магазина")</f>
        <v>Скачать индивидуальный QR-код магазина</v>
      </c>
    </row>
    <row r="18294" spans="1:7" x14ac:dyDescent="0.25">
      <c r="A18294" t="s">
        <v>55331</v>
      </c>
      <c r="B18294" t="s">
        <v>55760</v>
      </c>
      <c r="C18294" t="s">
        <v>748</v>
      </c>
      <c r="D18294" t="s">
        <v>749</v>
      </c>
      <c r="E18294" t="s">
        <v>750</v>
      </c>
      <c r="F18294" t="s">
        <v>55761</v>
      </c>
      <c r="G18294" s="2" t="str">
        <f>HYPERLINK("https://probpalata.gov.ru/files/ЮЛ770100193500037.jpeg","Скачать индивидуальный QR-код магазина")</f>
        <v>Скачать индивидуальный QR-код магазина</v>
      </c>
    </row>
    <row r="18295" spans="1:7" x14ac:dyDescent="0.25">
      <c r="A18295" t="s">
        <v>55331</v>
      </c>
      <c r="B18295" t="s">
        <v>55762</v>
      </c>
      <c r="C18295" t="s">
        <v>748</v>
      </c>
      <c r="D18295" t="s">
        <v>749</v>
      </c>
      <c r="E18295" t="s">
        <v>750</v>
      </c>
      <c r="F18295" t="s">
        <v>55763</v>
      </c>
      <c r="G18295" s="2" t="str">
        <f>HYPERLINK("https://probpalata.gov.ru/files/ЮЛ770100193500271.jpeg","Скачать индивидуальный QR-код магазина")</f>
        <v>Скачать индивидуальный QR-код магазина</v>
      </c>
    </row>
    <row r="18296" spans="1:7" x14ac:dyDescent="0.25">
      <c r="A18296" t="s">
        <v>55331</v>
      </c>
      <c r="B18296" t="s">
        <v>55764</v>
      </c>
      <c r="C18296" t="s">
        <v>748</v>
      </c>
      <c r="D18296" t="s">
        <v>749</v>
      </c>
      <c r="E18296" t="s">
        <v>750</v>
      </c>
      <c r="F18296" t="s">
        <v>55765</v>
      </c>
      <c r="G18296" s="2" t="str">
        <f>HYPERLINK("https://probpalata.gov.ru/files/ЮЛ770100193500272.jpeg","Скачать индивидуальный QR-код магазина")</f>
        <v>Скачать индивидуальный QR-код магазина</v>
      </c>
    </row>
    <row r="18297" spans="1:7" x14ac:dyDescent="0.25">
      <c r="A18297" t="s">
        <v>55331</v>
      </c>
      <c r="B18297" t="s">
        <v>55766</v>
      </c>
      <c r="C18297" t="s">
        <v>748</v>
      </c>
      <c r="D18297" t="s">
        <v>749</v>
      </c>
      <c r="E18297" t="s">
        <v>750</v>
      </c>
      <c r="F18297" t="s">
        <v>55767</v>
      </c>
      <c r="G18297" s="2" t="str">
        <f>HYPERLINK("https://probpalata.gov.ru/files/ЮЛ770100193500273.jpeg","Скачать индивидуальный QR-код магазина")</f>
        <v>Скачать индивидуальный QR-код магазина</v>
      </c>
    </row>
    <row r="18298" spans="1:7" x14ac:dyDescent="0.25">
      <c r="A18298" t="s">
        <v>55331</v>
      </c>
      <c r="B18298" t="s">
        <v>55768</v>
      </c>
      <c r="C18298" t="s">
        <v>748</v>
      </c>
      <c r="D18298" t="s">
        <v>749</v>
      </c>
      <c r="E18298" t="s">
        <v>750</v>
      </c>
      <c r="F18298" t="s">
        <v>55769</v>
      </c>
      <c r="G18298" s="2" t="str">
        <f>HYPERLINK("https://probpalata.gov.ru/files/ЮЛ770100193500274.jpeg","Скачать индивидуальный QR-код магазина")</f>
        <v>Скачать индивидуальный QR-код магазина</v>
      </c>
    </row>
    <row r="18299" spans="1:7" x14ac:dyDescent="0.25">
      <c r="A18299" t="s">
        <v>55331</v>
      </c>
      <c r="B18299" t="s">
        <v>55770</v>
      </c>
      <c r="C18299" t="s">
        <v>748</v>
      </c>
      <c r="D18299" t="s">
        <v>749</v>
      </c>
      <c r="E18299" t="s">
        <v>750</v>
      </c>
      <c r="F18299" t="s">
        <v>55771</v>
      </c>
      <c r="G18299" s="2" t="str">
        <f>HYPERLINK("https://probpalata.gov.ru/files/ЮЛ770100193500480.jpeg","Скачать индивидуальный QR-код магазина")</f>
        <v>Скачать индивидуальный QR-код магазина</v>
      </c>
    </row>
    <row r="18300" spans="1:7" x14ac:dyDescent="0.25">
      <c r="A18300" t="s">
        <v>55331</v>
      </c>
      <c r="B18300" t="s">
        <v>55772</v>
      </c>
      <c r="C18300" t="s">
        <v>748</v>
      </c>
      <c r="D18300" t="s">
        <v>749</v>
      </c>
      <c r="E18300" t="s">
        <v>750</v>
      </c>
      <c r="F18300" t="s">
        <v>55773</v>
      </c>
      <c r="G18300" s="2" t="str">
        <f>HYPERLINK("https://probpalata.gov.ru/files/ЮЛ770100193500745.jpeg","Скачать индивидуальный QR-код магазина")</f>
        <v>Скачать индивидуальный QR-код магазина</v>
      </c>
    </row>
    <row r="18301" spans="1:7" x14ac:dyDescent="0.25">
      <c r="A18301" t="s">
        <v>55331</v>
      </c>
      <c r="B18301" t="s">
        <v>55774</v>
      </c>
      <c r="C18301" t="s">
        <v>748</v>
      </c>
      <c r="D18301" t="s">
        <v>749</v>
      </c>
      <c r="E18301" t="s">
        <v>750</v>
      </c>
      <c r="F18301" t="s">
        <v>55775</v>
      </c>
      <c r="G18301" s="2" t="str">
        <f>HYPERLINK("https://probpalata.gov.ru/files/ЮЛ770100193500825.jpeg","Скачать индивидуальный QR-код магазина")</f>
        <v>Скачать индивидуальный QR-код магазина</v>
      </c>
    </row>
    <row r="18302" spans="1:7" x14ac:dyDescent="0.25">
      <c r="A18302" t="s">
        <v>55331</v>
      </c>
      <c r="B18302" t="s">
        <v>55776</v>
      </c>
      <c r="C18302" t="s">
        <v>748</v>
      </c>
      <c r="D18302" t="s">
        <v>749</v>
      </c>
      <c r="E18302" t="s">
        <v>750</v>
      </c>
      <c r="F18302" t="s">
        <v>55777</v>
      </c>
      <c r="G18302" s="2" t="str">
        <f>HYPERLINK("https://probpalata.gov.ru/files/ЮЛ770100193500931.jpeg","Скачать индивидуальный QR-код магазина")</f>
        <v>Скачать индивидуальный QR-код магазина</v>
      </c>
    </row>
    <row r="18303" spans="1:7" x14ac:dyDescent="0.25">
      <c r="A18303" t="s">
        <v>55331</v>
      </c>
      <c r="B18303" t="s">
        <v>55778</v>
      </c>
      <c r="C18303" t="s">
        <v>748</v>
      </c>
      <c r="D18303" t="s">
        <v>749</v>
      </c>
      <c r="E18303" t="s">
        <v>750</v>
      </c>
      <c r="F18303" t="s">
        <v>55779</v>
      </c>
      <c r="G18303" s="2" t="str">
        <f>HYPERLINK("https://probpalata.gov.ru/files/ЮЛ770100193500936.jpeg","Скачать индивидуальный QR-код магазина")</f>
        <v>Скачать индивидуальный QR-код магазина</v>
      </c>
    </row>
    <row r="18304" spans="1:7" x14ac:dyDescent="0.25">
      <c r="A18304" t="s">
        <v>55331</v>
      </c>
      <c r="B18304" t="s">
        <v>55780</v>
      </c>
      <c r="C18304" t="s">
        <v>748</v>
      </c>
      <c r="D18304" t="s">
        <v>749</v>
      </c>
      <c r="E18304" t="s">
        <v>750</v>
      </c>
      <c r="F18304" t="s">
        <v>55781</v>
      </c>
      <c r="G18304" s="2" t="str">
        <f>HYPERLINK("https://probpalata.gov.ru/files/ЮЛ770100193501001.jpeg","Скачать индивидуальный QR-код магазина")</f>
        <v>Скачать индивидуальный QR-код магазина</v>
      </c>
    </row>
    <row r="18305" spans="1:7" x14ac:dyDescent="0.25">
      <c r="A18305" t="s">
        <v>55331</v>
      </c>
      <c r="B18305" t="s">
        <v>55782</v>
      </c>
      <c r="C18305" t="s">
        <v>748</v>
      </c>
      <c r="D18305" t="s">
        <v>749</v>
      </c>
      <c r="E18305" t="s">
        <v>750</v>
      </c>
      <c r="F18305" t="s">
        <v>55783</v>
      </c>
      <c r="G18305" s="2" t="str">
        <f>HYPERLINK("https://probpalata.gov.ru/files/ЮЛ770100193501058.jpeg","Скачать индивидуальный QR-код магазина")</f>
        <v>Скачать индивидуальный QR-код магазина</v>
      </c>
    </row>
    <row r="18306" spans="1:7" x14ac:dyDescent="0.25">
      <c r="A18306" t="s">
        <v>55331</v>
      </c>
      <c r="B18306" t="s">
        <v>55715</v>
      </c>
      <c r="C18306" t="s">
        <v>748</v>
      </c>
      <c r="D18306" t="s">
        <v>749</v>
      </c>
      <c r="E18306" t="s">
        <v>750</v>
      </c>
      <c r="F18306" t="s">
        <v>55784</v>
      </c>
      <c r="G18306" s="2" t="str">
        <f>HYPERLINK("https://probpalata.gov.ru/files/ЮЛ770100193501064.jpeg","Скачать индивидуальный QR-код магазина")</f>
        <v>Скачать индивидуальный QR-код магазина</v>
      </c>
    </row>
    <row r="18307" spans="1:7" x14ac:dyDescent="0.25">
      <c r="A18307" t="s">
        <v>55331</v>
      </c>
      <c r="B18307" t="s">
        <v>55785</v>
      </c>
      <c r="C18307" t="s">
        <v>748</v>
      </c>
      <c r="D18307" t="s">
        <v>749</v>
      </c>
      <c r="E18307" t="s">
        <v>750</v>
      </c>
      <c r="F18307" t="s">
        <v>55786</v>
      </c>
      <c r="G18307" s="2" t="str">
        <f>HYPERLINK("https://probpalata.gov.ru/files/ЮЛ770100193501096.jpeg","Скачать индивидуальный QR-код магазина")</f>
        <v>Скачать индивидуальный QR-код магазина</v>
      </c>
    </row>
    <row r="18308" spans="1:7" x14ac:dyDescent="0.25">
      <c r="A18308" t="s">
        <v>55331</v>
      </c>
      <c r="B18308" t="s">
        <v>55409</v>
      </c>
      <c r="C18308" t="s">
        <v>748</v>
      </c>
      <c r="D18308" t="s">
        <v>749</v>
      </c>
      <c r="E18308" t="s">
        <v>750</v>
      </c>
      <c r="F18308" t="s">
        <v>55787</v>
      </c>
      <c r="G18308" s="2" t="str">
        <f>HYPERLINK("https://probpalata.gov.ru/files/ЮЛ770100193501098.jpeg","Скачать индивидуальный QR-код магазина")</f>
        <v>Скачать индивидуальный QR-код магазина</v>
      </c>
    </row>
    <row r="18309" spans="1:7" x14ac:dyDescent="0.25">
      <c r="A18309" t="s">
        <v>55331</v>
      </c>
      <c r="B18309" t="s">
        <v>55788</v>
      </c>
      <c r="C18309" t="s">
        <v>773</v>
      </c>
      <c r="D18309" t="s">
        <v>774</v>
      </c>
      <c r="E18309" t="s">
        <v>775</v>
      </c>
      <c r="F18309" t="s">
        <v>55789</v>
      </c>
      <c r="G18309" s="2" t="str">
        <f>HYPERLINK("https://probpalata.gov.ru/files/ЮЛ780300131300124.jpeg","Скачать индивидуальный QR-код магазина")</f>
        <v>Скачать индивидуальный QR-код магазина</v>
      </c>
    </row>
    <row r="18310" spans="1:7" x14ac:dyDescent="0.25">
      <c r="A18310" t="s">
        <v>55331</v>
      </c>
      <c r="B18310" t="s">
        <v>55790</v>
      </c>
      <c r="C18310" t="s">
        <v>773</v>
      </c>
      <c r="D18310" t="s">
        <v>774</v>
      </c>
      <c r="E18310" t="s">
        <v>775</v>
      </c>
      <c r="F18310" t="s">
        <v>55791</v>
      </c>
      <c r="G18310" s="2" t="str">
        <f>HYPERLINK("https://probpalata.gov.ru/files/ЮЛ780300131300125.jpeg","Скачать индивидуальный QR-код магазина")</f>
        <v>Скачать индивидуальный QR-код магазина</v>
      </c>
    </row>
    <row r="18311" spans="1:7" x14ac:dyDescent="0.25">
      <c r="A18311" t="s">
        <v>55331</v>
      </c>
      <c r="B18311" t="s">
        <v>55792</v>
      </c>
      <c r="C18311" t="s">
        <v>773</v>
      </c>
      <c r="D18311" t="s">
        <v>774</v>
      </c>
      <c r="E18311" t="s">
        <v>775</v>
      </c>
      <c r="F18311" t="s">
        <v>55793</v>
      </c>
      <c r="G18311" s="2" t="str">
        <f>HYPERLINK("https://probpalata.gov.ru/files/ЮЛ780300131300126.jpeg","Скачать индивидуальный QR-код магазина")</f>
        <v>Скачать индивидуальный QR-код магазина</v>
      </c>
    </row>
    <row r="18312" spans="1:7" x14ac:dyDescent="0.25">
      <c r="A18312" t="s">
        <v>55331</v>
      </c>
      <c r="B18312" t="s">
        <v>55347</v>
      </c>
      <c r="C18312" t="s">
        <v>773</v>
      </c>
      <c r="D18312" t="s">
        <v>774</v>
      </c>
      <c r="E18312" t="s">
        <v>775</v>
      </c>
      <c r="F18312" t="s">
        <v>55794</v>
      </c>
      <c r="G18312" s="2" t="str">
        <f>HYPERLINK("https://probpalata.gov.ru/files/ЮЛ780300131300570.jpeg","Скачать индивидуальный QR-код магазина")</f>
        <v>Скачать индивидуальный QR-код магазина</v>
      </c>
    </row>
    <row r="18313" spans="1:7" x14ac:dyDescent="0.25">
      <c r="A18313" t="s">
        <v>55331</v>
      </c>
      <c r="B18313" t="s">
        <v>55347</v>
      </c>
      <c r="C18313" t="s">
        <v>4077</v>
      </c>
      <c r="D18313" t="s">
        <v>4078</v>
      </c>
      <c r="E18313" t="s">
        <v>4079</v>
      </c>
      <c r="F18313" t="s">
        <v>55795</v>
      </c>
      <c r="G18313" s="2" t="str">
        <f>HYPERLINK("https://probpalata.gov.ru/files/ЮЛ780300331800097.jpeg","Скачать индивидуальный QR-код магазина")</f>
        <v>Скачать индивидуальный QR-код магазина</v>
      </c>
    </row>
    <row r="18314" spans="1:7" x14ac:dyDescent="0.25">
      <c r="A18314" t="s">
        <v>55331</v>
      </c>
      <c r="B18314" t="s">
        <v>55796</v>
      </c>
      <c r="C18314" t="s">
        <v>791</v>
      </c>
      <c r="D18314" t="s">
        <v>792</v>
      </c>
      <c r="E18314" t="s">
        <v>793</v>
      </c>
      <c r="F18314" t="s">
        <v>55797</v>
      </c>
      <c r="G18314" s="2" t="str">
        <f>HYPERLINK("https://probpalata.gov.ru/files/ЮЛ780300323500170.jpeg","Скачать индивидуальный QR-код магазина")</f>
        <v>Скачать индивидуальный QR-код магазина</v>
      </c>
    </row>
    <row r="18315" spans="1:7" x14ac:dyDescent="0.25">
      <c r="A18315" t="s">
        <v>55331</v>
      </c>
      <c r="B18315" t="s">
        <v>55798</v>
      </c>
      <c r="C18315" t="s">
        <v>791</v>
      </c>
      <c r="D18315" t="s">
        <v>792</v>
      </c>
      <c r="E18315" t="s">
        <v>793</v>
      </c>
      <c r="F18315" t="s">
        <v>55799</v>
      </c>
      <c r="G18315" s="2" t="str">
        <f>HYPERLINK("https://probpalata.gov.ru/files/ЮЛ780300323500176.jpeg","Скачать индивидуальный QR-код магазина")</f>
        <v>Скачать индивидуальный QR-код магазина</v>
      </c>
    </row>
    <row r="18316" spans="1:7" x14ac:dyDescent="0.25">
      <c r="A18316" t="s">
        <v>55331</v>
      </c>
      <c r="B18316" t="s">
        <v>55800</v>
      </c>
      <c r="C18316" t="s">
        <v>791</v>
      </c>
      <c r="D18316" t="s">
        <v>792</v>
      </c>
      <c r="E18316" t="s">
        <v>793</v>
      </c>
      <c r="F18316" t="s">
        <v>55801</v>
      </c>
      <c r="G18316" s="2" t="str">
        <f>HYPERLINK("https://probpalata.gov.ru/files/ЮЛ780300323500177.jpeg","Скачать индивидуальный QR-код магазина")</f>
        <v>Скачать индивидуальный QR-код магазина</v>
      </c>
    </row>
    <row r="18317" spans="1:7" x14ac:dyDescent="0.25">
      <c r="A18317" t="s">
        <v>55331</v>
      </c>
      <c r="B18317" t="s">
        <v>55802</v>
      </c>
      <c r="C18317" t="s">
        <v>791</v>
      </c>
      <c r="D18317" t="s">
        <v>792</v>
      </c>
      <c r="E18317" t="s">
        <v>793</v>
      </c>
      <c r="F18317" t="s">
        <v>55803</v>
      </c>
      <c r="G18317" s="2" t="str">
        <f>HYPERLINK("https://probpalata.gov.ru/files/ЮЛ780300323500178.jpeg","Скачать индивидуальный QR-код магазина")</f>
        <v>Скачать индивидуальный QR-код магазина</v>
      </c>
    </row>
    <row r="18318" spans="1:7" x14ac:dyDescent="0.25">
      <c r="A18318" t="s">
        <v>55331</v>
      </c>
      <c r="B18318" t="s">
        <v>55804</v>
      </c>
      <c r="C18318" t="s">
        <v>791</v>
      </c>
      <c r="D18318" t="s">
        <v>792</v>
      </c>
      <c r="E18318" t="s">
        <v>793</v>
      </c>
      <c r="F18318" t="s">
        <v>55805</v>
      </c>
      <c r="G18318" s="2" t="str">
        <f>HYPERLINK("https://probpalata.gov.ru/files/ЮЛ780300323500179.jpeg","Скачать индивидуальный QR-код магазина")</f>
        <v>Скачать индивидуальный QR-код магазина</v>
      </c>
    </row>
    <row r="18319" spans="1:7" x14ac:dyDescent="0.25">
      <c r="A18319" t="s">
        <v>55331</v>
      </c>
      <c r="B18319" t="s">
        <v>55806</v>
      </c>
      <c r="C18319" t="s">
        <v>791</v>
      </c>
      <c r="D18319" t="s">
        <v>792</v>
      </c>
      <c r="E18319" t="s">
        <v>793</v>
      </c>
      <c r="F18319" t="s">
        <v>55807</v>
      </c>
      <c r="G18319" s="2" t="str">
        <f>HYPERLINK("https://probpalata.gov.ru/files/ЮЛ780300323500180.jpeg","Скачать индивидуальный QR-код магазина")</f>
        <v>Скачать индивидуальный QR-код магазина</v>
      </c>
    </row>
    <row r="18320" spans="1:7" x14ac:dyDescent="0.25">
      <c r="A18320" t="s">
        <v>55331</v>
      </c>
      <c r="B18320" t="s">
        <v>55808</v>
      </c>
      <c r="C18320" t="s">
        <v>791</v>
      </c>
      <c r="D18320" t="s">
        <v>792</v>
      </c>
      <c r="E18320" t="s">
        <v>793</v>
      </c>
      <c r="F18320" t="s">
        <v>55809</v>
      </c>
      <c r="G18320" s="2" t="str">
        <f>HYPERLINK("https://probpalata.gov.ru/files/ЮЛ780300323500181.jpeg","Скачать индивидуальный QR-код магазина")</f>
        <v>Скачать индивидуальный QR-код магазина</v>
      </c>
    </row>
    <row r="18321" spans="1:7" x14ac:dyDescent="0.25">
      <c r="A18321" t="s">
        <v>55331</v>
      </c>
      <c r="B18321" t="s">
        <v>55810</v>
      </c>
      <c r="C18321" t="s">
        <v>791</v>
      </c>
      <c r="D18321" t="s">
        <v>792</v>
      </c>
      <c r="E18321" t="s">
        <v>793</v>
      </c>
      <c r="F18321" t="s">
        <v>55811</v>
      </c>
      <c r="G18321" s="2" t="str">
        <f>HYPERLINK("https://probpalata.gov.ru/files/ЮЛ780300323500182.jpeg","Скачать индивидуальный QR-код магазина")</f>
        <v>Скачать индивидуальный QR-код магазина</v>
      </c>
    </row>
    <row r="18322" spans="1:7" x14ac:dyDescent="0.25">
      <c r="A18322" t="s">
        <v>55331</v>
      </c>
      <c r="B18322" t="s">
        <v>55812</v>
      </c>
      <c r="C18322" t="s">
        <v>798</v>
      </c>
      <c r="D18322" t="s">
        <v>799</v>
      </c>
      <c r="E18322" t="s">
        <v>800</v>
      </c>
      <c r="F18322" t="s">
        <v>55813</v>
      </c>
      <c r="G18322" s="2" t="str">
        <f>HYPERLINK("https://probpalata.gov.ru/files/ЮЛ780300308200184.jpeg","Скачать индивидуальный QR-код магазина")</f>
        <v>Скачать индивидуальный QR-код магазина</v>
      </c>
    </row>
    <row r="18323" spans="1:7" x14ac:dyDescent="0.25">
      <c r="A18323" t="s">
        <v>55331</v>
      </c>
      <c r="B18323" t="s">
        <v>55814</v>
      </c>
      <c r="C18323" t="s">
        <v>798</v>
      </c>
      <c r="D18323" t="s">
        <v>799</v>
      </c>
      <c r="E18323" t="s">
        <v>800</v>
      </c>
      <c r="F18323" t="s">
        <v>55815</v>
      </c>
      <c r="G18323" s="2" t="str">
        <f>HYPERLINK("https://probpalata.gov.ru/files/ЮЛ780300308200242.jpeg","Скачать индивидуальный QR-код магазина")</f>
        <v>Скачать индивидуальный QR-код магазина</v>
      </c>
    </row>
    <row r="18324" spans="1:7" x14ac:dyDescent="0.25">
      <c r="A18324" t="s">
        <v>55331</v>
      </c>
      <c r="B18324" t="s">
        <v>55816</v>
      </c>
      <c r="C18324" t="s">
        <v>798</v>
      </c>
      <c r="D18324" t="s">
        <v>799</v>
      </c>
      <c r="E18324" t="s">
        <v>800</v>
      </c>
      <c r="F18324" t="s">
        <v>55817</v>
      </c>
      <c r="G18324" s="2" t="str">
        <f>HYPERLINK("https://probpalata.gov.ru/files/ЮЛ780300308200243.jpeg","Скачать индивидуальный QR-код магазина")</f>
        <v>Скачать индивидуальный QR-код магазина</v>
      </c>
    </row>
    <row r="18325" spans="1:7" x14ac:dyDescent="0.25">
      <c r="A18325" t="s">
        <v>55331</v>
      </c>
      <c r="B18325" t="s">
        <v>55818</v>
      </c>
      <c r="C18325" t="s">
        <v>798</v>
      </c>
      <c r="D18325" t="s">
        <v>799</v>
      </c>
      <c r="E18325" t="s">
        <v>800</v>
      </c>
      <c r="F18325" t="s">
        <v>55819</v>
      </c>
      <c r="G18325" s="2" t="str">
        <f>HYPERLINK("https://probpalata.gov.ru/files/ЮЛ780300308200259.jpeg","Скачать индивидуальный QR-код магазина")</f>
        <v>Скачать индивидуальный QR-код магазина</v>
      </c>
    </row>
    <row r="18326" spans="1:7" x14ac:dyDescent="0.25">
      <c r="A18326" t="s">
        <v>55331</v>
      </c>
      <c r="B18326" t="s">
        <v>55820</v>
      </c>
      <c r="C18326" t="s">
        <v>798</v>
      </c>
      <c r="D18326" t="s">
        <v>799</v>
      </c>
      <c r="E18326" t="s">
        <v>800</v>
      </c>
      <c r="F18326" t="s">
        <v>55821</v>
      </c>
      <c r="G18326" s="2" t="str">
        <f>HYPERLINK("https://probpalata.gov.ru/files/ЮЛ780300308200260.jpeg","Скачать индивидуальный QR-код магазина")</f>
        <v>Скачать индивидуальный QR-код магазина</v>
      </c>
    </row>
    <row r="18327" spans="1:7" x14ac:dyDescent="0.25">
      <c r="A18327" t="s">
        <v>55331</v>
      </c>
      <c r="B18327" t="s">
        <v>55822</v>
      </c>
      <c r="C18327" t="s">
        <v>798</v>
      </c>
      <c r="D18327" t="s">
        <v>799</v>
      </c>
      <c r="E18327" t="s">
        <v>800</v>
      </c>
      <c r="F18327" t="s">
        <v>55823</v>
      </c>
      <c r="G18327" s="2" t="str">
        <f>HYPERLINK("https://probpalata.gov.ru/files/ЮЛ780300308200312.jpeg","Скачать индивидуальный QR-код магазина")</f>
        <v>Скачать индивидуальный QR-код магазина</v>
      </c>
    </row>
    <row r="18328" spans="1:7" x14ac:dyDescent="0.25">
      <c r="A18328" t="s">
        <v>55331</v>
      </c>
      <c r="B18328" t="s">
        <v>55824</v>
      </c>
      <c r="C18328" t="s">
        <v>798</v>
      </c>
      <c r="D18328" t="s">
        <v>799</v>
      </c>
      <c r="E18328" t="s">
        <v>800</v>
      </c>
      <c r="F18328" t="s">
        <v>55825</v>
      </c>
      <c r="G18328" s="2" t="str">
        <f>HYPERLINK("https://probpalata.gov.ru/files/ЮЛ780300308200406.jpeg","Скачать индивидуальный QR-код магазина")</f>
        <v>Скачать индивидуальный QR-код магазина</v>
      </c>
    </row>
    <row r="18329" spans="1:7" x14ac:dyDescent="0.25">
      <c r="A18329" t="s">
        <v>55331</v>
      </c>
      <c r="B18329" t="s">
        <v>55826</v>
      </c>
      <c r="C18329" t="s">
        <v>798</v>
      </c>
      <c r="D18329" t="s">
        <v>799</v>
      </c>
      <c r="E18329" t="s">
        <v>800</v>
      </c>
      <c r="F18329" t="s">
        <v>55827</v>
      </c>
      <c r="G18329" s="2" t="str">
        <f>HYPERLINK("https://probpalata.gov.ru/files/ЮЛ780300308200506.jpeg","Скачать индивидуальный QR-код магазина")</f>
        <v>Скачать индивидуальный QR-код магазина</v>
      </c>
    </row>
    <row r="18330" spans="1:7" x14ac:dyDescent="0.25">
      <c r="A18330" t="s">
        <v>55331</v>
      </c>
      <c r="B18330" t="s">
        <v>55828</v>
      </c>
      <c r="C18330" t="s">
        <v>798</v>
      </c>
      <c r="D18330" t="s">
        <v>799</v>
      </c>
      <c r="E18330" t="s">
        <v>800</v>
      </c>
      <c r="F18330" t="s">
        <v>55829</v>
      </c>
      <c r="G18330" s="2" t="str">
        <f>HYPERLINK("https://probpalata.gov.ru/files/ЮЛ780300308200590.jpeg","Скачать индивидуальный QR-код магазина")</f>
        <v>Скачать индивидуальный QR-код магазина</v>
      </c>
    </row>
    <row r="18331" spans="1:7" x14ac:dyDescent="0.25">
      <c r="A18331" t="s">
        <v>55331</v>
      </c>
      <c r="B18331" t="s">
        <v>55830</v>
      </c>
      <c r="C18331" t="s">
        <v>798</v>
      </c>
      <c r="D18331" t="s">
        <v>799</v>
      </c>
      <c r="E18331" t="s">
        <v>800</v>
      </c>
      <c r="F18331" t="s">
        <v>55831</v>
      </c>
      <c r="G18331" s="2" t="str">
        <f>HYPERLINK("https://probpalata.gov.ru/files/ЮЛ780300308200618.jpeg","Скачать индивидуальный QR-код магазина")</f>
        <v>Скачать индивидуальный QR-код магазина</v>
      </c>
    </row>
    <row r="18332" spans="1:7" x14ac:dyDescent="0.25">
      <c r="A18332" t="s">
        <v>55331</v>
      </c>
      <c r="B18332" t="s">
        <v>55832</v>
      </c>
      <c r="C18332" t="s">
        <v>798</v>
      </c>
      <c r="D18332" t="s">
        <v>799</v>
      </c>
      <c r="E18332" t="s">
        <v>800</v>
      </c>
      <c r="F18332" t="s">
        <v>55833</v>
      </c>
      <c r="G18332" s="2" t="str">
        <f>HYPERLINK("https://probpalata.gov.ru/files/ЮЛ780300308200637.jpeg","Скачать индивидуальный QR-код магазина")</f>
        <v>Скачать индивидуальный QR-код магазина</v>
      </c>
    </row>
    <row r="18333" spans="1:7" x14ac:dyDescent="0.25">
      <c r="A18333" t="s">
        <v>55331</v>
      </c>
      <c r="B18333" t="s">
        <v>55347</v>
      </c>
      <c r="C18333" t="s">
        <v>798</v>
      </c>
      <c r="D18333" t="s">
        <v>799</v>
      </c>
      <c r="E18333" t="s">
        <v>800</v>
      </c>
      <c r="F18333" t="s">
        <v>55834</v>
      </c>
      <c r="G18333" s="2" t="str">
        <f>HYPERLINK("https://probpalata.gov.ru/files/ЮЛ780300308200667.jpeg","Скачать индивидуальный QR-код магазина")</f>
        <v>Скачать индивидуальный QR-код магазина</v>
      </c>
    </row>
    <row r="18334" spans="1:7" x14ac:dyDescent="0.25">
      <c r="A18334" t="s">
        <v>55331</v>
      </c>
      <c r="B18334" t="s">
        <v>55835</v>
      </c>
      <c r="C18334" t="s">
        <v>798</v>
      </c>
      <c r="D18334" t="s">
        <v>799</v>
      </c>
      <c r="E18334" t="s">
        <v>800</v>
      </c>
      <c r="F18334" t="s">
        <v>55836</v>
      </c>
      <c r="G18334" s="2" t="str">
        <f>HYPERLINK("https://probpalata.gov.ru/files/ЮЛ780300308200756.jpeg","Скачать индивидуальный QR-код магазина")</f>
        <v>Скачать индивидуальный QR-код магазина</v>
      </c>
    </row>
    <row r="18335" spans="1:7" x14ac:dyDescent="0.25">
      <c r="A18335" t="s">
        <v>55331</v>
      </c>
      <c r="B18335" t="s">
        <v>55837</v>
      </c>
      <c r="C18335" t="s">
        <v>798</v>
      </c>
      <c r="D18335" t="s">
        <v>799</v>
      </c>
      <c r="E18335" t="s">
        <v>800</v>
      </c>
      <c r="F18335" t="s">
        <v>55838</v>
      </c>
      <c r="G18335" s="2" t="str">
        <f>HYPERLINK("https://probpalata.gov.ru/files/ЮЛ780300308200759.jpeg","Скачать индивидуальный QR-код магазина")</f>
        <v>Скачать индивидуальный QR-код магазина</v>
      </c>
    </row>
    <row r="18336" spans="1:7" x14ac:dyDescent="0.25">
      <c r="A18336" t="s">
        <v>55331</v>
      </c>
      <c r="B18336" t="s">
        <v>55839</v>
      </c>
      <c r="C18336" t="s">
        <v>798</v>
      </c>
      <c r="D18336" t="s">
        <v>799</v>
      </c>
      <c r="E18336" t="s">
        <v>800</v>
      </c>
      <c r="F18336" t="s">
        <v>55840</v>
      </c>
      <c r="G18336" s="2" t="str">
        <f>HYPERLINK("https://probpalata.gov.ru/files/ЮЛ780300308200956.jpeg","Скачать индивидуальный QR-код магазина")</f>
        <v>Скачать индивидуальный QR-код магазина</v>
      </c>
    </row>
    <row r="18337" spans="1:7" x14ac:dyDescent="0.25">
      <c r="A18337" t="s">
        <v>55331</v>
      </c>
      <c r="B18337" t="s">
        <v>55841</v>
      </c>
      <c r="C18337" t="s">
        <v>798</v>
      </c>
      <c r="D18337" t="s">
        <v>799</v>
      </c>
      <c r="E18337" t="s">
        <v>800</v>
      </c>
      <c r="F18337" t="s">
        <v>55842</v>
      </c>
      <c r="G18337" s="2" t="str">
        <f>HYPERLINK("https://probpalata.gov.ru/files/ЮЛ780300308200960.jpeg","Скачать индивидуальный QR-код магазина")</f>
        <v>Скачать индивидуальный QR-код магазина</v>
      </c>
    </row>
    <row r="18338" spans="1:7" x14ac:dyDescent="0.25">
      <c r="A18338" t="s">
        <v>55331</v>
      </c>
      <c r="B18338" t="s">
        <v>55843</v>
      </c>
      <c r="C18338" t="s">
        <v>798</v>
      </c>
      <c r="D18338" t="s">
        <v>799</v>
      </c>
      <c r="E18338" t="s">
        <v>800</v>
      </c>
      <c r="F18338" t="s">
        <v>55844</v>
      </c>
      <c r="G18338" s="2" t="str">
        <f>HYPERLINK("https://probpalata.gov.ru/files/ЮЛ780300308200968.jpeg","Скачать индивидуальный QR-код магазина")</f>
        <v>Скачать индивидуальный QR-код магазина</v>
      </c>
    </row>
    <row r="18339" spans="1:7" x14ac:dyDescent="0.25">
      <c r="A18339" t="s">
        <v>55331</v>
      </c>
      <c r="B18339" t="s">
        <v>55768</v>
      </c>
      <c r="C18339" t="s">
        <v>798</v>
      </c>
      <c r="D18339" t="s">
        <v>799</v>
      </c>
      <c r="E18339" t="s">
        <v>800</v>
      </c>
      <c r="F18339" t="s">
        <v>55845</v>
      </c>
      <c r="G18339" s="2" t="str">
        <f>HYPERLINK("https://probpalata.gov.ru/files/ЮЛ780300308200977.jpeg","Скачать индивидуальный QR-код магазина")</f>
        <v>Скачать индивидуальный QR-код магазина</v>
      </c>
    </row>
    <row r="18340" spans="1:7" x14ac:dyDescent="0.25">
      <c r="A18340" t="s">
        <v>55331</v>
      </c>
      <c r="B18340" t="s">
        <v>55846</v>
      </c>
      <c r="C18340" t="s">
        <v>798</v>
      </c>
      <c r="D18340" t="s">
        <v>799</v>
      </c>
      <c r="E18340" t="s">
        <v>800</v>
      </c>
      <c r="F18340" t="s">
        <v>55847</v>
      </c>
      <c r="G18340" s="2" t="str">
        <f>HYPERLINK("https://probpalata.gov.ru/files/ЮЛ780300308201141.jpeg","Скачать индивидуальный QR-код магазина")</f>
        <v>Скачать индивидуальный QR-код магазина</v>
      </c>
    </row>
    <row r="18341" spans="1:7" x14ac:dyDescent="0.25">
      <c r="A18341" t="s">
        <v>55331</v>
      </c>
      <c r="B18341" t="s">
        <v>55848</v>
      </c>
      <c r="C18341" t="s">
        <v>823</v>
      </c>
      <c r="D18341" t="s">
        <v>824</v>
      </c>
      <c r="E18341" t="s">
        <v>825</v>
      </c>
      <c r="F18341" t="s">
        <v>55849</v>
      </c>
      <c r="G18341" s="2" t="str">
        <f>HYPERLINK("https://probpalata.gov.ru/files/ЮЛ780300363500227.jpeg","Скачать индивидуальный QR-код магазина")</f>
        <v>Скачать индивидуальный QR-код магазина</v>
      </c>
    </row>
    <row r="18342" spans="1:7" x14ac:dyDescent="0.25">
      <c r="A18342" t="s">
        <v>55331</v>
      </c>
      <c r="B18342" t="s">
        <v>55850</v>
      </c>
      <c r="C18342" t="s">
        <v>823</v>
      </c>
      <c r="D18342" t="s">
        <v>824</v>
      </c>
      <c r="E18342" t="s">
        <v>825</v>
      </c>
      <c r="F18342" t="s">
        <v>55851</v>
      </c>
      <c r="G18342" s="2" t="str">
        <f>HYPERLINK("https://probpalata.gov.ru/files/ЮЛ780300363500228.jpeg","Скачать индивидуальный QR-код магазина")</f>
        <v>Скачать индивидуальный QR-код магазина</v>
      </c>
    </row>
    <row r="18343" spans="1:7" x14ac:dyDescent="0.25">
      <c r="A18343" t="s">
        <v>55331</v>
      </c>
      <c r="B18343" t="s">
        <v>55841</v>
      </c>
      <c r="C18343" t="s">
        <v>823</v>
      </c>
      <c r="D18343" t="s">
        <v>824</v>
      </c>
      <c r="E18343" t="s">
        <v>825</v>
      </c>
      <c r="F18343" t="s">
        <v>55852</v>
      </c>
      <c r="G18343" s="2" t="str">
        <f>HYPERLINK("https://probpalata.gov.ru/files/ЮЛ780300363500232.jpeg","Скачать индивидуальный QR-код магазина")</f>
        <v>Скачать индивидуальный QR-код магазина</v>
      </c>
    </row>
    <row r="18344" spans="1:7" x14ac:dyDescent="0.25">
      <c r="A18344" t="s">
        <v>55331</v>
      </c>
      <c r="B18344" t="s">
        <v>55853</v>
      </c>
      <c r="C18344" t="s">
        <v>823</v>
      </c>
      <c r="D18344" t="s">
        <v>824</v>
      </c>
      <c r="E18344" t="s">
        <v>825</v>
      </c>
      <c r="F18344" t="s">
        <v>55854</v>
      </c>
      <c r="G18344" s="2" t="str">
        <f>HYPERLINK("https://probpalata.gov.ru/files/ЮЛ780300363500233.jpeg","Скачать индивидуальный QR-код магазина")</f>
        <v>Скачать индивидуальный QR-код магазина</v>
      </c>
    </row>
    <row r="18345" spans="1:7" x14ac:dyDescent="0.25">
      <c r="A18345" t="s">
        <v>55331</v>
      </c>
      <c r="B18345" t="s">
        <v>55855</v>
      </c>
      <c r="C18345" t="s">
        <v>823</v>
      </c>
      <c r="D18345" t="s">
        <v>824</v>
      </c>
      <c r="E18345" t="s">
        <v>825</v>
      </c>
      <c r="F18345" t="s">
        <v>55856</v>
      </c>
      <c r="G18345" s="2" t="str">
        <f>HYPERLINK("https://probpalata.gov.ru/files/ЮЛ780300363500234.jpeg","Скачать индивидуальный QR-код магазина")</f>
        <v>Скачать индивидуальный QR-код магазина</v>
      </c>
    </row>
    <row r="18346" spans="1:7" x14ac:dyDescent="0.25">
      <c r="A18346" t="s">
        <v>55331</v>
      </c>
      <c r="B18346" t="s">
        <v>55810</v>
      </c>
      <c r="C18346" t="s">
        <v>823</v>
      </c>
      <c r="D18346" t="s">
        <v>824</v>
      </c>
      <c r="E18346" t="s">
        <v>825</v>
      </c>
      <c r="F18346" t="s">
        <v>55857</v>
      </c>
      <c r="G18346" s="2" t="str">
        <f>HYPERLINK("https://probpalata.gov.ru/files/ЮЛ780300363500235.jpeg","Скачать индивидуальный QR-код магазина")</f>
        <v>Скачать индивидуальный QR-код магазина</v>
      </c>
    </row>
    <row r="18347" spans="1:7" x14ac:dyDescent="0.25">
      <c r="A18347" t="s">
        <v>55331</v>
      </c>
      <c r="B18347" t="s">
        <v>55858</v>
      </c>
      <c r="C18347" t="s">
        <v>823</v>
      </c>
      <c r="D18347" t="s">
        <v>824</v>
      </c>
      <c r="E18347" t="s">
        <v>825</v>
      </c>
      <c r="F18347" t="s">
        <v>55859</v>
      </c>
      <c r="G18347" s="2" t="str">
        <f>HYPERLINK("https://probpalata.gov.ru/files/ЮЛ780300363500236.jpeg","Скачать индивидуальный QR-код магазина")</f>
        <v>Скачать индивидуальный QR-код магазина</v>
      </c>
    </row>
    <row r="18348" spans="1:7" x14ac:dyDescent="0.25">
      <c r="A18348" t="s">
        <v>55331</v>
      </c>
      <c r="B18348" t="s">
        <v>55860</v>
      </c>
      <c r="C18348" t="s">
        <v>823</v>
      </c>
      <c r="D18348" t="s">
        <v>824</v>
      </c>
      <c r="E18348" t="s">
        <v>825</v>
      </c>
      <c r="F18348" t="s">
        <v>55861</v>
      </c>
      <c r="G18348" s="2" t="str">
        <f>HYPERLINK("https://probpalata.gov.ru/files/ЮЛ780300363500237.jpeg","Скачать индивидуальный QR-код магазина")</f>
        <v>Скачать индивидуальный QR-код магазина</v>
      </c>
    </row>
    <row r="18349" spans="1:7" x14ac:dyDescent="0.25">
      <c r="A18349" t="s">
        <v>55331</v>
      </c>
      <c r="B18349" t="s">
        <v>55862</v>
      </c>
      <c r="C18349" t="s">
        <v>55863</v>
      </c>
      <c r="D18349" t="s">
        <v>55864</v>
      </c>
      <c r="E18349" t="s">
        <v>55865</v>
      </c>
      <c r="F18349" t="s">
        <v>55866</v>
      </c>
      <c r="G18349" s="2" t="str">
        <f>HYPERLINK("https://probpalata.gov.ru/files/ИП860700034200000.jpeg","Скачать индивидуальный QR-код магазина")</f>
        <v>Скачать индивидуальный QR-код магазина</v>
      </c>
    </row>
    <row r="18350" spans="1:7" x14ac:dyDescent="0.25">
      <c r="A18350" t="s">
        <v>55331</v>
      </c>
      <c r="B18350" t="s">
        <v>55867</v>
      </c>
      <c r="C18350" t="s">
        <v>55868</v>
      </c>
      <c r="D18350" t="s">
        <v>55869</v>
      </c>
      <c r="E18350" t="s">
        <v>55870</v>
      </c>
      <c r="F18350" t="s">
        <v>55871</v>
      </c>
      <c r="G18350" s="2" t="str">
        <f>HYPERLINK("https://probpalata.gov.ru/files/ИП890701607700000.jpeg","Скачать индивидуальный QR-код магазина")</f>
        <v>Скачать индивидуальный QR-код магазина</v>
      </c>
    </row>
    <row r="18351" spans="1:7" x14ac:dyDescent="0.25">
      <c r="A18351" t="s">
        <v>55331</v>
      </c>
      <c r="B18351" t="s">
        <v>55872</v>
      </c>
      <c r="C18351" t="s">
        <v>1501</v>
      </c>
      <c r="D18351" t="s">
        <v>1502</v>
      </c>
      <c r="E18351" t="s">
        <v>1503</v>
      </c>
      <c r="F18351" t="s">
        <v>55873</v>
      </c>
      <c r="G18351" s="2" t="str">
        <f>HYPERLINK("https://probpalata.gov.ru/files/ЮЛ770100439200132.jpeg","Скачать индивидуальный QR-код магазина")</f>
        <v>Скачать индивидуальный QR-код магазина</v>
      </c>
    </row>
    <row r="18352" spans="1:7" x14ac:dyDescent="0.25">
      <c r="A18352" t="s">
        <v>55331</v>
      </c>
      <c r="B18352" t="s">
        <v>55874</v>
      </c>
      <c r="C18352" t="s">
        <v>1501</v>
      </c>
      <c r="D18352" t="s">
        <v>1502</v>
      </c>
      <c r="E18352" t="s">
        <v>1503</v>
      </c>
      <c r="F18352" t="s">
        <v>55875</v>
      </c>
      <c r="G18352" s="2" t="str">
        <f>HYPERLINK("https://probpalata.gov.ru/files/ЮЛ770100439200183.jpeg","Скачать индивидуальный QR-код магазина")</f>
        <v>Скачать индивидуальный QR-код магазина</v>
      </c>
    </row>
    <row r="18353" spans="1:7" x14ac:dyDescent="0.25">
      <c r="A18353" t="s">
        <v>55331</v>
      </c>
      <c r="B18353" t="s">
        <v>55876</v>
      </c>
      <c r="C18353" t="s">
        <v>1501</v>
      </c>
      <c r="D18353" t="s">
        <v>1502</v>
      </c>
      <c r="E18353" t="s">
        <v>1503</v>
      </c>
      <c r="F18353" t="s">
        <v>55877</v>
      </c>
      <c r="G18353" s="2" t="str">
        <f>HYPERLINK("https://probpalata.gov.ru/files/ЮЛ770100439200247.jpeg","Скачать индивидуальный QR-код магазина")</f>
        <v>Скачать индивидуальный QR-код магазина</v>
      </c>
    </row>
    <row r="18354" spans="1:7" x14ac:dyDescent="0.25">
      <c r="A18354" t="s">
        <v>55878</v>
      </c>
      <c r="B18354" t="s">
        <v>55879</v>
      </c>
      <c r="C18354" t="s">
        <v>10991</v>
      </c>
      <c r="D18354" t="s">
        <v>10992</v>
      </c>
      <c r="E18354" t="s">
        <v>10993</v>
      </c>
      <c r="F18354" t="s">
        <v>55880</v>
      </c>
      <c r="G18354" s="2" t="str">
        <f>HYPERLINK("https://probpalata.gov.ru/files/ИП120600362800006.jpeg","Скачать индивидуальный QR-код магазина")</f>
        <v>Скачать индивидуальный QR-код магазина</v>
      </c>
    </row>
    <row r="18355" spans="1:7" x14ac:dyDescent="0.25">
      <c r="A18355" t="s">
        <v>55878</v>
      </c>
      <c r="B18355" t="s">
        <v>55881</v>
      </c>
      <c r="C18355" t="s">
        <v>10991</v>
      </c>
      <c r="D18355" t="s">
        <v>10992</v>
      </c>
      <c r="E18355" t="s">
        <v>10993</v>
      </c>
      <c r="F18355" t="s">
        <v>55882</v>
      </c>
      <c r="G18355" s="2" t="str">
        <f>HYPERLINK("https://probpalata.gov.ru/files/ИП120600362800017.jpeg","Скачать индивидуальный QR-код магазина")</f>
        <v>Скачать индивидуальный QR-код магазина</v>
      </c>
    </row>
    <row r="18356" spans="1:7" x14ac:dyDescent="0.25">
      <c r="A18356" t="s">
        <v>55878</v>
      </c>
      <c r="B18356" t="s">
        <v>55883</v>
      </c>
      <c r="C18356" t="s">
        <v>55884</v>
      </c>
      <c r="D18356" t="s">
        <v>55885</v>
      </c>
      <c r="E18356" t="s">
        <v>55886</v>
      </c>
      <c r="F18356" t="s">
        <v>55887</v>
      </c>
      <c r="G18356" s="2" t="str">
        <f>HYPERLINK("https://probpalata.gov.ru/files/ИП160603648100000.jpeg","Скачать индивидуальный QR-код магазина")</f>
        <v>Скачать индивидуальный QR-код магазина</v>
      </c>
    </row>
    <row r="18357" spans="1:7" x14ac:dyDescent="0.25">
      <c r="A18357" t="s">
        <v>55878</v>
      </c>
      <c r="B18357" t="s">
        <v>55888</v>
      </c>
      <c r="C18357" t="s">
        <v>55889</v>
      </c>
      <c r="D18357" t="s">
        <v>55890</v>
      </c>
      <c r="E18357" t="s">
        <v>55891</v>
      </c>
      <c r="F18357" t="s">
        <v>55892</v>
      </c>
      <c r="G18357" s="2" t="str">
        <f>HYPERLINK("https://probpalata.gov.ru/files/ИП180601170500000.jpeg","Скачать индивидуальный QR-код магазина")</f>
        <v>Скачать индивидуальный QR-код магазина</v>
      </c>
    </row>
    <row r="18358" spans="1:7" x14ac:dyDescent="0.25">
      <c r="A18358" t="s">
        <v>55878</v>
      </c>
      <c r="B18358" t="s">
        <v>55893</v>
      </c>
      <c r="C18358" t="s">
        <v>55894</v>
      </c>
      <c r="D18358" t="s">
        <v>55895</v>
      </c>
      <c r="E18358" t="s">
        <v>55896</v>
      </c>
      <c r="F18358" t="s">
        <v>55897</v>
      </c>
      <c r="G18358" s="2" t="str">
        <f>HYPERLINK("https://probpalata.gov.ru/files/ЮЛ180601439200000.jpeg","Скачать индивидуальный QR-код магазина")</f>
        <v>Скачать индивидуальный QR-код магазина</v>
      </c>
    </row>
    <row r="18359" spans="1:7" x14ac:dyDescent="0.25">
      <c r="A18359" t="s">
        <v>55878</v>
      </c>
      <c r="B18359" t="s">
        <v>55893</v>
      </c>
      <c r="C18359" t="s">
        <v>55894</v>
      </c>
      <c r="D18359" t="s">
        <v>55895</v>
      </c>
      <c r="E18359" t="s">
        <v>55896</v>
      </c>
      <c r="F18359" t="s">
        <v>55898</v>
      </c>
      <c r="G18359" s="2" t="str">
        <f>HYPERLINK("https://probpalata.gov.ru/files/ЮЛ180601439200001.jpeg","Скачать индивидуальный QR-код магазина")</f>
        <v>Скачать индивидуальный QR-код магазина</v>
      </c>
    </row>
    <row r="18360" spans="1:7" x14ac:dyDescent="0.25">
      <c r="A18360" t="s">
        <v>55878</v>
      </c>
      <c r="B18360" t="s">
        <v>55899</v>
      </c>
      <c r="C18360" t="s">
        <v>55900</v>
      </c>
      <c r="D18360" t="s">
        <v>55901</v>
      </c>
      <c r="E18360" t="s">
        <v>55902</v>
      </c>
      <c r="F18360" t="s">
        <v>55903</v>
      </c>
      <c r="G18360" s="2" t="str">
        <f>HYPERLINK("https://probpalata.gov.ru/files/ИП180600094700000.jpeg","Скачать индивидуальный QR-код магазина")</f>
        <v>Скачать индивидуальный QR-код магазина</v>
      </c>
    </row>
    <row r="18361" spans="1:7" x14ac:dyDescent="0.25">
      <c r="A18361" t="s">
        <v>55878</v>
      </c>
      <c r="B18361" t="s">
        <v>55904</v>
      </c>
      <c r="C18361" t="s">
        <v>55905</v>
      </c>
      <c r="D18361" t="s">
        <v>55906</v>
      </c>
      <c r="E18361" t="s">
        <v>55907</v>
      </c>
      <c r="F18361" t="s">
        <v>55908</v>
      </c>
      <c r="G18361" s="2" t="str">
        <f>HYPERLINK("https://probpalata.gov.ru/files/ИП180600681500000.jpeg","Скачать индивидуальный QR-код магазина")</f>
        <v>Скачать индивидуальный QR-код магазина</v>
      </c>
    </row>
    <row r="18362" spans="1:7" x14ac:dyDescent="0.25">
      <c r="A18362" t="s">
        <v>55878</v>
      </c>
      <c r="B18362" t="s">
        <v>55909</v>
      </c>
      <c r="C18362" t="s">
        <v>55905</v>
      </c>
      <c r="D18362" t="s">
        <v>55906</v>
      </c>
      <c r="E18362" t="s">
        <v>55907</v>
      </c>
      <c r="F18362" t="s">
        <v>55910</v>
      </c>
      <c r="G18362" s="2" t="str">
        <f>HYPERLINK("https://probpalata.gov.ru/files/ИП180600681500001.jpeg","Скачать индивидуальный QR-код магазина")</f>
        <v>Скачать индивидуальный QR-код магазина</v>
      </c>
    </row>
    <row r="18363" spans="1:7" x14ac:dyDescent="0.25">
      <c r="A18363" t="s">
        <v>55878</v>
      </c>
      <c r="B18363" t="s">
        <v>55911</v>
      </c>
      <c r="C18363" t="s">
        <v>55912</v>
      </c>
      <c r="D18363" t="s">
        <v>55913</v>
      </c>
      <c r="E18363" t="s">
        <v>55914</v>
      </c>
      <c r="F18363" t="s">
        <v>55915</v>
      </c>
      <c r="G18363" s="2" t="str">
        <f>HYPERLINK("https://probpalata.gov.ru/files/ИП180604005900000.jpeg","Скачать индивидуальный QR-код магазина")</f>
        <v>Скачать индивидуальный QR-код магазина</v>
      </c>
    </row>
    <row r="18364" spans="1:7" x14ac:dyDescent="0.25">
      <c r="A18364" t="s">
        <v>55878</v>
      </c>
      <c r="B18364" t="s">
        <v>55916</v>
      </c>
      <c r="C18364" t="s">
        <v>55917</v>
      </c>
      <c r="D18364" t="s">
        <v>55918</v>
      </c>
      <c r="E18364" t="s">
        <v>55919</v>
      </c>
      <c r="F18364" t="s">
        <v>55920</v>
      </c>
      <c r="G18364" s="2" t="str">
        <f>HYPERLINK("https://probpalata.gov.ru/files/ЮЛ180601998400000.jpeg","Скачать индивидуальный QR-код магазина")</f>
        <v>Скачать индивидуальный QR-код магазина</v>
      </c>
    </row>
    <row r="18365" spans="1:7" x14ac:dyDescent="0.25">
      <c r="A18365" t="s">
        <v>55878</v>
      </c>
      <c r="B18365" t="s">
        <v>55921</v>
      </c>
      <c r="C18365" t="s">
        <v>55922</v>
      </c>
      <c r="D18365" t="s">
        <v>55923</v>
      </c>
      <c r="E18365" t="s">
        <v>55924</v>
      </c>
      <c r="F18365" t="s">
        <v>55925</v>
      </c>
      <c r="G18365" s="2" t="str">
        <f>HYPERLINK("https://probpalata.gov.ru/files/ИП180600849400000.jpeg","Скачать индивидуальный QR-код магазина")</f>
        <v>Скачать индивидуальный QR-код магазина</v>
      </c>
    </row>
    <row r="18366" spans="1:7" x14ac:dyDescent="0.25">
      <c r="A18366" t="s">
        <v>55878</v>
      </c>
      <c r="B18366" t="s">
        <v>55926</v>
      </c>
      <c r="C18366" t="s">
        <v>55927</v>
      </c>
      <c r="D18366" t="s">
        <v>55928</v>
      </c>
      <c r="E18366" t="s">
        <v>55929</v>
      </c>
      <c r="F18366" t="s">
        <v>55930</v>
      </c>
      <c r="G18366" s="2" t="str">
        <f>HYPERLINK("https://probpalata.gov.ru/files/ИП180600500800000.jpeg","Скачать индивидуальный QR-код магазина")</f>
        <v>Скачать индивидуальный QR-код магазина</v>
      </c>
    </row>
    <row r="18367" spans="1:7" x14ac:dyDescent="0.25">
      <c r="A18367" t="s">
        <v>55878</v>
      </c>
      <c r="B18367" t="s">
        <v>55931</v>
      </c>
      <c r="C18367" t="s">
        <v>55932</v>
      </c>
      <c r="D18367" t="s">
        <v>55933</v>
      </c>
      <c r="E18367" t="s">
        <v>55934</v>
      </c>
      <c r="F18367" t="s">
        <v>55935</v>
      </c>
      <c r="G18367" s="2" t="str">
        <f>HYPERLINK("https://probpalata.gov.ru/files/ИП180600573100000.jpeg","Скачать индивидуальный QR-код магазина")</f>
        <v>Скачать индивидуальный QR-код магазина</v>
      </c>
    </row>
    <row r="18368" spans="1:7" x14ac:dyDescent="0.25">
      <c r="A18368" t="s">
        <v>55878</v>
      </c>
      <c r="B18368" t="s">
        <v>55936</v>
      </c>
      <c r="C18368" t="s">
        <v>55932</v>
      </c>
      <c r="D18368" t="s">
        <v>55933</v>
      </c>
      <c r="E18368" t="s">
        <v>55934</v>
      </c>
      <c r="F18368" t="s">
        <v>55937</v>
      </c>
      <c r="G18368" s="2" t="str">
        <f>HYPERLINK("https://probpalata.gov.ru/files/ИП180600573100001.jpeg","Скачать индивидуальный QR-код магазина")</f>
        <v>Скачать индивидуальный QR-код магазина</v>
      </c>
    </row>
    <row r="18369" spans="1:7" x14ac:dyDescent="0.25">
      <c r="A18369" t="s">
        <v>55878</v>
      </c>
      <c r="B18369" t="s">
        <v>55938</v>
      </c>
      <c r="C18369" t="s">
        <v>55939</v>
      </c>
      <c r="D18369" t="s">
        <v>55940</v>
      </c>
      <c r="E18369" t="s">
        <v>55941</v>
      </c>
      <c r="F18369" t="s">
        <v>55942</v>
      </c>
      <c r="G18369" s="2" t="str">
        <f>HYPERLINK("https://probpalata.gov.ru/files/ИП180600269300000.jpeg","Скачать индивидуальный QR-код магазина")</f>
        <v>Скачать индивидуальный QR-код магазина</v>
      </c>
    </row>
    <row r="18370" spans="1:7" x14ac:dyDescent="0.25">
      <c r="A18370" t="s">
        <v>55878</v>
      </c>
      <c r="B18370" t="s">
        <v>55943</v>
      </c>
      <c r="C18370" t="s">
        <v>55939</v>
      </c>
      <c r="D18370" t="s">
        <v>55940</v>
      </c>
      <c r="E18370" t="s">
        <v>55941</v>
      </c>
      <c r="F18370" t="s">
        <v>55944</v>
      </c>
      <c r="G18370" s="2" t="str">
        <f>HYPERLINK("https://probpalata.gov.ru/files/ИП180600269300001.jpeg","Скачать индивидуальный QR-код магазина")</f>
        <v>Скачать индивидуальный QR-код магазина</v>
      </c>
    </row>
    <row r="18371" spans="1:7" x14ac:dyDescent="0.25">
      <c r="A18371" t="s">
        <v>55878</v>
      </c>
      <c r="B18371" t="s">
        <v>55945</v>
      </c>
      <c r="C18371" t="s">
        <v>55939</v>
      </c>
      <c r="D18371" t="s">
        <v>55940</v>
      </c>
      <c r="E18371" t="s">
        <v>55941</v>
      </c>
      <c r="F18371" t="s">
        <v>55946</v>
      </c>
      <c r="G18371" s="2" t="str">
        <f>HYPERLINK("https://probpalata.gov.ru/files/ИП180600269300014.jpeg","Скачать индивидуальный QR-код магазина")</f>
        <v>Скачать индивидуальный QR-код магазина</v>
      </c>
    </row>
    <row r="18372" spans="1:7" x14ac:dyDescent="0.25">
      <c r="A18372" t="s">
        <v>55878</v>
      </c>
      <c r="B18372" t="s">
        <v>55947</v>
      </c>
      <c r="C18372" t="s">
        <v>55939</v>
      </c>
      <c r="D18372" t="s">
        <v>55940</v>
      </c>
      <c r="E18372" t="s">
        <v>55941</v>
      </c>
      <c r="F18372" t="s">
        <v>55948</v>
      </c>
      <c r="G18372" s="2" t="str">
        <f>HYPERLINK("https://probpalata.gov.ru/files/ИП180600269300021.jpeg","Скачать индивидуальный QR-код магазина")</f>
        <v>Скачать индивидуальный QR-код магазина</v>
      </c>
    </row>
    <row r="18373" spans="1:7" x14ac:dyDescent="0.25">
      <c r="A18373" t="s">
        <v>55878</v>
      </c>
      <c r="B18373" t="s">
        <v>55949</v>
      </c>
      <c r="C18373" t="s">
        <v>55950</v>
      </c>
      <c r="D18373" t="s">
        <v>55951</v>
      </c>
      <c r="E18373" t="s">
        <v>55952</v>
      </c>
      <c r="F18373" t="s">
        <v>55953</v>
      </c>
      <c r="G18373" s="2" t="str">
        <f>HYPERLINK("https://probpalata.gov.ru/files/ИП180600122700000.jpeg","Скачать индивидуальный QR-код магазина")</f>
        <v>Скачать индивидуальный QR-код магазина</v>
      </c>
    </row>
    <row r="18374" spans="1:7" x14ac:dyDescent="0.25">
      <c r="A18374" t="s">
        <v>55878</v>
      </c>
      <c r="B18374" t="s">
        <v>55954</v>
      </c>
      <c r="C18374" t="s">
        <v>55950</v>
      </c>
      <c r="D18374" t="s">
        <v>55951</v>
      </c>
      <c r="E18374" t="s">
        <v>55952</v>
      </c>
      <c r="F18374" t="s">
        <v>55955</v>
      </c>
      <c r="G18374" s="2" t="str">
        <f>HYPERLINK("https://probpalata.gov.ru/files/ИП180600122700001.jpeg","Скачать индивидуальный QR-код магазина")</f>
        <v>Скачать индивидуальный QR-код магазина</v>
      </c>
    </row>
    <row r="18375" spans="1:7" x14ac:dyDescent="0.25">
      <c r="A18375" t="s">
        <v>55878</v>
      </c>
      <c r="B18375" t="s">
        <v>55956</v>
      </c>
      <c r="C18375" t="s">
        <v>55950</v>
      </c>
      <c r="D18375" t="s">
        <v>55951</v>
      </c>
      <c r="E18375" t="s">
        <v>55952</v>
      </c>
      <c r="F18375" t="s">
        <v>55957</v>
      </c>
      <c r="G18375" s="2" t="str">
        <f>HYPERLINK("https://probpalata.gov.ru/files/ИП180600122700002.jpeg","Скачать индивидуальный QR-код магазина")</f>
        <v>Скачать индивидуальный QR-код магазина</v>
      </c>
    </row>
    <row r="18376" spans="1:7" x14ac:dyDescent="0.25">
      <c r="A18376" t="s">
        <v>55878</v>
      </c>
      <c r="B18376" t="s">
        <v>55958</v>
      </c>
      <c r="C18376" t="s">
        <v>55959</v>
      </c>
      <c r="D18376" t="s">
        <v>55960</v>
      </c>
      <c r="E18376" t="s">
        <v>55961</v>
      </c>
      <c r="F18376" t="s">
        <v>55962</v>
      </c>
      <c r="G18376" s="2" t="str">
        <f>HYPERLINK("https://probpalata.gov.ru/files/ИП180601132500000.jpeg","Скачать индивидуальный QR-код магазина")</f>
        <v>Скачать индивидуальный QR-код магазина</v>
      </c>
    </row>
    <row r="18377" spans="1:7" x14ac:dyDescent="0.25">
      <c r="A18377" t="s">
        <v>55878</v>
      </c>
      <c r="B18377" t="s">
        <v>55963</v>
      </c>
      <c r="C18377" t="s">
        <v>55959</v>
      </c>
      <c r="D18377" t="s">
        <v>55960</v>
      </c>
      <c r="E18377" t="s">
        <v>55961</v>
      </c>
      <c r="F18377" t="s">
        <v>55964</v>
      </c>
      <c r="G18377" s="2" t="str">
        <f>HYPERLINK("https://probpalata.gov.ru/files/ИП180601132500001.jpeg","Скачать индивидуальный QR-код магазина")</f>
        <v>Скачать индивидуальный QR-код магазина</v>
      </c>
    </row>
    <row r="18378" spans="1:7" x14ac:dyDescent="0.25">
      <c r="A18378" t="s">
        <v>55878</v>
      </c>
      <c r="B18378" t="s">
        <v>55965</v>
      </c>
      <c r="C18378" t="s">
        <v>55966</v>
      </c>
      <c r="D18378" t="s">
        <v>55967</v>
      </c>
      <c r="E18378" t="s">
        <v>55968</v>
      </c>
      <c r="F18378" t="s">
        <v>55969</v>
      </c>
      <c r="G18378" s="2" t="str">
        <f>HYPERLINK("https://probpalata.gov.ru/files/ИП180600784600000.jpeg","Скачать индивидуальный QR-код магазина")</f>
        <v>Скачать индивидуальный QR-код магазина</v>
      </c>
    </row>
    <row r="18379" spans="1:7" x14ac:dyDescent="0.25">
      <c r="A18379" t="s">
        <v>55878</v>
      </c>
      <c r="B18379" t="s">
        <v>55970</v>
      </c>
      <c r="C18379" t="s">
        <v>55971</v>
      </c>
      <c r="D18379" t="s">
        <v>55972</v>
      </c>
      <c r="E18379" t="s">
        <v>55973</v>
      </c>
      <c r="F18379" t="s">
        <v>55974</v>
      </c>
      <c r="G18379" s="2" t="str">
        <f>HYPERLINK("https://probpalata.gov.ru/files/ИП180600437600000.jpeg","Скачать индивидуальный QR-код магазина")</f>
        <v>Скачать индивидуальный QR-код магазина</v>
      </c>
    </row>
    <row r="18380" spans="1:7" x14ac:dyDescent="0.25">
      <c r="A18380" t="s">
        <v>55878</v>
      </c>
      <c r="B18380" t="s">
        <v>55975</v>
      </c>
      <c r="C18380" t="s">
        <v>55976</v>
      </c>
      <c r="D18380" t="s">
        <v>55977</v>
      </c>
      <c r="E18380" t="s">
        <v>55978</v>
      </c>
      <c r="F18380" t="s">
        <v>55979</v>
      </c>
      <c r="G18380" s="2" t="str">
        <f>HYPERLINK("https://probpalata.gov.ru/files/ИП180600040300000.jpeg","Скачать индивидуальный QR-код магазина")</f>
        <v>Скачать индивидуальный QR-код магазина</v>
      </c>
    </row>
    <row r="18381" spans="1:7" x14ac:dyDescent="0.25">
      <c r="A18381" t="s">
        <v>55878</v>
      </c>
      <c r="B18381" t="s">
        <v>55980</v>
      </c>
      <c r="C18381" t="s">
        <v>55981</v>
      </c>
      <c r="D18381" t="s">
        <v>55982</v>
      </c>
      <c r="E18381" t="s">
        <v>55983</v>
      </c>
      <c r="F18381" t="s">
        <v>55984</v>
      </c>
      <c r="G18381" s="2" t="str">
        <f>HYPERLINK("https://probpalata.gov.ru/files/ИП180600229300000.jpeg","Скачать индивидуальный QR-код магазина")</f>
        <v>Скачать индивидуальный QR-код магазина</v>
      </c>
    </row>
    <row r="18382" spans="1:7" x14ac:dyDescent="0.25">
      <c r="A18382" t="s">
        <v>55878</v>
      </c>
      <c r="B18382" t="s">
        <v>55985</v>
      </c>
      <c r="C18382" t="s">
        <v>55986</v>
      </c>
      <c r="D18382" t="s">
        <v>55987</v>
      </c>
      <c r="E18382" t="s">
        <v>55988</v>
      </c>
      <c r="F18382" t="s">
        <v>55989</v>
      </c>
      <c r="G18382" s="2" t="str">
        <f>HYPERLINK("https://probpalata.gov.ru/files/ИП180600129600000.jpeg","Скачать индивидуальный QR-код магазина")</f>
        <v>Скачать индивидуальный QR-код магазина</v>
      </c>
    </row>
    <row r="18383" spans="1:7" x14ac:dyDescent="0.25">
      <c r="A18383" t="s">
        <v>55878</v>
      </c>
      <c r="B18383" t="s">
        <v>55990</v>
      </c>
      <c r="C18383" t="s">
        <v>55986</v>
      </c>
      <c r="D18383" t="s">
        <v>55987</v>
      </c>
      <c r="E18383" t="s">
        <v>55988</v>
      </c>
      <c r="F18383" t="s">
        <v>55991</v>
      </c>
      <c r="G18383" s="2" t="str">
        <f>HYPERLINK("https://probpalata.gov.ru/files/ИП180600129600001.jpeg","Скачать индивидуальный QR-код магазина")</f>
        <v>Скачать индивидуальный QR-код магазина</v>
      </c>
    </row>
    <row r="18384" spans="1:7" x14ac:dyDescent="0.25">
      <c r="A18384" t="s">
        <v>55878</v>
      </c>
      <c r="B18384" t="s">
        <v>55992</v>
      </c>
      <c r="C18384" t="s">
        <v>55993</v>
      </c>
      <c r="D18384" t="s">
        <v>55994</v>
      </c>
      <c r="E18384" t="s">
        <v>55995</v>
      </c>
      <c r="F18384" t="s">
        <v>55996</v>
      </c>
      <c r="G18384" s="2" t="str">
        <f>HYPERLINK("https://probpalata.gov.ru/files/ИП180603694200000.jpeg","Скачать индивидуальный QR-код магазина")</f>
        <v>Скачать индивидуальный QR-код магазина</v>
      </c>
    </row>
    <row r="18385" spans="1:7" x14ac:dyDescent="0.25">
      <c r="A18385" t="s">
        <v>55878</v>
      </c>
      <c r="B18385" t="s">
        <v>55997</v>
      </c>
      <c r="C18385" t="s">
        <v>55998</v>
      </c>
      <c r="D18385" t="s">
        <v>55999</v>
      </c>
      <c r="E18385" t="s">
        <v>56000</v>
      </c>
      <c r="F18385" t="s">
        <v>56001</v>
      </c>
      <c r="G18385" s="2" t="str">
        <f>HYPERLINK("https://probpalata.gov.ru/files/ИП180600609900000.jpeg","Скачать индивидуальный QR-код магазина")</f>
        <v>Скачать индивидуальный QR-код магазина</v>
      </c>
    </row>
    <row r="18386" spans="1:7" x14ac:dyDescent="0.25">
      <c r="A18386" t="s">
        <v>55878</v>
      </c>
      <c r="B18386" t="s">
        <v>56002</v>
      </c>
      <c r="C18386" t="s">
        <v>55998</v>
      </c>
      <c r="D18386" t="s">
        <v>55999</v>
      </c>
      <c r="E18386" t="s">
        <v>56000</v>
      </c>
      <c r="F18386" t="s">
        <v>56003</v>
      </c>
      <c r="G18386" s="2" t="str">
        <f>HYPERLINK("https://probpalata.gov.ru/files/ИП180600609900001.jpeg","Скачать индивидуальный QR-код магазина")</f>
        <v>Скачать индивидуальный QR-код магазина</v>
      </c>
    </row>
    <row r="18387" spans="1:7" x14ac:dyDescent="0.25">
      <c r="A18387" t="s">
        <v>55878</v>
      </c>
      <c r="B18387" t="s">
        <v>56004</v>
      </c>
      <c r="C18387" t="s">
        <v>56005</v>
      </c>
      <c r="D18387" t="s">
        <v>56006</v>
      </c>
      <c r="E18387" t="s">
        <v>56007</v>
      </c>
      <c r="F18387" t="s">
        <v>56008</v>
      </c>
      <c r="G18387" s="2" t="str">
        <f>HYPERLINK("https://probpalata.gov.ru/files/ИП180600021400001.jpeg","Скачать индивидуальный QR-код магазина")</f>
        <v>Скачать индивидуальный QR-код магазина</v>
      </c>
    </row>
    <row r="18388" spans="1:7" x14ac:dyDescent="0.25">
      <c r="A18388" t="s">
        <v>55878</v>
      </c>
      <c r="B18388" t="s">
        <v>56009</v>
      </c>
      <c r="C18388" t="s">
        <v>34731</v>
      </c>
      <c r="D18388" t="s">
        <v>34732</v>
      </c>
      <c r="E18388" t="s">
        <v>34733</v>
      </c>
      <c r="F18388" t="s">
        <v>56010</v>
      </c>
      <c r="G18388" s="2" t="str">
        <f>HYPERLINK("https://probpalata.gov.ru/files/ИП180600103900000.jpeg","Скачать индивидуальный QR-код магазина")</f>
        <v>Скачать индивидуальный QR-код магазина</v>
      </c>
    </row>
    <row r="18389" spans="1:7" x14ac:dyDescent="0.25">
      <c r="A18389" t="s">
        <v>55878</v>
      </c>
      <c r="B18389" t="s">
        <v>56011</v>
      </c>
      <c r="C18389" t="s">
        <v>34731</v>
      </c>
      <c r="D18389" t="s">
        <v>34732</v>
      </c>
      <c r="E18389" t="s">
        <v>34733</v>
      </c>
      <c r="F18389" t="s">
        <v>56012</v>
      </c>
      <c r="G18389" s="2" t="str">
        <f>HYPERLINK("https://probpalata.gov.ru/files/ИП180600103900002.jpeg","Скачать индивидуальный QR-код магазина")</f>
        <v>Скачать индивидуальный QR-код магазина</v>
      </c>
    </row>
    <row r="18390" spans="1:7" x14ac:dyDescent="0.25">
      <c r="A18390" t="s">
        <v>55878</v>
      </c>
      <c r="B18390" t="s">
        <v>56013</v>
      </c>
      <c r="C18390" t="s">
        <v>16481</v>
      </c>
      <c r="D18390" t="s">
        <v>56014</v>
      </c>
      <c r="E18390" t="s">
        <v>56015</v>
      </c>
      <c r="F18390" t="s">
        <v>56016</v>
      </c>
      <c r="G18390" s="2" t="str">
        <f>HYPERLINK("https://probpalata.gov.ru/files/ЮЛ180600186700000.jpeg","Скачать индивидуальный QR-код магазина")</f>
        <v>Скачать индивидуальный QR-код магазина</v>
      </c>
    </row>
    <row r="18391" spans="1:7" x14ac:dyDescent="0.25">
      <c r="A18391" t="s">
        <v>55878</v>
      </c>
      <c r="B18391" t="s">
        <v>56017</v>
      </c>
      <c r="C18391" t="s">
        <v>16481</v>
      </c>
      <c r="D18391" t="s">
        <v>56014</v>
      </c>
      <c r="E18391" t="s">
        <v>56015</v>
      </c>
      <c r="F18391" t="s">
        <v>56018</v>
      </c>
      <c r="G18391" s="2" t="str">
        <f>HYPERLINK("https://probpalata.gov.ru/files/ЮЛ180600186700003.jpeg","Скачать индивидуальный QR-код магазина")</f>
        <v>Скачать индивидуальный QR-код магазина</v>
      </c>
    </row>
    <row r="18392" spans="1:7" x14ac:dyDescent="0.25">
      <c r="A18392" t="s">
        <v>55878</v>
      </c>
      <c r="B18392" t="s">
        <v>56019</v>
      </c>
      <c r="C18392" t="s">
        <v>56020</v>
      </c>
      <c r="D18392" t="s">
        <v>56021</v>
      </c>
      <c r="E18392" t="s">
        <v>56022</v>
      </c>
      <c r="F18392" t="s">
        <v>56023</v>
      </c>
      <c r="G18392" s="2" t="str">
        <f>HYPERLINK("https://probpalata.gov.ru/files/ЮЛ180600789700000.jpeg","Скачать индивидуальный QR-код магазина")</f>
        <v>Скачать индивидуальный QR-код магазина</v>
      </c>
    </row>
    <row r="18393" spans="1:7" x14ac:dyDescent="0.25">
      <c r="A18393" t="s">
        <v>55878</v>
      </c>
      <c r="B18393" t="s">
        <v>56024</v>
      </c>
      <c r="C18393" t="s">
        <v>56020</v>
      </c>
      <c r="D18393" t="s">
        <v>56021</v>
      </c>
      <c r="E18393" t="s">
        <v>56022</v>
      </c>
      <c r="F18393" t="s">
        <v>56025</v>
      </c>
      <c r="G18393" s="2" t="str">
        <f>HYPERLINK("https://probpalata.gov.ru/files/ЮЛ180600789700001.jpeg","Скачать индивидуальный QR-код магазина")</f>
        <v>Скачать индивидуальный QR-код магазина</v>
      </c>
    </row>
    <row r="18394" spans="1:7" x14ac:dyDescent="0.25">
      <c r="A18394" t="s">
        <v>55878</v>
      </c>
      <c r="B18394" t="s">
        <v>56009</v>
      </c>
      <c r="C18394" t="s">
        <v>56026</v>
      </c>
      <c r="D18394" t="s">
        <v>56027</v>
      </c>
      <c r="E18394" t="s">
        <v>56028</v>
      </c>
      <c r="F18394" t="s">
        <v>56029</v>
      </c>
      <c r="G18394" s="2" t="str">
        <f>HYPERLINK("https://probpalata.gov.ru/files/ИП180604116500000.jpeg","Скачать индивидуальный QR-код магазина")</f>
        <v>Скачать индивидуальный QR-код магазина</v>
      </c>
    </row>
    <row r="18395" spans="1:7" x14ac:dyDescent="0.25">
      <c r="A18395" t="s">
        <v>55878</v>
      </c>
      <c r="B18395" t="s">
        <v>56017</v>
      </c>
      <c r="C18395" t="s">
        <v>19103</v>
      </c>
      <c r="D18395" t="s">
        <v>19104</v>
      </c>
      <c r="E18395" t="s">
        <v>19105</v>
      </c>
      <c r="F18395" t="s">
        <v>56030</v>
      </c>
      <c r="G18395" s="2" t="str">
        <f>HYPERLINK("https://probpalata.gov.ru/files/ИП180600106400000.jpeg","Скачать индивидуальный QR-код магазина")</f>
        <v>Скачать индивидуальный QR-код магазина</v>
      </c>
    </row>
    <row r="18396" spans="1:7" x14ac:dyDescent="0.25">
      <c r="A18396" t="s">
        <v>55878</v>
      </c>
      <c r="B18396" t="s">
        <v>56031</v>
      </c>
      <c r="C18396" t="s">
        <v>19103</v>
      </c>
      <c r="D18396" t="s">
        <v>19104</v>
      </c>
      <c r="E18396" t="s">
        <v>19105</v>
      </c>
      <c r="F18396" t="s">
        <v>56032</v>
      </c>
      <c r="G18396" s="2" t="str">
        <f>HYPERLINK("https://probpalata.gov.ru/files/ИП180600106400001.jpeg","Скачать индивидуальный QR-код магазина")</f>
        <v>Скачать индивидуальный QR-код магазина</v>
      </c>
    </row>
    <row r="18397" spans="1:7" x14ac:dyDescent="0.25">
      <c r="A18397" t="s">
        <v>55878</v>
      </c>
      <c r="B18397" t="s">
        <v>56033</v>
      </c>
      <c r="C18397" t="s">
        <v>19103</v>
      </c>
      <c r="D18397" t="s">
        <v>19104</v>
      </c>
      <c r="E18397" t="s">
        <v>19105</v>
      </c>
      <c r="F18397" t="s">
        <v>56034</v>
      </c>
      <c r="G18397" s="2" t="str">
        <f>HYPERLINK("https://probpalata.gov.ru/files/ИП180600106400002.jpeg","Скачать индивидуальный QR-код магазина")</f>
        <v>Скачать индивидуальный QR-код магазина</v>
      </c>
    </row>
    <row r="18398" spans="1:7" x14ac:dyDescent="0.25">
      <c r="A18398" t="s">
        <v>55878</v>
      </c>
      <c r="B18398" t="s">
        <v>56035</v>
      </c>
      <c r="C18398" t="s">
        <v>19103</v>
      </c>
      <c r="D18398" t="s">
        <v>19104</v>
      </c>
      <c r="E18398" t="s">
        <v>19105</v>
      </c>
      <c r="F18398" t="s">
        <v>56036</v>
      </c>
      <c r="G18398" s="2" t="str">
        <f>HYPERLINK("https://probpalata.gov.ru/files/ИП180600106400005.jpeg","Скачать индивидуальный QR-код магазина")</f>
        <v>Скачать индивидуальный QR-код магазина</v>
      </c>
    </row>
    <row r="18399" spans="1:7" x14ac:dyDescent="0.25">
      <c r="A18399" t="s">
        <v>55878</v>
      </c>
      <c r="B18399" t="s">
        <v>56037</v>
      </c>
      <c r="C18399" t="s">
        <v>19103</v>
      </c>
      <c r="D18399" t="s">
        <v>19104</v>
      </c>
      <c r="E18399" t="s">
        <v>19105</v>
      </c>
      <c r="F18399" t="s">
        <v>56038</v>
      </c>
      <c r="G18399" s="2" t="str">
        <f>HYPERLINK("https://probpalata.gov.ru/files/ИП180600106400006.jpeg","Скачать индивидуальный QR-код магазина")</f>
        <v>Скачать индивидуальный QR-код магазина</v>
      </c>
    </row>
    <row r="18400" spans="1:7" x14ac:dyDescent="0.25">
      <c r="A18400" t="s">
        <v>55878</v>
      </c>
      <c r="B18400" t="s">
        <v>56039</v>
      </c>
      <c r="C18400" t="s">
        <v>19103</v>
      </c>
      <c r="D18400" t="s">
        <v>19104</v>
      </c>
      <c r="E18400" t="s">
        <v>19105</v>
      </c>
      <c r="F18400" t="s">
        <v>56040</v>
      </c>
      <c r="G18400" s="2" t="str">
        <f>HYPERLINK("https://probpalata.gov.ru/files/ИП180600106400007.jpeg","Скачать индивидуальный QR-код магазина")</f>
        <v>Скачать индивидуальный QR-код магазина</v>
      </c>
    </row>
    <row r="18401" spans="1:7" x14ac:dyDescent="0.25">
      <c r="A18401" t="s">
        <v>55878</v>
      </c>
      <c r="B18401" t="s">
        <v>56041</v>
      </c>
      <c r="C18401" t="s">
        <v>56042</v>
      </c>
      <c r="D18401" t="s">
        <v>56043</v>
      </c>
      <c r="E18401" t="s">
        <v>56044</v>
      </c>
      <c r="F18401" t="s">
        <v>56045</v>
      </c>
      <c r="G18401" s="2" t="str">
        <f>HYPERLINK("https://probpalata.gov.ru/files/ЮЛ180600032800000.jpeg","Скачать индивидуальный QR-код магазина")</f>
        <v>Скачать индивидуальный QR-код магазина</v>
      </c>
    </row>
    <row r="18402" spans="1:7" x14ac:dyDescent="0.25">
      <c r="A18402" t="s">
        <v>55878</v>
      </c>
      <c r="B18402" t="s">
        <v>56046</v>
      </c>
      <c r="C18402" t="s">
        <v>56047</v>
      </c>
      <c r="D18402" t="s">
        <v>56048</v>
      </c>
      <c r="E18402" t="s">
        <v>56049</v>
      </c>
      <c r="F18402" t="s">
        <v>56050</v>
      </c>
      <c r="G18402" s="2" t="str">
        <f>HYPERLINK("https://probpalata.gov.ru/files/ИП180600438300000.jpeg","Скачать индивидуальный QR-код магазина")</f>
        <v>Скачать индивидуальный QR-код магазина</v>
      </c>
    </row>
    <row r="18403" spans="1:7" x14ac:dyDescent="0.25">
      <c r="A18403" t="s">
        <v>55878</v>
      </c>
      <c r="B18403" t="s">
        <v>56051</v>
      </c>
      <c r="C18403" t="s">
        <v>56047</v>
      </c>
      <c r="D18403" t="s">
        <v>56048</v>
      </c>
      <c r="E18403" t="s">
        <v>56049</v>
      </c>
      <c r="F18403" t="s">
        <v>56052</v>
      </c>
      <c r="G18403" s="2" t="str">
        <f>HYPERLINK("https://probpalata.gov.ru/files/ИП180600438300001.jpeg","Скачать индивидуальный QR-код магазина")</f>
        <v>Скачать индивидуальный QR-код магазина</v>
      </c>
    </row>
    <row r="18404" spans="1:7" x14ac:dyDescent="0.25">
      <c r="A18404" t="s">
        <v>55878</v>
      </c>
      <c r="B18404" t="s">
        <v>55958</v>
      </c>
      <c r="C18404" t="s">
        <v>56047</v>
      </c>
      <c r="D18404" t="s">
        <v>56048</v>
      </c>
      <c r="E18404" t="s">
        <v>56049</v>
      </c>
      <c r="F18404" t="s">
        <v>56053</v>
      </c>
      <c r="G18404" s="2" t="str">
        <f>HYPERLINK("https://probpalata.gov.ru/files/ИП180600438300002.jpeg","Скачать индивидуальный QR-код магазина")</f>
        <v>Скачать индивидуальный QR-код магазина</v>
      </c>
    </row>
    <row r="18405" spans="1:7" x14ac:dyDescent="0.25">
      <c r="A18405" t="s">
        <v>55878</v>
      </c>
      <c r="B18405" t="s">
        <v>56054</v>
      </c>
      <c r="C18405" t="s">
        <v>56047</v>
      </c>
      <c r="D18405" t="s">
        <v>56048</v>
      </c>
      <c r="E18405" t="s">
        <v>56049</v>
      </c>
      <c r="F18405" t="s">
        <v>56055</v>
      </c>
      <c r="G18405" s="2" t="str">
        <f>HYPERLINK("https://probpalata.gov.ru/files/ИП180600438300003.jpeg","Скачать индивидуальный QR-код магазина")</f>
        <v>Скачать индивидуальный QR-код магазина</v>
      </c>
    </row>
    <row r="18406" spans="1:7" x14ac:dyDescent="0.25">
      <c r="A18406" t="s">
        <v>55878</v>
      </c>
      <c r="B18406" t="s">
        <v>56056</v>
      </c>
      <c r="C18406" t="s">
        <v>56047</v>
      </c>
      <c r="D18406" t="s">
        <v>56048</v>
      </c>
      <c r="E18406" t="s">
        <v>56049</v>
      </c>
      <c r="F18406" t="s">
        <v>56057</v>
      </c>
      <c r="G18406" s="2" t="str">
        <f>HYPERLINK("https://probpalata.gov.ru/files/ИП180600438300005.jpeg","Скачать индивидуальный QR-код магазина")</f>
        <v>Скачать индивидуальный QR-код магазина</v>
      </c>
    </row>
    <row r="18407" spans="1:7" x14ac:dyDescent="0.25">
      <c r="A18407" t="s">
        <v>55878</v>
      </c>
      <c r="B18407" t="s">
        <v>56058</v>
      </c>
      <c r="C18407" t="s">
        <v>56059</v>
      </c>
      <c r="D18407" t="s">
        <v>56060</v>
      </c>
      <c r="E18407" t="s">
        <v>56061</v>
      </c>
      <c r="F18407" t="s">
        <v>56062</v>
      </c>
      <c r="G18407" s="2" t="str">
        <f>HYPERLINK("https://probpalata.gov.ru/files/ИП180600032500000.jpeg","Скачать индивидуальный QR-код магазина")</f>
        <v>Скачать индивидуальный QR-код магазина</v>
      </c>
    </row>
    <row r="18408" spans="1:7" x14ac:dyDescent="0.25">
      <c r="A18408" t="s">
        <v>55878</v>
      </c>
      <c r="B18408" t="s">
        <v>56063</v>
      </c>
      <c r="C18408" t="s">
        <v>56064</v>
      </c>
      <c r="D18408" t="s">
        <v>56065</v>
      </c>
      <c r="E18408" t="s">
        <v>56066</v>
      </c>
      <c r="F18408" t="s">
        <v>56067</v>
      </c>
      <c r="G18408" s="2" t="str">
        <f>HYPERLINK("https://probpalata.gov.ru/files/ЮЛ180600682000000.jpeg","Скачать индивидуальный QR-код магазина")</f>
        <v>Скачать индивидуальный QR-код магазина</v>
      </c>
    </row>
    <row r="18409" spans="1:7" x14ac:dyDescent="0.25">
      <c r="A18409" t="s">
        <v>55878</v>
      </c>
      <c r="B18409" t="s">
        <v>56068</v>
      </c>
      <c r="C18409" t="s">
        <v>42270</v>
      </c>
      <c r="D18409" t="s">
        <v>42271</v>
      </c>
      <c r="E18409" t="s">
        <v>42272</v>
      </c>
      <c r="F18409" t="s">
        <v>56069</v>
      </c>
      <c r="G18409" s="2" t="str">
        <f>HYPERLINK("https://probpalata.gov.ru/files/ИП180600787200000.jpeg","Скачать индивидуальный QR-код магазина")</f>
        <v>Скачать индивидуальный QR-код магазина</v>
      </c>
    </row>
    <row r="18410" spans="1:7" x14ac:dyDescent="0.25">
      <c r="A18410" t="s">
        <v>55878</v>
      </c>
      <c r="B18410" t="s">
        <v>56070</v>
      </c>
      <c r="C18410" t="s">
        <v>42270</v>
      </c>
      <c r="D18410" t="s">
        <v>42271</v>
      </c>
      <c r="E18410" t="s">
        <v>42272</v>
      </c>
      <c r="F18410" t="s">
        <v>56071</v>
      </c>
      <c r="G18410" s="2" t="str">
        <f>HYPERLINK("https://probpalata.gov.ru/files/ИП180600787200003.jpeg","Скачать индивидуальный QR-код магазина")</f>
        <v>Скачать индивидуальный QR-код магазина</v>
      </c>
    </row>
    <row r="18411" spans="1:7" x14ac:dyDescent="0.25">
      <c r="A18411" t="s">
        <v>55878</v>
      </c>
      <c r="B18411" t="s">
        <v>56072</v>
      </c>
      <c r="C18411" t="s">
        <v>42270</v>
      </c>
      <c r="D18411" t="s">
        <v>42271</v>
      </c>
      <c r="E18411" t="s">
        <v>42272</v>
      </c>
      <c r="F18411" t="s">
        <v>56073</v>
      </c>
      <c r="G18411" s="2" t="str">
        <f>HYPERLINK("https://probpalata.gov.ru/files/ИП180600787200004.jpeg","Скачать индивидуальный QR-код магазина")</f>
        <v>Скачать индивидуальный QR-код магазина</v>
      </c>
    </row>
    <row r="18412" spans="1:7" x14ac:dyDescent="0.25">
      <c r="A18412" t="s">
        <v>55878</v>
      </c>
      <c r="B18412" t="s">
        <v>56074</v>
      </c>
      <c r="C18412" t="s">
        <v>42270</v>
      </c>
      <c r="D18412" t="s">
        <v>42271</v>
      </c>
      <c r="E18412" t="s">
        <v>42272</v>
      </c>
      <c r="F18412" t="s">
        <v>56075</v>
      </c>
      <c r="G18412" s="2" t="str">
        <f>HYPERLINK("https://probpalata.gov.ru/files/ИП180600787200005.jpeg","Скачать индивидуальный QR-код магазина")</f>
        <v>Скачать индивидуальный QR-код магазина</v>
      </c>
    </row>
    <row r="18413" spans="1:7" x14ac:dyDescent="0.25">
      <c r="A18413" t="s">
        <v>55878</v>
      </c>
      <c r="B18413" t="s">
        <v>56076</v>
      </c>
      <c r="C18413" t="s">
        <v>42270</v>
      </c>
      <c r="D18413" t="s">
        <v>42271</v>
      </c>
      <c r="E18413" t="s">
        <v>42272</v>
      </c>
      <c r="F18413" t="s">
        <v>56077</v>
      </c>
      <c r="G18413" s="2" t="str">
        <f>HYPERLINK("https://probpalata.gov.ru/files/ИП180600787200006.jpeg","Скачать индивидуальный QR-код магазина")</f>
        <v>Скачать индивидуальный QR-код магазина</v>
      </c>
    </row>
    <row r="18414" spans="1:7" x14ac:dyDescent="0.25">
      <c r="A18414" t="s">
        <v>55878</v>
      </c>
      <c r="B18414" t="s">
        <v>56078</v>
      </c>
      <c r="C18414" t="s">
        <v>38063</v>
      </c>
      <c r="D18414" t="s">
        <v>56079</v>
      </c>
      <c r="E18414" t="s">
        <v>56080</v>
      </c>
      <c r="F18414" t="s">
        <v>56081</v>
      </c>
      <c r="G18414" s="2" t="str">
        <f>HYPERLINK("https://probpalata.gov.ru/files/ЮЛ180600000600000.jpeg","Скачать индивидуальный QR-код магазина")</f>
        <v>Скачать индивидуальный QR-код магазина</v>
      </c>
    </row>
    <row r="18415" spans="1:7" x14ac:dyDescent="0.25">
      <c r="A18415" t="s">
        <v>55878</v>
      </c>
      <c r="B18415" t="s">
        <v>56082</v>
      </c>
      <c r="C18415" t="s">
        <v>38063</v>
      </c>
      <c r="D18415" t="s">
        <v>56079</v>
      </c>
      <c r="E18415" t="s">
        <v>56080</v>
      </c>
      <c r="F18415" t="s">
        <v>56083</v>
      </c>
      <c r="G18415" s="2" t="str">
        <f>HYPERLINK("https://probpalata.gov.ru/files/ЮЛ180600000600001.jpeg","Скачать индивидуальный QR-код магазина")</f>
        <v>Скачать индивидуальный QR-код магазина</v>
      </c>
    </row>
    <row r="18416" spans="1:7" x14ac:dyDescent="0.25">
      <c r="A18416" t="s">
        <v>55878</v>
      </c>
      <c r="B18416" t="s">
        <v>56084</v>
      </c>
      <c r="C18416" t="s">
        <v>56085</v>
      </c>
      <c r="D18416" t="s">
        <v>56086</v>
      </c>
      <c r="E18416" t="s">
        <v>56087</v>
      </c>
      <c r="F18416" t="s">
        <v>56088</v>
      </c>
      <c r="G18416" s="2" t="str">
        <f>HYPERLINK("https://probpalata.gov.ru/files/ИП180600141300000.jpeg","Скачать индивидуальный QR-код магазина")</f>
        <v>Скачать индивидуальный QR-код магазина</v>
      </c>
    </row>
    <row r="18417" spans="1:7" x14ac:dyDescent="0.25">
      <c r="A18417" t="s">
        <v>55878</v>
      </c>
      <c r="B18417" t="s">
        <v>56089</v>
      </c>
      <c r="C18417" t="s">
        <v>56090</v>
      </c>
      <c r="D18417" t="s">
        <v>56091</v>
      </c>
      <c r="E18417" t="s">
        <v>56092</v>
      </c>
      <c r="F18417" t="s">
        <v>56093</v>
      </c>
      <c r="G18417" s="2" t="str">
        <f>HYPERLINK("https://probpalata.gov.ru/files/ИП180600843400001.jpeg","Скачать индивидуальный QR-код магазина")</f>
        <v>Скачать индивидуальный QR-код магазина</v>
      </c>
    </row>
    <row r="18418" spans="1:7" x14ac:dyDescent="0.25">
      <c r="A18418" t="s">
        <v>55878</v>
      </c>
      <c r="B18418" t="s">
        <v>56094</v>
      </c>
      <c r="C18418" t="s">
        <v>56090</v>
      </c>
      <c r="D18418" t="s">
        <v>56091</v>
      </c>
      <c r="E18418" t="s">
        <v>56092</v>
      </c>
      <c r="F18418" t="s">
        <v>56095</v>
      </c>
      <c r="G18418" s="2" t="str">
        <f>HYPERLINK("https://probpalata.gov.ru/files/ИП180600843400003.jpeg","Скачать индивидуальный QR-код магазина")</f>
        <v>Скачать индивидуальный QR-код магазина</v>
      </c>
    </row>
    <row r="18419" spans="1:7" x14ac:dyDescent="0.25">
      <c r="A18419" t="s">
        <v>55878</v>
      </c>
      <c r="B18419" t="s">
        <v>56096</v>
      </c>
      <c r="C18419" t="s">
        <v>56097</v>
      </c>
      <c r="D18419" t="s">
        <v>56098</v>
      </c>
      <c r="E18419" t="s">
        <v>56099</v>
      </c>
      <c r="F18419" t="s">
        <v>56100</v>
      </c>
      <c r="G18419" s="2" t="str">
        <f>HYPERLINK("https://probpalata.gov.ru/files/ИП180600809900000.jpeg","Скачать индивидуальный QR-код магазина")</f>
        <v>Скачать индивидуальный QR-код магазина</v>
      </c>
    </row>
    <row r="18420" spans="1:7" x14ac:dyDescent="0.25">
      <c r="A18420" t="s">
        <v>55878</v>
      </c>
      <c r="B18420" t="s">
        <v>56101</v>
      </c>
      <c r="C18420" t="s">
        <v>56102</v>
      </c>
      <c r="D18420" t="s">
        <v>56103</v>
      </c>
      <c r="E18420" t="s">
        <v>56104</v>
      </c>
      <c r="F18420" t="s">
        <v>56105</v>
      </c>
      <c r="G18420" s="2" t="str">
        <f>HYPERLINK("https://probpalata.gov.ru/files/ЮЛ180600141500000.jpeg","Скачать индивидуальный QR-код магазина")</f>
        <v>Скачать индивидуальный QR-код магазина</v>
      </c>
    </row>
    <row r="18421" spans="1:7" x14ac:dyDescent="0.25">
      <c r="A18421" t="s">
        <v>55878</v>
      </c>
      <c r="B18421" t="s">
        <v>56106</v>
      </c>
      <c r="C18421" t="s">
        <v>56107</v>
      </c>
      <c r="D18421" t="s">
        <v>56108</v>
      </c>
      <c r="E18421" t="s">
        <v>56109</v>
      </c>
      <c r="F18421" t="s">
        <v>56110</v>
      </c>
      <c r="G18421" s="2" t="str">
        <f>HYPERLINK("https://probpalata.gov.ru/files/ИП180600372400000.jpeg","Скачать индивидуальный QR-код магазина")</f>
        <v>Скачать индивидуальный QR-код магазина</v>
      </c>
    </row>
    <row r="18422" spans="1:7" x14ac:dyDescent="0.25">
      <c r="A18422" t="s">
        <v>55878</v>
      </c>
      <c r="B18422" t="s">
        <v>56111</v>
      </c>
      <c r="C18422" t="s">
        <v>56107</v>
      </c>
      <c r="D18422" t="s">
        <v>56108</v>
      </c>
      <c r="E18422" t="s">
        <v>56109</v>
      </c>
      <c r="F18422" t="s">
        <v>56112</v>
      </c>
      <c r="G18422" s="2" t="str">
        <f>HYPERLINK("https://probpalata.gov.ru/files/ИП180600372400001.jpeg","Скачать индивидуальный QR-код магазина")</f>
        <v>Скачать индивидуальный QR-код магазина</v>
      </c>
    </row>
    <row r="18423" spans="1:7" x14ac:dyDescent="0.25">
      <c r="A18423" t="s">
        <v>55878</v>
      </c>
      <c r="B18423" t="s">
        <v>56113</v>
      </c>
      <c r="C18423" t="s">
        <v>56107</v>
      </c>
      <c r="D18423" t="s">
        <v>56108</v>
      </c>
      <c r="E18423" t="s">
        <v>56109</v>
      </c>
      <c r="F18423" t="s">
        <v>56114</v>
      </c>
      <c r="G18423" s="2" t="str">
        <f>HYPERLINK("https://probpalata.gov.ru/files/ИП180600372400004.jpeg","Скачать индивидуальный QR-код магазина")</f>
        <v>Скачать индивидуальный QR-код магазина</v>
      </c>
    </row>
    <row r="18424" spans="1:7" x14ac:dyDescent="0.25">
      <c r="A18424" t="s">
        <v>55878</v>
      </c>
      <c r="B18424" t="s">
        <v>56115</v>
      </c>
      <c r="C18424" t="s">
        <v>56116</v>
      </c>
      <c r="D18424" t="s">
        <v>56117</v>
      </c>
      <c r="E18424" t="s">
        <v>56118</v>
      </c>
      <c r="F18424" t="s">
        <v>56119</v>
      </c>
      <c r="G18424" s="2" t="str">
        <f>HYPERLINK("https://probpalata.gov.ru/files/ИП180603398200000.jpeg","Скачать индивидуальный QR-код магазина")</f>
        <v>Скачать индивидуальный QR-код магазина</v>
      </c>
    </row>
    <row r="18425" spans="1:7" x14ac:dyDescent="0.25">
      <c r="A18425" t="s">
        <v>55878</v>
      </c>
      <c r="B18425" t="s">
        <v>56120</v>
      </c>
      <c r="C18425" t="s">
        <v>56121</v>
      </c>
      <c r="D18425" t="s">
        <v>56122</v>
      </c>
      <c r="E18425" t="s">
        <v>56123</v>
      </c>
      <c r="F18425" t="s">
        <v>56124</v>
      </c>
      <c r="G18425" s="2" t="str">
        <f>HYPERLINK("https://probpalata.gov.ru/files/ИП180603231700000.jpeg","Скачать индивидуальный QR-код магазина")</f>
        <v>Скачать индивидуальный QR-код магазина</v>
      </c>
    </row>
    <row r="18426" spans="1:7" x14ac:dyDescent="0.25">
      <c r="A18426" t="s">
        <v>55878</v>
      </c>
      <c r="B18426" t="s">
        <v>56125</v>
      </c>
      <c r="C18426" t="s">
        <v>56126</v>
      </c>
      <c r="D18426" t="s">
        <v>56127</v>
      </c>
      <c r="E18426" t="s">
        <v>56128</v>
      </c>
      <c r="F18426" t="s">
        <v>56129</v>
      </c>
      <c r="G18426" s="2" t="str">
        <f>HYPERLINK("https://probpalata.gov.ru/files/ИП180603665600000.jpeg","Скачать индивидуальный QR-код магазина")</f>
        <v>Скачать индивидуальный QR-код магазина</v>
      </c>
    </row>
    <row r="18427" spans="1:7" x14ac:dyDescent="0.25">
      <c r="A18427" t="s">
        <v>55878</v>
      </c>
      <c r="B18427" t="s">
        <v>56130</v>
      </c>
      <c r="C18427" t="s">
        <v>56131</v>
      </c>
      <c r="D18427" t="s">
        <v>56132</v>
      </c>
      <c r="E18427" t="s">
        <v>56133</v>
      </c>
      <c r="F18427" t="s">
        <v>56134</v>
      </c>
      <c r="G18427" s="2" t="str">
        <f>HYPERLINK("https://probpalata.gov.ru/files/ИП180600135100000.jpeg","Скачать индивидуальный QR-код магазина")</f>
        <v>Скачать индивидуальный QR-код магазина</v>
      </c>
    </row>
    <row r="18428" spans="1:7" x14ac:dyDescent="0.25">
      <c r="A18428" t="s">
        <v>55878</v>
      </c>
      <c r="B18428" t="s">
        <v>56135</v>
      </c>
      <c r="C18428" t="s">
        <v>56131</v>
      </c>
      <c r="D18428" t="s">
        <v>56132</v>
      </c>
      <c r="E18428" t="s">
        <v>56133</v>
      </c>
      <c r="F18428" t="s">
        <v>56136</v>
      </c>
      <c r="G18428" s="2" t="str">
        <f>HYPERLINK("https://probpalata.gov.ru/files/ИП180600135100001.jpeg","Скачать индивидуальный QR-код магазина")</f>
        <v>Скачать индивидуальный QR-код магазина</v>
      </c>
    </row>
    <row r="18429" spans="1:7" x14ac:dyDescent="0.25">
      <c r="A18429" t="s">
        <v>55878</v>
      </c>
      <c r="B18429" t="s">
        <v>56137</v>
      </c>
      <c r="C18429" t="s">
        <v>56138</v>
      </c>
      <c r="D18429" t="s">
        <v>56139</v>
      </c>
      <c r="E18429" t="s">
        <v>56140</v>
      </c>
      <c r="F18429" t="s">
        <v>56141</v>
      </c>
      <c r="G18429" s="2" t="str">
        <f>HYPERLINK("https://probpalata.gov.ru/files/ИП180600502500000.jpeg","Скачать индивидуальный QR-код магазина")</f>
        <v>Скачать индивидуальный QR-код магазина</v>
      </c>
    </row>
    <row r="18430" spans="1:7" x14ac:dyDescent="0.25">
      <c r="A18430" t="s">
        <v>55878</v>
      </c>
      <c r="B18430" t="s">
        <v>56142</v>
      </c>
      <c r="C18430" t="s">
        <v>56143</v>
      </c>
      <c r="D18430" t="s">
        <v>56144</v>
      </c>
      <c r="E18430" t="s">
        <v>56145</v>
      </c>
      <c r="F18430" t="s">
        <v>56146</v>
      </c>
      <c r="G18430" s="2" t="str">
        <f>HYPERLINK("https://probpalata.gov.ru/files/ИП180600443600000.jpeg","Скачать индивидуальный QR-код магазина")</f>
        <v>Скачать индивидуальный QR-код магазина</v>
      </c>
    </row>
    <row r="18431" spans="1:7" x14ac:dyDescent="0.25">
      <c r="A18431" t="s">
        <v>55878</v>
      </c>
      <c r="B18431" t="s">
        <v>56147</v>
      </c>
      <c r="C18431" t="s">
        <v>56148</v>
      </c>
      <c r="D18431" t="s">
        <v>56149</v>
      </c>
      <c r="E18431" t="s">
        <v>56150</v>
      </c>
      <c r="F18431" t="s">
        <v>56151</v>
      </c>
      <c r="G18431" s="2" t="str">
        <f>HYPERLINK("https://probpalata.gov.ru/files/ИП180601583200000.jpeg","Скачать индивидуальный QR-код магазина")</f>
        <v>Скачать индивидуальный QR-код магазина</v>
      </c>
    </row>
    <row r="18432" spans="1:7" x14ac:dyDescent="0.25">
      <c r="A18432" t="s">
        <v>55878</v>
      </c>
      <c r="B18432" t="s">
        <v>56152</v>
      </c>
      <c r="C18432" t="s">
        <v>56148</v>
      </c>
      <c r="D18432" t="s">
        <v>56149</v>
      </c>
      <c r="E18432" t="s">
        <v>56150</v>
      </c>
      <c r="F18432" t="s">
        <v>56153</v>
      </c>
      <c r="G18432" s="2" t="str">
        <f>HYPERLINK("https://probpalata.gov.ru/files/ИП180601583200001.jpeg","Скачать индивидуальный QR-код магазина")</f>
        <v>Скачать индивидуальный QR-код магазина</v>
      </c>
    </row>
    <row r="18433" spans="1:7" x14ac:dyDescent="0.25">
      <c r="A18433" t="s">
        <v>55878</v>
      </c>
      <c r="B18433" t="s">
        <v>56154</v>
      </c>
      <c r="C18433" t="s">
        <v>56148</v>
      </c>
      <c r="D18433" t="s">
        <v>56149</v>
      </c>
      <c r="E18433" t="s">
        <v>56150</v>
      </c>
      <c r="F18433" t="s">
        <v>56155</v>
      </c>
      <c r="G18433" s="2" t="str">
        <f>HYPERLINK("https://probpalata.gov.ru/files/ИП180601583200002.jpeg","Скачать индивидуальный QR-код магазина")</f>
        <v>Скачать индивидуальный QR-код магазина</v>
      </c>
    </row>
    <row r="18434" spans="1:7" x14ac:dyDescent="0.25">
      <c r="A18434" t="s">
        <v>55878</v>
      </c>
      <c r="B18434" t="s">
        <v>56156</v>
      </c>
      <c r="C18434" t="s">
        <v>56157</v>
      </c>
      <c r="D18434" t="s">
        <v>56158</v>
      </c>
      <c r="E18434" t="s">
        <v>56159</v>
      </c>
      <c r="F18434" t="s">
        <v>56160</v>
      </c>
      <c r="G18434" s="2" t="str">
        <f>HYPERLINK("https://probpalata.gov.ru/files/ИП180601982300000.jpeg","Скачать индивидуальный QR-код магазина")</f>
        <v>Скачать индивидуальный QR-код магазина</v>
      </c>
    </row>
    <row r="18435" spans="1:7" x14ac:dyDescent="0.25">
      <c r="A18435" t="s">
        <v>55878</v>
      </c>
      <c r="B18435" t="s">
        <v>56161</v>
      </c>
      <c r="C18435" t="s">
        <v>56162</v>
      </c>
      <c r="D18435" t="s">
        <v>56163</v>
      </c>
      <c r="E18435" t="s">
        <v>56164</v>
      </c>
      <c r="F18435" t="s">
        <v>56165</v>
      </c>
      <c r="G18435" s="2" t="str">
        <f>HYPERLINK("https://probpalata.gov.ru/files/ИП180603957700000.jpeg","Скачать индивидуальный QR-код магазина")</f>
        <v>Скачать индивидуальный QR-код магазина</v>
      </c>
    </row>
    <row r="18436" spans="1:7" x14ac:dyDescent="0.25">
      <c r="A18436" t="s">
        <v>55878</v>
      </c>
      <c r="B18436" t="s">
        <v>56166</v>
      </c>
      <c r="C18436" t="s">
        <v>56167</v>
      </c>
      <c r="D18436" t="s">
        <v>56168</v>
      </c>
      <c r="E18436" t="s">
        <v>56169</v>
      </c>
      <c r="F18436" t="s">
        <v>56170</v>
      </c>
      <c r="G18436" s="2" t="str">
        <f>HYPERLINK("https://probpalata.gov.ru/files/ИП180600780900000.jpeg","Скачать индивидуальный QR-код магазина")</f>
        <v>Скачать индивидуальный QR-код магазина</v>
      </c>
    </row>
    <row r="18437" spans="1:7" x14ac:dyDescent="0.25">
      <c r="A18437" t="s">
        <v>55878</v>
      </c>
      <c r="B18437" t="s">
        <v>56171</v>
      </c>
      <c r="C18437" t="s">
        <v>56172</v>
      </c>
      <c r="D18437" t="s">
        <v>56173</v>
      </c>
      <c r="E18437" t="s">
        <v>56174</v>
      </c>
      <c r="F18437" t="s">
        <v>56175</v>
      </c>
      <c r="G18437" s="2" t="str">
        <f>HYPERLINK("https://probpalata.gov.ru/files/ЮЛ180600453900000.jpeg","Скачать индивидуальный QR-код магазина")</f>
        <v>Скачать индивидуальный QR-код магазина</v>
      </c>
    </row>
    <row r="18438" spans="1:7" x14ac:dyDescent="0.25">
      <c r="A18438" t="s">
        <v>55878</v>
      </c>
      <c r="B18438" t="s">
        <v>56176</v>
      </c>
      <c r="C18438" t="s">
        <v>56172</v>
      </c>
      <c r="D18438" t="s">
        <v>56173</v>
      </c>
      <c r="E18438" t="s">
        <v>56174</v>
      </c>
      <c r="F18438" t="s">
        <v>56177</v>
      </c>
      <c r="G18438" s="2" t="str">
        <f>HYPERLINK("https://probpalata.gov.ru/files/ЮЛ180600453900001.jpeg","Скачать индивидуальный QR-код магазина")</f>
        <v>Скачать индивидуальный QR-код магазина</v>
      </c>
    </row>
    <row r="18439" spans="1:7" x14ac:dyDescent="0.25">
      <c r="A18439" t="s">
        <v>55878</v>
      </c>
      <c r="B18439" t="s">
        <v>56178</v>
      </c>
      <c r="C18439" t="s">
        <v>56172</v>
      </c>
      <c r="D18439" t="s">
        <v>56173</v>
      </c>
      <c r="E18439" t="s">
        <v>56174</v>
      </c>
      <c r="F18439" t="s">
        <v>56179</v>
      </c>
      <c r="G18439" s="2" t="str">
        <f>HYPERLINK("https://probpalata.gov.ru/files/ЮЛ180600453900002.jpeg","Скачать индивидуальный QR-код магазина")</f>
        <v>Скачать индивидуальный QR-код магазина</v>
      </c>
    </row>
    <row r="18440" spans="1:7" x14ac:dyDescent="0.25">
      <c r="A18440" t="s">
        <v>55878</v>
      </c>
      <c r="B18440" t="s">
        <v>56180</v>
      </c>
      <c r="C18440" t="s">
        <v>56172</v>
      </c>
      <c r="D18440" t="s">
        <v>56173</v>
      </c>
      <c r="E18440" t="s">
        <v>56174</v>
      </c>
      <c r="F18440" t="s">
        <v>56181</v>
      </c>
      <c r="G18440" s="2" t="str">
        <f>HYPERLINK("https://probpalata.gov.ru/files/ЮЛ180600453900003.jpeg","Скачать индивидуальный QR-код магазина")</f>
        <v>Скачать индивидуальный QR-код магазина</v>
      </c>
    </row>
    <row r="18441" spans="1:7" x14ac:dyDescent="0.25">
      <c r="A18441" t="s">
        <v>55878</v>
      </c>
      <c r="B18441" t="s">
        <v>56182</v>
      </c>
      <c r="C18441" t="s">
        <v>56172</v>
      </c>
      <c r="D18441" t="s">
        <v>56173</v>
      </c>
      <c r="E18441" t="s">
        <v>56174</v>
      </c>
      <c r="F18441" t="s">
        <v>56183</v>
      </c>
      <c r="G18441" s="2" t="str">
        <f>HYPERLINK("https://probpalata.gov.ru/files/ЮЛ180600453900004.jpeg","Скачать индивидуальный QR-код магазина")</f>
        <v>Скачать индивидуальный QR-код магазина</v>
      </c>
    </row>
    <row r="18442" spans="1:7" x14ac:dyDescent="0.25">
      <c r="A18442" t="s">
        <v>55878</v>
      </c>
      <c r="B18442" t="s">
        <v>56184</v>
      </c>
      <c r="C18442" t="s">
        <v>56172</v>
      </c>
      <c r="D18442" t="s">
        <v>56173</v>
      </c>
      <c r="E18442" t="s">
        <v>56174</v>
      </c>
      <c r="F18442" t="s">
        <v>56185</v>
      </c>
      <c r="G18442" s="2" t="str">
        <f>HYPERLINK("https://probpalata.gov.ru/files/ЮЛ180600453900005.jpeg","Скачать индивидуальный QR-код магазина")</f>
        <v>Скачать индивидуальный QR-код магазина</v>
      </c>
    </row>
    <row r="18443" spans="1:7" x14ac:dyDescent="0.25">
      <c r="A18443" t="s">
        <v>55878</v>
      </c>
      <c r="B18443" t="s">
        <v>56017</v>
      </c>
      <c r="C18443" t="s">
        <v>56186</v>
      </c>
      <c r="D18443" t="s">
        <v>56187</v>
      </c>
      <c r="E18443" t="s">
        <v>56188</v>
      </c>
      <c r="F18443" t="s">
        <v>56189</v>
      </c>
      <c r="G18443" s="2" t="str">
        <f>HYPERLINK("https://probpalata.gov.ru/files/ЮЛ180603741300000.jpeg","Скачать индивидуальный QR-код магазина")</f>
        <v>Скачать индивидуальный QR-код магазина</v>
      </c>
    </row>
    <row r="18444" spans="1:7" x14ac:dyDescent="0.25">
      <c r="A18444" t="s">
        <v>55878</v>
      </c>
      <c r="B18444" t="s">
        <v>56190</v>
      </c>
      <c r="C18444" t="s">
        <v>56186</v>
      </c>
      <c r="D18444" t="s">
        <v>56187</v>
      </c>
      <c r="E18444" t="s">
        <v>56188</v>
      </c>
      <c r="F18444" t="s">
        <v>56191</v>
      </c>
      <c r="G18444" s="2" t="str">
        <f>HYPERLINK("https://probpalata.gov.ru/files/ЮЛ180603741300002.jpeg","Скачать индивидуальный QR-код магазина")</f>
        <v>Скачать индивидуальный QR-код магазина</v>
      </c>
    </row>
    <row r="18445" spans="1:7" x14ac:dyDescent="0.25">
      <c r="A18445" t="s">
        <v>55878</v>
      </c>
      <c r="B18445" t="s">
        <v>56192</v>
      </c>
      <c r="C18445" t="s">
        <v>56186</v>
      </c>
      <c r="D18445" t="s">
        <v>56187</v>
      </c>
      <c r="E18445" t="s">
        <v>56188</v>
      </c>
      <c r="F18445" t="s">
        <v>56193</v>
      </c>
      <c r="G18445" s="2" t="str">
        <f>HYPERLINK("https://probpalata.gov.ru/files/ЮЛ180603741300004.jpeg","Скачать индивидуальный QR-код магазина")</f>
        <v>Скачать индивидуальный QR-код магазина</v>
      </c>
    </row>
    <row r="18446" spans="1:7" x14ac:dyDescent="0.25">
      <c r="A18446" t="s">
        <v>55878</v>
      </c>
      <c r="B18446" t="s">
        <v>56194</v>
      </c>
      <c r="C18446" t="s">
        <v>56186</v>
      </c>
      <c r="D18446" t="s">
        <v>56187</v>
      </c>
      <c r="E18446" t="s">
        <v>56188</v>
      </c>
      <c r="F18446" t="s">
        <v>56195</v>
      </c>
      <c r="G18446" s="2" t="str">
        <f>HYPERLINK("https://probpalata.gov.ru/files/ЮЛ180603741300005.jpeg","Скачать индивидуальный QR-код магазина")</f>
        <v>Скачать индивидуальный QR-код магазина</v>
      </c>
    </row>
    <row r="18447" spans="1:7" x14ac:dyDescent="0.25">
      <c r="A18447" t="s">
        <v>55878</v>
      </c>
      <c r="B18447" t="s">
        <v>56017</v>
      </c>
      <c r="C18447" t="s">
        <v>56196</v>
      </c>
      <c r="D18447" t="s">
        <v>56197</v>
      </c>
      <c r="E18447" t="s">
        <v>56198</v>
      </c>
      <c r="F18447" t="s">
        <v>56199</v>
      </c>
      <c r="G18447" s="2" t="str">
        <f>HYPERLINK("https://probpalata.gov.ru/files/ЮЛ180600017300000.jpeg","Скачать индивидуальный QR-код магазина")</f>
        <v>Скачать индивидуальный QR-код магазина</v>
      </c>
    </row>
    <row r="18448" spans="1:7" x14ac:dyDescent="0.25">
      <c r="A18448" t="s">
        <v>55878</v>
      </c>
      <c r="B18448" t="s">
        <v>56039</v>
      </c>
      <c r="C18448" t="s">
        <v>56196</v>
      </c>
      <c r="D18448" t="s">
        <v>56197</v>
      </c>
      <c r="E18448" t="s">
        <v>56198</v>
      </c>
      <c r="F18448" t="s">
        <v>56200</v>
      </c>
      <c r="G18448" s="2" t="str">
        <f>HYPERLINK("https://probpalata.gov.ru/files/ЮЛ180600017300001.jpeg","Скачать индивидуальный QR-код магазина")</f>
        <v>Скачать индивидуальный QR-код магазина</v>
      </c>
    </row>
    <row r="18449" spans="1:7" x14ac:dyDescent="0.25">
      <c r="A18449" t="s">
        <v>55878</v>
      </c>
      <c r="B18449" t="s">
        <v>56201</v>
      </c>
      <c r="C18449" t="s">
        <v>56196</v>
      </c>
      <c r="D18449" t="s">
        <v>56197</v>
      </c>
      <c r="E18449" t="s">
        <v>56198</v>
      </c>
      <c r="F18449" t="s">
        <v>56202</v>
      </c>
      <c r="G18449" s="2" t="str">
        <f>HYPERLINK("https://probpalata.gov.ru/files/ЮЛ180600017300002.jpeg","Скачать индивидуальный QR-код магазина")</f>
        <v>Скачать индивидуальный QR-код магазина</v>
      </c>
    </row>
    <row r="18450" spans="1:7" x14ac:dyDescent="0.25">
      <c r="A18450" t="s">
        <v>55878</v>
      </c>
      <c r="B18450" t="s">
        <v>56203</v>
      </c>
      <c r="C18450" t="s">
        <v>56196</v>
      </c>
      <c r="D18450" t="s">
        <v>56197</v>
      </c>
      <c r="E18450" t="s">
        <v>56198</v>
      </c>
      <c r="F18450" t="s">
        <v>56204</v>
      </c>
      <c r="G18450" s="2" t="str">
        <f>HYPERLINK("https://probpalata.gov.ru/files/ЮЛ180600017300004.jpeg","Скачать индивидуальный QR-код магазина")</f>
        <v>Скачать индивидуальный QR-код магазина</v>
      </c>
    </row>
    <row r="18451" spans="1:7" x14ac:dyDescent="0.25">
      <c r="A18451" t="s">
        <v>55878</v>
      </c>
      <c r="B18451" t="s">
        <v>56033</v>
      </c>
      <c r="C18451" t="s">
        <v>56196</v>
      </c>
      <c r="D18451" t="s">
        <v>56197</v>
      </c>
      <c r="E18451" t="s">
        <v>56198</v>
      </c>
      <c r="F18451" t="s">
        <v>56205</v>
      </c>
      <c r="G18451" s="2" t="str">
        <f>HYPERLINK("https://probpalata.gov.ru/files/ЮЛ180600017300005.jpeg","Скачать индивидуальный QR-код магазина")</f>
        <v>Скачать индивидуальный QR-код магазина</v>
      </c>
    </row>
    <row r="18452" spans="1:7" x14ac:dyDescent="0.25">
      <c r="A18452" t="s">
        <v>55878</v>
      </c>
      <c r="B18452" t="s">
        <v>56206</v>
      </c>
      <c r="C18452" t="s">
        <v>56207</v>
      </c>
      <c r="D18452" t="s">
        <v>56208</v>
      </c>
      <c r="E18452" t="s">
        <v>56209</v>
      </c>
      <c r="F18452" t="s">
        <v>56210</v>
      </c>
      <c r="G18452" s="2" t="str">
        <f>HYPERLINK("https://probpalata.gov.ru/files/ЮЛ180601177700000.jpeg","Скачать индивидуальный QR-код магазина")</f>
        <v>Скачать индивидуальный QR-код магазина</v>
      </c>
    </row>
    <row r="18453" spans="1:7" x14ac:dyDescent="0.25">
      <c r="A18453" t="s">
        <v>55878</v>
      </c>
      <c r="B18453" t="s">
        <v>56211</v>
      </c>
      <c r="C18453" t="s">
        <v>34751</v>
      </c>
      <c r="D18453" t="s">
        <v>34752</v>
      </c>
      <c r="E18453" t="s">
        <v>34753</v>
      </c>
      <c r="F18453" t="s">
        <v>56212</v>
      </c>
      <c r="G18453" s="2" t="str">
        <f>HYPERLINK("https://probpalata.gov.ru/files/ЮЛ180603136700003.jpeg","Скачать индивидуальный QR-код магазина")</f>
        <v>Скачать индивидуальный QR-код магазина</v>
      </c>
    </row>
    <row r="18454" spans="1:7" x14ac:dyDescent="0.25">
      <c r="A18454" t="s">
        <v>55878</v>
      </c>
      <c r="B18454" t="s">
        <v>56213</v>
      </c>
      <c r="C18454" t="s">
        <v>34751</v>
      </c>
      <c r="D18454" t="s">
        <v>34752</v>
      </c>
      <c r="E18454" t="s">
        <v>34753</v>
      </c>
      <c r="F18454" t="s">
        <v>56214</v>
      </c>
      <c r="G18454" s="2" t="str">
        <f>HYPERLINK("https://probpalata.gov.ru/files/ЮЛ180603136700004.jpeg","Скачать индивидуальный QR-код магазина")</f>
        <v>Скачать индивидуальный QR-код магазина</v>
      </c>
    </row>
    <row r="18455" spans="1:7" x14ac:dyDescent="0.25">
      <c r="A18455" t="s">
        <v>55878</v>
      </c>
      <c r="B18455" t="s">
        <v>56215</v>
      </c>
      <c r="C18455" t="s">
        <v>34751</v>
      </c>
      <c r="D18455" t="s">
        <v>34752</v>
      </c>
      <c r="E18455" t="s">
        <v>34753</v>
      </c>
      <c r="F18455" t="s">
        <v>56216</v>
      </c>
      <c r="G18455" s="2" t="str">
        <f>HYPERLINK("https://probpalata.gov.ru/files/ЮЛ180603136700005.jpeg","Скачать индивидуальный QR-код магазина")</f>
        <v>Скачать индивидуальный QR-код магазина</v>
      </c>
    </row>
    <row r="18456" spans="1:7" x14ac:dyDescent="0.25">
      <c r="A18456" t="s">
        <v>55878</v>
      </c>
      <c r="B18456" t="s">
        <v>56217</v>
      </c>
      <c r="C18456" t="s">
        <v>34751</v>
      </c>
      <c r="D18456" t="s">
        <v>34752</v>
      </c>
      <c r="E18456" t="s">
        <v>34753</v>
      </c>
      <c r="F18456" t="s">
        <v>56218</v>
      </c>
      <c r="G18456" s="2" t="str">
        <f>HYPERLINK("https://probpalata.gov.ru/files/ЮЛ180603136700006.jpeg","Скачать индивидуальный QR-код магазина")</f>
        <v>Скачать индивидуальный QR-код магазина</v>
      </c>
    </row>
    <row r="18457" spans="1:7" x14ac:dyDescent="0.25">
      <c r="A18457" t="s">
        <v>55878</v>
      </c>
      <c r="B18457" t="s">
        <v>56219</v>
      </c>
      <c r="C18457" t="s">
        <v>34751</v>
      </c>
      <c r="D18457" t="s">
        <v>34752</v>
      </c>
      <c r="E18457" t="s">
        <v>34753</v>
      </c>
      <c r="F18457" t="s">
        <v>56220</v>
      </c>
      <c r="G18457" s="2" t="str">
        <f>HYPERLINK("https://probpalata.gov.ru/files/ЮЛ180603136700007.jpeg","Скачать индивидуальный QR-код магазина")</f>
        <v>Скачать индивидуальный QR-код магазина</v>
      </c>
    </row>
    <row r="18458" spans="1:7" x14ac:dyDescent="0.25">
      <c r="A18458" t="s">
        <v>55878</v>
      </c>
      <c r="B18458" t="s">
        <v>56221</v>
      </c>
      <c r="C18458" t="s">
        <v>39496</v>
      </c>
      <c r="D18458" t="s">
        <v>39497</v>
      </c>
      <c r="E18458" t="s">
        <v>39498</v>
      </c>
      <c r="F18458" t="s">
        <v>56222</v>
      </c>
      <c r="G18458" s="2" t="str">
        <f>HYPERLINK("https://probpalata.gov.ru/files/ИП160600222400000.jpeg","Скачать индивидуальный QR-код магазина")</f>
        <v>Скачать индивидуальный QR-код магазина</v>
      </c>
    </row>
    <row r="18459" spans="1:7" x14ac:dyDescent="0.25">
      <c r="A18459" t="s">
        <v>55878</v>
      </c>
      <c r="B18459" t="s">
        <v>56223</v>
      </c>
      <c r="C18459" t="s">
        <v>39496</v>
      </c>
      <c r="D18459" t="s">
        <v>39497</v>
      </c>
      <c r="E18459" t="s">
        <v>39498</v>
      </c>
      <c r="F18459" t="s">
        <v>56224</v>
      </c>
      <c r="G18459" s="2" t="str">
        <f>HYPERLINK("https://probpalata.gov.ru/files/ИП160600222400002.jpeg","Скачать индивидуальный QR-код магазина")</f>
        <v>Скачать индивидуальный QR-код магазина</v>
      </c>
    </row>
    <row r="18460" spans="1:7" x14ac:dyDescent="0.25">
      <c r="A18460" t="s">
        <v>55878</v>
      </c>
      <c r="B18460" t="s">
        <v>56225</v>
      </c>
      <c r="C18460" t="s">
        <v>39496</v>
      </c>
      <c r="D18460" t="s">
        <v>39497</v>
      </c>
      <c r="E18460" t="s">
        <v>39498</v>
      </c>
      <c r="F18460" t="s">
        <v>56226</v>
      </c>
      <c r="G18460" s="2" t="str">
        <f>HYPERLINK("https://probpalata.gov.ru/files/ИП160600222400004.jpeg","Скачать индивидуальный QR-код магазина")</f>
        <v>Скачать индивидуальный QR-код магазина</v>
      </c>
    </row>
    <row r="18461" spans="1:7" x14ac:dyDescent="0.25">
      <c r="A18461" t="s">
        <v>55878</v>
      </c>
      <c r="B18461" t="s">
        <v>56227</v>
      </c>
      <c r="C18461" t="s">
        <v>39496</v>
      </c>
      <c r="D18461" t="s">
        <v>39497</v>
      </c>
      <c r="E18461" t="s">
        <v>39498</v>
      </c>
      <c r="F18461" t="s">
        <v>56228</v>
      </c>
      <c r="G18461" s="2" t="str">
        <f>HYPERLINK("https://probpalata.gov.ru/files/ИП160600222400006.jpeg","Скачать индивидуальный QR-код магазина")</f>
        <v>Скачать индивидуальный QR-код магазина</v>
      </c>
    </row>
    <row r="18462" spans="1:7" x14ac:dyDescent="0.25">
      <c r="A18462" t="s">
        <v>55878</v>
      </c>
      <c r="B18462" t="s">
        <v>56229</v>
      </c>
      <c r="C18462" t="s">
        <v>39496</v>
      </c>
      <c r="D18462" t="s">
        <v>39497</v>
      </c>
      <c r="E18462" t="s">
        <v>39498</v>
      </c>
      <c r="F18462" t="s">
        <v>56230</v>
      </c>
      <c r="G18462" s="2" t="str">
        <f>HYPERLINK("https://probpalata.gov.ru/files/ИП160600222400007.jpeg","Скачать индивидуальный QR-код магазина")</f>
        <v>Скачать индивидуальный QR-код магазина</v>
      </c>
    </row>
    <row r="18463" spans="1:7" x14ac:dyDescent="0.25">
      <c r="A18463" t="s">
        <v>55878</v>
      </c>
      <c r="B18463" t="s">
        <v>56231</v>
      </c>
      <c r="C18463" t="s">
        <v>39496</v>
      </c>
      <c r="D18463" t="s">
        <v>39497</v>
      </c>
      <c r="E18463" t="s">
        <v>39498</v>
      </c>
      <c r="F18463" t="s">
        <v>56232</v>
      </c>
      <c r="G18463" s="2" t="str">
        <f>HYPERLINK("https://probpalata.gov.ru/files/ИП160600222400009.jpeg","Скачать индивидуальный QR-код магазина")</f>
        <v>Скачать индивидуальный QR-код магазина</v>
      </c>
    </row>
    <row r="18464" spans="1:7" x14ac:dyDescent="0.25">
      <c r="A18464" t="s">
        <v>55878</v>
      </c>
      <c r="B18464" t="s">
        <v>56233</v>
      </c>
      <c r="C18464" t="s">
        <v>1385</v>
      </c>
      <c r="D18464" t="s">
        <v>1386</v>
      </c>
      <c r="E18464" t="s">
        <v>1387</v>
      </c>
      <c r="F18464" t="s">
        <v>56234</v>
      </c>
      <c r="G18464" s="2" t="str">
        <f>HYPERLINK("https://probpalata.gov.ru/files/ИП500101774600000.jpeg","Скачать индивидуальный QR-код магазина")</f>
        <v>Скачать индивидуальный QR-код магазина</v>
      </c>
    </row>
    <row r="18465" spans="1:7" x14ac:dyDescent="0.25">
      <c r="A18465" t="s">
        <v>55878</v>
      </c>
      <c r="B18465" t="s">
        <v>56235</v>
      </c>
      <c r="C18465" t="s">
        <v>1385</v>
      </c>
      <c r="D18465" t="s">
        <v>1386</v>
      </c>
      <c r="E18465" t="s">
        <v>1387</v>
      </c>
      <c r="F18465" t="s">
        <v>56236</v>
      </c>
      <c r="G18465" s="2" t="str">
        <f>HYPERLINK("https://probpalata.gov.ru/files/ИП500101774600008.jpeg","Скачать индивидуальный QR-код магазина")</f>
        <v>Скачать индивидуальный QR-код магазина</v>
      </c>
    </row>
    <row r="18466" spans="1:7" x14ac:dyDescent="0.25">
      <c r="A18466" t="s">
        <v>55878</v>
      </c>
      <c r="B18466" t="s">
        <v>56237</v>
      </c>
      <c r="C18466" t="s">
        <v>10732</v>
      </c>
      <c r="D18466" t="s">
        <v>10733</v>
      </c>
      <c r="E18466" t="s">
        <v>10734</v>
      </c>
      <c r="F18466" t="s">
        <v>56238</v>
      </c>
      <c r="G18466" s="2" t="str">
        <f>HYPERLINK("https://probpalata.gov.ru/files/ИП440200426400004.jpeg","Скачать индивидуальный QR-код магазина")</f>
        <v>Скачать индивидуальный QR-код магазина</v>
      </c>
    </row>
    <row r="18467" spans="1:7" x14ac:dyDescent="0.25">
      <c r="A18467" t="s">
        <v>55878</v>
      </c>
      <c r="B18467" t="s">
        <v>56239</v>
      </c>
      <c r="C18467" t="s">
        <v>10732</v>
      </c>
      <c r="D18467" t="s">
        <v>10733</v>
      </c>
      <c r="E18467" t="s">
        <v>10734</v>
      </c>
      <c r="F18467" t="s">
        <v>56240</v>
      </c>
      <c r="G18467" s="2" t="str">
        <f>HYPERLINK("https://probpalata.gov.ru/files/ИП440200426400036.jpeg","Скачать индивидуальный QR-код магазина")</f>
        <v>Скачать индивидуальный QR-код магазина</v>
      </c>
    </row>
    <row r="18468" spans="1:7" x14ac:dyDescent="0.25">
      <c r="A18468" t="s">
        <v>55878</v>
      </c>
      <c r="B18468" t="s">
        <v>56241</v>
      </c>
      <c r="C18468" t="s">
        <v>2197</v>
      </c>
      <c r="D18468" t="s">
        <v>2198</v>
      </c>
      <c r="E18468" t="s">
        <v>2199</v>
      </c>
      <c r="F18468" t="s">
        <v>56242</v>
      </c>
      <c r="G18468" s="2" t="str">
        <f>HYPERLINK("https://probpalata.gov.ru/files/ИП630601425400004.jpeg","Скачать индивидуальный QR-код магазина")</f>
        <v>Скачать индивидуальный QR-код магазина</v>
      </c>
    </row>
    <row r="18469" spans="1:7" x14ac:dyDescent="0.25">
      <c r="A18469" t="s">
        <v>55878</v>
      </c>
      <c r="B18469" t="s">
        <v>55958</v>
      </c>
      <c r="C18469" t="s">
        <v>2197</v>
      </c>
      <c r="D18469" t="s">
        <v>2198</v>
      </c>
      <c r="E18469" t="s">
        <v>2199</v>
      </c>
      <c r="F18469" t="s">
        <v>56243</v>
      </c>
      <c r="G18469" s="2" t="str">
        <f>HYPERLINK("https://probpalata.gov.ru/files/ИП630601425400017.jpeg","Скачать индивидуальный QR-код магазина")</f>
        <v>Скачать индивидуальный QR-код магазина</v>
      </c>
    </row>
    <row r="18470" spans="1:7" x14ac:dyDescent="0.25">
      <c r="A18470" t="s">
        <v>55878</v>
      </c>
      <c r="B18470" t="s">
        <v>56244</v>
      </c>
      <c r="C18470" t="s">
        <v>2197</v>
      </c>
      <c r="D18470" t="s">
        <v>2198</v>
      </c>
      <c r="E18470" t="s">
        <v>2199</v>
      </c>
      <c r="F18470" t="s">
        <v>56245</v>
      </c>
      <c r="G18470" s="2" t="str">
        <f>HYPERLINK("https://probpalata.gov.ru/files/ИП630601425400022.jpeg","Скачать индивидуальный QR-код магазина")</f>
        <v>Скачать индивидуальный QR-код магазина</v>
      </c>
    </row>
    <row r="18471" spans="1:7" x14ac:dyDescent="0.25">
      <c r="A18471" t="s">
        <v>55878</v>
      </c>
      <c r="B18471" t="s">
        <v>56009</v>
      </c>
      <c r="C18471" t="s">
        <v>2197</v>
      </c>
      <c r="D18471" t="s">
        <v>2198</v>
      </c>
      <c r="E18471" t="s">
        <v>2199</v>
      </c>
      <c r="F18471" t="s">
        <v>56246</v>
      </c>
      <c r="G18471" s="2" t="str">
        <f>HYPERLINK("https://probpalata.gov.ru/files/ИП630601425400048.jpeg","Скачать индивидуальный QR-код магазина")</f>
        <v>Скачать индивидуальный QR-код магазина</v>
      </c>
    </row>
    <row r="18472" spans="1:7" x14ac:dyDescent="0.25">
      <c r="A18472" t="s">
        <v>55878</v>
      </c>
      <c r="B18472" t="s">
        <v>56247</v>
      </c>
      <c r="C18472" t="s">
        <v>56248</v>
      </c>
      <c r="D18472" t="s">
        <v>56249</v>
      </c>
      <c r="E18472" t="s">
        <v>56250</v>
      </c>
      <c r="F18472" t="s">
        <v>56251</v>
      </c>
      <c r="G18472" s="2" t="str">
        <f>HYPERLINK("https://probpalata.gov.ru/files/ИП180601614500000.jpeg","Скачать индивидуальный QR-код магазина")</f>
        <v>Скачать индивидуальный QR-код магазина</v>
      </c>
    </row>
    <row r="18473" spans="1:7" x14ac:dyDescent="0.25">
      <c r="A18473" t="s">
        <v>55878</v>
      </c>
      <c r="B18473" t="s">
        <v>56252</v>
      </c>
      <c r="C18473" t="s">
        <v>51696</v>
      </c>
      <c r="D18473" t="s">
        <v>51697</v>
      </c>
      <c r="E18473" t="s">
        <v>51698</v>
      </c>
      <c r="F18473" t="s">
        <v>56253</v>
      </c>
      <c r="G18473" s="2" t="str">
        <f>HYPERLINK("https://probpalata.gov.ru/files/ЮЛ660700788800008.jpeg","Скачать индивидуальный QR-код магазина")</f>
        <v>Скачать индивидуальный QR-код магазина</v>
      </c>
    </row>
    <row r="18474" spans="1:7" x14ac:dyDescent="0.25">
      <c r="A18474" t="s">
        <v>55878</v>
      </c>
      <c r="B18474" t="s">
        <v>56254</v>
      </c>
      <c r="C18474" t="s">
        <v>56255</v>
      </c>
      <c r="D18474" t="s">
        <v>56256</v>
      </c>
      <c r="E18474" t="s">
        <v>56257</v>
      </c>
      <c r="F18474" t="s">
        <v>56258</v>
      </c>
      <c r="G18474" s="2" t="str">
        <f>HYPERLINK("https://probpalata.gov.ru/files/ИП180600171200000.jpeg","Скачать индивидуальный QR-код магазина")</f>
        <v>Скачать индивидуальный QR-код магазина</v>
      </c>
    </row>
    <row r="18475" spans="1:7" x14ac:dyDescent="0.25">
      <c r="A18475" t="s">
        <v>55878</v>
      </c>
      <c r="B18475" t="s">
        <v>56259</v>
      </c>
      <c r="C18475" t="s">
        <v>713</v>
      </c>
      <c r="D18475" t="s">
        <v>714</v>
      </c>
      <c r="E18475" t="s">
        <v>715</v>
      </c>
      <c r="F18475" t="s">
        <v>56260</v>
      </c>
      <c r="G18475" s="2" t="str">
        <f>HYPERLINK("https://probpalata.gov.ru/files/ЮЛ770101216600399.jpeg","Скачать индивидуальный QR-код магазина")</f>
        <v>Скачать индивидуальный QR-код магазина</v>
      </c>
    </row>
    <row r="18476" spans="1:7" x14ac:dyDescent="0.25">
      <c r="A18476" t="s">
        <v>55878</v>
      </c>
      <c r="B18476" t="s">
        <v>56261</v>
      </c>
      <c r="C18476" t="s">
        <v>713</v>
      </c>
      <c r="D18476" t="s">
        <v>714</v>
      </c>
      <c r="E18476" t="s">
        <v>715</v>
      </c>
      <c r="F18476" t="s">
        <v>56262</v>
      </c>
      <c r="G18476" s="2" t="str">
        <f>HYPERLINK("https://probpalata.gov.ru/files/ЮЛ770101216600504.jpeg","Скачать индивидуальный QR-код магазина")</f>
        <v>Скачать индивидуальный QR-код магазина</v>
      </c>
    </row>
    <row r="18477" spans="1:7" x14ac:dyDescent="0.25">
      <c r="A18477" t="s">
        <v>55878</v>
      </c>
      <c r="B18477" t="s">
        <v>56263</v>
      </c>
      <c r="C18477" t="s">
        <v>713</v>
      </c>
      <c r="D18477" t="s">
        <v>714</v>
      </c>
      <c r="E18477" t="s">
        <v>715</v>
      </c>
      <c r="F18477" t="s">
        <v>56264</v>
      </c>
      <c r="G18477" s="2" t="str">
        <f>HYPERLINK("https://probpalata.gov.ru/files/ЮЛ770101216600623.jpeg","Скачать индивидуальный QR-код магазина")</f>
        <v>Скачать индивидуальный QR-код магазина</v>
      </c>
    </row>
    <row r="18478" spans="1:7" x14ac:dyDescent="0.25">
      <c r="A18478" t="s">
        <v>55878</v>
      </c>
      <c r="B18478" t="s">
        <v>56265</v>
      </c>
      <c r="C18478" t="s">
        <v>713</v>
      </c>
      <c r="D18478" t="s">
        <v>714</v>
      </c>
      <c r="E18478" t="s">
        <v>715</v>
      </c>
      <c r="F18478" t="s">
        <v>56266</v>
      </c>
      <c r="G18478" s="2" t="str">
        <f>HYPERLINK("https://probpalata.gov.ru/files/ЮЛ770101216600821.jpeg","Скачать индивидуальный QR-код магазина")</f>
        <v>Скачать индивидуальный QR-код магазина</v>
      </c>
    </row>
    <row r="18479" spans="1:7" x14ac:dyDescent="0.25">
      <c r="A18479" t="s">
        <v>55878</v>
      </c>
      <c r="B18479" t="s">
        <v>56267</v>
      </c>
      <c r="C18479" t="s">
        <v>713</v>
      </c>
      <c r="D18479" t="s">
        <v>714</v>
      </c>
      <c r="E18479" t="s">
        <v>715</v>
      </c>
      <c r="F18479" t="s">
        <v>56268</v>
      </c>
      <c r="G18479" s="2" t="str">
        <f>HYPERLINK("https://probpalata.gov.ru/files/ЮЛ770101216600912.jpeg","Скачать индивидуальный QR-код магазина")</f>
        <v>Скачать индивидуальный QR-код магазина</v>
      </c>
    </row>
    <row r="18480" spans="1:7" x14ac:dyDescent="0.25">
      <c r="A18480" t="s">
        <v>55878</v>
      </c>
      <c r="B18480" t="s">
        <v>56269</v>
      </c>
      <c r="C18480" t="s">
        <v>1416</v>
      </c>
      <c r="D18480" t="s">
        <v>1417</v>
      </c>
      <c r="E18480" t="s">
        <v>1418</v>
      </c>
      <c r="F18480" t="s">
        <v>56270</v>
      </c>
      <c r="G18480" s="2" t="str">
        <f>HYPERLINK("https://probpalata.gov.ru/files/ЮЛ770100419400063.jpeg","Скачать индивидуальный QR-код магазина")</f>
        <v>Скачать индивидуальный QR-код магазина</v>
      </c>
    </row>
    <row r="18481" spans="1:7" x14ac:dyDescent="0.25">
      <c r="A18481" t="s">
        <v>55878</v>
      </c>
      <c r="B18481" t="s">
        <v>56271</v>
      </c>
      <c r="C18481" t="s">
        <v>748</v>
      </c>
      <c r="D18481" t="s">
        <v>749</v>
      </c>
      <c r="E18481" t="s">
        <v>750</v>
      </c>
      <c r="F18481" t="s">
        <v>56272</v>
      </c>
      <c r="G18481" s="2" t="str">
        <f>HYPERLINK("https://probpalata.gov.ru/files/ЮЛ770100193500301.jpeg","Скачать индивидуальный QR-код магазина")</f>
        <v>Скачать индивидуальный QR-код магазина</v>
      </c>
    </row>
    <row r="18482" spans="1:7" x14ac:dyDescent="0.25">
      <c r="A18482" t="s">
        <v>55878</v>
      </c>
      <c r="B18482" t="s">
        <v>56273</v>
      </c>
      <c r="C18482" t="s">
        <v>748</v>
      </c>
      <c r="D18482" t="s">
        <v>749</v>
      </c>
      <c r="E18482" t="s">
        <v>750</v>
      </c>
      <c r="F18482" t="s">
        <v>56274</v>
      </c>
      <c r="G18482" s="2" t="str">
        <f>HYPERLINK("https://probpalata.gov.ru/files/ЮЛ770100193500302.jpeg","Скачать индивидуальный QR-код магазина")</f>
        <v>Скачать индивидуальный QR-код магазина</v>
      </c>
    </row>
    <row r="18483" spans="1:7" x14ac:dyDescent="0.25">
      <c r="A18483" t="s">
        <v>55878</v>
      </c>
      <c r="B18483" t="s">
        <v>56275</v>
      </c>
      <c r="C18483" t="s">
        <v>748</v>
      </c>
      <c r="D18483" t="s">
        <v>749</v>
      </c>
      <c r="E18483" t="s">
        <v>750</v>
      </c>
      <c r="F18483" t="s">
        <v>56276</v>
      </c>
      <c r="G18483" s="2" t="str">
        <f>HYPERLINK("https://probpalata.gov.ru/files/ЮЛ770100193500612.jpeg","Скачать индивидуальный QR-код магазина")</f>
        <v>Скачать индивидуальный QR-код магазина</v>
      </c>
    </row>
    <row r="18484" spans="1:7" x14ac:dyDescent="0.25">
      <c r="A18484" t="s">
        <v>55878</v>
      </c>
      <c r="B18484" t="s">
        <v>56277</v>
      </c>
      <c r="C18484" t="s">
        <v>748</v>
      </c>
      <c r="D18484" t="s">
        <v>749</v>
      </c>
      <c r="E18484" t="s">
        <v>750</v>
      </c>
      <c r="F18484" t="s">
        <v>56278</v>
      </c>
      <c r="G18484" s="2" t="str">
        <f>HYPERLINK("https://probpalata.gov.ru/files/ЮЛ770100193500698.jpeg","Скачать индивидуальный QR-код магазина")</f>
        <v>Скачать индивидуальный QR-код магазина</v>
      </c>
    </row>
    <row r="18485" spans="1:7" x14ac:dyDescent="0.25">
      <c r="A18485" t="s">
        <v>55878</v>
      </c>
      <c r="B18485" t="s">
        <v>56279</v>
      </c>
      <c r="C18485" t="s">
        <v>748</v>
      </c>
      <c r="D18485" t="s">
        <v>749</v>
      </c>
      <c r="E18485" t="s">
        <v>750</v>
      </c>
      <c r="F18485" t="s">
        <v>56280</v>
      </c>
      <c r="G18485" s="2" t="str">
        <f>HYPERLINK("https://probpalata.gov.ru/files/ЮЛ770100193500788.jpeg","Скачать индивидуальный QR-код магазина")</f>
        <v>Скачать индивидуальный QR-код магазина</v>
      </c>
    </row>
    <row r="18486" spans="1:7" x14ac:dyDescent="0.25">
      <c r="A18486" t="s">
        <v>55878</v>
      </c>
      <c r="B18486" t="s">
        <v>56281</v>
      </c>
      <c r="C18486" t="s">
        <v>34068</v>
      </c>
      <c r="D18486" t="s">
        <v>34069</v>
      </c>
      <c r="E18486" t="s">
        <v>34070</v>
      </c>
      <c r="F18486" t="s">
        <v>56282</v>
      </c>
      <c r="G18486" s="2" t="str">
        <f>HYPERLINK("https://probpalata.gov.ru/files/ИП780300226000005.jpeg","Скачать индивидуальный QR-код магазина")</f>
        <v>Скачать индивидуальный QR-код магазина</v>
      </c>
    </row>
    <row r="18487" spans="1:7" x14ac:dyDescent="0.25">
      <c r="A18487" t="s">
        <v>55878</v>
      </c>
      <c r="B18487" t="s">
        <v>56283</v>
      </c>
      <c r="C18487" t="s">
        <v>798</v>
      </c>
      <c r="D18487" t="s">
        <v>799</v>
      </c>
      <c r="E18487" t="s">
        <v>800</v>
      </c>
      <c r="F18487" t="s">
        <v>56284</v>
      </c>
      <c r="G18487" s="2" t="str">
        <f>HYPERLINK("https://probpalata.gov.ru/files/ЮЛ780300308200282.jpeg","Скачать индивидуальный QR-код магазина")</f>
        <v>Скачать индивидуальный QR-код магазина</v>
      </c>
    </row>
    <row r="18488" spans="1:7" x14ac:dyDescent="0.25">
      <c r="A18488" t="s">
        <v>55878</v>
      </c>
      <c r="B18488" t="s">
        <v>56285</v>
      </c>
      <c r="C18488" t="s">
        <v>798</v>
      </c>
      <c r="D18488" t="s">
        <v>799</v>
      </c>
      <c r="E18488" t="s">
        <v>800</v>
      </c>
      <c r="F18488" t="s">
        <v>56286</v>
      </c>
      <c r="G18488" s="2" t="str">
        <f>HYPERLINK("https://probpalata.gov.ru/files/ЮЛ780300308200380.jpeg","Скачать индивидуальный QR-код магазина")</f>
        <v>Скачать индивидуальный QR-код магазина</v>
      </c>
    </row>
    <row r="18489" spans="1:7" x14ac:dyDescent="0.25">
      <c r="A18489" t="s">
        <v>55878</v>
      </c>
      <c r="B18489" t="s">
        <v>56287</v>
      </c>
      <c r="C18489" t="s">
        <v>798</v>
      </c>
      <c r="D18489" t="s">
        <v>799</v>
      </c>
      <c r="E18489" t="s">
        <v>800</v>
      </c>
      <c r="F18489" t="s">
        <v>56288</v>
      </c>
      <c r="G18489" s="2" t="str">
        <f>HYPERLINK("https://probpalata.gov.ru/files/ЮЛ780300308200478.jpeg","Скачать индивидуальный QR-код магазина")</f>
        <v>Скачать индивидуальный QR-код магазина</v>
      </c>
    </row>
    <row r="18490" spans="1:7" x14ac:dyDescent="0.25">
      <c r="A18490" t="s">
        <v>55878</v>
      </c>
      <c r="B18490" t="s">
        <v>56289</v>
      </c>
      <c r="C18490" t="s">
        <v>798</v>
      </c>
      <c r="D18490" t="s">
        <v>799</v>
      </c>
      <c r="E18490" t="s">
        <v>800</v>
      </c>
      <c r="F18490" t="s">
        <v>56290</v>
      </c>
      <c r="G18490" s="2" t="str">
        <f>HYPERLINK("https://probpalata.gov.ru/files/ЮЛ780300308200907.jpeg","Скачать индивидуальный QR-код магазина")</f>
        <v>Скачать индивидуальный QR-код магазина</v>
      </c>
    </row>
    <row r="18491" spans="1:7" x14ac:dyDescent="0.25">
      <c r="A18491" t="s">
        <v>55878</v>
      </c>
      <c r="B18491" t="s">
        <v>56291</v>
      </c>
      <c r="C18491" t="s">
        <v>798</v>
      </c>
      <c r="D18491" t="s">
        <v>799</v>
      </c>
      <c r="E18491" t="s">
        <v>800</v>
      </c>
      <c r="F18491" t="s">
        <v>56292</v>
      </c>
      <c r="G18491" s="2" t="str">
        <f>HYPERLINK("https://probpalata.gov.ru/files/ЮЛ780300308201119.jpeg","Скачать индивидуальный QR-код магазина")</f>
        <v>Скачать индивидуальный QR-код магазина</v>
      </c>
    </row>
    <row r="18492" spans="1:7" x14ac:dyDescent="0.25">
      <c r="A18492" t="s">
        <v>55878</v>
      </c>
      <c r="B18492" t="s">
        <v>56293</v>
      </c>
      <c r="C18492" t="s">
        <v>798</v>
      </c>
      <c r="D18492" t="s">
        <v>799</v>
      </c>
      <c r="E18492" t="s">
        <v>800</v>
      </c>
      <c r="F18492" t="s">
        <v>56294</v>
      </c>
      <c r="G18492" s="2" t="str">
        <f>HYPERLINK("https://probpalata.gov.ru/files/ЮЛ780300308201225.jpeg","Скачать индивидуальный QR-код магазина")</f>
        <v>Скачать индивидуальный QR-код магазина</v>
      </c>
    </row>
    <row r="18493" spans="1:7" x14ac:dyDescent="0.25">
      <c r="A18493" t="s">
        <v>55878</v>
      </c>
      <c r="B18493" t="s">
        <v>56142</v>
      </c>
      <c r="C18493" t="s">
        <v>56295</v>
      </c>
      <c r="D18493" t="s">
        <v>56296</v>
      </c>
      <c r="E18493" t="s">
        <v>56297</v>
      </c>
      <c r="F18493" t="s">
        <v>56298</v>
      </c>
      <c r="G18493" s="2" t="str">
        <f>HYPERLINK("https://probpalata.gov.ru/files/ИП180600430500000.jpeg","Скачать индивидуальный QR-код магазина")</f>
        <v>Скачать индивидуальный QR-код магазина</v>
      </c>
    </row>
    <row r="18494" spans="1:7" x14ac:dyDescent="0.25">
      <c r="A18494" t="s">
        <v>56299</v>
      </c>
      <c r="B18494" t="s">
        <v>56300</v>
      </c>
      <c r="C18494" t="s">
        <v>10991</v>
      </c>
      <c r="D18494" t="s">
        <v>10992</v>
      </c>
      <c r="E18494" t="s">
        <v>10993</v>
      </c>
      <c r="F18494" t="s">
        <v>56301</v>
      </c>
      <c r="G18494" s="2" t="str">
        <f>HYPERLINK("https://probpalata.gov.ru/files/ИП120600362800011.jpeg","Скачать индивидуальный QR-код магазина")</f>
        <v>Скачать индивидуальный QR-код магазина</v>
      </c>
    </row>
    <row r="18495" spans="1:7" x14ac:dyDescent="0.25">
      <c r="A18495" t="s">
        <v>56299</v>
      </c>
      <c r="B18495" t="s">
        <v>56302</v>
      </c>
      <c r="C18495" t="s">
        <v>5067</v>
      </c>
      <c r="D18495" t="s">
        <v>5068</v>
      </c>
      <c r="E18495" t="s">
        <v>5069</v>
      </c>
      <c r="F18495" t="s">
        <v>56303</v>
      </c>
      <c r="G18495" s="2" t="str">
        <f>HYPERLINK("https://probpalata.gov.ru/files/ИП350300596400010.jpeg","Скачать индивидуальный QR-код магазина")</f>
        <v>Скачать индивидуальный QR-код магазина</v>
      </c>
    </row>
    <row r="18496" spans="1:7" x14ac:dyDescent="0.25">
      <c r="A18496" t="s">
        <v>56299</v>
      </c>
      <c r="B18496" t="s">
        <v>56304</v>
      </c>
      <c r="C18496" t="s">
        <v>5067</v>
      </c>
      <c r="D18496" t="s">
        <v>5068</v>
      </c>
      <c r="E18496" t="s">
        <v>5069</v>
      </c>
      <c r="F18496" t="s">
        <v>56305</v>
      </c>
      <c r="G18496" s="2" t="str">
        <f>HYPERLINK("https://probpalata.gov.ru/files/ИП350300596400011.jpeg","Скачать индивидуальный QR-код магазина")</f>
        <v>Скачать индивидуальный QR-код магазина</v>
      </c>
    </row>
    <row r="18497" spans="1:7" x14ac:dyDescent="0.25">
      <c r="A18497" t="s">
        <v>56299</v>
      </c>
      <c r="B18497" t="s">
        <v>56306</v>
      </c>
      <c r="C18497" t="s">
        <v>5067</v>
      </c>
      <c r="D18497" t="s">
        <v>5068</v>
      </c>
      <c r="E18497" t="s">
        <v>5069</v>
      </c>
      <c r="F18497" t="s">
        <v>56307</v>
      </c>
      <c r="G18497" s="2" t="str">
        <f>HYPERLINK("https://probpalata.gov.ru/files/ИП350300596400012.jpeg","Скачать индивидуальный QR-код магазина")</f>
        <v>Скачать индивидуальный QR-код магазина</v>
      </c>
    </row>
    <row r="18498" spans="1:7" x14ac:dyDescent="0.25">
      <c r="A18498" t="s">
        <v>56299</v>
      </c>
      <c r="B18498" t="s">
        <v>56308</v>
      </c>
      <c r="C18498" t="s">
        <v>2185</v>
      </c>
      <c r="D18498" t="s">
        <v>2186</v>
      </c>
      <c r="E18498" t="s">
        <v>2187</v>
      </c>
      <c r="F18498" t="s">
        <v>56309</v>
      </c>
      <c r="G18498" s="2" t="str">
        <f>HYPERLINK("https://probpalata.gov.ru/files/ЮЛ480100215000011.jpeg","Скачать индивидуальный QR-код магазина")</f>
        <v>Скачать индивидуальный QR-код магазина</v>
      </c>
    </row>
    <row r="18499" spans="1:7" x14ac:dyDescent="0.25">
      <c r="A18499" t="s">
        <v>56299</v>
      </c>
      <c r="B18499" t="s">
        <v>56310</v>
      </c>
      <c r="C18499" t="s">
        <v>2185</v>
      </c>
      <c r="D18499" t="s">
        <v>2186</v>
      </c>
      <c r="E18499" t="s">
        <v>2187</v>
      </c>
      <c r="F18499" t="s">
        <v>56311</v>
      </c>
      <c r="G18499" s="2" t="str">
        <f>HYPERLINK("https://probpalata.gov.ru/files/ЮЛ480100215000029.jpeg","Скачать индивидуальный QR-код магазина")</f>
        <v>Скачать индивидуальный QR-код магазина</v>
      </c>
    </row>
    <row r="18500" spans="1:7" x14ac:dyDescent="0.25">
      <c r="A18500" t="s">
        <v>56299</v>
      </c>
      <c r="B18500" t="s">
        <v>56312</v>
      </c>
      <c r="C18500" t="s">
        <v>2185</v>
      </c>
      <c r="D18500" t="s">
        <v>2186</v>
      </c>
      <c r="E18500" t="s">
        <v>2187</v>
      </c>
      <c r="F18500" t="s">
        <v>56313</v>
      </c>
      <c r="G18500" s="2" t="str">
        <f>HYPERLINK("https://probpalata.gov.ru/files/ЮЛ480100215000046.jpeg","Скачать индивидуальный QR-код магазина")</f>
        <v>Скачать индивидуальный QR-код магазина</v>
      </c>
    </row>
    <row r="18501" spans="1:7" x14ac:dyDescent="0.25">
      <c r="A18501" t="s">
        <v>56299</v>
      </c>
      <c r="B18501" t="s">
        <v>56314</v>
      </c>
      <c r="C18501" t="s">
        <v>671</v>
      </c>
      <c r="D18501" t="s">
        <v>672</v>
      </c>
      <c r="E18501" t="s">
        <v>673</v>
      </c>
      <c r="F18501" t="s">
        <v>56315</v>
      </c>
      <c r="G18501" s="2" t="str">
        <f>HYPERLINK("https://probpalata.gov.ru/files/ИП500100445500086.jpeg","Скачать индивидуальный QR-код магазина")</f>
        <v>Скачать индивидуальный QR-код магазина</v>
      </c>
    </row>
    <row r="18502" spans="1:7" x14ac:dyDescent="0.25">
      <c r="A18502" t="s">
        <v>56299</v>
      </c>
      <c r="B18502" t="s">
        <v>56316</v>
      </c>
      <c r="C18502" t="s">
        <v>10732</v>
      </c>
      <c r="D18502" t="s">
        <v>10733</v>
      </c>
      <c r="E18502" t="s">
        <v>10734</v>
      </c>
      <c r="F18502" t="s">
        <v>56317</v>
      </c>
      <c r="G18502" s="2" t="str">
        <f>HYPERLINK("https://probpalata.gov.ru/files/ИП440200426400028.jpeg","Скачать индивидуальный QR-код магазина")</f>
        <v>Скачать индивидуальный QR-код магазина</v>
      </c>
    </row>
    <row r="18503" spans="1:7" x14ac:dyDescent="0.25">
      <c r="A18503" t="s">
        <v>56299</v>
      </c>
      <c r="B18503" t="s">
        <v>56318</v>
      </c>
      <c r="C18503" t="s">
        <v>1735</v>
      </c>
      <c r="D18503" t="s">
        <v>1736</v>
      </c>
      <c r="E18503" t="s">
        <v>1737</v>
      </c>
      <c r="F18503" t="s">
        <v>56319</v>
      </c>
      <c r="G18503" s="2" t="str">
        <f>HYPERLINK("https://probpalata.gov.ru/files/ЮЛ520603376600125.jpeg","Скачать индивидуальный QR-код магазина")</f>
        <v>Скачать индивидуальный QR-код магазина</v>
      </c>
    </row>
    <row r="18504" spans="1:7" x14ac:dyDescent="0.25">
      <c r="A18504" t="s">
        <v>56299</v>
      </c>
      <c r="B18504" t="s">
        <v>56320</v>
      </c>
      <c r="C18504" t="s">
        <v>1735</v>
      </c>
      <c r="D18504" t="s">
        <v>1736</v>
      </c>
      <c r="E18504" t="s">
        <v>1737</v>
      </c>
      <c r="F18504" t="s">
        <v>56321</v>
      </c>
      <c r="G18504" s="2" t="str">
        <f>HYPERLINK("https://probpalata.gov.ru/files/ЮЛ520603376600163.jpeg","Скачать индивидуальный QR-код магазина")</f>
        <v>Скачать индивидуальный QR-код магазина</v>
      </c>
    </row>
    <row r="18505" spans="1:7" x14ac:dyDescent="0.25">
      <c r="A18505" t="s">
        <v>56299</v>
      </c>
      <c r="B18505" t="s">
        <v>56322</v>
      </c>
      <c r="C18505" t="s">
        <v>30864</v>
      </c>
      <c r="D18505" t="s">
        <v>30865</v>
      </c>
      <c r="E18505" t="s">
        <v>30866</v>
      </c>
      <c r="F18505" t="s">
        <v>56323</v>
      </c>
      <c r="G18505" s="2" t="str">
        <f>HYPERLINK("https://probpalata.gov.ru/files/ИП520600697000003.jpeg","Скачать индивидуальный QR-код магазина")</f>
        <v>Скачать индивидуальный QR-код магазина</v>
      </c>
    </row>
    <row r="18506" spans="1:7" x14ac:dyDescent="0.25">
      <c r="A18506" t="s">
        <v>56299</v>
      </c>
      <c r="B18506" t="s">
        <v>56324</v>
      </c>
      <c r="C18506" t="s">
        <v>30864</v>
      </c>
      <c r="D18506" t="s">
        <v>30865</v>
      </c>
      <c r="E18506" t="s">
        <v>30866</v>
      </c>
      <c r="F18506" t="s">
        <v>56325</v>
      </c>
      <c r="G18506" s="2" t="str">
        <f>HYPERLINK("https://probpalata.gov.ru/files/ИП520600697000008.jpeg","Скачать индивидуальный QR-код магазина")</f>
        <v>Скачать индивидуальный QR-код магазина</v>
      </c>
    </row>
    <row r="18507" spans="1:7" x14ac:dyDescent="0.25">
      <c r="A18507" t="s">
        <v>56299</v>
      </c>
      <c r="B18507" t="s">
        <v>56326</v>
      </c>
      <c r="C18507" t="s">
        <v>30864</v>
      </c>
      <c r="D18507" t="s">
        <v>30865</v>
      </c>
      <c r="E18507" t="s">
        <v>30866</v>
      </c>
      <c r="F18507" t="s">
        <v>56327</v>
      </c>
      <c r="G18507" s="2" t="str">
        <f>HYPERLINK("https://probpalata.gov.ru/files/ИП520600697000011.jpeg","Скачать индивидуальный QR-код магазина")</f>
        <v>Скачать индивидуальный QR-код магазина</v>
      </c>
    </row>
    <row r="18508" spans="1:7" x14ac:dyDescent="0.25">
      <c r="A18508" t="s">
        <v>56299</v>
      </c>
      <c r="B18508" t="s">
        <v>56328</v>
      </c>
      <c r="C18508" t="s">
        <v>30864</v>
      </c>
      <c r="D18508" t="s">
        <v>30865</v>
      </c>
      <c r="E18508" t="s">
        <v>30866</v>
      </c>
      <c r="F18508" t="s">
        <v>56329</v>
      </c>
      <c r="G18508" s="2" t="str">
        <f>HYPERLINK("https://probpalata.gov.ru/files/ИП520600697000021.jpeg","Скачать индивидуальный QR-код магазина")</f>
        <v>Скачать индивидуальный QR-код магазина</v>
      </c>
    </row>
    <row r="18509" spans="1:7" x14ac:dyDescent="0.25">
      <c r="A18509" t="s">
        <v>56299</v>
      </c>
      <c r="B18509" t="s">
        <v>56330</v>
      </c>
      <c r="C18509" t="s">
        <v>3116</v>
      </c>
      <c r="D18509" t="s">
        <v>3117</v>
      </c>
      <c r="E18509" t="s">
        <v>3118</v>
      </c>
      <c r="F18509" t="s">
        <v>56331</v>
      </c>
      <c r="G18509" s="2" t="str">
        <f>HYPERLINK("https://probpalata.gov.ru/files/ИП520601790200004.jpeg","Скачать индивидуальный QR-код магазина")</f>
        <v>Скачать индивидуальный QR-код магазина</v>
      </c>
    </row>
    <row r="18510" spans="1:7" x14ac:dyDescent="0.25">
      <c r="A18510" t="s">
        <v>56299</v>
      </c>
      <c r="B18510" t="s">
        <v>56332</v>
      </c>
      <c r="C18510" t="s">
        <v>34317</v>
      </c>
      <c r="D18510" t="s">
        <v>34318</v>
      </c>
      <c r="E18510" t="s">
        <v>34319</v>
      </c>
      <c r="F18510" t="s">
        <v>56333</v>
      </c>
      <c r="G18510" s="2" t="str">
        <f>HYPERLINK("https://probpalata.gov.ru/files/ИП580603421800000.jpeg","Скачать индивидуальный QR-код магазина")</f>
        <v>Скачать индивидуальный QR-код магазина</v>
      </c>
    </row>
    <row r="18511" spans="1:7" x14ac:dyDescent="0.25">
      <c r="A18511" t="s">
        <v>56299</v>
      </c>
      <c r="B18511" t="s">
        <v>56334</v>
      </c>
      <c r="C18511" t="s">
        <v>33949</v>
      </c>
      <c r="D18511" t="s">
        <v>33950</v>
      </c>
      <c r="E18511" t="s">
        <v>33951</v>
      </c>
      <c r="F18511" t="s">
        <v>56335</v>
      </c>
      <c r="G18511" s="2" t="str">
        <f>HYPERLINK("https://probpalata.gov.ru/files/ИП630603381400019.jpeg","Скачать индивидуальный QR-код магазина")</f>
        <v>Скачать индивидуальный QR-код магазина</v>
      </c>
    </row>
    <row r="18512" spans="1:7" x14ac:dyDescent="0.25">
      <c r="A18512" t="s">
        <v>56299</v>
      </c>
      <c r="B18512" t="s">
        <v>56336</v>
      </c>
      <c r="C18512" t="s">
        <v>33949</v>
      </c>
      <c r="D18512" t="s">
        <v>33950</v>
      </c>
      <c r="E18512" t="s">
        <v>33951</v>
      </c>
      <c r="F18512" t="s">
        <v>56337</v>
      </c>
      <c r="G18512" s="2" t="str">
        <f>HYPERLINK("https://probpalata.gov.ru/files/ИП630603381400020.jpeg","Скачать индивидуальный QR-код магазина")</f>
        <v>Скачать индивидуальный QR-код магазина</v>
      </c>
    </row>
    <row r="18513" spans="1:7" x14ac:dyDescent="0.25">
      <c r="A18513" t="s">
        <v>56299</v>
      </c>
      <c r="B18513" t="s">
        <v>56338</v>
      </c>
      <c r="C18513" t="s">
        <v>33949</v>
      </c>
      <c r="D18513" t="s">
        <v>33950</v>
      </c>
      <c r="E18513" t="s">
        <v>33951</v>
      </c>
      <c r="F18513" t="s">
        <v>56339</v>
      </c>
      <c r="G18513" s="2" t="str">
        <f>HYPERLINK("https://probpalata.gov.ru/files/ИП630603381400022.jpeg","Скачать индивидуальный QR-код магазина")</f>
        <v>Скачать индивидуальный QR-код магазина</v>
      </c>
    </row>
    <row r="18514" spans="1:7" x14ac:dyDescent="0.25">
      <c r="A18514" t="s">
        <v>56299</v>
      </c>
      <c r="B18514" t="s">
        <v>56340</v>
      </c>
      <c r="C18514" t="s">
        <v>2197</v>
      </c>
      <c r="D18514" t="s">
        <v>2198</v>
      </c>
      <c r="E18514" t="s">
        <v>2199</v>
      </c>
      <c r="F18514" t="s">
        <v>56341</v>
      </c>
      <c r="G18514" s="2" t="str">
        <f>HYPERLINK("https://probpalata.gov.ru/files/ИП630601425400065.jpeg","Скачать индивидуальный QR-код магазина")</f>
        <v>Скачать индивидуальный QR-код магазина</v>
      </c>
    </row>
    <row r="18515" spans="1:7" x14ac:dyDescent="0.25">
      <c r="A18515" t="s">
        <v>56299</v>
      </c>
      <c r="B18515" t="s">
        <v>56342</v>
      </c>
      <c r="C18515" t="s">
        <v>2197</v>
      </c>
      <c r="D18515" t="s">
        <v>2198</v>
      </c>
      <c r="E18515" t="s">
        <v>2199</v>
      </c>
      <c r="F18515" t="s">
        <v>56343</v>
      </c>
      <c r="G18515" s="2" t="str">
        <f>HYPERLINK("https://probpalata.gov.ru/files/ИП630601425400069.jpeg","Скачать индивидуальный QR-код магазина")</f>
        <v>Скачать индивидуальный QR-код магазина</v>
      </c>
    </row>
    <row r="18516" spans="1:7" x14ac:dyDescent="0.25">
      <c r="A18516" t="s">
        <v>56299</v>
      </c>
      <c r="B18516" t="s">
        <v>56344</v>
      </c>
      <c r="C18516" t="s">
        <v>56345</v>
      </c>
      <c r="D18516" t="s">
        <v>56346</v>
      </c>
      <c r="E18516" t="s">
        <v>56347</v>
      </c>
      <c r="F18516" t="s">
        <v>56348</v>
      </c>
      <c r="G18516" s="2" t="str">
        <f>HYPERLINK("https://probpalata.gov.ru/files/ИП730601116900000.jpeg","Скачать индивидуальный QR-код магазина")</f>
        <v>Скачать индивидуальный QR-код магазина</v>
      </c>
    </row>
    <row r="18517" spans="1:7" x14ac:dyDescent="0.25">
      <c r="A18517" t="s">
        <v>56299</v>
      </c>
      <c r="B18517" t="s">
        <v>56302</v>
      </c>
      <c r="C18517" t="s">
        <v>33965</v>
      </c>
      <c r="D18517" t="s">
        <v>33966</v>
      </c>
      <c r="E18517" t="s">
        <v>33967</v>
      </c>
      <c r="F18517" t="s">
        <v>56349</v>
      </c>
      <c r="G18517" s="2" t="str">
        <f>HYPERLINK("https://probpalata.gov.ru/files/ИП630600550300001.jpeg","Скачать индивидуальный QR-код магазина")</f>
        <v>Скачать индивидуальный QR-код магазина</v>
      </c>
    </row>
    <row r="18518" spans="1:7" x14ac:dyDescent="0.25">
      <c r="A18518" t="s">
        <v>56299</v>
      </c>
      <c r="B18518" t="s">
        <v>56342</v>
      </c>
      <c r="C18518" t="s">
        <v>33965</v>
      </c>
      <c r="D18518" t="s">
        <v>33966</v>
      </c>
      <c r="E18518" t="s">
        <v>33967</v>
      </c>
      <c r="F18518" t="s">
        <v>56350</v>
      </c>
      <c r="G18518" s="2" t="str">
        <f>HYPERLINK("https://probpalata.gov.ru/files/ИП630600550300006.jpeg","Скачать индивидуальный QR-код магазина")</f>
        <v>Скачать индивидуальный QR-код магазина</v>
      </c>
    </row>
    <row r="18519" spans="1:7" x14ac:dyDescent="0.25">
      <c r="A18519" t="s">
        <v>56299</v>
      </c>
      <c r="B18519" t="s">
        <v>56314</v>
      </c>
      <c r="C18519" t="s">
        <v>33965</v>
      </c>
      <c r="D18519" t="s">
        <v>33966</v>
      </c>
      <c r="E18519" t="s">
        <v>33967</v>
      </c>
      <c r="F18519" t="s">
        <v>56351</v>
      </c>
      <c r="G18519" s="2" t="str">
        <f>HYPERLINK("https://probpalata.gov.ru/files/ИП630600550300007.jpeg","Скачать индивидуальный QR-код магазина")</f>
        <v>Скачать индивидуальный QR-код магазина</v>
      </c>
    </row>
    <row r="18520" spans="1:7" x14ac:dyDescent="0.25">
      <c r="A18520" t="s">
        <v>56299</v>
      </c>
      <c r="B18520" t="s">
        <v>56352</v>
      </c>
      <c r="C18520" t="s">
        <v>3828</v>
      </c>
      <c r="D18520" t="s">
        <v>3829</v>
      </c>
      <c r="E18520" t="s">
        <v>3830</v>
      </c>
      <c r="F18520" t="s">
        <v>56353</v>
      </c>
      <c r="G18520" s="2" t="str">
        <f>HYPERLINK("https://probpalata.gov.ru/files/ЮЛ630603373600022.jpeg","Скачать индивидуальный QR-код магазина")</f>
        <v>Скачать индивидуальный QR-код магазина</v>
      </c>
    </row>
    <row r="18521" spans="1:7" x14ac:dyDescent="0.25">
      <c r="A18521" t="s">
        <v>56299</v>
      </c>
      <c r="B18521" t="s">
        <v>56354</v>
      </c>
      <c r="C18521" t="s">
        <v>3828</v>
      </c>
      <c r="D18521" t="s">
        <v>3829</v>
      </c>
      <c r="E18521" t="s">
        <v>3830</v>
      </c>
      <c r="F18521" t="s">
        <v>56355</v>
      </c>
      <c r="G18521" s="2" t="str">
        <f>HYPERLINK("https://probpalata.gov.ru/files/ЮЛ630603373600026.jpeg","Скачать индивидуальный QR-код магазина")</f>
        <v>Скачать индивидуальный QR-код магазина</v>
      </c>
    </row>
    <row r="18522" spans="1:7" x14ac:dyDescent="0.25">
      <c r="A18522" t="s">
        <v>56299</v>
      </c>
      <c r="B18522" t="s">
        <v>56356</v>
      </c>
      <c r="C18522" t="s">
        <v>2204</v>
      </c>
      <c r="D18522" t="s">
        <v>2205</v>
      </c>
      <c r="E18522" t="s">
        <v>2206</v>
      </c>
      <c r="F18522" t="s">
        <v>56357</v>
      </c>
      <c r="G18522" s="2" t="str">
        <f>HYPERLINK("https://probpalata.gov.ru/files/ЮЛ630603037200031.jpeg","Скачать индивидуальный QR-код магазина")</f>
        <v>Скачать индивидуальный QR-код магазина</v>
      </c>
    </row>
    <row r="18523" spans="1:7" x14ac:dyDescent="0.25">
      <c r="A18523" t="s">
        <v>56299</v>
      </c>
      <c r="B18523" t="s">
        <v>56358</v>
      </c>
      <c r="C18523" t="s">
        <v>2204</v>
      </c>
      <c r="D18523" t="s">
        <v>2205</v>
      </c>
      <c r="E18523" t="s">
        <v>2206</v>
      </c>
      <c r="F18523" t="s">
        <v>56359</v>
      </c>
      <c r="G18523" s="2" t="str">
        <f>HYPERLINK("https://probpalata.gov.ru/files/ЮЛ630603037200038.jpeg","Скачать индивидуальный QR-код магазина")</f>
        <v>Скачать индивидуальный QR-код магазина</v>
      </c>
    </row>
    <row r="18524" spans="1:7" x14ac:dyDescent="0.25">
      <c r="A18524" t="s">
        <v>56299</v>
      </c>
      <c r="B18524" t="s">
        <v>56360</v>
      </c>
      <c r="C18524" t="s">
        <v>2204</v>
      </c>
      <c r="D18524" t="s">
        <v>2205</v>
      </c>
      <c r="E18524" t="s">
        <v>2206</v>
      </c>
      <c r="F18524" t="s">
        <v>56361</v>
      </c>
      <c r="G18524" s="2" t="str">
        <f>HYPERLINK("https://probpalata.gov.ru/files/ЮЛ630603037200041.jpeg","Скачать индивидуальный QR-код магазина")</f>
        <v>Скачать индивидуальный QR-код магазина</v>
      </c>
    </row>
    <row r="18525" spans="1:7" x14ac:dyDescent="0.25">
      <c r="A18525" t="s">
        <v>56299</v>
      </c>
      <c r="B18525" t="s">
        <v>56362</v>
      </c>
      <c r="C18525" t="s">
        <v>2204</v>
      </c>
      <c r="D18525" t="s">
        <v>2205</v>
      </c>
      <c r="E18525" t="s">
        <v>2206</v>
      </c>
      <c r="F18525" t="s">
        <v>56363</v>
      </c>
      <c r="G18525" s="2" t="str">
        <f>HYPERLINK("https://probpalata.gov.ru/files/ЮЛ630603037200049.jpeg","Скачать индивидуальный QR-код магазина")</f>
        <v>Скачать индивидуальный QR-код магазина</v>
      </c>
    </row>
    <row r="18526" spans="1:7" x14ac:dyDescent="0.25">
      <c r="A18526" t="s">
        <v>56299</v>
      </c>
      <c r="B18526" t="s">
        <v>56364</v>
      </c>
      <c r="C18526" t="s">
        <v>2204</v>
      </c>
      <c r="D18526" t="s">
        <v>2205</v>
      </c>
      <c r="E18526" t="s">
        <v>2206</v>
      </c>
      <c r="F18526" t="s">
        <v>56365</v>
      </c>
      <c r="G18526" s="2" t="str">
        <f>HYPERLINK("https://probpalata.gov.ru/files/ЮЛ630603037200054.jpeg","Скачать индивидуальный QR-код магазина")</f>
        <v>Скачать индивидуальный QR-код магазина</v>
      </c>
    </row>
    <row r="18527" spans="1:7" x14ac:dyDescent="0.25">
      <c r="A18527" t="s">
        <v>56299</v>
      </c>
      <c r="B18527" t="s">
        <v>56366</v>
      </c>
      <c r="C18527" t="s">
        <v>2204</v>
      </c>
      <c r="D18527" t="s">
        <v>2205</v>
      </c>
      <c r="E18527" t="s">
        <v>2206</v>
      </c>
      <c r="F18527" t="s">
        <v>56367</v>
      </c>
      <c r="G18527" s="2" t="str">
        <f>HYPERLINK("https://probpalata.gov.ru/files/ЮЛ630603037200059.jpeg","Скачать индивидуальный QR-код магазина")</f>
        <v>Скачать индивидуальный QR-код магазина</v>
      </c>
    </row>
    <row r="18528" spans="1:7" x14ac:dyDescent="0.25">
      <c r="A18528" t="s">
        <v>56299</v>
      </c>
      <c r="B18528" t="s">
        <v>56368</v>
      </c>
      <c r="C18528" t="s">
        <v>56369</v>
      </c>
      <c r="D18528" t="s">
        <v>56370</v>
      </c>
      <c r="E18528" t="s">
        <v>56371</v>
      </c>
      <c r="F18528" t="s">
        <v>56372</v>
      </c>
      <c r="G18528" s="2" t="str">
        <f>HYPERLINK("https://probpalata.gov.ru/files/ЮЛ730603032700000.jpeg","Скачать индивидуальный QR-код магазина")</f>
        <v>Скачать индивидуальный QR-код магазина</v>
      </c>
    </row>
    <row r="18529" spans="1:7" x14ac:dyDescent="0.25">
      <c r="A18529" t="s">
        <v>56299</v>
      </c>
      <c r="B18529" t="s">
        <v>56373</v>
      </c>
      <c r="C18529" t="s">
        <v>56374</v>
      </c>
      <c r="D18529" t="s">
        <v>56375</v>
      </c>
      <c r="E18529" t="s">
        <v>56376</v>
      </c>
      <c r="F18529" t="s">
        <v>56377</v>
      </c>
      <c r="G18529" s="2" t="str">
        <f>HYPERLINK("https://probpalata.gov.ru/files/ЮЛ730603516500000.jpeg","Скачать индивидуальный QR-код магазина")</f>
        <v>Скачать индивидуальный QR-код магазина</v>
      </c>
    </row>
    <row r="18530" spans="1:7" x14ac:dyDescent="0.25">
      <c r="A18530" t="s">
        <v>56299</v>
      </c>
      <c r="B18530" t="s">
        <v>56378</v>
      </c>
      <c r="C18530" t="s">
        <v>56379</v>
      </c>
      <c r="D18530" t="s">
        <v>56380</v>
      </c>
      <c r="E18530" t="s">
        <v>56381</v>
      </c>
      <c r="F18530" t="s">
        <v>56382</v>
      </c>
      <c r="G18530" s="2" t="str">
        <f>HYPERLINK("https://probpalata.gov.ru/files/ИП730603235400000.jpeg","Скачать индивидуальный QR-код магазина")</f>
        <v>Скачать индивидуальный QR-код магазина</v>
      </c>
    </row>
    <row r="18531" spans="1:7" x14ac:dyDescent="0.25">
      <c r="A18531" t="s">
        <v>56299</v>
      </c>
      <c r="B18531" t="s">
        <v>56383</v>
      </c>
      <c r="C18531" t="s">
        <v>56384</v>
      </c>
      <c r="D18531" t="s">
        <v>56385</v>
      </c>
      <c r="E18531" t="s">
        <v>56386</v>
      </c>
      <c r="F18531" t="s">
        <v>56387</v>
      </c>
      <c r="G18531" s="2" t="str">
        <f>HYPERLINK("https://probpalata.gov.ru/files/ИП730600113800000.jpeg","Скачать индивидуальный QR-код магазина")</f>
        <v>Скачать индивидуальный QR-код магазина</v>
      </c>
    </row>
    <row r="18532" spans="1:7" x14ac:dyDescent="0.25">
      <c r="A18532" t="s">
        <v>56299</v>
      </c>
      <c r="B18532" t="s">
        <v>56388</v>
      </c>
      <c r="C18532" t="s">
        <v>56384</v>
      </c>
      <c r="D18532" t="s">
        <v>56385</v>
      </c>
      <c r="E18532" t="s">
        <v>56386</v>
      </c>
      <c r="F18532" t="s">
        <v>56389</v>
      </c>
      <c r="G18532" s="2" t="str">
        <f>HYPERLINK("https://probpalata.gov.ru/files/ИП730600113800002.jpeg","Скачать индивидуальный QR-код магазина")</f>
        <v>Скачать индивидуальный QR-код магазина</v>
      </c>
    </row>
    <row r="18533" spans="1:7" x14ac:dyDescent="0.25">
      <c r="A18533" t="s">
        <v>56299</v>
      </c>
      <c r="B18533" t="s">
        <v>56390</v>
      </c>
      <c r="C18533" t="s">
        <v>56391</v>
      </c>
      <c r="D18533" t="s">
        <v>56392</v>
      </c>
      <c r="E18533" t="s">
        <v>56393</v>
      </c>
      <c r="F18533" t="s">
        <v>56394</v>
      </c>
      <c r="G18533" s="2" t="str">
        <f>HYPERLINK("https://probpalata.gov.ru/files/ИП730603235100000.jpeg","Скачать индивидуальный QR-код магазина")</f>
        <v>Скачать индивидуальный QR-код магазина</v>
      </c>
    </row>
    <row r="18534" spans="1:7" x14ac:dyDescent="0.25">
      <c r="A18534" t="s">
        <v>56299</v>
      </c>
      <c r="B18534" t="s">
        <v>56395</v>
      </c>
      <c r="C18534" t="s">
        <v>56396</v>
      </c>
      <c r="D18534" t="s">
        <v>56397</v>
      </c>
      <c r="E18534" t="s">
        <v>56398</v>
      </c>
      <c r="F18534" t="s">
        <v>56399</v>
      </c>
      <c r="G18534" s="2" t="str">
        <f>HYPERLINK("https://probpalata.gov.ru/files/ИП730601472700000.jpeg","Скачать индивидуальный QR-код магазина")</f>
        <v>Скачать индивидуальный QR-код магазина</v>
      </c>
    </row>
    <row r="18535" spans="1:7" x14ac:dyDescent="0.25">
      <c r="A18535" t="s">
        <v>56299</v>
      </c>
      <c r="B18535" t="s">
        <v>56400</v>
      </c>
      <c r="C18535" t="s">
        <v>56401</v>
      </c>
      <c r="D18535" t="s">
        <v>56402</v>
      </c>
      <c r="E18535" t="s">
        <v>56403</v>
      </c>
      <c r="F18535" t="s">
        <v>56404</v>
      </c>
      <c r="G18535" s="2" t="str">
        <f>HYPERLINK("https://probpalata.gov.ru/files/ИП730600888200000.jpeg","Скачать индивидуальный QR-код магазина")</f>
        <v>Скачать индивидуальный QR-код магазина</v>
      </c>
    </row>
    <row r="18536" spans="1:7" x14ac:dyDescent="0.25">
      <c r="A18536" t="s">
        <v>56299</v>
      </c>
      <c r="B18536" t="s">
        <v>56405</v>
      </c>
      <c r="C18536" t="s">
        <v>56406</v>
      </c>
      <c r="D18536" t="s">
        <v>56407</v>
      </c>
      <c r="E18536" t="s">
        <v>56408</v>
      </c>
      <c r="F18536" t="s">
        <v>56409</v>
      </c>
      <c r="G18536" s="2" t="str">
        <f>HYPERLINK("https://probpalata.gov.ru/files/ИП730603507100000.jpeg","Скачать индивидуальный QR-код магазина")</f>
        <v>Скачать индивидуальный QR-код магазина</v>
      </c>
    </row>
    <row r="18537" spans="1:7" x14ac:dyDescent="0.25">
      <c r="A18537" t="s">
        <v>56299</v>
      </c>
      <c r="B18537" t="s">
        <v>56410</v>
      </c>
      <c r="C18537" t="s">
        <v>56411</v>
      </c>
      <c r="D18537" t="s">
        <v>56412</v>
      </c>
      <c r="E18537" t="s">
        <v>56413</v>
      </c>
      <c r="F18537" t="s">
        <v>56414</v>
      </c>
      <c r="G18537" s="2" t="str">
        <f>HYPERLINK("https://probpalata.gov.ru/files/ИП730600056600000.jpeg","Скачать индивидуальный QR-код магазина")</f>
        <v>Скачать индивидуальный QR-код магазина</v>
      </c>
    </row>
    <row r="18538" spans="1:7" x14ac:dyDescent="0.25">
      <c r="A18538" t="s">
        <v>56299</v>
      </c>
      <c r="B18538" t="s">
        <v>56415</v>
      </c>
      <c r="C18538" t="s">
        <v>56416</v>
      </c>
      <c r="D18538" t="s">
        <v>56417</v>
      </c>
      <c r="E18538" t="s">
        <v>56418</v>
      </c>
      <c r="F18538" t="s">
        <v>56419</v>
      </c>
      <c r="G18538" s="2" t="str">
        <f>HYPERLINK("https://probpalata.gov.ru/files/ИП730600578900000.jpeg","Скачать индивидуальный QR-код магазина")</f>
        <v>Скачать индивидуальный QR-код магазина</v>
      </c>
    </row>
    <row r="18539" spans="1:7" x14ac:dyDescent="0.25">
      <c r="A18539" t="s">
        <v>56299</v>
      </c>
      <c r="B18539" t="s">
        <v>56420</v>
      </c>
      <c r="C18539" t="s">
        <v>56421</v>
      </c>
      <c r="D18539" t="s">
        <v>56422</v>
      </c>
      <c r="E18539" t="s">
        <v>56423</v>
      </c>
      <c r="F18539" t="s">
        <v>56424</v>
      </c>
      <c r="G18539" s="2" t="str">
        <f>HYPERLINK("https://probpalata.gov.ru/files/ИП730601140500000.jpeg","Скачать индивидуальный QR-код магазина")</f>
        <v>Скачать индивидуальный QR-код магазина</v>
      </c>
    </row>
    <row r="18540" spans="1:7" x14ac:dyDescent="0.25">
      <c r="A18540" t="s">
        <v>56299</v>
      </c>
      <c r="B18540" t="s">
        <v>56425</v>
      </c>
      <c r="C18540" t="s">
        <v>56421</v>
      </c>
      <c r="D18540" t="s">
        <v>56422</v>
      </c>
      <c r="E18540" t="s">
        <v>56423</v>
      </c>
      <c r="F18540" t="s">
        <v>56426</v>
      </c>
      <c r="G18540" s="2" t="str">
        <f>HYPERLINK("https://probpalata.gov.ru/files/ИП730601140500001.jpeg","Скачать индивидуальный QR-код магазина")</f>
        <v>Скачать индивидуальный QR-код магазина</v>
      </c>
    </row>
    <row r="18541" spans="1:7" x14ac:dyDescent="0.25">
      <c r="A18541" t="s">
        <v>56299</v>
      </c>
      <c r="B18541" t="s">
        <v>56427</v>
      </c>
      <c r="C18541" t="s">
        <v>42507</v>
      </c>
      <c r="D18541" t="s">
        <v>42508</v>
      </c>
      <c r="E18541" t="s">
        <v>42509</v>
      </c>
      <c r="F18541" t="s">
        <v>56428</v>
      </c>
      <c r="G18541" s="2" t="str">
        <f>HYPERLINK("https://probpalata.gov.ru/files/ИП730600488200000.jpeg","Скачать индивидуальный QR-код магазина")</f>
        <v>Скачать индивидуальный QR-код магазина</v>
      </c>
    </row>
    <row r="18542" spans="1:7" x14ac:dyDescent="0.25">
      <c r="A18542" t="s">
        <v>56299</v>
      </c>
      <c r="B18542" t="s">
        <v>56429</v>
      </c>
      <c r="C18542" t="s">
        <v>56430</v>
      </c>
      <c r="D18542" t="s">
        <v>56431</v>
      </c>
      <c r="E18542" t="s">
        <v>56432</v>
      </c>
      <c r="F18542" t="s">
        <v>56433</v>
      </c>
      <c r="G18542" s="2" t="str">
        <f>HYPERLINK("https://probpalata.gov.ru/files/ИП730600175500000.jpeg","Скачать индивидуальный QR-код магазина")</f>
        <v>Скачать индивидуальный QR-код магазина</v>
      </c>
    </row>
    <row r="18543" spans="1:7" x14ac:dyDescent="0.25">
      <c r="A18543" t="s">
        <v>56299</v>
      </c>
      <c r="B18543" t="s">
        <v>56434</v>
      </c>
      <c r="C18543" t="s">
        <v>56430</v>
      </c>
      <c r="D18543" t="s">
        <v>56431</v>
      </c>
      <c r="E18543" t="s">
        <v>56432</v>
      </c>
      <c r="F18543" t="s">
        <v>56435</v>
      </c>
      <c r="G18543" s="2" t="str">
        <f>HYPERLINK("https://probpalata.gov.ru/files/ИП730600175500001.jpeg","Скачать индивидуальный QR-код магазина")</f>
        <v>Скачать индивидуальный QR-код магазина</v>
      </c>
    </row>
    <row r="18544" spans="1:7" x14ac:dyDescent="0.25">
      <c r="A18544" t="s">
        <v>56299</v>
      </c>
      <c r="B18544" t="s">
        <v>56436</v>
      </c>
      <c r="C18544" t="s">
        <v>56430</v>
      </c>
      <c r="D18544" t="s">
        <v>56431</v>
      </c>
      <c r="E18544" t="s">
        <v>56432</v>
      </c>
      <c r="F18544" t="s">
        <v>56437</v>
      </c>
      <c r="G18544" s="2" t="str">
        <f>HYPERLINK("https://probpalata.gov.ru/files/ИП730600175500005.jpeg","Скачать индивидуальный QR-код магазина")</f>
        <v>Скачать индивидуальный QR-код магазина</v>
      </c>
    </row>
    <row r="18545" spans="1:7" x14ac:dyDescent="0.25">
      <c r="A18545" t="s">
        <v>56299</v>
      </c>
      <c r="B18545" t="s">
        <v>56438</v>
      </c>
      <c r="C18545" t="s">
        <v>56430</v>
      </c>
      <c r="D18545" t="s">
        <v>56431</v>
      </c>
      <c r="E18545" t="s">
        <v>56432</v>
      </c>
      <c r="F18545" t="s">
        <v>56439</v>
      </c>
      <c r="G18545" s="2" t="str">
        <f>HYPERLINK("https://probpalata.gov.ru/files/ИП730600175500007.jpeg","Скачать индивидуальный QR-код магазина")</f>
        <v>Скачать индивидуальный QR-код магазина</v>
      </c>
    </row>
    <row r="18546" spans="1:7" x14ac:dyDescent="0.25">
      <c r="A18546" t="s">
        <v>56299</v>
      </c>
      <c r="B18546" t="s">
        <v>56440</v>
      </c>
      <c r="C18546" t="s">
        <v>56441</v>
      </c>
      <c r="D18546" t="s">
        <v>56442</v>
      </c>
      <c r="E18546" t="s">
        <v>56443</v>
      </c>
      <c r="F18546" t="s">
        <v>56444</v>
      </c>
      <c r="G18546" s="2" t="str">
        <f>HYPERLINK("https://probpalata.gov.ru/files/ЮЛ730600323200000.jpeg","Скачать индивидуальный QR-код магазина")</f>
        <v>Скачать индивидуальный QR-код магазина</v>
      </c>
    </row>
    <row r="18547" spans="1:7" x14ac:dyDescent="0.25">
      <c r="A18547" t="s">
        <v>56299</v>
      </c>
      <c r="B18547" t="s">
        <v>56445</v>
      </c>
      <c r="C18547" t="s">
        <v>56446</v>
      </c>
      <c r="D18547" t="s">
        <v>56447</v>
      </c>
      <c r="E18547" t="s">
        <v>56448</v>
      </c>
      <c r="F18547" t="s">
        <v>56449</v>
      </c>
      <c r="G18547" s="2" t="str">
        <f>HYPERLINK("https://probpalata.gov.ru/files/ИП730603742200000.jpeg","Скачать индивидуальный QR-код магазина")</f>
        <v>Скачать индивидуальный QR-код магазина</v>
      </c>
    </row>
    <row r="18548" spans="1:7" x14ac:dyDescent="0.25">
      <c r="A18548" t="s">
        <v>56299</v>
      </c>
      <c r="B18548" t="s">
        <v>56450</v>
      </c>
      <c r="C18548" t="s">
        <v>56451</v>
      </c>
      <c r="D18548" t="s">
        <v>56452</v>
      </c>
      <c r="E18548" t="s">
        <v>56453</v>
      </c>
      <c r="F18548" t="s">
        <v>56454</v>
      </c>
      <c r="G18548" s="2" t="str">
        <f>HYPERLINK("https://probpalata.gov.ru/files/ЮЛ730603364700000.jpeg","Скачать индивидуальный QR-код магазина")</f>
        <v>Скачать индивидуальный QR-код магазина</v>
      </c>
    </row>
    <row r="18549" spans="1:7" x14ac:dyDescent="0.25">
      <c r="A18549" t="s">
        <v>56299</v>
      </c>
      <c r="B18549" t="s">
        <v>56455</v>
      </c>
      <c r="C18549" t="s">
        <v>56451</v>
      </c>
      <c r="D18549" t="s">
        <v>56452</v>
      </c>
      <c r="E18549" t="s">
        <v>56453</v>
      </c>
      <c r="F18549" t="s">
        <v>56456</v>
      </c>
      <c r="G18549" s="2" t="str">
        <f>HYPERLINK("https://probpalata.gov.ru/files/ЮЛ730603364700001.jpeg","Скачать индивидуальный QR-код магазина")</f>
        <v>Скачать индивидуальный QR-код магазина</v>
      </c>
    </row>
    <row r="18550" spans="1:7" x14ac:dyDescent="0.25">
      <c r="A18550" t="s">
        <v>56299</v>
      </c>
      <c r="B18550" t="s">
        <v>56457</v>
      </c>
      <c r="C18550" t="s">
        <v>56451</v>
      </c>
      <c r="D18550" t="s">
        <v>56452</v>
      </c>
      <c r="E18550" t="s">
        <v>56453</v>
      </c>
      <c r="F18550" t="s">
        <v>56458</v>
      </c>
      <c r="G18550" s="2" t="str">
        <f>HYPERLINK("https://probpalata.gov.ru/files/ЮЛ730603364700002.jpeg","Скачать индивидуальный QR-код магазина")</f>
        <v>Скачать индивидуальный QR-код магазина</v>
      </c>
    </row>
    <row r="18551" spans="1:7" x14ac:dyDescent="0.25">
      <c r="A18551" t="s">
        <v>56299</v>
      </c>
      <c r="B18551" t="s">
        <v>56459</v>
      </c>
      <c r="C18551" t="s">
        <v>34636</v>
      </c>
      <c r="D18551" t="s">
        <v>34637</v>
      </c>
      <c r="E18551" t="s">
        <v>34638</v>
      </c>
      <c r="F18551" t="s">
        <v>56460</v>
      </c>
      <c r="G18551" s="2" t="str">
        <f>HYPERLINK("https://probpalata.gov.ru/files/ИП730601179100000.jpeg","Скачать индивидуальный QR-код магазина")</f>
        <v>Скачать индивидуальный QR-код магазина</v>
      </c>
    </row>
    <row r="18552" spans="1:7" x14ac:dyDescent="0.25">
      <c r="A18552" t="s">
        <v>56299</v>
      </c>
      <c r="B18552" t="s">
        <v>56461</v>
      </c>
      <c r="C18552" t="s">
        <v>34636</v>
      </c>
      <c r="D18552" t="s">
        <v>34637</v>
      </c>
      <c r="E18552" t="s">
        <v>34638</v>
      </c>
      <c r="F18552" t="s">
        <v>56462</v>
      </c>
      <c r="G18552" s="2" t="str">
        <f>HYPERLINK("https://probpalata.gov.ru/files/ИП730601179100002.jpeg","Скачать индивидуальный QR-код магазина")</f>
        <v>Скачать индивидуальный QR-код магазина</v>
      </c>
    </row>
    <row r="18553" spans="1:7" x14ac:dyDescent="0.25">
      <c r="A18553" t="s">
        <v>56299</v>
      </c>
      <c r="B18553" t="s">
        <v>56338</v>
      </c>
      <c r="C18553" t="s">
        <v>34636</v>
      </c>
      <c r="D18553" t="s">
        <v>34637</v>
      </c>
      <c r="E18553" t="s">
        <v>34638</v>
      </c>
      <c r="F18553" t="s">
        <v>56463</v>
      </c>
      <c r="G18553" s="2" t="str">
        <f>HYPERLINK("https://probpalata.gov.ru/files/ИП730601179100003.jpeg","Скачать индивидуальный QR-код магазина")</f>
        <v>Скачать индивидуальный QR-код магазина</v>
      </c>
    </row>
    <row r="18554" spans="1:7" x14ac:dyDescent="0.25">
      <c r="A18554" t="s">
        <v>56299</v>
      </c>
      <c r="B18554" t="s">
        <v>56464</v>
      </c>
      <c r="C18554" t="s">
        <v>34636</v>
      </c>
      <c r="D18554" t="s">
        <v>34637</v>
      </c>
      <c r="E18554" t="s">
        <v>34638</v>
      </c>
      <c r="F18554" t="s">
        <v>56465</v>
      </c>
      <c r="G18554" s="2" t="str">
        <f>HYPERLINK("https://probpalata.gov.ru/files/ИП730601179100004.jpeg","Скачать индивидуальный QR-код магазина")</f>
        <v>Скачать индивидуальный QR-код магазина</v>
      </c>
    </row>
    <row r="18555" spans="1:7" x14ac:dyDescent="0.25">
      <c r="A18555" t="s">
        <v>56299</v>
      </c>
      <c r="B18555" t="s">
        <v>56466</v>
      </c>
      <c r="C18555" t="s">
        <v>34636</v>
      </c>
      <c r="D18555" t="s">
        <v>34637</v>
      </c>
      <c r="E18555" t="s">
        <v>34638</v>
      </c>
      <c r="F18555" t="s">
        <v>56467</v>
      </c>
      <c r="G18555" s="2" t="str">
        <f>HYPERLINK("https://probpalata.gov.ru/files/ИП730601179100005.jpeg","Скачать индивидуальный QR-код магазина")</f>
        <v>Скачать индивидуальный QR-код магазина</v>
      </c>
    </row>
    <row r="18556" spans="1:7" x14ac:dyDescent="0.25">
      <c r="A18556" t="s">
        <v>56299</v>
      </c>
      <c r="B18556" t="s">
        <v>56468</v>
      </c>
      <c r="C18556" t="s">
        <v>34636</v>
      </c>
      <c r="D18556" t="s">
        <v>34637</v>
      </c>
      <c r="E18556" t="s">
        <v>34638</v>
      </c>
      <c r="F18556" t="s">
        <v>56469</v>
      </c>
      <c r="G18556" s="2" t="str">
        <f>HYPERLINK("https://probpalata.gov.ru/files/ИП730601179100006.jpeg","Скачать индивидуальный QR-код магазина")</f>
        <v>Скачать индивидуальный QR-код магазина</v>
      </c>
    </row>
    <row r="18557" spans="1:7" x14ac:dyDescent="0.25">
      <c r="A18557" t="s">
        <v>56299</v>
      </c>
      <c r="B18557" t="s">
        <v>56470</v>
      </c>
      <c r="C18557" t="s">
        <v>34636</v>
      </c>
      <c r="D18557" t="s">
        <v>34637</v>
      </c>
      <c r="E18557" t="s">
        <v>34638</v>
      </c>
      <c r="F18557" t="s">
        <v>56471</v>
      </c>
      <c r="G18557" s="2" t="str">
        <f>HYPERLINK("https://probpalata.gov.ru/files/ИП730601179100008.jpeg","Скачать индивидуальный QR-код магазина")</f>
        <v>Скачать индивидуальный QR-код магазина</v>
      </c>
    </row>
    <row r="18558" spans="1:7" x14ac:dyDescent="0.25">
      <c r="A18558" t="s">
        <v>56299</v>
      </c>
      <c r="B18558" t="s">
        <v>56472</v>
      </c>
      <c r="C18558" t="s">
        <v>34636</v>
      </c>
      <c r="D18558" t="s">
        <v>34637</v>
      </c>
      <c r="E18558" t="s">
        <v>34638</v>
      </c>
      <c r="F18558" t="s">
        <v>56473</v>
      </c>
      <c r="G18558" s="2" t="str">
        <f>HYPERLINK("https://probpalata.gov.ru/files/ИП730601179100010.jpeg","Скачать индивидуальный QR-код магазина")</f>
        <v>Скачать индивидуальный QR-код магазина</v>
      </c>
    </row>
    <row r="18559" spans="1:7" x14ac:dyDescent="0.25">
      <c r="A18559" t="s">
        <v>56299</v>
      </c>
      <c r="B18559" t="s">
        <v>56474</v>
      </c>
      <c r="C18559" t="s">
        <v>56475</v>
      </c>
      <c r="D18559" t="s">
        <v>56476</v>
      </c>
      <c r="E18559" t="s">
        <v>56477</v>
      </c>
      <c r="F18559" t="s">
        <v>56478</v>
      </c>
      <c r="G18559" s="2" t="str">
        <f>HYPERLINK("https://probpalata.gov.ru/files/ИП730600297100000.jpeg","Скачать индивидуальный QR-код магазина")</f>
        <v>Скачать индивидуальный QR-код магазина</v>
      </c>
    </row>
    <row r="18560" spans="1:7" x14ac:dyDescent="0.25">
      <c r="A18560" t="s">
        <v>56299</v>
      </c>
      <c r="B18560" t="s">
        <v>56479</v>
      </c>
      <c r="C18560" t="s">
        <v>56475</v>
      </c>
      <c r="D18560" t="s">
        <v>56476</v>
      </c>
      <c r="E18560" t="s">
        <v>56477</v>
      </c>
      <c r="F18560" t="s">
        <v>56480</v>
      </c>
      <c r="G18560" s="2" t="str">
        <f>HYPERLINK("https://probpalata.gov.ru/files/ИП730600297100004.jpeg","Скачать индивидуальный QR-код магазина")</f>
        <v>Скачать индивидуальный QR-код магазина</v>
      </c>
    </row>
    <row r="18561" spans="1:7" x14ac:dyDescent="0.25">
      <c r="A18561" t="s">
        <v>56299</v>
      </c>
      <c r="B18561" t="s">
        <v>56481</v>
      </c>
      <c r="C18561" t="s">
        <v>56475</v>
      </c>
      <c r="D18561" t="s">
        <v>56476</v>
      </c>
      <c r="E18561" t="s">
        <v>56477</v>
      </c>
      <c r="F18561" t="s">
        <v>56482</v>
      </c>
      <c r="G18561" s="2" t="str">
        <f>HYPERLINK("https://probpalata.gov.ru/files/ИП730600297100006.jpeg","Скачать индивидуальный QR-код магазина")</f>
        <v>Скачать индивидуальный QR-код магазина</v>
      </c>
    </row>
    <row r="18562" spans="1:7" x14ac:dyDescent="0.25">
      <c r="A18562" t="s">
        <v>56299</v>
      </c>
      <c r="B18562" t="s">
        <v>56483</v>
      </c>
      <c r="C18562" t="s">
        <v>56484</v>
      </c>
      <c r="D18562" t="s">
        <v>56485</v>
      </c>
      <c r="E18562" t="s">
        <v>56486</v>
      </c>
      <c r="F18562" t="s">
        <v>56487</v>
      </c>
      <c r="G18562" s="2" t="str">
        <f>HYPERLINK("https://probpalata.gov.ru/files/ИП730603479500000.jpeg","Скачать индивидуальный QR-код магазина")</f>
        <v>Скачать индивидуальный QR-код магазина</v>
      </c>
    </row>
    <row r="18563" spans="1:7" x14ac:dyDescent="0.25">
      <c r="A18563" t="s">
        <v>56299</v>
      </c>
      <c r="B18563" t="s">
        <v>56488</v>
      </c>
      <c r="C18563" t="s">
        <v>56489</v>
      </c>
      <c r="D18563" t="s">
        <v>56490</v>
      </c>
      <c r="E18563" t="s">
        <v>56491</v>
      </c>
      <c r="F18563" t="s">
        <v>56492</v>
      </c>
      <c r="G18563" s="2" t="str">
        <f>HYPERLINK("https://probpalata.gov.ru/files/ИП730603439600000.jpeg","Скачать индивидуальный QR-код магазина")</f>
        <v>Скачать индивидуальный QR-код магазина</v>
      </c>
    </row>
    <row r="18564" spans="1:7" x14ac:dyDescent="0.25">
      <c r="A18564" t="s">
        <v>56299</v>
      </c>
      <c r="B18564" t="s">
        <v>56493</v>
      </c>
      <c r="C18564" t="s">
        <v>56494</v>
      </c>
      <c r="D18564" t="s">
        <v>56495</v>
      </c>
      <c r="E18564" t="s">
        <v>56496</v>
      </c>
      <c r="F18564" t="s">
        <v>56497</v>
      </c>
      <c r="G18564" s="2" t="str">
        <f>HYPERLINK("https://probpalata.gov.ru/files/ИП730603178600000.jpeg","Скачать индивидуальный QR-код магазина")</f>
        <v>Скачать индивидуальный QR-код магазина</v>
      </c>
    </row>
    <row r="18565" spans="1:7" x14ac:dyDescent="0.25">
      <c r="A18565" t="s">
        <v>56299</v>
      </c>
      <c r="B18565" t="s">
        <v>56498</v>
      </c>
      <c r="C18565" t="s">
        <v>56499</v>
      </c>
      <c r="D18565" t="s">
        <v>56500</v>
      </c>
      <c r="E18565" t="s">
        <v>56501</v>
      </c>
      <c r="F18565" t="s">
        <v>56502</v>
      </c>
      <c r="G18565" s="2" t="str">
        <f>HYPERLINK("https://probpalata.gov.ru/files/ИП730600235000000.jpeg","Скачать индивидуальный QR-код магазина")</f>
        <v>Скачать индивидуальный QR-код магазина</v>
      </c>
    </row>
    <row r="18566" spans="1:7" x14ac:dyDescent="0.25">
      <c r="A18566" t="s">
        <v>56299</v>
      </c>
      <c r="B18566" t="s">
        <v>56503</v>
      </c>
      <c r="C18566" t="s">
        <v>56504</v>
      </c>
      <c r="D18566" t="s">
        <v>56505</v>
      </c>
      <c r="E18566" t="s">
        <v>56506</v>
      </c>
      <c r="F18566" t="s">
        <v>56507</v>
      </c>
      <c r="G18566" s="2" t="str">
        <f>HYPERLINK("https://probpalata.gov.ru/files/ЮЛ730600055500000.jpeg","Скачать индивидуальный QR-код магазина")</f>
        <v>Скачать индивидуальный QR-код магазина</v>
      </c>
    </row>
    <row r="18567" spans="1:7" x14ac:dyDescent="0.25">
      <c r="A18567" t="s">
        <v>56299</v>
      </c>
      <c r="B18567" t="s">
        <v>56508</v>
      </c>
      <c r="C18567" t="s">
        <v>56509</v>
      </c>
      <c r="D18567" t="s">
        <v>56510</v>
      </c>
      <c r="E18567" t="s">
        <v>56511</v>
      </c>
      <c r="F18567" t="s">
        <v>56512</v>
      </c>
      <c r="G18567" s="2" t="str">
        <f>HYPERLINK("https://probpalata.gov.ru/files/ЮЛ730600588700000.jpeg","Скачать индивидуальный QR-код магазина")</f>
        <v>Скачать индивидуальный QR-код магазина</v>
      </c>
    </row>
    <row r="18568" spans="1:7" x14ac:dyDescent="0.25">
      <c r="A18568" t="s">
        <v>56299</v>
      </c>
      <c r="B18568" t="s">
        <v>56513</v>
      </c>
      <c r="C18568" t="s">
        <v>56514</v>
      </c>
      <c r="D18568" t="s">
        <v>56515</v>
      </c>
      <c r="E18568" t="s">
        <v>56516</v>
      </c>
      <c r="F18568" t="s">
        <v>56517</v>
      </c>
      <c r="G18568" s="2" t="str">
        <f>HYPERLINK("https://probpalata.gov.ru/files/ИП730603929500000.jpeg","Скачать индивидуальный QR-код магазина")</f>
        <v>Скачать индивидуальный QR-код магазина</v>
      </c>
    </row>
    <row r="18569" spans="1:7" x14ac:dyDescent="0.25">
      <c r="A18569" t="s">
        <v>56299</v>
      </c>
      <c r="B18569" t="s">
        <v>56518</v>
      </c>
      <c r="C18569" t="s">
        <v>56519</v>
      </c>
      <c r="D18569" t="s">
        <v>56520</v>
      </c>
      <c r="E18569" t="s">
        <v>56521</v>
      </c>
      <c r="F18569" t="s">
        <v>56522</v>
      </c>
      <c r="G18569" s="2" t="str">
        <f>HYPERLINK("https://probpalata.gov.ru/files/ИП730600899300000.jpeg","Скачать индивидуальный QR-код магазина")</f>
        <v>Скачать индивидуальный QR-код магазина</v>
      </c>
    </row>
    <row r="18570" spans="1:7" x14ac:dyDescent="0.25">
      <c r="A18570" t="s">
        <v>56299</v>
      </c>
      <c r="B18570" t="s">
        <v>56523</v>
      </c>
      <c r="C18570" t="s">
        <v>56524</v>
      </c>
      <c r="D18570" t="s">
        <v>56525</v>
      </c>
      <c r="E18570" t="s">
        <v>56526</v>
      </c>
      <c r="F18570" t="s">
        <v>56527</v>
      </c>
      <c r="G18570" s="2" t="str">
        <f>HYPERLINK("https://probpalata.gov.ru/files/ЮЛ730600152100000.jpeg","Скачать индивидуальный QR-код магазина")</f>
        <v>Скачать индивидуальный QR-код магазина</v>
      </c>
    </row>
    <row r="18571" spans="1:7" x14ac:dyDescent="0.25">
      <c r="A18571" t="s">
        <v>56299</v>
      </c>
      <c r="B18571" t="s">
        <v>56528</v>
      </c>
      <c r="C18571" t="s">
        <v>56529</v>
      </c>
      <c r="D18571" t="s">
        <v>56530</v>
      </c>
      <c r="E18571" t="s">
        <v>56531</v>
      </c>
      <c r="F18571" t="s">
        <v>56532</v>
      </c>
      <c r="G18571" s="2" t="str">
        <f>HYPERLINK("https://probpalata.gov.ru/files/ЮЛ730600031300000.jpeg","Скачать индивидуальный QR-код магазина")</f>
        <v>Скачать индивидуальный QR-код магазина</v>
      </c>
    </row>
    <row r="18572" spans="1:7" x14ac:dyDescent="0.25">
      <c r="A18572" t="s">
        <v>56299</v>
      </c>
      <c r="B18572" t="s">
        <v>56533</v>
      </c>
      <c r="C18572" t="s">
        <v>56534</v>
      </c>
      <c r="D18572" t="s">
        <v>56535</v>
      </c>
      <c r="E18572" t="s">
        <v>56536</v>
      </c>
      <c r="F18572" t="s">
        <v>56537</v>
      </c>
      <c r="G18572" s="2" t="str">
        <f>HYPERLINK("https://probpalata.gov.ru/files/ЮЛ730600075100000.jpeg","Скачать индивидуальный QR-код магазина")</f>
        <v>Скачать индивидуальный QR-код магазина</v>
      </c>
    </row>
    <row r="18573" spans="1:7" x14ac:dyDescent="0.25">
      <c r="A18573" t="s">
        <v>56299</v>
      </c>
      <c r="B18573" t="s">
        <v>56538</v>
      </c>
      <c r="C18573" t="s">
        <v>56539</v>
      </c>
      <c r="D18573" t="s">
        <v>56540</v>
      </c>
      <c r="E18573" t="s">
        <v>56541</v>
      </c>
      <c r="F18573" t="s">
        <v>56542</v>
      </c>
      <c r="G18573" s="2" t="str">
        <f>HYPERLINK("https://probpalata.gov.ru/files/ЮЛ730600801000000.jpeg","Скачать индивидуальный QR-код магазина")</f>
        <v>Скачать индивидуальный QR-код магазина</v>
      </c>
    </row>
    <row r="18574" spans="1:7" x14ac:dyDescent="0.25">
      <c r="A18574" t="s">
        <v>56299</v>
      </c>
      <c r="B18574" t="s">
        <v>56543</v>
      </c>
      <c r="C18574" t="s">
        <v>56544</v>
      </c>
      <c r="D18574" t="s">
        <v>56545</v>
      </c>
      <c r="E18574" t="s">
        <v>56546</v>
      </c>
      <c r="F18574" t="s">
        <v>56547</v>
      </c>
      <c r="G18574" s="2" t="str">
        <f>HYPERLINK("https://probpalata.gov.ru/files/ИП730600724900000.jpeg","Скачать индивидуальный QR-код магазина")</f>
        <v>Скачать индивидуальный QR-код магазина</v>
      </c>
    </row>
    <row r="18575" spans="1:7" x14ac:dyDescent="0.25">
      <c r="A18575" t="s">
        <v>56299</v>
      </c>
      <c r="B18575" t="s">
        <v>56464</v>
      </c>
      <c r="C18575" t="s">
        <v>56544</v>
      </c>
      <c r="D18575" t="s">
        <v>56545</v>
      </c>
      <c r="E18575" t="s">
        <v>56546</v>
      </c>
      <c r="F18575" t="s">
        <v>56548</v>
      </c>
      <c r="G18575" s="2" t="str">
        <f>HYPERLINK("https://probpalata.gov.ru/files/ИП730600724900001.jpeg","Скачать индивидуальный QR-код магазина")</f>
        <v>Скачать индивидуальный QR-код магазина</v>
      </c>
    </row>
    <row r="18576" spans="1:7" x14ac:dyDescent="0.25">
      <c r="A18576" t="s">
        <v>56299</v>
      </c>
      <c r="B18576" t="s">
        <v>56549</v>
      </c>
      <c r="C18576" t="s">
        <v>56544</v>
      </c>
      <c r="D18576" t="s">
        <v>56545</v>
      </c>
      <c r="E18576" t="s">
        <v>56546</v>
      </c>
      <c r="F18576" t="s">
        <v>56550</v>
      </c>
      <c r="G18576" s="2" t="str">
        <f>HYPERLINK("https://probpalata.gov.ru/files/ИП730600724900002.jpeg","Скачать индивидуальный QR-код магазина")</f>
        <v>Скачать индивидуальный QR-код магазина</v>
      </c>
    </row>
    <row r="18577" spans="1:7" x14ac:dyDescent="0.25">
      <c r="A18577" t="s">
        <v>56299</v>
      </c>
      <c r="B18577" t="s">
        <v>56551</v>
      </c>
      <c r="C18577" t="s">
        <v>56544</v>
      </c>
      <c r="D18577" t="s">
        <v>56545</v>
      </c>
      <c r="E18577" t="s">
        <v>56546</v>
      </c>
      <c r="F18577" t="s">
        <v>56552</v>
      </c>
      <c r="G18577" s="2" t="str">
        <f>HYPERLINK("https://probpalata.gov.ru/files/ИП730600724900003.jpeg","Скачать индивидуальный QR-код магазина")</f>
        <v>Скачать индивидуальный QR-код магазина</v>
      </c>
    </row>
    <row r="18578" spans="1:7" x14ac:dyDescent="0.25">
      <c r="A18578" t="s">
        <v>56299</v>
      </c>
      <c r="B18578" t="s">
        <v>56553</v>
      </c>
      <c r="C18578" t="s">
        <v>56544</v>
      </c>
      <c r="D18578" t="s">
        <v>56545</v>
      </c>
      <c r="E18578" t="s">
        <v>56546</v>
      </c>
      <c r="F18578" t="s">
        <v>56554</v>
      </c>
      <c r="G18578" s="2" t="str">
        <f>HYPERLINK("https://probpalata.gov.ru/files/ИП730600724900004.jpeg","Скачать индивидуальный QR-код магазина")</f>
        <v>Скачать индивидуальный QR-код магазина</v>
      </c>
    </row>
    <row r="18579" spans="1:7" x14ac:dyDescent="0.25">
      <c r="A18579" t="s">
        <v>56299</v>
      </c>
      <c r="B18579" t="s">
        <v>56314</v>
      </c>
      <c r="C18579" t="s">
        <v>56544</v>
      </c>
      <c r="D18579" t="s">
        <v>56545</v>
      </c>
      <c r="E18579" t="s">
        <v>56546</v>
      </c>
      <c r="F18579" t="s">
        <v>56555</v>
      </c>
      <c r="G18579" s="2" t="str">
        <f>HYPERLINK("https://probpalata.gov.ru/files/ИП730600724900005.jpeg","Скачать индивидуальный QR-код магазина")</f>
        <v>Скачать индивидуальный QR-код магазина</v>
      </c>
    </row>
    <row r="18580" spans="1:7" x14ac:dyDescent="0.25">
      <c r="A18580" t="s">
        <v>56299</v>
      </c>
      <c r="B18580" t="s">
        <v>56556</v>
      </c>
      <c r="C18580" t="s">
        <v>1745</v>
      </c>
      <c r="D18580" t="s">
        <v>1746</v>
      </c>
      <c r="E18580" t="s">
        <v>1747</v>
      </c>
      <c r="F18580" t="s">
        <v>56557</v>
      </c>
      <c r="G18580" s="2" t="str">
        <f>HYPERLINK("https://probpalata.gov.ru/files/ЮЛ770100201500538.jpeg","Скачать индивидуальный QR-код магазина")</f>
        <v>Скачать индивидуальный QR-код магазина</v>
      </c>
    </row>
    <row r="18581" spans="1:7" x14ac:dyDescent="0.25">
      <c r="A18581" t="s">
        <v>56299</v>
      </c>
      <c r="B18581" t="s">
        <v>56558</v>
      </c>
      <c r="C18581" t="s">
        <v>1745</v>
      </c>
      <c r="D18581" t="s">
        <v>1746</v>
      </c>
      <c r="E18581" t="s">
        <v>1747</v>
      </c>
      <c r="F18581" t="s">
        <v>56559</v>
      </c>
      <c r="G18581" s="2" t="str">
        <f>HYPERLINK("https://probpalata.gov.ru/files/ЮЛ770100201500588.jpeg","Скачать индивидуальный QR-код магазина")</f>
        <v>Скачать индивидуальный QR-код магазина</v>
      </c>
    </row>
    <row r="18582" spans="1:7" x14ac:dyDescent="0.25">
      <c r="A18582" t="s">
        <v>56299</v>
      </c>
      <c r="B18582" t="s">
        <v>56560</v>
      </c>
      <c r="C18582" t="s">
        <v>713</v>
      </c>
      <c r="D18582" t="s">
        <v>714</v>
      </c>
      <c r="E18582" t="s">
        <v>715</v>
      </c>
      <c r="F18582" t="s">
        <v>56561</v>
      </c>
      <c r="G18582" s="2" t="str">
        <f>HYPERLINK("https://probpalata.gov.ru/files/ЮЛ770101216600200.jpeg","Скачать индивидуальный QR-код магазина")</f>
        <v>Скачать индивидуальный QR-код магазина</v>
      </c>
    </row>
    <row r="18583" spans="1:7" x14ac:dyDescent="0.25">
      <c r="A18583" t="s">
        <v>56299</v>
      </c>
      <c r="B18583" t="s">
        <v>56562</v>
      </c>
      <c r="C18583" t="s">
        <v>713</v>
      </c>
      <c r="D18583" t="s">
        <v>714</v>
      </c>
      <c r="E18583" t="s">
        <v>715</v>
      </c>
      <c r="F18583" t="s">
        <v>56563</v>
      </c>
      <c r="G18583" s="2" t="str">
        <f>HYPERLINK("https://probpalata.gov.ru/files/ЮЛ770101216600269.jpeg","Скачать индивидуальный QR-код магазина")</f>
        <v>Скачать индивидуальный QR-код магазина</v>
      </c>
    </row>
    <row r="18584" spans="1:7" x14ac:dyDescent="0.25">
      <c r="A18584" t="s">
        <v>56299</v>
      </c>
      <c r="B18584" t="s">
        <v>56564</v>
      </c>
      <c r="C18584" t="s">
        <v>713</v>
      </c>
      <c r="D18584" t="s">
        <v>714</v>
      </c>
      <c r="E18584" t="s">
        <v>715</v>
      </c>
      <c r="F18584" t="s">
        <v>56565</v>
      </c>
      <c r="G18584" s="2" t="str">
        <f>HYPERLINK("https://probpalata.gov.ru/files/ЮЛ770101216600342.jpeg","Скачать индивидуальный QR-код магазина")</f>
        <v>Скачать индивидуальный QR-код магазина</v>
      </c>
    </row>
    <row r="18585" spans="1:7" x14ac:dyDescent="0.25">
      <c r="A18585" t="s">
        <v>56299</v>
      </c>
      <c r="B18585" t="s">
        <v>56566</v>
      </c>
      <c r="C18585" t="s">
        <v>713</v>
      </c>
      <c r="D18585" t="s">
        <v>714</v>
      </c>
      <c r="E18585" t="s">
        <v>715</v>
      </c>
      <c r="F18585" t="s">
        <v>56567</v>
      </c>
      <c r="G18585" s="2" t="str">
        <f>HYPERLINK("https://probpalata.gov.ru/files/ЮЛ770101216600426.jpeg","Скачать индивидуальный QR-код магазина")</f>
        <v>Скачать индивидуальный QR-код магазина</v>
      </c>
    </row>
    <row r="18586" spans="1:7" x14ac:dyDescent="0.25">
      <c r="A18586" t="s">
        <v>56299</v>
      </c>
      <c r="B18586" t="s">
        <v>56568</v>
      </c>
      <c r="C18586" t="s">
        <v>713</v>
      </c>
      <c r="D18586" t="s">
        <v>714</v>
      </c>
      <c r="E18586" t="s">
        <v>715</v>
      </c>
      <c r="F18586" t="s">
        <v>56569</v>
      </c>
      <c r="G18586" s="2" t="str">
        <f>HYPERLINK("https://probpalata.gov.ru/files/ЮЛ770101216600478.jpeg","Скачать индивидуальный QR-код магазина")</f>
        <v>Скачать индивидуальный QR-код магазина</v>
      </c>
    </row>
    <row r="18587" spans="1:7" x14ac:dyDescent="0.25">
      <c r="A18587" t="s">
        <v>56299</v>
      </c>
      <c r="B18587" t="s">
        <v>56570</v>
      </c>
      <c r="C18587" t="s">
        <v>713</v>
      </c>
      <c r="D18587" t="s">
        <v>714</v>
      </c>
      <c r="E18587" t="s">
        <v>715</v>
      </c>
      <c r="F18587" t="s">
        <v>56571</v>
      </c>
      <c r="G18587" s="2" t="str">
        <f>HYPERLINK("https://probpalata.gov.ru/files/ЮЛ770101216600523.jpeg","Скачать индивидуальный QR-код магазина")</f>
        <v>Скачать индивидуальный QR-код магазина</v>
      </c>
    </row>
    <row r="18588" spans="1:7" x14ac:dyDescent="0.25">
      <c r="A18588" t="s">
        <v>56299</v>
      </c>
      <c r="B18588" t="s">
        <v>56572</v>
      </c>
      <c r="C18588" t="s">
        <v>713</v>
      </c>
      <c r="D18588" t="s">
        <v>714</v>
      </c>
      <c r="E18588" t="s">
        <v>715</v>
      </c>
      <c r="F18588" t="s">
        <v>56573</v>
      </c>
      <c r="G18588" s="2" t="str">
        <f>HYPERLINK("https://probpalata.gov.ru/files/ЮЛ770101216600902.jpeg","Скачать индивидуальный QR-код магазина")</f>
        <v>Скачать индивидуальный QR-код магазина</v>
      </c>
    </row>
    <row r="18589" spans="1:7" x14ac:dyDescent="0.25">
      <c r="A18589" t="s">
        <v>56299</v>
      </c>
      <c r="B18589" t="s">
        <v>56342</v>
      </c>
      <c r="C18589" t="s">
        <v>1416</v>
      </c>
      <c r="D18589" t="s">
        <v>1417</v>
      </c>
      <c r="E18589" t="s">
        <v>1418</v>
      </c>
      <c r="F18589" t="s">
        <v>56574</v>
      </c>
      <c r="G18589" s="2" t="str">
        <f>HYPERLINK("https://probpalata.gov.ru/files/ЮЛ770100419400091.jpeg","Скачать индивидуальный QR-код магазина")</f>
        <v>Скачать индивидуальный QR-код магазина</v>
      </c>
    </row>
    <row r="18590" spans="1:7" x14ac:dyDescent="0.25">
      <c r="A18590" t="s">
        <v>56299</v>
      </c>
      <c r="B18590" t="s">
        <v>56575</v>
      </c>
      <c r="C18590" t="s">
        <v>748</v>
      </c>
      <c r="D18590" t="s">
        <v>749</v>
      </c>
      <c r="E18590" t="s">
        <v>750</v>
      </c>
      <c r="F18590" t="s">
        <v>56576</v>
      </c>
      <c r="G18590" s="2" t="str">
        <f>HYPERLINK("https://probpalata.gov.ru/files/ЮЛ770100193500275.jpeg","Скачать индивидуальный QR-код магазина")</f>
        <v>Скачать индивидуальный QR-код магазина</v>
      </c>
    </row>
    <row r="18591" spans="1:7" x14ac:dyDescent="0.25">
      <c r="A18591" t="s">
        <v>56299</v>
      </c>
      <c r="B18591" t="s">
        <v>56577</v>
      </c>
      <c r="C18591" t="s">
        <v>748</v>
      </c>
      <c r="D18591" t="s">
        <v>749</v>
      </c>
      <c r="E18591" t="s">
        <v>750</v>
      </c>
      <c r="F18591" t="s">
        <v>56578</v>
      </c>
      <c r="G18591" s="2" t="str">
        <f>HYPERLINK("https://probpalata.gov.ru/files/ЮЛ770100193500276.jpeg","Скачать индивидуальный QR-код магазина")</f>
        <v>Скачать индивидуальный QR-код магазина</v>
      </c>
    </row>
    <row r="18592" spans="1:7" x14ac:dyDescent="0.25">
      <c r="A18592" t="s">
        <v>56299</v>
      </c>
      <c r="B18592" t="s">
        <v>56579</v>
      </c>
      <c r="C18592" t="s">
        <v>748</v>
      </c>
      <c r="D18592" t="s">
        <v>749</v>
      </c>
      <c r="E18592" t="s">
        <v>750</v>
      </c>
      <c r="F18592" t="s">
        <v>56580</v>
      </c>
      <c r="G18592" s="2" t="str">
        <f>HYPERLINK("https://probpalata.gov.ru/files/ЮЛ770100193500581.jpeg","Скачать индивидуальный QR-код магазина")</f>
        <v>Скачать индивидуальный QR-код магазина</v>
      </c>
    </row>
    <row r="18593" spans="1:7" x14ac:dyDescent="0.25">
      <c r="A18593" t="s">
        <v>56299</v>
      </c>
      <c r="B18593" t="s">
        <v>56581</v>
      </c>
      <c r="C18593" t="s">
        <v>748</v>
      </c>
      <c r="D18593" t="s">
        <v>749</v>
      </c>
      <c r="E18593" t="s">
        <v>750</v>
      </c>
      <c r="F18593" t="s">
        <v>56582</v>
      </c>
      <c r="G18593" s="2" t="str">
        <f>HYPERLINK("https://probpalata.gov.ru/files/ЮЛ770100193500750.jpeg","Скачать индивидуальный QR-код магазина")</f>
        <v>Скачать индивидуальный QR-код магазина</v>
      </c>
    </row>
    <row r="18594" spans="1:7" x14ac:dyDescent="0.25">
      <c r="A18594" t="s">
        <v>56299</v>
      </c>
      <c r="B18594" t="s">
        <v>56558</v>
      </c>
      <c r="C18594" t="s">
        <v>748</v>
      </c>
      <c r="D18594" t="s">
        <v>749</v>
      </c>
      <c r="E18594" t="s">
        <v>750</v>
      </c>
      <c r="F18594" t="s">
        <v>56583</v>
      </c>
      <c r="G18594" s="2" t="str">
        <f>HYPERLINK("https://probpalata.gov.ru/files/ЮЛ770100193500927.jpeg","Скачать индивидуальный QR-код магазина")</f>
        <v>Скачать индивидуальный QR-код магазина</v>
      </c>
    </row>
    <row r="18595" spans="1:7" x14ac:dyDescent="0.25">
      <c r="A18595" t="s">
        <v>56299</v>
      </c>
      <c r="B18595" t="s">
        <v>56556</v>
      </c>
      <c r="C18595" t="s">
        <v>748</v>
      </c>
      <c r="D18595" t="s">
        <v>749</v>
      </c>
      <c r="E18595" t="s">
        <v>750</v>
      </c>
      <c r="F18595" t="s">
        <v>56584</v>
      </c>
      <c r="G18595" s="2" t="str">
        <f>HYPERLINK("https://probpalata.gov.ru/files/ЮЛ770100193500954.jpeg","Скачать индивидуальный QR-код магазина")</f>
        <v>Скачать индивидуальный QR-код магазина</v>
      </c>
    </row>
    <row r="18596" spans="1:7" x14ac:dyDescent="0.25">
      <c r="A18596" t="s">
        <v>56299</v>
      </c>
      <c r="B18596" t="s">
        <v>56585</v>
      </c>
      <c r="C18596" t="s">
        <v>748</v>
      </c>
      <c r="D18596" t="s">
        <v>749</v>
      </c>
      <c r="E18596" t="s">
        <v>750</v>
      </c>
      <c r="F18596" t="s">
        <v>56586</v>
      </c>
      <c r="G18596" s="2" t="str">
        <f>HYPERLINK("https://probpalata.gov.ru/files/ЮЛ770100193501040.jpeg","Скачать индивидуальный QR-код магазина")</f>
        <v>Скачать индивидуальный QR-код магазина</v>
      </c>
    </row>
    <row r="18597" spans="1:7" x14ac:dyDescent="0.25">
      <c r="A18597" t="s">
        <v>56299</v>
      </c>
      <c r="B18597" t="s">
        <v>56587</v>
      </c>
      <c r="C18597" t="s">
        <v>773</v>
      </c>
      <c r="D18597" t="s">
        <v>774</v>
      </c>
      <c r="E18597" t="s">
        <v>775</v>
      </c>
      <c r="F18597" t="s">
        <v>56588</v>
      </c>
      <c r="G18597" s="2" t="str">
        <f>HYPERLINK("https://probpalata.gov.ru/files/ЮЛ780300131300120.jpeg","Скачать индивидуальный QR-код магазина")</f>
        <v>Скачать индивидуальный QR-код магазина</v>
      </c>
    </row>
    <row r="18598" spans="1:7" x14ac:dyDescent="0.25">
      <c r="A18598" t="s">
        <v>56299</v>
      </c>
      <c r="B18598" t="s">
        <v>56358</v>
      </c>
      <c r="C18598" t="s">
        <v>773</v>
      </c>
      <c r="D18598" t="s">
        <v>774</v>
      </c>
      <c r="E18598" t="s">
        <v>775</v>
      </c>
      <c r="F18598" t="s">
        <v>56589</v>
      </c>
      <c r="G18598" s="2" t="str">
        <f>HYPERLINK("https://probpalata.gov.ru/files/ЮЛ780300131300121.jpeg","Скачать индивидуальный QR-код магазина")</f>
        <v>Скачать индивидуальный QR-код магазина</v>
      </c>
    </row>
    <row r="18599" spans="1:7" x14ac:dyDescent="0.25">
      <c r="A18599" t="s">
        <v>56299</v>
      </c>
      <c r="B18599" t="s">
        <v>56590</v>
      </c>
      <c r="C18599" t="s">
        <v>773</v>
      </c>
      <c r="D18599" t="s">
        <v>774</v>
      </c>
      <c r="E18599" t="s">
        <v>775</v>
      </c>
      <c r="F18599" t="s">
        <v>56591</v>
      </c>
      <c r="G18599" s="2" t="str">
        <f>HYPERLINK("https://probpalata.gov.ru/files/ЮЛ780300131300122.jpeg","Скачать индивидуальный QR-код магазина")</f>
        <v>Скачать индивидуальный QR-код магазина</v>
      </c>
    </row>
    <row r="18600" spans="1:7" x14ac:dyDescent="0.25">
      <c r="A18600" t="s">
        <v>56299</v>
      </c>
      <c r="B18600" t="s">
        <v>56592</v>
      </c>
      <c r="C18600" t="s">
        <v>791</v>
      </c>
      <c r="D18600" t="s">
        <v>792</v>
      </c>
      <c r="E18600" t="s">
        <v>793</v>
      </c>
      <c r="F18600" t="s">
        <v>56593</v>
      </c>
      <c r="G18600" s="2" t="str">
        <f>HYPERLINK("https://probpalata.gov.ru/files/ЮЛ780300323500183.jpeg","Скачать индивидуальный QR-код магазина")</f>
        <v>Скачать индивидуальный QR-код магазина</v>
      </c>
    </row>
    <row r="18601" spans="1:7" x14ac:dyDescent="0.25">
      <c r="A18601" t="s">
        <v>56299</v>
      </c>
      <c r="B18601" t="s">
        <v>56594</v>
      </c>
      <c r="C18601" t="s">
        <v>791</v>
      </c>
      <c r="D18601" t="s">
        <v>792</v>
      </c>
      <c r="E18601" t="s">
        <v>793</v>
      </c>
      <c r="F18601" t="s">
        <v>56595</v>
      </c>
      <c r="G18601" s="2" t="str">
        <f>HYPERLINK("https://probpalata.gov.ru/files/ЮЛ780300323500184.jpeg","Скачать индивидуальный QR-код магазина")</f>
        <v>Скачать индивидуальный QR-код магазина</v>
      </c>
    </row>
    <row r="18602" spans="1:7" x14ac:dyDescent="0.25">
      <c r="A18602" t="s">
        <v>56299</v>
      </c>
      <c r="B18602" t="s">
        <v>56596</v>
      </c>
      <c r="C18602" t="s">
        <v>791</v>
      </c>
      <c r="D18602" t="s">
        <v>792</v>
      </c>
      <c r="E18602" t="s">
        <v>793</v>
      </c>
      <c r="F18602" t="s">
        <v>56597</v>
      </c>
      <c r="G18602" s="2" t="str">
        <f>HYPERLINK("https://probpalata.gov.ru/files/ЮЛ780300323500197.jpeg","Скачать индивидуальный QR-код магазина")</f>
        <v>Скачать индивидуальный QR-код магазина</v>
      </c>
    </row>
    <row r="18603" spans="1:7" x14ac:dyDescent="0.25">
      <c r="A18603" t="s">
        <v>56299</v>
      </c>
      <c r="B18603" t="s">
        <v>56598</v>
      </c>
      <c r="C18603" t="s">
        <v>798</v>
      </c>
      <c r="D18603" t="s">
        <v>799</v>
      </c>
      <c r="E18603" t="s">
        <v>800</v>
      </c>
      <c r="F18603" t="s">
        <v>56599</v>
      </c>
      <c r="G18603" s="2" t="str">
        <f>HYPERLINK("https://probpalata.gov.ru/files/ЮЛ780300308200272.jpeg","Скачать индивидуальный QR-код магазина")</f>
        <v>Скачать индивидуальный QR-код магазина</v>
      </c>
    </row>
    <row r="18604" spans="1:7" x14ac:dyDescent="0.25">
      <c r="A18604" t="s">
        <v>56299</v>
      </c>
      <c r="B18604" t="s">
        <v>56600</v>
      </c>
      <c r="C18604" t="s">
        <v>798</v>
      </c>
      <c r="D18604" t="s">
        <v>799</v>
      </c>
      <c r="E18604" t="s">
        <v>800</v>
      </c>
      <c r="F18604" t="s">
        <v>56601</v>
      </c>
      <c r="G18604" s="2" t="str">
        <f>HYPERLINK("https://probpalata.gov.ru/files/ЮЛ780300308200428.jpeg","Скачать индивидуальный QR-код магазина")</f>
        <v>Скачать индивидуальный QR-код магазина</v>
      </c>
    </row>
    <row r="18605" spans="1:7" x14ac:dyDescent="0.25">
      <c r="A18605" t="s">
        <v>56299</v>
      </c>
      <c r="B18605" t="s">
        <v>56602</v>
      </c>
      <c r="C18605" t="s">
        <v>798</v>
      </c>
      <c r="D18605" t="s">
        <v>799</v>
      </c>
      <c r="E18605" t="s">
        <v>800</v>
      </c>
      <c r="F18605" t="s">
        <v>56603</v>
      </c>
      <c r="G18605" s="2" t="str">
        <f>HYPERLINK("https://probpalata.gov.ru/files/ЮЛ780300308200800.jpeg","Скачать индивидуальный QR-код магазина")</f>
        <v>Скачать индивидуальный QR-код магазина</v>
      </c>
    </row>
    <row r="18606" spans="1:7" x14ac:dyDescent="0.25">
      <c r="A18606" t="s">
        <v>56299</v>
      </c>
      <c r="B18606" t="s">
        <v>56604</v>
      </c>
      <c r="C18606" t="s">
        <v>798</v>
      </c>
      <c r="D18606" t="s">
        <v>799</v>
      </c>
      <c r="E18606" t="s">
        <v>800</v>
      </c>
      <c r="F18606" t="s">
        <v>56605</v>
      </c>
      <c r="G18606" s="2" t="str">
        <f>HYPERLINK("https://probpalata.gov.ru/files/ЮЛ780300308200814.jpeg","Скачать индивидуальный QR-код магазина")</f>
        <v>Скачать индивидуальный QR-код магазина</v>
      </c>
    </row>
    <row r="18607" spans="1:7" x14ac:dyDescent="0.25">
      <c r="A18607" t="s">
        <v>56299</v>
      </c>
      <c r="B18607" t="s">
        <v>56606</v>
      </c>
      <c r="C18607" t="s">
        <v>798</v>
      </c>
      <c r="D18607" t="s">
        <v>799</v>
      </c>
      <c r="E18607" t="s">
        <v>800</v>
      </c>
      <c r="F18607" t="s">
        <v>56607</v>
      </c>
      <c r="G18607" s="2" t="str">
        <f>HYPERLINK("https://probpalata.gov.ru/files/ЮЛ780300308200899.jpeg","Скачать индивидуальный QR-код магазина")</f>
        <v>Скачать индивидуальный QR-код магазина</v>
      </c>
    </row>
    <row r="18608" spans="1:7" x14ac:dyDescent="0.25">
      <c r="A18608" t="s">
        <v>56299</v>
      </c>
      <c r="B18608" t="s">
        <v>56592</v>
      </c>
      <c r="C18608" t="s">
        <v>823</v>
      </c>
      <c r="D18608" t="s">
        <v>824</v>
      </c>
      <c r="E18608" t="s">
        <v>825</v>
      </c>
      <c r="F18608" t="s">
        <v>56608</v>
      </c>
      <c r="G18608" s="2" t="str">
        <f>HYPERLINK("https://probpalata.gov.ru/files/ЮЛ780300363500240.jpeg","Скачать индивидуальный QR-код магазина")</f>
        <v>Скачать индивидуальный QR-код магазина</v>
      </c>
    </row>
    <row r="18609" spans="1:7" x14ac:dyDescent="0.25">
      <c r="A18609" t="s">
        <v>56299</v>
      </c>
      <c r="B18609" t="s">
        <v>56558</v>
      </c>
      <c r="C18609" t="s">
        <v>823</v>
      </c>
      <c r="D18609" t="s">
        <v>824</v>
      </c>
      <c r="E18609" t="s">
        <v>825</v>
      </c>
      <c r="F18609" t="s">
        <v>56609</v>
      </c>
      <c r="G18609" s="2" t="str">
        <f>HYPERLINK("https://probpalata.gov.ru/files/ЮЛ780300363500242.jpeg","Скачать индивидуальный QR-код магазина")</f>
        <v>Скачать индивидуальный QR-код магазина</v>
      </c>
    </row>
    <row r="18610" spans="1:7" x14ac:dyDescent="0.25">
      <c r="A18610" t="s">
        <v>56299</v>
      </c>
      <c r="B18610" t="s">
        <v>56596</v>
      </c>
      <c r="C18610" t="s">
        <v>823</v>
      </c>
      <c r="D18610" t="s">
        <v>824</v>
      </c>
      <c r="E18610" t="s">
        <v>825</v>
      </c>
      <c r="F18610" t="s">
        <v>56610</v>
      </c>
      <c r="G18610" s="2" t="str">
        <f>HYPERLINK("https://probpalata.gov.ru/files/ЮЛ780300363500243.jpeg","Скачать индивидуальный QR-код магазина")</f>
        <v>Скачать индивидуальный QR-код магазина</v>
      </c>
    </row>
    <row r="18611" spans="1:7" x14ac:dyDescent="0.25">
      <c r="A18611" t="s">
        <v>56299</v>
      </c>
      <c r="B18611" t="s">
        <v>56464</v>
      </c>
      <c r="C18611" t="s">
        <v>46162</v>
      </c>
      <c r="D18611" t="s">
        <v>46163</v>
      </c>
      <c r="E18611" t="s">
        <v>46164</v>
      </c>
      <c r="F18611" t="s">
        <v>56611</v>
      </c>
      <c r="G18611" s="2" t="str">
        <f>HYPERLINK("https://probpalata.gov.ru/files/ЮЛ770103215400008.jpeg","Скачать индивидуальный QR-код магазина")</f>
        <v>Скачать индивидуальный QR-код магазина</v>
      </c>
    </row>
    <row r="18612" spans="1:7" x14ac:dyDescent="0.25">
      <c r="A18612" t="s">
        <v>56299</v>
      </c>
      <c r="B18612" t="s">
        <v>56464</v>
      </c>
      <c r="C18612" t="s">
        <v>27592</v>
      </c>
      <c r="D18612" t="s">
        <v>46178</v>
      </c>
      <c r="E18612" t="s">
        <v>46179</v>
      </c>
      <c r="F18612" t="s">
        <v>56612</v>
      </c>
      <c r="G18612" s="2" t="str">
        <f>HYPERLINK("https://probpalata.gov.ru/files/ЮЛ770103720500003.jpeg","Скачать индивидуальный QR-код магазина")</f>
        <v>Скачать индивидуальный QR-код магазина</v>
      </c>
    </row>
    <row r="18613" spans="1:7" x14ac:dyDescent="0.25">
      <c r="A18613" t="s">
        <v>56613</v>
      </c>
      <c r="B18613" t="s">
        <v>56614</v>
      </c>
      <c r="C18613" t="s">
        <v>56615</v>
      </c>
      <c r="D18613" t="s">
        <v>56616</v>
      </c>
      <c r="E18613" t="s">
        <v>56617</v>
      </c>
      <c r="F18613" t="s">
        <v>56618</v>
      </c>
      <c r="G18613" s="2" t="str">
        <f>HYPERLINK("https://probpalata.gov.ru/files/ИП140900497900000.jpeg","Скачать индивидуальный QR-код магазина")</f>
        <v>Скачать индивидуальный QR-код магазина</v>
      </c>
    </row>
    <row r="18614" spans="1:7" x14ac:dyDescent="0.25">
      <c r="A18614" t="s">
        <v>56613</v>
      </c>
      <c r="B18614" t="s">
        <v>56619</v>
      </c>
      <c r="C18614" t="s">
        <v>56615</v>
      </c>
      <c r="D18614" t="s">
        <v>56616</v>
      </c>
      <c r="E18614" t="s">
        <v>56617</v>
      </c>
      <c r="F18614" t="s">
        <v>56620</v>
      </c>
      <c r="G18614" s="2" t="str">
        <f>HYPERLINK("https://probpalata.gov.ru/files/ИП140900497900001.jpeg","Скачать индивидуальный QR-код магазина")</f>
        <v>Скачать индивидуальный QR-код магазина</v>
      </c>
    </row>
    <row r="18615" spans="1:7" x14ac:dyDescent="0.25">
      <c r="A18615" t="s">
        <v>56613</v>
      </c>
      <c r="B18615" t="s">
        <v>56621</v>
      </c>
      <c r="C18615" t="s">
        <v>56615</v>
      </c>
      <c r="D18615" t="s">
        <v>56616</v>
      </c>
      <c r="E18615" t="s">
        <v>56617</v>
      </c>
      <c r="F18615" t="s">
        <v>56622</v>
      </c>
      <c r="G18615" s="2" t="str">
        <f>HYPERLINK("https://probpalata.gov.ru/files/ИП140900497900002.jpeg","Скачать индивидуальный QR-код магазина")</f>
        <v>Скачать индивидуальный QR-код магазина</v>
      </c>
    </row>
    <row r="18616" spans="1:7" x14ac:dyDescent="0.25">
      <c r="A18616" t="s">
        <v>56613</v>
      </c>
      <c r="B18616" t="s">
        <v>56623</v>
      </c>
      <c r="C18616" t="s">
        <v>838</v>
      </c>
      <c r="D18616" t="s">
        <v>839</v>
      </c>
      <c r="E18616" t="s">
        <v>840</v>
      </c>
      <c r="F18616" t="s">
        <v>56624</v>
      </c>
      <c r="G18616" s="2" t="str">
        <f>HYPERLINK("https://probpalata.gov.ru/files/ЮЛ140900343400004.jpeg","Скачать индивидуальный QR-код магазина")</f>
        <v>Скачать индивидуальный QR-код магазина</v>
      </c>
    </row>
    <row r="18617" spans="1:7" x14ac:dyDescent="0.25">
      <c r="A18617" t="s">
        <v>56613</v>
      </c>
      <c r="B18617" t="s">
        <v>56625</v>
      </c>
      <c r="C18617" t="s">
        <v>56626</v>
      </c>
      <c r="D18617" t="s">
        <v>56627</v>
      </c>
      <c r="E18617" t="s">
        <v>56628</v>
      </c>
      <c r="F18617" t="s">
        <v>56629</v>
      </c>
      <c r="G18617" s="2" t="str">
        <f>HYPERLINK("https://probpalata.gov.ru/files/ИП270903955800000.jpeg","Скачать индивидуальный QR-код магазина")</f>
        <v>Скачать индивидуальный QR-код магазина</v>
      </c>
    </row>
    <row r="18618" spans="1:7" x14ac:dyDescent="0.25">
      <c r="A18618" t="s">
        <v>56613</v>
      </c>
      <c r="B18618" t="s">
        <v>56630</v>
      </c>
      <c r="C18618" t="s">
        <v>843</v>
      </c>
      <c r="D18618" t="s">
        <v>844</v>
      </c>
      <c r="E18618" t="s">
        <v>845</v>
      </c>
      <c r="F18618" t="s">
        <v>56631</v>
      </c>
      <c r="G18618" s="2" t="str">
        <f>HYPERLINK("https://probpalata.gov.ru/files/ИП250903190200012.jpeg","Скачать индивидуальный QR-код магазина")</f>
        <v>Скачать индивидуальный QR-код магазина</v>
      </c>
    </row>
    <row r="18619" spans="1:7" x14ac:dyDescent="0.25">
      <c r="A18619" t="s">
        <v>56613</v>
      </c>
      <c r="B18619" t="s">
        <v>56632</v>
      </c>
      <c r="C18619" t="s">
        <v>843</v>
      </c>
      <c r="D18619" t="s">
        <v>844</v>
      </c>
      <c r="E18619" t="s">
        <v>845</v>
      </c>
      <c r="F18619" t="s">
        <v>56633</v>
      </c>
      <c r="G18619" s="2" t="str">
        <f>HYPERLINK("https://probpalata.gov.ru/files/ИП250903190200014.jpeg","Скачать индивидуальный QR-код магазина")</f>
        <v>Скачать индивидуальный QR-код магазина</v>
      </c>
    </row>
    <row r="18620" spans="1:7" x14ac:dyDescent="0.25">
      <c r="A18620" t="s">
        <v>56613</v>
      </c>
      <c r="B18620" t="s">
        <v>56634</v>
      </c>
      <c r="C18620" t="s">
        <v>843</v>
      </c>
      <c r="D18620" t="s">
        <v>844</v>
      </c>
      <c r="E18620" t="s">
        <v>845</v>
      </c>
      <c r="F18620" t="s">
        <v>56635</v>
      </c>
      <c r="G18620" s="2" t="str">
        <f>HYPERLINK("https://probpalata.gov.ru/files/ИП250903190200016.jpeg","Скачать индивидуальный QR-код магазина")</f>
        <v>Скачать индивидуальный QR-код магазина</v>
      </c>
    </row>
    <row r="18621" spans="1:7" x14ac:dyDescent="0.25">
      <c r="A18621" t="s">
        <v>56613</v>
      </c>
      <c r="B18621" t="s">
        <v>56636</v>
      </c>
      <c r="C18621" t="s">
        <v>843</v>
      </c>
      <c r="D18621" t="s">
        <v>844</v>
      </c>
      <c r="E18621" t="s">
        <v>845</v>
      </c>
      <c r="F18621" t="s">
        <v>56637</v>
      </c>
      <c r="G18621" s="2" t="str">
        <f>HYPERLINK("https://probpalata.gov.ru/files/ИП250903190200017.jpeg","Скачать индивидуальный QR-код магазина")</f>
        <v>Скачать индивидуальный QR-код магазина</v>
      </c>
    </row>
    <row r="18622" spans="1:7" x14ac:dyDescent="0.25">
      <c r="A18622" t="s">
        <v>56613</v>
      </c>
      <c r="B18622" t="s">
        <v>56638</v>
      </c>
      <c r="C18622" t="s">
        <v>56639</v>
      </c>
      <c r="D18622" t="s">
        <v>56640</v>
      </c>
      <c r="E18622" t="s">
        <v>56641</v>
      </c>
      <c r="F18622" t="s">
        <v>56642</v>
      </c>
      <c r="G18622" s="2" t="str">
        <f>HYPERLINK("https://probpalata.gov.ru/files/ЮЛ270903178900000.jpeg","Скачать индивидуальный QR-код магазина")</f>
        <v>Скачать индивидуальный QR-код магазина</v>
      </c>
    </row>
    <row r="18623" spans="1:7" x14ac:dyDescent="0.25">
      <c r="A18623" t="s">
        <v>56613</v>
      </c>
      <c r="B18623" t="s">
        <v>56643</v>
      </c>
      <c r="C18623" t="s">
        <v>56639</v>
      </c>
      <c r="D18623" t="s">
        <v>56640</v>
      </c>
      <c r="E18623" t="s">
        <v>56641</v>
      </c>
      <c r="F18623" t="s">
        <v>56644</v>
      </c>
      <c r="G18623" s="2" t="str">
        <f>HYPERLINK("https://probpalata.gov.ru/files/ЮЛ270903178900003.jpeg","Скачать индивидуальный QR-код магазина")</f>
        <v>Скачать индивидуальный QR-код магазина</v>
      </c>
    </row>
    <row r="18624" spans="1:7" x14ac:dyDescent="0.25">
      <c r="A18624" t="s">
        <v>56613</v>
      </c>
      <c r="B18624" t="s">
        <v>56645</v>
      </c>
      <c r="C18624" t="s">
        <v>56646</v>
      </c>
      <c r="D18624" t="s">
        <v>56647</v>
      </c>
      <c r="E18624" t="s">
        <v>56648</v>
      </c>
      <c r="F18624" t="s">
        <v>56649</v>
      </c>
      <c r="G18624" s="2" t="str">
        <f>HYPERLINK("https://probpalata.gov.ru/files/ИП270900435900000.jpeg","Скачать индивидуальный QR-код магазина")</f>
        <v>Скачать индивидуальный QR-код магазина</v>
      </c>
    </row>
    <row r="18625" spans="1:7" x14ac:dyDescent="0.25">
      <c r="A18625" t="s">
        <v>56613</v>
      </c>
      <c r="B18625" t="s">
        <v>56650</v>
      </c>
      <c r="C18625" t="s">
        <v>56651</v>
      </c>
      <c r="D18625" t="s">
        <v>56652</v>
      </c>
      <c r="E18625" t="s">
        <v>56653</v>
      </c>
      <c r="F18625" t="s">
        <v>56654</v>
      </c>
      <c r="G18625" s="2" t="str">
        <f>HYPERLINK("https://probpalata.gov.ru/files/ИП270900104200000.jpeg","Скачать индивидуальный QR-код магазина")</f>
        <v>Скачать индивидуальный QR-код магазина</v>
      </c>
    </row>
    <row r="18626" spans="1:7" x14ac:dyDescent="0.25">
      <c r="A18626" t="s">
        <v>56613</v>
      </c>
      <c r="B18626" t="s">
        <v>56655</v>
      </c>
      <c r="C18626" t="s">
        <v>56651</v>
      </c>
      <c r="D18626" t="s">
        <v>56652</v>
      </c>
      <c r="E18626" t="s">
        <v>56653</v>
      </c>
      <c r="F18626" t="s">
        <v>56656</v>
      </c>
      <c r="G18626" s="2" t="str">
        <f>HYPERLINK("https://probpalata.gov.ru/files/ИП270900104200001.jpeg","Скачать индивидуальный QR-код магазина")</f>
        <v>Скачать индивидуальный QR-код магазина</v>
      </c>
    </row>
    <row r="18627" spans="1:7" x14ac:dyDescent="0.25">
      <c r="A18627" t="s">
        <v>56613</v>
      </c>
      <c r="B18627" t="s">
        <v>56657</v>
      </c>
      <c r="C18627" t="s">
        <v>56651</v>
      </c>
      <c r="D18627" t="s">
        <v>56652</v>
      </c>
      <c r="E18627" t="s">
        <v>56653</v>
      </c>
      <c r="F18627" t="s">
        <v>56658</v>
      </c>
      <c r="G18627" s="2" t="str">
        <f>HYPERLINK("https://probpalata.gov.ru/files/ИП270900104200002.jpeg","Скачать индивидуальный QR-код магазина")</f>
        <v>Скачать индивидуальный QR-код магазина</v>
      </c>
    </row>
    <row r="18628" spans="1:7" x14ac:dyDescent="0.25">
      <c r="A18628" t="s">
        <v>56613</v>
      </c>
      <c r="B18628" t="s">
        <v>56659</v>
      </c>
      <c r="C18628" t="s">
        <v>56651</v>
      </c>
      <c r="D18628" t="s">
        <v>56652</v>
      </c>
      <c r="E18628" t="s">
        <v>56653</v>
      </c>
      <c r="F18628" t="s">
        <v>56660</v>
      </c>
      <c r="G18628" s="2" t="str">
        <f>HYPERLINK("https://probpalata.gov.ru/files/ИП270900104200003.jpeg","Скачать индивидуальный QR-код магазина")</f>
        <v>Скачать индивидуальный QR-код магазина</v>
      </c>
    </row>
    <row r="18629" spans="1:7" x14ac:dyDescent="0.25">
      <c r="A18629" t="s">
        <v>56613</v>
      </c>
      <c r="B18629" t="s">
        <v>56661</v>
      </c>
      <c r="C18629" t="s">
        <v>56651</v>
      </c>
      <c r="D18629" t="s">
        <v>56652</v>
      </c>
      <c r="E18629" t="s">
        <v>56653</v>
      </c>
      <c r="F18629" t="s">
        <v>56662</v>
      </c>
      <c r="G18629" s="2" t="str">
        <f>HYPERLINK("https://probpalata.gov.ru/files/ИП270900104200005.jpeg","Скачать индивидуальный QR-код магазина")</f>
        <v>Скачать индивидуальный QR-код магазина</v>
      </c>
    </row>
    <row r="18630" spans="1:7" x14ac:dyDescent="0.25">
      <c r="A18630" t="s">
        <v>56613</v>
      </c>
      <c r="B18630" t="s">
        <v>56663</v>
      </c>
      <c r="C18630" t="s">
        <v>56664</v>
      </c>
      <c r="D18630" t="s">
        <v>56665</v>
      </c>
      <c r="E18630" t="s">
        <v>56666</v>
      </c>
      <c r="F18630" t="s">
        <v>56667</v>
      </c>
      <c r="G18630" s="2" t="str">
        <f>HYPERLINK("https://probpalata.gov.ru/files/ЮЛ270900344200002.jpeg","Скачать индивидуальный QR-код магазина")</f>
        <v>Скачать индивидуальный QR-код магазина</v>
      </c>
    </row>
    <row r="18631" spans="1:7" x14ac:dyDescent="0.25">
      <c r="A18631" t="s">
        <v>56613</v>
      </c>
      <c r="B18631" t="s">
        <v>56668</v>
      </c>
      <c r="C18631" t="s">
        <v>56664</v>
      </c>
      <c r="D18631" t="s">
        <v>56665</v>
      </c>
      <c r="E18631" t="s">
        <v>56666</v>
      </c>
      <c r="F18631" t="s">
        <v>56669</v>
      </c>
      <c r="G18631" s="2" t="str">
        <f>HYPERLINK("https://probpalata.gov.ru/files/ЮЛ270900344200003.jpeg","Скачать индивидуальный QR-код магазина")</f>
        <v>Скачать индивидуальный QR-код магазина</v>
      </c>
    </row>
    <row r="18632" spans="1:7" x14ac:dyDescent="0.25">
      <c r="A18632" t="s">
        <v>56613</v>
      </c>
      <c r="B18632" t="s">
        <v>56670</v>
      </c>
      <c r="C18632" t="s">
        <v>56664</v>
      </c>
      <c r="D18632" t="s">
        <v>56665</v>
      </c>
      <c r="E18632" t="s">
        <v>56666</v>
      </c>
      <c r="F18632" t="s">
        <v>56671</v>
      </c>
      <c r="G18632" s="2" t="str">
        <f>HYPERLINK("https://probpalata.gov.ru/files/ЮЛ270900344200004.jpeg","Скачать индивидуальный QR-код магазина")</f>
        <v>Скачать индивидуальный QR-код магазина</v>
      </c>
    </row>
    <row r="18633" spans="1:7" x14ac:dyDescent="0.25">
      <c r="A18633" t="s">
        <v>56613</v>
      </c>
      <c r="B18633" t="s">
        <v>56672</v>
      </c>
      <c r="C18633" t="s">
        <v>56664</v>
      </c>
      <c r="D18633" t="s">
        <v>56665</v>
      </c>
      <c r="E18633" t="s">
        <v>56666</v>
      </c>
      <c r="F18633" t="s">
        <v>56673</v>
      </c>
      <c r="G18633" s="2" t="str">
        <f>HYPERLINK("https://probpalata.gov.ru/files/ЮЛ270900344200005.jpeg","Скачать индивидуальный QR-код магазина")</f>
        <v>Скачать индивидуальный QR-код магазина</v>
      </c>
    </row>
    <row r="18634" spans="1:7" x14ac:dyDescent="0.25">
      <c r="A18634" t="s">
        <v>56613</v>
      </c>
      <c r="B18634" t="s">
        <v>56674</v>
      </c>
      <c r="C18634" t="s">
        <v>56664</v>
      </c>
      <c r="D18634" t="s">
        <v>56665</v>
      </c>
      <c r="E18634" t="s">
        <v>56666</v>
      </c>
      <c r="F18634" t="s">
        <v>56675</v>
      </c>
      <c r="G18634" s="2" t="str">
        <f>HYPERLINK("https://probpalata.gov.ru/files/ЮЛ270900344200006.jpeg","Скачать индивидуальный QR-код магазина")</f>
        <v>Скачать индивидуальный QR-код магазина</v>
      </c>
    </row>
    <row r="18635" spans="1:7" x14ac:dyDescent="0.25">
      <c r="A18635" t="s">
        <v>56613</v>
      </c>
      <c r="B18635" t="s">
        <v>56676</v>
      </c>
      <c r="C18635" t="s">
        <v>56664</v>
      </c>
      <c r="D18635" t="s">
        <v>56665</v>
      </c>
      <c r="E18635" t="s">
        <v>56666</v>
      </c>
      <c r="F18635" t="s">
        <v>56677</v>
      </c>
      <c r="G18635" s="2" t="str">
        <f>HYPERLINK("https://probpalata.gov.ru/files/ЮЛ270900344200009.jpeg","Скачать индивидуальный QR-код магазина")</f>
        <v>Скачать индивидуальный QR-код магазина</v>
      </c>
    </row>
    <row r="18636" spans="1:7" x14ac:dyDescent="0.25">
      <c r="A18636" t="s">
        <v>56613</v>
      </c>
      <c r="B18636" t="s">
        <v>56678</v>
      </c>
      <c r="C18636" t="s">
        <v>56664</v>
      </c>
      <c r="D18636" t="s">
        <v>56665</v>
      </c>
      <c r="E18636" t="s">
        <v>56666</v>
      </c>
      <c r="F18636" t="s">
        <v>56679</v>
      </c>
      <c r="G18636" s="2" t="str">
        <f>HYPERLINK("https://probpalata.gov.ru/files/ЮЛ270900344200011.jpeg","Скачать индивидуальный QR-код магазина")</f>
        <v>Скачать индивидуальный QR-код магазина</v>
      </c>
    </row>
    <row r="18637" spans="1:7" x14ac:dyDescent="0.25">
      <c r="A18637" t="s">
        <v>56613</v>
      </c>
      <c r="B18637" t="s">
        <v>56680</v>
      </c>
      <c r="C18637" t="s">
        <v>56664</v>
      </c>
      <c r="D18637" t="s">
        <v>56665</v>
      </c>
      <c r="E18637" t="s">
        <v>56666</v>
      </c>
      <c r="F18637" t="s">
        <v>56681</v>
      </c>
      <c r="G18637" s="2" t="str">
        <f>HYPERLINK("https://probpalata.gov.ru/files/ЮЛ270900344200013.jpeg","Скачать индивидуальный QR-код магазина")</f>
        <v>Скачать индивидуальный QR-код магазина</v>
      </c>
    </row>
    <row r="18638" spans="1:7" x14ac:dyDescent="0.25">
      <c r="A18638" t="s">
        <v>56613</v>
      </c>
      <c r="B18638" t="s">
        <v>56682</v>
      </c>
      <c r="C18638" t="s">
        <v>56683</v>
      </c>
      <c r="D18638" t="s">
        <v>56684</v>
      </c>
      <c r="E18638" t="s">
        <v>56685</v>
      </c>
      <c r="F18638" t="s">
        <v>56686</v>
      </c>
      <c r="G18638" s="2" t="str">
        <f>HYPERLINK("https://probpalata.gov.ru/files/ИП270901252300000.jpeg","Скачать индивидуальный QR-код магазина")</f>
        <v>Скачать индивидуальный QR-код магазина</v>
      </c>
    </row>
    <row r="18639" spans="1:7" x14ac:dyDescent="0.25">
      <c r="A18639" t="s">
        <v>56613</v>
      </c>
      <c r="B18639" t="s">
        <v>56687</v>
      </c>
      <c r="C18639" t="s">
        <v>56688</v>
      </c>
      <c r="D18639" t="s">
        <v>56689</v>
      </c>
      <c r="E18639" t="s">
        <v>56690</v>
      </c>
      <c r="F18639" t="s">
        <v>56691</v>
      </c>
      <c r="G18639" s="2" t="str">
        <f>HYPERLINK("https://probpalata.gov.ru/files/ИП270900428500000.jpeg","Скачать индивидуальный QR-код магазина")</f>
        <v>Скачать индивидуальный QR-код магазина</v>
      </c>
    </row>
    <row r="18640" spans="1:7" x14ac:dyDescent="0.25">
      <c r="A18640" t="s">
        <v>56613</v>
      </c>
      <c r="B18640" t="s">
        <v>56692</v>
      </c>
      <c r="C18640" t="s">
        <v>56693</v>
      </c>
      <c r="D18640" t="s">
        <v>56694</v>
      </c>
      <c r="E18640" t="s">
        <v>56695</v>
      </c>
      <c r="F18640" t="s">
        <v>56696</v>
      </c>
      <c r="G18640" s="2" t="str">
        <f>HYPERLINK("https://probpalata.gov.ru/files/ИП270901096500000.jpeg","Скачать индивидуальный QR-код магазина")</f>
        <v>Скачать индивидуальный QR-код магазина</v>
      </c>
    </row>
    <row r="18641" spans="1:7" x14ac:dyDescent="0.25">
      <c r="A18641" t="s">
        <v>56613</v>
      </c>
      <c r="B18641" t="s">
        <v>56697</v>
      </c>
      <c r="C18641" t="s">
        <v>56698</v>
      </c>
      <c r="D18641" t="s">
        <v>56699</v>
      </c>
      <c r="E18641" t="s">
        <v>56700</v>
      </c>
      <c r="F18641" t="s">
        <v>56701</v>
      </c>
      <c r="G18641" s="2" t="str">
        <f>HYPERLINK("https://probpalata.gov.ru/files/ИП270901023700000.jpeg","Скачать индивидуальный QR-код магазина")</f>
        <v>Скачать индивидуальный QR-код магазина</v>
      </c>
    </row>
    <row r="18642" spans="1:7" x14ac:dyDescent="0.25">
      <c r="A18642" t="s">
        <v>56613</v>
      </c>
      <c r="B18642" t="s">
        <v>56702</v>
      </c>
      <c r="C18642" t="s">
        <v>56703</v>
      </c>
      <c r="D18642" t="s">
        <v>56704</v>
      </c>
      <c r="E18642" t="s">
        <v>56705</v>
      </c>
      <c r="F18642" t="s">
        <v>56706</v>
      </c>
      <c r="G18642" s="2" t="str">
        <f>HYPERLINK("https://probpalata.gov.ru/files/ИП270900339700000.jpeg","Скачать индивидуальный QR-код магазина")</f>
        <v>Скачать индивидуальный QR-код магазина</v>
      </c>
    </row>
    <row r="18643" spans="1:7" x14ac:dyDescent="0.25">
      <c r="A18643" t="s">
        <v>56613</v>
      </c>
      <c r="B18643" t="s">
        <v>56707</v>
      </c>
      <c r="C18643" t="s">
        <v>56708</v>
      </c>
      <c r="D18643" t="s">
        <v>56709</v>
      </c>
      <c r="E18643" t="s">
        <v>56710</v>
      </c>
      <c r="F18643" t="s">
        <v>56711</v>
      </c>
      <c r="G18643" s="2" t="str">
        <f>HYPERLINK("https://probpalata.gov.ru/files/ИП270900122200000.jpeg","Скачать индивидуальный QR-код магазина")</f>
        <v>Скачать индивидуальный QR-код магазина</v>
      </c>
    </row>
    <row r="18644" spans="1:7" x14ac:dyDescent="0.25">
      <c r="A18644" t="s">
        <v>56613</v>
      </c>
      <c r="B18644" t="s">
        <v>56712</v>
      </c>
      <c r="C18644" t="s">
        <v>56713</v>
      </c>
      <c r="D18644" t="s">
        <v>56714</v>
      </c>
      <c r="E18644" t="s">
        <v>56715</v>
      </c>
      <c r="F18644" t="s">
        <v>56716</v>
      </c>
      <c r="G18644" s="2" t="str">
        <f>HYPERLINK("https://probpalata.gov.ru/files/ИП270900125800000.jpeg","Скачать индивидуальный QR-код магазина")</f>
        <v>Скачать индивидуальный QR-код магазина</v>
      </c>
    </row>
    <row r="18645" spans="1:7" x14ac:dyDescent="0.25">
      <c r="A18645" t="s">
        <v>56613</v>
      </c>
      <c r="B18645" t="s">
        <v>56717</v>
      </c>
      <c r="C18645" t="s">
        <v>56718</v>
      </c>
      <c r="D18645" t="s">
        <v>56719</v>
      </c>
      <c r="E18645" t="s">
        <v>56720</v>
      </c>
      <c r="F18645" t="s">
        <v>56721</v>
      </c>
      <c r="G18645" s="2" t="str">
        <f>HYPERLINK("https://probpalata.gov.ru/files/ИП270900911200000.jpeg","Скачать индивидуальный QR-код магазина")</f>
        <v>Скачать индивидуальный QR-код магазина</v>
      </c>
    </row>
    <row r="18646" spans="1:7" x14ac:dyDescent="0.25">
      <c r="A18646" t="s">
        <v>56613</v>
      </c>
      <c r="B18646" t="s">
        <v>56722</v>
      </c>
      <c r="C18646" t="s">
        <v>56723</v>
      </c>
      <c r="D18646" t="s">
        <v>56724</v>
      </c>
      <c r="E18646" t="s">
        <v>56725</v>
      </c>
      <c r="F18646" t="s">
        <v>56726</v>
      </c>
      <c r="G18646" s="2" t="str">
        <f>HYPERLINK("https://probpalata.gov.ru/files/ИП270900125200000.jpeg","Скачать индивидуальный QR-код магазина")</f>
        <v>Скачать индивидуальный QR-код магазина</v>
      </c>
    </row>
    <row r="18647" spans="1:7" x14ac:dyDescent="0.25">
      <c r="A18647" t="s">
        <v>56613</v>
      </c>
      <c r="B18647" t="s">
        <v>56727</v>
      </c>
      <c r="C18647" t="s">
        <v>56723</v>
      </c>
      <c r="D18647" t="s">
        <v>56724</v>
      </c>
      <c r="E18647" t="s">
        <v>56725</v>
      </c>
      <c r="F18647" t="s">
        <v>56728</v>
      </c>
      <c r="G18647" s="2" t="str">
        <f>HYPERLINK("https://probpalata.gov.ru/files/ИП270900125200002.jpeg","Скачать индивидуальный QR-код магазина")</f>
        <v>Скачать индивидуальный QR-код магазина</v>
      </c>
    </row>
    <row r="18648" spans="1:7" x14ac:dyDescent="0.25">
      <c r="A18648" t="s">
        <v>56613</v>
      </c>
      <c r="B18648" t="s">
        <v>56729</v>
      </c>
      <c r="C18648" t="s">
        <v>56723</v>
      </c>
      <c r="D18648" t="s">
        <v>56724</v>
      </c>
      <c r="E18648" t="s">
        <v>56725</v>
      </c>
      <c r="F18648" t="s">
        <v>56730</v>
      </c>
      <c r="G18648" s="2" t="str">
        <f>HYPERLINK("https://probpalata.gov.ru/files/ИП270900125200004.jpeg","Скачать индивидуальный QR-код магазина")</f>
        <v>Скачать индивидуальный QR-код магазина</v>
      </c>
    </row>
    <row r="18649" spans="1:7" x14ac:dyDescent="0.25">
      <c r="A18649" t="s">
        <v>56613</v>
      </c>
      <c r="B18649" t="s">
        <v>56731</v>
      </c>
      <c r="C18649" t="s">
        <v>56723</v>
      </c>
      <c r="D18649" t="s">
        <v>56724</v>
      </c>
      <c r="E18649" t="s">
        <v>56725</v>
      </c>
      <c r="F18649" t="s">
        <v>56732</v>
      </c>
      <c r="G18649" s="2" t="str">
        <f>HYPERLINK("https://probpalata.gov.ru/files/ИП270900125200005.jpeg","Скачать индивидуальный QR-код магазина")</f>
        <v>Скачать индивидуальный QR-код магазина</v>
      </c>
    </row>
    <row r="18650" spans="1:7" x14ac:dyDescent="0.25">
      <c r="A18650" t="s">
        <v>56613</v>
      </c>
      <c r="B18650" t="s">
        <v>56733</v>
      </c>
      <c r="C18650" t="s">
        <v>56723</v>
      </c>
      <c r="D18650" t="s">
        <v>56724</v>
      </c>
      <c r="E18650" t="s">
        <v>56725</v>
      </c>
      <c r="F18650" t="s">
        <v>56734</v>
      </c>
      <c r="G18650" s="2" t="str">
        <f>HYPERLINK("https://probpalata.gov.ru/files/ИП270900125200006.jpeg","Скачать индивидуальный QR-код магазина")</f>
        <v>Скачать индивидуальный QR-код магазина</v>
      </c>
    </row>
    <row r="18651" spans="1:7" x14ac:dyDescent="0.25">
      <c r="A18651" t="s">
        <v>56613</v>
      </c>
      <c r="B18651" t="s">
        <v>56735</v>
      </c>
      <c r="C18651" t="s">
        <v>56723</v>
      </c>
      <c r="D18651" t="s">
        <v>56724</v>
      </c>
      <c r="E18651" t="s">
        <v>56725</v>
      </c>
      <c r="F18651" t="s">
        <v>56736</v>
      </c>
      <c r="G18651" s="2" t="str">
        <f>HYPERLINK("https://probpalata.gov.ru/files/ИП270900125200007.jpeg","Скачать индивидуальный QR-код магазина")</f>
        <v>Скачать индивидуальный QR-код магазина</v>
      </c>
    </row>
    <row r="18652" spans="1:7" x14ac:dyDescent="0.25">
      <c r="A18652" t="s">
        <v>56613</v>
      </c>
      <c r="B18652" t="s">
        <v>56737</v>
      </c>
      <c r="C18652" t="s">
        <v>56723</v>
      </c>
      <c r="D18652" t="s">
        <v>56724</v>
      </c>
      <c r="E18652" t="s">
        <v>56725</v>
      </c>
      <c r="F18652" t="s">
        <v>56738</v>
      </c>
      <c r="G18652" s="2" t="str">
        <f>HYPERLINK("https://probpalata.gov.ru/files/ИП270900125200008.jpeg","Скачать индивидуальный QR-код магазина")</f>
        <v>Скачать индивидуальный QR-код магазина</v>
      </c>
    </row>
    <row r="18653" spans="1:7" x14ac:dyDescent="0.25">
      <c r="A18653" t="s">
        <v>56613</v>
      </c>
      <c r="B18653" t="s">
        <v>56739</v>
      </c>
      <c r="C18653" t="s">
        <v>4769</v>
      </c>
      <c r="D18653" t="s">
        <v>56740</v>
      </c>
      <c r="E18653" t="s">
        <v>56741</v>
      </c>
      <c r="F18653" t="s">
        <v>56742</v>
      </c>
      <c r="G18653" s="2" t="str">
        <f>HYPERLINK("https://probpalata.gov.ru/files/ЮЛ270901096900000.jpeg","Скачать индивидуальный QR-код магазина")</f>
        <v>Скачать индивидуальный QR-код магазина</v>
      </c>
    </row>
    <row r="18654" spans="1:7" x14ac:dyDescent="0.25">
      <c r="A18654" t="s">
        <v>56613</v>
      </c>
      <c r="B18654" t="s">
        <v>56743</v>
      </c>
      <c r="C18654" t="s">
        <v>848</v>
      </c>
      <c r="D18654" t="s">
        <v>849</v>
      </c>
      <c r="E18654" t="s">
        <v>850</v>
      </c>
      <c r="F18654" t="s">
        <v>56744</v>
      </c>
      <c r="G18654" s="2" t="str">
        <f>HYPERLINK("https://probpalata.gov.ru/files/ИП270901193700000.jpeg","Скачать индивидуальный QR-код магазина")</f>
        <v>Скачать индивидуальный QR-код магазина</v>
      </c>
    </row>
    <row r="18655" spans="1:7" x14ac:dyDescent="0.25">
      <c r="A18655" t="s">
        <v>56613</v>
      </c>
      <c r="B18655" t="s">
        <v>56745</v>
      </c>
      <c r="C18655" t="s">
        <v>848</v>
      </c>
      <c r="D18655" t="s">
        <v>849</v>
      </c>
      <c r="E18655" t="s">
        <v>850</v>
      </c>
      <c r="F18655" t="s">
        <v>56746</v>
      </c>
      <c r="G18655" s="2" t="str">
        <f>HYPERLINK("https://probpalata.gov.ru/files/ИП270901193700001.jpeg","Скачать индивидуальный QR-код магазина")</f>
        <v>Скачать индивидуальный QR-код магазина</v>
      </c>
    </row>
    <row r="18656" spans="1:7" x14ac:dyDescent="0.25">
      <c r="A18656" t="s">
        <v>56613</v>
      </c>
      <c r="B18656" t="s">
        <v>56747</v>
      </c>
      <c r="C18656" t="s">
        <v>848</v>
      </c>
      <c r="D18656" t="s">
        <v>849</v>
      </c>
      <c r="E18656" t="s">
        <v>850</v>
      </c>
      <c r="F18656" t="s">
        <v>56748</v>
      </c>
      <c r="G18656" s="2" t="str">
        <f>HYPERLINK("https://probpalata.gov.ru/files/ИП270901193700008.jpeg","Скачать индивидуальный QR-код магазина")</f>
        <v>Скачать индивидуальный QR-код магазина</v>
      </c>
    </row>
    <row r="18657" spans="1:7" x14ac:dyDescent="0.25">
      <c r="A18657" t="s">
        <v>56613</v>
      </c>
      <c r="B18657" t="s">
        <v>56749</v>
      </c>
      <c r="C18657" t="s">
        <v>36292</v>
      </c>
      <c r="D18657" t="s">
        <v>36293</v>
      </c>
      <c r="E18657" t="s">
        <v>36294</v>
      </c>
      <c r="F18657" t="s">
        <v>56750</v>
      </c>
      <c r="G18657" s="2" t="str">
        <f>HYPERLINK("https://probpalata.gov.ru/files/ЮЛ270900004700008.jpeg","Скачать индивидуальный QR-код магазина")</f>
        <v>Скачать индивидуальный QR-код магазина</v>
      </c>
    </row>
    <row r="18658" spans="1:7" x14ac:dyDescent="0.25">
      <c r="A18658" t="s">
        <v>56613</v>
      </c>
      <c r="B18658" t="s">
        <v>56751</v>
      </c>
      <c r="C18658" t="s">
        <v>56752</v>
      </c>
      <c r="D18658" t="s">
        <v>56753</v>
      </c>
      <c r="E18658" t="s">
        <v>56754</v>
      </c>
      <c r="F18658" t="s">
        <v>56755</v>
      </c>
      <c r="G18658" s="2" t="str">
        <f>HYPERLINK("https://probpalata.gov.ru/files/ЮЛ270901154500000.jpeg","Скачать индивидуальный QR-код магазина")</f>
        <v>Скачать индивидуальный QR-код магазина</v>
      </c>
    </row>
    <row r="18659" spans="1:7" x14ac:dyDescent="0.25">
      <c r="A18659" t="s">
        <v>56613</v>
      </c>
      <c r="B18659" t="s">
        <v>56756</v>
      </c>
      <c r="C18659" t="s">
        <v>56757</v>
      </c>
      <c r="D18659" t="s">
        <v>56758</v>
      </c>
      <c r="E18659" t="s">
        <v>56759</v>
      </c>
      <c r="F18659" t="s">
        <v>56760</v>
      </c>
      <c r="G18659" s="2" t="str">
        <f>HYPERLINK("https://probpalata.gov.ru/files/ЮЛ270900182600000.jpeg","Скачать индивидуальный QR-код магазина")</f>
        <v>Скачать индивидуальный QR-код магазина</v>
      </c>
    </row>
    <row r="18660" spans="1:7" x14ac:dyDescent="0.25">
      <c r="A18660" t="s">
        <v>56613</v>
      </c>
      <c r="B18660" t="s">
        <v>56761</v>
      </c>
      <c r="C18660" t="s">
        <v>56762</v>
      </c>
      <c r="D18660" t="s">
        <v>56763</v>
      </c>
      <c r="E18660" t="s">
        <v>56764</v>
      </c>
      <c r="F18660" t="s">
        <v>56765</v>
      </c>
      <c r="G18660" s="2" t="str">
        <f>HYPERLINK("https://probpalata.gov.ru/files/ЮЛ270903774200000.jpeg","Скачать индивидуальный QR-код магазина")</f>
        <v>Скачать индивидуальный QR-код магазина</v>
      </c>
    </row>
    <row r="18661" spans="1:7" x14ac:dyDescent="0.25">
      <c r="A18661" t="s">
        <v>56613</v>
      </c>
      <c r="B18661" t="s">
        <v>56766</v>
      </c>
      <c r="C18661" t="s">
        <v>56767</v>
      </c>
      <c r="D18661" t="s">
        <v>56768</v>
      </c>
      <c r="E18661" t="s">
        <v>56769</v>
      </c>
      <c r="F18661" t="s">
        <v>56770</v>
      </c>
      <c r="G18661" s="2" t="str">
        <f>HYPERLINK("https://probpalata.gov.ru/files/ЮЛ270900497200000.jpeg","Скачать индивидуальный QR-код магазина")</f>
        <v>Скачать индивидуальный QR-код магазина</v>
      </c>
    </row>
    <row r="18662" spans="1:7" x14ac:dyDescent="0.25">
      <c r="A18662" t="s">
        <v>56613</v>
      </c>
      <c r="B18662" t="s">
        <v>56771</v>
      </c>
      <c r="C18662" t="s">
        <v>56772</v>
      </c>
      <c r="D18662" t="s">
        <v>56773</v>
      </c>
      <c r="E18662" t="s">
        <v>56774</v>
      </c>
      <c r="F18662" t="s">
        <v>56775</v>
      </c>
      <c r="G18662" s="2" t="str">
        <f>HYPERLINK("https://probpalata.gov.ru/files/ЮЛ270900912900000.jpeg","Скачать индивидуальный QR-код магазина")</f>
        <v>Скачать индивидуальный QR-код магазина</v>
      </c>
    </row>
    <row r="18663" spans="1:7" x14ac:dyDescent="0.25">
      <c r="A18663" t="s">
        <v>56613</v>
      </c>
      <c r="B18663" t="s">
        <v>56776</v>
      </c>
      <c r="C18663" t="s">
        <v>56772</v>
      </c>
      <c r="D18663" t="s">
        <v>56773</v>
      </c>
      <c r="E18663" t="s">
        <v>56774</v>
      </c>
      <c r="F18663" t="s">
        <v>56777</v>
      </c>
      <c r="G18663" s="2" t="str">
        <f>HYPERLINK("https://probpalata.gov.ru/files/ЮЛ270900912900001.jpeg","Скачать индивидуальный QR-код магазина")</f>
        <v>Скачать индивидуальный QR-код магазина</v>
      </c>
    </row>
    <row r="18664" spans="1:7" x14ac:dyDescent="0.25">
      <c r="A18664" t="s">
        <v>56613</v>
      </c>
      <c r="B18664" t="s">
        <v>56778</v>
      </c>
      <c r="C18664" t="s">
        <v>56779</v>
      </c>
      <c r="D18664" t="s">
        <v>56780</v>
      </c>
      <c r="E18664" t="s">
        <v>56781</v>
      </c>
      <c r="F18664" t="s">
        <v>56782</v>
      </c>
      <c r="G18664" s="2" t="str">
        <f>HYPERLINK("https://probpalata.gov.ru/files/ИП270900908100003.jpeg","Скачать индивидуальный QR-код магазина")</f>
        <v>Скачать индивидуальный QR-код магазина</v>
      </c>
    </row>
    <row r="18665" spans="1:7" x14ac:dyDescent="0.25">
      <c r="A18665" t="s">
        <v>56613</v>
      </c>
      <c r="B18665" t="s">
        <v>56783</v>
      </c>
      <c r="C18665" t="s">
        <v>56779</v>
      </c>
      <c r="D18665" t="s">
        <v>56780</v>
      </c>
      <c r="E18665" t="s">
        <v>56781</v>
      </c>
      <c r="F18665" t="s">
        <v>56784</v>
      </c>
      <c r="G18665" s="2" t="str">
        <f>HYPERLINK("https://probpalata.gov.ru/files/ИП270900908100004.jpeg","Скачать индивидуальный QR-код магазина")</f>
        <v>Скачать индивидуальный QR-код магазина</v>
      </c>
    </row>
    <row r="18666" spans="1:7" x14ac:dyDescent="0.25">
      <c r="A18666" t="s">
        <v>56613</v>
      </c>
      <c r="B18666" t="s">
        <v>56785</v>
      </c>
      <c r="C18666" t="s">
        <v>56779</v>
      </c>
      <c r="D18666" t="s">
        <v>56780</v>
      </c>
      <c r="E18666" t="s">
        <v>56781</v>
      </c>
      <c r="F18666" t="s">
        <v>56786</v>
      </c>
      <c r="G18666" s="2" t="str">
        <f>HYPERLINK("https://probpalata.gov.ru/files/ИП270900908100005.jpeg","Скачать индивидуальный QR-код магазина")</f>
        <v>Скачать индивидуальный QR-код магазина</v>
      </c>
    </row>
    <row r="18667" spans="1:7" x14ac:dyDescent="0.25">
      <c r="A18667" t="s">
        <v>56613</v>
      </c>
      <c r="B18667" t="s">
        <v>56787</v>
      </c>
      <c r="C18667" t="s">
        <v>56788</v>
      </c>
      <c r="D18667" t="s">
        <v>56789</v>
      </c>
      <c r="E18667" t="s">
        <v>56790</v>
      </c>
      <c r="F18667" t="s">
        <v>56791</v>
      </c>
      <c r="G18667" s="2" t="str">
        <f>HYPERLINK("https://probpalata.gov.ru/files/ИП270904110600000.jpeg","Скачать индивидуальный QR-код магазина")</f>
        <v>Скачать индивидуальный QR-код магазина</v>
      </c>
    </row>
    <row r="18668" spans="1:7" x14ac:dyDescent="0.25">
      <c r="A18668" t="s">
        <v>56613</v>
      </c>
      <c r="B18668" t="s">
        <v>56792</v>
      </c>
      <c r="C18668" t="s">
        <v>56793</v>
      </c>
      <c r="D18668" t="s">
        <v>56794</v>
      </c>
      <c r="E18668" t="s">
        <v>56795</v>
      </c>
      <c r="F18668" t="s">
        <v>56796</v>
      </c>
      <c r="G18668" s="2" t="str">
        <f>HYPERLINK("https://probpalata.gov.ru/files/ИП270901252100000.jpeg","Скачать индивидуальный QR-код магазина")</f>
        <v>Скачать индивидуальный QR-код магазина</v>
      </c>
    </row>
    <row r="18669" spans="1:7" x14ac:dyDescent="0.25">
      <c r="A18669" t="s">
        <v>56613</v>
      </c>
      <c r="B18669" t="s">
        <v>56797</v>
      </c>
      <c r="C18669" t="s">
        <v>50288</v>
      </c>
      <c r="D18669" t="s">
        <v>50289</v>
      </c>
      <c r="E18669" t="s">
        <v>50290</v>
      </c>
      <c r="F18669" t="s">
        <v>56798</v>
      </c>
      <c r="G18669" s="2" t="str">
        <f>HYPERLINK("https://probpalata.gov.ru/files/ИП270900021200001.jpeg","Скачать индивидуальный QR-код магазина")</f>
        <v>Скачать индивидуальный QR-код магазина</v>
      </c>
    </row>
    <row r="18670" spans="1:7" x14ac:dyDescent="0.25">
      <c r="A18670" t="s">
        <v>56613</v>
      </c>
      <c r="B18670" t="s">
        <v>56799</v>
      </c>
      <c r="C18670" t="s">
        <v>50288</v>
      </c>
      <c r="D18670" t="s">
        <v>50289</v>
      </c>
      <c r="E18670" t="s">
        <v>50290</v>
      </c>
      <c r="F18670" t="s">
        <v>56800</v>
      </c>
      <c r="G18670" s="2" t="str">
        <f>HYPERLINK("https://probpalata.gov.ru/files/ИП270900021200003.jpeg","Скачать индивидуальный QR-код магазина")</f>
        <v>Скачать индивидуальный QR-код магазина</v>
      </c>
    </row>
    <row r="18671" spans="1:7" x14ac:dyDescent="0.25">
      <c r="A18671" t="s">
        <v>56613</v>
      </c>
      <c r="B18671" t="s">
        <v>56801</v>
      </c>
      <c r="C18671" t="s">
        <v>50288</v>
      </c>
      <c r="D18671" t="s">
        <v>50289</v>
      </c>
      <c r="E18671" t="s">
        <v>50290</v>
      </c>
      <c r="F18671" t="s">
        <v>56802</v>
      </c>
      <c r="G18671" s="2" t="str">
        <f>HYPERLINK("https://probpalata.gov.ru/files/ИП270900021200004.jpeg","Скачать индивидуальный QR-код магазина")</f>
        <v>Скачать индивидуальный QR-код магазина</v>
      </c>
    </row>
    <row r="18672" spans="1:7" x14ac:dyDescent="0.25">
      <c r="A18672" t="s">
        <v>56613</v>
      </c>
      <c r="B18672" t="s">
        <v>56803</v>
      </c>
      <c r="C18672" t="s">
        <v>853</v>
      </c>
      <c r="D18672" t="s">
        <v>854</v>
      </c>
      <c r="E18672" t="s">
        <v>855</v>
      </c>
      <c r="F18672" t="s">
        <v>56804</v>
      </c>
      <c r="G18672" s="2" t="str">
        <f>HYPERLINK("https://probpalata.gov.ru/files/ИП270900039700001.jpeg","Скачать индивидуальный QR-код магазина")</f>
        <v>Скачать индивидуальный QR-код магазина</v>
      </c>
    </row>
    <row r="18673" spans="1:7" x14ac:dyDescent="0.25">
      <c r="A18673" t="s">
        <v>56613</v>
      </c>
      <c r="B18673" t="s">
        <v>56805</v>
      </c>
      <c r="C18673" t="s">
        <v>56806</v>
      </c>
      <c r="D18673" t="s">
        <v>56807</v>
      </c>
      <c r="E18673" t="s">
        <v>56808</v>
      </c>
      <c r="F18673" t="s">
        <v>56809</v>
      </c>
      <c r="G18673" s="2" t="str">
        <f>HYPERLINK("https://probpalata.gov.ru/files/ИП270901096200000.jpeg","Скачать индивидуальный QR-код магазина")</f>
        <v>Скачать индивидуальный QR-код магазина</v>
      </c>
    </row>
    <row r="18674" spans="1:7" x14ac:dyDescent="0.25">
      <c r="A18674" t="s">
        <v>56613</v>
      </c>
      <c r="B18674" t="s">
        <v>56810</v>
      </c>
      <c r="C18674" t="s">
        <v>56811</v>
      </c>
      <c r="D18674" t="s">
        <v>56812</v>
      </c>
      <c r="E18674" t="s">
        <v>56813</v>
      </c>
      <c r="F18674" t="s">
        <v>56814</v>
      </c>
      <c r="G18674" s="2" t="str">
        <f>HYPERLINK("https://probpalata.gov.ru/files/ИП270901003400067.jpeg","Скачать индивидуальный QR-код магазина")</f>
        <v>Скачать индивидуальный QR-код магазина</v>
      </c>
    </row>
    <row r="18675" spans="1:7" x14ac:dyDescent="0.25">
      <c r="A18675" t="s">
        <v>56613</v>
      </c>
      <c r="B18675" t="s">
        <v>56815</v>
      </c>
      <c r="C18675" t="s">
        <v>56816</v>
      </c>
      <c r="D18675" t="s">
        <v>56817</v>
      </c>
      <c r="E18675" t="s">
        <v>56818</v>
      </c>
      <c r="F18675" t="s">
        <v>56819</v>
      </c>
      <c r="G18675" s="2" t="str">
        <f>HYPERLINK("https://probpalata.gov.ru/files/ЮЛ270900117200012.jpeg","Скачать индивидуальный QR-код магазина")</f>
        <v>Скачать индивидуальный QR-код магазина</v>
      </c>
    </row>
    <row r="18676" spans="1:7" x14ac:dyDescent="0.25">
      <c r="A18676" t="s">
        <v>56613</v>
      </c>
      <c r="B18676" t="s">
        <v>56820</v>
      </c>
      <c r="C18676" t="s">
        <v>56821</v>
      </c>
      <c r="D18676" t="s">
        <v>56822</v>
      </c>
      <c r="E18676" t="s">
        <v>56823</v>
      </c>
      <c r="F18676" t="s">
        <v>56824</v>
      </c>
      <c r="G18676" s="2" t="str">
        <f>HYPERLINK("https://probpalata.gov.ru/files/ИП270900578100000.jpeg","Скачать индивидуальный QR-код магазина")</f>
        <v>Скачать индивидуальный QR-код магазина</v>
      </c>
    </row>
    <row r="18677" spans="1:7" x14ac:dyDescent="0.25">
      <c r="A18677" t="s">
        <v>56613</v>
      </c>
      <c r="B18677" t="s">
        <v>56825</v>
      </c>
      <c r="C18677" t="s">
        <v>56826</v>
      </c>
      <c r="D18677" t="s">
        <v>56827</v>
      </c>
      <c r="E18677" t="s">
        <v>56828</v>
      </c>
      <c r="F18677" t="s">
        <v>56829</v>
      </c>
      <c r="G18677" s="2" t="str">
        <f>HYPERLINK("https://probpalata.gov.ru/files/ИП270901933300000.jpeg","Скачать индивидуальный QR-код магазина")</f>
        <v>Скачать индивидуальный QR-код магазина</v>
      </c>
    </row>
    <row r="18678" spans="1:7" x14ac:dyDescent="0.25">
      <c r="A18678" t="s">
        <v>56613</v>
      </c>
      <c r="B18678" t="s">
        <v>56830</v>
      </c>
      <c r="C18678" t="s">
        <v>41941</v>
      </c>
      <c r="D18678" t="s">
        <v>56831</v>
      </c>
      <c r="E18678" t="s">
        <v>56832</v>
      </c>
      <c r="F18678" t="s">
        <v>56833</v>
      </c>
      <c r="G18678" s="2" t="str">
        <f>HYPERLINK("https://probpalata.gov.ru/files/ЮЛ270901791900000.jpeg","Скачать индивидуальный QR-код магазина")</f>
        <v>Скачать индивидуальный QR-код магазина</v>
      </c>
    </row>
    <row r="18679" spans="1:7" x14ac:dyDescent="0.25">
      <c r="A18679" t="s">
        <v>56613</v>
      </c>
      <c r="B18679" t="s">
        <v>56834</v>
      </c>
      <c r="C18679" t="s">
        <v>863</v>
      </c>
      <c r="D18679" t="s">
        <v>864</v>
      </c>
      <c r="E18679" t="s">
        <v>865</v>
      </c>
      <c r="F18679" t="s">
        <v>56835</v>
      </c>
      <c r="G18679" s="2" t="str">
        <f>HYPERLINK("https://probpalata.gov.ru/files/ЮЛ270900211200000.jpeg","Скачать индивидуальный QR-код магазина")</f>
        <v>Скачать индивидуальный QR-код магазина</v>
      </c>
    </row>
    <row r="18680" spans="1:7" x14ac:dyDescent="0.25">
      <c r="A18680" t="s">
        <v>56613</v>
      </c>
      <c r="B18680" t="s">
        <v>56836</v>
      </c>
      <c r="C18680" t="s">
        <v>863</v>
      </c>
      <c r="D18680" t="s">
        <v>864</v>
      </c>
      <c r="E18680" t="s">
        <v>865</v>
      </c>
      <c r="F18680" t="s">
        <v>56837</v>
      </c>
      <c r="G18680" s="2" t="str">
        <f>HYPERLINK("https://probpalata.gov.ru/files/ЮЛ270900211200002.jpeg","Скачать индивидуальный QR-код магазина")</f>
        <v>Скачать индивидуальный QR-код магазина</v>
      </c>
    </row>
    <row r="18681" spans="1:7" x14ac:dyDescent="0.25">
      <c r="A18681" t="s">
        <v>56613</v>
      </c>
      <c r="B18681" t="s">
        <v>56838</v>
      </c>
      <c r="C18681" t="s">
        <v>863</v>
      </c>
      <c r="D18681" t="s">
        <v>864</v>
      </c>
      <c r="E18681" t="s">
        <v>865</v>
      </c>
      <c r="F18681" t="s">
        <v>56839</v>
      </c>
      <c r="G18681" s="2" t="str">
        <f>HYPERLINK("https://probpalata.gov.ru/files/ЮЛ270900211200004.jpeg","Скачать индивидуальный QR-код магазина")</f>
        <v>Скачать индивидуальный QR-код магазина</v>
      </c>
    </row>
    <row r="18682" spans="1:7" x14ac:dyDescent="0.25">
      <c r="A18682" t="s">
        <v>56613</v>
      </c>
      <c r="B18682" t="s">
        <v>56840</v>
      </c>
      <c r="C18682" t="s">
        <v>863</v>
      </c>
      <c r="D18682" t="s">
        <v>864</v>
      </c>
      <c r="E18682" t="s">
        <v>865</v>
      </c>
      <c r="F18682" t="s">
        <v>56841</v>
      </c>
      <c r="G18682" s="2" t="str">
        <f>HYPERLINK("https://probpalata.gov.ru/files/ЮЛ270900211200005.jpeg","Скачать индивидуальный QR-код магазина")</f>
        <v>Скачать индивидуальный QR-код магазина</v>
      </c>
    </row>
    <row r="18683" spans="1:7" x14ac:dyDescent="0.25">
      <c r="A18683" t="s">
        <v>56613</v>
      </c>
      <c r="B18683" t="s">
        <v>56842</v>
      </c>
      <c r="C18683" t="s">
        <v>863</v>
      </c>
      <c r="D18683" t="s">
        <v>864</v>
      </c>
      <c r="E18683" t="s">
        <v>865</v>
      </c>
      <c r="F18683" t="s">
        <v>56843</v>
      </c>
      <c r="G18683" s="2" t="str">
        <f>HYPERLINK("https://probpalata.gov.ru/files/ЮЛ270900211200006.jpeg","Скачать индивидуальный QR-код магазина")</f>
        <v>Скачать индивидуальный QR-код магазина</v>
      </c>
    </row>
    <row r="18684" spans="1:7" x14ac:dyDescent="0.25">
      <c r="A18684" t="s">
        <v>56613</v>
      </c>
      <c r="B18684" t="s">
        <v>56778</v>
      </c>
      <c r="C18684" t="s">
        <v>863</v>
      </c>
      <c r="D18684" t="s">
        <v>864</v>
      </c>
      <c r="E18684" t="s">
        <v>865</v>
      </c>
      <c r="F18684" t="s">
        <v>56844</v>
      </c>
      <c r="G18684" s="2" t="str">
        <f>HYPERLINK("https://probpalata.gov.ru/files/ЮЛ270900211200007.jpeg","Скачать индивидуальный QR-код магазина")</f>
        <v>Скачать индивидуальный QR-код магазина</v>
      </c>
    </row>
    <row r="18685" spans="1:7" x14ac:dyDescent="0.25">
      <c r="A18685" t="s">
        <v>56613</v>
      </c>
      <c r="B18685" t="s">
        <v>56845</v>
      </c>
      <c r="C18685" t="s">
        <v>863</v>
      </c>
      <c r="D18685" t="s">
        <v>864</v>
      </c>
      <c r="E18685" t="s">
        <v>865</v>
      </c>
      <c r="F18685" t="s">
        <v>56846</v>
      </c>
      <c r="G18685" s="2" t="str">
        <f>HYPERLINK("https://probpalata.gov.ru/files/ЮЛ270900211200009.jpeg","Скачать индивидуальный QR-код магазина")</f>
        <v>Скачать индивидуальный QR-код магазина</v>
      </c>
    </row>
    <row r="18686" spans="1:7" x14ac:dyDescent="0.25">
      <c r="A18686" t="s">
        <v>56613</v>
      </c>
      <c r="B18686" t="s">
        <v>56847</v>
      </c>
      <c r="C18686" t="s">
        <v>863</v>
      </c>
      <c r="D18686" t="s">
        <v>864</v>
      </c>
      <c r="E18686" t="s">
        <v>865</v>
      </c>
      <c r="F18686" t="s">
        <v>56848</v>
      </c>
      <c r="G18686" s="2" t="str">
        <f>HYPERLINK("https://probpalata.gov.ru/files/ЮЛ270900211200010.jpeg","Скачать индивидуальный QR-код магазина")</f>
        <v>Скачать индивидуальный QR-код магазина</v>
      </c>
    </row>
    <row r="18687" spans="1:7" x14ac:dyDescent="0.25">
      <c r="A18687" t="s">
        <v>56613</v>
      </c>
      <c r="B18687" t="s">
        <v>56849</v>
      </c>
      <c r="C18687" t="s">
        <v>863</v>
      </c>
      <c r="D18687" t="s">
        <v>864</v>
      </c>
      <c r="E18687" t="s">
        <v>865</v>
      </c>
      <c r="F18687" t="s">
        <v>56850</v>
      </c>
      <c r="G18687" s="2" t="str">
        <f>HYPERLINK("https://probpalata.gov.ru/files/ЮЛ270900211200011.jpeg","Скачать индивидуальный QR-код магазина")</f>
        <v>Скачать индивидуальный QR-код магазина</v>
      </c>
    </row>
    <row r="18688" spans="1:7" x14ac:dyDescent="0.25">
      <c r="A18688" t="s">
        <v>56613</v>
      </c>
      <c r="B18688" t="s">
        <v>56851</v>
      </c>
      <c r="C18688" t="s">
        <v>863</v>
      </c>
      <c r="D18688" t="s">
        <v>864</v>
      </c>
      <c r="E18688" t="s">
        <v>865</v>
      </c>
      <c r="F18688" t="s">
        <v>56852</v>
      </c>
      <c r="G18688" s="2" t="str">
        <f>HYPERLINK("https://probpalata.gov.ru/files/ЮЛ270900211200012.jpeg","Скачать индивидуальный QR-код магазина")</f>
        <v>Скачать индивидуальный QR-код магазина</v>
      </c>
    </row>
    <row r="18689" spans="1:7" x14ac:dyDescent="0.25">
      <c r="A18689" t="s">
        <v>56613</v>
      </c>
      <c r="B18689" t="s">
        <v>56803</v>
      </c>
      <c r="C18689" t="s">
        <v>863</v>
      </c>
      <c r="D18689" t="s">
        <v>864</v>
      </c>
      <c r="E18689" t="s">
        <v>865</v>
      </c>
      <c r="F18689" t="s">
        <v>56853</v>
      </c>
      <c r="G18689" s="2" t="str">
        <f>HYPERLINK("https://probpalata.gov.ru/files/ЮЛ270900211200017.jpeg","Скачать индивидуальный QR-код магазина")</f>
        <v>Скачать индивидуальный QR-код магазина</v>
      </c>
    </row>
    <row r="18690" spans="1:7" x14ac:dyDescent="0.25">
      <c r="A18690" t="s">
        <v>56613</v>
      </c>
      <c r="B18690" t="s">
        <v>56854</v>
      </c>
      <c r="C18690" t="s">
        <v>863</v>
      </c>
      <c r="D18690" t="s">
        <v>864</v>
      </c>
      <c r="E18690" t="s">
        <v>865</v>
      </c>
      <c r="F18690" t="s">
        <v>56855</v>
      </c>
      <c r="G18690" s="2" t="str">
        <f>HYPERLINK("https://probpalata.gov.ru/files/ЮЛ270900211200032.jpeg","Скачать индивидуальный QR-код магазина")</f>
        <v>Скачать индивидуальный QR-код магазина</v>
      </c>
    </row>
    <row r="18691" spans="1:7" x14ac:dyDescent="0.25">
      <c r="A18691" t="s">
        <v>56613</v>
      </c>
      <c r="B18691" t="s">
        <v>56840</v>
      </c>
      <c r="C18691" t="s">
        <v>863</v>
      </c>
      <c r="D18691" t="s">
        <v>864</v>
      </c>
      <c r="E18691" t="s">
        <v>865</v>
      </c>
      <c r="F18691" t="s">
        <v>56856</v>
      </c>
      <c r="G18691" s="2" t="str">
        <f>HYPERLINK("https://probpalata.gov.ru/files/ЮЛ270900211200036.jpeg","Скачать индивидуальный QR-код магазина")</f>
        <v>Скачать индивидуальный QR-код магазина</v>
      </c>
    </row>
    <row r="18692" spans="1:7" x14ac:dyDescent="0.25">
      <c r="A18692" t="s">
        <v>56613</v>
      </c>
      <c r="B18692" t="s">
        <v>56857</v>
      </c>
      <c r="C18692" t="s">
        <v>863</v>
      </c>
      <c r="D18692" t="s">
        <v>864</v>
      </c>
      <c r="E18692" t="s">
        <v>865</v>
      </c>
      <c r="F18692" t="s">
        <v>56858</v>
      </c>
      <c r="G18692" s="2" t="str">
        <f>HYPERLINK("https://probpalata.gov.ru/files/ЮЛ270900211200053.jpeg","Скачать индивидуальный QR-код магазина")</f>
        <v>Скачать индивидуальный QR-код магазина</v>
      </c>
    </row>
    <row r="18693" spans="1:7" x14ac:dyDescent="0.25">
      <c r="A18693" t="s">
        <v>56613</v>
      </c>
      <c r="B18693" t="s">
        <v>56859</v>
      </c>
      <c r="C18693" t="s">
        <v>863</v>
      </c>
      <c r="D18693" t="s">
        <v>864</v>
      </c>
      <c r="E18693" t="s">
        <v>865</v>
      </c>
      <c r="F18693" t="s">
        <v>56860</v>
      </c>
      <c r="G18693" s="2" t="str">
        <f>HYPERLINK("https://probpalata.gov.ru/files/ЮЛ270900211200054.jpeg","Скачать индивидуальный QR-код магазина")</f>
        <v>Скачать индивидуальный QR-код магазина</v>
      </c>
    </row>
    <row r="18694" spans="1:7" x14ac:dyDescent="0.25">
      <c r="A18694" t="s">
        <v>56613</v>
      </c>
      <c r="B18694" t="s">
        <v>56861</v>
      </c>
      <c r="C18694" t="s">
        <v>863</v>
      </c>
      <c r="D18694" t="s">
        <v>864</v>
      </c>
      <c r="E18694" t="s">
        <v>865</v>
      </c>
      <c r="F18694" t="s">
        <v>56862</v>
      </c>
      <c r="G18694" s="2" t="str">
        <f>HYPERLINK("https://probpalata.gov.ru/files/ЮЛ270900211200055.jpeg","Скачать индивидуальный QR-код магазина")</f>
        <v>Скачать индивидуальный QR-код магазина</v>
      </c>
    </row>
    <row r="18695" spans="1:7" x14ac:dyDescent="0.25">
      <c r="A18695" t="s">
        <v>56613</v>
      </c>
      <c r="B18695" t="s">
        <v>56863</v>
      </c>
      <c r="C18695" t="s">
        <v>863</v>
      </c>
      <c r="D18695" t="s">
        <v>864</v>
      </c>
      <c r="E18695" t="s">
        <v>865</v>
      </c>
      <c r="F18695" t="s">
        <v>56864</v>
      </c>
      <c r="G18695" s="2" t="str">
        <f>HYPERLINK("https://probpalata.gov.ru/files/ЮЛ270900211200056.jpeg","Скачать индивидуальный QR-код магазина")</f>
        <v>Скачать индивидуальный QR-код магазина</v>
      </c>
    </row>
    <row r="18696" spans="1:7" x14ac:dyDescent="0.25">
      <c r="A18696" t="s">
        <v>56613</v>
      </c>
      <c r="B18696" t="s">
        <v>56865</v>
      </c>
      <c r="C18696" t="s">
        <v>863</v>
      </c>
      <c r="D18696" t="s">
        <v>864</v>
      </c>
      <c r="E18696" t="s">
        <v>865</v>
      </c>
      <c r="F18696" t="s">
        <v>56866</v>
      </c>
      <c r="G18696" s="2" t="str">
        <f>HYPERLINK("https://probpalata.gov.ru/files/ЮЛ270900211200070.jpeg","Скачать индивидуальный QR-код магазина")</f>
        <v>Скачать индивидуальный QR-код магазина</v>
      </c>
    </row>
    <row r="18697" spans="1:7" x14ac:dyDescent="0.25">
      <c r="A18697" t="s">
        <v>56613</v>
      </c>
      <c r="B18697" t="s">
        <v>56867</v>
      </c>
      <c r="C18697" t="s">
        <v>863</v>
      </c>
      <c r="D18697" t="s">
        <v>864</v>
      </c>
      <c r="E18697" t="s">
        <v>865</v>
      </c>
      <c r="F18697" t="s">
        <v>56868</v>
      </c>
      <c r="G18697" s="2" t="str">
        <f>HYPERLINK("https://probpalata.gov.ru/files/ЮЛ270900211200071.jpeg","Скачать индивидуальный QR-код магазина")</f>
        <v>Скачать индивидуальный QR-код магазина</v>
      </c>
    </row>
    <row r="18698" spans="1:7" x14ac:dyDescent="0.25">
      <c r="A18698" t="s">
        <v>56613</v>
      </c>
      <c r="B18698" t="s">
        <v>56869</v>
      </c>
      <c r="C18698" t="s">
        <v>863</v>
      </c>
      <c r="D18698" t="s">
        <v>864</v>
      </c>
      <c r="E18698" t="s">
        <v>865</v>
      </c>
      <c r="F18698" t="s">
        <v>56870</v>
      </c>
      <c r="G18698" s="2" t="str">
        <f>HYPERLINK("https://probpalata.gov.ru/files/ЮЛ270900211200072.jpeg","Скачать индивидуальный QR-код магазина")</f>
        <v>Скачать индивидуальный QR-код магазина</v>
      </c>
    </row>
    <row r="18699" spans="1:7" x14ac:dyDescent="0.25">
      <c r="A18699" t="s">
        <v>56613</v>
      </c>
      <c r="B18699" t="s">
        <v>56871</v>
      </c>
      <c r="C18699" t="s">
        <v>863</v>
      </c>
      <c r="D18699" t="s">
        <v>864</v>
      </c>
      <c r="E18699" t="s">
        <v>865</v>
      </c>
      <c r="F18699" t="s">
        <v>56872</v>
      </c>
      <c r="G18699" s="2" t="str">
        <f>HYPERLINK("https://probpalata.gov.ru/files/ЮЛ270900211200074.jpeg","Скачать индивидуальный QR-код магазина")</f>
        <v>Скачать индивидуальный QR-код магазина</v>
      </c>
    </row>
    <row r="18700" spans="1:7" x14ac:dyDescent="0.25">
      <c r="A18700" t="s">
        <v>56613</v>
      </c>
      <c r="B18700" t="s">
        <v>56873</v>
      </c>
      <c r="C18700" t="s">
        <v>863</v>
      </c>
      <c r="D18700" t="s">
        <v>864</v>
      </c>
      <c r="E18700" t="s">
        <v>865</v>
      </c>
      <c r="F18700" t="s">
        <v>56874</v>
      </c>
      <c r="G18700" s="2" t="str">
        <f>HYPERLINK("https://probpalata.gov.ru/files/ЮЛ270900211200076.jpeg","Скачать индивидуальный QR-код магазина")</f>
        <v>Скачать индивидуальный QR-код магазина</v>
      </c>
    </row>
    <row r="18701" spans="1:7" x14ac:dyDescent="0.25">
      <c r="A18701" t="s">
        <v>56613</v>
      </c>
      <c r="B18701" t="s">
        <v>56875</v>
      </c>
      <c r="C18701" t="s">
        <v>863</v>
      </c>
      <c r="D18701" t="s">
        <v>864</v>
      </c>
      <c r="E18701" t="s">
        <v>865</v>
      </c>
      <c r="F18701" t="s">
        <v>56876</v>
      </c>
      <c r="G18701" s="2" t="str">
        <f>HYPERLINK("https://probpalata.gov.ru/files/ЮЛ270900211200080.jpeg","Скачать индивидуальный QR-код магазина")</f>
        <v>Скачать индивидуальный QR-код магазина</v>
      </c>
    </row>
    <row r="18702" spans="1:7" x14ac:dyDescent="0.25">
      <c r="A18702" t="s">
        <v>56613</v>
      </c>
      <c r="B18702" t="s">
        <v>56877</v>
      </c>
      <c r="C18702" t="s">
        <v>56878</v>
      </c>
      <c r="D18702" t="s">
        <v>56879</v>
      </c>
      <c r="E18702" t="s">
        <v>56880</v>
      </c>
      <c r="F18702" t="s">
        <v>56881</v>
      </c>
      <c r="G18702" s="2" t="str">
        <f>HYPERLINK("https://probpalata.gov.ru/files/ИП270901000000000.jpeg","Скачать индивидуальный QR-код магазина")</f>
        <v>Скачать индивидуальный QR-код магазина</v>
      </c>
    </row>
    <row r="18703" spans="1:7" x14ac:dyDescent="0.25">
      <c r="A18703" t="s">
        <v>56613</v>
      </c>
      <c r="B18703" t="s">
        <v>56882</v>
      </c>
      <c r="C18703" t="s">
        <v>885</v>
      </c>
      <c r="D18703" t="s">
        <v>886</v>
      </c>
      <c r="E18703" t="s">
        <v>887</v>
      </c>
      <c r="F18703" t="s">
        <v>56883</v>
      </c>
      <c r="G18703" s="2" t="str">
        <f>HYPERLINK("https://probpalata.gov.ru/files/ИП270900018300001.jpeg","Скачать индивидуальный QR-код магазина")</f>
        <v>Скачать индивидуальный QR-код магазина</v>
      </c>
    </row>
    <row r="18704" spans="1:7" x14ac:dyDescent="0.25">
      <c r="A18704" t="s">
        <v>56613</v>
      </c>
      <c r="B18704" t="s">
        <v>56884</v>
      </c>
      <c r="C18704" t="s">
        <v>56885</v>
      </c>
      <c r="D18704" t="s">
        <v>56886</v>
      </c>
      <c r="E18704" t="s">
        <v>56887</v>
      </c>
      <c r="F18704" t="s">
        <v>56888</v>
      </c>
      <c r="G18704" s="2" t="str">
        <f>HYPERLINK("https://probpalata.gov.ru/files/ЮЛ270900160600004.jpeg","Скачать индивидуальный QR-код магазина")</f>
        <v>Скачать индивидуальный QR-код магазина</v>
      </c>
    </row>
    <row r="18705" spans="1:7" x14ac:dyDescent="0.25">
      <c r="A18705" t="s">
        <v>56613</v>
      </c>
      <c r="B18705" t="s">
        <v>56889</v>
      </c>
      <c r="C18705" t="s">
        <v>56885</v>
      </c>
      <c r="D18705" t="s">
        <v>56886</v>
      </c>
      <c r="E18705" t="s">
        <v>56887</v>
      </c>
      <c r="F18705" t="s">
        <v>56890</v>
      </c>
      <c r="G18705" s="2" t="str">
        <f>HYPERLINK("https://probpalata.gov.ru/files/ЮЛ270900160600005.jpeg","Скачать индивидуальный QR-код магазина")</f>
        <v>Скачать индивидуальный QR-код магазина</v>
      </c>
    </row>
    <row r="18706" spans="1:7" x14ac:dyDescent="0.25">
      <c r="A18706" t="s">
        <v>56613</v>
      </c>
      <c r="B18706" t="s">
        <v>56891</v>
      </c>
      <c r="C18706" t="s">
        <v>56885</v>
      </c>
      <c r="D18706" t="s">
        <v>56886</v>
      </c>
      <c r="E18706" t="s">
        <v>56887</v>
      </c>
      <c r="F18706" t="s">
        <v>56892</v>
      </c>
      <c r="G18706" s="2" t="str">
        <f>HYPERLINK("https://probpalata.gov.ru/files/ЮЛ270900160600008.jpeg","Скачать индивидуальный QR-код магазина")</f>
        <v>Скачать индивидуальный QR-код магазина</v>
      </c>
    </row>
    <row r="18707" spans="1:7" x14ac:dyDescent="0.25">
      <c r="A18707" t="s">
        <v>56613</v>
      </c>
      <c r="B18707" t="s">
        <v>56893</v>
      </c>
      <c r="C18707" t="s">
        <v>56885</v>
      </c>
      <c r="D18707" t="s">
        <v>56886</v>
      </c>
      <c r="E18707" t="s">
        <v>56887</v>
      </c>
      <c r="F18707" t="s">
        <v>56894</v>
      </c>
      <c r="G18707" s="2" t="str">
        <f>HYPERLINK("https://probpalata.gov.ru/files/ЮЛ270900160600013.jpeg","Скачать индивидуальный QR-код магазина")</f>
        <v>Скачать индивидуальный QR-код магазина</v>
      </c>
    </row>
    <row r="18708" spans="1:7" x14ac:dyDescent="0.25">
      <c r="A18708" t="s">
        <v>56613</v>
      </c>
      <c r="B18708" t="s">
        <v>56895</v>
      </c>
      <c r="C18708" t="s">
        <v>56885</v>
      </c>
      <c r="D18708" t="s">
        <v>56886</v>
      </c>
      <c r="E18708" t="s">
        <v>56887</v>
      </c>
      <c r="F18708" t="s">
        <v>56896</v>
      </c>
      <c r="G18708" s="2" t="str">
        <f>HYPERLINK("https://probpalata.gov.ru/files/ЮЛ270900160600018.jpeg","Скачать индивидуальный QR-код магазина")</f>
        <v>Скачать индивидуальный QR-код магазина</v>
      </c>
    </row>
    <row r="18709" spans="1:7" x14ac:dyDescent="0.25">
      <c r="A18709" t="s">
        <v>56613</v>
      </c>
      <c r="B18709" t="s">
        <v>56897</v>
      </c>
      <c r="C18709" t="s">
        <v>56898</v>
      </c>
      <c r="D18709" t="s">
        <v>56899</v>
      </c>
      <c r="E18709" t="s">
        <v>56900</v>
      </c>
      <c r="F18709" t="s">
        <v>56901</v>
      </c>
      <c r="G18709" s="2" t="str">
        <f>HYPERLINK("https://probpalata.gov.ru/files/ИП270900051700000.jpeg","Скачать индивидуальный QR-код магазина")</f>
        <v>Скачать индивидуальный QR-код магазина</v>
      </c>
    </row>
    <row r="18710" spans="1:7" x14ac:dyDescent="0.25">
      <c r="A18710" t="s">
        <v>56613</v>
      </c>
      <c r="B18710" t="s">
        <v>56902</v>
      </c>
      <c r="C18710" t="s">
        <v>36353</v>
      </c>
      <c r="D18710" t="s">
        <v>36354</v>
      </c>
      <c r="E18710" t="s">
        <v>36355</v>
      </c>
      <c r="F18710" t="s">
        <v>56903</v>
      </c>
      <c r="G18710" s="2" t="str">
        <f>HYPERLINK("https://probpalata.gov.ru/files/ИП770103234800004.jpeg","Скачать индивидуальный QR-код магазина")</f>
        <v>Скачать индивидуальный QR-код магазина</v>
      </c>
    </row>
    <row r="18711" spans="1:7" x14ac:dyDescent="0.25">
      <c r="A18711" t="s">
        <v>56613</v>
      </c>
      <c r="B18711" t="s">
        <v>56904</v>
      </c>
      <c r="C18711" t="s">
        <v>36353</v>
      </c>
      <c r="D18711" t="s">
        <v>36354</v>
      </c>
      <c r="E18711" t="s">
        <v>36355</v>
      </c>
      <c r="F18711" t="s">
        <v>56905</v>
      </c>
      <c r="G18711" s="2" t="str">
        <f>HYPERLINK("https://probpalata.gov.ru/files/ИП770103234800006.jpeg","Скачать индивидуальный QR-код магазина")</f>
        <v>Скачать индивидуальный QR-код магазина</v>
      </c>
    </row>
    <row r="18712" spans="1:7" x14ac:dyDescent="0.25">
      <c r="A18712" t="s">
        <v>56613</v>
      </c>
      <c r="B18712" t="s">
        <v>56906</v>
      </c>
      <c r="C18712" t="s">
        <v>36353</v>
      </c>
      <c r="D18712" t="s">
        <v>36354</v>
      </c>
      <c r="E18712" t="s">
        <v>36355</v>
      </c>
      <c r="F18712" t="s">
        <v>56907</v>
      </c>
      <c r="G18712" s="2" t="str">
        <f>HYPERLINK("https://probpalata.gov.ru/files/ИП770103234800007.jpeg","Скачать индивидуальный QR-код магазина")</f>
        <v>Скачать индивидуальный QR-код магазина</v>
      </c>
    </row>
    <row r="18713" spans="1:7" x14ac:dyDescent="0.25">
      <c r="A18713" t="s">
        <v>56613</v>
      </c>
      <c r="B18713" t="s">
        <v>56908</v>
      </c>
      <c r="C18713" t="s">
        <v>56909</v>
      </c>
      <c r="D18713" t="s">
        <v>56910</v>
      </c>
      <c r="E18713" t="s">
        <v>56911</v>
      </c>
      <c r="F18713" t="s">
        <v>56912</v>
      </c>
      <c r="G18713" s="2" t="str">
        <f>HYPERLINK("https://probpalata.gov.ru/files/ИП270900394900000.jpeg","Скачать индивидуальный QR-код магазина")</f>
        <v>Скачать индивидуальный QR-код магазина</v>
      </c>
    </row>
    <row r="18714" spans="1:7" x14ac:dyDescent="0.25">
      <c r="A18714" t="s">
        <v>56613</v>
      </c>
      <c r="B18714" t="s">
        <v>56913</v>
      </c>
      <c r="C18714" t="s">
        <v>56914</v>
      </c>
      <c r="D18714" t="s">
        <v>56915</v>
      </c>
      <c r="E18714" t="s">
        <v>56916</v>
      </c>
      <c r="F18714" t="s">
        <v>56917</v>
      </c>
      <c r="G18714" s="2" t="str">
        <f>HYPERLINK("https://probpalata.gov.ru/files/ИП270900344900000.jpeg","Скачать индивидуальный QR-код магазина")</f>
        <v>Скачать индивидуальный QR-код магазина</v>
      </c>
    </row>
    <row r="18715" spans="1:7" x14ac:dyDescent="0.25">
      <c r="A18715" t="s">
        <v>56613</v>
      </c>
      <c r="B18715" t="s">
        <v>56918</v>
      </c>
      <c r="C18715" t="s">
        <v>56919</v>
      </c>
      <c r="D18715" t="s">
        <v>56920</v>
      </c>
      <c r="E18715" t="s">
        <v>56921</v>
      </c>
      <c r="F18715" t="s">
        <v>56922</v>
      </c>
      <c r="G18715" s="2" t="str">
        <f>HYPERLINK("https://probpalata.gov.ru/files/ИП270903066500000.jpeg","Скачать индивидуальный QR-код магазина")</f>
        <v>Скачать индивидуальный QR-код магазина</v>
      </c>
    </row>
    <row r="18716" spans="1:7" x14ac:dyDescent="0.25">
      <c r="A18716" t="s">
        <v>56613</v>
      </c>
      <c r="B18716" t="s">
        <v>56923</v>
      </c>
      <c r="C18716" t="s">
        <v>1735</v>
      </c>
      <c r="D18716" t="s">
        <v>1736</v>
      </c>
      <c r="E18716" t="s">
        <v>1737</v>
      </c>
      <c r="F18716" t="s">
        <v>56924</v>
      </c>
      <c r="G18716" s="2" t="str">
        <f>HYPERLINK("https://probpalata.gov.ru/files/ЮЛ520603376600073.jpeg","Скачать индивидуальный QR-код магазина")</f>
        <v>Скачать индивидуальный QR-код магазина</v>
      </c>
    </row>
    <row r="18717" spans="1:7" x14ac:dyDescent="0.25">
      <c r="A18717" t="s">
        <v>56613</v>
      </c>
      <c r="B18717" t="s">
        <v>56925</v>
      </c>
      <c r="C18717" t="s">
        <v>6039</v>
      </c>
      <c r="D18717" t="s">
        <v>6040</v>
      </c>
      <c r="E18717" t="s">
        <v>6041</v>
      </c>
      <c r="F18717" t="s">
        <v>56926</v>
      </c>
      <c r="G18717" s="2" t="str">
        <f>HYPERLINK("https://probpalata.gov.ru/files/ИП770101425100004.jpeg","Скачать индивидуальный QR-код магазина")</f>
        <v>Скачать индивидуальный QR-код магазина</v>
      </c>
    </row>
    <row r="18718" spans="1:7" x14ac:dyDescent="0.25">
      <c r="A18718" t="s">
        <v>56613</v>
      </c>
      <c r="B18718" t="s">
        <v>56927</v>
      </c>
      <c r="C18718" t="s">
        <v>6039</v>
      </c>
      <c r="D18718" t="s">
        <v>6040</v>
      </c>
      <c r="E18718" t="s">
        <v>6041</v>
      </c>
      <c r="F18718" t="s">
        <v>56928</v>
      </c>
      <c r="G18718" s="2" t="str">
        <f>HYPERLINK("https://probpalata.gov.ru/files/ИП770101425100016.jpeg","Скачать индивидуальный QR-код магазина")</f>
        <v>Скачать индивидуальный QR-код магазина</v>
      </c>
    </row>
    <row r="18719" spans="1:7" x14ac:dyDescent="0.25">
      <c r="A18719" t="s">
        <v>56613</v>
      </c>
      <c r="B18719" t="s">
        <v>56929</v>
      </c>
      <c r="C18719" t="s">
        <v>6039</v>
      </c>
      <c r="D18719" t="s">
        <v>6040</v>
      </c>
      <c r="E18719" t="s">
        <v>6041</v>
      </c>
      <c r="F18719" t="s">
        <v>56930</v>
      </c>
      <c r="G18719" s="2" t="str">
        <f>HYPERLINK("https://probpalata.gov.ru/files/ИП770101425100030.jpeg","Скачать индивидуальный QR-код магазина")</f>
        <v>Скачать индивидуальный QR-код магазина</v>
      </c>
    </row>
    <row r="18720" spans="1:7" x14ac:dyDescent="0.25">
      <c r="A18720" t="s">
        <v>56613</v>
      </c>
      <c r="B18720" t="s">
        <v>56931</v>
      </c>
      <c r="C18720" t="s">
        <v>56932</v>
      </c>
      <c r="D18720" t="s">
        <v>56933</v>
      </c>
      <c r="E18720" t="s">
        <v>56934</v>
      </c>
      <c r="F18720" t="s">
        <v>56935</v>
      </c>
      <c r="G18720" s="2" t="str">
        <f>HYPERLINK("https://probpalata.gov.ru/files/ИП270900183000000.jpeg","Скачать индивидуальный QR-код магазина")</f>
        <v>Скачать индивидуальный QR-код магазина</v>
      </c>
    </row>
    <row r="18721" spans="1:7" x14ac:dyDescent="0.25">
      <c r="A18721" t="s">
        <v>56613</v>
      </c>
      <c r="B18721" t="s">
        <v>56842</v>
      </c>
      <c r="C18721" t="s">
        <v>1416</v>
      </c>
      <c r="D18721" t="s">
        <v>1417</v>
      </c>
      <c r="E18721" t="s">
        <v>1418</v>
      </c>
      <c r="F18721" t="s">
        <v>56936</v>
      </c>
      <c r="G18721" s="2" t="str">
        <f>HYPERLINK("https://probpalata.gov.ru/files/ЮЛ770100419400209.jpeg","Скачать индивидуальный QR-код магазина")</f>
        <v>Скачать индивидуальный QR-код магазина</v>
      </c>
    </row>
    <row r="18722" spans="1:7" x14ac:dyDescent="0.25">
      <c r="A18722" t="s">
        <v>56613</v>
      </c>
      <c r="B18722" t="s">
        <v>56803</v>
      </c>
      <c r="C18722" t="s">
        <v>1416</v>
      </c>
      <c r="D18722" t="s">
        <v>1417</v>
      </c>
      <c r="E18722" t="s">
        <v>1418</v>
      </c>
      <c r="F18722" t="s">
        <v>56937</v>
      </c>
      <c r="G18722" s="2" t="str">
        <f>HYPERLINK("https://probpalata.gov.ru/files/ЮЛ770100419400212.jpeg","Скачать индивидуальный QR-код магазина")</f>
        <v>Скачать индивидуальный QR-код магазина</v>
      </c>
    </row>
    <row r="18723" spans="1:7" x14ac:dyDescent="0.25">
      <c r="A18723" t="s">
        <v>56613</v>
      </c>
      <c r="B18723" t="s">
        <v>56938</v>
      </c>
      <c r="C18723" t="s">
        <v>748</v>
      </c>
      <c r="D18723" t="s">
        <v>749</v>
      </c>
      <c r="E18723" t="s">
        <v>750</v>
      </c>
      <c r="F18723" t="s">
        <v>56939</v>
      </c>
      <c r="G18723" s="2" t="str">
        <f>HYPERLINK("https://probpalata.gov.ru/files/ЮЛ770100193500065.jpeg","Скачать индивидуальный QR-код магазина")</f>
        <v>Скачать индивидуальный QR-код магазина</v>
      </c>
    </row>
    <row r="18724" spans="1:7" x14ac:dyDescent="0.25">
      <c r="A18724" t="s">
        <v>56613</v>
      </c>
      <c r="B18724" t="s">
        <v>56940</v>
      </c>
      <c r="C18724" t="s">
        <v>748</v>
      </c>
      <c r="D18724" t="s">
        <v>749</v>
      </c>
      <c r="E18724" t="s">
        <v>750</v>
      </c>
      <c r="F18724" t="s">
        <v>56941</v>
      </c>
      <c r="G18724" s="2" t="str">
        <f>HYPERLINK("https://probpalata.gov.ru/files/ЮЛ770100193500066.jpeg","Скачать индивидуальный QR-код магазина")</f>
        <v>Скачать индивидуальный QR-код магазина</v>
      </c>
    </row>
    <row r="18725" spans="1:7" x14ac:dyDescent="0.25">
      <c r="A18725" t="s">
        <v>56613</v>
      </c>
      <c r="B18725" t="s">
        <v>56942</v>
      </c>
      <c r="C18725" t="s">
        <v>748</v>
      </c>
      <c r="D18725" t="s">
        <v>749</v>
      </c>
      <c r="E18725" t="s">
        <v>750</v>
      </c>
      <c r="F18725" t="s">
        <v>56943</v>
      </c>
      <c r="G18725" s="2" t="str">
        <f>HYPERLINK("https://probpalata.gov.ru/files/ЮЛ770100193500067.jpeg","Скачать индивидуальный QR-код магазина")</f>
        <v>Скачать индивидуальный QR-код магазина</v>
      </c>
    </row>
    <row r="18726" spans="1:7" x14ac:dyDescent="0.25">
      <c r="A18726" t="s">
        <v>56613</v>
      </c>
      <c r="B18726" t="s">
        <v>56944</v>
      </c>
      <c r="C18726" t="s">
        <v>748</v>
      </c>
      <c r="D18726" t="s">
        <v>749</v>
      </c>
      <c r="E18726" t="s">
        <v>750</v>
      </c>
      <c r="F18726" t="s">
        <v>56945</v>
      </c>
      <c r="G18726" s="2" t="str">
        <f>HYPERLINK("https://probpalata.gov.ru/files/ЮЛ770100193500527.jpeg","Скачать индивидуальный QR-код магазина")</f>
        <v>Скачать индивидуальный QR-код магазина</v>
      </c>
    </row>
    <row r="18727" spans="1:7" x14ac:dyDescent="0.25">
      <c r="A18727" t="s">
        <v>56613</v>
      </c>
      <c r="B18727" t="s">
        <v>56946</v>
      </c>
      <c r="C18727" t="s">
        <v>748</v>
      </c>
      <c r="D18727" t="s">
        <v>749</v>
      </c>
      <c r="E18727" t="s">
        <v>750</v>
      </c>
      <c r="F18727" t="s">
        <v>56947</v>
      </c>
      <c r="G18727" s="2" t="str">
        <f>HYPERLINK("https://probpalata.gov.ru/files/ЮЛ770100193500557.jpeg","Скачать индивидуальный QR-код магазина")</f>
        <v>Скачать индивидуальный QR-код магазина</v>
      </c>
    </row>
    <row r="18728" spans="1:7" x14ac:dyDescent="0.25">
      <c r="A18728" t="s">
        <v>56613</v>
      </c>
      <c r="B18728" t="s">
        <v>56948</v>
      </c>
      <c r="C18728" t="s">
        <v>748</v>
      </c>
      <c r="D18728" t="s">
        <v>749</v>
      </c>
      <c r="E18728" t="s">
        <v>750</v>
      </c>
      <c r="F18728" t="s">
        <v>56949</v>
      </c>
      <c r="G18728" s="2" t="str">
        <f>HYPERLINK("https://probpalata.gov.ru/files/ЮЛ770100193500594.jpeg","Скачать индивидуальный QR-код магазина")</f>
        <v>Скачать индивидуальный QR-код магазина</v>
      </c>
    </row>
    <row r="18729" spans="1:7" x14ac:dyDescent="0.25">
      <c r="A18729" t="s">
        <v>56613</v>
      </c>
      <c r="B18729" t="s">
        <v>56950</v>
      </c>
      <c r="C18729" t="s">
        <v>748</v>
      </c>
      <c r="D18729" t="s">
        <v>749</v>
      </c>
      <c r="E18729" t="s">
        <v>750</v>
      </c>
      <c r="F18729" t="s">
        <v>56951</v>
      </c>
      <c r="G18729" s="2" t="str">
        <f>HYPERLINK("https://probpalata.gov.ru/files/ЮЛ770100193500614.jpeg","Скачать индивидуальный QR-код магазина")</f>
        <v>Скачать индивидуальный QR-код магазина</v>
      </c>
    </row>
    <row r="18730" spans="1:7" x14ac:dyDescent="0.25">
      <c r="A18730" t="s">
        <v>56613</v>
      </c>
      <c r="B18730" t="s">
        <v>56952</v>
      </c>
      <c r="C18730" t="s">
        <v>748</v>
      </c>
      <c r="D18730" t="s">
        <v>749</v>
      </c>
      <c r="E18730" t="s">
        <v>750</v>
      </c>
      <c r="F18730" t="s">
        <v>56953</v>
      </c>
      <c r="G18730" s="2" t="str">
        <f>HYPERLINK("https://probpalata.gov.ru/files/ЮЛ770100193500743.jpeg","Скачать индивидуальный QR-код магазина")</f>
        <v>Скачать индивидуальный QR-код магазина</v>
      </c>
    </row>
    <row r="18731" spans="1:7" x14ac:dyDescent="0.25">
      <c r="A18731" t="s">
        <v>56613</v>
      </c>
      <c r="B18731" t="s">
        <v>56954</v>
      </c>
      <c r="C18731" t="s">
        <v>748</v>
      </c>
      <c r="D18731" t="s">
        <v>749</v>
      </c>
      <c r="E18731" t="s">
        <v>750</v>
      </c>
      <c r="F18731" t="s">
        <v>56955</v>
      </c>
      <c r="G18731" s="2" t="str">
        <f>HYPERLINK("https://probpalata.gov.ru/files/ЮЛ770100193500873.jpeg","Скачать индивидуальный QR-код магазина")</f>
        <v>Скачать индивидуальный QR-код магазина</v>
      </c>
    </row>
    <row r="18732" spans="1:7" x14ac:dyDescent="0.25">
      <c r="A18732" t="s">
        <v>56613</v>
      </c>
      <c r="B18732" t="s">
        <v>56956</v>
      </c>
      <c r="C18732" t="s">
        <v>748</v>
      </c>
      <c r="D18732" t="s">
        <v>749</v>
      </c>
      <c r="E18732" t="s">
        <v>750</v>
      </c>
      <c r="F18732" t="s">
        <v>56957</v>
      </c>
      <c r="G18732" s="2" t="str">
        <f>HYPERLINK("https://probpalata.gov.ru/files/ЮЛ770100193501092.jpeg","Скачать индивидуальный QR-код магазина")</f>
        <v>Скачать индивидуальный QR-код магазина</v>
      </c>
    </row>
    <row r="18733" spans="1:7" x14ac:dyDescent="0.25">
      <c r="A18733" t="s">
        <v>56613</v>
      </c>
      <c r="B18733" t="s">
        <v>56958</v>
      </c>
      <c r="C18733" t="s">
        <v>773</v>
      </c>
      <c r="D18733" t="s">
        <v>774</v>
      </c>
      <c r="E18733" t="s">
        <v>775</v>
      </c>
      <c r="F18733" t="s">
        <v>56959</v>
      </c>
      <c r="G18733" s="2" t="str">
        <f>HYPERLINK("https://probpalata.gov.ru/files/ЮЛ780300131300667.jpeg","Скачать индивидуальный QR-код магазина")</f>
        <v>Скачать индивидуальный QR-код магазина</v>
      </c>
    </row>
    <row r="18734" spans="1:7" x14ac:dyDescent="0.25">
      <c r="A18734" t="s">
        <v>56613</v>
      </c>
      <c r="B18734" t="s">
        <v>56958</v>
      </c>
      <c r="C18734" t="s">
        <v>4077</v>
      </c>
      <c r="D18734" t="s">
        <v>4078</v>
      </c>
      <c r="E18734" t="s">
        <v>4079</v>
      </c>
      <c r="F18734" t="s">
        <v>56960</v>
      </c>
      <c r="G18734" s="2" t="str">
        <f>HYPERLINK("https://probpalata.gov.ru/files/ЮЛ780300331800175.jpeg","Скачать индивидуальный QR-код магазина")</f>
        <v>Скачать индивидуальный QR-код магазина</v>
      </c>
    </row>
    <row r="18735" spans="1:7" x14ac:dyDescent="0.25">
      <c r="A18735" t="s">
        <v>56613</v>
      </c>
      <c r="B18735" t="s">
        <v>56961</v>
      </c>
      <c r="C18735" t="s">
        <v>798</v>
      </c>
      <c r="D18735" t="s">
        <v>799</v>
      </c>
      <c r="E18735" t="s">
        <v>800</v>
      </c>
      <c r="F18735" t="s">
        <v>56962</v>
      </c>
      <c r="G18735" s="2" t="str">
        <f>HYPERLINK("https://probpalata.gov.ru/files/ЮЛ780300308201098.jpeg","Скачать индивидуальный QR-код магазина")</f>
        <v>Скачать индивидуальный QR-код магазина</v>
      </c>
    </row>
    <row r="18736" spans="1:7" x14ac:dyDescent="0.25">
      <c r="A18736" t="s">
        <v>56613</v>
      </c>
      <c r="B18736" t="s">
        <v>56963</v>
      </c>
      <c r="C18736" t="s">
        <v>798</v>
      </c>
      <c r="D18736" t="s">
        <v>799</v>
      </c>
      <c r="E18736" t="s">
        <v>800</v>
      </c>
      <c r="F18736" t="s">
        <v>56964</v>
      </c>
      <c r="G18736" s="2" t="str">
        <f>HYPERLINK("https://probpalata.gov.ru/files/ЮЛ780300308201139.jpeg","Скачать индивидуальный QR-код магазина")</f>
        <v>Скачать индивидуальный QR-код магазина</v>
      </c>
    </row>
    <row r="18737" spans="1:7" x14ac:dyDescent="0.25">
      <c r="A18737" t="s">
        <v>56613</v>
      </c>
      <c r="B18737" t="s">
        <v>56965</v>
      </c>
      <c r="C18737" t="s">
        <v>798</v>
      </c>
      <c r="D18737" t="s">
        <v>799</v>
      </c>
      <c r="E18737" t="s">
        <v>800</v>
      </c>
      <c r="F18737" t="s">
        <v>56966</v>
      </c>
      <c r="G18737" s="2" t="str">
        <f>HYPERLINK("https://probpalata.gov.ru/files/ЮЛ780300308201217.jpeg","Скачать индивидуальный QR-код магазина")</f>
        <v>Скачать индивидуальный QR-код магазина</v>
      </c>
    </row>
    <row r="18738" spans="1:7" x14ac:dyDescent="0.25">
      <c r="A18738" t="s">
        <v>56613</v>
      </c>
      <c r="B18738" t="s">
        <v>56967</v>
      </c>
      <c r="C18738" t="s">
        <v>798</v>
      </c>
      <c r="D18738" t="s">
        <v>799</v>
      </c>
      <c r="E18738" t="s">
        <v>800</v>
      </c>
      <c r="F18738" t="s">
        <v>56968</v>
      </c>
      <c r="G18738" s="2" t="str">
        <f>HYPERLINK("https://probpalata.gov.ru/files/ЮЛ780300308201237.jpeg","Скачать индивидуальный QR-код магазина")</f>
        <v>Скачать индивидуальный QR-код магазина</v>
      </c>
    </row>
    <row r="18739" spans="1:7" x14ac:dyDescent="0.25">
      <c r="A18739" t="s">
        <v>56613</v>
      </c>
      <c r="B18739" t="s">
        <v>56969</v>
      </c>
      <c r="C18739" t="s">
        <v>36424</v>
      </c>
      <c r="D18739" t="s">
        <v>36425</v>
      </c>
      <c r="E18739" t="s">
        <v>36426</v>
      </c>
      <c r="F18739" t="s">
        <v>56970</v>
      </c>
      <c r="G18739" s="2" t="str">
        <f>HYPERLINK("https://probpalata.gov.ru/files/ИП790901511100001.jpeg","Скачать индивидуальный QR-код магазина")</f>
        <v>Скачать индивидуальный QR-код магазина</v>
      </c>
    </row>
    <row r="18740" spans="1:7" x14ac:dyDescent="0.25">
      <c r="A18740" t="s">
        <v>56613</v>
      </c>
      <c r="B18740" t="s">
        <v>56971</v>
      </c>
      <c r="C18740" t="s">
        <v>1501</v>
      </c>
      <c r="D18740" t="s">
        <v>1502</v>
      </c>
      <c r="E18740" t="s">
        <v>1503</v>
      </c>
      <c r="F18740" t="s">
        <v>56972</v>
      </c>
      <c r="G18740" s="2" t="str">
        <f>HYPERLINK("https://probpalata.gov.ru/files/ЮЛ770100439200274.jpeg","Скачать индивидуальный QR-код магазина")</f>
        <v>Скачать индивидуальный QR-код магазина</v>
      </c>
    </row>
    <row r="18741" spans="1:7" x14ac:dyDescent="0.25">
      <c r="A18741" t="s">
        <v>56613</v>
      </c>
      <c r="B18741" t="s">
        <v>56973</v>
      </c>
      <c r="C18741" t="s">
        <v>7852</v>
      </c>
      <c r="D18741" t="s">
        <v>7853</v>
      </c>
      <c r="E18741" t="s">
        <v>7854</v>
      </c>
      <c r="F18741" t="s">
        <v>56974</v>
      </c>
      <c r="G18741" s="2" t="str">
        <f>HYPERLINK("https://probpalata.gov.ru/files/ЮЛ770100029500013.jpeg","Скачать индивидуальный QR-код магазина")</f>
        <v>Скачать индивидуальный QR-код магазина</v>
      </c>
    </row>
    <row r="18742" spans="1:7" x14ac:dyDescent="0.25">
      <c r="A18742" t="s">
        <v>56975</v>
      </c>
      <c r="B18742" t="s">
        <v>56976</v>
      </c>
      <c r="C18742" t="s">
        <v>2171</v>
      </c>
      <c r="D18742" t="s">
        <v>2172</v>
      </c>
      <c r="E18742" t="s">
        <v>2173</v>
      </c>
      <c r="F18742" t="s">
        <v>56977</v>
      </c>
      <c r="G18742" s="2" t="str">
        <f>HYPERLINK("https://probpalata.gov.ru/files/ЮЛ500100602500047.jpeg","Скачать индивидуальный QR-код магазина")</f>
        <v>Скачать индивидуальный QR-код магазина</v>
      </c>
    </row>
    <row r="18743" spans="1:7" x14ac:dyDescent="0.25">
      <c r="A18743" t="s">
        <v>56975</v>
      </c>
      <c r="B18743" t="s">
        <v>56978</v>
      </c>
      <c r="C18743" t="s">
        <v>671</v>
      </c>
      <c r="D18743" t="s">
        <v>672</v>
      </c>
      <c r="E18743" t="s">
        <v>673</v>
      </c>
      <c r="F18743" t="s">
        <v>56979</v>
      </c>
      <c r="G18743" s="2" t="str">
        <f>HYPERLINK("https://probpalata.gov.ru/files/ИП500100445500057.jpeg","Скачать индивидуальный QR-код магазина")</f>
        <v>Скачать индивидуальный QR-код магазина</v>
      </c>
    </row>
    <row r="18744" spans="1:7" x14ac:dyDescent="0.25">
      <c r="A18744" t="s">
        <v>56975</v>
      </c>
      <c r="B18744" t="s">
        <v>56980</v>
      </c>
      <c r="C18744" t="s">
        <v>671</v>
      </c>
      <c r="D18744" t="s">
        <v>672</v>
      </c>
      <c r="E18744" t="s">
        <v>673</v>
      </c>
      <c r="F18744" t="s">
        <v>56981</v>
      </c>
      <c r="G18744" s="2" t="str">
        <f>HYPERLINK("https://probpalata.gov.ru/files/ИП500100445500060.jpeg","Скачать индивидуальный QR-код магазина")</f>
        <v>Скачать индивидуальный QR-код магазина</v>
      </c>
    </row>
    <row r="18745" spans="1:7" x14ac:dyDescent="0.25">
      <c r="A18745" t="s">
        <v>56975</v>
      </c>
      <c r="B18745" t="s">
        <v>56982</v>
      </c>
      <c r="C18745" t="s">
        <v>671</v>
      </c>
      <c r="D18745" t="s">
        <v>672</v>
      </c>
      <c r="E18745" t="s">
        <v>673</v>
      </c>
      <c r="F18745" t="s">
        <v>56983</v>
      </c>
      <c r="G18745" s="2" t="str">
        <f>HYPERLINK("https://probpalata.gov.ru/files/ИП500100445500088.jpeg","Скачать индивидуальный QR-код магазина")</f>
        <v>Скачать индивидуальный QR-код магазина</v>
      </c>
    </row>
    <row r="18746" spans="1:7" x14ac:dyDescent="0.25">
      <c r="A18746" t="s">
        <v>56975</v>
      </c>
      <c r="B18746" t="s">
        <v>56984</v>
      </c>
      <c r="C18746" t="s">
        <v>1735</v>
      </c>
      <c r="D18746" t="s">
        <v>1736</v>
      </c>
      <c r="E18746" t="s">
        <v>1737</v>
      </c>
      <c r="F18746" t="s">
        <v>56985</v>
      </c>
      <c r="G18746" s="2" t="str">
        <f>HYPERLINK("https://probpalata.gov.ru/files/ЮЛ520603376600124.jpeg","Скачать индивидуальный QR-код магазина")</f>
        <v>Скачать индивидуальный QR-код магазина</v>
      </c>
    </row>
    <row r="18747" spans="1:7" x14ac:dyDescent="0.25">
      <c r="A18747" t="s">
        <v>56975</v>
      </c>
      <c r="B18747" t="s">
        <v>56986</v>
      </c>
      <c r="C18747" t="s">
        <v>1735</v>
      </c>
      <c r="D18747" t="s">
        <v>1736</v>
      </c>
      <c r="E18747" t="s">
        <v>1737</v>
      </c>
      <c r="F18747" t="s">
        <v>56987</v>
      </c>
      <c r="G18747" s="2" t="str">
        <f>HYPERLINK("https://probpalata.gov.ru/files/ЮЛ520603376600148.jpeg","Скачать индивидуальный QR-код магазина")</f>
        <v>Скачать индивидуальный QR-код магазина</v>
      </c>
    </row>
    <row r="18748" spans="1:7" x14ac:dyDescent="0.25">
      <c r="A18748" t="s">
        <v>56975</v>
      </c>
      <c r="B18748" t="s">
        <v>56988</v>
      </c>
      <c r="C18748" t="s">
        <v>1735</v>
      </c>
      <c r="D18748" t="s">
        <v>1736</v>
      </c>
      <c r="E18748" t="s">
        <v>1737</v>
      </c>
      <c r="F18748" t="s">
        <v>56989</v>
      </c>
      <c r="G18748" s="2" t="str">
        <f>HYPERLINK("https://probpalata.gov.ru/files/ЮЛ520603376600158.jpeg","Скачать индивидуальный QR-код магазина")</f>
        <v>Скачать индивидуальный QR-код магазина</v>
      </c>
    </row>
    <row r="18749" spans="1:7" x14ac:dyDescent="0.25">
      <c r="A18749" t="s">
        <v>56975</v>
      </c>
      <c r="B18749" t="s">
        <v>56990</v>
      </c>
      <c r="C18749" t="s">
        <v>35262</v>
      </c>
      <c r="D18749" t="s">
        <v>35263</v>
      </c>
      <c r="E18749" t="s">
        <v>35264</v>
      </c>
      <c r="F18749" t="s">
        <v>56991</v>
      </c>
      <c r="G18749" s="2" t="str">
        <f>HYPERLINK("https://probpalata.gov.ru/files/ИП590601426900031.jpeg","Скачать индивидуальный QR-код магазина")</f>
        <v>Скачать индивидуальный QR-код магазина</v>
      </c>
    </row>
    <row r="18750" spans="1:7" x14ac:dyDescent="0.25">
      <c r="A18750" t="s">
        <v>56975</v>
      </c>
      <c r="B18750" t="s">
        <v>56992</v>
      </c>
      <c r="C18750" t="s">
        <v>35262</v>
      </c>
      <c r="D18750" t="s">
        <v>35263</v>
      </c>
      <c r="E18750" t="s">
        <v>35264</v>
      </c>
      <c r="F18750" t="s">
        <v>56993</v>
      </c>
      <c r="G18750" s="2" t="str">
        <f>HYPERLINK("https://probpalata.gov.ru/files/ИП590601426900033.jpeg","Скачать индивидуальный QR-код магазина")</f>
        <v>Скачать индивидуальный QR-код магазина</v>
      </c>
    </row>
    <row r="18751" spans="1:7" x14ac:dyDescent="0.25">
      <c r="A18751" t="s">
        <v>56975</v>
      </c>
      <c r="B18751" t="s">
        <v>56994</v>
      </c>
      <c r="C18751" t="s">
        <v>56995</v>
      </c>
      <c r="D18751" t="s">
        <v>56996</v>
      </c>
      <c r="E18751" t="s">
        <v>56997</v>
      </c>
      <c r="F18751" t="s">
        <v>56998</v>
      </c>
      <c r="G18751" s="2" t="str">
        <f>HYPERLINK("https://probpalata.gov.ru/files/ИП660703409300000.jpeg","Скачать индивидуальный QR-код магазина")</f>
        <v>Скачать индивидуальный QR-код магазина</v>
      </c>
    </row>
    <row r="18752" spans="1:7" x14ac:dyDescent="0.25">
      <c r="A18752" t="s">
        <v>56975</v>
      </c>
      <c r="B18752" t="s">
        <v>56999</v>
      </c>
      <c r="C18752" t="s">
        <v>50839</v>
      </c>
      <c r="D18752" t="s">
        <v>50840</v>
      </c>
      <c r="E18752" t="s">
        <v>50841</v>
      </c>
      <c r="F18752" t="s">
        <v>57000</v>
      </c>
      <c r="G18752" s="2" t="str">
        <f>HYPERLINK("https://probpalata.gov.ru/files/ИП660703142200010.jpeg","Скачать индивидуальный QR-код магазина")</f>
        <v>Скачать индивидуальный QR-код магазина</v>
      </c>
    </row>
    <row r="18753" spans="1:7" x14ac:dyDescent="0.25">
      <c r="A18753" t="s">
        <v>56975</v>
      </c>
      <c r="B18753" t="s">
        <v>57001</v>
      </c>
      <c r="C18753" t="s">
        <v>57002</v>
      </c>
      <c r="D18753" t="s">
        <v>57003</v>
      </c>
      <c r="E18753" t="s">
        <v>57004</v>
      </c>
      <c r="F18753" t="s">
        <v>57005</v>
      </c>
      <c r="G18753" s="2" t="str">
        <f>HYPERLINK("https://probpalata.gov.ru/files/ИП860701343500000.jpeg","Скачать индивидуальный QR-код магазина")</f>
        <v>Скачать индивидуальный QR-код магазина</v>
      </c>
    </row>
    <row r="18754" spans="1:7" x14ac:dyDescent="0.25">
      <c r="A18754" t="s">
        <v>56975</v>
      </c>
      <c r="B18754" t="s">
        <v>57006</v>
      </c>
      <c r="C18754" t="s">
        <v>713</v>
      </c>
      <c r="D18754" t="s">
        <v>714</v>
      </c>
      <c r="E18754" t="s">
        <v>715</v>
      </c>
      <c r="F18754" t="s">
        <v>57007</v>
      </c>
      <c r="G18754" s="2" t="str">
        <f>HYPERLINK("https://probpalata.gov.ru/files/ЮЛ770101216600078.jpeg","Скачать индивидуальный QR-код магазина")</f>
        <v>Скачать индивидуальный QR-код магазина</v>
      </c>
    </row>
    <row r="18755" spans="1:7" x14ac:dyDescent="0.25">
      <c r="A18755" t="s">
        <v>56975</v>
      </c>
      <c r="B18755" t="s">
        <v>57008</v>
      </c>
      <c r="C18755" t="s">
        <v>713</v>
      </c>
      <c r="D18755" t="s">
        <v>714</v>
      </c>
      <c r="E18755" t="s">
        <v>715</v>
      </c>
      <c r="F18755" t="s">
        <v>57009</v>
      </c>
      <c r="G18755" s="2" t="str">
        <f>HYPERLINK("https://probpalata.gov.ru/files/ЮЛ770101216600084.jpeg","Скачать индивидуальный QR-код магазина")</f>
        <v>Скачать индивидуальный QR-код магазина</v>
      </c>
    </row>
    <row r="18756" spans="1:7" x14ac:dyDescent="0.25">
      <c r="A18756" t="s">
        <v>56975</v>
      </c>
      <c r="B18756" t="s">
        <v>57010</v>
      </c>
      <c r="C18756" t="s">
        <v>713</v>
      </c>
      <c r="D18756" t="s">
        <v>714</v>
      </c>
      <c r="E18756" t="s">
        <v>715</v>
      </c>
      <c r="F18756" t="s">
        <v>57011</v>
      </c>
      <c r="G18756" s="2" t="str">
        <f>HYPERLINK("https://probpalata.gov.ru/files/ЮЛ770101216600131.jpeg","Скачать индивидуальный QR-код магазина")</f>
        <v>Скачать индивидуальный QR-код магазина</v>
      </c>
    </row>
    <row r="18757" spans="1:7" x14ac:dyDescent="0.25">
      <c r="A18757" t="s">
        <v>56975</v>
      </c>
      <c r="B18757" t="s">
        <v>57012</v>
      </c>
      <c r="C18757" t="s">
        <v>713</v>
      </c>
      <c r="D18757" t="s">
        <v>714</v>
      </c>
      <c r="E18757" t="s">
        <v>715</v>
      </c>
      <c r="F18757" t="s">
        <v>57013</v>
      </c>
      <c r="G18757" s="2" t="str">
        <f>HYPERLINK("https://probpalata.gov.ru/files/ЮЛ770101216600197.jpeg","Скачать индивидуальный QR-код магазина")</f>
        <v>Скачать индивидуальный QR-код магазина</v>
      </c>
    </row>
    <row r="18758" spans="1:7" x14ac:dyDescent="0.25">
      <c r="A18758" t="s">
        <v>56975</v>
      </c>
      <c r="B18758" t="s">
        <v>57014</v>
      </c>
      <c r="C18758" t="s">
        <v>713</v>
      </c>
      <c r="D18758" t="s">
        <v>714</v>
      </c>
      <c r="E18758" t="s">
        <v>715</v>
      </c>
      <c r="F18758" t="s">
        <v>57015</v>
      </c>
      <c r="G18758" s="2" t="str">
        <f>HYPERLINK("https://probpalata.gov.ru/files/ЮЛ770101216600274.jpeg","Скачать индивидуальный QR-код магазина")</f>
        <v>Скачать индивидуальный QR-код магазина</v>
      </c>
    </row>
    <row r="18759" spans="1:7" x14ac:dyDescent="0.25">
      <c r="A18759" t="s">
        <v>56975</v>
      </c>
      <c r="B18759" t="s">
        <v>57016</v>
      </c>
      <c r="C18759" t="s">
        <v>713</v>
      </c>
      <c r="D18759" t="s">
        <v>714</v>
      </c>
      <c r="E18759" t="s">
        <v>715</v>
      </c>
      <c r="F18759" t="s">
        <v>57017</v>
      </c>
      <c r="G18759" s="2" t="str">
        <f>HYPERLINK("https://probpalata.gov.ru/files/ЮЛ770101216600463.jpeg","Скачать индивидуальный QR-код магазина")</f>
        <v>Скачать индивидуальный QR-код магазина</v>
      </c>
    </row>
    <row r="18760" spans="1:7" x14ac:dyDescent="0.25">
      <c r="A18760" t="s">
        <v>56975</v>
      </c>
      <c r="B18760" t="s">
        <v>57018</v>
      </c>
      <c r="C18760" t="s">
        <v>713</v>
      </c>
      <c r="D18760" t="s">
        <v>714</v>
      </c>
      <c r="E18760" t="s">
        <v>715</v>
      </c>
      <c r="F18760" t="s">
        <v>57019</v>
      </c>
      <c r="G18760" s="2" t="str">
        <f>HYPERLINK("https://probpalata.gov.ru/files/ЮЛ770101216600527.jpeg","Скачать индивидуальный QR-код магазина")</f>
        <v>Скачать индивидуальный QR-код магазина</v>
      </c>
    </row>
    <row r="18761" spans="1:7" x14ac:dyDescent="0.25">
      <c r="A18761" t="s">
        <v>56975</v>
      </c>
      <c r="B18761" t="s">
        <v>57020</v>
      </c>
      <c r="C18761" t="s">
        <v>713</v>
      </c>
      <c r="D18761" t="s">
        <v>714</v>
      </c>
      <c r="E18761" t="s">
        <v>715</v>
      </c>
      <c r="F18761" t="s">
        <v>57021</v>
      </c>
      <c r="G18761" s="2" t="str">
        <f>HYPERLINK("https://probpalata.gov.ru/files/ЮЛ770101216600554.jpeg","Скачать индивидуальный QR-код магазина")</f>
        <v>Скачать индивидуальный QR-код магазина</v>
      </c>
    </row>
    <row r="18762" spans="1:7" x14ac:dyDescent="0.25">
      <c r="A18762" t="s">
        <v>56975</v>
      </c>
      <c r="B18762" t="s">
        <v>57022</v>
      </c>
      <c r="C18762" t="s">
        <v>713</v>
      </c>
      <c r="D18762" t="s">
        <v>714</v>
      </c>
      <c r="E18762" t="s">
        <v>715</v>
      </c>
      <c r="F18762" t="s">
        <v>57023</v>
      </c>
      <c r="G18762" s="2" t="str">
        <f>HYPERLINK("https://probpalata.gov.ru/files/ЮЛ770101216600604.jpeg","Скачать индивидуальный QR-код магазина")</f>
        <v>Скачать индивидуальный QR-код магазина</v>
      </c>
    </row>
    <row r="18763" spans="1:7" x14ac:dyDescent="0.25">
      <c r="A18763" t="s">
        <v>56975</v>
      </c>
      <c r="B18763" t="s">
        <v>57024</v>
      </c>
      <c r="C18763" t="s">
        <v>713</v>
      </c>
      <c r="D18763" t="s">
        <v>714</v>
      </c>
      <c r="E18763" t="s">
        <v>715</v>
      </c>
      <c r="F18763" t="s">
        <v>57025</v>
      </c>
      <c r="G18763" s="2" t="str">
        <f>HYPERLINK("https://probpalata.gov.ru/files/ЮЛ770101216600606.jpeg","Скачать индивидуальный QR-код магазина")</f>
        <v>Скачать индивидуальный QR-код магазина</v>
      </c>
    </row>
    <row r="18764" spans="1:7" x14ac:dyDescent="0.25">
      <c r="A18764" t="s">
        <v>56975</v>
      </c>
      <c r="B18764" t="s">
        <v>57026</v>
      </c>
      <c r="C18764" t="s">
        <v>713</v>
      </c>
      <c r="D18764" t="s">
        <v>714</v>
      </c>
      <c r="E18764" t="s">
        <v>715</v>
      </c>
      <c r="F18764" t="s">
        <v>57027</v>
      </c>
      <c r="G18764" s="2" t="str">
        <f>HYPERLINK("https://probpalata.gov.ru/files/ЮЛ770101216600632.jpeg","Скачать индивидуальный QR-код магазина")</f>
        <v>Скачать индивидуальный QR-код магазина</v>
      </c>
    </row>
    <row r="18765" spans="1:7" x14ac:dyDescent="0.25">
      <c r="A18765" t="s">
        <v>56975</v>
      </c>
      <c r="B18765" t="s">
        <v>57028</v>
      </c>
      <c r="C18765" t="s">
        <v>713</v>
      </c>
      <c r="D18765" t="s">
        <v>714</v>
      </c>
      <c r="E18765" t="s">
        <v>715</v>
      </c>
      <c r="F18765" t="s">
        <v>57029</v>
      </c>
      <c r="G18765" s="2" t="str">
        <f>HYPERLINK("https://probpalata.gov.ru/files/ЮЛ770101216600708.jpeg","Скачать индивидуальный QR-код магазина")</f>
        <v>Скачать индивидуальный QR-код магазина</v>
      </c>
    </row>
    <row r="18766" spans="1:7" x14ac:dyDescent="0.25">
      <c r="A18766" t="s">
        <v>56975</v>
      </c>
      <c r="B18766" t="s">
        <v>57030</v>
      </c>
      <c r="C18766" t="s">
        <v>713</v>
      </c>
      <c r="D18766" t="s">
        <v>714</v>
      </c>
      <c r="E18766" t="s">
        <v>715</v>
      </c>
      <c r="F18766" t="s">
        <v>57031</v>
      </c>
      <c r="G18766" s="2" t="str">
        <f>HYPERLINK("https://probpalata.gov.ru/files/ЮЛ770101216600811.jpeg","Скачать индивидуальный QR-код магазина")</f>
        <v>Скачать индивидуальный QR-код магазина</v>
      </c>
    </row>
    <row r="18767" spans="1:7" x14ac:dyDescent="0.25">
      <c r="A18767" t="s">
        <v>56975</v>
      </c>
      <c r="B18767" t="s">
        <v>57032</v>
      </c>
      <c r="C18767" t="s">
        <v>713</v>
      </c>
      <c r="D18767" t="s">
        <v>714</v>
      </c>
      <c r="E18767" t="s">
        <v>715</v>
      </c>
      <c r="F18767" t="s">
        <v>57033</v>
      </c>
      <c r="G18767" s="2" t="str">
        <f>HYPERLINK("https://probpalata.gov.ru/files/ЮЛ770101216600958.jpeg","Скачать индивидуальный QR-код магазина")</f>
        <v>Скачать индивидуальный QR-код магазина</v>
      </c>
    </row>
    <row r="18768" spans="1:7" x14ac:dyDescent="0.25">
      <c r="A18768" t="s">
        <v>56975</v>
      </c>
      <c r="B18768" t="s">
        <v>57034</v>
      </c>
      <c r="C18768" t="s">
        <v>1416</v>
      </c>
      <c r="D18768" t="s">
        <v>1417</v>
      </c>
      <c r="E18768" t="s">
        <v>1418</v>
      </c>
      <c r="F18768" t="s">
        <v>57035</v>
      </c>
      <c r="G18768" s="2" t="str">
        <f>HYPERLINK("https://probpalata.gov.ru/files/ЮЛ770100419400174.jpeg","Скачать индивидуальный QR-код магазина")</f>
        <v>Скачать индивидуальный QR-код магазина</v>
      </c>
    </row>
    <row r="18769" spans="1:7" x14ac:dyDescent="0.25">
      <c r="A18769" t="s">
        <v>56975</v>
      </c>
      <c r="B18769" t="s">
        <v>57036</v>
      </c>
      <c r="C18769" t="s">
        <v>1416</v>
      </c>
      <c r="D18769" t="s">
        <v>1417</v>
      </c>
      <c r="E18769" t="s">
        <v>1418</v>
      </c>
      <c r="F18769" t="s">
        <v>57037</v>
      </c>
      <c r="G18769" s="2" t="str">
        <f>HYPERLINK("https://probpalata.gov.ru/files/ЮЛ770100419400175.jpeg","Скачать индивидуальный QR-код магазина")</f>
        <v>Скачать индивидуальный QR-код магазина</v>
      </c>
    </row>
    <row r="18770" spans="1:7" x14ac:dyDescent="0.25">
      <c r="A18770" t="s">
        <v>56975</v>
      </c>
      <c r="B18770" t="s">
        <v>57038</v>
      </c>
      <c r="C18770" t="s">
        <v>1416</v>
      </c>
      <c r="D18770" t="s">
        <v>1417</v>
      </c>
      <c r="E18770" t="s">
        <v>1418</v>
      </c>
      <c r="F18770" t="s">
        <v>57039</v>
      </c>
      <c r="G18770" s="2" t="str">
        <f>HYPERLINK("https://probpalata.gov.ru/files/ЮЛ770100419400241.jpeg","Скачать индивидуальный QR-код магазина")</f>
        <v>Скачать индивидуальный QR-код магазина</v>
      </c>
    </row>
    <row r="18771" spans="1:7" x14ac:dyDescent="0.25">
      <c r="A18771" t="s">
        <v>56975</v>
      </c>
      <c r="B18771" t="s">
        <v>57040</v>
      </c>
      <c r="C18771" t="s">
        <v>748</v>
      </c>
      <c r="D18771" t="s">
        <v>749</v>
      </c>
      <c r="E18771" t="s">
        <v>750</v>
      </c>
      <c r="F18771" t="s">
        <v>57041</v>
      </c>
      <c r="G18771" s="2" t="str">
        <f>HYPERLINK("https://probpalata.gov.ru/files/ЮЛ770100193500161.jpeg","Скачать индивидуальный QR-код магазина")</f>
        <v>Скачать индивидуальный QR-код магазина</v>
      </c>
    </row>
    <row r="18772" spans="1:7" x14ac:dyDescent="0.25">
      <c r="A18772" t="s">
        <v>56975</v>
      </c>
      <c r="B18772" t="s">
        <v>57042</v>
      </c>
      <c r="C18772" t="s">
        <v>748</v>
      </c>
      <c r="D18772" t="s">
        <v>749</v>
      </c>
      <c r="E18772" t="s">
        <v>750</v>
      </c>
      <c r="F18772" t="s">
        <v>57043</v>
      </c>
      <c r="G18772" s="2" t="str">
        <f>HYPERLINK("https://probpalata.gov.ru/files/ЮЛ770100193500419.jpeg","Скачать индивидуальный QR-код магазина")</f>
        <v>Скачать индивидуальный QR-код магазина</v>
      </c>
    </row>
    <row r="18773" spans="1:7" x14ac:dyDescent="0.25">
      <c r="A18773" t="s">
        <v>56975</v>
      </c>
      <c r="B18773" t="s">
        <v>57044</v>
      </c>
      <c r="C18773" t="s">
        <v>748</v>
      </c>
      <c r="D18773" t="s">
        <v>749</v>
      </c>
      <c r="E18773" t="s">
        <v>750</v>
      </c>
      <c r="F18773" t="s">
        <v>57045</v>
      </c>
      <c r="G18773" s="2" t="str">
        <f>HYPERLINK("https://probpalata.gov.ru/files/ЮЛ770100193500420.jpeg","Скачать индивидуальный QR-код магазина")</f>
        <v>Скачать индивидуальный QR-код магазина</v>
      </c>
    </row>
    <row r="18774" spans="1:7" x14ac:dyDescent="0.25">
      <c r="A18774" t="s">
        <v>56975</v>
      </c>
      <c r="B18774" t="s">
        <v>57020</v>
      </c>
      <c r="C18774" t="s">
        <v>748</v>
      </c>
      <c r="D18774" t="s">
        <v>749</v>
      </c>
      <c r="E18774" t="s">
        <v>750</v>
      </c>
      <c r="F18774" t="s">
        <v>57046</v>
      </c>
      <c r="G18774" s="2" t="str">
        <f>HYPERLINK("https://probpalata.gov.ru/files/ЮЛ770100193500421.jpeg","Скачать индивидуальный QR-код магазина")</f>
        <v>Скачать индивидуальный QR-код магазина</v>
      </c>
    </row>
    <row r="18775" spans="1:7" x14ac:dyDescent="0.25">
      <c r="A18775" t="s">
        <v>56975</v>
      </c>
      <c r="B18775" t="s">
        <v>57047</v>
      </c>
      <c r="C18775" t="s">
        <v>748</v>
      </c>
      <c r="D18775" t="s">
        <v>749</v>
      </c>
      <c r="E18775" t="s">
        <v>750</v>
      </c>
      <c r="F18775" t="s">
        <v>57048</v>
      </c>
      <c r="G18775" s="2" t="str">
        <f>HYPERLINK("https://probpalata.gov.ru/files/ЮЛ770100193500423.jpeg","Скачать индивидуальный QR-код магазина")</f>
        <v>Скачать индивидуальный QR-код магазина</v>
      </c>
    </row>
    <row r="18776" spans="1:7" x14ac:dyDescent="0.25">
      <c r="A18776" t="s">
        <v>56975</v>
      </c>
      <c r="B18776" t="s">
        <v>57049</v>
      </c>
      <c r="C18776" t="s">
        <v>748</v>
      </c>
      <c r="D18776" t="s">
        <v>749</v>
      </c>
      <c r="E18776" t="s">
        <v>750</v>
      </c>
      <c r="F18776" t="s">
        <v>57050</v>
      </c>
      <c r="G18776" s="2" t="str">
        <f>HYPERLINK("https://probpalata.gov.ru/files/ЮЛ770100193500424.jpeg","Скачать индивидуальный QR-код магазина")</f>
        <v>Скачать индивидуальный QR-код магазина</v>
      </c>
    </row>
    <row r="18777" spans="1:7" x14ac:dyDescent="0.25">
      <c r="A18777" t="s">
        <v>56975</v>
      </c>
      <c r="B18777" t="s">
        <v>57051</v>
      </c>
      <c r="C18777" t="s">
        <v>748</v>
      </c>
      <c r="D18777" t="s">
        <v>749</v>
      </c>
      <c r="E18777" t="s">
        <v>750</v>
      </c>
      <c r="F18777" t="s">
        <v>57052</v>
      </c>
      <c r="G18777" s="2" t="str">
        <f>HYPERLINK("https://probpalata.gov.ru/files/ЮЛ770100193500425.jpeg","Скачать индивидуальный QR-код магазина")</f>
        <v>Скачать индивидуальный QR-код магазина</v>
      </c>
    </row>
    <row r="18778" spans="1:7" x14ac:dyDescent="0.25">
      <c r="A18778" t="s">
        <v>56975</v>
      </c>
      <c r="B18778" t="s">
        <v>57053</v>
      </c>
      <c r="C18778" t="s">
        <v>748</v>
      </c>
      <c r="D18778" t="s">
        <v>749</v>
      </c>
      <c r="E18778" t="s">
        <v>750</v>
      </c>
      <c r="F18778" t="s">
        <v>57054</v>
      </c>
      <c r="G18778" s="2" t="str">
        <f>HYPERLINK("https://probpalata.gov.ru/files/ЮЛ770100193500426.jpeg","Скачать индивидуальный QR-код магазина")</f>
        <v>Скачать индивидуальный QR-код магазина</v>
      </c>
    </row>
    <row r="18779" spans="1:7" x14ac:dyDescent="0.25">
      <c r="A18779" t="s">
        <v>56975</v>
      </c>
      <c r="B18779" t="s">
        <v>57055</v>
      </c>
      <c r="C18779" t="s">
        <v>748</v>
      </c>
      <c r="D18779" t="s">
        <v>749</v>
      </c>
      <c r="E18779" t="s">
        <v>750</v>
      </c>
      <c r="F18779" t="s">
        <v>57056</v>
      </c>
      <c r="G18779" s="2" t="str">
        <f>HYPERLINK("https://probpalata.gov.ru/files/ЮЛ770100193500427.jpeg","Скачать индивидуальный QR-код магазина")</f>
        <v>Скачать индивидуальный QR-код магазина</v>
      </c>
    </row>
    <row r="18780" spans="1:7" x14ac:dyDescent="0.25">
      <c r="A18780" t="s">
        <v>56975</v>
      </c>
      <c r="B18780" t="s">
        <v>57057</v>
      </c>
      <c r="C18780" t="s">
        <v>748</v>
      </c>
      <c r="D18780" t="s">
        <v>749</v>
      </c>
      <c r="E18780" t="s">
        <v>750</v>
      </c>
      <c r="F18780" t="s">
        <v>57058</v>
      </c>
      <c r="G18780" s="2" t="str">
        <f>HYPERLINK("https://probpalata.gov.ru/files/ЮЛ770100193500618.jpeg","Скачать индивидуальный QR-код магазина")</f>
        <v>Скачать индивидуальный QR-код магазина</v>
      </c>
    </row>
    <row r="18781" spans="1:7" x14ac:dyDescent="0.25">
      <c r="A18781" t="s">
        <v>56975</v>
      </c>
      <c r="B18781" t="s">
        <v>57059</v>
      </c>
      <c r="C18781" t="s">
        <v>748</v>
      </c>
      <c r="D18781" t="s">
        <v>749</v>
      </c>
      <c r="E18781" t="s">
        <v>750</v>
      </c>
      <c r="F18781" t="s">
        <v>57060</v>
      </c>
      <c r="G18781" s="2" t="str">
        <f>HYPERLINK("https://probpalata.gov.ru/files/ЮЛ770100193500647.jpeg","Скачать индивидуальный QR-код магазина")</f>
        <v>Скачать индивидуальный QR-код магазина</v>
      </c>
    </row>
    <row r="18782" spans="1:7" x14ac:dyDescent="0.25">
      <c r="A18782" t="s">
        <v>56975</v>
      </c>
      <c r="B18782" t="s">
        <v>57061</v>
      </c>
      <c r="C18782" t="s">
        <v>748</v>
      </c>
      <c r="D18782" t="s">
        <v>749</v>
      </c>
      <c r="E18782" t="s">
        <v>750</v>
      </c>
      <c r="F18782" t="s">
        <v>57062</v>
      </c>
      <c r="G18782" s="2" t="str">
        <f>HYPERLINK("https://probpalata.gov.ru/files/ЮЛ770100193500752.jpeg","Скачать индивидуальный QR-код магазина")</f>
        <v>Скачать индивидуальный QR-код магазина</v>
      </c>
    </row>
    <row r="18783" spans="1:7" x14ac:dyDescent="0.25">
      <c r="A18783" t="s">
        <v>56975</v>
      </c>
      <c r="B18783" t="s">
        <v>57063</v>
      </c>
      <c r="C18783" t="s">
        <v>748</v>
      </c>
      <c r="D18783" t="s">
        <v>749</v>
      </c>
      <c r="E18783" t="s">
        <v>750</v>
      </c>
      <c r="F18783" t="s">
        <v>57064</v>
      </c>
      <c r="G18783" s="2" t="str">
        <f>HYPERLINK("https://probpalata.gov.ru/files/ЮЛ770100193500839.jpeg","Скачать индивидуальный QR-код магазина")</f>
        <v>Скачать индивидуальный QR-код магазина</v>
      </c>
    </row>
    <row r="18784" spans="1:7" x14ac:dyDescent="0.25">
      <c r="A18784" t="s">
        <v>56975</v>
      </c>
      <c r="B18784" t="s">
        <v>57065</v>
      </c>
      <c r="C18784" t="s">
        <v>748</v>
      </c>
      <c r="D18784" t="s">
        <v>749</v>
      </c>
      <c r="E18784" t="s">
        <v>750</v>
      </c>
      <c r="F18784" t="s">
        <v>57066</v>
      </c>
      <c r="G18784" s="2" t="str">
        <f>HYPERLINK("https://probpalata.gov.ru/files/ЮЛ770100193501117.jpeg","Скачать индивидуальный QR-код магазина")</f>
        <v>Скачать индивидуальный QR-код магазина</v>
      </c>
    </row>
    <row r="18785" spans="1:7" x14ac:dyDescent="0.25">
      <c r="A18785" t="s">
        <v>56975</v>
      </c>
      <c r="B18785" t="s">
        <v>57067</v>
      </c>
      <c r="C18785" t="s">
        <v>773</v>
      </c>
      <c r="D18785" t="s">
        <v>774</v>
      </c>
      <c r="E18785" t="s">
        <v>775</v>
      </c>
      <c r="F18785" t="s">
        <v>57068</v>
      </c>
      <c r="G18785" s="2" t="str">
        <f>HYPERLINK("https://probpalata.gov.ru/files/ЮЛ780300131300217.jpeg","Скачать индивидуальный QR-код магазина")</f>
        <v>Скачать индивидуальный QR-код магазина</v>
      </c>
    </row>
    <row r="18786" spans="1:7" x14ac:dyDescent="0.25">
      <c r="A18786" t="s">
        <v>56975</v>
      </c>
      <c r="B18786" t="s">
        <v>57069</v>
      </c>
      <c r="C18786" t="s">
        <v>773</v>
      </c>
      <c r="D18786" t="s">
        <v>774</v>
      </c>
      <c r="E18786" t="s">
        <v>775</v>
      </c>
      <c r="F18786" t="s">
        <v>57070</v>
      </c>
      <c r="G18786" s="2" t="str">
        <f>HYPERLINK("https://probpalata.gov.ru/files/ЮЛ780300131300218.jpeg","Скачать индивидуальный QR-код магазина")</f>
        <v>Скачать индивидуальный QR-код магазина</v>
      </c>
    </row>
    <row r="18787" spans="1:7" x14ac:dyDescent="0.25">
      <c r="A18787" t="s">
        <v>56975</v>
      </c>
      <c r="B18787" t="s">
        <v>57071</v>
      </c>
      <c r="C18787" t="s">
        <v>773</v>
      </c>
      <c r="D18787" t="s">
        <v>774</v>
      </c>
      <c r="E18787" t="s">
        <v>775</v>
      </c>
      <c r="F18787" t="s">
        <v>57072</v>
      </c>
      <c r="G18787" s="2" t="str">
        <f>HYPERLINK("https://probpalata.gov.ru/files/ЮЛ780300131300254.jpeg","Скачать индивидуальный QR-код магазина")</f>
        <v>Скачать индивидуальный QR-код магазина</v>
      </c>
    </row>
    <row r="18788" spans="1:7" x14ac:dyDescent="0.25">
      <c r="A18788" t="s">
        <v>56975</v>
      </c>
      <c r="B18788" t="s">
        <v>57073</v>
      </c>
      <c r="C18788" t="s">
        <v>773</v>
      </c>
      <c r="D18788" t="s">
        <v>774</v>
      </c>
      <c r="E18788" t="s">
        <v>775</v>
      </c>
      <c r="F18788" t="s">
        <v>57074</v>
      </c>
      <c r="G18788" s="2" t="str">
        <f>HYPERLINK("https://probpalata.gov.ru/files/ЮЛ780300131300279.jpeg","Скачать индивидуальный QR-код магазина")</f>
        <v>Скачать индивидуальный QR-код магазина</v>
      </c>
    </row>
    <row r="18789" spans="1:7" x14ac:dyDescent="0.25">
      <c r="A18789" t="s">
        <v>56975</v>
      </c>
      <c r="B18789" t="s">
        <v>57075</v>
      </c>
      <c r="C18789" t="s">
        <v>773</v>
      </c>
      <c r="D18789" t="s">
        <v>774</v>
      </c>
      <c r="E18789" t="s">
        <v>775</v>
      </c>
      <c r="F18789" t="s">
        <v>57076</v>
      </c>
      <c r="G18789" s="2" t="str">
        <f>HYPERLINK("https://probpalata.gov.ru/files/ЮЛ780300131300378.jpeg","Скачать индивидуальный QR-код магазина")</f>
        <v>Скачать индивидуальный QR-код магазина</v>
      </c>
    </row>
    <row r="18790" spans="1:7" x14ac:dyDescent="0.25">
      <c r="A18790" t="s">
        <v>56975</v>
      </c>
      <c r="B18790" t="s">
        <v>57077</v>
      </c>
      <c r="C18790" t="s">
        <v>773</v>
      </c>
      <c r="D18790" t="s">
        <v>774</v>
      </c>
      <c r="E18790" t="s">
        <v>775</v>
      </c>
      <c r="F18790" t="s">
        <v>57078</v>
      </c>
      <c r="G18790" s="2" t="str">
        <f>HYPERLINK("https://probpalata.gov.ru/files/ЮЛ780300131300379.jpeg","Скачать индивидуальный QR-код магазина")</f>
        <v>Скачать индивидуальный QR-код магазина</v>
      </c>
    </row>
    <row r="18791" spans="1:7" x14ac:dyDescent="0.25">
      <c r="A18791" t="s">
        <v>56975</v>
      </c>
      <c r="B18791" t="s">
        <v>57079</v>
      </c>
      <c r="C18791" t="s">
        <v>773</v>
      </c>
      <c r="D18791" t="s">
        <v>774</v>
      </c>
      <c r="E18791" t="s">
        <v>775</v>
      </c>
      <c r="F18791" t="s">
        <v>57080</v>
      </c>
      <c r="G18791" s="2" t="str">
        <f>HYPERLINK("https://probpalata.gov.ru/files/ЮЛ780300131300381.jpeg","Скачать индивидуальный QR-код магазина")</f>
        <v>Скачать индивидуальный QR-код магазина</v>
      </c>
    </row>
    <row r="18792" spans="1:7" x14ac:dyDescent="0.25">
      <c r="A18792" t="s">
        <v>56975</v>
      </c>
      <c r="B18792" t="s">
        <v>57081</v>
      </c>
      <c r="C18792" t="s">
        <v>773</v>
      </c>
      <c r="D18792" t="s">
        <v>774</v>
      </c>
      <c r="E18792" t="s">
        <v>775</v>
      </c>
      <c r="F18792" t="s">
        <v>57082</v>
      </c>
      <c r="G18792" s="2" t="str">
        <f>HYPERLINK("https://probpalata.gov.ru/files/ЮЛ780300131300382.jpeg","Скачать индивидуальный QR-код магазина")</f>
        <v>Скачать индивидуальный QR-код магазина</v>
      </c>
    </row>
    <row r="18793" spans="1:7" x14ac:dyDescent="0.25">
      <c r="A18793" t="s">
        <v>56975</v>
      </c>
      <c r="B18793" t="s">
        <v>57083</v>
      </c>
      <c r="C18793" t="s">
        <v>773</v>
      </c>
      <c r="D18793" t="s">
        <v>774</v>
      </c>
      <c r="E18793" t="s">
        <v>775</v>
      </c>
      <c r="F18793" t="s">
        <v>57084</v>
      </c>
      <c r="G18793" s="2" t="str">
        <f>HYPERLINK("https://probpalata.gov.ru/files/ЮЛ780300131300383.jpeg","Скачать индивидуальный QR-код магазина")</f>
        <v>Скачать индивидуальный QR-код магазина</v>
      </c>
    </row>
    <row r="18794" spans="1:7" x14ac:dyDescent="0.25">
      <c r="A18794" t="s">
        <v>56975</v>
      </c>
      <c r="B18794" t="s">
        <v>57085</v>
      </c>
      <c r="C18794" t="s">
        <v>773</v>
      </c>
      <c r="D18794" t="s">
        <v>774</v>
      </c>
      <c r="E18794" t="s">
        <v>775</v>
      </c>
      <c r="F18794" t="s">
        <v>57086</v>
      </c>
      <c r="G18794" s="2" t="str">
        <f>HYPERLINK("https://probpalata.gov.ru/files/ЮЛ780300131300384.jpeg","Скачать индивидуальный QR-код магазина")</f>
        <v>Скачать индивидуальный QR-код магазина</v>
      </c>
    </row>
    <row r="18795" spans="1:7" x14ac:dyDescent="0.25">
      <c r="A18795" t="s">
        <v>56975</v>
      </c>
      <c r="B18795" t="s">
        <v>57087</v>
      </c>
      <c r="C18795" t="s">
        <v>773</v>
      </c>
      <c r="D18795" t="s">
        <v>774</v>
      </c>
      <c r="E18795" t="s">
        <v>775</v>
      </c>
      <c r="F18795" t="s">
        <v>57088</v>
      </c>
      <c r="G18795" s="2" t="str">
        <f>HYPERLINK("https://probpalata.gov.ru/files/ЮЛ780300131300385.jpeg","Скачать индивидуальный QR-код магазина")</f>
        <v>Скачать индивидуальный QR-код магазина</v>
      </c>
    </row>
    <row r="18796" spans="1:7" x14ac:dyDescent="0.25">
      <c r="A18796" t="s">
        <v>56975</v>
      </c>
      <c r="B18796" t="s">
        <v>57089</v>
      </c>
      <c r="C18796" t="s">
        <v>773</v>
      </c>
      <c r="D18796" t="s">
        <v>774</v>
      </c>
      <c r="E18796" t="s">
        <v>775</v>
      </c>
      <c r="F18796" t="s">
        <v>57090</v>
      </c>
      <c r="G18796" s="2" t="str">
        <f>HYPERLINK("https://probpalata.gov.ru/files/ЮЛ780300131300386.jpeg","Скачать индивидуальный QR-код магазина")</f>
        <v>Скачать индивидуальный QR-код магазина</v>
      </c>
    </row>
    <row r="18797" spans="1:7" x14ac:dyDescent="0.25">
      <c r="A18797" t="s">
        <v>56975</v>
      </c>
      <c r="B18797" t="s">
        <v>57091</v>
      </c>
      <c r="C18797" t="s">
        <v>773</v>
      </c>
      <c r="D18797" t="s">
        <v>774</v>
      </c>
      <c r="E18797" t="s">
        <v>775</v>
      </c>
      <c r="F18797" t="s">
        <v>57092</v>
      </c>
      <c r="G18797" s="2" t="str">
        <f>HYPERLINK("https://probpalata.gov.ru/files/ЮЛ780300131300405.jpeg","Скачать индивидуальный QR-код магазина")</f>
        <v>Скачать индивидуальный QR-код магазина</v>
      </c>
    </row>
    <row r="18798" spans="1:7" x14ac:dyDescent="0.25">
      <c r="A18798" t="s">
        <v>56975</v>
      </c>
      <c r="B18798" t="s">
        <v>57093</v>
      </c>
      <c r="C18798" t="s">
        <v>773</v>
      </c>
      <c r="D18798" t="s">
        <v>774</v>
      </c>
      <c r="E18798" t="s">
        <v>775</v>
      </c>
      <c r="F18798" t="s">
        <v>57094</v>
      </c>
      <c r="G18798" s="2" t="str">
        <f>HYPERLINK("https://probpalata.gov.ru/files/ЮЛ780300131300483.jpeg","Скачать индивидуальный QR-код магазина")</f>
        <v>Скачать индивидуальный QR-код магазина</v>
      </c>
    </row>
    <row r="18799" spans="1:7" x14ac:dyDescent="0.25">
      <c r="A18799" t="s">
        <v>56975</v>
      </c>
      <c r="B18799" t="s">
        <v>57095</v>
      </c>
      <c r="C18799" t="s">
        <v>773</v>
      </c>
      <c r="D18799" t="s">
        <v>774</v>
      </c>
      <c r="E18799" t="s">
        <v>775</v>
      </c>
      <c r="F18799" t="s">
        <v>57096</v>
      </c>
      <c r="G18799" s="2" t="str">
        <f>HYPERLINK("https://probpalata.gov.ru/files/ЮЛ780300131300665.jpeg","Скачать индивидуальный QR-код магазина")</f>
        <v>Скачать индивидуальный QR-код магазина</v>
      </c>
    </row>
    <row r="18800" spans="1:7" x14ac:dyDescent="0.25">
      <c r="A18800" t="s">
        <v>56975</v>
      </c>
      <c r="B18800" t="s">
        <v>57097</v>
      </c>
      <c r="C18800" t="s">
        <v>32749</v>
      </c>
      <c r="D18800" t="s">
        <v>32750</v>
      </c>
      <c r="E18800" t="s">
        <v>32751</v>
      </c>
      <c r="F18800" t="s">
        <v>57098</v>
      </c>
      <c r="G18800" s="2" t="str">
        <f>HYPERLINK("https://probpalata.gov.ru/files/ЮЛ780301246700002.jpeg","Скачать индивидуальный QR-код магазина")</f>
        <v>Скачать индивидуальный QR-код магазина</v>
      </c>
    </row>
    <row r="18801" spans="1:7" x14ac:dyDescent="0.25">
      <c r="A18801" t="s">
        <v>56975</v>
      </c>
      <c r="B18801" t="s">
        <v>57095</v>
      </c>
      <c r="C18801" t="s">
        <v>4077</v>
      </c>
      <c r="D18801" t="s">
        <v>4078</v>
      </c>
      <c r="E18801" t="s">
        <v>4079</v>
      </c>
      <c r="F18801" t="s">
        <v>57099</v>
      </c>
      <c r="G18801" s="2" t="str">
        <f>HYPERLINK("https://probpalata.gov.ru/files/ЮЛ780300331800071.jpeg","Скачать индивидуальный QR-код магазина")</f>
        <v>Скачать индивидуальный QR-код магазина</v>
      </c>
    </row>
    <row r="18802" spans="1:7" x14ac:dyDescent="0.25">
      <c r="A18802" t="s">
        <v>56975</v>
      </c>
      <c r="B18802" t="s">
        <v>57100</v>
      </c>
      <c r="C18802" t="s">
        <v>791</v>
      </c>
      <c r="D18802" t="s">
        <v>792</v>
      </c>
      <c r="E18802" t="s">
        <v>793</v>
      </c>
      <c r="F18802" t="s">
        <v>57101</v>
      </c>
      <c r="G18802" s="2" t="str">
        <f>HYPERLINK("https://probpalata.gov.ru/files/ЮЛ780300323500019.jpeg","Скачать индивидуальный QR-код магазина")</f>
        <v>Скачать индивидуальный QR-код магазина</v>
      </c>
    </row>
    <row r="18803" spans="1:7" x14ac:dyDescent="0.25">
      <c r="A18803" t="s">
        <v>56975</v>
      </c>
      <c r="B18803" t="s">
        <v>57102</v>
      </c>
      <c r="C18803" t="s">
        <v>798</v>
      </c>
      <c r="D18803" t="s">
        <v>799</v>
      </c>
      <c r="E18803" t="s">
        <v>800</v>
      </c>
      <c r="F18803" t="s">
        <v>57103</v>
      </c>
      <c r="G18803" s="2" t="str">
        <f>HYPERLINK("https://probpalata.gov.ru/files/ЮЛ780300308200152.jpeg","Скачать индивидуальный QR-код магазина")</f>
        <v>Скачать индивидуальный QR-код магазина</v>
      </c>
    </row>
    <row r="18804" spans="1:7" x14ac:dyDescent="0.25">
      <c r="A18804" t="s">
        <v>56975</v>
      </c>
      <c r="B18804" t="s">
        <v>57104</v>
      </c>
      <c r="C18804" t="s">
        <v>798</v>
      </c>
      <c r="D18804" t="s">
        <v>799</v>
      </c>
      <c r="E18804" t="s">
        <v>800</v>
      </c>
      <c r="F18804" t="s">
        <v>57105</v>
      </c>
      <c r="G18804" s="2" t="str">
        <f>HYPERLINK("https://probpalata.gov.ru/files/ЮЛ780300308200156.jpeg","Скачать индивидуальный QR-код магазина")</f>
        <v>Скачать индивидуальный QR-код магазина</v>
      </c>
    </row>
    <row r="18805" spans="1:7" x14ac:dyDescent="0.25">
      <c r="A18805" t="s">
        <v>56975</v>
      </c>
      <c r="B18805" t="s">
        <v>57106</v>
      </c>
      <c r="C18805" t="s">
        <v>798</v>
      </c>
      <c r="D18805" t="s">
        <v>799</v>
      </c>
      <c r="E18805" t="s">
        <v>800</v>
      </c>
      <c r="F18805" t="s">
        <v>57107</v>
      </c>
      <c r="G18805" s="2" t="str">
        <f>HYPERLINK("https://probpalata.gov.ru/files/ЮЛ780300308200157.jpeg","Скачать индивидуальный QR-код магазина")</f>
        <v>Скачать индивидуальный QR-код магазина</v>
      </c>
    </row>
    <row r="18806" spans="1:7" x14ac:dyDescent="0.25">
      <c r="A18806" t="s">
        <v>56975</v>
      </c>
      <c r="B18806" t="s">
        <v>57108</v>
      </c>
      <c r="C18806" t="s">
        <v>798</v>
      </c>
      <c r="D18806" t="s">
        <v>799</v>
      </c>
      <c r="E18806" t="s">
        <v>800</v>
      </c>
      <c r="F18806" t="s">
        <v>57109</v>
      </c>
      <c r="G18806" s="2" t="str">
        <f>HYPERLINK("https://probpalata.gov.ru/files/ЮЛ780300308200163.jpeg","Скачать индивидуальный QR-код магазина")</f>
        <v>Скачать индивидуальный QR-код магазина</v>
      </c>
    </row>
    <row r="18807" spans="1:7" x14ac:dyDescent="0.25">
      <c r="A18807" t="s">
        <v>56975</v>
      </c>
      <c r="B18807" t="s">
        <v>57079</v>
      </c>
      <c r="C18807" t="s">
        <v>798</v>
      </c>
      <c r="D18807" t="s">
        <v>799</v>
      </c>
      <c r="E18807" t="s">
        <v>800</v>
      </c>
      <c r="F18807" t="s">
        <v>57110</v>
      </c>
      <c r="G18807" s="2" t="str">
        <f>HYPERLINK("https://probpalata.gov.ru/files/ЮЛ780300308200165.jpeg","Скачать индивидуальный QR-код магазина")</f>
        <v>Скачать индивидуальный QR-код магазина</v>
      </c>
    </row>
    <row r="18808" spans="1:7" x14ac:dyDescent="0.25">
      <c r="A18808" t="s">
        <v>56975</v>
      </c>
      <c r="B18808" t="s">
        <v>57111</v>
      </c>
      <c r="C18808" t="s">
        <v>798</v>
      </c>
      <c r="D18808" t="s">
        <v>799</v>
      </c>
      <c r="E18808" t="s">
        <v>800</v>
      </c>
      <c r="F18808" t="s">
        <v>57112</v>
      </c>
      <c r="G18808" s="2" t="str">
        <f>HYPERLINK("https://probpalata.gov.ru/files/ЮЛ780300308200170.jpeg","Скачать индивидуальный QR-код магазина")</f>
        <v>Скачать индивидуальный QR-код магазина</v>
      </c>
    </row>
    <row r="18809" spans="1:7" x14ac:dyDescent="0.25">
      <c r="A18809" t="s">
        <v>56975</v>
      </c>
      <c r="B18809" t="s">
        <v>57113</v>
      </c>
      <c r="C18809" t="s">
        <v>798</v>
      </c>
      <c r="D18809" t="s">
        <v>799</v>
      </c>
      <c r="E18809" t="s">
        <v>800</v>
      </c>
      <c r="F18809" t="s">
        <v>57114</v>
      </c>
      <c r="G18809" s="2" t="str">
        <f>HYPERLINK("https://probpalata.gov.ru/files/ЮЛ780300308200177.jpeg","Скачать индивидуальный QR-код магазина")</f>
        <v>Скачать индивидуальный QR-код магазина</v>
      </c>
    </row>
    <row r="18810" spans="1:7" x14ac:dyDescent="0.25">
      <c r="A18810" t="s">
        <v>56975</v>
      </c>
      <c r="B18810" t="s">
        <v>57115</v>
      </c>
      <c r="C18810" t="s">
        <v>798</v>
      </c>
      <c r="D18810" t="s">
        <v>799</v>
      </c>
      <c r="E18810" t="s">
        <v>800</v>
      </c>
      <c r="F18810" t="s">
        <v>57116</v>
      </c>
      <c r="G18810" s="2" t="str">
        <f>HYPERLINK("https://probpalata.gov.ru/files/ЮЛ780300308200179.jpeg","Скачать индивидуальный QR-код магазина")</f>
        <v>Скачать индивидуальный QR-код магазина</v>
      </c>
    </row>
    <row r="18811" spans="1:7" x14ac:dyDescent="0.25">
      <c r="A18811" t="s">
        <v>56975</v>
      </c>
      <c r="B18811" t="s">
        <v>57069</v>
      </c>
      <c r="C18811" t="s">
        <v>798</v>
      </c>
      <c r="D18811" t="s">
        <v>799</v>
      </c>
      <c r="E18811" t="s">
        <v>800</v>
      </c>
      <c r="F18811" t="s">
        <v>57117</v>
      </c>
      <c r="G18811" s="2" t="str">
        <f>HYPERLINK("https://probpalata.gov.ru/files/ЮЛ780300308200180.jpeg","Скачать индивидуальный QR-код магазина")</f>
        <v>Скачать индивидуальный QR-код магазина</v>
      </c>
    </row>
    <row r="18812" spans="1:7" x14ac:dyDescent="0.25">
      <c r="A18812" t="s">
        <v>56975</v>
      </c>
      <c r="B18812" t="s">
        <v>57095</v>
      </c>
      <c r="C18812" t="s">
        <v>798</v>
      </c>
      <c r="D18812" t="s">
        <v>799</v>
      </c>
      <c r="E18812" t="s">
        <v>800</v>
      </c>
      <c r="F18812" t="s">
        <v>57118</v>
      </c>
      <c r="G18812" s="2" t="str">
        <f>HYPERLINK("https://probpalata.gov.ru/files/ЮЛ780300308200182.jpeg","Скачать индивидуальный QR-код магазина")</f>
        <v>Скачать индивидуальный QR-код магазина</v>
      </c>
    </row>
    <row r="18813" spans="1:7" x14ac:dyDescent="0.25">
      <c r="A18813" t="s">
        <v>56975</v>
      </c>
      <c r="B18813" t="s">
        <v>57119</v>
      </c>
      <c r="C18813" t="s">
        <v>798</v>
      </c>
      <c r="D18813" t="s">
        <v>799</v>
      </c>
      <c r="E18813" t="s">
        <v>800</v>
      </c>
      <c r="F18813" t="s">
        <v>57120</v>
      </c>
      <c r="G18813" s="2" t="str">
        <f>HYPERLINK("https://probpalata.gov.ru/files/ЮЛ780300308200315.jpeg","Скачать индивидуальный QR-код магазина")</f>
        <v>Скачать индивидуальный QR-код магазина</v>
      </c>
    </row>
    <row r="18814" spans="1:7" x14ac:dyDescent="0.25">
      <c r="A18814" t="s">
        <v>56975</v>
      </c>
      <c r="B18814" t="s">
        <v>57121</v>
      </c>
      <c r="C18814" t="s">
        <v>798</v>
      </c>
      <c r="D18814" t="s">
        <v>799</v>
      </c>
      <c r="E18814" t="s">
        <v>800</v>
      </c>
      <c r="F18814" t="s">
        <v>57122</v>
      </c>
      <c r="G18814" s="2" t="str">
        <f>HYPERLINK("https://probpalata.gov.ru/files/ЮЛ780300308200330.jpeg","Скачать индивидуальный QR-код магазина")</f>
        <v>Скачать индивидуальный QR-код магазина</v>
      </c>
    </row>
    <row r="18815" spans="1:7" x14ac:dyDescent="0.25">
      <c r="A18815" t="s">
        <v>56975</v>
      </c>
      <c r="B18815" t="s">
        <v>57123</v>
      </c>
      <c r="C18815" t="s">
        <v>798</v>
      </c>
      <c r="D18815" t="s">
        <v>799</v>
      </c>
      <c r="E18815" t="s">
        <v>800</v>
      </c>
      <c r="F18815" t="s">
        <v>57124</v>
      </c>
      <c r="G18815" s="2" t="str">
        <f>HYPERLINK("https://probpalata.gov.ru/files/ЮЛ780300308200484.jpeg","Скачать индивидуальный QR-код магазина")</f>
        <v>Скачать индивидуальный QR-код магазина</v>
      </c>
    </row>
    <row r="18816" spans="1:7" x14ac:dyDescent="0.25">
      <c r="A18816" t="s">
        <v>56975</v>
      </c>
      <c r="B18816" t="s">
        <v>57125</v>
      </c>
      <c r="C18816" t="s">
        <v>798</v>
      </c>
      <c r="D18816" t="s">
        <v>799</v>
      </c>
      <c r="E18816" t="s">
        <v>800</v>
      </c>
      <c r="F18816" t="s">
        <v>57126</v>
      </c>
      <c r="G18816" s="2" t="str">
        <f>HYPERLINK("https://probpalata.gov.ru/files/ЮЛ780300308200488.jpeg","Скачать индивидуальный QR-код магазина")</f>
        <v>Скачать индивидуальный QR-код магазина</v>
      </c>
    </row>
    <row r="18817" spans="1:7" x14ac:dyDescent="0.25">
      <c r="A18817" t="s">
        <v>56975</v>
      </c>
      <c r="B18817" t="s">
        <v>57127</v>
      </c>
      <c r="C18817" t="s">
        <v>798</v>
      </c>
      <c r="D18817" t="s">
        <v>799</v>
      </c>
      <c r="E18817" t="s">
        <v>800</v>
      </c>
      <c r="F18817" t="s">
        <v>57128</v>
      </c>
      <c r="G18817" s="2" t="str">
        <f>HYPERLINK("https://probpalata.gov.ru/files/ЮЛ780300308200495.jpeg","Скачать индивидуальный QR-код магазина")</f>
        <v>Скачать индивидуальный QR-код магазина</v>
      </c>
    </row>
    <row r="18818" spans="1:7" x14ac:dyDescent="0.25">
      <c r="A18818" t="s">
        <v>56975</v>
      </c>
      <c r="B18818" t="s">
        <v>57129</v>
      </c>
      <c r="C18818" t="s">
        <v>798</v>
      </c>
      <c r="D18818" t="s">
        <v>799</v>
      </c>
      <c r="E18818" t="s">
        <v>800</v>
      </c>
      <c r="F18818" t="s">
        <v>57130</v>
      </c>
      <c r="G18818" s="2" t="str">
        <f>HYPERLINK("https://probpalata.gov.ru/files/ЮЛ780300308200500.jpeg","Скачать индивидуальный QR-код магазина")</f>
        <v>Скачать индивидуальный QR-код магазина</v>
      </c>
    </row>
    <row r="18819" spans="1:7" x14ac:dyDescent="0.25">
      <c r="A18819" t="s">
        <v>56975</v>
      </c>
      <c r="B18819" t="s">
        <v>57131</v>
      </c>
      <c r="C18819" t="s">
        <v>798</v>
      </c>
      <c r="D18819" t="s">
        <v>799</v>
      </c>
      <c r="E18819" t="s">
        <v>800</v>
      </c>
      <c r="F18819" t="s">
        <v>57132</v>
      </c>
      <c r="G18819" s="2" t="str">
        <f>HYPERLINK("https://probpalata.gov.ru/files/ЮЛ780300308200505.jpeg","Скачать индивидуальный QR-код магазина")</f>
        <v>Скачать индивидуальный QR-код магазина</v>
      </c>
    </row>
    <row r="18820" spans="1:7" x14ac:dyDescent="0.25">
      <c r="A18820" t="s">
        <v>56975</v>
      </c>
      <c r="B18820" t="s">
        <v>57133</v>
      </c>
      <c r="C18820" t="s">
        <v>798</v>
      </c>
      <c r="D18820" t="s">
        <v>799</v>
      </c>
      <c r="E18820" t="s">
        <v>800</v>
      </c>
      <c r="F18820" t="s">
        <v>57134</v>
      </c>
      <c r="G18820" s="2" t="str">
        <f>HYPERLINK("https://probpalata.gov.ru/files/ЮЛ780300308200630.jpeg","Скачать индивидуальный QR-код магазина")</f>
        <v>Скачать индивидуальный QR-код магазина</v>
      </c>
    </row>
    <row r="18821" spans="1:7" x14ac:dyDescent="0.25">
      <c r="A18821" t="s">
        <v>56975</v>
      </c>
      <c r="B18821" t="s">
        <v>56982</v>
      </c>
      <c r="C18821" t="s">
        <v>798</v>
      </c>
      <c r="D18821" t="s">
        <v>799</v>
      </c>
      <c r="E18821" t="s">
        <v>800</v>
      </c>
      <c r="F18821" t="s">
        <v>57135</v>
      </c>
      <c r="G18821" s="2" t="str">
        <f>HYPERLINK("https://probpalata.gov.ru/files/ЮЛ780300308200641.jpeg","Скачать индивидуальный QR-код магазина")</f>
        <v>Скачать индивидуальный QR-код магазина</v>
      </c>
    </row>
    <row r="18822" spans="1:7" x14ac:dyDescent="0.25">
      <c r="A18822" t="s">
        <v>56975</v>
      </c>
      <c r="B18822" t="s">
        <v>57136</v>
      </c>
      <c r="C18822" t="s">
        <v>798</v>
      </c>
      <c r="D18822" t="s">
        <v>799</v>
      </c>
      <c r="E18822" t="s">
        <v>800</v>
      </c>
      <c r="F18822" t="s">
        <v>57137</v>
      </c>
      <c r="G18822" s="2" t="str">
        <f>HYPERLINK("https://probpalata.gov.ru/files/ЮЛ780300308200646.jpeg","Скачать индивидуальный QR-код магазина")</f>
        <v>Скачать индивидуальный QR-код магазина</v>
      </c>
    </row>
    <row r="18823" spans="1:7" x14ac:dyDescent="0.25">
      <c r="A18823" t="s">
        <v>56975</v>
      </c>
      <c r="B18823" t="s">
        <v>57138</v>
      </c>
      <c r="C18823" t="s">
        <v>798</v>
      </c>
      <c r="D18823" t="s">
        <v>799</v>
      </c>
      <c r="E18823" t="s">
        <v>800</v>
      </c>
      <c r="F18823" t="s">
        <v>57139</v>
      </c>
      <c r="G18823" s="2" t="str">
        <f>HYPERLINK("https://probpalata.gov.ru/files/ЮЛ780300308200755.jpeg","Скачать индивидуальный QR-код магазина")</f>
        <v>Скачать индивидуальный QR-код магазина</v>
      </c>
    </row>
    <row r="18824" spans="1:7" x14ac:dyDescent="0.25">
      <c r="A18824" t="s">
        <v>56975</v>
      </c>
      <c r="B18824" t="s">
        <v>57140</v>
      </c>
      <c r="C18824" t="s">
        <v>798</v>
      </c>
      <c r="D18824" t="s">
        <v>799</v>
      </c>
      <c r="E18824" t="s">
        <v>800</v>
      </c>
      <c r="F18824" t="s">
        <v>57141</v>
      </c>
      <c r="G18824" s="2" t="str">
        <f>HYPERLINK("https://probpalata.gov.ru/files/ЮЛ780300308200757.jpeg","Скачать индивидуальный QR-код магазина")</f>
        <v>Скачать индивидуальный QR-код магазина</v>
      </c>
    </row>
    <row r="18825" spans="1:7" x14ac:dyDescent="0.25">
      <c r="A18825" t="s">
        <v>56975</v>
      </c>
      <c r="B18825" t="s">
        <v>57142</v>
      </c>
      <c r="C18825" t="s">
        <v>798</v>
      </c>
      <c r="D18825" t="s">
        <v>799</v>
      </c>
      <c r="E18825" t="s">
        <v>800</v>
      </c>
      <c r="F18825" t="s">
        <v>57143</v>
      </c>
      <c r="G18825" s="2" t="str">
        <f>HYPERLINK("https://probpalata.gov.ru/files/ЮЛ780300308200761.jpeg","Скачать индивидуальный QR-код магазина")</f>
        <v>Скачать индивидуальный QR-код магазина</v>
      </c>
    </row>
    <row r="18826" spans="1:7" x14ac:dyDescent="0.25">
      <c r="A18826" t="s">
        <v>56975</v>
      </c>
      <c r="B18826" t="s">
        <v>57144</v>
      </c>
      <c r="C18826" t="s">
        <v>798</v>
      </c>
      <c r="D18826" t="s">
        <v>799</v>
      </c>
      <c r="E18826" t="s">
        <v>800</v>
      </c>
      <c r="F18826" t="s">
        <v>57145</v>
      </c>
      <c r="G18826" s="2" t="str">
        <f>HYPERLINK("https://probpalata.gov.ru/files/ЮЛ780300308200807.jpeg","Скачать индивидуальный QR-код магазина")</f>
        <v>Скачать индивидуальный QR-код магазина</v>
      </c>
    </row>
    <row r="18827" spans="1:7" x14ac:dyDescent="0.25">
      <c r="A18827" t="s">
        <v>56975</v>
      </c>
      <c r="B18827" t="s">
        <v>57146</v>
      </c>
      <c r="C18827" t="s">
        <v>798</v>
      </c>
      <c r="D18827" t="s">
        <v>799</v>
      </c>
      <c r="E18827" t="s">
        <v>800</v>
      </c>
      <c r="F18827" t="s">
        <v>57147</v>
      </c>
      <c r="G18827" s="2" t="str">
        <f>HYPERLINK("https://probpalata.gov.ru/files/ЮЛ780300308200811.jpeg","Скачать индивидуальный QR-код магазина")</f>
        <v>Скачать индивидуальный QR-код магазина</v>
      </c>
    </row>
    <row r="18828" spans="1:7" x14ac:dyDescent="0.25">
      <c r="A18828" t="s">
        <v>56975</v>
      </c>
      <c r="B18828" t="s">
        <v>57148</v>
      </c>
      <c r="C18828" t="s">
        <v>798</v>
      </c>
      <c r="D18828" t="s">
        <v>799</v>
      </c>
      <c r="E18828" t="s">
        <v>800</v>
      </c>
      <c r="F18828" t="s">
        <v>57149</v>
      </c>
      <c r="G18828" s="2" t="str">
        <f>HYPERLINK("https://probpalata.gov.ru/files/ЮЛ780300308200921.jpeg","Скачать индивидуальный QR-код магазина")</f>
        <v>Скачать индивидуальный QR-код магазина</v>
      </c>
    </row>
    <row r="18829" spans="1:7" x14ac:dyDescent="0.25">
      <c r="A18829" t="s">
        <v>56975</v>
      </c>
      <c r="B18829" t="s">
        <v>57150</v>
      </c>
      <c r="C18829" t="s">
        <v>798</v>
      </c>
      <c r="D18829" t="s">
        <v>799</v>
      </c>
      <c r="E18829" t="s">
        <v>800</v>
      </c>
      <c r="F18829" t="s">
        <v>57151</v>
      </c>
      <c r="G18829" s="2" t="str">
        <f>HYPERLINK("https://probpalata.gov.ru/files/ЮЛ780300308200946.jpeg","Скачать индивидуальный QR-код магазина")</f>
        <v>Скачать индивидуальный QR-код магазина</v>
      </c>
    </row>
    <row r="18830" spans="1:7" x14ac:dyDescent="0.25">
      <c r="A18830" t="s">
        <v>56975</v>
      </c>
      <c r="B18830" t="s">
        <v>57152</v>
      </c>
      <c r="C18830" t="s">
        <v>798</v>
      </c>
      <c r="D18830" t="s">
        <v>799</v>
      </c>
      <c r="E18830" t="s">
        <v>800</v>
      </c>
      <c r="F18830" t="s">
        <v>57153</v>
      </c>
      <c r="G18830" s="2" t="str">
        <f>HYPERLINK("https://probpalata.gov.ru/files/ЮЛ780300308200950.jpeg","Скачать индивидуальный QR-код магазина")</f>
        <v>Скачать индивидуальный QR-код магазина</v>
      </c>
    </row>
    <row r="18831" spans="1:7" x14ac:dyDescent="0.25">
      <c r="A18831" t="s">
        <v>56975</v>
      </c>
      <c r="B18831" t="s">
        <v>57154</v>
      </c>
      <c r="C18831" t="s">
        <v>798</v>
      </c>
      <c r="D18831" t="s">
        <v>799</v>
      </c>
      <c r="E18831" t="s">
        <v>800</v>
      </c>
      <c r="F18831" t="s">
        <v>57155</v>
      </c>
      <c r="G18831" s="2" t="str">
        <f>HYPERLINK("https://probpalata.gov.ru/files/ЮЛ780300308200988.jpeg","Скачать индивидуальный QR-код магазина")</f>
        <v>Скачать индивидуальный QR-код магазина</v>
      </c>
    </row>
    <row r="18832" spans="1:7" x14ac:dyDescent="0.25">
      <c r="A18832" t="s">
        <v>56975</v>
      </c>
      <c r="B18832" t="s">
        <v>57156</v>
      </c>
      <c r="C18832" t="s">
        <v>798</v>
      </c>
      <c r="D18832" t="s">
        <v>799</v>
      </c>
      <c r="E18832" t="s">
        <v>800</v>
      </c>
      <c r="F18832" t="s">
        <v>57157</v>
      </c>
      <c r="G18832" s="2" t="str">
        <f>HYPERLINK("https://probpalata.gov.ru/files/ЮЛ780300308201037.jpeg","Скачать индивидуальный QR-код магазина")</f>
        <v>Скачать индивидуальный QR-код магазина</v>
      </c>
    </row>
    <row r="18833" spans="1:7" x14ac:dyDescent="0.25">
      <c r="A18833" t="s">
        <v>56975</v>
      </c>
      <c r="B18833" t="s">
        <v>56980</v>
      </c>
      <c r="C18833" t="s">
        <v>798</v>
      </c>
      <c r="D18833" t="s">
        <v>799</v>
      </c>
      <c r="E18833" t="s">
        <v>800</v>
      </c>
      <c r="F18833" t="s">
        <v>57158</v>
      </c>
      <c r="G18833" s="2" t="str">
        <f>HYPERLINK("https://probpalata.gov.ru/files/ЮЛ780300308201041.jpeg","Скачать индивидуальный QR-код магазина")</f>
        <v>Скачать индивидуальный QR-код магазина</v>
      </c>
    </row>
    <row r="18834" spans="1:7" x14ac:dyDescent="0.25">
      <c r="A18834" t="s">
        <v>56975</v>
      </c>
      <c r="B18834" t="s">
        <v>57159</v>
      </c>
      <c r="C18834" t="s">
        <v>798</v>
      </c>
      <c r="D18834" t="s">
        <v>799</v>
      </c>
      <c r="E18834" t="s">
        <v>800</v>
      </c>
      <c r="F18834" t="s">
        <v>57160</v>
      </c>
      <c r="G18834" s="2" t="str">
        <f>HYPERLINK("https://probpalata.gov.ru/files/ЮЛ780300308201046.jpeg","Скачать индивидуальный QR-код магазина")</f>
        <v>Скачать индивидуальный QR-код магазина</v>
      </c>
    </row>
    <row r="18835" spans="1:7" x14ac:dyDescent="0.25">
      <c r="A18835" t="s">
        <v>56975</v>
      </c>
      <c r="B18835" t="s">
        <v>57067</v>
      </c>
      <c r="C18835" t="s">
        <v>823</v>
      </c>
      <c r="D18835" t="s">
        <v>824</v>
      </c>
      <c r="E18835" t="s">
        <v>825</v>
      </c>
      <c r="F18835" t="s">
        <v>57161</v>
      </c>
      <c r="G18835" s="2" t="str">
        <f>HYPERLINK("https://probpalata.gov.ru/files/ЮЛ780300363500014.jpeg","Скачать индивидуальный QR-код магазина")</f>
        <v>Скачать индивидуальный QR-код магазина</v>
      </c>
    </row>
    <row r="18836" spans="1:7" x14ac:dyDescent="0.25">
      <c r="A18836" t="s">
        <v>56975</v>
      </c>
      <c r="B18836" t="s">
        <v>57162</v>
      </c>
      <c r="C18836" t="s">
        <v>823</v>
      </c>
      <c r="D18836" t="s">
        <v>824</v>
      </c>
      <c r="E18836" t="s">
        <v>825</v>
      </c>
      <c r="F18836" t="s">
        <v>57163</v>
      </c>
      <c r="G18836" s="2" t="str">
        <f>HYPERLINK("https://probpalata.gov.ru/files/ЮЛ780300363500029.jpeg","Скачать индивидуальный QR-код магазина")</f>
        <v>Скачать индивидуальный QR-код магазина</v>
      </c>
    </row>
    <row r="18837" spans="1:7" x14ac:dyDescent="0.25">
      <c r="A18837" t="s">
        <v>56975</v>
      </c>
      <c r="B18837" t="s">
        <v>57164</v>
      </c>
      <c r="C18837" t="s">
        <v>1490</v>
      </c>
      <c r="D18837" t="s">
        <v>1491</v>
      </c>
      <c r="E18837" t="s">
        <v>1492</v>
      </c>
      <c r="F18837" t="s">
        <v>57165</v>
      </c>
      <c r="G18837" s="2" t="str">
        <f>HYPERLINK("https://probpalata.gov.ru/files/ЮЛ780301261200036.jpeg","Скачать индивидуальный QR-код магазина")</f>
        <v>Скачать индивидуальный QR-код магазина</v>
      </c>
    </row>
    <row r="18838" spans="1:7" x14ac:dyDescent="0.25">
      <c r="A18838" t="s">
        <v>56975</v>
      </c>
      <c r="B18838" t="s">
        <v>57166</v>
      </c>
      <c r="C18838" t="s">
        <v>57167</v>
      </c>
      <c r="D18838" t="s">
        <v>57168</v>
      </c>
      <c r="E18838" t="s">
        <v>57169</v>
      </c>
      <c r="F18838" t="s">
        <v>57170</v>
      </c>
      <c r="G18838" s="2" t="str">
        <f>HYPERLINK("https://probpalata.gov.ru/files/ЮЛ860701639400001.jpeg","Скачать индивидуальный QR-код магазина")</f>
        <v>Скачать индивидуальный QR-код магазина</v>
      </c>
    </row>
    <row r="18839" spans="1:7" x14ac:dyDescent="0.25">
      <c r="A18839" t="s">
        <v>56975</v>
      </c>
      <c r="B18839" t="s">
        <v>57171</v>
      </c>
      <c r="C18839" t="s">
        <v>57167</v>
      </c>
      <c r="D18839" t="s">
        <v>57168</v>
      </c>
      <c r="E18839" t="s">
        <v>57169</v>
      </c>
      <c r="F18839" t="s">
        <v>57172</v>
      </c>
      <c r="G18839" s="2" t="str">
        <f>HYPERLINK("https://probpalata.gov.ru/files/ЮЛ860701639400002.jpeg","Скачать индивидуальный QR-код магазина")</f>
        <v>Скачать индивидуальный QR-код магазина</v>
      </c>
    </row>
    <row r="18840" spans="1:7" x14ac:dyDescent="0.25">
      <c r="A18840" t="s">
        <v>56975</v>
      </c>
      <c r="B18840" t="s">
        <v>57173</v>
      </c>
      <c r="C18840" t="s">
        <v>57167</v>
      </c>
      <c r="D18840" t="s">
        <v>57168</v>
      </c>
      <c r="E18840" t="s">
        <v>57169</v>
      </c>
      <c r="F18840" t="s">
        <v>57174</v>
      </c>
      <c r="G18840" s="2" t="str">
        <f>HYPERLINK("https://probpalata.gov.ru/files/ЮЛ860701639400003.jpeg","Скачать индивидуальный QR-код магазина")</f>
        <v>Скачать индивидуальный QR-код магазина</v>
      </c>
    </row>
    <row r="18841" spans="1:7" x14ac:dyDescent="0.25">
      <c r="A18841" t="s">
        <v>56975</v>
      </c>
      <c r="B18841" t="s">
        <v>57175</v>
      </c>
      <c r="C18841" t="s">
        <v>57167</v>
      </c>
      <c r="D18841" t="s">
        <v>57168</v>
      </c>
      <c r="E18841" t="s">
        <v>57169</v>
      </c>
      <c r="F18841" t="s">
        <v>57176</v>
      </c>
      <c r="G18841" s="2" t="str">
        <f>HYPERLINK("https://probpalata.gov.ru/files/ЮЛ860701639400004.jpeg","Скачать индивидуальный QR-код магазина")</f>
        <v>Скачать индивидуальный QR-код магазина</v>
      </c>
    </row>
    <row r="18842" spans="1:7" x14ac:dyDescent="0.25">
      <c r="A18842" t="s">
        <v>56975</v>
      </c>
      <c r="B18842" t="s">
        <v>57177</v>
      </c>
      <c r="C18842" t="s">
        <v>57167</v>
      </c>
      <c r="D18842" t="s">
        <v>57168</v>
      </c>
      <c r="E18842" t="s">
        <v>57169</v>
      </c>
      <c r="F18842" t="s">
        <v>57178</v>
      </c>
      <c r="G18842" s="2" t="str">
        <f>HYPERLINK("https://probpalata.gov.ru/files/ЮЛ860701639400005.jpeg","Скачать индивидуальный QR-код магазина")</f>
        <v>Скачать индивидуальный QR-код магазина</v>
      </c>
    </row>
    <row r="18843" spans="1:7" x14ac:dyDescent="0.25">
      <c r="A18843" t="s">
        <v>56975</v>
      </c>
      <c r="B18843" t="s">
        <v>57121</v>
      </c>
      <c r="C18843" t="s">
        <v>57167</v>
      </c>
      <c r="D18843" t="s">
        <v>57168</v>
      </c>
      <c r="E18843" t="s">
        <v>57169</v>
      </c>
      <c r="F18843" t="s">
        <v>57179</v>
      </c>
      <c r="G18843" s="2" t="str">
        <f>HYPERLINK("https://probpalata.gov.ru/files/ЮЛ860701639400007.jpeg","Скачать индивидуальный QR-код магазина")</f>
        <v>Скачать индивидуальный QR-код магазина</v>
      </c>
    </row>
    <row r="18844" spans="1:7" x14ac:dyDescent="0.25">
      <c r="A18844" t="s">
        <v>56975</v>
      </c>
      <c r="B18844" t="s">
        <v>57180</v>
      </c>
      <c r="C18844" t="s">
        <v>57167</v>
      </c>
      <c r="D18844" t="s">
        <v>57168</v>
      </c>
      <c r="E18844" t="s">
        <v>57169</v>
      </c>
      <c r="F18844" t="s">
        <v>57181</v>
      </c>
      <c r="G18844" s="2" t="str">
        <f>HYPERLINK("https://probpalata.gov.ru/files/ЮЛ860701639400008.jpeg","Скачать индивидуальный QR-код магазина")</f>
        <v>Скачать индивидуальный QR-код магазина</v>
      </c>
    </row>
    <row r="18845" spans="1:7" x14ac:dyDescent="0.25">
      <c r="A18845" t="s">
        <v>56975</v>
      </c>
      <c r="B18845" t="s">
        <v>57182</v>
      </c>
      <c r="C18845" t="s">
        <v>57167</v>
      </c>
      <c r="D18845" t="s">
        <v>57168</v>
      </c>
      <c r="E18845" t="s">
        <v>57169</v>
      </c>
      <c r="F18845" t="s">
        <v>57183</v>
      </c>
      <c r="G18845" s="2" t="str">
        <f>HYPERLINK("https://probpalata.gov.ru/files/ЮЛ860701639400009.jpeg","Скачать индивидуальный QR-код магазина")</f>
        <v>Скачать индивидуальный QR-код магазина</v>
      </c>
    </row>
    <row r="18846" spans="1:7" x14ac:dyDescent="0.25">
      <c r="A18846" t="s">
        <v>56975</v>
      </c>
      <c r="B18846" t="s">
        <v>57184</v>
      </c>
      <c r="C18846" t="s">
        <v>57185</v>
      </c>
      <c r="D18846" t="s">
        <v>57186</v>
      </c>
      <c r="E18846" t="s">
        <v>57187</v>
      </c>
      <c r="F18846" t="s">
        <v>57188</v>
      </c>
      <c r="G18846" s="2" t="str">
        <f>HYPERLINK("https://probpalata.gov.ru/files/ЮЛ860701472000001.jpeg","Скачать индивидуальный QR-код магазина")</f>
        <v>Скачать индивидуальный QR-код магазина</v>
      </c>
    </row>
    <row r="18847" spans="1:7" x14ac:dyDescent="0.25">
      <c r="A18847" t="s">
        <v>56975</v>
      </c>
      <c r="B18847" t="s">
        <v>57189</v>
      </c>
      <c r="C18847" t="s">
        <v>57185</v>
      </c>
      <c r="D18847" t="s">
        <v>57186</v>
      </c>
      <c r="E18847" t="s">
        <v>57187</v>
      </c>
      <c r="F18847" t="s">
        <v>57190</v>
      </c>
      <c r="G18847" s="2" t="str">
        <f>HYPERLINK("https://probpalata.gov.ru/files/ЮЛ860701472000002.jpeg","Скачать индивидуальный QR-код магазина")</f>
        <v>Скачать индивидуальный QR-код магазина</v>
      </c>
    </row>
    <row r="18848" spans="1:7" x14ac:dyDescent="0.25">
      <c r="A18848" t="s">
        <v>56975</v>
      </c>
      <c r="B18848" t="s">
        <v>57191</v>
      </c>
      <c r="C18848" t="s">
        <v>57185</v>
      </c>
      <c r="D18848" t="s">
        <v>57186</v>
      </c>
      <c r="E18848" t="s">
        <v>57187</v>
      </c>
      <c r="F18848" t="s">
        <v>57192</v>
      </c>
      <c r="G18848" s="2" t="str">
        <f>HYPERLINK("https://probpalata.gov.ru/files/ЮЛ860701472000003.jpeg","Скачать индивидуальный QR-код магазина")</f>
        <v>Скачать индивидуальный QR-код магазина</v>
      </c>
    </row>
    <row r="18849" spans="1:7" x14ac:dyDescent="0.25">
      <c r="A18849" t="s">
        <v>56975</v>
      </c>
      <c r="B18849" t="s">
        <v>57193</v>
      </c>
      <c r="C18849" t="s">
        <v>57185</v>
      </c>
      <c r="D18849" t="s">
        <v>57186</v>
      </c>
      <c r="E18849" t="s">
        <v>57187</v>
      </c>
      <c r="F18849" t="s">
        <v>57194</v>
      </c>
      <c r="G18849" s="2" t="str">
        <f>HYPERLINK("https://probpalata.gov.ru/files/ЮЛ860701472000004.jpeg","Скачать индивидуальный QR-код магазина")</f>
        <v>Скачать индивидуальный QR-код магазина</v>
      </c>
    </row>
    <row r="18850" spans="1:7" x14ac:dyDescent="0.25">
      <c r="A18850" t="s">
        <v>56975</v>
      </c>
      <c r="B18850" t="s">
        <v>57171</v>
      </c>
      <c r="C18850" t="s">
        <v>57185</v>
      </c>
      <c r="D18850" t="s">
        <v>57186</v>
      </c>
      <c r="E18850" t="s">
        <v>57187</v>
      </c>
      <c r="F18850" t="s">
        <v>57195</v>
      </c>
      <c r="G18850" s="2" t="str">
        <f>HYPERLINK("https://probpalata.gov.ru/files/ЮЛ860701472000005.jpeg","Скачать индивидуальный QR-код магазина")</f>
        <v>Скачать индивидуальный QR-код магазина</v>
      </c>
    </row>
    <row r="18851" spans="1:7" x14ac:dyDescent="0.25">
      <c r="A18851" t="s">
        <v>56975</v>
      </c>
      <c r="B18851" t="s">
        <v>57196</v>
      </c>
      <c r="C18851" t="s">
        <v>57185</v>
      </c>
      <c r="D18851" t="s">
        <v>57186</v>
      </c>
      <c r="E18851" t="s">
        <v>57187</v>
      </c>
      <c r="F18851" t="s">
        <v>57197</v>
      </c>
      <c r="G18851" s="2" t="str">
        <f>HYPERLINK("https://probpalata.gov.ru/files/ЮЛ860701472000006.jpeg","Скачать индивидуальный QR-код магазина")</f>
        <v>Скачать индивидуальный QR-код магазина</v>
      </c>
    </row>
    <row r="18852" spans="1:7" x14ac:dyDescent="0.25">
      <c r="A18852" t="s">
        <v>56975</v>
      </c>
      <c r="B18852" t="s">
        <v>57198</v>
      </c>
      <c r="C18852" t="s">
        <v>57185</v>
      </c>
      <c r="D18852" t="s">
        <v>57186</v>
      </c>
      <c r="E18852" t="s">
        <v>57187</v>
      </c>
      <c r="F18852" t="s">
        <v>57199</v>
      </c>
      <c r="G18852" s="2" t="str">
        <f>HYPERLINK("https://probpalata.gov.ru/files/ЮЛ860701472000007.jpeg","Скачать индивидуальный QR-код магазина")</f>
        <v>Скачать индивидуальный QR-код магазина</v>
      </c>
    </row>
    <row r="18853" spans="1:7" x14ac:dyDescent="0.25">
      <c r="A18853" t="s">
        <v>56975</v>
      </c>
      <c r="B18853" t="s">
        <v>57200</v>
      </c>
      <c r="C18853" t="s">
        <v>57201</v>
      </c>
      <c r="D18853" t="s">
        <v>57202</v>
      </c>
      <c r="E18853" t="s">
        <v>57203</v>
      </c>
      <c r="F18853" t="s">
        <v>57204</v>
      </c>
      <c r="G18853" s="2" t="str">
        <f>HYPERLINK("https://probpalata.gov.ru/files/ЮЛ860700344800000.jpeg","Скачать индивидуальный QR-код магазина")</f>
        <v>Скачать индивидуальный QR-код магазина</v>
      </c>
    </row>
    <row r="18854" spans="1:7" x14ac:dyDescent="0.25">
      <c r="A18854" t="s">
        <v>56975</v>
      </c>
      <c r="B18854" t="s">
        <v>57205</v>
      </c>
      <c r="C18854" t="s">
        <v>57201</v>
      </c>
      <c r="D18854" t="s">
        <v>57202</v>
      </c>
      <c r="E18854" t="s">
        <v>57203</v>
      </c>
      <c r="F18854" t="s">
        <v>57206</v>
      </c>
      <c r="G18854" s="2" t="str">
        <f>HYPERLINK("https://probpalata.gov.ru/files/ЮЛ860700344800001.jpeg","Скачать индивидуальный QR-код магазина")</f>
        <v>Скачать индивидуальный QR-код магазина</v>
      </c>
    </row>
    <row r="18855" spans="1:7" x14ac:dyDescent="0.25">
      <c r="A18855" t="s">
        <v>56975</v>
      </c>
      <c r="B18855" t="s">
        <v>57207</v>
      </c>
      <c r="C18855" t="s">
        <v>57201</v>
      </c>
      <c r="D18855" t="s">
        <v>57202</v>
      </c>
      <c r="E18855" t="s">
        <v>57203</v>
      </c>
      <c r="F18855" t="s">
        <v>57208</v>
      </c>
      <c r="G18855" s="2" t="str">
        <f>HYPERLINK("https://probpalata.gov.ru/files/ЮЛ860700344800002.jpeg","Скачать индивидуальный QR-код магазина")</f>
        <v>Скачать индивидуальный QR-код магазина</v>
      </c>
    </row>
    <row r="18856" spans="1:7" x14ac:dyDescent="0.25">
      <c r="A18856" t="s">
        <v>56975</v>
      </c>
      <c r="B18856" t="s">
        <v>57209</v>
      </c>
      <c r="C18856" t="s">
        <v>57201</v>
      </c>
      <c r="D18856" t="s">
        <v>57202</v>
      </c>
      <c r="E18856" t="s">
        <v>57203</v>
      </c>
      <c r="F18856" t="s">
        <v>57210</v>
      </c>
      <c r="G18856" s="2" t="str">
        <f>HYPERLINK("https://probpalata.gov.ru/files/ЮЛ860700344800003.jpeg","Скачать индивидуальный QR-код магазина")</f>
        <v>Скачать индивидуальный QR-код магазина</v>
      </c>
    </row>
    <row r="18857" spans="1:7" x14ac:dyDescent="0.25">
      <c r="A18857" t="s">
        <v>56975</v>
      </c>
      <c r="B18857" t="s">
        <v>57211</v>
      </c>
      <c r="C18857" t="s">
        <v>57212</v>
      </c>
      <c r="D18857" t="s">
        <v>57213</v>
      </c>
      <c r="E18857" t="s">
        <v>57214</v>
      </c>
      <c r="F18857" t="s">
        <v>57215</v>
      </c>
      <c r="G18857" s="2" t="str">
        <f>HYPERLINK("https://probpalata.gov.ru/files/ИП860700719000000.jpeg","Скачать индивидуальный QR-код магазина")</f>
        <v>Скачать индивидуальный QR-код магазина</v>
      </c>
    </row>
    <row r="18858" spans="1:7" x14ac:dyDescent="0.25">
      <c r="A18858" t="s">
        <v>56975</v>
      </c>
      <c r="B18858" t="s">
        <v>57216</v>
      </c>
      <c r="C18858" t="s">
        <v>57212</v>
      </c>
      <c r="D18858" t="s">
        <v>57213</v>
      </c>
      <c r="E18858" t="s">
        <v>57214</v>
      </c>
      <c r="F18858" t="s">
        <v>57217</v>
      </c>
      <c r="G18858" s="2" t="str">
        <f>HYPERLINK("https://probpalata.gov.ru/files/ИП860700719000001.jpeg","Скачать индивидуальный QR-код магазина")</f>
        <v>Скачать индивидуальный QR-код магазина</v>
      </c>
    </row>
    <row r="18859" spans="1:7" x14ac:dyDescent="0.25">
      <c r="A18859" t="s">
        <v>56975</v>
      </c>
      <c r="B18859" t="s">
        <v>57218</v>
      </c>
      <c r="C18859" t="s">
        <v>57219</v>
      </c>
      <c r="D18859" t="s">
        <v>57220</v>
      </c>
      <c r="E18859" t="s">
        <v>57221</v>
      </c>
      <c r="F18859" t="s">
        <v>57222</v>
      </c>
      <c r="G18859" s="2" t="str">
        <f>HYPERLINK("https://probpalata.gov.ru/files/ЮЛ860700123100000.jpeg","Скачать индивидуальный QR-код магазина")</f>
        <v>Скачать индивидуальный QR-код магазина</v>
      </c>
    </row>
    <row r="18860" spans="1:7" x14ac:dyDescent="0.25">
      <c r="A18860" t="s">
        <v>56975</v>
      </c>
      <c r="B18860" t="s">
        <v>57223</v>
      </c>
      <c r="C18860" t="s">
        <v>57224</v>
      </c>
      <c r="D18860" t="s">
        <v>57225</v>
      </c>
      <c r="E18860" t="s">
        <v>57226</v>
      </c>
      <c r="F18860" t="s">
        <v>57227</v>
      </c>
      <c r="G18860" s="2" t="str">
        <f>HYPERLINK("https://probpalata.gov.ru/files/ИП860700942900000.jpeg","Скачать индивидуальный QR-код магазина")</f>
        <v>Скачать индивидуальный QR-код магазина</v>
      </c>
    </row>
    <row r="18861" spans="1:7" x14ac:dyDescent="0.25">
      <c r="A18861" t="s">
        <v>56975</v>
      </c>
      <c r="B18861" t="s">
        <v>57228</v>
      </c>
      <c r="C18861" t="s">
        <v>19203</v>
      </c>
      <c r="D18861" t="s">
        <v>57229</v>
      </c>
      <c r="E18861" t="s">
        <v>57230</v>
      </c>
      <c r="F18861" t="s">
        <v>57231</v>
      </c>
      <c r="G18861" s="2" t="str">
        <f>HYPERLINK("https://probpalata.gov.ru/files/ЮЛ860700620200000.jpeg","Скачать индивидуальный QR-код магазина")</f>
        <v>Скачать индивидуальный QR-код магазина</v>
      </c>
    </row>
    <row r="18862" spans="1:7" x14ac:dyDescent="0.25">
      <c r="A18862" t="s">
        <v>56975</v>
      </c>
      <c r="B18862" t="s">
        <v>57232</v>
      </c>
      <c r="C18862" t="s">
        <v>57233</v>
      </c>
      <c r="D18862" t="s">
        <v>57234</v>
      </c>
      <c r="E18862" t="s">
        <v>57235</v>
      </c>
      <c r="F18862" t="s">
        <v>57236</v>
      </c>
      <c r="G18862" s="2" t="str">
        <f>HYPERLINK("https://probpalata.gov.ru/files/ЮЛ860701370800000.jpeg","Скачать индивидуальный QR-код магазина")</f>
        <v>Скачать индивидуальный QR-код магазина</v>
      </c>
    </row>
    <row r="18863" spans="1:7" x14ac:dyDescent="0.25">
      <c r="A18863" t="s">
        <v>56975</v>
      </c>
      <c r="B18863" t="s">
        <v>57237</v>
      </c>
      <c r="C18863" t="s">
        <v>57238</v>
      </c>
      <c r="D18863" t="s">
        <v>57239</v>
      </c>
      <c r="E18863" t="s">
        <v>57240</v>
      </c>
      <c r="F18863" t="s">
        <v>57241</v>
      </c>
      <c r="G18863" s="2" t="str">
        <f>HYPERLINK("https://probpalata.gov.ru/files/ИП860700788600000.jpeg","Скачать индивидуальный QR-код магазина")</f>
        <v>Скачать индивидуальный QR-код магазина</v>
      </c>
    </row>
    <row r="18864" spans="1:7" x14ac:dyDescent="0.25">
      <c r="A18864" t="s">
        <v>56975</v>
      </c>
      <c r="B18864" t="s">
        <v>57242</v>
      </c>
      <c r="C18864" t="s">
        <v>57243</v>
      </c>
      <c r="D18864" t="s">
        <v>57244</v>
      </c>
      <c r="E18864" t="s">
        <v>57245</v>
      </c>
      <c r="F18864" t="s">
        <v>57246</v>
      </c>
      <c r="G18864" s="2" t="str">
        <f>HYPERLINK("https://probpalata.gov.ru/files/ИП860703118500000.jpeg","Скачать индивидуальный QR-код магазина")</f>
        <v>Скачать индивидуальный QR-код магазина</v>
      </c>
    </row>
    <row r="18865" spans="1:7" x14ac:dyDescent="0.25">
      <c r="A18865" t="s">
        <v>56975</v>
      </c>
      <c r="B18865" t="s">
        <v>57247</v>
      </c>
      <c r="C18865" t="s">
        <v>57248</v>
      </c>
      <c r="D18865" t="s">
        <v>57249</v>
      </c>
      <c r="E18865" t="s">
        <v>57250</v>
      </c>
      <c r="F18865" t="s">
        <v>57251</v>
      </c>
      <c r="G18865" s="2" t="str">
        <f>HYPERLINK("https://probpalata.gov.ru/files/ИП860700858800000.jpeg","Скачать индивидуальный QR-код магазина")</f>
        <v>Скачать индивидуальный QR-код магазина</v>
      </c>
    </row>
    <row r="18866" spans="1:7" x14ac:dyDescent="0.25">
      <c r="A18866" t="s">
        <v>56975</v>
      </c>
      <c r="B18866" t="s">
        <v>57252</v>
      </c>
      <c r="C18866" t="s">
        <v>57253</v>
      </c>
      <c r="D18866" t="s">
        <v>57254</v>
      </c>
      <c r="E18866" t="s">
        <v>57255</v>
      </c>
      <c r="F18866" t="s">
        <v>57256</v>
      </c>
      <c r="G18866" s="2" t="str">
        <f>HYPERLINK("https://probpalata.gov.ru/files/ЮЛ860701322600000.jpeg","Скачать индивидуальный QR-код магазина")</f>
        <v>Скачать индивидуальный QR-код магазина</v>
      </c>
    </row>
    <row r="18867" spans="1:7" x14ac:dyDescent="0.25">
      <c r="A18867" t="s">
        <v>56975</v>
      </c>
      <c r="B18867" t="s">
        <v>57257</v>
      </c>
      <c r="C18867" t="s">
        <v>57253</v>
      </c>
      <c r="D18867" t="s">
        <v>57254</v>
      </c>
      <c r="E18867" t="s">
        <v>57255</v>
      </c>
      <c r="F18867" t="s">
        <v>57258</v>
      </c>
      <c r="G18867" s="2" t="str">
        <f>HYPERLINK("https://probpalata.gov.ru/files/ЮЛ860701322600001.jpeg","Скачать индивидуальный QR-код магазина")</f>
        <v>Скачать индивидуальный QR-код магазина</v>
      </c>
    </row>
    <row r="18868" spans="1:7" x14ac:dyDescent="0.25">
      <c r="A18868" t="s">
        <v>56975</v>
      </c>
      <c r="B18868" t="s">
        <v>57259</v>
      </c>
      <c r="C18868" t="s">
        <v>57260</v>
      </c>
      <c r="D18868" t="s">
        <v>57261</v>
      </c>
      <c r="E18868" t="s">
        <v>57262</v>
      </c>
      <c r="F18868" t="s">
        <v>57263</v>
      </c>
      <c r="G18868" s="2" t="str">
        <f>HYPERLINK("https://probpalata.gov.ru/files/ЮЛ860700693900000.jpeg","Скачать индивидуальный QR-код магазина")</f>
        <v>Скачать индивидуальный QR-код магазина</v>
      </c>
    </row>
    <row r="18869" spans="1:7" x14ac:dyDescent="0.25">
      <c r="A18869" t="s">
        <v>56975</v>
      </c>
      <c r="B18869" t="s">
        <v>57264</v>
      </c>
      <c r="C18869" t="s">
        <v>57260</v>
      </c>
      <c r="D18869" t="s">
        <v>57261</v>
      </c>
      <c r="E18869" t="s">
        <v>57262</v>
      </c>
      <c r="F18869" t="s">
        <v>57265</v>
      </c>
      <c r="G18869" s="2" t="str">
        <f>HYPERLINK("https://probpalata.gov.ru/files/ЮЛ860700693900003.jpeg","Скачать индивидуальный QR-код магазина")</f>
        <v>Скачать индивидуальный QR-код магазина</v>
      </c>
    </row>
    <row r="18870" spans="1:7" x14ac:dyDescent="0.25">
      <c r="A18870" t="s">
        <v>56975</v>
      </c>
      <c r="B18870" t="s">
        <v>57266</v>
      </c>
      <c r="C18870" t="s">
        <v>57260</v>
      </c>
      <c r="D18870" t="s">
        <v>57261</v>
      </c>
      <c r="E18870" t="s">
        <v>57262</v>
      </c>
      <c r="F18870" t="s">
        <v>57267</v>
      </c>
      <c r="G18870" s="2" t="str">
        <f>HYPERLINK("https://probpalata.gov.ru/files/ЮЛ860700693900004.jpeg","Скачать индивидуальный QR-код магазина")</f>
        <v>Скачать индивидуальный QR-код магазина</v>
      </c>
    </row>
    <row r="18871" spans="1:7" x14ac:dyDescent="0.25">
      <c r="A18871" t="s">
        <v>56975</v>
      </c>
      <c r="B18871" t="s">
        <v>57268</v>
      </c>
      <c r="C18871" t="s">
        <v>57260</v>
      </c>
      <c r="D18871" t="s">
        <v>57261</v>
      </c>
      <c r="E18871" t="s">
        <v>57262</v>
      </c>
      <c r="F18871" t="s">
        <v>57269</v>
      </c>
      <c r="G18871" s="2" t="str">
        <f>HYPERLINK("https://probpalata.gov.ru/files/ЮЛ860700693900005.jpeg","Скачать индивидуальный QR-код магазина")</f>
        <v>Скачать индивидуальный QR-код магазина</v>
      </c>
    </row>
    <row r="18872" spans="1:7" x14ac:dyDescent="0.25">
      <c r="A18872" t="s">
        <v>56975</v>
      </c>
      <c r="B18872" t="s">
        <v>57270</v>
      </c>
      <c r="C18872" t="s">
        <v>57271</v>
      </c>
      <c r="D18872" t="s">
        <v>57272</v>
      </c>
      <c r="E18872" t="s">
        <v>57273</v>
      </c>
      <c r="F18872" t="s">
        <v>57274</v>
      </c>
      <c r="G18872" s="2" t="str">
        <f>HYPERLINK("https://probpalata.gov.ru/files/ЮЛ860701639500000.jpeg","Скачать индивидуальный QR-код магазина")</f>
        <v>Скачать индивидуальный QR-код магазина</v>
      </c>
    </row>
    <row r="18873" spans="1:7" x14ac:dyDescent="0.25">
      <c r="A18873" t="s">
        <v>56975</v>
      </c>
      <c r="B18873" t="s">
        <v>57275</v>
      </c>
      <c r="C18873" t="s">
        <v>57276</v>
      </c>
      <c r="D18873" t="s">
        <v>57277</v>
      </c>
      <c r="E18873" t="s">
        <v>57278</v>
      </c>
      <c r="F18873" t="s">
        <v>57279</v>
      </c>
      <c r="G18873" s="2" t="str">
        <f>HYPERLINK("https://probpalata.gov.ru/files/ЮЛ860700353000000.jpeg","Скачать индивидуальный QR-код магазина")</f>
        <v>Скачать индивидуальный QR-код магазина</v>
      </c>
    </row>
    <row r="18874" spans="1:7" x14ac:dyDescent="0.25">
      <c r="A18874" t="s">
        <v>56975</v>
      </c>
      <c r="B18874" t="s">
        <v>57280</v>
      </c>
      <c r="C18874" t="s">
        <v>57281</v>
      </c>
      <c r="D18874" t="s">
        <v>57282</v>
      </c>
      <c r="E18874" t="s">
        <v>57283</v>
      </c>
      <c r="F18874" t="s">
        <v>57284</v>
      </c>
      <c r="G18874" s="2" t="str">
        <f>HYPERLINK("https://probpalata.gov.ru/files/ИП860700298100000.jpeg","Скачать индивидуальный QR-код магазина")</f>
        <v>Скачать индивидуальный QR-код магазина</v>
      </c>
    </row>
    <row r="18875" spans="1:7" x14ac:dyDescent="0.25">
      <c r="A18875" t="s">
        <v>56975</v>
      </c>
      <c r="B18875" t="s">
        <v>57285</v>
      </c>
      <c r="C18875" t="s">
        <v>57281</v>
      </c>
      <c r="D18875" t="s">
        <v>57282</v>
      </c>
      <c r="E18875" t="s">
        <v>57283</v>
      </c>
      <c r="F18875" t="s">
        <v>57286</v>
      </c>
      <c r="G18875" s="2" t="str">
        <f>HYPERLINK("https://probpalata.gov.ru/files/ИП860700298100001.jpeg","Скачать индивидуальный QR-код магазина")</f>
        <v>Скачать индивидуальный QR-код магазина</v>
      </c>
    </row>
    <row r="18876" spans="1:7" x14ac:dyDescent="0.25">
      <c r="A18876" t="s">
        <v>56975</v>
      </c>
      <c r="B18876" t="s">
        <v>57287</v>
      </c>
      <c r="C18876" t="s">
        <v>57288</v>
      </c>
      <c r="D18876" t="s">
        <v>57289</v>
      </c>
      <c r="E18876" t="s">
        <v>57290</v>
      </c>
      <c r="F18876" t="s">
        <v>57291</v>
      </c>
      <c r="G18876" s="2" t="str">
        <f>HYPERLINK("https://probpalata.gov.ru/files/ИП860700687600000.jpeg","Скачать индивидуальный QR-код магазина")</f>
        <v>Скачать индивидуальный QR-код магазина</v>
      </c>
    </row>
    <row r="18877" spans="1:7" x14ac:dyDescent="0.25">
      <c r="A18877" t="s">
        <v>56975</v>
      </c>
      <c r="B18877" t="s">
        <v>57292</v>
      </c>
      <c r="C18877" t="s">
        <v>57288</v>
      </c>
      <c r="D18877" t="s">
        <v>57289</v>
      </c>
      <c r="E18877" t="s">
        <v>57290</v>
      </c>
      <c r="F18877" t="s">
        <v>57293</v>
      </c>
      <c r="G18877" s="2" t="str">
        <f>HYPERLINK("https://probpalata.gov.ru/files/ИП860700687600001.jpeg","Скачать индивидуальный QR-код магазина")</f>
        <v>Скачать индивидуальный QR-код магазина</v>
      </c>
    </row>
    <row r="18878" spans="1:7" x14ac:dyDescent="0.25">
      <c r="A18878" t="s">
        <v>56975</v>
      </c>
      <c r="B18878" t="s">
        <v>57294</v>
      </c>
      <c r="C18878" t="s">
        <v>57295</v>
      </c>
      <c r="D18878" t="s">
        <v>57296</v>
      </c>
      <c r="E18878" t="s">
        <v>57297</v>
      </c>
      <c r="F18878" t="s">
        <v>57298</v>
      </c>
      <c r="G18878" s="2" t="str">
        <f>HYPERLINK("https://probpalata.gov.ru/files/ИП860700020000000.jpeg","Скачать индивидуальный QR-код магазина")</f>
        <v>Скачать индивидуальный QR-код магазина</v>
      </c>
    </row>
    <row r="18879" spans="1:7" x14ac:dyDescent="0.25">
      <c r="A18879" t="s">
        <v>56975</v>
      </c>
      <c r="B18879" t="s">
        <v>57299</v>
      </c>
      <c r="C18879" t="s">
        <v>57300</v>
      </c>
      <c r="D18879" t="s">
        <v>57301</v>
      </c>
      <c r="E18879" t="s">
        <v>57302</v>
      </c>
      <c r="F18879" t="s">
        <v>57303</v>
      </c>
      <c r="G18879" s="2" t="str">
        <f>HYPERLINK("https://probpalata.gov.ru/files/ИП860700711700000.jpeg","Скачать индивидуальный QR-код магазина")</f>
        <v>Скачать индивидуальный QR-код магазина</v>
      </c>
    </row>
    <row r="18880" spans="1:7" x14ac:dyDescent="0.25">
      <c r="A18880" t="s">
        <v>56975</v>
      </c>
      <c r="B18880" t="s">
        <v>57304</v>
      </c>
      <c r="C18880" t="s">
        <v>57305</v>
      </c>
      <c r="D18880" t="s">
        <v>57306</v>
      </c>
      <c r="E18880" t="s">
        <v>57307</v>
      </c>
      <c r="F18880" t="s">
        <v>57308</v>
      </c>
      <c r="G18880" s="2" t="str">
        <f>HYPERLINK("https://probpalata.gov.ru/files/ЮЛ860701437900000.jpeg","Скачать индивидуальный QR-код магазина")</f>
        <v>Скачать индивидуальный QR-код магазина</v>
      </c>
    </row>
    <row r="18881" spans="1:7" x14ac:dyDescent="0.25">
      <c r="A18881" t="s">
        <v>56975</v>
      </c>
      <c r="B18881" t="s">
        <v>57309</v>
      </c>
      <c r="C18881" t="s">
        <v>57310</v>
      </c>
      <c r="D18881" t="s">
        <v>57311</v>
      </c>
      <c r="E18881" t="s">
        <v>57312</v>
      </c>
      <c r="F18881" t="s">
        <v>57313</v>
      </c>
      <c r="G18881" s="2" t="str">
        <f>HYPERLINK("https://probpalata.gov.ru/files/ЮЛ860700234000000.jpeg","Скачать индивидуальный QR-код магазина")</f>
        <v>Скачать индивидуальный QR-код магазина</v>
      </c>
    </row>
    <row r="18882" spans="1:7" x14ac:dyDescent="0.25">
      <c r="A18882" t="s">
        <v>56975</v>
      </c>
      <c r="B18882" t="s">
        <v>57314</v>
      </c>
      <c r="C18882" t="s">
        <v>57315</v>
      </c>
      <c r="D18882" t="s">
        <v>57316</v>
      </c>
      <c r="E18882" t="s">
        <v>57317</v>
      </c>
      <c r="F18882" t="s">
        <v>57318</v>
      </c>
      <c r="G18882" s="2" t="str">
        <f>HYPERLINK("https://probpalata.gov.ru/files/ИП500103241700000.jpeg","Скачать индивидуальный QR-код магазина")</f>
        <v>Скачать индивидуальный QR-код магазина</v>
      </c>
    </row>
    <row r="18883" spans="1:7" x14ac:dyDescent="0.25">
      <c r="A18883" t="s">
        <v>56975</v>
      </c>
      <c r="B18883" t="s">
        <v>57319</v>
      </c>
      <c r="C18883" t="s">
        <v>57320</v>
      </c>
      <c r="D18883" t="s">
        <v>57321</v>
      </c>
      <c r="E18883" t="s">
        <v>57322</v>
      </c>
      <c r="F18883" t="s">
        <v>57323</v>
      </c>
      <c r="G18883" s="2" t="str">
        <f>HYPERLINK("https://probpalata.gov.ru/files/ИП860700310400000.jpeg","Скачать индивидуальный QR-код магазина")</f>
        <v>Скачать индивидуальный QR-код магазина</v>
      </c>
    </row>
    <row r="18884" spans="1:7" x14ac:dyDescent="0.25">
      <c r="A18884" t="s">
        <v>56975</v>
      </c>
      <c r="B18884" t="s">
        <v>57324</v>
      </c>
      <c r="C18884" t="s">
        <v>57325</v>
      </c>
      <c r="D18884" t="s">
        <v>57326</v>
      </c>
      <c r="E18884" t="s">
        <v>57327</v>
      </c>
      <c r="F18884" t="s">
        <v>57328</v>
      </c>
      <c r="G18884" s="2" t="str">
        <f>HYPERLINK("https://probpalata.gov.ru/files/ИП860700162600000.jpeg","Скачать индивидуальный QR-код магазина")</f>
        <v>Скачать индивидуальный QR-код магазина</v>
      </c>
    </row>
    <row r="18885" spans="1:7" x14ac:dyDescent="0.25">
      <c r="A18885" t="s">
        <v>56975</v>
      </c>
      <c r="B18885" t="s">
        <v>57329</v>
      </c>
      <c r="C18885" t="s">
        <v>57325</v>
      </c>
      <c r="D18885" t="s">
        <v>57326</v>
      </c>
      <c r="E18885" t="s">
        <v>57327</v>
      </c>
      <c r="F18885" t="s">
        <v>57330</v>
      </c>
      <c r="G18885" s="2" t="str">
        <f>HYPERLINK("https://probpalata.gov.ru/files/ИП860700162600002.jpeg","Скачать индивидуальный QR-код магазина")</f>
        <v>Скачать индивидуальный QR-код магазина</v>
      </c>
    </row>
    <row r="18886" spans="1:7" x14ac:dyDescent="0.25">
      <c r="A18886" t="s">
        <v>56975</v>
      </c>
      <c r="B18886" t="s">
        <v>57331</v>
      </c>
      <c r="C18886" t="s">
        <v>57325</v>
      </c>
      <c r="D18886" t="s">
        <v>57326</v>
      </c>
      <c r="E18886" t="s">
        <v>57327</v>
      </c>
      <c r="F18886" t="s">
        <v>57332</v>
      </c>
      <c r="G18886" s="2" t="str">
        <f>HYPERLINK("https://probpalata.gov.ru/files/ИП860700162600003.jpeg","Скачать индивидуальный QR-код магазина")</f>
        <v>Скачать индивидуальный QR-код магазина</v>
      </c>
    </row>
    <row r="18887" spans="1:7" x14ac:dyDescent="0.25">
      <c r="A18887" t="s">
        <v>56975</v>
      </c>
      <c r="B18887" t="s">
        <v>57333</v>
      </c>
      <c r="C18887" t="s">
        <v>57334</v>
      </c>
      <c r="D18887" t="s">
        <v>57335</v>
      </c>
      <c r="E18887" t="s">
        <v>57336</v>
      </c>
      <c r="F18887" t="s">
        <v>57337</v>
      </c>
      <c r="G18887" s="2" t="str">
        <f>HYPERLINK("https://probpalata.gov.ru/files/ИП860700232400000.jpeg","Скачать индивидуальный QR-код магазина")</f>
        <v>Скачать индивидуальный QR-код магазина</v>
      </c>
    </row>
    <row r="18888" spans="1:7" x14ac:dyDescent="0.25">
      <c r="A18888" t="s">
        <v>56975</v>
      </c>
      <c r="B18888" t="s">
        <v>57338</v>
      </c>
      <c r="C18888" t="s">
        <v>57339</v>
      </c>
      <c r="D18888" t="s">
        <v>57340</v>
      </c>
      <c r="E18888" t="s">
        <v>57341</v>
      </c>
      <c r="F18888" t="s">
        <v>57342</v>
      </c>
      <c r="G18888" s="2" t="str">
        <f>HYPERLINK("https://probpalata.gov.ru/files/ИП860700396600000.jpeg","Скачать индивидуальный QR-код магазина")</f>
        <v>Скачать индивидуальный QR-код магазина</v>
      </c>
    </row>
    <row r="18889" spans="1:7" x14ac:dyDescent="0.25">
      <c r="A18889" t="s">
        <v>56975</v>
      </c>
      <c r="B18889" t="s">
        <v>57343</v>
      </c>
      <c r="C18889" t="s">
        <v>57344</v>
      </c>
      <c r="D18889" t="s">
        <v>57345</v>
      </c>
      <c r="E18889" t="s">
        <v>57346</v>
      </c>
      <c r="F18889" t="s">
        <v>57347</v>
      </c>
      <c r="G18889" s="2" t="str">
        <f>HYPERLINK("https://probpalata.gov.ru/files/ИП860701628100000.jpeg","Скачать индивидуальный QR-код магазина")</f>
        <v>Скачать индивидуальный QR-код магазина</v>
      </c>
    </row>
    <row r="18890" spans="1:7" x14ac:dyDescent="0.25">
      <c r="A18890" t="s">
        <v>56975</v>
      </c>
      <c r="B18890" t="s">
        <v>57348</v>
      </c>
      <c r="C18890" t="s">
        <v>57349</v>
      </c>
      <c r="D18890" t="s">
        <v>57350</v>
      </c>
      <c r="E18890" t="s">
        <v>57351</v>
      </c>
      <c r="F18890" t="s">
        <v>57352</v>
      </c>
      <c r="G18890" s="2" t="str">
        <f>HYPERLINK("https://probpalata.gov.ru/files/ИП890700267400005.jpeg","Скачать индивидуальный QR-код магазина")</f>
        <v>Скачать индивидуальный QR-код магазина</v>
      </c>
    </row>
    <row r="18891" spans="1:7" x14ac:dyDescent="0.25">
      <c r="A18891" t="s">
        <v>56975</v>
      </c>
      <c r="B18891" t="s">
        <v>57353</v>
      </c>
      <c r="C18891" t="s">
        <v>15574</v>
      </c>
      <c r="D18891" t="s">
        <v>15575</v>
      </c>
      <c r="E18891" t="s">
        <v>15576</v>
      </c>
      <c r="F18891" t="s">
        <v>57354</v>
      </c>
      <c r="G18891" s="2" t="str">
        <f>HYPERLINK("https://probpalata.gov.ru/files/ИП820400991100007.jpeg","Скачать индивидуальный QR-код магазина")</f>
        <v>Скачать индивидуальный QR-код магазина</v>
      </c>
    </row>
    <row r="18892" spans="1:7" x14ac:dyDescent="0.25">
      <c r="A18892" t="s">
        <v>56975</v>
      </c>
      <c r="B18892" t="s">
        <v>57355</v>
      </c>
      <c r="C18892" t="s">
        <v>1501</v>
      </c>
      <c r="D18892" t="s">
        <v>1502</v>
      </c>
      <c r="E18892" t="s">
        <v>1503</v>
      </c>
      <c r="F18892" t="s">
        <v>57356</v>
      </c>
      <c r="G18892" s="2" t="str">
        <f>HYPERLINK("https://probpalata.gov.ru/files/ЮЛ770100439200196.jpeg","Скачать индивидуальный QR-код магазина")</f>
        <v>Скачать индивидуальный QR-код магазина</v>
      </c>
    </row>
    <row r="18893" spans="1:7" x14ac:dyDescent="0.25">
      <c r="A18893" t="s">
        <v>56975</v>
      </c>
      <c r="B18893" t="s">
        <v>57357</v>
      </c>
      <c r="C18893" t="s">
        <v>1501</v>
      </c>
      <c r="D18893" t="s">
        <v>1502</v>
      </c>
      <c r="E18893" t="s">
        <v>1503</v>
      </c>
      <c r="F18893" t="s">
        <v>57358</v>
      </c>
      <c r="G18893" s="2" t="str">
        <f>HYPERLINK("https://probpalata.gov.ru/files/ЮЛ770100439200198.jpeg","Скачать индивидуальный QR-код магазина")</f>
        <v>Скачать индивидуальный QR-код магазина</v>
      </c>
    </row>
    <row r="18894" spans="1:7" x14ac:dyDescent="0.25">
      <c r="A18894" t="s">
        <v>56975</v>
      </c>
      <c r="B18894" t="s">
        <v>57359</v>
      </c>
      <c r="C18894" t="s">
        <v>1501</v>
      </c>
      <c r="D18894" t="s">
        <v>1502</v>
      </c>
      <c r="E18894" t="s">
        <v>1503</v>
      </c>
      <c r="F18894" t="s">
        <v>57360</v>
      </c>
      <c r="G18894" s="2" t="str">
        <f>HYPERLINK("https://probpalata.gov.ru/files/ЮЛ770100439200263.jpeg","Скачать индивидуальный QR-код магазина")</f>
        <v>Скачать индивидуальный QR-код магазина</v>
      </c>
    </row>
    <row r="18895" spans="1:7" x14ac:dyDescent="0.25">
      <c r="A18895" t="s">
        <v>56975</v>
      </c>
      <c r="B18895" t="s">
        <v>57361</v>
      </c>
      <c r="C18895" t="s">
        <v>1501</v>
      </c>
      <c r="D18895" t="s">
        <v>1502</v>
      </c>
      <c r="E18895" t="s">
        <v>1503</v>
      </c>
      <c r="F18895" t="s">
        <v>57362</v>
      </c>
      <c r="G18895" s="2" t="str">
        <f>HYPERLINK("https://probpalata.gov.ru/files/ЮЛ770100439200269.jpeg","Скачать индивидуальный QR-код магазина")</f>
        <v>Скачать индивидуальный QR-код магазина</v>
      </c>
    </row>
    <row r="18896" spans="1:7" x14ac:dyDescent="0.25">
      <c r="A18896" t="s">
        <v>57363</v>
      </c>
      <c r="B18896" t="s">
        <v>57364</v>
      </c>
      <c r="C18896" t="s">
        <v>57365</v>
      </c>
      <c r="D18896" t="s">
        <v>57366</v>
      </c>
      <c r="E18896" t="s">
        <v>57367</v>
      </c>
      <c r="F18896" t="s">
        <v>57368</v>
      </c>
      <c r="G18896" s="2" t="str">
        <f>HYPERLINK("https://probpalata.gov.ru/files/ИП950403758100000.jpeg","Скачать индивидуальный QR-код магазина")</f>
        <v>Скачать индивидуальный QR-код магазина</v>
      </c>
    </row>
    <row r="18897" spans="1:7" x14ac:dyDescent="0.25">
      <c r="A18897" t="s">
        <v>57363</v>
      </c>
      <c r="B18897" t="s">
        <v>57369</v>
      </c>
      <c r="C18897" t="s">
        <v>57370</v>
      </c>
      <c r="D18897" t="s">
        <v>57371</v>
      </c>
      <c r="E18897" t="s">
        <v>57372</v>
      </c>
      <c r="F18897" t="s">
        <v>57373</v>
      </c>
      <c r="G18897" s="2" t="str">
        <f>HYPERLINK("https://probpalata.gov.ru/files/ИП950403711900000.jpeg","Скачать индивидуальный QR-код магазина")</f>
        <v>Скачать индивидуальный QR-код магазина</v>
      </c>
    </row>
    <row r="18898" spans="1:7" x14ac:dyDescent="0.25">
      <c r="A18898" t="s">
        <v>57363</v>
      </c>
      <c r="B18898" t="s">
        <v>57374</v>
      </c>
      <c r="C18898" t="s">
        <v>57375</v>
      </c>
      <c r="D18898" t="s">
        <v>57376</v>
      </c>
      <c r="E18898" t="s">
        <v>57377</v>
      </c>
      <c r="F18898" t="s">
        <v>57378</v>
      </c>
      <c r="G18898" s="2" t="str">
        <f>HYPERLINK("https://probpalata.gov.ru/files/ИП950404096300000.jpeg","Скачать индивидуальный QR-код магазина")</f>
        <v>Скачать индивидуальный QR-код магазина</v>
      </c>
    </row>
    <row r="18899" spans="1:7" x14ac:dyDescent="0.25">
      <c r="A18899" t="s">
        <v>57379</v>
      </c>
      <c r="B18899" t="s">
        <v>57380</v>
      </c>
      <c r="C18899" t="s">
        <v>57381</v>
      </c>
      <c r="D18899" t="s">
        <v>57382</v>
      </c>
      <c r="E18899" t="s">
        <v>57383</v>
      </c>
      <c r="F18899" t="s">
        <v>57384</v>
      </c>
      <c r="G18899" s="2" t="str">
        <f>HYPERLINK("https://probpalata.gov.ru/files/ИП020600271200000.jpeg","Скачать индивидуальный QR-код магазина")</f>
        <v>Скачать индивидуальный QR-код магазина</v>
      </c>
    </row>
    <row r="18900" spans="1:7" x14ac:dyDescent="0.25">
      <c r="A18900" t="s">
        <v>57379</v>
      </c>
      <c r="B18900" t="s">
        <v>57385</v>
      </c>
      <c r="C18900" t="s">
        <v>9495</v>
      </c>
      <c r="D18900" t="s">
        <v>9496</v>
      </c>
      <c r="E18900" t="s">
        <v>9497</v>
      </c>
      <c r="F18900" t="s">
        <v>57386</v>
      </c>
      <c r="G18900" s="2" t="str">
        <f>HYPERLINK("https://probpalata.gov.ru/files/ЮЛ020603117700001.jpeg","Скачать индивидуальный QR-код магазина")</f>
        <v>Скачать индивидуальный QR-код магазина</v>
      </c>
    </row>
    <row r="18901" spans="1:7" x14ac:dyDescent="0.25">
      <c r="A18901" t="s">
        <v>57379</v>
      </c>
      <c r="B18901" t="s">
        <v>57387</v>
      </c>
      <c r="C18901" t="s">
        <v>57388</v>
      </c>
      <c r="D18901" t="s">
        <v>57389</v>
      </c>
      <c r="E18901" t="s">
        <v>57390</v>
      </c>
      <c r="F18901" t="s">
        <v>57391</v>
      </c>
      <c r="G18901" s="2" t="str">
        <f>HYPERLINK("https://probpalata.gov.ru/files/ИП230404068700000.jpeg","Скачать индивидуальный QR-код магазина")</f>
        <v>Скачать индивидуальный QR-код магазина</v>
      </c>
    </row>
    <row r="18902" spans="1:7" x14ac:dyDescent="0.25">
      <c r="A18902" t="s">
        <v>57379</v>
      </c>
      <c r="B18902" t="s">
        <v>57392</v>
      </c>
      <c r="C18902" t="s">
        <v>50467</v>
      </c>
      <c r="D18902" t="s">
        <v>50468</v>
      </c>
      <c r="E18902" t="s">
        <v>50469</v>
      </c>
      <c r="F18902" t="s">
        <v>57393</v>
      </c>
      <c r="G18902" s="2" t="str">
        <f>HYPERLINK("https://probpalata.gov.ru/files/ИП440200649100007.jpeg","Скачать индивидуальный QR-код магазина")</f>
        <v>Скачать индивидуальный QR-код магазина</v>
      </c>
    </row>
    <row r="18903" spans="1:7" x14ac:dyDescent="0.25">
      <c r="A18903" t="s">
        <v>57379</v>
      </c>
      <c r="B18903" t="s">
        <v>57394</v>
      </c>
      <c r="C18903" t="s">
        <v>50467</v>
      </c>
      <c r="D18903" t="s">
        <v>50468</v>
      </c>
      <c r="E18903" t="s">
        <v>50469</v>
      </c>
      <c r="F18903" t="s">
        <v>57395</v>
      </c>
      <c r="G18903" s="2" t="str">
        <f>HYPERLINK("https://probpalata.gov.ru/files/ИП440200649100019.jpeg","Скачать индивидуальный QR-код магазина")</f>
        <v>Скачать индивидуальный QR-код магазина</v>
      </c>
    </row>
    <row r="18904" spans="1:7" x14ac:dyDescent="0.25">
      <c r="A18904" t="s">
        <v>57379</v>
      </c>
      <c r="B18904" t="s">
        <v>57396</v>
      </c>
      <c r="C18904" t="s">
        <v>2171</v>
      </c>
      <c r="D18904" t="s">
        <v>2172</v>
      </c>
      <c r="E18904" t="s">
        <v>2173</v>
      </c>
      <c r="F18904" t="s">
        <v>57397</v>
      </c>
      <c r="G18904" s="2" t="str">
        <f>HYPERLINK("https://probpalata.gov.ru/files/ЮЛ500100602500024.jpeg","Скачать индивидуальный QR-код магазина")</f>
        <v>Скачать индивидуальный QR-код магазина</v>
      </c>
    </row>
    <row r="18905" spans="1:7" x14ac:dyDescent="0.25">
      <c r="A18905" t="s">
        <v>57379</v>
      </c>
      <c r="B18905" t="s">
        <v>57398</v>
      </c>
      <c r="C18905" t="s">
        <v>2171</v>
      </c>
      <c r="D18905" t="s">
        <v>2172</v>
      </c>
      <c r="E18905" t="s">
        <v>2173</v>
      </c>
      <c r="F18905" t="s">
        <v>57399</v>
      </c>
      <c r="G18905" s="2" t="str">
        <f>HYPERLINK("https://probpalata.gov.ru/files/ЮЛ500100602500026.jpeg","Скачать индивидуальный QR-код магазина")</f>
        <v>Скачать индивидуальный QR-код магазина</v>
      </c>
    </row>
    <row r="18906" spans="1:7" x14ac:dyDescent="0.25">
      <c r="A18906" t="s">
        <v>57379</v>
      </c>
      <c r="B18906" t="s">
        <v>57400</v>
      </c>
      <c r="C18906" t="s">
        <v>671</v>
      </c>
      <c r="D18906" t="s">
        <v>672</v>
      </c>
      <c r="E18906" t="s">
        <v>673</v>
      </c>
      <c r="F18906" t="s">
        <v>57401</v>
      </c>
      <c r="G18906" s="2" t="str">
        <f>HYPERLINK("https://probpalata.gov.ru/files/ИП500100445500004.jpeg","Скачать индивидуальный QR-код магазина")</f>
        <v>Скачать индивидуальный QR-код магазина</v>
      </c>
    </row>
    <row r="18907" spans="1:7" x14ac:dyDescent="0.25">
      <c r="A18907" t="s">
        <v>57379</v>
      </c>
      <c r="B18907" t="s">
        <v>57402</v>
      </c>
      <c r="C18907" t="s">
        <v>671</v>
      </c>
      <c r="D18907" t="s">
        <v>672</v>
      </c>
      <c r="E18907" t="s">
        <v>673</v>
      </c>
      <c r="F18907" t="s">
        <v>57403</v>
      </c>
      <c r="G18907" s="2" t="str">
        <f>HYPERLINK("https://probpalata.gov.ru/files/ИП500100445500078.jpeg","Скачать индивидуальный QR-код магазина")</f>
        <v>Скачать индивидуальный QR-код магазина</v>
      </c>
    </row>
    <row r="18908" spans="1:7" x14ac:dyDescent="0.25">
      <c r="A18908" t="s">
        <v>57379</v>
      </c>
      <c r="B18908" t="s">
        <v>57404</v>
      </c>
      <c r="C18908" t="s">
        <v>671</v>
      </c>
      <c r="D18908" t="s">
        <v>672</v>
      </c>
      <c r="E18908" t="s">
        <v>673</v>
      </c>
      <c r="F18908" t="s">
        <v>57405</v>
      </c>
      <c r="G18908" s="2" t="str">
        <f>HYPERLINK("https://probpalata.gov.ru/files/ИП500100445500090.jpeg","Скачать индивидуальный QR-код магазина")</f>
        <v>Скачать индивидуальный QR-код магазина</v>
      </c>
    </row>
    <row r="18909" spans="1:7" x14ac:dyDescent="0.25">
      <c r="A18909" t="s">
        <v>57379</v>
      </c>
      <c r="B18909" t="s">
        <v>57406</v>
      </c>
      <c r="C18909" t="s">
        <v>671</v>
      </c>
      <c r="D18909" t="s">
        <v>672</v>
      </c>
      <c r="E18909" t="s">
        <v>673</v>
      </c>
      <c r="F18909" t="s">
        <v>57407</v>
      </c>
      <c r="G18909" s="2" t="str">
        <f>HYPERLINK("https://probpalata.gov.ru/files/ИП500100445500102.jpeg","Скачать индивидуальный QR-код магазина")</f>
        <v>Скачать индивидуальный QR-код магазина</v>
      </c>
    </row>
    <row r="18910" spans="1:7" x14ac:dyDescent="0.25">
      <c r="A18910" t="s">
        <v>57379</v>
      </c>
      <c r="B18910" t="s">
        <v>57408</v>
      </c>
      <c r="C18910" t="s">
        <v>10732</v>
      </c>
      <c r="D18910" t="s">
        <v>10733</v>
      </c>
      <c r="E18910" t="s">
        <v>10734</v>
      </c>
      <c r="F18910" t="s">
        <v>57409</v>
      </c>
      <c r="G18910" s="2" t="str">
        <f>HYPERLINK("https://probpalata.gov.ru/files/ИП440200426400035.jpeg","Скачать индивидуальный QR-код магазина")</f>
        <v>Скачать индивидуальный QR-код магазина</v>
      </c>
    </row>
    <row r="18911" spans="1:7" x14ac:dyDescent="0.25">
      <c r="A18911" t="s">
        <v>57379</v>
      </c>
      <c r="B18911" t="s">
        <v>57410</v>
      </c>
      <c r="C18911" t="s">
        <v>35262</v>
      </c>
      <c r="D18911" t="s">
        <v>35263</v>
      </c>
      <c r="E18911" t="s">
        <v>35264</v>
      </c>
      <c r="F18911" t="s">
        <v>57411</v>
      </c>
      <c r="G18911" s="2" t="str">
        <f>HYPERLINK("https://probpalata.gov.ru/files/ИП590601426900037.jpeg","Скачать индивидуальный QR-код магазина")</f>
        <v>Скачать индивидуальный QR-код магазина</v>
      </c>
    </row>
    <row r="18912" spans="1:7" x14ac:dyDescent="0.25">
      <c r="A18912" t="s">
        <v>57379</v>
      </c>
      <c r="B18912" t="s">
        <v>57412</v>
      </c>
      <c r="C18912" t="s">
        <v>35262</v>
      </c>
      <c r="D18912" t="s">
        <v>35263</v>
      </c>
      <c r="E18912" t="s">
        <v>35264</v>
      </c>
      <c r="F18912" t="s">
        <v>57413</v>
      </c>
      <c r="G18912" s="2" t="str">
        <f>HYPERLINK("https://probpalata.gov.ru/files/ИП590601426900047.jpeg","Скачать индивидуальный QR-код магазина")</f>
        <v>Скачать индивидуальный QR-код магазина</v>
      </c>
    </row>
    <row r="18913" spans="1:7" x14ac:dyDescent="0.25">
      <c r="A18913" t="s">
        <v>57379</v>
      </c>
      <c r="B18913" t="s">
        <v>57414</v>
      </c>
      <c r="C18913" t="s">
        <v>703</v>
      </c>
      <c r="D18913" t="s">
        <v>704</v>
      </c>
      <c r="E18913" t="s">
        <v>705</v>
      </c>
      <c r="F18913" t="s">
        <v>57415</v>
      </c>
      <c r="G18913" s="2" t="str">
        <f>HYPERLINK("https://probpalata.gov.ru/files/ИП610400426600018.jpeg","Скачать индивидуальный QR-код магазина")</f>
        <v>Скачать индивидуальный QR-код магазина</v>
      </c>
    </row>
    <row r="18914" spans="1:7" x14ac:dyDescent="0.25">
      <c r="A18914" t="s">
        <v>57379</v>
      </c>
      <c r="B18914" t="s">
        <v>57416</v>
      </c>
      <c r="C18914" t="s">
        <v>703</v>
      </c>
      <c r="D18914" t="s">
        <v>704</v>
      </c>
      <c r="E18914" t="s">
        <v>705</v>
      </c>
      <c r="F18914" t="s">
        <v>57417</v>
      </c>
      <c r="G18914" s="2" t="str">
        <f>HYPERLINK("https://probpalata.gov.ru/files/ИП610400426600022.jpeg","Скачать индивидуальный QR-код магазина")</f>
        <v>Скачать индивидуальный QR-код магазина</v>
      </c>
    </row>
    <row r="18915" spans="1:7" x14ac:dyDescent="0.25">
      <c r="A18915" t="s">
        <v>57379</v>
      </c>
      <c r="B18915" t="s">
        <v>57418</v>
      </c>
      <c r="C18915" t="s">
        <v>2197</v>
      </c>
      <c r="D18915" t="s">
        <v>2198</v>
      </c>
      <c r="E18915" t="s">
        <v>2199</v>
      </c>
      <c r="F18915" t="s">
        <v>57419</v>
      </c>
      <c r="G18915" s="2" t="str">
        <f>HYPERLINK("https://probpalata.gov.ru/files/ИП630601425400003.jpeg","Скачать индивидуальный QR-код магазина")</f>
        <v>Скачать индивидуальный QR-код магазина</v>
      </c>
    </row>
    <row r="18916" spans="1:7" x14ac:dyDescent="0.25">
      <c r="A18916" t="s">
        <v>57379</v>
      </c>
      <c r="B18916" t="s">
        <v>57420</v>
      </c>
      <c r="C18916" t="s">
        <v>2197</v>
      </c>
      <c r="D18916" t="s">
        <v>2198</v>
      </c>
      <c r="E18916" t="s">
        <v>2199</v>
      </c>
      <c r="F18916" t="s">
        <v>57421</v>
      </c>
      <c r="G18916" s="2" t="str">
        <f>HYPERLINK("https://probpalata.gov.ru/files/ИП630601425400010.jpeg","Скачать индивидуальный QR-код магазина")</f>
        <v>Скачать индивидуальный QR-код магазина</v>
      </c>
    </row>
    <row r="18917" spans="1:7" x14ac:dyDescent="0.25">
      <c r="A18917" t="s">
        <v>57379</v>
      </c>
      <c r="B18917" t="s">
        <v>57422</v>
      </c>
      <c r="C18917" t="s">
        <v>2197</v>
      </c>
      <c r="D18917" t="s">
        <v>2198</v>
      </c>
      <c r="E18917" t="s">
        <v>2199</v>
      </c>
      <c r="F18917" t="s">
        <v>57423</v>
      </c>
      <c r="G18917" s="2" t="str">
        <f>HYPERLINK("https://probpalata.gov.ru/files/ИП630601425400023.jpeg","Скачать индивидуальный QR-код магазина")</f>
        <v>Скачать индивидуальный QR-код магазина</v>
      </c>
    </row>
    <row r="18918" spans="1:7" x14ac:dyDescent="0.25">
      <c r="A18918" t="s">
        <v>57379</v>
      </c>
      <c r="B18918" t="s">
        <v>57424</v>
      </c>
      <c r="C18918" t="s">
        <v>2197</v>
      </c>
      <c r="D18918" t="s">
        <v>2198</v>
      </c>
      <c r="E18918" t="s">
        <v>2199</v>
      </c>
      <c r="F18918" t="s">
        <v>57425</v>
      </c>
      <c r="G18918" s="2" t="str">
        <f>HYPERLINK("https://probpalata.gov.ru/files/ИП630601425400063.jpeg","Скачать индивидуальный QR-код магазина")</f>
        <v>Скачать индивидуальный QR-код магазина</v>
      </c>
    </row>
    <row r="18919" spans="1:7" x14ac:dyDescent="0.25">
      <c r="A18919" t="s">
        <v>57379</v>
      </c>
      <c r="B18919" t="s">
        <v>57426</v>
      </c>
      <c r="C18919" t="s">
        <v>2197</v>
      </c>
      <c r="D18919" t="s">
        <v>2198</v>
      </c>
      <c r="E18919" t="s">
        <v>2199</v>
      </c>
      <c r="F18919" t="s">
        <v>57427</v>
      </c>
      <c r="G18919" s="2" t="str">
        <f>HYPERLINK("https://probpalata.gov.ru/files/ИП630601425400066.jpeg","Скачать индивидуальный QR-код магазина")</f>
        <v>Скачать индивидуальный QR-код магазина</v>
      </c>
    </row>
    <row r="18920" spans="1:7" x14ac:dyDescent="0.25">
      <c r="A18920" t="s">
        <v>57379</v>
      </c>
      <c r="B18920" t="s">
        <v>57428</v>
      </c>
      <c r="C18920" t="s">
        <v>2197</v>
      </c>
      <c r="D18920" t="s">
        <v>2198</v>
      </c>
      <c r="E18920" t="s">
        <v>2199</v>
      </c>
      <c r="F18920" t="s">
        <v>57429</v>
      </c>
      <c r="G18920" s="2" t="str">
        <f>HYPERLINK("https://probpalata.gov.ru/files/ИП630601425400073.jpeg","Скачать индивидуальный QR-код магазина")</f>
        <v>Скачать индивидуальный QR-код магазина</v>
      </c>
    </row>
    <row r="18921" spans="1:7" x14ac:dyDescent="0.25">
      <c r="A18921" t="s">
        <v>57379</v>
      </c>
      <c r="B18921" t="s">
        <v>57430</v>
      </c>
      <c r="C18921" t="s">
        <v>2197</v>
      </c>
      <c r="D18921" t="s">
        <v>2198</v>
      </c>
      <c r="E18921" t="s">
        <v>2199</v>
      </c>
      <c r="F18921" t="s">
        <v>57431</v>
      </c>
      <c r="G18921" s="2" t="str">
        <f>HYPERLINK("https://probpalata.gov.ru/files/ИП630601425400098.jpeg","Скачать индивидуальный QR-код магазина")</f>
        <v>Скачать индивидуальный QR-код магазина</v>
      </c>
    </row>
    <row r="18922" spans="1:7" x14ac:dyDescent="0.25">
      <c r="A18922" t="s">
        <v>57379</v>
      </c>
      <c r="B18922" t="s">
        <v>57432</v>
      </c>
      <c r="C18922" t="s">
        <v>2197</v>
      </c>
      <c r="D18922" t="s">
        <v>2198</v>
      </c>
      <c r="E18922" t="s">
        <v>2199</v>
      </c>
      <c r="F18922" t="s">
        <v>57433</v>
      </c>
      <c r="G18922" s="2" t="str">
        <f>HYPERLINK("https://probpalata.gov.ru/files/ИП630601425400103.jpeg","Скачать индивидуальный QR-код магазина")</f>
        <v>Скачать индивидуальный QR-код магазина</v>
      </c>
    </row>
    <row r="18923" spans="1:7" x14ac:dyDescent="0.25">
      <c r="A18923" t="s">
        <v>57379</v>
      </c>
      <c r="B18923" t="s">
        <v>57434</v>
      </c>
      <c r="C18923" t="s">
        <v>3828</v>
      </c>
      <c r="D18923" t="s">
        <v>3829</v>
      </c>
      <c r="E18923" t="s">
        <v>3830</v>
      </c>
      <c r="F18923" t="s">
        <v>57435</v>
      </c>
      <c r="G18923" s="2" t="str">
        <f>HYPERLINK("https://probpalata.gov.ru/files/ЮЛ630603373600074.jpeg","Скачать индивидуальный QR-код магазина")</f>
        <v>Скачать индивидуальный QR-код магазина</v>
      </c>
    </row>
    <row r="18924" spans="1:7" x14ac:dyDescent="0.25">
      <c r="A18924" t="s">
        <v>57379</v>
      </c>
      <c r="B18924" t="s">
        <v>57436</v>
      </c>
      <c r="C18924" t="s">
        <v>57437</v>
      </c>
      <c r="D18924" t="s">
        <v>57438</v>
      </c>
      <c r="E18924" t="s">
        <v>57439</v>
      </c>
      <c r="F18924" t="s">
        <v>57440</v>
      </c>
      <c r="G18924" s="2" t="str">
        <f>HYPERLINK("https://probpalata.gov.ru/files/ЮЛ630603729700001.jpeg","Скачать индивидуальный QR-код магазина")</f>
        <v>Скачать индивидуальный QR-код магазина</v>
      </c>
    </row>
    <row r="18925" spans="1:7" x14ac:dyDescent="0.25">
      <c r="A18925" t="s">
        <v>57379</v>
      </c>
      <c r="B18925" t="s">
        <v>57441</v>
      </c>
      <c r="C18925" t="s">
        <v>57437</v>
      </c>
      <c r="D18925" t="s">
        <v>57438</v>
      </c>
      <c r="E18925" t="s">
        <v>57439</v>
      </c>
      <c r="F18925" t="s">
        <v>57442</v>
      </c>
      <c r="G18925" s="2" t="str">
        <f>HYPERLINK("https://probpalata.gov.ru/files/ЮЛ630603729700002.jpeg","Скачать индивидуальный QR-код магазина")</f>
        <v>Скачать индивидуальный QR-код магазина</v>
      </c>
    </row>
    <row r="18926" spans="1:7" x14ac:dyDescent="0.25">
      <c r="A18926" t="s">
        <v>57379</v>
      </c>
      <c r="B18926" t="s">
        <v>57443</v>
      </c>
      <c r="C18926" t="s">
        <v>57437</v>
      </c>
      <c r="D18926" t="s">
        <v>57438</v>
      </c>
      <c r="E18926" t="s">
        <v>57439</v>
      </c>
      <c r="F18926" t="s">
        <v>57444</v>
      </c>
      <c r="G18926" s="2" t="str">
        <f>HYPERLINK("https://probpalata.gov.ru/files/ЮЛ630603729700003.jpeg","Скачать индивидуальный QR-код магазина")</f>
        <v>Скачать индивидуальный QR-код магазина</v>
      </c>
    </row>
    <row r="18927" spans="1:7" x14ac:dyDescent="0.25">
      <c r="A18927" t="s">
        <v>57379</v>
      </c>
      <c r="B18927" t="s">
        <v>57445</v>
      </c>
      <c r="C18927" t="s">
        <v>57437</v>
      </c>
      <c r="D18927" t="s">
        <v>57438</v>
      </c>
      <c r="E18927" t="s">
        <v>57439</v>
      </c>
      <c r="F18927" t="s">
        <v>57446</v>
      </c>
      <c r="G18927" s="2" t="str">
        <f>HYPERLINK("https://probpalata.gov.ru/files/ЮЛ630603729700004.jpeg","Скачать индивидуальный QR-код магазина")</f>
        <v>Скачать индивидуальный QR-код магазина</v>
      </c>
    </row>
    <row r="18928" spans="1:7" x14ac:dyDescent="0.25">
      <c r="A18928" t="s">
        <v>57379</v>
      </c>
      <c r="B18928" t="s">
        <v>57447</v>
      </c>
      <c r="C18928" t="s">
        <v>57437</v>
      </c>
      <c r="D18928" t="s">
        <v>57438</v>
      </c>
      <c r="E18928" t="s">
        <v>57439</v>
      </c>
      <c r="F18928" t="s">
        <v>57448</v>
      </c>
      <c r="G18928" s="2" t="str">
        <f>HYPERLINK("https://probpalata.gov.ru/files/ЮЛ630603729700005.jpeg","Скачать индивидуальный QR-код магазина")</f>
        <v>Скачать индивидуальный QR-код магазина</v>
      </c>
    </row>
    <row r="18929" spans="1:7" x14ac:dyDescent="0.25">
      <c r="A18929" t="s">
        <v>57379</v>
      </c>
      <c r="B18929" t="s">
        <v>57449</v>
      </c>
      <c r="C18929" t="s">
        <v>57437</v>
      </c>
      <c r="D18929" t="s">
        <v>57438</v>
      </c>
      <c r="E18929" t="s">
        <v>57439</v>
      </c>
      <c r="F18929" t="s">
        <v>57450</v>
      </c>
      <c r="G18929" s="2" t="str">
        <f>HYPERLINK("https://probpalata.gov.ru/files/ЮЛ630603729700006.jpeg","Скачать индивидуальный QR-код магазина")</f>
        <v>Скачать индивидуальный QR-код магазина</v>
      </c>
    </row>
    <row r="18930" spans="1:7" x14ac:dyDescent="0.25">
      <c r="A18930" t="s">
        <v>57379</v>
      </c>
      <c r="B18930" t="s">
        <v>57451</v>
      </c>
      <c r="C18930" t="s">
        <v>55416</v>
      </c>
      <c r="D18930" t="s">
        <v>55417</v>
      </c>
      <c r="E18930" t="s">
        <v>55418</v>
      </c>
      <c r="F18930" t="s">
        <v>57452</v>
      </c>
      <c r="G18930" s="2" t="str">
        <f>HYPERLINK("https://probpalata.gov.ru/files/ИП660701968800001.jpeg","Скачать индивидуальный QR-код магазина")</f>
        <v>Скачать индивидуальный QR-код магазина</v>
      </c>
    </row>
    <row r="18931" spans="1:7" x14ac:dyDescent="0.25">
      <c r="A18931" t="s">
        <v>57379</v>
      </c>
      <c r="B18931" t="s">
        <v>57453</v>
      </c>
      <c r="C18931" t="s">
        <v>55416</v>
      </c>
      <c r="D18931" t="s">
        <v>55417</v>
      </c>
      <c r="E18931" t="s">
        <v>55418</v>
      </c>
      <c r="F18931" t="s">
        <v>57454</v>
      </c>
      <c r="G18931" s="2" t="str">
        <f>HYPERLINK("https://probpalata.gov.ru/files/ИП660701968800002.jpeg","Скачать индивидуальный QR-код магазина")</f>
        <v>Скачать индивидуальный QR-код магазина</v>
      </c>
    </row>
    <row r="18932" spans="1:7" x14ac:dyDescent="0.25">
      <c r="A18932" t="s">
        <v>57379</v>
      </c>
      <c r="B18932" t="s">
        <v>57455</v>
      </c>
      <c r="C18932" t="s">
        <v>57456</v>
      </c>
      <c r="D18932" t="s">
        <v>57457</v>
      </c>
      <c r="E18932" t="s">
        <v>57458</v>
      </c>
      <c r="F18932" t="s">
        <v>57459</v>
      </c>
      <c r="G18932" s="2" t="str">
        <f>HYPERLINK("https://probpalata.gov.ru/files/ИП660700008600000.jpeg","Скачать индивидуальный QR-код магазина")</f>
        <v>Скачать индивидуальный QR-код магазина</v>
      </c>
    </row>
    <row r="18933" spans="1:7" x14ac:dyDescent="0.25">
      <c r="A18933" t="s">
        <v>57379</v>
      </c>
      <c r="B18933" t="s">
        <v>57460</v>
      </c>
      <c r="C18933" t="s">
        <v>57461</v>
      </c>
      <c r="D18933" t="s">
        <v>57462</v>
      </c>
      <c r="E18933" t="s">
        <v>57463</v>
      </c>
      <c r="F18933" t="s">
        <v>57464</v>
      </c>
      <c r="G18933" s="2" t="str">
        <f>HYPERLINK("https://probpalata.gov.ru/files/ИП660701282200000.jpeg","Скачать индивидуальный QR-код магазина")</f>
        <v>Скачать индивидуальный QR-код магазина</v>
      </c>
    </row>
    <row r="18934" spans="1:7" x14ac:dyDescent="0.25">
      <c r="A18934" t="s">
        <v>57379</v>
      </c>
      <c r="B18934" t="s">
        <v>57465</v>
      </c>
      <c r="C18934" t="s">
        <v>7478</v>
      </c>
      <c r="D18934" t="s">
        <v>51979</v>
      </c>
      <c r="E18934" t="s">
        <v>51980</v>
      </c>
      <c r="F18934" t="s">
        <v>57466</v>
      </c>
      <c r="G18934" s="2" t="str">
        <f>HYPERLINK("https://probpalata.gov.ru/files/ЮЛ660701160700001.jpeg","Скачать индивидуальный QR-код магазина")</f>
        <v>Скачать индивидуальный QR-код магазина</v>
      </c>
    </row>
    <row r="18935" spans="1:7" x14ac:dyDescent="0.25">
      <c r="A18935" t="s">
        <v>57379</v>
      </c>
      <c r="B18935" t="s">
        <v>57467</v>
      </c>
      <c r="C18935" t="s">
        <v>7478</v>
      </c>
      <c r="D18935" t="s">
        <v>51979</v>
      </c>
      <c r="E18935" t="s">
        <v>51980</v>
      </c>
      <c r="F18935" t="s">
        <v>57468</v>
      </c>
      <c r="G18935" s="2" t="str">
        <f>HYPERLINK("https://probpalata.gov.ru/files/ЮЛ660701160700005.jpeg","Скачать индивидуальный QR-код магазина")</f>
        <v>Скачать индивидуальный QR-код магазина</v>
      </c>
    </row>
    <row r="18936" spans="1:7" x14ac:dyDescent="0.25">
      <c r="A18936" t="s">
        <v>57379</v>
      </c>
      <c r="B18936" t="s">
        <v>57469</v>
      </c>
      <c r="C18936" t="s">
        <v>7478</v>
      </c>
      <c r="D18936" t="s">
        <v>51979</v>
      </c>
      <c r="E18936" t="s">
        <v>51980</v>
      </c>
      <c r="F18936" t="s">
        <v>57470</v>
      </c>
      <c r="G18936" s="2" t="str">
        <f>HYPERLINK("https://probpalata.gov.ru/files/ЮЛ660701160700007.jpeg","Скачать индивидуальный QR-код магазина")</f>
        <v>Скачать индивидуальный QR-код магазина</v>
      </c>
    </row>
    <row r="18937" spans="1:7" x14ac:dyDescent="0.25">
      <c r="A18937" t="s">
        <v>57379</v>
      </c>
      <c r="B18937" t="s">
        <v>57471</v>
      </c>
      <c r="C18937" t="s">
        <v>7478</v>
      </c>
      <c r="D18937" t="s">
        <v>51979</v>
      </c>
      <c r="E18937" t="s">
        <v>51980</v>
      </c>
      <c r="F18937" t="s">
        <v>57472</v>
      </c>
      <c r="G18937" s="2" t="str">
        <f>HYPERLINK("https://probpalata.gov.ru/files/ЮЛ660701160700008.jpeg","Скачать индивидуальный QR-код магазина")</f>
        <v>Скачать индивидуальный QR-код магазина</v>
      </c>
    </row>
    <row r="18938" spans="1:7" x14ac:dyDescent="0.25">
      <c r="A18938" t="s">
        <v>57379</v>
      </c>
      <c r="B18938" t="s">
        <v>57473</v>
      </c>
      <c r="C18938" t="s">
        <v>7478</v>
      </c>
      <c r="D18938" t="s">
        <v>51979</v>
      </c>
      <c r="E18938" t="s">
        <v>51980</v>
      </c>
      <c r="F18938" t="s">
        <v>57474</v>
      </c>
      <c r="G18938" s="2" t="str">
        <f>HYPERLINK("https://probpalata.gov.ru/files/ЮЛ660701160700009.jpeg","Скачать индивидуальный QR-код магазина")</f>
        <v>Скачать индивидуальный QR-код магазина</v>
      </c>
    </row>
    <row r="18939" spans="1:7" x14ac:dyDescent="0.25">
      <c r="A18939" t="s">
        <v>57379</v>
      </c>
      <c r="B18939" t="s">
        <v>57475</v>
      </c>
      <c r="C18939" t="s">
        <v>7478</v>
      </c>
      <c r="D18939" t="s">
        <v>51979</v>
      </c>
      <c r="E18939" t="s">
        <v>51980</v>
      </c>
      <c r="F18939" t="s">
        <v>57476</v>
      </c>
      <c r="G18939" s="2" t="str">
        <f>HYPERLINK("https://probpalata.gov.ru/files/ЮЛ660701160700017.jpeg","Скачать индивидуальный QR-код магазина")</f>
        <v>Скачать индивидуальный QR-код магазина</v>
      </c>
    </row>
    <row r="18940" spans="1:7" x14ac:dyDescent="0.25">
      <c r="A18940" t="s">
        <v>57379</v>
      </c>
      <c r="B18940" t="s">
        <v>57477</v>
      </c>
      <c r="C18940" t="s">
        <v>57478</v>
      </c>
      <c r="D18940" t="s">
        <v>57479</v>
      </c>
      <c r="E18940" t="s">
        <v>57480</v>
      </c>
      <c r="F18940" t="s">
        <v>57481</v>
      </c>
      <c r="G18940" s="2" t="str">
        <f>HYPERLINK("https://probpalata.gov.ru/files/ЮЛ660701416500000.jpeg","Скачать индивидуальный QR-код магазина")</f>
        <v>Скачать индивидуальный QR-код магазина</v>
      </c>
    </row>
    <row r="18941" spans="1:7" x14ac:dyDescent="0.25">
      <c r="A18941" t="s">
        <v>57379</v>
      </c>
      <c r="B18941" t="s">
        <v>57482</v>
      </c>
      <c r="C18941" t="s">
        <v>57483</v>
      </c>
      <c r="D18941" t="s">
        <v>57484</v>
      </c>
      <c r="E18941" t="s">
        <v>57485</v>
      </c>
      <c r="F18941" t="s">
        <v>57486</v>
      </c>
      <c r="G18941" s="2" t="str">
        <f>HYPERLINK("https://probpalata.gov.ru/files/ЮЛ660703744800001.jpeg","Скачать индивидуальный QR-код магазина")</f>
        <v>Скачать индивидуальный QR-код магазина</v>
      </c>
    </row>
    <row r="18942" spans="1:7" x14ac:dyDescent="0.25">
      <c r="A18942" t="s">
        <v>57379</v>
      </c>
      <c r="B18942" t="s">
        <v>57385</v>
      </c>
      <c r="C18942" t="s">
        <v>57487</v>
      </c>
      <c r="D18942" t="s">
        <v>57488</v>
      </c>
      <c r="E18942" t="s">
        <v>57489</v>
      </c>
      <c r="F18942" t="s">
        <v>57490</v>
      </c>
      <c r="G18942" s="2" t="str">
        <f>HYPERLINK("https://probpalata.gov.ru/files/ИП740700810800000.jpeg","Скачать индивидуальный QR-код магазина")</f>
        <v>Скачать индивидуальный QR-код магазина</v>
      </c>
    </row>
    <row r="18943" spans="1:7" x14ac:dyDescent="0.25">
      <c r="A18943" t="s">
        <v>57379</v>
      </c>
      <c r="B18943" t="s">
        <v>57491</v>
      </c>
      <c r="C18943" t="s">
        <v>57487</v>
      </c>
      <c r="D18943" t="s">
        <v>57488</v>
      </c>
      <c r="E18943" t="s">
        <v>57489</v>
      </c>
      <c r="F18943" t="s">
        <v>57492</v>
      </c>
      <c r="G18943" s="2" t="str">
        <f>HYPERLINK("https://probpalata.gov.ru/files/ИП740700810800003.jpeg","Скачать индивидуальный QR-код магазина")</f>
        <v>Скачать индивидуальный QR-код магазина</v>
      </c>
    </row>
    <row r="18944" spans="1:7" x14ac:dyDescent="0.25">
      <c r="A18944" t="s">
        <v>57379</v>
      </c>
      <c r="B18944" t="s">
        <v>57493</v>
      </c>
      <c r="C18944" t="s">
        <v>57494</v>
      </c>
      <c r="D18944" t="s">
        <v>57495</v>
      </c>
      <c r="E18944" t="s">
        <v>57496</v>
      </c>
      <c r="F18944" t="s">
        <v>57497</v>
      </c>
      <c r="G18944" s="2" t="str">
        <f>HYPERLINK("https://probpalata.gov.ru/files/ИП740703700200000.jpeg","Скачать индивидуальный QR-код магазина")</f>
        <v>Скачать индивидуальный QR-код магазина</v>
      </c>
    </row>
    <row r="18945" spans="1:7" x14ac:dyDescent="0.25">
      <c r="A18945" t="s">
        <v>57379</v>
      </c>
      <c r="B18945" t="s">
        <v>57498</v>
      </c>
      <c r="C18945" t="s">
        <v>57494</v>
      </c>
      <c r="D18945" t="s">
        <v>57495</v>
      </c>
      <c r="E18945" t="s">
        <v>57496</v>
      </c>
      <c r="F18945" t="s">
        <v>57499</v>
      </c>
      <c r="G18945" s="2" t="str">
        <f>HYPERLINK("https://probpalata.gov.ru/files/ИП740703700200001.jpeg","Скачать индивидуальный QR-код магазина")</f>
        <v>Скачать индивидуальный QR-код магазина</v>
      </c>
    </row>
    <row r="18946" spans="1:7" x14ac:dyDescent="0.25">
      <c r="A18946" t="s">
        <v>57379</v>
      </c>
      <c r="B18946" t="s">
        <v>57500</v>
      </c>
      <c r="C18946" t="s">
        <v>57501</v>
      </c>
      <c r="D18946" t="s">
        <v>57502</v>
      </c>
      <c r="E18946" t="s">
        <v>57503</v>
      </c>
      <c r="F18946" t="s">
        <v>57504</v>
      </c>
      <c r="G18946" s="2" t="str">
        <f>HYPERLINK("https://probpalata.gov.ru/files/ИП740700953800000.jpeg","Скачать индивидуальный QR-код магазина")</f>
        <v>Скачать индивидуальный QR-код магазина</v>
      </c>
    </row>
    <row r="18947" spans="1:7" x14ac:dyDescent="0.25">
      <c r="A18947" t="s">
        <v>57379</v>
      </c>
      <c r="B18947" t="s">
        <v>57505</v>
      </c>
      <c r="C18947" t="s">
        <v>57506</v>
      </c>
      <c r="D18947" t="s">
        <v>57507</v>
      </c>
      <c r="E18947" t="s">
        <v>57508</v>
      </c>
      <c r="F18947" t="s">
        <v>57509</v>
      </c>
      <c r="G18947" s="2" t="str">
        <f>HYPERLINK("https://probpalata.gov.ru/files/ИП740700236600000.jpeg","Скачать индивидуальный QR-код магазина")</f>
        <v>Скачать индивидуальный QR-код магазина</v>
      </c>
    </row>
    <row r="18948" spans="1:7" x14ac:dyDescent="0.25">
      <c r="A18948" t="s">
        <v>57379</v>
      </c>
      <c r="B18948" t="s">
        <v>57510</v>
      </c>
      <c r="C18948" t="s">
        <v>57511</v>
      </c>
      <c r="D18948" t="s">
        <v>57512</v>
      </c>
      <c r="E18948" t="s">
        <v>57513</v>
      </c>
      <c r="F18948" t="s">
        <v>57514</v>
      </c>
      <c r="G18948" s="2" t="str">
        <f>HYPERLINK("https://probpalata.gov.ru/files/ЮЛ740701047900001.jpeg","Скачать индивидуальный QR-код магазина")</f>
        <v>Скачать индивидуальный QR-код магазина</v>
      </c>
    </row>
    <row r="18949" spans="1:7" x14ac:dyDescent="0.25">
      <c r="A18949" t="s">
        <v>57379</v>
      </c>
      <c r="B18949" t="s">
        <v>57515</v>
      </c>
      <c r="C18949" t="s">
        <v>57511</v>
      </c>
      <c r="D18949" t="s">
        <v>57512</v>
      </c>
      <c r="E18949" t="s">
        <v>57513</v>
      </c>
      <c r="F18949" t="s">
        <v>57516</v>
      </c>
      <c r="G18949" s="2" t="str">
        <f>HYPERLINK("https://probpalata.gov.ru/files/ЮЛ740701047900003.jpeg","Скачать индивидуальный QR-код магазина")</f>
        <v>Скачать индивидуальный QR-код магазина</v>
      </c>
    </row>
    <row r="18950" spans="1:7" x14ac:dyDescent="0.25">
      <c r="A18950" t="s">
        <v>57379</v>
      </c>
      <c r="B18950" t="s">
        <v>57517</v>
      </c>
      <c r="C18950" t="s">
        <v>57511</v>
      </c>
      <c r="D18950" t="s">
        <v>57512</v>
      </c>
      <c r="E18950" t="s">
        <v>57513</v>
      </c>
      <c r="F18950" t="s">
        <v>57518</v>
      </c>
      <c r="G18950" s="2" t="str">
        <f>HYPERLINK("https://probpalata.gov.ru/files/ЮЛ740701047900007.jpeg","Скачать индивидуальный QR-код магазина")</f>
        <v>Скачать индивидуальный QR-код магазина</v>
      </c>
    </row>
    <row r="18951" spans="1:7" x14ac:dyDescent="0.25">
      <c r="A18951" t="s">
        <v>57379</v>
      </c>
      <c r="B18951" t="s">
        <v>57519</v>
      </c>
      <c r="C18951" t="s">
        <v>57511</v>
      </c>
      <c r="D18951" t="s">
        <v>57512</v>
      </c>
      <c r="E18951" t="s">
        <v>57513</v>
      </c>
      <c r="F18951" t="s">
        <v>57520</v>
      </c>
      <c r="G18951" s="2" t="str">
        <f>HYPERLINK("https://probpalata.gov.ru/files/ЮЛ740701047900011.jpeg","Скачать индивидуальный QR-код магазина")</f>
        <v>Скачать индивидуальный QR-код магазина</v>
      </c>
    </row>
    <row r="18952" spans="1:7" x14ac:dyDescent="0.25">
      <c r="A18952" t="s">
        <v>57379</v>
      </c>
      <c r="B18952" t="s">
        <v>57521</v>
      </c>
      <c r="C18952" t="s">
        <v>57511</v>
      </c>
      <c r="D18952" t="s">
        <v>57512</v>
      </c>
      <c r="E18952" t="s">
        <v>57513</v>
      </c>
      <c r="F18952" t="s">
        <v>57522</v>
      </c>
      <c r="G18952" s="2" t="str">
        <f>HYPERLINK("https://probpalata.gov.ru/files/ЮЛ740701047900012.jpeg","Скачать индивидуальный QR-код магазина")</f>
        <v>Скачать индивидуальный QR-код магазина</v>
      </c>
    </row>
    <row r="18953" spans="1:7" x14ac:dyDescent="0.25">
      <c r="A18953" t="s">
        <v>57379</v>
      </c>
      <c r="B18953" t="s">
        <v>57523</v>
      </c>
      <c r="C18953" t="s">
        <v>57524</v>
      </c>
      <c r="D18953" t="s">
        <v>57525</v>
      </c>
      <c r="E18953" t="s">
        <v>57526</v>
      </c>
      <c r="F18953" t="s">
        <v>57527</v>
      </c>
      <c r="G18953" s="2" t="str">
        <f>HYPERLINK("https://probpalata.gov.ru/files/ЮЛ740701058600000.jpeg","Скачать индивидуальный QR-код магазина")</f>
        <v>Скачать индивидуальный QR-код магазина</v>
      </c>
    </row>
    <row r="18954" spans="1:7" x14ac:dyDescent="0.25">
      <c r="A18954" t="s">
        <v>57379</v>
      </c>
      <c r="B18954" t="s">
        <v>57528</v>
      </c>
      <c r="C18954" t="s">
        <v>57529</v>
      </c>
      <c r="D18954" t="s">
        <v>57530</v>
      </c>
      <c r="E18954" t="s">
        <v>57531</v>
      </c>
      <c r="F18954" t="s">
        <v>57532</v>
      </c>
      <c r="G18954" s="2" t="str">
        <f>HYPERLINK("https://probpalata.gov.ru/files/ЮЛ740703535200000.jpeg","Скачать индивидуальный QR-код магазина")</f>
        <v>Скачать индивидуальный QR-код магазина</v>
      </c>
    </row>
    <row r="18955" spans="1:7" x14ac:dyDescent="0.25">
      <c r="A18955" t="s">
        <v>57379</v>
      </c>
      <c r="B18955" t="s">
        <v>57533</v>
      </c>
      <c r="C18955" t="s">
        <v>57529</v>
      </c>
      <c r="D18955" t="s">
        <v>57530</v>
      </c>
      <c r="E18955" t="s">
        <v>57531</v>
      </c>
      <c r="F18955" t="s">
        <v>57534</v>
      </c>
      <c r="G18955" s="2" t="str">
        <f>HYPERLINK("https://probpalata.gov.ru/files/ЮЛ740703535200001.jpeg","Скачать индивидуальный QR-код магазина")</f>
        <v>Скачать индивидуальный QR-код магазина</v>
      </c>
    </row>
    <row r="18956" spans="1:7" x14ac:dyDescent="0.25">
      <c r="A18956" t="s">
        <v>57379</v>
      </c>
      <c r="B18956" t="s">
        <v>57535</v>
      </c>
      <c r="C18956" t="s">
        <v>57529</v>
      </c>
      <c r="D18956" t="s">
        <v>57530</v>
      </c>
      <c r="E18956" t="s">
        <v>57531</v>
      </c>
      <c r="F18956" t="s">
        <v>57536</v>
      </c>
      <c r="G18956" s="2" t="str">
        <f>HYPERLINK("https://probpalata.gov.ru/files/ЮЛ740703535200003.jpeg","Скачать индивидуальный QR-код магазина")</f>
        <v>Скачать индивидуальный QR-код магазина</v>
      </c>
    </row>
    <row r="18957" spans="1:7" x14ac:dyDescent="0.25">
      <c r="A18957" t="s">
        <v>57379</v>
      </c>
      <c r="B18957" t="s">
        <v>57537</v>
      </c>
      <c r="C18957" t="s">
        <v>57529</v>
      </c>
      <c r="D18957" t="s">
        <v>57530</v>
      </c>
      <c r="E18957" t="s">
        <v>57531</v>
      </c>
      <c r="F18957" t="s">
        <v>57538</v>
      </c>
      <c r="G18957" s="2" t="str">
        <f>HYPERLINK("https://probpalata.gov.ru/files/ЮЛ740703535200004.jpeg","Скачать индивидуальный QR-код магазина")</f>
        <v>Скачать индивидуальный QR-код магазина</v>
      </c>
    </row>
    <row r="18958" spans="1:7" x14ac:dyDescent="0.25">
      <c r="A18958" t="s">
        <v>57379</v>
      </c>
      <c r="B18958" t="s">
        <v>57539</v>
      </c>
      <c r="C18958" t="s">
        <v>57529</v>
      </c>
      <c r="D18958" t="s">
        <v>57530</v>
      </c>
      <c r="E18958" t="s">
        <v>57531</v>
      </c>
      <c r="F18958" t="s">
        <v>57540</v>
      </c>
      <c r="G18958" s="2" t="str">
        <f>HYPERLINK("https://probpalata.gov.ru/files/ЮЛ740703535200005.jpeg","Скачать индивидуальный QR-код магазина")</f>
        <v>Скачать индивидуальный QR-код магазина</v>
      </c>
    </row>
    <row r="18959" spans="1:7" x14ac:dyDescent="0.25">
      <c r="A18959" t="s">
        <v>57379</v>
      </c>
      <c r="B18959" t="s">
        <v>57541</v>
      </c>
      <c r="C18959" t="s">
        <v>57542</v>
      </c>
      <c r="D18959" t="s">
        <v>57543</v>
      </c>
      <c r="E18959" t="s">
        <v>57544</v>
      </c>
      <c r="F18959" t="s">
        <v>57545</v>
      </c>
      <c r="G18959" s="2" t="str">
        <f>HYPERLINK("https://probpalata.gov.ru/files/ИП740700680900001.jpeg","Скачать индивидуальный QR-код магазина")</f>
        <v>Скачать индивидуальный QR-код магазина</v>
      </c>
    </row>
    <row r="18960" spans="1:7" x14ac:dyDescent="0.25">
      <c r="A18960" t="s">
        <v>57379</v>
      </c>
      <c r="B18960" t="s">
        <v>57546</v>
      </c>
      <c r="C18960" t="s">
        <v>57542</v>
      </c>
      <c r="D18960" t="s">
        <v>57543</v>
      </c>
      <c r="E18960" t="s">
        <v>57544</v>
      </c>
      <c r="F18960" t="s">
        <v>57547</v>
      </c>
      <c r="G18960" s="2" t="str">
        <f>HYPERLINK("https://probpalata.gov.ru/files/ИП740700680900002.jpeg","Скачать индивидуальный QR-код магазина")</f>
        <v>Скачать индивидуальный QR-код магазина</v>
      </c>
    </row>
    <row r="18961" spans="1:7" x14ac:dyDescent="0.25">
      <c r="A18961" t="s">
        <v>57379</v>
      </c>
      <c r="B18961" t="s">
        <v>57548</v>
      </c>
      <c r="C18961" t="s">
        <v>57542</v>
      </c>
      <c r="D18961" t="s">
        <v>57543</v>
      </c>
      <c r="E18961" t="s">
        <v>57544</v>
      </c>
      <c r="F18961" t="s">
        <v>57549</v>
      </c>
      <c r="G18961" s="2" t="str">
        <f>HYPERLINK("https://probpalata.gov.ru/files/ИП740700680900003.jpeg","Скачать индивидуальный QR-код магазина")</f>
        <v>Скачать индивидуальный QR-код магазина</v>
      </c>
    </row>
    <row r="18962" spans="1:7" x14ac:dyDescent="0.25">
      <c r="A18962" t="s">
        <v>57379</v>
      </c>
      <c r="B18962" t="s">
        <v>57550</v>
      </c>
      <c r="C18962" t="s">
        <v>57542</v>
      </c>
      <c r="D18962" t="s">
        <v>57543</v>
      </c>
      <c r="E18962" t="s">
        <v>57544</v>
      </c>
      <c r="F18962" t="s">
        <v>57551</v>
      </c>
      <c r="G18962" s="2" t="str">
        <f>HYPERLINK("https://probpalata.gov.ru/files/ИП740700680900004.jpeg","Скачать индивидуальный QR-код магазина")</f>
        <v>Скачать индивидуальный QR-код магазина</v>
      </c>
    </row>
    <row r="18963" spans="1:7" x14ac:dyDescent="0.25">
      <c r="A18963" t="s">
        <v>57379</v>
      </c>
      <c r="B18963" t="s">
        <v>57552</v>
      </c>
      <c r="C18963" t="s">
        <v>57542</v>
      </c>
      <c r="D18963" t="s">
        <v>57543</v>
      </c>
      <c r="E18963" t="s">
        <v>57544</v>
      </c>
      <c r="F18963" t="s">
        <v>57553</v>
      </c>
      <c r="G18963" s="2" t="str">
        <f>HYPERLINK("https://probpalata.gov.ru/files/ИП740700680900005.jpeg","Скачать индивидуальный QR-код магазина")</f>
        <v>Скачать индивидуальный QR-код магазина</v>
      </c>
    </row>
    <row r="18964" spans="1:7" x14ac:dyDescent="0.25">
      <c r="A18964" t="s">
        <v>57379</v>
      </c>
      <c r="B18964" t="s">
        <v>57552</v>
      </c>
      <c r="C18964" t="s">
        <v>57542</v>
      </c>
      <c r="D18964" t="s">
        <v>57543</v>
      </c>
      <c r="E18964" t="s">
        <v>57544</v>
      </c>
      <c r="F18964" t="s">
        <v>57554</v>
      </c>
      <c r="G18964" s="2" t="str">
        <f>HYPERLINK("https://probpalata.gov.ru/files/ИП740700680900006.jpeg","Скачать индивидуальный QR-код магазина")</f>
        <v>Скачать индивидуальный QR-код магазина</v>
      </c>
    </row>
    <row r="18965" spans="1:7" x14ac:dyDescent="0.25">
      <c r="A18965" t="s">
        <v>57379</v>
      </c>
      <c r="B18965" t="s">
        <v>57555</v>
      </c>
      <c r="C18965" t="s">
        <v>57556</v>
      </c>
      <c r="D18965" t="s">
        <v>57557</v>
      </c>
      <c r="E18965" t="s">
        <v>57558</v>
      </c>
      <c r="F18965" t="s">
        <v>57559</v>
      </c>
      <c r="G18965" s="2" t="str">
        <f>HYPERLINK("https://probpalata.gov.ru/files/ИП740701364900000.jpeg","Скачать индивидуальный QR-код магазина")</f>
        <v>Скачать индивидуальный QR-код магазина</v>
      </c>
    </row>
    <row r="18966" spans="1:7" x14ac:dyDescent="0.25">
      <c r="A18966" t="s">
        <v>57379</v>
      </c>
      <c r="B18966" t="s">
        <v>57560</v>
      </c>
      <c r="C18966" t="s">
        <v>57556</v>
      </c>
      <c r="D18966" t="s">
        <v>57557</v>
      </c>
      <c r="E18966" t="s">
        <v>57558</v>
      </c>
      <c r="F18966" t="s">
        <v>57561</v>
      </c>
      <c r="G18966" s="2" t="str">
        <f>HYPERLINK("https://probpalata.gov.ru/files/ИП740701364900001.jpeg","Скачать индивидуальный QR-код магазина")</f>
        <v>Скачать индивидуальный QR-код магазина</v>
      </c>
    </row>
    <row r="18967" spans="1:7" x14ac:dyDescent="0.25">
      <c r="A18967" t="s">
        <v>57379</v>
      </c>
      <c r="B18967" t="s">
        <v>57562</v>
      </c>
      <c r="C18967" t="s">
        <v>57563</v>
      </c>
      <c r="D18967" t="s">
        <v>57564</v>
      </c>
      <c r="E18967" t="s">
        <v>57565</v>
      </c>
      <c r="F18967" t="s">
        <v>57566</v>
      </c>
      <c r="G18967" s="2" t="str">
        <f>HYPERLINK("https://probpalata.gov.ru/files/ИП740700920200000.jpeg","Скачать индивидуальный QR-код магазина")</f>
        <v>Скачать индивидуальный QR-код магазина</v>
      </c>
    </row>
    <row r="18968" spans="1:7" x14ac:dyDescent="0.25">
      <c r="A18968" t="s">
        <v>57379</v>
      </c>
      <c r="B18968" t="s">
        <v>57567</v>
      </c>
      <c r="C18968" t="s">
        <v>57568</v>
      </c>
      <c r="D18968" t="s">
        <v>57569</v>
      </c>
      <c r="E18968" t="s">
        <v>57570</v>
      </c>
      <c r="F18968" t="s">
        <v>57571</v>
      </c>
      <c r="G18968" s="2" t="str">
        <f>HYPERLINK("https://probpalata.gov.ru/files/ИП740701010500000.jpeg","Скачать индивидуальный QR-код магазина")</f>
        <v>Скачать индивидуальный QR-код магазина</v>
      </c>
    </row>
    <row r="18969" spans="1:7" x14ac:dyDescent="0.25">
      <c r="A18969" t="s">
        <v>57379</v>
      </c>
      <c r="B18969" t="s">
        <v>57572</v>
      </c>
      <c r="C18969" t="s">
        <v>57573</v>
      </c>
      <c r="D18969" t="s">
        <v>57574</v>
      </c>
      <c r="E18969" t="s">
        <v>57575</v>
      </c>
      <c r="F18969" t="s">
        <v>57576</v>
      </c>
      <c r="G18969" s="2" t="str">
        <f>HYPERLINK("https://probpalata.gov.ru/files/ИП740701022700000.jpeg","Скачать индивидуальный QR-код магазина")</f>
        <v>Скачать индивидуальный QR-код магазина</v>
      </c>
    </row>
    <row r="18970" spans="1:7" x14ac:dyDescent="0.25">
      <c r="A18970" t="s">
        <v>57379</v>
      </c>
      <c r="B18970" t="s">
        <v>57577</v>
      </c>
      <c r="C18970" t="s">
        <v>57573</v>
      </c>
      <c r="D18970" t="s">
        <v>57574</v>
      </c>
      <c r="E18970" t="s">
        <v>57575</v>
      </c>
      <c r="F18970" t="s">
        <v>57578</v>
      </c>
      <c r="G18970" s="2" t="str">
        <f>HYPERLINK("https://probpalata.gov.ru/files/ИП740701022700001.jpeg","Скачать индивидуальный QR-код магазина")</f>
        <v>Скачать индивидуальный QR-код магазина</v>
      </c>
    </row>
    <row r="18971" spans="1:7" x14ac:dyDescent="0.25">
      <c r="A18971" t="s">
        <v>57379</v>
      </c>
      <c r="B18971" t="s">
        <v>57579</v>
      </c>
      <c r="C18971" t="s">
        <v>57573</v>
      </c>
      <c r="D18971" t="s">
        <v>57574</v>
      </c>
      <c r="E18971" t="s">
        <v>57575</v>
      </c>
      <c r="F18971" t="s">
        <v>57580</v>
      </c>
      <c r="G18971" s="2" t="str">
        <f>HYPERLINK("https://probpalata.gov.ru/files/ИП740701022700002.jpeg","Скачать индивидуальный QR-код магазина")</f>
        <v>Скачать индивидуальный QR-код магазина</v>
      </c>
    </row>
    <row r="18972" spans="1:7" x14ac:dyDescent="0.25">
      <c r="A18972" t="s">
        <v>57379</v>
      </c>
      <c r="B18972" t="s">
        <v>57581</v>
      </c>
      <c r="C18972" t="s">
        <v>57582</v>
      </c>
      <c r="D18972" t="s">
        <v>57583</v>
      </c>
      <c r="E18972" t="s">
        <v>57584</v>
      </c>
      <c r="F18972" t="s">
        <v>57585</v>
      </c>
      <c r="G18972" s="2" t="str">
        <f>HYPERLINK("https://probpalata.gov.ru/files/ИП740701718200000.jpeg","Скачать индивидуальный QR-код магазина")</f>
        <v>Скачать индивидуальный QR-код магазина</v>
      </c>
    </row>
    <row r="18973" spans="1:7" x14ac:dyDescent="0.25">
      <c r="A18973" t="s">
        <v>57379</v>
      </c>
      <c r="B18973" t="s">
        <v>57586</v>
      </c>
      <c r="C18973" t="s">
        <v>57582</v>
      </c>
      <c r="D18973" t="s">
        <v>57583</v>
      </c>
      <c r="E18973" t="s">
        <v>57584</v>
      </c>
      <c r="F18973" t="s">
        <v>57587</v>
      </c>
      <c r="G18973" s="2" t="str">
        <f>HYPERLINK("https://probpalata.gov.ru/files/ИП740701718200001.jpeg","Скачать индивидуальный QR-код магазина")</f>
        <v>Скачать индивидуальный QR-код магазина</v>
      </c>
    </row>
    <row r="18974" spans="1:7" x14ac:dyDescent="0.25">
      <c r="A18974" t="s">
        <v>57379</v>
      </c>
      <c r="B18974" t="s">
        <v>57588</v>
      </c>
      <c r="C18974" t="s">
        <v>57589</v>
      </c>
      <c r="D18974" t="s">
        <v>57590</v>
      </c>
      <c r="E18974" t="s">
        <v>57591</v>
      </c>
      <c r="F18974" t="s">
        <v>57592</v>
      </c>
      <c r="G18974" s="2" t="str">
        <f>HYPERLINK("https://probpalata.gov.ru/files/ИП740701694900000.jpeg","Скачать индивидуальный QR-код магазина")</f>
        <v>Скачать индивидуальный QR-код магазина</v>
      </c>
    </row>
    <row r="18975" spans="1:7" x14ac:dyDescent="0.25">
      <c r="A18975" t="s">
        <v>57379</v>
      </c>
      <c r="B18975" t="s">
        <v>57593</v>
      </c>
      <c r="C18975" t="s">
        <v>57594</v>
      </c>
      <c r="D18975" t="s">
        <v>57595</v>
      </c>
      <c r="E18975" t="s">
        <v>57596</v>
      </c>
      <c r="F18975" t="s">
        <v>57597</v>
      </c>
      <c r="G18975" s="2" t="str">
        <f>HYPERLINK("https://probpalata.gov.ru/files/ИП740700707800000.jpeg","Скачать индивидуальный QR-код магазина")</f>
        <v>Скачать индивидуальный QR-код магазина</v>
      </c>
    </row>
    <row r="18976" spans="1:7" x14ac:dyDescent="0.25">
      <c r="A18976" t="s">
        <v>57379</v>
      </c>
      <c r="B18976" t="s">
        <v>57598</v>
      </c>
      <c r="C18976" t="s">
        <v>57594</v>
      </c>
      <c r="D18976" t="s">
        <v>57595</v>
      </c>
      <c r="E18976" t="s">
        <v>57596</v>
      </c>
      <c r="F18976" t="s">
        <v>57599</v>
      </c>
      <c r="G18976" s="2" t="str">
        <f>HYPERLINK("https://probpalata.gov.ru/files/ИП740700707800001.jpeg","Скачать индивидуальный QR-код магазина")</f>
        <v>Скачать индивидуальный QR-код магазина</v>
      </c>
    </row>
    <row r="18977" spans="1:7" x14ac:dyDescent="0.25">
      <c r="A18977" t="s">
        <v>57379</v>
      </c>
      <c r="B18977" t="s">
        <v>57600</v>
      </c>
      <c r="C18977" t="s">
        <v>57594</v>
      </c>
      <c r="D18977" t="s">
        <v>57595</v>
      </c>
      <c r="E18977" t="s">
        <v>57596</v>
      </c>
      <c r="F18977" t="s">
        <v>57601</v>
      </c>
      <c r="G18977" s="2" t="str">
        <f>HYPERLINK("https://probpalata.gov.ru/files/ИП740700707800002.jpeg","Скачать индивидуальный QR-код магазина")</f>
        <v>Скачать индивидуальный QR-код магазина</v>
      </c>
    </row>
    <row r="18978" spans="1:7" x14ac:dyDescent="0.25">
      <c r="A18978" t="s">
        <v>57379</v>
      </c>
      <c r="B18978" t="s">
        <v>57602</v>
      </c>
      <c r="C18978" t="s">
        <v>57594</v>
      </c>
      <c r="D18978" t="s">
        <v>57595</v>
      </c>
      <c r="E18978" t="s">
        <v>57596</v>
      </c>
      <c r="F18978" t="s">
        <v>57603</v>
      </c>
      <c r="G18978" s="2" t="str">
        <f>HYPERLINK("https://probpalata.gov.ru/files/ИП740700707800003.jpeg","Скачать индивидуальный QR-код магазина")</f>
        <v>Скачать индивидуальный QR-код магазина</v>
      </c>
    </row>
    <row r="18979" spans="1:7" x14ac:dyDescent="0.25">
      <c r="A18979" t="s">
        <v>57379</v>
      </c>
      <c r="B18979" t="s">
        <v>57604</v>
      </c>
      <c r="C18979" t="s">
        <v>57605</v>
      </c>
      <c r="D18979" t="s">
        <v>57606</v>
      </c>
      <c r="E18979" t="s">
        <v>57607</v>
      </c>
      <c r="F18979" t="s">
        <v>57608</v>
      </c>
      <c r="G18979" s="2" t="str">
        <f>HYPERLINK("https://probpalata.gov.ru/files/ИП740701101200000.jpeg","Скачать индивидуальный QR-код магазина")</f>
        <v>Скачать индивидуальный QR-код магазина</v>
      </c>
    </row>
    <row r="18980" spans="1:7" x14ac:dyDescent="0.25">
      <c r="A18980" t="s">
        <v>57379</v>
      </c>
      <c r="B18980" t="s">
        <v>57609</v>
      </c>
      <c r="C18980" t="s">
        <v>57605</v>
      </c>
      <c r="D18980" t="s">
        <v>57606</v>
      </c>
      <c r="E18980" t="s">
        <v>57607</v>
      </c>
      <c r="F18980" t="s">
        <v>57610</v>
      </c>
      <c r="G18980" s="2" t="str">
        <f>HYPERLINK("https://probpalata.gov.ru/files/ИП740701101200001.jpeg","Скачать индивидуальный QR-код магазина")</f>
        <v>Скачать индивидуальный QR-код магазина</v>
      </c>
    </row>
    <row r="18981" spans="1:7" x14ac:dyDescent="0.25">
      <c r="A18981" t="s">
        <v>57379</v>
      </c>
      <c r="B18981" t="s">
        <v>57611</v>
      </c>
      <c r="C18981" t="s">
        <v>57612</v>
      </c>
      <c r="D18981" t="s">
        <v>57613</v>
      </c>
      <c r="E18981" t="s">
        <v>57614</v>
      </c>
      <c r="F18981" t="s">
        <v>57615</v>
      </c>
      <c r="G18981" s="2" t="str">
        <f>HYPERLINK("https://probpalata.gov.ru/files/ИП740703085400000.jpeg","Скачать индивидуальный QR-код магазина")</f>
        <v>Скачать индивидуальный QR-код магазина</v>
      </c>
    </row>
    <row r="18982" spans="1:7" x14ac:dyDescent="0.25">
      <c r="A18982" t="s">
        <v>57379</v>
      </c>
      <c r="B18982" t="s">
        <v>57616</v>
      </c>
      <c r="C18982" t="s">
        <v>57617</v>
      </c>
      <c r="D18982" t="s">
        <v>57618</v>
      </c>
      <c r="E18982" t="s">
        <v>57619</v>
      </c>
      <c r="F18982" t="s">
        <v>57620</v>
      </c>
      <c r="G18982" s="2" t="str">
        <f>HYPERLINK("https://probpalata.gov.ru/files/ИП740701018300000.jpeg","Скачать индивидуальный QR-код магазина")</f>
        <v>Скачать индивидуальный QR-код магазина</v>
      </c>
    </row>
    <row r="18983" spans="1:7" x14ac:dyDescent="0.25">
      <c r="A18983" t="s">
        <v>57379</v>
      </c>
      <c r="B18983" t="s">
        <v>57621</v>
      </c>
      <c r="C18983" t="s">
        <v>57622</v>
      </c>
      <c r="D18983" t="s">
        <v>57623</v>
      </c>
      <c r="E18983" t="s">
        <v>57624</v>
      </c>
      <c r="F18983" t="s">
        <v>57625</v>
      </c>
      <c r="G18983" s="2" t="str">
        <f>HYPERLINK("https://probpalata.gov.ru/files/ИП740700697200000.jpeg","Скачать индивидуальный QR-код магазина")</f>
        <v>Скачать индивидуальный QR-код магазина</v>
      </c>
    </row>
    <row r="18984" spans="1:7" x14ac:dyDescent="0.25">
      <c r="A18984" t="s">
        <v>57379</v>
      </c>
      <c r="B18984" t="s">
        <v>57626</v>
      </c>
      <c r="C18984" t="s">
        <v>57627</v>
      </c>
      <c r="D18984" t="s">
        <v>57628</v>
      </c>
      <c r="E18984" t="s">
        <v>57629</v>
      </c>
      <c r="F18984" t="s">
        <v>57630</v>
      </c>
      <c r="G18984" s="2" t="str">
        <f>HYPERLINK("https://probpalata.gov.ru/files/ИП740700257600000.jpeg","Скачать индивидуальный QR-код магазина")</f>
        <v>Скачать индивидуальный QR-код магазина</v>
      </c>
    </row>
    <row r="18985" spans="1:7" x14ac:dyDescent="0.25">
      <c r="A18985" t="s">
        <v>57379</v>
      </c>
      <c r="B18985" t="s">
        <v>57631</v>
      </c>
      <c r="C18985" t="s">
        <v>57632</v>
      </c>
      <c r="D18985" t="s">
        <v>57633</v>
      </c>
      <c r="E18985" t="s">
        <v>57634</v>
      </c>
      <c r="F18985" t="s">
        <v>57635</v>
      </c>
      <c r="G18985" s="2" t="str">
        <f>HYPERLINK("https://probpalata.gov.ru/files/ИП740701047500000.jpeg","Скачать индивидуальный QR-код магазина")</f>
        <v>Скачать индивидуальный QR-код магазина</v>
      </c>
    </row>
    <row r="18986" spans="1:7" x14ac:dyDescent="0.25">
      <c r="A18986" t="s">
        <v>57379</v>
      </c>
      <c r="B18986" t="s">
        <v>57636</v>
      </c>
      <c r="C18986" t="s">
        <v>57632</v>
      </c>
      <c r="D18986" t="s">
        <v>57633</v>
      </c>
      <c r="E18986" t="s">
        <v>57634</v>
      </c>
      <c r="F18986" t="s">
        <v>57637</v>
      </c>
      <c r="G18986" s="2" t="str">
        <f>HYPERLINK("https://probpalata.gov.ru/files/ИП740701047500001.jpeg","Скачать индивидуальный QR-код магазина")</f>
        <v>Скачать индивидуальный QR-код магазина</v>
      </c>
    </row>
    <row r="18987" spans="1:7" x14ac:dyDescent="0.25">
      <c r="A18987" t="s">
        <v>57379</v>
      </c>
      <c r="B18987" t="s">
        <v>57638</v>
      </c>
      <c r="C18987" t="s">
        <v>57632</v>
      </c>
      <c r="D18987" t="s">
        <v>57633</v>
      </c>
      <c r="E18987" t="s">
        <v>57634</v>
      </c>
      <c r="F18987" t="s">
        <v>57639</v>
      </c>
      <c r="G18987" s="2" t="str">
        <f>HYPERLINK("https://probpalata.gov.ru/files/ИП740701047500003.jpeg","Скачать индивидуальный QR-код магазина")</f>
        <v>Скачать индивидуальный QR-код магазина</v>
      </c>
    </row>
    <row r="18988" spans="1:7" x14ac:dyDescent="0.25">
      <c r="A18988" t="s">
        <v>57379</v>
      </c>
      <c r="B18988" t="s">
        <v>57640</v>
      </c>
      <c r="C18988" t="s">
        <v>57632</v>
      </c>
      <c r="D18988" t="s">
        <v>57633</v>
      </c>
      <c r="E18988" t="s">
        <v>57634</v>
      </c>
      <c r="F18988" t="s">
        <v>57641</v>
      </c>
      <c r="G18988" s="2" t="str">
        <f>HYPERLINK("https://probpalata.gov.ru/files/ИП740701047500006.jpeg","Скачать индивидуальный QR-код магазина")</f>
        <v>Скачать индивидуальный QR-код магазина</v>
      </c>
    </row>
    <row r="18989" spans="1:7" x14ac:dyDescent="0.25">
      <c r="A18989" t="s">
        <v>57379</v>
      </c>
      <c r="B18989" t="s">
        <v>57642</v>
      </c>
      <c r="C18989" t="s">
        <v>57643</v>
      </c>
      <c r="D18989" t="s">
        <v>57644</v>
      </c>
      <c r="E18989" t="s">
        <v>57645</v>
      </c>
      <c r="F18989" t="s">
        <v>57646</v>
      </c>
      <c r="G18989" s="2" t="str">
        <f>HYPERLINK("https://probpalata.gov.ru/files/ИП740701011000000.jpeg","Скачать индивидуальный QR-код магазина")</f>
        <v>Скачать индивидуальный QR-код магазина</v>
      </c>
    </row>
    <row r="18990" spans="1:7" x14ac:dyDescent="0.25">
      <c r="A18990" t="s">
        <v>57379</v>
      </c>
      <c r="B18990" t="s">
        <v>57647</v>
      </c>
      <c r="C18990" t="s">
        <v>57643</v>
      </c>
      <c r="D18990" t="s">
        <v>57644</v>
      </c>
      <c r="E18990" t="s">
        <v>57645</v>
      </c>
      <c r="F18990" t="s">
        <v>57648</v>
      </c>
      <c r="G18990" s="2" t="str">
        <f>HYPERLINK("https://probpalata.gov.ru/files/ИП740701011000001.jpeg","Скачать индивидуальный QR-код магазина")</f>
        <v>Скачать индивидуальный QR-код магазина</v>
      </c>
    </row>
    <row r="18991" spans="1:7" x14ac:dyDescent="0.25">
      <c r="A18991" t="s">
        <v>57379</v>
      </c>
      <c r="B18991" t="s">
        <v>57649</v>
      </c>
      <c r="C18991" t="s">
        <v>57650</v>
      </c>
      <c r="D18991" t="s">
        <v>57651</v>
      </c>
      <c r="E18991" t="s">
        <v>57652</v>
      </c>
      <c r="F18991" t="s">
        <v>57653</v>
      </c>
      <c r="G18991" s="2" t="str">
        <f>HYPERLINK("https://probpalata.gov.ru/files/ИП740701626300000.jpeg","Скачать индивидуальный QR-код магазина")</f>
        <v>Скачать индивидуальный QR-код магазина</v>
      </c>
    </row>
    <row r="18992" spans="1:7" x14ac:dyDescent="0.25">
      <c r="A18992" t="s">
        <v>57379</v>
      </c>
      <c r="B18992" t="s">
        <v>57654</v>
      </c>
      <c r="C18992" t="s">
        <v>57655</v>
      </c>
      <c r="D18992" t="s">
        <v>57656</v>
      </c>
      <c r="E18992" t="s">
        <v>57657</v>
      </c>
      <c r="F18992" t="s">
        <v>57658</v>
      </c>
      <c r="G18992" s="2" t="str">
        <f>HYPERLINK("https://probpalata.gov.ru/files/ИП740703196000000.jpeg","Скачать индивидуальный QR-код магазина")</f>
        <v>Скачать индивидуальный QR-код магазина</v>
      </c>
    </row>
    <row r="18993" spans="1:7" x14ac:dyDescent="0.25">
      <c r="A18993" t="s">
        <v>57379</v>
      </c>
      <c r="B18993" t="s">
        <v>57659</v>
      </c>
      <c r="C18993" t="s">
        <v>57660</v>
      </c>
      <c r="D18993" t="s">
        <v>57661</v>
      </c>
      <c r="E18993" t="s">
        <v>57662</v>
      </c>
      <c r="F18993" t="s">
        <v>57663</v>
      </c>
      <c r="G18993" s="2" t="str">
        <f>HYPERLINK("https://probpalata.gov.ru/files/ИП740701416600000.jpeg","Скачать индивидуальный QR-код магазина")</f>
        <v>Скачать индивидуальный QR-код магазина</v>
      </c>
    </row>
    <row r="18994" spans="1:7" x14ac:dyDescent="0.25">
      <c r="A18994" t="s">
        <v>57379</v>
      </c>
      <c r="B18994" t="s">
        <v>57664</v>
      </c>
      <c r="C18994" t="s">
        <v>57660</v>
      </c>
      <c r="D18994" t="s">
        <v>57661</v>
      </c>
      <c r="E18994" t="s">
        <v>57662</v>
      </c>
      <c r="F18994" t="s">
        <v>57665</v>
      </c>
      <c r="G18994" s="2" t="str">
        <f>HYPERLINK("https://probpalata.gov.ru/files/ИП740701416600002.jpeg","Скачать индивидуальный QR-код магазина")</f>
        <v>Скачать индивидуальный QR-код магазина</v>
      </c>
    </row>
    <row r="18995" spans="1:7" x14ac:dyDescent="0.25">
      <c r="A18995" t="s">
        <v>57379</v>
      </c>
      <c r="B18995" t="s">
        <v>57666</v>
      </c>
      <c r="C18995" t="s">
        <v>57667</v>
      </c>
      <c r="D18995" t="s">
        <v>57668</v>
      </c>
      <c r="E18995" t="s">
        <v>57669</v>
      </c>
      <c r="F18995" t="s">
        <v>57670</v>
      </c>
      <c r="G18995" s="2" t="str">
        <f>HYPERLINK("https://probpalata.gov.ru/files/ИП740701965200000.jpeg","Скачать индивидуальный QR-код магазина")</f>
        <v>Скачать индивидуальный QR-код магазина</v>
      </c>
    </row>
    <row r="18996" spans="1:7" x14ac:dyDescent="0.25">
      <c r="A18996" t="s">
        <v>57379</v>
      </c>
      <c r="B18996" t="s">
        <v>57671</v>
      </c>
      <c r="C18996" t="s">
        <v>57672</v>
      </c>
      <c r="D18996" t="s">
        <v>57673</v>
      </c>
      <c r="E18996" t="s">
        <v>57674</v>
      </c>
      <c r="F18996" t="s">
        <v>57675</v>
      </c>
      <c r="G18996" s="2" t="str">
        <f>HYPERLINK("https://probpalata.gov.ru/files/ИП740703199200000.jpeg","Скачать индивидуальный QR-код магазина")</f>
        <v>Скачать индивидуальный QR-код магазина</v>
      </c>
    </row>
    <row r="18997" spans="1:7" x14ac:dyDescent="0.25">
      <c r="A18997" t="s">
        <v>57379</v>
      </c>
      <c r="B18997" t="s">
        <v>57676</v>
      </c>
      <c r="C18997" t="s">
        <v>57677</v>
      </c>
      <c r="D18997" t="s">
        <v>57678</v>
      </c>
      <c r="E18997" t="s">
        <v>57679</v>
      </c>
      <c r="F18997" t="s">
        <v>57680</v>
      </c>
      <c r="G18997" s="2" t="str">
        <f>HYPERLINK("https://probpalata.gov.ru/files/ИП740701111700000.jpeg","Скачать индивидуальный QR-код магазина")</f>
        <v>Скачать индивидуальный QR-код магазина</v>
      </c>
    </row>
    <row r="18998" spans="1:7" x14ac:dyDescent="0.25">
      <c r="A18998" t="s">
        <v>57379</v>
      </c>
      <c r="B18998" t="s">
        <v>57681</v>
      </c>
      <c r="C18998" t="s">
        <v>57677</v>
      </c>
      <c r="D18998" t="s">
        <v>57678</v>
      </c>
      <c r="E18998" t="s">
        <v>57679</v>
      </c>
      <c r="F18998" t="s">
        <v>57682</v>
      </c>
      <c r="G18998" s="2" t="str">
        <f>HYPERLINK("https://probpalata.gov.ru/files/ИП740701111700001.jpeg","Скачать индивидуальный QR-код магазина")</f>
        <v>Скачать индивидуальный QR-код магазина</v>
      </c>
    </row>
    <row r="18999" spans="1:7" x14ac:dyDescent="0.25">
      <c r="A18999" t="s">
        <v>57379</v>
      </c>
      <c r="B18999" t="s">
        <v>57683</v>
      </c>
      <c r="C18999" t="s">
        <v>57677</v>
      </c>
      <c r="D18999" t="s">
        <v>57678</v>
      </c>
      <c r="E18999" t="s">
        <v>57679</v>
      </c>
      <c r="F18999" t="s">
        <v>57684</v>
      </c>
      <c r="G18999" s="2" t="str">
        <f>HYPERLINK("https://probpalata.gov.ru/files/ИП740701111700002.jpeg","Скачать индивидуальный QR-код магазина")</f>
        <v>Скачать индивидуальный QR-код магазина</v>
      </c>
    </row>
    <row r="19000" spans="1:7" x14ac:dyDescent="0.25">
      <c r="A19000" t="s">
        <v>57379</v>
      </c>
      <c r="B19000" t="s">
        <v>57685</v>
      </c>
      <c r="C19000" t="s">
        <v>57686</v>
      </c>
      <c r="D19000" t="s">
        <v>57687</v>
      </c>
      <c r="E19000" t="s">
        <v>57688</v>
      </c>
      <c r="F19000" t="s">
        <v>57689</v>
      </c>
      <c r="G19000" s="2" t="str">
        <f>HYPERLINK("https://probpalata.gov.ru/files/ИП740700288500000.jpeg","Скачать индивидуальный QR-код магазина")</f>
        <v>Скачать индивидуальный QR-код магазина</v>
      </c>
    </row>
    <row r="19001" spans="1:7" x14ac:dyDescent="0.25">
      <c r="A19001" t="s">
        <v>57379</v>
      </c>
      <c r="B19001" t="s">
        <v>57690</v>
      </c>
      <c r="C19001" t="s">
        <v>57691</v>
      </c>
      <c r="D19001" t="s">
        <v>57692</v>
      </c>
      <c r="E19001" t="s">
        <v>57693</v>
      </c>
      <c r="F19001" t="s">
        <v>57694</v>
      </c>
      <c r="G19001" s="2" t="str">
        <f>HYPERLINK("https://probpalata.gov.ru/files/ИП740701887400000.jpeg","Скачать индивидуальный QR-код магазина")</f>
        <v>Скачать индивидуальный QR-код магазина</v>
      </c>
    </row>
    <row r="19002" spans="1:7" x14ac:dyDescent="0.25">
      <c r="A19002" t="s">
        <v>57379</v>
      </c>
      <c r="B19002" t="s">
        <v>57695</v>
      </c>
      <c r="C19002" t="s">
        <v>57696</v>
      </c>
      <c r="D19002" t="s">
        <v>57697</v>
      </c>
      <c r="E19002" t="s">
        <v>57698</v>
      </c>
      <c r="F19002" t="s">
        <v>57699</v>
      </c>
      <c r="G19002" s="2" t="str">
        <f>HYPERLINK("https://probpalata.gov.ru/files/ЮЛ740700011800000.jpeg","Скачать индивидуальный QR-код магазина")</f>
        <v>Скачать индивидуальный QR-код магазина</v>
      </c>
    </row>
    <row r="19003" spans="1:7" x14ac:dyDescent="0.25">
      <c r="A19003" t="s">
        <v>57379</v>
      </c>
      <c r="B19003" t="s">
        <v>57700</v>
      </c>
      <c r="C19003" t="s">
        <v>57701</v>
      </c>
      <c r="D19003" t="s">
        <v>57702</v>
      </c>
      <c r="E19003" t="s">
        <v>57703</v>
      </c>
      <c r="F19003" t="s">
        <v>57704</v>
      </c>
      <c r="G19003" s="2" t="str">
        <f>HYPERLINK("https://probpalata.gov.ru/files/ИП740701968200000.jpeg","Скачать индивидуальный QR-код магазина")</f>
        <v>Скачать индивидуальный QR-код магазина</v>
      </c>
    </row>
    <row r="19004" spans="1:7" x14ac:dyDescent="0.25">
      <c r="A19004" t="s">
        <v>57379</v>
      </c>
      <c r="B19004" t="s">
        <v>57705</v>
      </c>
      <c r="C19004" t="s">
        <v>57701</v>
      </c>
      <c r="D19004" t="s">
        <v>57702</v>
      </c>
      <c r="E19004" t="s">
        <v>57703</v>
      </c>
      <c r="F19004" t="s">
        <v>57706</v>
      </c>
      <c r="G19004" s="2" t="str">
        <f>HYPERLINK("https://probpalata.gov.ru/files/ИП740701968200001.jpeg","Скачать индивидуальный QR-код магазина")</f>
        <v>Скачать индивидуальный QR-код магазина</v>
      </c>
    </row>
    <row r="19005" spans="1:7" x14ac:dyDescent="0.25">
      <c r="A19005" t="s">
        <v>57379</v>
      </c>
      <c r="B19005" t="s">
        <v>57707</v>
      </c>
      <c r="C19005" t="s">
        <v>57701</v>
      </c>
      <c r="D19005" t="s">
        <v>57702</v>
      </c>
      <c r="E19005" t="s">
        <v>57703</v>
      </c>
      <c r="F19005" t="s">
        <v>57708</v>
      </c>
      <c r="G19005" s="2" t="str">
        <f>HYPERLINK("https://probpalata.gov.ru/files/ИП740701968200002.jpeg","Скачать индивидуальный QR-код магазина")</f>
        <v>Скачать индивидуальный QR-код магазина</v>
      </c>
    </row>
    <row r="19006" spans="1:7" x14ac:dyDescent="0.25">
      <c r="A19006" t="s">
        <v>57379</v>
      </c>
      <c r="B19006" t="s">
        <v>57709</v>
      </c>
      <c r="C19006" t="s">
        <v>57710</v>
      </c>
      <c r="D19006" t="s">
        <v>57711</v>
      </c>
      <c r="E19006" t="s">
        <v>57712</v>
      </c>
      <c r="F19006" t="s">
        <v>57713</v>
      </c>
      <c r="G19006" s="2" t="str">
        <f>HYPERLINK("https://probpalata.gov.ru/files/ИП740700630800000.jpeg","Скачать индивидуальный QR-код магазина")</f>
        <v>Скачать индивидуальный QR-код магазина</v>
      </c>
    </row>
    <row r="19007" spans="1:7" x14ac:dyDescent="0.25">
      <c r="A19007" t="s">
        <v>57379</v>
      </c>
      <c r="B19007" t="s">
        <v>57714</v>
      </c>
      <c r="C19007" t="s">
        <v>57710</v>
      </c>
      <c r="D19007" t="s">
        <v>57711</v>
      </c>
      <c r="E19007" t="s">
        <v>57712</v>
      </c>
      <c r="F19007" t="s">
        <v>57715</v>
      </c>
      <c r="G19007" s="2" t="str">
        <f>HYPERLINK("https://probpalata.gov.ru/files/ИП740700630800001.jpeg","Скачать индивидуальный QR-код магазина")</f>
        <v>Скачать индивидуальный QR-код магазина</v>
      </c>
    </row>
    <row r="19008" spans="1:7" x14ac:dyDescent="0.25">
      <c r="A19008" t="s">
        <v>57379</v>
      </c>
      <c r="B19008" t="s">
        <v>57716</v>
      </c>
      <c r="C19008" t="s">
        <v>57717</v>
      </c>
      <c r="D19008" t="s">
        <v>57718</v>
      </c>
      <c r="E19008" t="s">
        <v>57719</v>
      </c>
      <c r="F19008" t="s">
        <v>57720</v>
      </c>
      <c r="G19008" s="2" t="str">
        <f>HYPERLINK("https://probpalata.gov.ru/files/ИП740700574800000.jpeg","Скачать индивидуальный QR-код магазина")</f>
        <v>Скачать индивидуальный QR-код магазина</v>
      </c>
    </row>
    <row r="19009" spans="1:7" x14ac:dyDescent="0.25">
      <c r="A19009" t="s">
        <v>57379</v>
      </c>
      <c r="B19009" t="s">
        <v>57721</v>
      </c>
      <c r="C19009" t="s">
        <v>57717</v>
      </c>
      <c r="D19009" t="s">
        <v>57718</v>
      </c>
      <c r="E19009" t="s">
        <v>57719</v>
      </c>
      <c r="F19009" t="s">
        <v>57722</v>
      </c>
      <c r="G19009" s="2" t="str">
        <f>HYPERLINK("https://probpalata.gov.ru/files/ИП740700574800001.jpeg","Скачать индивидуальный QR-код магазина")</f>
        <v>Скачать индивидуальный QR-код магазина</v>
      </c>
    </row>
    <row r="19010" spans="1:7" x14ac:dyDescent="0.25">
      <c r="A19010" t="s">
        <v>57379</v>
      </c>
      <c r="B19010" t="s">
        <v>57723</v>
      </c>
      <c r="C19010" t="s">
        <v>57724</v>
      </c>
      <c r="D19010" t="s">
        <v>57725</v>
      </c>
      <c r="E19010" t="s">
        <v>57726</v>
      </c>
      <c r="F19010" t="s">
        <v>57727</v>
      </c>
      <c r="G19010" s="2" t="str">
        <f>HYPERLINK("https://probpalata.gov.ru/files/ИП740700344600000.jpeg","Скачать индивидуальный QR-код магазина")</f>
        <v>Скачать индивидуальный QR-код магазина</v>
      </c>
    </row>
    <row r="19011" spans="1:7" x14ac:dyDescent="0.25">
      <c r="A19011" t="s">
        <v>57379</v>
      </c>
      <c r="B19011" t="s">
        <v>57728</v>
      </c>
      <c r="C19011" t="s">
        <v>57724</v>
      </c>
      <c r="D19011" t="s">
        <v>57725</v>
      </c>
      <c r="E19011" t="s">
        <v>57726</v>
      </c>
      <c r="F19011" t="s">
        <v>57729</v>
      </c>
      <c r="G19011" s="2" t="str">
        <f>HYPERLINK("https://probpalata.gov.ru/files/ИП740700344600002.jpeg","Скачать индивидуальный QR-код магазина")</f>
        <v>Скачать индивидуальный QR-код магазина</v>
      </c>
    </row>
    <row r="19012" spans="1:7" x14ac:dyDescent="0.25">
      <c r="A19012" t="s">
        <v>57379</v>
      </c>
      <c r="B19012" t="s">
        <v>57730</v>
      </c>
      <c r="C19012" t="s">
        <v>57724</v>
      </c>
      <c r="D19012" t="s">
        <v>57725</v>
      </c>
      <c r="E19012" t="s">
        <v>57726</v>
      </c>
      <c r="F19012" t="s">
        <v>57731</v>
      </c>
      <c r="G19012" s="2" t="str">
        <f>HYPERLINK("https://probpalata.gov.ru/files/ИП740700344600003.jpeg","Скачать индивидуальный QR-код магазина")</f>
        <v>Скачать индивидуальный QR-код магазина</v>
      </c>
    </row>
    <row r="19013" spans="1:7" x14ac:dyDescent="0.25">
      <c r="A19013" t="s">
        <v>57379</v>
      </c>
      <c r="B19013" t="s">
        <v>57732</v>
      </c>
      <c r="C19013" t="s">
        <v>57724</v>
      </c>
      <c r="D19013" t="s">
        <v>57725</v>
      </c>
      <c r="E19013" t="s">
        <v>57726</v>
      </c>
      <c r="F19013" t="s">
        <v>57733</v>
      </c>
      <c r="G19013" s="2" t="str">
        <f>HYPERLINK("https://probpalata.gov.ru/files/ИП740700344600004.jpeg","Скачать индивидуальный QR-код магазина")</f>
        <v>Скачать индивидуальный QR-код магазина</v>
      </c>
    </row>
    <row r="19014" spans="1:7" x14ac:dyDescent="0.25">
      <c r="A19014" t="s">
        <v>57379</v>
      </c>
      <c r="B19014" t="s">
        <v>57734</v>
      </c>
      <c r="C19014" t="s">
        <v>57724</v>
      </c>
      <c r="D19014" t="s">
        <v>57725</v>
      </c>
      <c r="E19014" t="s">
        <v>57726</v>
      </c>
      <c r="F19014" t="s">
        <v>57735</v>
      </c>
      <c r="G19014" s="2" t="str">
        <f>HYPERLINK("https://probpalata.gov.ru/files/ИП740700344600006.jpeg","Скачать индивидуальный QR-код магазина")</f>
        <v>Скачать индивидуальный QR-код магазина</v>
      </c>
    </row>
    <row r="19015" spans="1:7" x14ac:dyDescent="0.25">
      <c r="A19015" t="s">
        <v>57379</v>
      </c>
      <c r="B19015" t="s">
        <v>57709</v>
      </c>
      <c r="C19015" t="s">
        <v>57736</v>
      </c>
      <c r="D19015" t="s">
        <v>57737</v>
      </c>
      <c r="E19015" t="s">
        <v>57738</v>
      </c>
      <c r="F19015" t="s">
        <v>57739</v>
      </c>
      <c r="G19015" s="2" t="str">
        <f>HYPERLINK("https://probpalata.gov.ru/files/ИП740703219800000.jpeg","Скачать индивидуальный QR-код магазина")</f>
        <v>Скачать индивидуальный QR-код магазина</v>
      </c>
    </row>
    <row r="19016" spans="1:7" x14ac:dyDescent="0.25">
      <c r="A19016" t="s">
        <v>57379</v>
      </c>
      <c r="B19016" t="s">
        <v>57714</v>
      </c>
      <c r="C19016" t="s">
        <v>57736</v>
      </c>
      <c r="D19016" t="s">
        <v>57737</v>
      </c>
      <c r="E19016" t="s">
        <v>57738</v>
      </c>
      <c r="F19016" t="s">
        <v>57740</v>
      </c>
      <c r="G19016" s="2" t="str">
        <f>HYPERLINK("https://probpalata.gov.ru/files/ИП740703219800001.jpeg","Скачать индивидуальный QR-код магазина")</f>
        <v>Скачать индивидуальный QR-код магазина</v>
      </c>
    </row>
    <row r="19017" spans="1:7" x14ac:dyDescent="0.25">
      <c r="A19017" t="s">
        <v>57379</v>
      </c>
      <c r="B19017" t="s">
        <v>57741</v>
      </c>
      <c r="C19017" t="s">
        <v>57742</v>
      </c>
      <c r="D19017" t="s">
        <v>57743</v>
      </c>
      <c r="E19017" t="s">
        <v>57744</v>
      </c>
      <c r="F19017" t="s">
        <v>57745</v>
      </c>
      <c r="G19017" s="2" t="str">
        <f>HYPERLINK("https://probpalata.gov.ru/files/ЮЛ740701417900000.jpeg","Скачать индивидуальный QR-код магазина")</f>
        <v>Скачать индивидуальный QR-код магазина</v>
      </c>
    </row>
    <row r="19018" spans="1:7" x14ac:dyDescent="0.25">
      <c r="A19018" t="s">
        <v>57379</v>
      </c>
      <c r="B19018" t="s">
        <v>57746</v>
      </c>
      <c r="C19018" t="s">
        <v>57747</v>
      </c>
      <c r="D19018" t="s">
        <v>57748</v>
      </c>
      <c r="E19018" t="s">
        <v>57749</v>
      </c>
      <c r="F19018" t="s">
        <v>57750</v>
      </c>
      <c r="G19018" s="2" t="str">
        <f>HYPERLINK("https://probpalata.gov.ru/files/ИП740701274900000.jpeg","Скачать индивидуальный QR-код магазина")</f>
        <v>Скачать индивидуальный QR-код магазина</v>
      </c>
    </row>
    <row r="19019" spans="1:7" x14ac:dyDescent="0.25">
      <c r="A19019" t="s">
        <v>57379</v>
      </c>
      <c r="B19019" t="s">
        <v>57751</v>
      </c>
      <c r="C19019" t="s">
        <v>57752</v>
      </c>
      <c r="D19019" t="s">
        <v>57753</v>
      </c>
      <c r="E19019" t="s">
        <v>57754</v>
      </c>
      <c r="F19019" t="s">
        <v>57755</v>
      </c>
      <c r="G19019" s="2" t="str">
        <f>HYPERLINK("https://probpalata.gov.ru/files/ИП740701110900000.jpeg","Скачать индивидуальный QR-код магазина")</f>
        <v>Скачать индивидуальный QR-код магазина</v>
      </c>
    </row>
    <row r="19020" spans="1:7" x14ac:dyDescent="0.25">
      <c r="A19020" t="s">
        <v>57379</v>
      </c>
      <c r="B19020" t="s">
        <v>57756</v>
      </c>
      <c r="C19020" t="s">
        <v>57757</v>
      </c>
      <c r="D19020" t="s">
        <v>57758</v>
      </c>
      <c r="E19020" t="s">
        <v>57759</v>
      </c>
      <c r="F19020" t="s">
        <v>57760</v>
      </c>
      <c r="G19020" s="2" t="str">
        <f>HYPERLINK("https://probpalata.gov.ru/files/ИП740700107400000.jpeg","Скачать индивидуальный QR-код магазина")</f>
        <v>Скачать индивидуальный QR-код магазина</v>
      </c>
    </row>
    <row r="19021" spans="1:7" x14ac:dyDescent="0.25">
      <c r="A19021" t="s">
        <v>57379</v>
      </c>
      <c r="B19021" t="s">
        <v>57602</v>
      </c>
      <c r="C19021" t="s">
        <v>57761</v>
      </c>
      <c r="D19021" t="s">
        <v>57762</v>
      </c>
      <c r="E19021" t="s">
        <v>57763</v>
      </c>
      <c r="F19021" t="s">
        <v>57764</v>
      </c>
      <c r="G19021" s="2" t="str">
        <f>HYPERLINK("https://probpalata.gov.ru/files/ЮЛ740700712600000.jpeg","Скачать индивидуальный QR-код магазина")</f>
        <v>Скачать индивидуальный QR-код магазина</v>
      </c>
    </row>
    <row r="19022" spans="1:7" x14ac:dyDescent="0.25">
      <c r="A19022" t="s">
        <v>57379</v>
      </c>
      <c r="B19022" t="s">
        <v>57598</v>
      </c>
      <c r="C19022" t="s">
        <v>57761</v>
      </c>
      <c r="D19022" t="s">
        <v>57762</v>
      </c>
      <c r="E19022" t="s">
        <v>57763</v>
      </c>
      <c r="F19022" t="s">
        <v>57765</v>
      </c>
      <c r="G19022" s="2" t="str">
        <f>HYPERLINK("https://probpalata.gov.ru/files/ЮЛ740700712600001.jpeg","Скачать индивидуальный QR-код магазина")</f>
        <v>Скачать индивидуальный QR-код магазина</v>
      </c>
    </row>
    <row r="19023" spans="1:7" x14ac:dyDescent="0.25">
      <c r="A19023" t="s">
        <v>57379</v>
      </c>
      <c r="B19023" t="s">
        <v>57766</v>
      </c>
      <c r="C19023" t="s">
        <v>57767</v>
      </c>
      <c r="D19023" t="s">
        <v>57768</v>
      </c>
      <c r="E19023" t="s">
        <v>57769</v>
      </c>
      <c r="F19023" t="s">
        <v>57770</v>
      </c>
      <c r="G19023" s="2" t="str">
        <f>HYPERLINK("https://probpalata.gov.ru/files/ЮЛ740701327100000.jpeg","Скачать индивидуальный QR-код магазина")</f>
        <v>Скачать индивидуальный QR-код магазина</v>
      </c>
    </row>
    <row r="19024" spans="1:7" x14ac:dyDescent="0.25">
      <c r="A19024" t="s">
        <v>57379</v>
      </c>
      <c r="B19024" t="s">
        <v>57771</v>
      </c>
      <c r="C19024" t="s">
        <v>57767</v>
      </c>
      <c r="D19024" t="s">
        <v>57768</v>
      </c>
      <c r="E19024" t="s">
        <v>57769</v>
      </c>
      <c r="F19024" t="s">
        <v>57772</v>
      </c>
      <c r="G19024" s="2" t="str">
        <f>HYPERLINK("https://probpalata.gov.ru/files/ЮЛ740701327100001.jpeg","Скачать индивидуальный QR-код магазина")</f>
        <v>Скачать индивидуальный QR-код магазина</v>
      </c>
    </row>
    <row r="19025" spans="1:7" x14ac:dyDescent="0.25">
      <c r="A19025" t="s">
        <v>57379</v>
      </c>
      <c r="B19025" t="s">
        <v>57773</v>
      </c>
      <c r="C19025" t="s">
        <v>57767</v>
      </c>
      <c r="D19025" t="s">
        <v>57768</v>
      </c>
      <c r="E19025" t="s">
        <v>57769</v>
      </c>
      <c r="F19025" t="s">
        <v>57774</v>
      </c>
      <c r="G19025" s="2" t="str">
        <f>HYPERLINK("https://probpalata.gov.ru/files/ЮЛ740701327100002.jpeg","Скачать индивидуальный QR-код магазина")</f>
        <v>Скачать индивидуальный QR-код магазина</v>
      </c>
    </row>
    <row r="19026" spans="1:7" x14ac:dyDescent="0.25">
      <c r="A19026" t="s">
        <v>57379</v>
      </c>
      <c r="B19026" t="s">
        <v>57775</v>
      </c>
      <c r="C19026" t="s">
        <v>57776</v>
      </c>
      <c r="D19026" t="s">
        <v>57777</v>
      </c>
      <c r="E19026" t="s">
        <v>57778</v>
      </c>
      <c r="F19026" t="s">
        <v>57779</v>
      </c>
      <c r="G19026" s="2" t="str">
        <f>HYPERLINK("https://probpalata.gov.ru/files/ИП740701628400000.jpeg","Скачать индивидуальный QR-код магазина")</f>
        <v>Скачать индивидуальный QR-код магазина</v>
      </c>
    </row>
    <row r="19027" spans="1:7" x14ac:dyDescent="0.25">
      <c r="A19027" t="s">
        <v>57379</v>
      </c>
      <c r="B19027" t="s">
        <v>57780</v>
      </c>
      <c r="C19027" t="s">
        <v>57781</v>
      </c>
      <c r="D19027" t="s">
        <v>57782</v>
      </c>
      <c r="E19027" t="s">
        <v>57783</v>
      </c>
      <c r="F19027" t="s">
        <v>57784</v>
      </c>
      <c r="G19027" s="2" t="str">
        <f>HYPERLINK("https://probpalata.gov.ru/files/ЮЛ740700064600000.jpeg","Скачать индивидуальный QR-код магазина")</f>
        <v>Скачать индивидуальный QR-код магазина</v>
      </c>
    </row>
    <row r="19028" spans="1:7" x14ac:dyDescent="0.25">
      <c r="A19028" t="s">
        <v>57379</v>
      </c>
      <c r="B19028" t="s">
        <v>57785</v>
      </c>
      <c r="C19028" t="s">
        <v>57781</v>
      </c>
      <c r="D19028" t="s">
        <v>57782</v>
      </c>
      <c r="E19028" t="s">
        <v>57783</v>
      </c>
      <c r="F19028" t="s">
        <v>57786</v>
      </c>
      <c r="G19028" s="2" t="str">
        <f>HYPERLINK("https://probpalata.gov.ru/files/ЮЛ740700064600001.jpeg","Скачать индивидуальный QR-код магазина")</f>
        <v>Скачать индивидуальный QR-код магазина</v>
      </c>
    </row>
    <row r="19029" spans="1:7" x14ac:dyDescent="0.25">
      <c r="A19029" t="s">
        <v>57379</v>
      </c>
      <c r="B19029" t="s">
        <v>57787</v>
      </c>
      <c r="C19029" t="s">
        <v>57781</v>
      </c>
      <c r="D19029" t="s">
        <v>57782</v>
      </c>
      <c r="E19029" t="s">
        <v>57783</v>
      </c>
      <c r="F19029" t="s">
        <v>57788</v>
      </c>
      <c r="G19029" s="2" t="str">
        <f>HYPERLINK("https://probpalata.gov.ru/files/ЮЛ740700064600002.jpeg","Скачать индивидуальный QR-код магазина")</f>
        <v>Скачать индивидуальный QR-код магазина</v>
      </c>
    </row>
    <row r="19030" spans="1:7" x14ac:dyDescent="0.25">
      <c r="A19030" t="s">
        <v>57379</v>
      </c>
      <c r="B19030" t="s">
        <v>57789</v>
      </c>
      <c r="C19030" t="s">
        <v>57781</v>
      </c>
      <c r="D19030" t="s">
        <v>57782</v>
      </c>
      <c r="E19030" t="s">
        <v>57783</v>
      </c>
      <c r="F19030" t="s">
        <v>57790</v>
      </c>
      <c r="G19030" s="2" t="str">
        <f>HYPERLINK("https://probpalata.gov.ru/files/ЮЛ740700064600003.jpeg","Скачать индивидуальный QR-код магазина")</f>
        <v>Скачать индивидуальный QR-код магазина</v>
      </c>
    </row>
    <row r="19031" spans="1:7" x14ac:dyDescent="0.25">
      <c r="A19031" t="s">
        <v>57379</v>
      </c>
      <c r="B19031" t="s">
        <v>57791</v>
      </c>
      <c r="C19031" t="s">
        <v>57781</v>
      </c>
      <c r="D19031" t="s">
        <v>57782</v>
      </c>
      <c r="E19031" t="s">
        <v>57783</v>
      </c>
      <c r="F19031" t="s">
        <v>57792</v>
      </c>
      <c r="G19031" s="2" t="str">
        <f>HYPERLINK("https://probpalata.gov.ru/files/ЮЛ740700064600004.jpeg","Скачать индивидуальный QR-код магазина")</f>
        <v>Скачать индивидуальный QR-код магазина</v>
      </c>
    </row>
    <row r="19032" spans="1:7" x14ac:dyDescent="0.25">
      <c r="A19032" t="s">
        <v>57379</v>
      </c>
      <c r="B19032" t="s">
        <v>57426</v>
      </c>
      <c r="C19032" t="s">
        <v>57781</v>
      </c>
      <c r="D19032" t="s">
        <v>57782</v>
      </c>
      <c r="E19032" t="s">
        <v>57783</v>
      </c>
      <c r="F19032" t="s">
        <v>57793</v>
      </c>
      <c r="G19032" s="2" t="str">
        <f>HYPERLINK("https://probpalata.gov.ru/files/ЮЛ740700064600005.jpeg","Скачать индивидуальный QR-код магазина")</f>
        <v>Скачать индивидуальный QR-код магазина</v>
      </c>
    </row>
    <row r="19033" spans="1:7" x14ac:dyDescent="0.25">
      <c r="A19033" t="s">
        <v>57379</v>
      </c>
      <c r="B19033" t="s">
        <v>57794</v>
      </c>
      <c r="C19033" t="s">
        <v>57781</v>
      </c>
      <c r="D19033" t="s">
        <v>57782</v>
      </c>
      <c r="E19033" t="s">
        <v>57783</v>
      </c>
      <c r="F19033" t="s">
        <v>57795</v>
      </c>
      <c r="G19033" s="2" t="str">
        <f>HYPERLINK("https://probpalata.gov.ru/files/ЮЛ740700064600006.jpeg","Скачать индивидуальный QR-код магазина")</f>
        <v>Скачать индивидуальный QR-код магазина</v>
      </c>
    </row>
    <row r="19034" spans="1:7" x14ac:dyDescent="0.25">
      <c r="A19034" t="s">
        <v>57379</v>
      </c>
      <c r="B19034" t="s">
        <v>57796</v>
      </c>
      <c r="C19034" t="s">
        <v>57797</v>
      </c>
      <c r="D19034" t="s">
        <v>57798</v>
      </c>
      <c r="E19034" t="s">
        <v>57799</v>
      </c>
      <c r="F19034" t="s">
        <v>57800</v>
      </c>
      <c r="G19034" s="2" t="str">
        <f>HYPERLINK("https://probpalata.gov.ru/files/ИП740700015100000.jpeg","Скачать индивидуальный QR-код магазина")</f>
        <v>Скачать индивидуальный QR-код магазина</v>
      </c>
    </row>
    <row r="19035" spans="1:7" x14ac:dyDescent="0.25">
      <c r="A19035" t="s">
        <v>57379</v>
      </c>
      <c r="B19035" t="s">
        <v>57801</v>
      </c>
      <c r="C19035" t="s">
        <v>57797</v>
      </c>
      <c r="D19035" t="s">
        <v>57798</v>
      </c>
      <c r="E19035" t="s">
        <v>57799</v>
      </c>
      <c r="F19035" t="s">
        <v>57802</v>
      </c>
      <c r="G19035" s="2" t="str">
        <f>HYPERLINK("https://probpalata.gov.ru/files/ИП740700015100001.jpeg","Скачать индивидуальный QR-код магазина")</f>
        <v>Скачать индивидуальный QR-код магазина</v>
      </c>
    </row>
    <row r="19036" spans="1:7" x14ac:dyDescent="0.25">
      <c r="A19036" t="s">
        <v>57379</v>
      </c>
      <c r="B19036" t="s">
        <v>57803</v>
      </c>
      <c r="C19036" t="s">
        <v>57804</v>
      </c>
      <c r="D19036" t="s">
        <v>57805</v>
      </c>
      <c r="E19036" t="s">
        <v>57806</v>
      </c>
      <c r="F19036" t="s">
        <v>57807</v>
      </c>
      <c r="G19036" s="2" t="str">
        <f>HYPERLINK("https://probpalata.gov.ru/files/ИП740701101000000.jpeg","Скачать индивидуальный QR-код магазина")</f>
        <v>Скачать индивидуальный QR-код магазина</v>
      </c>
    </row>
    <row r="19037" spans="1:7" x14ac:dyDescent="0.25">
      <c r="A19037" t="s">
        <v>57379</v>
      </c>
      <c r="B19037" t="s">
        <v>57808</v>
      </c>
      <c r="C19037" t="s">
        <v>57809</v>
      </c>
      <c r="D19037" t="s">
        <v>57810</v>
      </c>
      <c r="E19037" t="s">
        <v>57811</v>
      </c>
      <c r="F19037" t="s">
        <v>57812</v>
      </c>
      <c r="G19037" s="2" t="str">
        <f>HYPERLINK("https://probpalata.gov.ru/files/ИП740700720100000.jpeg","Скачать индивидуальный QR-код магазина")</f>
        <v>Скачать индивидуальный QR-код магазина</v>
      </c>
    </row>
    <row r="19038" spans="1:7" x14ac:dyDescent="0.25">
      <c r="A19038" t="s">
        <v>57379</v>
      </c>
      <c r="B19038" t="s">
        <v>57813</v>
      </c>
      <c r="C19038" t="s">
        <v>57814</v>
      </c>
      <c r="D19038" t="s">
        <v>57815</v>
      </c>
      <c r="E19038" t="s">
        <v>57816</v>
      </c>
      <c r="F19038" t="s">
        <v>57817</v>
      </c>
      <c r="G19038" s="2" t="str">
        <f>HYPERLINK("https://probpalata.gov.ru/files/ИП740701356800000.jpeg","Скачать индивидуальный QR-код магазина")</f>
        <v>Скачать индивидуальный QR-код магазина</v>
      </c>
    </row>
    <row r="19039" spans="1:7" x14ac:dyDescent="0.25">
      <c r="A19039" t="s">
        <v>57379</v>
      </c>
      <c r="B19039" t="s">
        <v>57818</v>
      </c>
      <c r="C19039" t="s">
        <v>57814</v>
      </c>
      <c r="D19039" t="s">
        <v>57815</v>
      </c>
      <c r="E19039" t="s">
        <v>57816</v>
      </c>
      <c r="F19039" t="s">
        <v>57819</v>
      </c>
      <c r="G19039" s="2" t="str">
        <f>HYPERLINK("https://probpalata.gov.ru/files/ИП740701356800001.jpeg","Скачать индивидуальный QR-код магазина")</f>
        <v>Скачать индивидуальный QR-код магазина</v>
      </c>
    </row>
    <row r="19040" spans="1:7" x14ac:dyDescent="0.25">
      <c r="A19040" t="s">
        <v>57379</v>
      </c>
      <c r="B19040" t="s">
        <v>57820</v>
      </c>
      <c r="C19040" t="s">
        <v>57821</v>
      </c>
      <c r="D19040" t="s">
        <v>57822</v>
      </c>
      <c r="E19040" t="s">
        <v>57823</v>
      </c>
      <c r="F19040" t="s">
        <v>57824</v>
      </c>
      <c r="G19040" s="2" t="str">
        <f>HYPERLINK("https://probpalata.gov.ru/files/ЮЛ740700161000000.jpeg","Скачать индивидуальный QR-код магазина")</f>
        <v>Скачать индивидуальный QR-код магазина</v>
      </c>
    </row>
    <row r="19041" spans="1:7" x14ac:dyDescent="0.25">
      <c r="A19041" t="s">
        <v>57379</v>
      </c>
      <c r="B19041" t="s">
        <v>57825</v>
      </c>
      <c r="C19041" t="s">
        <v>57821</v>
      </c>
      <c r="D19041" t="s">
        <v>57822</v>
      </c>
      <c r="E19041" t="s">
        <v>57823</v>
      </c>
      <c r="F19041" t="s">
        <v>57826</v>
      </c>
      <c r="G19041" s="2" t="str">
        <f>HYPERLINK("https://probpalata.gov.ru/files/ЮЛ740700161000001.jpeg","Скачать индивидуальный QR-код магазина")</f>
        <v>Скачать индивидуальный QR-код магазина</v>
      </c>
    </row>
    <row r="19042" spans="1:7" x14ac:dyDescent="0.25">
      <c r="A19042" t="s">
        <v>57379</v>
      </c>
      <c r="B19042" t="s">
        <v>57827</v>
      </c>
      <c r="C19042" t="s">
        <v>57821</v>
      </c>
      <c r="D19042" t="s">
        <v>57822</v>
      </c>
      <c r="E19042" t="s">
        <v>57823</v>
      </c>
      <c r="F19042" t="s">
        <v>57828</v>
      </c>
      <c r="G19042" s="2" t="str">
        <f>HYPERLINK("https://probpalata.gov.ru/files/ЮЛ740700161000002.jpeg","Скачать индивидуальный QR-код магазина")</f>
        <v>Скачать индивидуальный QR-код магазина</v>
      </c>
    </row>
    <row r="19043" spans="1:7" x14ac:dyDescent="0.25">
      <c r="A19043" t="s">
        <v>57379</v>
      </c>
      <c r="B19043" t="s">
        <v>57829</v>
      </c>
      <c r="C19043" t="s">
        <v>57830</v>
      </c>
      <c r="D19043" t="s">
        <v>57831</v>
      </c>
      <c r="E19043" t="s">
        <v>57832</v>
      </c>
      <c r="F19043" t="s">
        <v>57833</v>
      </c>
      <c r="G19043" s="2" t="str">
        <f>HYPERLINK("https://probpalata.gov.ru/files/ЮЛ740700436700000.jpeg","Скачать индивидуальный QR-код магазина")</f>
        <v>Скачать индивидуальный QR-код магазина</v>
      </c>
    </row>
    <row r="19044" spans="1:7" x14ac:dyDescent="0.25">
      <c r="A19044" t="s">
        <v>57379</v>
      </c>
      <c r="B19044" t="s">
        <v>57834</v>
      </c>
      <c r="C19044" t="s">
        <v>57835</v>
      </c>
      <c r="D19044" t="s">
        <v>57836</v>
      </c>
      <c r="E19044" t="s">
        <v>57837</v>
      </c>
      <c r="F19044" t="s">
        <v>57838</v>
      </c>
      <c r="G19044" s="2" t="str">
        <f>HYPERLINK("https://probpalata.gov.ru/files/ИП740703826200000.jpeg","Скачать индивидуальный QR-код магазина")</f>
        <v>Скачать индивидуальный QR-код магазина</v>
      </c>
    </row>
    <row r="19045" spans="1:7" x14ac:dyDescent="0.25">
      <c r="A19045" t="s">
        <v>57379</v>
      </c>
      <c r="B19045" t="s">
        <v>57839</v>
      </c>
      <c r="C19045" t="s">
        <v>37745</v>
      </c>
      <c r="D19045" t="s">
        <v>37746</v>
      </c>
      <c r="E19045" t="s">
        <v>37747</v>
      </c>
      <c r="F19045" t="s">
        <v>57840</v>
      </c>
      <c r="G19045" s="2" t="str">
        <f>HYPERLINK("https://probpalata.gov.ru/files/ИП740700505000000.jpeg","Скачать индивидуальный QR-код магазина")</f>
        <v>Скачать индивидуальный QR-код магазина</v>
      </c>
    </row>
    <row r="19046" spans="1:7" x14ac:dyDescent="0.25">
      <c r="A19046" t="s">
        <v>57379</v>
      </c>
      <c r="B19046" t="s">
        <v>57841</v>
      </c>
      <c r="C19046" t="s">
        <v>37745</v>
      </c>
      <c r="D19046" t="s">
        <v>37746</v>
      </c>
      <c r="E19046" t="s">
        <v>37747</v>
      </c>
      <c r="F19046" t="s">
        <v>57842</v>
      </c>
      <c r="G19046" s="2" t="str">
        <f>HYPERLINK("https://probpalata.gov.ru/files/ИП740700505000002.jpeg","Скачать индивидуальный QR-код магазина")</f>
        <v>Скачать индивидуальный QR-код магазина</v>
      </c>
    </row>
    <row r="19047" spans="1:7" x14ac:dyDescent="0.25">
      <c r="A19047" t="s">
        <v>57379</v>
      </c>
      <c r="B19047" t="s">
        <v>57843</v>
      </c>
      <c r="C19047" t="s">
        <v>37745</v>
      </c>
      <c r="D19047" t="s">
        <v>37746</v>
      </c>
      <c r="E19047" t="s">
        <v>37747</v>
      </c>
      <c r="F19047" t="s">
        <v>57844</v>
      </c>
      <c r="G19047" s="2" t="str">
        <f>HYPERLINK("https://probpalata.gov.ru/files/ИП740700505000005.jpeg","Скачать индивидуальный QR-код магазина")</f>
        <v>Скачать индивидуальный QR-код магазина</v>
      </c>
    </row>
    <row r="19048" spans="1:7" x14ac:dyDescent="0.25">
      <c r="A19048" t="s">
        <v>57379</v>
      </c>
      <c r="B19048" t="s">
        <v>57845</v>
      </c>
      <c r="C19048" t="s">
        <v>37745</v>
      </c>
      <c r="D19048" t="s">
        <v>37746</v>
      </c>
      <c r="E19048" t="s">
        <v>37747</v>
      </c>
      <c r="F19048" t="s">
        <v>57846</v>
      </c>
      <c r="G19048" s="2" t="str">
        <f>HYPERLINK("https://probpalata.gov.ru/files/ИП740700505000012.jpeg","Скачать индивидуальный QR-код магазина")</f>
        <v>Скачать индивидуальный QR-код магазина</v>
      </c>
    </row>
    <row r="19049" spans="1:7" x14ac:dyDescent="0.25">
      <c r="A19049" t="s">
        <v>57379</v>
      </c>
      <c r="B19049" t="s">
        <v>57847</v>
      </c>
      <c r="C19049" t="s">
        <v>57848</v>
      </c>
      <c r="D19049" t="s">
        <v>57849</v>
      </c>
      <c r="E19049" t="s">
        <v>57850</v>
      </c>
      <c r="F19049" t="s">
        <v>57851</v>
      </c>
      <c r="G19049" s="2" t="str">
        <f>HYPERLINK("https://probpalata.gov.ru/files/ИП740703506800002.jpeg","Скачать индивидуальный QR-код магазина")</f>
        <v>Скачать индивидуальный QR-код магазина</v>
      </c>
    </row>
    <row r="19050" spans="1:7" x14ac:dyDescent="0.25">
      <c r="A19050" t="s">
        <v>57379</v>
      </c>
      <c r="B19050" t="s">
        <v>57852</v>
      </c>
      <c r="C19050" t="s">
        <v>57853</v>
      </c>
      <c r="D19050" t="s">
        <v>57854</v>
      </c>
      <c r="E19050" t="s">
        <v>57855</v>
      </c>
      <c r="F19050" t="s">
        <v>57856</v>
      </c>
      <c r="G19050" s="2" t="str">
        <f>HYPERLINK("https://probpalata.gov.ru/files/ИП740701626200000.jpeg","Скачать индивидуальный QR-код магазина")</f>
        <v>Скачать индивидуальный QR-код магазина</v>
      </c>
    </row>
    <row r="19051" spans="1:7" x14ac:dyDescent="0.25">
      <c r="A19051" t="s">
        <v>57379</v>
      </c>
      <c r="B19051" t="s">
        <v>57857</v>
      </c>
      <c r="C19051" t="s">
        <v>17139</v>
      </c>
      <c r="D19051" t="s">
        <v>17140</v>
      </c>
      <c r="E19051" t="s">
        <v>17141</v>
      </c>
      <c r="F19051" t="s">
        <v>57858</v>
      </c>
      <c r="G19051" s="2" t="str">
        <f>HYPERLINK("https://probpalata.gov.ru/files/ЮЛ740700747200000.jpeg","Скачать индивидуальный QR-код магазина")</f>
        <v>Скачать индивидуальный QR-код магазина</v>
      </c>
    </row>
    <row r="19052" spans="1:7" x14ac:dyDescent="0.25">
      <c r="A19052" t="s">
        <v>57379</v>
      </c>
      <c r="B19052" t="s">
        <v>57859</v>
      </c>
      <c r="C19052" t="s">
        <v>17139</v>
      </c>
      <c r="D19052" t="s">
        <v>17140</v>
      </c>
      <c r="E19052" t="s">
        <v>17141</v>
      </c>
      <c r="F19052" t="s">
        <v>57860</v>
      </c>
      <c r="G19052" s="2" t="str">
        <f>HYPERLINK("https://probpalata.gov.ru/files/ЮЛ740700747200011.jpeg","Скачать индивидуальный QR-код магазина")</f>
        <v>Скачать индивидуальный QR-код магазина</v>
      </c>
    </row>
    <row r="19053" spans="1:7" x14ac:dyDescent="0.25">
      <c r="A19053" t="s">
        <v>57379</v>
      </c>
      <c r="B19053" t="s">
        <v>57861</v>
      </c>
      <c r="C19053" t="s">
        <v>17139</v>
      </c>
      <c r="D19053" t="s">
        <v>17140</v>
      </c>
      <c r="E19053" t="s">
        <v>17141</v>
      </c>
      <c r="F19053" t="s">
        <v>57862</v>
      </c>
      <c r="G19053" s="2" t="str">
        <f>HYPERLINK("https://probpalata.gov.ru/files/ЮЛ740700747200014.jpeg","Скачать индивидуальный QR-код магазина")</f>
        <v>Скачать индивидуальный QR-код магазина</v>
      </c>
    </row>
    <row r="19054" spans="1:7" x14ac:dyDescent="0.25">
      <c r="A19054" t="s">
        <v>57379</v>
      </c>
      <c r="B19054" t="s">
        <v>57863</v>
      </c>
      <c r="C19054" t="s">
        <v>17139</v>
      </c>
      <c r="D19054" t="s">
        <v>17140</v>
      </c>
      <c r="E19054" t="s">
        <v>17141</v>
      </c>
      <c r="F19054" t="s">
        <v>57864</v>
      </c>
      <c r="G19054" s="2" t="str">
        <f>HYPERLINK("https://probpalata.gov.ru/files/ЮЛ740700747200016.jpeg","Скачать индивидуальный QR-код магазина")</f>
        <v>Скачать индивидуальный QR-код магазина</v>
      </c>
    </row>
    <row r="19055" spans="1:7" x14ac:dyDescent="0.25">
      <c r="A19055" t="s">
        <v>57379</v>
      </c>
      <c r="B19055" t="s">
        <v>57865</v>
      </c>
      <c r="C19055" t="s">
        <v>17139</v>
      </c>
      <c r="D19055" t="s">
        <v>17140</v>
      </c>
      <c r="E19055" t="s">
        <v>17141</v>
      </c>
      <c r="F19055" t="s">
        <v>57866</v>
      </c>
      <c r="G19055" s="2" t="str">
        <f>HYPERLINK("https://probpalata.gov.ru/files/ЮЛ740700747200017.jpeg","Скачать индивидуальный QR-код магазина")</f>
        <v>Скачать индивидуальный QR-код магазина</v>
      </c>
    </row>
    <row r="19056" spans="1:7" x14ac:dyDescent="0.25">
      <c r="A19056" t="s">
        <v>57379</v>
      </c>
      <c r="B19056" t="s">
        <v>57867</v>
      </c>
      <c r="C19056" t="s">
        <v>17139</v>
      </c>
      <c r="D19056" t="s">
        <v>17140</v>
      </c>
      <c r="E19056" t="s">
        <v>17141</v>
      </c>
      <c r="F19056" t="s">
        <v>57868</v>
      </c>
      <c r="G19056" s="2" t="str">
        <f>HYPERLINK("https://probpalata.gov.ru/files/ЮЛ740700747200018.jpeg","Скачать индивидуальный QR-код магазина")</f>
        <v>Скачать индивидуальный QR-код магазина</v>
      </c>
    </row>
    <row r="19057" spans="1:7" x14ac:dyDescent="0.25">
      <c r="A19057" t="s">
        <v>57379</v>
      </c>
      <c r="B19057" t="s">
        <v>57869</v>
      </c>
      <c r="C19057" t="s">
        <v>17139</v>
      </c>
      <c r="D19057" t="s">
        <v>17140</v>
      </c>
      <c r="E19057" t="s">
        <v>17141</v>
      </c>
      <c r="F19057" t="s">
        <v>57870</v>
      </c>
      <c r="G19057" s="2" t="str">
        <f>HYPERLINK("https://probpalata.gov.ru/files/ЮЛ740700747200030.jpeg","Скачать индивидуальный QR-код магазина")</f>
        <v>Скачать индивидуальный QR-код магазина</v>
      </c>
    </row>
    <row r="19058" spans="1:7" x14ac:dyDescent="0.25">
      <c r="A19058" t="s">
        <v>57379</v>
      </c>
      <c r="B19058" t="s">
        <v>57871</v>
      </c>
      <c r="C19058" t="s">
        <v>17139</v>
      </c>
      <c r="D19058" t="s">
        <v>17140</v>
      </c>
      <c r="E19058" t="s">
        <v>17141</v>
      </c>
      <c r="F19058" t="s">
        <v>57872</v>
      </c>
      <c r="G19058" s="2" t="str">
        <f>HYPERLINK("https://probpalata.gov.ru/files/ЮЛ740700747200035.jpeg","Скачать индивидуальный QR-код магазина")</f>
        <v>Скачать индивидуальный QR-код магазина</v>
      </c>
    </row>
    <row r="19059" spans="1:7" x14ac:dyDescent="0.25">
      <c r="A19059" t="s">
        <v>57379</v>
      </c>
      <c r="B19059" t="s">
        <v>57873</v>
      </c>
      <c r="C19059" t="s">
        <v>57874</v>
      </c>
      <c r="D19059" t="s">
        <v>57875</v>
      </c>
      <c r="E19059" t="s">
        <v>57876</v>
      </c>
      <c r="F19059" t="s">
        <v>57877</v>
      </c>
      <c r="G19059" s="2" t="str">
        <f>HYPERLINK("https://probpalata.gov.ru/files/ИП740703780200000.jpeg","Скачать индивидуальный QR-код магазина")</f>
        <v>Скачать индивидуальный QR-код магазина</v>
      </c>
    </row>
    <row r="19060" spans="1:7" x14ac:dyDescent="0.25">
      <c r="A19060" t="s">
        <v>57379</v>
      </c>
      <c r="B19060" t="s">
        <v>57878</v>
      </c>
      <c r="C19060" t="s">
        <v>17148</v>
      </c>
      <c r="D19060" t="s">
        <v>17149</v>
      </c>
      <c r="E19060" t="s">
        <v>17150</v>
      </c>
      <c r="F19060" t="s">
        <v>57879</v>
      </c>
      <c r="G19060" s="2" t="str">
        <f>HYPERLINK("https://probpalata.gov.ru/files/ИП740701061100000.jpeg","Скачать индивидуальный QR-код магазина")</f>
        <v>Скачать индивидуальный QR-код магазина</v>
      </c>
    </row>
    <row r="19061" spans="1:7" x14ac:dyDescent="0.25">
      <c r="A19061" t="s">
        <v>57379</v>
      </c>
      <c r="B19061" t="s">
        <v>57880</v>
      </c>
      <c r="C19061" t="s">
        <v>17148</v>
      </c>
      <c r="D19061" t="s">
        <v>17149</v>
      </c>
      <c r="E19061" t="s">
        <v>17150</v>
      </c>
      <c r="F19061" t="s">
        <v>57881</v>
      </c>
      <c r="G19061" s="2" t="str">
        <f>HYPERLINK("https://probpalata.gov.ru/files/ИП740701061100001.jpeg","Скачать индивидуальный QR-код магазина")</f>
        <v>Скачать индивидуальный QR-код магазина</v>
      </c>
    </row>
    <row r="19062" spans="1:7" x14ac:dyDescent="0.25">
      <c r="A19062" t="s">
        <v>57379</v>
      </c>
      <c r="B19062" t="s">
        <v>57882</v>
      </c>
      <c r="C19062" t="s">
        <v>17148</v>
      </c>
      <c r="D19062" t="s">
        <v>17149</v>
      </c>
      <c r="E19062" t="s">
        <v>17150</v>
      </c>
      <c r="F19062" t="s">
        <v>57883</v>
      </c>
      <c r="G19062" s="2" t="str">
        <f>HYPERLINK("https://probpalata.gov.ru/files/ИП740701061100002.jpeg","Скачать индивидуальный QR-код магазина")</f>
        <v>Скачать индивидуальный QR-код магазина</v>
      </c>
    </row>
    <row r="19063" spans="1:7" x14ac:dyDescent="0.25">
      <c r="A19063" t="s">
        <v>57379</v>
      </c>
      <c r="B19063" t="s">
        <v>57884</v>
      </c>
      <c r="C19063" t="s">
        <v>17148</v>
      </c>
      <c r="D19063" t="s">
        <v>17149</v>
      </c>
      <c r="E19063" t="s">
        <v>17150</v>
      </c>
      <c r="F19063" t="s">
        <v>57885</v>
      </c>
      <c r="G19063" s="2" t="str">
        <f>HYPERLINK("https://probpalata.gov.ru/files/ИП740701061100005.jpeg","Скачать индивидуальный QR-код магазина")</f>
        <v>Скачать индивидуальный QR-код магазина</v>
      </c>
    </row>
    <row r="19064" spans="1:7" x14ac:dyDescent="0.25">
      <c r="A19064" t="s">
        <v>57379</v>
      </c>
      <c r="B19064" t="s">
        <v>57886</v>
      </c>
      <c r="C19064" t="s">
        <v>17148</v>
      </c>
      <c r="D19064" t="s">
        <v>17149</v>
      </c>
      <c r="E19064" t="s">
        <v>17150</v>
      </c>
      <c r="F19064" t="s">
        <v>57887</v>
      </c>
      <c r="G19064" s="2" t="str">
        <f>HYPERLINK("https://probpalata.gov.ru/files/ИП740701061100006.jpeg","Скачать индивидуальный QR-код магазина")</f>
        <v>Скачать индивидуальный QR-код магазина</v>
      </c>
    </row>
    <row r="19065" spans="1:7" x14ac:dyDescent="0.25">
      <c r="A19065" t="s">
        <v>57379</v>
      </c>
      <c r="B19065" t="s">
        <v>57647</v>
      </c>
      <c r="C19065" t="s">
        <v>17148</v>
      </c>
      <c r="D19065" t="s">
        <v>17149</v>
      </c>
      <c r="E19065" t="s">
        <v>17150</v>
      </c>
      <c r="F19065" t="s">
        <v>57888</v>
      </c>
      <c r="G19065" s="2" t="str">
        <f>HYPERLINK("https://probpalata.gov.ru/files/ИП740701061100007.jpeg","Скачать индивидуальный QR-код магазина")</f>
        <v>Скачать индивидуальный QR-код магазина</v>
      </c>
    </row>
    <row r="19066" spans="1:7" x14ac:dyDescent="0.25">
      <c r="A19066" t="s">
        <v>57379</v>
      </c>
      <c r="B19066" t="s">
        <v>57889</v>
      </c>
      <c r="C19066" t="s">
        <v>17148</v>
      </c>
      <c r="D19066" t="s">
        <v>17149</v>
      </c>
      <c r="E19066" t="s">
        <v>17150</v>
      </c>
      <c r="F19066" t="s">
        <v>57890</v>
      </c>
      <c r="G19066" s="2" t="str">
        <f>HYPERLINK("https://probpalata.gov.ru/files/ИП740701061100008.jpeg","Скачать индивидуальный QR-код магазина")</f>
        <v>Скачать индивидуальный QR-код магазина</v>
      </c>
    </row>
    <row r="19067" spans="1:7" x14ac:dyDescent="0.25">
      <c r="A19067" t="s">
        <v>57379</v>
      </c>
      <c r="B19067" t="s">
        <v>57891</v>
      </c>
      <c r="C19067" t="s">
        <v>57892</v>
      </c>
      <c r="D19067" t="s">
        <v>57893</v>
      </c>
      <c r="E19067" t="s">
        <v>57894</v>
      </c>
      <c r="F19067" t="s">
        <v>57895</v>
      </c>
      <c r="G19067" s="2" t="str">
        <f>HYPERLINK("https://probpalata.gov.ru/files/ИП740701275800000.jpeg","Скачать индивидуальный QR-код магазина")</f>
        <v>Скачать индивидуальный QR-код магазина</v>
      </c>
    </row>
    <row r="19068" spans="1:7" x14ac:dyDescent="0.25">
      <c r="A19068" t="s">
        <v>57379</v>
      </c>
      <c r="B19068" t="s">
        <v>57896</v>
      </c>
      <c r="C19068" t="s">
        <v>57892</v>
      </c>
      <c r="D19068" t="s">
        <v>57893</v>
      </c>
      <c r="E19068" t="s">
        <v>57894</v>
      </c>
      <c r="F19068" t="s">
        <v>57897</v>
      </c>
      <c r="G19068" s="2" t="str">
        <f>HYPERLINK("https://probpalata.gov.ru/files/ИП740701275800001.jpeg","Скачать индивидуальный QR-код магазина")</f>
        <v>Скачать индивидуальный QR-код магазина</v>
      </c>
    </row>
    <row r="19069" spans="1:7" x14ac:dyDescent="0.25">
      <c r="A19069" t="s">
        <v>57379</v>
      </c>
      <c r="B19069" t="s">
        <v>57898</v>
      </c>
      <c r="C19069" t="s">
        <v>57899</v>
      </c>
      <c r="D19069" t="s">
        <v>57900</v>
      </c>
      <c r="E19069" t="s">
        <v>57901</v>
      </c>
      <c r="F19069" t="s">
        <v>57902</v>
      </c>
      <c r="G19069" s="2" t="str">
        <f>HYPERLINK("https://probpalata.gov.ru/files/ИП740700877900000.jpeg","Скачать индивидуальный QR-код магазина")</f>
        <v>Скачать индивидуальный QR-код магазина</v>
      </c>
    </row>
    <row r="19070" spans="1:7" x14ac:dyDescent="0.25">
      <c r="A19070" t="s">
        <v>57379</v>
      </c>
      <c r="B19070" t="s">
        <v>57903</v>
      </c>
      <c r="C19070" t="s">
        <v>10498</v>
      </c>
      <c r="D19070" t="s">
        <v>57904</v>
      </c>
      <c r="E19070" t="s">
        <v>57905</v>
      </c>
      <c r="F19070" t="s">
        <v>57906</v>
      </c>
      <c r="G19070" s="2" t="str">
        <f>HYPERLINK("https://probpalata.gov.ru/files/ЮЛ740700683700001.jpeg","Скачать индивидуальный QR-код магазина")</f>
        <v>Скачать индивидуальный QR-код магазина</v>
      </c>
    </row>
    <row r="19071" spans="1:7" x14ac:dyDescent="0.25">
      <c r="A19071" t="s">
        <v>57379</v>
      </c>
      <c r="B19071" t="s">
        <v>57907</v>
      </c>
      <c r="C19071" t="s">
        <v>10498</v>
      </c>
      <c r="D19071" t="s">
        <v>57904</v>
      </c>
      <c r="E19071" t="s">
        <v>57905</v>
      </c>
      <c r="F19071" t="s">
        <v>57908</v>
      </c>
      <c r="G19071" s="2" t="str">
        <f>HYPERLINK("https://probpalata.gov.ru/files/ЮЛ740700683700002.jpeg","Скачать индивидуальный QR-код магазина")</f>
        <v>Скачать индивидуальный QR-код магазина</v>
      </c>
    </row>
    <row r="19072" spans="1:7" x14ac:dyDescent="0.25">
      <c r="A19072" t="s">
        <v>57379</v>
      </c>
      <c r="B19072" t="s">
        <v>57909</v>
      </c>
      <c r="C19072" t="s">
        <v>10498</v>
      </c>
      <c r="D19072" t="s">
        <v>57904</v>
      </c>
      <c r="E19072" t="s">
        <v>57905</v>
      </c>
      <c r="F19072" t="s">
        <v>57910</v>
      </c>
      <c r="G19072" s="2" t="str">
        <f>HYPERLINK("https://probpalata.gov.ru/files/ЮЛ740700683700003.jpeg","Скачать индивидуальный QR-код магазина")</f>
        <v>Скачать индивидуальный QR-код магазина</v>
      </c>
    </row>
    <row r="19073" spans="1:7" x14ac:dyDescent="0.25">
      <c r="A19073" t="s">
        <v>57379</v>
      </c>
      <c r="B19073" t="s">
        <v>57911</v>
      </c>
      <c r="C19073" t="s">
        <v>10498</v>
      </c>
      <c r="D19073" t="s">
        <v>57904</v>
      </c>
      <c r="E19073" t="s">
        <v>57905</v>
      </c>
      <c r="F19073" t="s">
        <v>57912</v>
      </c>
      <c r="G19073" s="2" t="str">
        <f>HYPERLINK("https://probpalata.gov.ru/files/ЮЛ740700683700004.jpeg","Скачать индивидуальный QR-код магазина")</f>
        <v>Скачать индивидуальный QR-код магазина</v>
      </c>
    </row>
    <row r="19074" spans="1:7" x14ac:dyDescent="0.25">
      <c r="A19074" t="s">
        <v>57379</v>
      </c>
      <c r="B19074" t="s">
        <v>57913</v>
      </c>
      <c r="C19074" t="s">
        <v>10498</v>
      </c>
      <c r="D19074" t="s">
        <v>57904</v>
      </c>
      <c r="E19074" t="s">
        <v>57905</v>
      </c>
      <c r="F19074" t="s">
        <v>57914</v>
      </c>
      <c r="G19074" s="2" t="str">
        <f>HYPERLINK("https://probpalata.gov.ru/files/ЮЛ740700683700005.jpeg","Скачать индивидуальный QR-код магазина")</f>
        <v>Скачать индивидуальный QR-код магазина</v>
      </c>
    </row>
    <row r="19075" spans="1:7" x14ac:dyDescent="0.25">
      <c r="A19075" t="s">
        <v>57379</v>
      </c>
      <c r="B19075" t="s">
        <v>57915</v>
      </c>
      <c r="C19075" t="s">
        <v>10498</v>
      </c>
      <c r="D19075" t="s">
        <v>57904</v>
      </c>
      <c r="E19075" t="s">
        <v>57905</v>
      </c>
      <c r="F19075" t="s">
        <v>57916</v>
      </c>
      <c r="G19075" s="2" t="str">
        <f>HYPERLINK("https://probpalata.gov.ru/files/ЮЛ740700683700006.jpeg","Скачать индивидуальный QR-код магазина")</f>
        <v>Скачать индивидуальный QR-код магазина</v>
      </c>
    </row>
    <row r="19076" spans="1:7" x14ac:dyDescent="0.25">
      <c r="A19076" t="s">
        <v>57379</v>
      </c>
      <c r="B19076" t="s">
        <v>57917</v>
      </c>
      <c r="C19076" t="s">
        <v>10498</v>
      </c>
      <c r="D19076" t="s">
        <v>57904</v>
      </c>
      <c r="E19076" t="s">
        <v>57905</v>
      </c>
      <c r="F19076" t="s">
        <v>57918</v>
      </c>
      <c r="G19076" s="2" t="str">
        <f>HYPERLINK("https://probpalata.gov.ru/files/ЮЛ740700683700007.jpeg","Скачать индивидуальный QR-код магазина")</f>
        <v>Скачать индивидуальный QR-код магазина</v>
      </c>
    </row>
    <row r="19077" spans="1:7" x14ac:dyDescent="0.25">
      <c r="A19077" t="s">
        <v>57379</v>
      </c>
      <c r="B19077" t="s">
        <v>57919</v>
      </c>
      <c r="C19077" t="s">
        <v>57920</v>
      </c>
      <c r="D19077" t="s">
        <v>57921</v>
      </c>
      <c r="E19077" t="s">
        <v>57922</v>
      </c>
      <c r="F19077" t="s">
        <v>57923</v>
      </c>
      <c r="G19077" s="2" t="str">
        <f>HYPERLINK("https://probpalata.gov.ru/files/ИП740703859000000.jpeg","Скачать индивидуальный QR-код магазина")</f>
        <v>Скачать индивидуальный QR-код магазина</v>
      </c>
    </row>
    <row r="19078" spans="1:7" x14ac:dyDescent="0.25">
      <c r="A19078" t="s">
        <v>57379</v>
      </c>
      <c r="B19078" t="s">
        <v>57924</v>
      </c>
      <c r="C19078" t="s">
        <v>57925</v>
      </c>
      <c r="D19078" t="s">
        <v>57926</v>
      </c>
      <c r="E19078" t="s">
        <v>57927</v>
      </c>
      <c r="F19078" t="s">
        <v>57928</v>
      </c>
      <c r="G19078" s="2" t="str">
        <f>HYPERLINK("https://probpalata.gov.ru/files/ИП740701168400000.jpeg","Скачать индивидуальный QR-код магазина")</f>
        <v>Скачать индивидуальный QR-код магазина</v>
      </c>
    </row>
    <row r="19079" spans="1:7" x14ac:dyDescent="0.25">
      <c r="A19079" t="s">
        <v>57379</v>
      </c>
      <c r="B19079" t="s">
        <v>57929</v>
      </c>
      <c r="C19079" t="s">
        <v>57930</v>
      </c>
      <c r="D19079" t="s">
        <v>57931</v>
      </c>
      <c r="E19079" t="s">
        <v>57932</v>
      </c>
      <c r="F19079" t="s">
        <v>57933</v>
      </c>
      <c r="G19079" s="2" t="str">
        <f>HYPERLINK("https://probpalata.gov.ru/files/ИП740700698100001.jpeg","Скачать индивидуальный QR-код магазина")</f>
        <v>Скачать индивидуальный QR-код магазина</v>
      </c>
    </row>
    <row r="19080" spans="1:7" x14ac:dyDescent="0.25">
      <c r="A19080" t="s">
        <v>57379</v>
      </c>
      <c r="B19080" t="s">
        <v>57934</v>
      </c>
      <c r="C19080" t="s">
        <v>42068</v>
      </c>
      <c r="D19080" t="s">
        <v>57935</v>
      </c>
      <c r="E19080" t="s">
        <v>57936</v>
      </c>
      <c r="F19080" t="s">
        <v>57937</v>
      </c>
      <c r="G19080" s="2" t="str">
        <f>HYPERLINK("https://probpalata.gov.ru/files/ЮЛ740700017700001.jpeg","Скачать индивидуальный QR-код магазина")</f>
        <v>Скачать индивидуальный QR-код магазина</v>
      </c>
    </row>
    <row r="19081" spans="1:7" x14ac:dyDescent="0.25">
      <c r="A19081" t="s">
        <v>57379</v>
      </c>
      <c r="B19081" t="s">
        <v>57938</v>
      </c>
      <c r="C19081" t="s">
        <v>42068</v>
      </c>
      <c r="D19081" t="s">
        <v>57935</v>
      </c>
      <c r="E19081" t="s">
        <v>57936</v>
      </c>
      <c r="F19081" t="s">
        <v>57939</v>
      </c>
      <c r="G19081" s="2" t="str">
        <f>HYPERLINK("https://probpalata.gov.ru/files/ЮЛ740700017700002.jpeg","Скачать индивидуальный QR-код магазина")</f>
        <v>Скачать индивидуальный QR-код магазина</v>
      </c>
    </row>
    <row r="19082" spans="1:7" x14ac:dyDescent="0.25">
      <c r="A19082" t="s">
        <v>57379</v>
      </c>
      <c r="B19082" t="s">
        <v>57940</v>
      </c>
      <c r="C19082" t="s">
        <v>42068</v>
      </c>
      <c r="D19082" t="s">
        <v>57935</v>
      </c>
      <c r="E19082" t="s">
        <v>57936</v>
      </c>
      <c r="F19082" t="s">
        <v>57941</v>
      </c>
      <c r="G19082" s="2" t="str">
        <f>HYPERLINK("https://probpalata.gov.ru/files/ЮЛ740700017700005.jpeg","Скачать индивидуальный QR-код магазина")</f>
        <v>Скачать индивидуальный QR-код магазина</v>
      </c>
    </row>
    <row r="19083" spans="1:7" x14ac:dyDescent="0.25">
      <c r="A19083" t="s">
        <v>57379</v>
      </c>
      <c r="B19083" t="s">
        <v>57942</v>
      </c>
      <c r="C19083" t="s">
        <v>42068</v>
      </c>
      <c r="D19083" t="s">
        <v>57935</v>
      </c>
      <c r="E19083" t="s">
        <v>57936</v>
      </c>
      <c r="F19083" t="s">
        <v>57943</v>
      </c>
      <c r="G19083" s="2" t="str">
        <f>HYPERLINK("https://probpalata.gov.ru/files/ЮЛ740700017700006.jpeg","Скачать индивидуальный QR-код магазина")</f>
        <v>Скачать индивидуальный QR-код магазина</v>
      </c>
    </row>
    <row r="19084" spans="1:7" x14ac:dyDescent="0.25">
      <c r="A19084" t="s">
        <v>57379</v>
      </c>
      <c r="B19084" t="s">
        <v>57944</v>
      </c>
      <c r="C19084" t="s">
        <v>42068</v>
      </c>
      <c r="D19084" t="s">
        <v>57935</v>
      </c>
      <c r="E19084" t="s">
        <v>57936</v>
      </c>
      <c r="F19084" t="s">
        <v>57945</v>
      </c>
      <c r="G19084" s="2" t="str">
        <f>HYPERLINK("https://probpalata.gov.ru/files/ЮЛ740700017700007.jpeg","Скачать индивидуальный QR-код магазина")</f>
        <v>Скачать индивидуальный QR-код магазина</v>
      </c>
    </row>
    <row r="19085" spans="1:7" x14ac:dyDescent="0.25">
      <c r="A19085" t="s">
        <v>57379</v>
      </c>
      <c r="B19085" t="s">
        <v>57946</v>
      </c>
      <c r="C19085" t="s">
        <v>42068</v>
      </c>
      <c r="D19085" t="s">
        <v>57935</v>
      </c>
      <c r="E19085" t="s">
        <v>57936</v>
      </c>
      <c r="F19085" t="s">
        <v>57947</v>
      </c>
      <c r="G19085" s="2" t="str">
        <f>HYPERLINK("https://probpalata.gov.ru/files/ЮЛ740700017700009.jpeg","Скачать индивидуальный QR-код магазина")</f>
        <v>Скачать индивидуальный QR-код магазина</v>
      </c>
    </row>
    <row r="19086" spans="1:7" x14ac:dyDescent="0.25">
      <c r="A19086" t="s">
        <v>57379</v>
      </c>
      <c r="B19086" t="s">
        <v>57948</v>
      </c>
      <c r="C19086" t="s">
        <v>42068</v>
      </c>
      <c r="D19086" t="s">
        <v>57935</v>
      </c>
      <c r="E19086" t="s">
        <v>57936</v>
      </c>
      <c r="F19086" t="s">
        <v>57949</v>
      </c>
      <c r="G19086" s="2" t="str">
        <f>HYPERLINK("https://probpalata.gov.ru/files/ЮЛ740700017700010.jpeg","Скачать индивидуальный QR-код магазина")</f>
        <v>Скачать индивидуальный QR-код магазина</v>
      </c>
    </row>
    <row r="19087" spans="1:7" x14ac:dyDescent="0.25">
      <c r="A19087" t="s">
        <v>57379</v>
      </c>
      <c r="B19087" t="s">
        <v>57950</v>
      </c>
      <c r="C19087" t="s">
        <v>42068</v>
      </c>
      <c r="D19087" t="s">
        <v>57935</v>
      </c>
      <c r="E19087" t="s">
        <v>57936</v>
      </c>
      <c r="F19087" t="s">
        <v>57951</v>
      </c>
      <c r="G19087" s="2" t="str">
        <f>HYPERLINK("https://probpalata.gov.ru/files/ЮЛ740700017700011.jpeg","Скачать индивидуальный QR-код магазина")</f>
        <v>Скачать индивидуальный QR-код магазина</v>
      </c>
    </row>
    <row r="19088" spans="1:7" x14ac:dyDescent="0.25">
      <c r="A19088" t="s">
        <v>57379</v>
      </c>
      <c r="B19088" t="s">
        <v>57952</v>
      </c>
      <c r="C19088" t="s">
        <v>42068</v>
      </c>
      <c r="D19088" t="s">
        <v>57935</v>
      </c>
      <c r="E19088" t="s">
        <v>57936</v>
      </c>
      <c r="F19088" t="s">
        <v>57953</v>
      </c>
      <c r="G19088" s="2" t="str">
        <f>HYPERLINK("https://probpalata.gov.ru/files/ЮЛ740700017700012.jpeg","Скачать индивидуальный QR-код магазина")</f>
        <v>Скачать индивидуальный QR-код магазина</v>
      </c>
    </row>
    <row r="19089" spans="1:7" x14ac:dyDescent="0.25">
      <c r="A19089" t="s">
        <v>57379</v>
      </c>
      <c r="B19089" t="s">
        <v>57954</v>
      </c>
      <c r="C19089" t="s">
        <v>42068</v>
      </c>
      <c r="D19089" t="s">
        <v>57935</v>
      </c>
      <c r="E19089" t="s">
        <v>57936</v>
      </c>
      <c r="F19089" t="s">
        <v>57955</v>
      </c>
      <c r="G19089" s="2" t="str">
        <f>HYPERLINK("https://probpalata.gov.ru/files/ЮЛ740700017700013.jpeg","Скачать индивидуальный QR-код магазина")</f>
        <v>Скачать индивидуальный QR-код магазина</v>
      </c>
    </row>
    <row r="19090" spans="1:7" x14ac:dyDescent="0.25">
      <c r="A19090" t="s">
        <v>57379</v>
      </c>
      <c r="B19090" t="s">
        <v>57956</v>
      </c>
      <c r="C19090" t="s">
        <v>42068</v>
      </c>
      <c r="D19090" t="s">
        <v>57935</v>
      </c>
      <c r="E19090" t="s">
        <v>57936</v>
      </c>
      <c r="F19090" t="s">
        <v>57957</v>
      </c>
      <c r="G19090" s="2" t="str">
        <f>HYPERLINK("https://probpalata.gov.ru/files/ЮЛ740700017700014.jpeg","Скачать индивидуальный QR-код магазина")</f>
        <v>Скачать индивидуальный QR-код магазина</v>
      </c>
    </row>
    <row r="19091" spans="1:7" x14ac:dyDescent="0.25">
      <c r="A19091" t="s">
        <v>57379</v>
      </c>
      <c r="B19091" t="s">
        <v>57958</v>
      </c>
      <c r="C19091" t="s">
        <v>42068</v>
      </c>
      <c r="D19091" t="s">
        <v>57935</v>
      </c>
      <c r="E19091" t="s">
        <v>57936</v>
      </c>
      <c r="F19091" t="s">
        <v>57959</v>
      </c>
      <c r="G19091" s="2" t="str">
        <f>HYPERLINK("https://probpalata.gov.ru/files/ЮЛ740700017700015.jpeg","Скачать индивидуальный QR-код магазина")</f>
        <v>Скачать индивидуальный QR-код магазина</v>
      </c>
    </row>
    <row r="19092" spans="1:7" x14ac:dyDescent="0.25">
      <c r="A19092" t="s">
        <v>57379</v>
      </c>
      <c r="B19092" t="s">
        <v>57960</v>
      </c>
      <c r="C19092" t="s">
        <v>42068</v>
      </c>
      <c r="D19092" t="s">
        <v>57935</v>
      </c>
      <c r="E19092" t="s">
        <v>57936</v>
      </c>
      <c r="F19092" t="s">
        <v>57961</v>
      </c>
      <c r="G19092" s="2" t="str">
        <f>HYPERLINK("https://probpalata.gov.ru/files/ЮЛ740700017700016.jpeg","Скачать индивидуальный QR-код магазина")</f>
        <v>Скачать индивидуальный QR-код магазина</v>
      </c>
    </row>
    <row r="19093" spans="1:7" x14ac:dyDescent="0.25">
      <c r="A19093" t="s">
        <v>57379</v>
      </c>
      <c r="B19093" t="s">
        <v>57962</v>
      </c>
      <c r="C19093" t="s">
        <v>57963</v>
      </c>
      <c r="D19093" t="s">
        <v>57964</v>
      </c>
      <c r="E19093" t="s">
        <v>57965</v>
      </c>
      <c r="F19093" t="s">
        <v>57966</v>
      </c>
      <c r="G19093" s="2" t="str">
        <f>HYPERLINK("https://probpalata.gov.ru/files/ИП740704106800000.jpeg","Скачать индивидуальный QR-код магазина")</f>
        <v>Скачать индивидуальный QR-код магазина</v>
      </c>
    </row>
    <row r="19094" spans="1:7" x14ac:dyDescent="0.25">
      <c r="A19094" t="s">
        <v>57379</v>
      </c>
      <c r="B19094" t="s">
        <v>57967</v>
      </c>
      <c r="C19094" t="s">
        <v>57968</v>
      </c>
      <c r="D19094" t="s">
        <v>57969</v>
      </c>
      <c r="E19094" t="s">
        <v>57970</v>
      </c>
      <c r="F19094" t="s">
        <v>57971</v>
      </c>
      <c r="G19094" s="2" t="str">
        <f>HYPERLINK("https://probpalata.gov.ru/files/ИП740701185200001.jpeg","Скачать индивидуальный QR-код магазина")</f>
        <v>Скачать индивидуальный QR-код магазина</v>
      </c>
    </row>
    <row r="19095" spans="1:7" x14ac:dyDescent="0.25">
      <c r="A19095" t="s">
        <v>57379</v>
      </c>
      <c r="B19095" t="s">
        <v>57972</v>
      </c>
      <c r="C19095" t="s">
        <v>57973</v>
      </c>
      <c r="D19095" t="s">
        <v>57974</v>
      </c>
      <c r="E19095" t="s">
        <v>57975</v>
      </c>
      <c r="F19095" t="s">
        <v>57976</v>
      </c>
      <c r="G19095" s="2" t="str">
        <f>HYPERLINK("https://probpalata.gov.ru/files/ИП740703877800000.jpeg","Скачать индивидуальный QR-код магазина")</f>
        <v>Скачать индивидуальный QR-код магазина</v>
      </c>
    </row>
    <row r="19096" spans="1:7" x14ac:dyDescent="0.25">
      <c r="A19096" t="s">
        <v>57379</v>
      </c>
      <c r="B19096" t="s">
        <v>57977</v>
      </c>
      <c r="C19096" t="s">
        <v>57978</v>
      </c>
      <c r="D19096" t="s">
        <v>57979</v>
      </c>
      <c r="E19096" t="s">
        <v>57980</v>
      </c>
      <c r="F19096" t="s">
        <v>57981</v>
      </c>
      <c r="G19096" s="2" t="str">
        <f>HYPERLINK("https://probpalata.gov.ru/files/ИП740703224700000.jpeg","Скачать индивидуальный QR-код магазина")</f>
        <v>Скачать индивидуальный QR-код магазина</v>
      </c>
    </row>
    <row r="19097" spans="1:7" x14ac:dyDescent="0.25">
      <c r="A19097" t="s">
        <v>57379</v>
      </c>
      <c r="B19097" t="s">
        <v>57982</v>
      </c>
      <c r="C19097" t="s">
        <v>57983</v>
      </c>
      <c r="D19097" t="s">
        <v>57984</v>
      </c>
      <c r="E19097" t="s">
        <v>57985</v>
      </c>
      <c r="F19097" t="s">
        <v>57986</v>
      </c>
      <c r="G19097" s="2" t="str">
        <f>HYPERLINK("https://probpalata.gov.ru/files/ИП740703949300000.jpeg","Скачать индивидуальный QR-код магазина")</f>
        <v>Скачать индивидуальный QR-код магазина</v>
      </c>
    </row>
    <row r="19098" spans="1:7" x14ac:dyDescent="0.25">
      <c r="A19098" t="s">
        <v>57379</v>
      </c>
      <c r="B19098" t="s">
        <v>57987</v>
      </c>
      <c r="C19098" t="s">
        <v>57988</v>
      </c>
      <c r="D19098" t="s">
        <v>57989</v>
      </c>
      <c r="E19098" t="s">
        <v>57990</v>
      </c>
      <c r="F19098" t="s">
        <v>57991</v>
      </c>
      <c r="G19098" s="2" t="str">
        <f>HYPERLINK("https://probpalata.gov.ru/files/ИП740700119000000.jpeg","Скачать индивидуальный QR-код магазина")</f>
        <v>Скачать индивидуальный QR-код магазина</v>
      </c>
    </row>
    <row r="19099" spans="1:7" x14ac:dyDescent="0.25">
      <c r="A19099" t="s">
        <v>57379</v>
      </c>
      <c r="B19099" t="s">
        <v>57992</v>
      </c>
      <c r="C19099" t="s">
        <v>57988</v>
      </c>
      <c r="D19099" t="s">
        <v>57989</v>
      </c>
      <c r="E19099" t="s">
        <v>57990</v>
      </c>
      <c r="F19099" t="s">
        <v>57993</v>
      </c>
      <c r="G19099" s="2" t="str">
        <f>HYPERLINK("https://probpalata.gov.ru/files/ИП740700119000002.jpeg","Скачать индивидуальный QR-код магазина")</f>
        <v>Скачать индивидуальный QR-код магазина</v>
      </c>
    </row>
    <row r="19100" spans="1:7" x14ac:dyDescent="0.25">
      <c r="A19100" t="s">
        <v>57379</v>
      </c>
      <c r="B19100" t="s">
        <v>57994</v>
      </c>
      <c r="C19100" t="s">
        <v>57995</v>
      </c>
      <c r="D19100" t="s">
        <v>57996</v>
      </c>
      <c r="E19100" t="s">
        <v>57997</v>
      </c>
      <c r="F19100" t="s">
        <v>57998</v>
      </c>
      <c r="G19100" s="2" t="str">
        <f>HYPERLINK("https://probpalata.gov.ru/files/ИП740701179400000.jpeg","Скачать индивидуальный QR-код магазина")</f>
        <v>Скачать индивидуальный QR-код магазина</v>
      </c>
    </row>
    <row r="19101" spans="1:7" x14ac:dyDescent="0.25">
      <c r="A19101" t="s">
        <v>57379</v>
      </c>
      <c r="B19101" t="s">
        <v>57999</v>
      </c>
      <c r="C19101" t="s">
        <v>58000</v>
      </c>
      <c r="D19101" t="s">
        <v>58001</v>
      </c>
      <c r="E19101" t="s">
        <v>58002</v>
      </c>
      <c r="F19101" t="s">
        <v>58003</v>
      </c>
      <c r="G19101" s="2" t="str">
        <f>HYPERLINK("https://probpalata.gov.ru/files/ИП740700740000007.jpeg","Скачать индивидуальный QR-код магазина")</f>
        <v>Скачать индивидуальный QR-код магазина</v>
      </c>
    </row>
    <row r="19102" spans="1:7" x14ac:dyDescent="0.25">
      <c r="A19102" t="s">
        <v>57379</v>
      </c>
      <c r="B19102" t="s">
        <v>57404</v>
      </c>
      <c r="C19102" t="s">
        <v>58000</v>
      </c>
      <c r="D19102" t="s">
        <v>58001</v>
      </c>
      <c r="E19102" t="s">
        <v>58002</v>
      </c>
      <c r="F19102" t="s">
        <v>58004</v>
      </c>
      <c r="G19102" s="2" t="str">
        <f>HYPERLINK("https://probpalata.gov.ru/files/ИП740700740000008.jpeg","Скачать индивидуальный QR-код магазина")</f>
        <v>Скачать индивидуальный QR-код магазина</v>
      </c>
    </row>
    <row r="19103" spans="1:7" x14ac:dyDescent="0.25">
      <c r="A19103" t="s">
        <v>57379</v>
      </c>
      <c r="B19103" t="s">
        <v>58005</v>
      </c>
      <c r="C19103" t="s">
        <v>58000</v>
      </c>
      <c r="D19103" t="s">
        <v>58001</v>
      </c>
      <c r="E19103" t="s">
        <v>58002</v>
      </c>
      <c r="F19103" t="s">
        <v>58006</v>
      </c>
      <c r="G19103" s="2" t="str">
        <f>HYPERLINK("https://probpalata.gov.ru/files/ИП740700740000009.jpeg","Скачать индивидуальный QR-код магазина")</f>
        <v>Скачать индивидуальный QR-код магазина</v>
      </c>
    </row>
    <row r="19104" spans="1:7" x14ac:dyDescent="0.25">
      <c r="A19104" t="s">
        <v>57379</v>
      </c>
      <c r="B19104" t="s">
        <v>58007</v>
      </c>
      <c r="C19104" t="s">
        <v>58000</v>
      </c>
      <c r="D19104" t="s">
        <v>58001</v>
      </c>
      <c r="E19104" t="s">
        <v>58002</v>
      </c>
      <c r="F19104" t="s">
        <v>58008</v>
      </c>
      <c r="G19104" s="2" t="str">
        <f>HYPERLINK("https://probpalata.gov.ru/files/ИП740700740000012.jpeg","Скачать индивидуальный QR-код магазина")</f>
        <v>Скачать индивидуальный QR-код магазина</v>
      </c>
    </row>
    <row r="19105" spans="1:7" x14ac:dyDescent="0.25">
      <c r="A19105" t="s">
        <v>57379</v>
      </c>
      <c r="B19105" t="s">
        <v>58009</v>
      </c>
      <c r="C19105" t="s">
        <v>58000</v>
      </c>
      <c r="D19105" t="s">
        <v>58001</v>
      </c>
      <c r="E19105" t="s">
        <v>58002</v>
      </c>
      <c r="F19105" t="s">
        <v>58010</v>
      </c>
      <c r="G19105" s="2" t="str">
        <f>HYPERLINK("https://probpalata.gov.ru/files/ИП740700740000013.jpeg","Скачать индивидуальный QR-код магазина")</f>
        <v>Скачать индивидуальный QR-код магазина</v>
      </c>
    </row>
    <row r="19106" spans="1:7" x14ac:dyDescent="0.25">
      <c r="A19106" t="s">
        <v>57379</v>
      </c>
      <c r="B19106" t="s">
        <v>58011</v>
      </c>
      <c r="C19106" t="s">
        <v>58012</v>
      </c>
      <c r="D19106" t="s">
        <v>58013</v>
      </c>
      <c r="E19106" t="s">
        <v>58014</v>
      </c>
      <c r="F19106" t="s">
        <v>58015</v>
      </c>
      <c r="G19106" s="2" t="str">
        <f>HYPERLINK("https://probpalata.gov.ru/files/ЮЛ740700652400001.jpeg","Скачать индивидуальный QR-код магазина")</f>
        <v>Скачать индивидуальный QR-код магазина</v>
      </c>
    </row>
    <row r="19107" spans="1:7" x14ac:dyDescent="0.25">
      <c r="A19107" t="s">
        <v>57379</v>
      </c>
      <c r="B19107" t="s">
        <v>58016</v>
      </c>
      <c r="C19107" t="s">
        <v>58012</v>
      </c>
      <c r="D19107" t="s">
        <v>58013</v>
      </c>
      <c r="E19107" t="s">
        <v>58014</v>
      </c>
      <c r="F19107" t="s">
        <v>58017</v>
      </c>
      <c r="G19107" s="2" t="str">
        <f>HYPERLINK("https://probpalata.gov.ru/files/ЮЛ740700652400002.jpeg","Скачать индивидуальный QR-код магазина")</f>
        <v>Скачать индивидуальный QR-код магазина</v>
      </c>
    </row>
    <row r="19108" spans="1:7" x14ac:dyDescent="0.25">
      <c r="A19108" t="s">
        <v>57379</v>
      </c>
      <c r="B19108" t="s">
        <v>57402</v>
      </c>
      <c r="C19108" t="s">
        <v>58018</v>
      </c>
      <c r="D19108" t="s">
        <v>58019</v>
      </c>
      <c r="E19108" t="s">
        <v>58020</v>
      </c>
      <c r="F19108" t="s">
        <v>58021</v>
      </c>
      <c r="G19108" s="2" t="str">
        <f>HYPERLINK("https://probpalata.gov.ru/files/ЮЛ740703612500000.jpeg","Скачать индивидуальный QR-код магазина")</f>
        <v>Скачать индивидуальный QR-код магазина</v>
      </c>
    </row>
    <row r="19109" spans="1:7" x14ac:dyDescent="0.25">
      <c r="A19109" t="s">
        <v>57379</v>
      </c>
      <c r="B19109" t="s">
        <v>58022</v>
      </c>
      <c r="C19109" t="s">
        <v>58023</v>
      </c>
      <c r="D19109" t="s">
        <v>58024</v>
      </c>
      <c r="E19109" t="s">
        <v>58025</v>
      </c>
      <c r="F19109" t="s">
        <v>58026</v>
      </c>
      <c r="G19109" s="2" t="str">
        <f>HYPERLINK("https://probpalata.gov.ru/files/ИП740701106900000.jpeg","Скачать индивидуальный QR-код магазина")</f>
        <v>Скачать индивидуальный QR-код магазина</v>
      </c>
    </row>
    <row r="19110" spans="1:7" x14ac:dyDescent="0.25">
      <c r="A19110" t="s">
        <v>57379</v>
      </c>
      <c r="B19110" t="s">
        <v>58022</v>
      </c>
      <c r="C19110" t="s">
        <v>58023</v>
      </c>
      <c r="D19110" t="s">
        <v>58024</v>
      </c>
      <c r="E19110" t="s">
        <v>58025</v>
      </c>
      <c r="F19110" t="s">
        <v>58027</v>
      </c>
      <c r="G19110" s="2" t="str">
        <f>HYPERLINK("https://probpalata.gov.ru/files/ИП740701106900001.jpeg","Скачать индивидуальный QR-код магазина")</f>
        <v>Скачать индивидуальный QR-код магазина</v>
      </c>
    </row>
    <row r="19111" spans="1:7" x14ac:dyDescent="0.25">
      <c r="A19111" t="s">
        <v>57379</v>
      </c>
      <c r="B19111" t="s">
        <v>58028</v>
      </c>
      <c r="C19111" t="s">
        <v>17160</v>
      </c>
      <c r="D19111" t="s">
        <v>17161</v>
      </c>
      <c r="E19111" t="s">
        <v>17162</v>
      </c>
      <c r="F19111" t="s">
        <v>58029</v>
      </c>
      <c r="G19111" s="2" t="str">
        <f>HYPERLINK("https://probpalata.gov.ru/files/ИП740700755200000.jpeg","Скачать индивидуальный QR-код магазина")</f>
        <v>Скачать индивидуальный QR-код магазина</v>
      </c>
    </row>
    <row r="19112" spans="1:7" x14ac:dyDescent="0.25">
      <c r="A19112" t="s">
        <v>57379</v>
      </c>
      <c r="B19112" t="s">
        <v>58030</v>
      </c>
      <c r="C19112" t="s">
        <v>17160</v>
      </c>
      <c r="D19112" t="s">
        <v>17161</v>
      </c>
      <c r="E19112" t="s">
        <v>17162</v>
      </c>
      <c r="F19112" t="s">
        <v>58031</v>
      </c>
      <c r="G19112" s="2" t="str">
        <f>HYPERLINK("https://probpalata.gov.ru/files/ИП740700755200009.jpeg","Скачать индивидуальный QR-код магазина")</f>
        <v>Скачать индивидуальный QR-код магазина</v>
      </c>
    </row>
    <row r="19113" spans="1:7" x14ac:dyDescent="0.25">
      <c r="A19113" t="s">
        <v>57379</v>
      </c>
      <c r="B19113" t="s">
        <v>58032</v>
      </c>
      <c r="C19113" t="s">
        <v>17160</v>
      </c>
      <c r="D19113" t="s">
        <v>17161</v>
      </c>
      <c r="E19113" t="s">
        <v>17162</v>
      </c>
      <c r="F19113" t="s">
        <v>58033</v>
      </c>
      <c r="G19113" s="2" t="str">
        <f>HYPERLINK("https://probpalata.gov.ru/files/ИП740700755200011.jpeg","Скачать индивидуальный QR-код магазина")</f>
        <v>Скачать индивидуальный QR-код магазина</v>
      </c>
    </row>
    <row r="19114" spans="1:7" x14ac:dyDescent="0.25">
      <c r="A19114" t="s">
        <v>57379</v>
      </c>
      <c r="B19114" t="s">
        <v>58034</v>
      </c>
      <c r="C19114" t="s">
        <v>17160</v>
      </c>
      <c r="D19114" t="s">
        <v>17161</v>
      </c>
      <c r="E19114" t="s">
        <v>17162</v>
      </c>
      <c r="F19114" t="s">
        <v>58035</v>
      </c>
      <c r="G19114" s="2" t="str">
        <f>HYPERLINK("https://probpalata.gov.ru/files/ИП740700755200012.jpeg","Скачать индивидуальный QR-код магазина")</f>
        <v>Скачать индивидуальный QR-код магазина</v>
      </c>
    </row>
    <row r="19115" spans="1:7" x14ac:dyDescent="0.25">
      <c r="A19115" t="s">
        <v>57379</v>
      </c>
      <c r="B19115" t="s">
        <v>58036</v>
      </c>
      <c r="C19115" t="s">
        <v>17160</v>
      </c>
      <c r="D19115" t="s">
        <v>17161</v>
      </c>
      <c r="E19115" t="s">
        <v>17162</v>
      </c>
      <c r="F19115" t="s">
        <v>58037</v>
      </c>
      <c r="G19115" s="2" t="str">
        <f>HYPERLINK("https://probpalata.gov.ru/files/ИП740700755200016.jpeg","Скачать индивидуальный QR-код магазина")</f>
        <v>Скачать индивидуальный QR-код магазина</v>
      </c>
    </row>
    <row r="19116" spans="1:7" x14ac:dyDescent="0.25">
      <c r="A19116" t="s">
        <v>57379</v>
      </c>
      <c r="B19116" t="s">
        <v>58038</v>
      </c>
      <c r="C19116" t="s">
        <v>17160</v>
      </c>
      <c r="D19116" t="s">
        <v>17161</v>
      </c>
      <c r="E19116" t="s">
        <v>17162</v>
      </c>
      <c r="F19116" t="s">
        <v>58039</v>
      </c>
      <c r="G19116" s="2" t="str">
        <f>HYPERLINK("https://probpalata.gov.ru/files/ИП740700755200021.jpeg","Скачать индивидуальный QR-код магазина")</f>
        <v>Скачать индивидуальный QR-код магазина</v>
      </c>
    </row>
    <row r="19117" spans="1:7" x14ac:dyDescent="0.25">
      <c r="A19117" t="s">
        <v>57379</v>
      </c>
      <c r="B19117" t="s">
        <v>58040</v>
      </c>
      <c r="C19117" t="s">
        <v>17160</v>
      </c>
      <c r="D19117" t="s">
        <v>17161</v>
      </c>
      <c r="E19117" t="s">
        <v>17162</v>
      </c>
      <c r="F19117" t="s">
        <v>58041</v>
      </c>
      <c r="G19117" s="2" t="str">
        <f>HYPERLINK("https://probpalata.gov.ru/files/ИП740700755200024.jpeg","Скачать индивидуальный QR-код магазина")</f>
        <v>Скачать индивидуальный QR-код магазина</v>
      </c>
    </row>
    <row r="19118" spans="1:7" x14ac:dyDescent="0.25">
      <c r="A19118" t="s">
        <v>57379</v>
      </c>
      <c r="B19118" t="s">
        <v>58042</v>
      </c>
      <c r="C19118" t="s">
        <v>17160</v>
      </c>
      <c r="D19118" t="s">
        <v>17161</v>
      </c>
      <c r="E19118" t="s">
        <v>17162</v>
      </c>
      <c r="F19118" t="s">
        <v>58043</v>
      </c>
      <c r="G19118" s="2" t="str">
        <f>HYPERLINK("https://probpalata.gov.ru/files/ИП740700755200025.jpeg","Скачать индивидуальный QR-код магазина")</f>
        <v>Скачать индивидуальный QR-код магазина</v>
      </c>
    </row>
    <row r="19119" spans="1:7" x14ac:dyDescent="0.25">
      <c r="A19119" t="s">
        <v>57379</v>
      </c>
      <c r="B19119" t="s">
        <v>58044</v>
      </c>
      <c r="C19119" t="s">
        <v>58045</v>
      </c>
      <c r="D19119" t="s">
        <v>58046</v>
      </c>
      <c r="E19119" t="s">
        <v>58047</v>
      </c>
      <c r="F19119" t="s">
        <v>58048</v>
      </c>
      <c r="G19119" s="2" t="str">
        <f>HYPERLINK("https://probpalata.gov.ru/files/ИП740703875600000.jpeg","Скачать индивидуальный QR-код магазина")</f>
        <v>Скачать индивидуальный QR-код магазина</v>
      </c>
    </row>
    <row r="19120" spans="1:7" x14ac:dyDescent="0.25">
      <c r="A19120" t="s">
        <v>57379</v>
      </c>
      <c r="B19120" t="s">
        <v>58049</v>
      </c>
      <c r="C19120" t="s">
        <v>58050</v>
      </c>
      <c r="D19120" t="s">
        <v>58051</v>
      </c>
      <c r="E19120" t="s">
        <v>58052</v>
      </c>
      <c r="F19120" t="s">
        <v>58053</v>
      </c>
      <c r="G19120" s="2" t="str">
        <f>HYPERLINK("https://probpalata.gov.ru/files/ИП740700759800000.jpeg","Скачать индивидуальный QR-код магазина")</f>
        <v>Скачать индивидуальный QR-код магазина</v>
      </c>
    </row>
    <row r="19121" spans="1:7" x14ac:dyDescent="0.25">
      <c r="A19121" t="s">
        <v>57379</v>
      </c>
      <c r="B19121" t="s">
        <v>58054</v>
      </c>
      <c r="C19121" t="s">
        <v>58050</v>
      </c>
      <c r="D19121" t="s">
        <v>58051</v>
      </c>
      <c r="E19121" t="s">
        <v>58052</v>
      </c>
      <c r="F19121" t="s">
        <v>58055</v>
      </c>
      <c r="G19121" s="2" t="str">
        <f>HYPERLINK("https://probpalata.gov.ru/files/ИП740700759800001.jpeg","Скачать индивидуальный QR-код магазина")</f>
        <v>Скачать индивидуальный QR-код магазина</v>
      </c>
    </row>
    <row r="19122" spans="1:7" x14ac:dyDescent="0.25">
      <c r="A19122" t="s">
        <v>57379</v>
      </c>
      <c r="B19122" t="s">
        <v>58056</v>
      </c>
      <c r="C19122" t="s">
        <v>58057</v>
      </c>
      <c r="D19122" t="s">
        <v>58058</v>
      </c>
      <c r="E19122" t="s">
        <v>58059</v>
      </c>
      <c r="F19122" t="s">
        <v>58060</v>
      </c>
      <c r="G19122" s="2" t="str">
        <f>HYPERLINK("https://probpalata.gov.ru/files/ЮЛ740701559400000.jpeg","Скачать индивидуальный QR-код магазина")</f>
        <v>Скачать индивидуальный QR-код магазина</v>
      </c>
    </row>
    <row r="19123" spans="1:7" x14ac:dyDescent="0.25">
      <c r="A19123" t="s">
        <v>57379</v>
      </c>
      <c r="B19123" t="s">
        <v>58061</v>
      </c>
      <c r="C19123" t="s">
        <v>58062</v>
      </c>
      <c r="D19123" t="s">
        <v>58063</v>
      </c>
      <c r="E19123" t="s">
        <v>58064</v>
      </c>
      <c r="F19123" t="s">
        <v>58065</v>
      </c>
      <c r="G19123" s="2" t="str">
        <f>HYPERLINK("https://probpalata.gov.ru/files/ИП740701070200000.jpeg","Скачать индивидуальный QR-код магазина")</f>
        <v>Скачать индивидуальный QR-код магазина</v>
      </c>
    </row>
    <row r="19124" spans="1:7" x14ac:dyDescent="0.25">
      <c r="A19124" t="s">
        <v>57379</v>
      </c>
      <c r="B19124" t="s">
        <v>57621</v>
      </c>
      <c r="C19124" t="s">
        <v>58062</v>
      </c>
      <c r="D19124" t="s">
        <v>58063</v>
      </c>
      <c r="E19124" t="s">
        <v>58064</v>
      </c>
      <c r="F19124" t="s">
        <v>58066</v>
      </c>
      <c r="G19124" s="2" t="str">
        <f>HYPERLINK("https://probpalata.gov.ru/files/ИП740701070200001.jpeg","Скачать индивидуальный QR-код магазина")</f>
        <v>Скачать индивидуальный QR-код магазина</v>
      </c>
    </row>
    <row r="19125" spans="1:7" x14ac:dyDescent="0.25">
      <c r="A19125" t="s">
        <v>57379</v>
      </c>
      <c r="B19125" t="s">
        <v>58067</v>
      </c>
      <c r="C19125" t="s">
        <v>58068</v>
      </c>
      <c r="D19125" t="s">
        <v>58069</v>
      </c>
      <c r="E19125" t="s">
        <v>58070</v>
      </c>
      <c r="F19125" t="s">
        <v>58071</v>
      </c>
      <c r="G19125" s="2" t="str">
        <f>HYPERLINK("https://probpalata.gov.ru/files/ИП740701309900000.jpeg","Скачать индивидуальный QR-код магазина")</f>
        <v>Скачать индивидуальный QR-код магазина</v>
      </c>
    </row>
    <row r="19126" spans="1:7" x14ac:dyDescent="0.25">
      <c r="A19126" t="s">
        <v>57379</v>
      </c>
      <c r="B19126" t="s">
        <v>58072</v>
      </c>
      <c r="C19126" t="s">
        <v>58068</v>
      </c>
      <c r="D19126" t="s">
        <v>58069</v>
      </c>
      <c r="E19126" t="s">
        <v>58070</v>
      </c>
      <c r="F19126" t="s">
        <v>58073</v>
      </c>
      <c r="G19126" s="2" t="str">
        <f>HYPERLINK("https://probpalata.gov.ru/files/ИП740701309900007.jpeg","Скачать индивидуальный QR-код магазина")</f>
        <v>Скачать индивидуальный QR-код магазина</v>
      </c>
    </row>
    <row r="19127" spans="1:7" x14ac:dyDescent="0.25">
      <c r="A19127" t="s">
        <v>57379</v>
      </c>
      <c r="B19127" t="s">
        <v>58074</v>
      </c>
      <c r="C19127" t="s">
        <v>58068</v>
      </c>
      <c r="D19127" t="s">
        <v>58069</v>
      </c>
      <c r="E19127" t="s">
        <v>58070</v>
      </c>
      <c r="F19127" t="s">
        <v>58075</v>
      </c>
      <c r="G19127" s="2" t="str">
        <f>HYPERLINK("https://probpalata.gov.ru/files/ИП740701309900010.jpeg","Скачать индивидуальный QR-код магазина")</f>
        <v>Скачать индивидуальный QR-код магазина</v>
      </c>
    </row>
    <row r="19128" spans="1:7" x14ac:dyDescent="0.25">
      <c r="A19128" t="s">
        <v>57379</v>
      </c>
      <c r="B19128" t="s">
        <v>58076</v>
      </c>
      <c r="C19128" t="s">
        <v>58077</v>
      </c>
      <c r="D19128" t="s">
        <v>58078</v>
      </c>
      <c r="E19128" t="s">
        <v>58079</v>
      </c>
      <c r="F19128" t="s">
        <v>58080</v>
      </c>
      <c r="G19128" s="2" t="str">
        <f>HYPERLINK("https://probpalata.gov.ru/files/ИП740703116300000.jpeg","Скачать индивидуальный QR-код магазина")</f>
        <v>Скачать индивидуальный QR-код магазина</v>
      </c>
    </row>
    <row r="19129" spans="1:7" x14ac:dyDescent="0.25">
      <c r="A19129" t="s">
        <v>57379</v>
      </c>
      <c r="B19129" t="s">
        <v>58081</v>
      </c>
      <c r="C19129" t="s">
        <v>58077</v>
      </c>
      <c r="D19129" t="s">
        <v>58078</v>
      </c>
      <c r="E19129" t="s">
        <v>58079</v>
      </c>
      <c r="F19129" t="s">
        <v>58082</v>
      </c>
      <c r="G19129" s="2" t="str">
        <f>HYPERLINK("https://probpalata.gov.ru/files/ИП740703116300001.jpeg","Скачать индивидуальный QR-код магазина")</f>
        <v>Скачать индивидуальный QR-код магазина</v>
      </c>
    </row>
    <row r="19130" spans="1:7" x14ac:dyDescent="0.25">
      <c r="A19130" t="s">
        <v>57379</v>
      </c>
      <c r="B19130" t="s">
        <v>58083</v>
      </c>
      <c r="C19130" t="s">
        <v>58077</v>
      </c>
      <c r="D19130" t="s">
        <v>58078</v>
      </c>
      <c r="E19130" t="s">
        <v>58079</v>
      </c>
      <c r="F19130" t="s">
        <v>58084</v>
      </c>
      <c r="G19130" s="2" t="str">
        <f>HYPERLINK("https://probpalata.gov.ru/files/ИП740703116300002.jpeg","Скачать индивидуальный QR-код магазина")</f>
        <v>Скачать индивидуальный QR-код магазина</v>
      </c>
    </row>
    <row r="19131" spans="1:7" x14ac:dyDescent="0.25">
      <c r="A19131" t="s">
        <v>57379</v>
      </c>
      <c r="B19131" t="s">
        <v>58085</v>
      </c>
      <c r="C19131" t="s">
        <v>58077</v>
      </c>
      <c r="D19131" t="s">
        <v>58078</v>
      </c>
      <c r="E19131" t="s">
        <v>58079</v>
      </c>
      <c r="F19131" t="s">
        <v>58086</v>
      </c>
      <c r="G19131" s="2" t="str">
        <f>HYPERLINK("https://probpalata.gov.ru/files/ИП740703116300003.jpeg","Скачать индивидуальный QR-код магазина")</f>
        <v>Скачать индивидуальный QR-код магазина</v>
      </c>
    </row>
    <row r="19132" spans="1:7" x14ac:dyDescent="0.25">
      <c r="A19132" t="s">
        <v>57379</v>
      </c>
      <c r="B19132" t="s">
        <v>58087</v>
      </c>
      <c r="C19132" t="s">
        <v>58077</v>
      </c>
      <c r="D19132" t="s">
        <v>58078</v>
      </c>
      <c r="E19132" t="s">
        <v>58079</v>
      </c>
      <c r="F19132" t="s">
        <v>58088</v>
      </c>
      <c r="G19132" s="2" t="str">
        <f>HYPERLINK("https://probpalata.gov.ru/files/ИП740703116300004.jpeg","Скачать индивидуальный QR-код магазина")</f>
        <v>Скачать индивидуальный QR-код магазина</v>
      </c>
    </row>
    <row r="19133" spans="1:7" x14ac:dyDescent="0.25">
      <c r="A19133" t="s">
        <v>57379</v>
      </c>
      <c r="B19133" t="s">
        <v>58089</v>
      </c>
      <c r="C19133" t="s">
        <v>58077</v>
      </c>
      <c r="D19133" t="s">
        <v>58078</v>
      </c>
      <c r="E19133" t="s">
        <v>58079</v>
      </c>
      <c r="F19133" t="s">
        <v>58090</v>
      </c>
      <c r="G19133" s="2" t="str">
        <f>HYPERLINK("https://probpalata.gov.ru/files/ИП740703116300005.jpeg","Скачать индивидуальный QR-код магазина")</f>
        <v>Скачать индивидуальный QR-код магазина</v>
      </c>
    </row>
    <row r="19134" spans="1:7" x14ac:dyDescent="0.25">
      <c r="A19134" t="s">
        <v>57379</v>
      </c>
      <c r="B19134" t="s">
        <v>58091</v>
      </c>
      <c r="C19134" t="s">
        <v>58077</v>
      </c>
      <c r="D19134" t="s">
        <v>58078</v>
      </c>
      <c r="E19134" t="s">
        <v>58079</v>
      </c>
      <c r="F19134" t="s">
        <v>58092</v>
      </c>
      <c r="G19134" s="2" t="str">
        <f>HYPERLINK("https://probpalata.gov.ru/files/ИП740703116300006.jpeg","Скачать индивидуальный QR-код магазина")</f>
        <v>Скачать индивидуальный QR-код магазина</v>
      </c>
    </row>
    <row r="19135" spans="1:7" x14ac:dyDescent="0.25">
      <c r="A19135" t="s">
        <v>57379</v>
      </c>
      <c r="B19135" t="s">
        <v>58093</v>
      </c>
      <c r="C19135" t="s">
        <v>58077</v>
      </c>
      <c r="D19135" t="s">
        <v>58078</v>
      </c>
      <c r="E19135" t="s">
        <v>58079</v>
      </c>
      <c r="F19135" t="s">
        <v>58094</v>
      </c>
      <c r="G19135" s="2" t="str">
        <f>HYPERLINK("https://probpalata.gov.ru/files/ИП740703116300007.jpeg","Скачать индивидуальный QR-код магазина")</f>
        <v>Скачать индивидуальный QR-код магазина</v>
      </c>
    </row>
    <row r="19136" spans="1:7" x14ac:dyDescent="0.25">
      <c r="A19136" t="s">
        <v>57379</v>
      </c>
      <c r="B19136" t="s">
        <v>58095</v>
      </c>
      <c r="C19136" t="s">
        <v>58077</v>
      </c>
      <c r="D19136" t="s">
        <v>58078</v>
      </c>
      <c r="E19136" t="s">
        <v>58079</v>
      </c>
      <c r="F19136" t="s">
        <v>58096</v>
      </c>
      <c r="G19136" s="2" t="str">
        <f>HYPERLINK("https://probpalata.gov.ru/files/ИП740703116300008.jpeg","Скачать индивидуальный QR-код магазина")</f>
        <v>Скачать индивидуальный QR-код магазина</v>
      </c>
    </row>
    <row r="19137" spans="1:7" x14ac:dyDescent="0.25">
      <c r="A19137" t="s">
        <v>57379</v>
      </c>
      <c r="B19137" t="s">
        <v>58097</v>
      </c>
      <c r="C19137" t="s">
        <v>58077</v>
      </c>
      <c r="D19137" t="s">
        <v>58078</v>
      </c>
      <c r="E19137" t="s">
        <v>58079</v>
      </c>
      <c r="F19137" t="s">
        <v>58098</v>
      </c>
      <c r="G19137" s="2" t="str">
        <f>HYPERLINK("https://probpalata.gov.ru/files/ИП740703116300010.jpeg","Скачать индивидуальный QR-код магазина")</f>
        <v>Скачать индивидуальный QR-код магазина</v>
      </c>
    </row>
    <row r="19138" spans="1:7" x14ac:dyDescent="0.25">
      <c r="A19138" t="s">
        <v>57379</v>
      </c>
      <c r="B19138" t="s">
        <v>58099</v>
      </c>
      <c r="C19138" t="s">
        <v>58100</v>
      </c>
      <c r="D19138" t="s">
        <v>58101</v>
      </c>
      <c r="E19138" t="s">
        <v>58102</v>
      </c>
      <c r="F19138" t="s">
        <v>58103</v>
      </c>
      <c r="G19138" s="2" t="str">
        <f>HYPERLINK("https://probpalata.gov.ru/files/ЮЛ740700744400000.jpeg","Скачать индивидуальный QR-код магазина")</f>
        <v>Скачать индивидуальный QR-код магазина</v>
      </c>
    </row>
    <row r="19139" spans="1:7" x14ac:dyDescent="0.25">
      <c r="A19139" t="s">
        <v>57379</v>
      </c>
      <c r="B19139" t="s">
        <v>58104</v>
      </c>
      <c r="C19139" t="s">
        <v>58100</v>
      </c>
      <c r="D19139" t="s">
        <v>58101</v>
      </c>
      <c r="E19139" t="s">
        <v>58102</v>
      </c>
      <c r="F19139" t="s">
        <v>58105</v>
      </c>
      <c r="G19139" s="2" t="str">
        <f>HYPERLINK("https://probpalata.gov.ru/files/ЮЛ740700744400001.jpeg","Скачать индивидуальный QR-код магазина")</f>
        <v>Скачать индивидуальный QR-код магазина</v>
      </c>
    </row>
    <row r="19140" spans="1:7" x14ac:dyDescent="0.25">
      <c r="A19140" t="s">
        <v>57379</v>
      </c>
      <c r="B19140" t="s">
        <v>58106</v>
      </c>
      <c r="C19140" t="s">
        <v>58100</v>
      </c>
      <c r="D19140" t="s">
        <v>58101</v>
      </c>
      <c r="E19140" t="s">
        <v>58102</v>
      </c>
      <c r="F19140" t="s">
        <v>58107</v>
      </c>
      <c r="G19140" s="2" t="str">
        <f>HYPERLINK("https://probpalata.gov.ru/files/ЮЛ740700744400002.jpeg","Скачать индивидуальный QR-код магазина")</f>
        <v>Скачать индивидуальный QR-код магазина</v>
      </c>
    </row>
    <row r="19141" spans="1:7" x14ac:dyDescent="0.25">
      <c r="A19141" t="s">
        <v>57379</v>
      </c>
      <c r="B19141" t="s">
        <v>58108</v>
      </c>
      <c r="C19141" t="s">
        <v>58100</v>
      </c>
      <c r="D19141" t="s">
        <v>58101</v>
      </c>
      <c r="E19141" t="s">
        <v>58102</v>
      </c>
      <c r="F19141" t="s">
        <v>58109</v>
      </c>
      <c r="G19141" s="2" t="str">
        <f>HYPERLINK("https://probpalata.gov.ru/files/ЮЛ740700744400003.jpeg","Скачать индивидуальный QR-код магазина")</f>
        <v>Скачать индивидуальный QR-код магазина</v>
      </c>
    </row>
    <row r="19142" spans="1:7" x14ac:dyDescent="0.25">
      <c r="A19142" t="s">
        <v>57379</v>
      </c>
      <c r="B19142" t="s">
        <v>58110</v>
      </c>
      <c r="C19142" t="s">
        <v>58100</v>
      </c>
      <c r="D19142" t="s">
        <v>58101</v>
      </c>
      <c r="E19142" t="s">
        <v>58102</v>
      </c>
      <c r="F19142" t="s">
        <v>58111</v>
      </c>
      <c r="G19142" s="2" t="str">
        <f>HYPERLINK("https://probpalata.gov.ru/files/ЮЛ740700744400004.jpeg","Скачать индивидуальный QR-код магазина")</f>
        <v>Скачать индивидуальный QR-код магазина</v>
      </c>
    </row>
    <row r="19143" spans="1:7" x14ac:dyDescent="0.25">
      <c r="A19143" t="s">
        <v>57379</v>
      </c>
      <c r="B19143" t="s">
        <v>58112</v>
      </c>
      <c r="C19143" t="s">
        <v>58100</v>
      </c>
      <c r="D19143" t="s">
        <v>58101</v>
      </c>
      <c r="E19143" t="s">
        <v>58102</v>
      </c>
      <c r="F19143" t="s">
        <v>58113</v>
      </c>
      <c r="G19143" s="2" t="str">
        <f>HYPERLINK("https://probpalata.gov.ru/files/ЮЛ740700744400005.jpeg","Скачать индивидуальный QR-код магазина")</f>
        <v>Скачать индивидуальный QR-код магазина</v>
      </c>
    </row>
    <row r="19144" spans="1:7" x14ac:dyDescent="0.25">
      <c r="A19144" t="s">
        <v>57379</v>
      </c>
      <c r="B19144" t="s">
        <v>58114</v>
      </c>
      <c r="C19144" t="s">
        <v>58100</v>
      </c>
      <c r="D19144" t="s">
        <v>58101</v>
      </c>
      <c r="E19144" t="s">
        <v>58102</v>
      </c>
      <c r="F19144" t="s">
        <v>58115</v>
      </c>
      <c r="G19144" s="2" t="str">
        <f>HYPERLINK("https://probpalata.gov.ru/files/ЮЛ740700744400006.jpeg","Скачать индивидуальный QR-код магазина")</f>
        <v>Скачать индивидуальный QR-код магазина</v>
      </c>
    </row>
    <row r="19145" spans="1:7" x14ac:dyDescent="0.25">
      <c r="A19145" t="s">
        <v>57379</v>
      </c>
      <c r="B19145" t="s">
        <v>58116</v>
      </c>
      <c r="C19145" t="s">
        <v>58100</v>
      </c>
      <c r="D19145" t="s">
        <v>58101</v>
      </c>
      <c r="E19145" t="s">
        <v>58102</v>
      </c>
      <c r="F19145" t="s">
        <v>58117</v>
      </c>
      <c r="G19145" s="2" t="str">
        <f>HYPERLINK("https://probpalata.gov.ru/files/ЮЛ740700744400007.jpeg","Скачать индивидуальный QR-код магазина")</f>
        <v>Скачать индивидуальный QR-код магазина</v>
      </c>
    </row>
    <row r="19146" spans="1:7" x14ac:dyDescent="0.25">
      <c r="A19146" t="s">
        <v>57379</v>
      </c>
      <c r="B19146" t="s">
        <v>58118</v>
      </c>
      <c r="C19146" t="s">
        <v>58100</v>
      </c>
      <c r="D19146" t="s">
        <v>58101</v>
      </c>
      <c r="E19146" t="s">
        <v>58102</v>
      </c>
      <c r="F19146" t="s">
        <v>58119</v>
      </c>
      <c r="G19146" s="2" t="str">
        <f>HYPERLINK("https://probpalata.gov.ru/files/ЮЛ740700744400008.jpeg","Скачать индивидуальный QR-код магазина")</f>
        <v>Скачать индивидуальный QR-код магазина</v>
      </c>
    </row>
    <row r="19147" spans="1:7" x14ac:dyDescent="0.25">
      <c r="A19147" t="s">
        <v>57379</v>
      </c>
      <c r="B19147" t="s">
        <v>58120</v>
      </c>
      <c r="C19147" t="s">
        <v>58100</v>
      </c>
      <c r="D19147" t="s">
        <v>58101</v>
      </c>
      <c r="E19147" t="s">
        <v>58102</v>
      </c>
      <c r="F19147" t="s">
        <v>58121</v>
      </c>
      <c r="G19147" s="2" t="str">
        <f>HYPERLINK("https://probpalata.gov.ru/files/ЮЛ740700744400009.jpeg","Скачать индивидуальный QR-код магазина")</f>
        <v>Скачать индивидуальный QR-код магазина</v>
      </c>
    </row>
    <row r="19148" spans="1:7" x14ac:dyDescent="0.25">
      <c r="A19148" t="s">
        <v>57379</v>
      </c>
      <c r="B19148" t="s">
        <v>58122</v>
      </c>
      <c r="C19148" t="s">
        <v>58100</v>
      </c>
      <c r="D19148" t="s">
        <v>58101</v>
      </c>
      <c r="E19148" t="s">
        <v>58102</v>
      </c>
      <c r="F19148" t="s">
        <v>58123</v>
      </c>
      <c r="G19148" s="2" t="str">
        <f>HYPERLINK("https://probpalata.gov.ru/files/ЮЛ740700744400010.jpeg","Скачать индивидуальный QR-код магазина")</f>
        <v>Скачать индивидуальный QR-код магазина</v>
      </c>
    </row>
    <row r="19149" spans="1:7" x14ac:dyDescent="0.25">
      <c r="A19149" t="s">
        <v>57379</v>
      </c>
      <c r="B19149" t="s">
        <v>58124</v>
      </c>
      <c r="C19149" t="s">
        <v>58125</v>
      </c>
      <c r="D19149" t="s">
        <v>58126</v>
      </c>
      <c r="E19149" t="s">
        <v>58127</v>
      </c>
      <c r="F19149" t="s">
        <v>58128</v>
      </c>
      <c r="G19149" s="2" t="str">
        <f>HYPERLINK("https://probpalata.gov.ru/files/ИП740703074800000.jpeg","Скачать индивидуальный QR-код магазина")</f>
        <v>Скачать индивидуальный QR-код магазина</v>
      </c>
    </row>
    <row r="19150" spans="1:7" x14ac:dyDescent="0.25">
      <c r="A19150" t="s">
        <v>57379</v>
      </c>
      <c r="B19150" t="s">
        <v>58129</v>
      </c>
      <c r="C19150" t="s">
        <v>58130</v>
      </c>
      <c r="D19150" t="s">
        <v>58131</v>
      </c>
      <c r="E19150" t="s">
        <v>58132</v>
      </c>
      <c r="F19150" t="s">
        <v>58133</v>
      </c>
      <c r="G19150" s="2" t="str">
        <f>HYPERLINK("https://probpalata.gov.ru/files/ИП740700757600000.jpeg","Скачать индивидуальный QR-код магазина")</f>
        <v>Скачать индивидуальный QR-код магазина</v>
      </c>
    </row>
    <row r="19151" spans="1:7" x14ac:dyDescent="0.25">
      <c r="A19151" t="s">
        <v>57379</v>
      </c>
      <c r="B19151" t="s">
        <v>58134</v>
      </c>
      <c r="C19151" t="s">
        <v>58135</v>
      </c>
      <c r="D19151" t="s">
        <v>58136</v>
      </c>
      <c r="E19151" t="s">
        <v>58137</v>
      </c>
      <c r="F19151" t="s">
        <v>58138</v>
      </c>
      <c r="G19151" s="2" t="str">
        <f>HYPERLINK("https://probpalata.gov.ru/files/ЮЛ740700498400000.jpeg","Скачать индивидуальный QR-код магазина")</f>
        <v>Скачать индивидуальный QR-код магазина</v>
      </c>
    </row>
    <row r="19152" spans="1:7" x14ac:dyDescent="0.25">
      <c r="A19152" t="s">
        <v>57379</v>
      </c>
      <c r="B19152" t="s">
        <v>58139</v>
      </c>
      <c r="C19152" t="s">
        <v>58140</v>
      </c>
      <c r="D19152" t="s">
        <v>58141</v>
      </c>
      <c r="E19152" t="s">
        <v>58142</v>
      </c>
      <c r="F19152" t="s">
        <v>58143</v>
      </c>
      <c r="G19152" s="2" t="str">
        <f>HYPERLINK("https://probpalata.gov.ru/files/ИП740703178500000.jpeg","Скачать индивидуальный QR-код магазина")</f>
        <v>Скачать индивидуальный QR-код магазина</v>
      </c>
    </row>
    <row r="19153" spans="1:7" x14ac:dyDescent="0.25">
      <c r="A19153" t="s">
        <v>57379</v>
      </c>
      <c r="B19153" t="s">
        <v>58144</v>
      </c>
      <c r="C19153" t="s">
        <v>58140</v>
      </c>
      <c r="D19153" t="s">
        <v>58141</v>
      </c>
      <c r="E19153" t="s">
        <v>58142</v>
      </c>
      <c r="F19153" t="s">
        <v>58145</v>
      </c>
      <c r="G19153" s="2" t="str">
        <f>HYPERLINK("https://probpalata.gov.ru/files/ИП740703178500001.jpeg","Скачать индивидуальный QR-код магазина")</f>
        <v>Скачать индивидуальный QR-код магазина</v>
      </c>
    </row>
    <row r="19154" spans="1:7" x14ac:dyDescent="0.25">
      <c r="A19154" t="s">
        <v>57379</v>
      </c>
      <c r="B19154" t="s">
        <v>58146</v>
      </c>
      <c r="C19154" t="s">
        <v>58140</v>
      </c>
      <c r="D19154" t="s">
        <v>58141</v>
      </c>
      <c r="E19154" t="s">
        <v>58142</v>
      </c>
      <c r="F19154" t="s">
        <v>58147</v>
      </c>
      <c r="G19154" s="2" t="str">
        <f>HYPERLINK("https://probpalata.gov.ru/files/ИП740703178500002.jpeg","Скачать индивидуальный QR-код магазина")</f>
        <v>Скачать индивидуальный QR-код магазина</v>
      </c>
    </row>
    <row r="19155" spans="1:7" x14ac:dyDescent="0.25">
      <c r="A19155" t="s">
        <v>57379</v>
      </c>
      <c r="B19155" t="s">
        <v>58148</v>
      </c>
      <c r="C19155" t="s">
        <v>58140</v>
      </c>
      <c r="D19155" t="s">
        <v>58141</v>
      </c>
      <c r="E19155" t="s">
        <v>58142</v>
      </c>
      <c r="F19155" t="s">
        <v>58149</v>
      </c>
      <c r="G19155" s="2" t="str">
        <f>HYPERLINK("https://probpalata.gov.ru/files/ИП740703178500004.jpeg","Скачать индивидуальный QR-код магазина")</f>
        <v>Скачать индивидуальный QR-код магазина</v>
      </c>
    </row>
    <row r="19156" spans="1:7" x14ac:dyDescent="0.25">
      <c r="A19156" t="s">
        <v>57379</v>
      </c>
      <c r="B19156" t="s">
        <v>58150</v>
      </c>
      <c r="C19156" t="s">
        <v>58140</v>
      </c>
      <c r="D19156" t="s">
        <v>58141</v>
      </c>
      <c r="E19156" t="s">
        <v>58142</v>
      </c>
      <c r="F19156" t="s">
        <v>58151</v>
      </c>
      <c r="G19156" s="2" t="str">
        <f>HYPERLINK("https://probpalata.gov.ru/files/ИП740703178500006.jpeg","Скачать индивидуальный QR-код магазина")</f>
        <v>Скачать индивидуальный QR-код магазина</v>
      </c>
    </row>
    <row r="19157" spans="1:7" x14ac:dyDescent="0.25">
      <c r="A19157" t="s">
        <v>57379</v>
      </c>
      <c r="B19157" t="s">
        <v>58152</v>
      </c>
      <c r="C19157" t="s">
        <v>58140</v>
      </c>
      <c r="D19157" t="s">
        <v>58141</v>
      </c>
      <c r="E19157" t="s">
        <v>58142</v>
      </c>
      <c r="F19157" t="s">
        <v>58153</v>
      </c>
      <c r="G19157" s="2" t="str">
        <f>HYPERLINK("https://probpalata.gov.ru/files/ИП740703178500007.jpeg","Скачать индивидуальный QR-код магазина")</f>
        <v>Скачать индивидуальный QR-код магазина</v>
      </c>
    </row>
    <row r="19158" spans="1:7" x14ac:dyDescent="0.25">
      <c r="A19158" t="s">
        <v>57379</v>
      </c>
      <c r="B19158" t="s">
        <v>58154</v>
      </c>
      <c r="C19158" t="s">
        <v>58140</v>
      </c>
      <c r="D19158" t="s">
        <v>58141</v>
      </c>
      <c r="E19158" t="s">
        <v>58142</v>
      </c>
      <c r="F19158" t="s">
        <v>58155</v>
      </c>
      <c r="G19158" s="2" t="str">
        <f>HYPERLINK("https://probpalata.gov.ru/files/ИП740703178500008.jpeg","Скачать индивидуальный QR-код магазина")</f>
        <v>Скачать индивидуальный QR-код магазина</v>
      </c>
    </row>
    <row r="19159" spans="1:7" x14ac:dyDescent="0.25">
      <c r="A19159" t="s">
        <v>57379</v>
      </c>
      <c r="B19159" t="s">
        <v>58156</v>
      </c>
      <c r="C19159" t="s">
        <v>58140</v>
      </c>
      <c r="D19159" t="s">
        <v>58141</v>
      </c>
      <c r="E19159" t="s">
        <v>58142</v>
      </c>
      <c r="F19159" t="s">
        <v>58157</v>
      </c>
      <c r="G19159" s="2" t="str">
        <f>HYPERLINK("https://probpalata.gov.ru/files/ИП740703178500009.jpeg","Скачать индивидуальный QR-код магазина")</f>
        <v>Скачать индивидуальный QR-код магазина</v>
      </c>
    </row>
    <row r="19160" spans="1:7" x14ac:dyDescent="0.25">
      <c r="A19160" t="s">
        <v>57379</v>
      </c>
      <c r="B19160" t="s">
        <v>58158</v>
      </c>
      <c r="C19160" t="s">
        <v>58140</v>
      </c>
      <c r="D19160" t="s">
        <v>58141</v>
      </c>
      <c r="E19160" t="s">
        <v>58142</v>
      </c>
      <c r="F19160" t="s">
        <v>58159</v>
      </c>
      <c r="G19160" s="2" t="str">
        <f>HYPERLINK("https://probpalata.gov.ru/files/ИП740703178500010.jpeg","Скачать индивидуальный QR-код магазина")</f>
        <v>Скачать индивидуальный QR-код магазина</v>
      </c>
    </row>
    <row r="19161" spans="1:7" x14ac:dyDescent="0.25">
      <c r="A19161" t="s">
        <v>57379</v>
      </c>
      <c r="B19161" t="s">
        <v>58160</v>
      </c>
      <c r="C19161" t="s">
        <v>58140</v>
      </c>
      <c r="D19161" t="s">
        <v>58141</v>
      </c>
      <c r="E19161" t="s">
        <v>58142</v>
      </c>
      <c r="F19161" t="s">
        <v>58161</v>
      </c>
      <c r="G19161" s="2" t="str">
        <f>HYPERLINK("https://probpalata.gov.ru/files/ИП740703178500011.jpeg","Скачать индивидуальный QR-код магазина")</f>
        <v>Скачать индивидуальный QR-код магазина</v>
      </c>
    </row>
    <row r="19162" spans="1:7" x14ac:dyDescent="0.25">
      <c r="A19162" t="s">
        <v>57379</v>
      </c>
      <c r="B19162" t="s">
        <v>58162</v>
      </c>
      <c r="C19162" t="s">
        <v>58163</v>
      </c>
      <c r="D19162" t="s">
        <v>58164</v>
      </c>
      <c r="E19162" t="s">
        <v>58165</v>
      </c>
      <c r="F19162" t="s">
        <v>58166</v>
      </c>
      <c r="G19162" s="2" t="str">
        <f>HYPERLINK("https://probpalata.gov.ru/files/ЮЛ740700739200000.jpeg","Скачать индивидуальный QR-код магазина")</f>
        <v>Скачать индивидуальный QR-код магазина</v>
      </c>
    </row>
    <row r="19163" spans="1:7" x14ac:dyDescent="0.25">
      <c r="A19163" t="s">
        <v>57379</v>
      </c>
      <c r="B19163" t="s">
        <v>58167</v>
      </c>
      <c r="C19163" t="s">
        <v>17174</v>
      </c>
      <c r="D19163" t="s">
        <v>17175</v>
      </c>
      <c r="E19163" t="s">
        <v>17176</v>
      </c>
      <c r="F19163" t="s">
        <v>58168</v>
      </c>
      <c r="G19163" s="2" t="str">
        <f>HYPERLINK("https://probpalata.gov.ru/files/ЮЛ740700212600002.jpeg","Скачать индивидуальный QR-код магазина")</f>
        <v>Скачать индивидуальный QR-код магазина</v>
      </c>
    </row>
    <row r="19164" spans="1:7" x14ac:dyDescent="0.25">
      <c r="A19164" t="s">
        <v>57379</v>
      </c>
      <c r="B19164" t="s">
        <v>58169</v>
      </c>
      <c r="C19164" t="s">
        <v>17174</v>
      </c>
      <c r="D19164" t="s">
        <v>17175</v>
      </c>
      <c r="E19164" t="s">
        <v>17176</v>
      </c>
      <c r="F19164" t="s">
        <v>58170</v>
      </c>
      <c r="G19164" s="2" t="str">
        <f>HYPERLINK("https://probpalata.gov.ru/files/ЮЛ740700212600003.jpeg","Скачать индивидуальный QR-код магазина")</f>
        <v>Скачать индивидуальный QR-код магазина</v>
      </c>
    </row>
    <row r="19165" spans="1:7" x14ac:dyDescent="0.25">
      <c r="A19165" t="s">
        <v>57379</v>
      </c>
      <c r="B19165" t="s">
        <v>58171</v>
      </c>
      <c r="C19165" t="s">
        <v>17174</v>
      </c>
      <c r="D19165" t="s">
        <v>17175</v>
      </c>
      <c r="E19165" t="s">
        <v>17176</v>
      </c>
      <c r="F19165" t="s">
        <v>58172</v>
      </c>
      <c r="G19165" s="2" t="str">
        <f>HYPERLINK("https://probpalata.gov.ru/files/ЮЛ740700212600007.jpeg","Скачать индивидуальный QR-код магазина")</f>
        <v>Скачать индивидуальный QR-код магазина</v>
      </c>
    </row>
    <row r="19166" spans="1:7" x14ac:dyDescent="0.25">
      <c r="A19166" t="s">
        <v>57379</v>
      </c>
      <c r="B19166" t="s">
        <v>58173</v>
      </c>
      <c r="C19166" t="s">
        <v>17174</v>
      </c>
      <c r="D19166" t="s">
        <v>17175</v>
      </c>
      <c r="E19166" t="s">
        <v>17176</v>
      </c>
      <c r="F19166" t="s">
        <v>58174</v>
      </c>
      <c r="G19166" s="2" t="str">
        <f>HYPERLINK("https://probpalata.gov.ru/files/ЮЛ740700212600008.jpeg","Скачать индивидуальный QR-код магазина")</f>
        <v>Скачать индивидуальный QR-код магазина</v>
      </c>
    </row>
    <row r="19167" spans="1:7" x14ac:dyDescent="0.25">
      <c r="A19167" t="s">
        <v>57379</v>
      </c>
      <c r="B19167" t="s">
        <v>58175</v>
      </c>
      <c r="C19167" t="s">
        <v>17174</v>
      </c>
      <c r="D19167" t="s">
        <v>17175</v>
      </c>
      <c r="E19167" t="s">
        <v>17176</v>
      </c>
      <c r="F19167" t="s">
        <v>58176</v>
      </c>
      <c r="G19167" s="2" t="str">
        <f>HYPERLINK("https://probpalata.gov.ru/files/ЮЛ740700212600009.jpeg","Скачать индивидуальный QR-код магазина")</f>
        <v>Скачать индивидуальный QR-код магазина</v>
      </c>
    </row>
    <row r="19168" spans="1:7" x14ac:dyDescent="0.25">
      <c r="A19168" t="s">
        <v>57379</v>
      </c>
      <c r="B19168" t="s">
        <v>58177</v>
      </c>
      <c r="C19168" t="s">
        <v>17174</v>
      </c>
      <c r="D19168" t="s">
        <v>17175</v>
      </c>
      <c r="E19168" t="s">
        <v>17176</v>
      </c>
      <c r="F19168" t="s">
        <v>58178</v>
      </c>
      <c r="G19168" s="2" t="str">
        <f>HYPERLINK("https://probpalata.gov.ru/files/ЮЛ740700212600010.jpeg","Скачать индивидуальный QR-код магазина")</f>
        <v>Скачать индивидуальный QR-код магазина</v>
      </c>
    </row>
    <row r="19169" spans="1:7" x14ac:dyDescent="0.25">
      <c r="A19169" t="s">
        <v>57379</v>
      </c>
      <c r="B19169" t="s">
        <v>58179</v>
      </c>
      <c r="C19169" t="s">
        <v>17174</v>
      </c>
      <c r="D19169" t="s">
        <v>17175</v>
      </c>
      <c r="E19169" t="s">
        <v>17176</v>
      </c>
      <c r="F19169" t="s">
        <v>58180</v>
      </c>
      <c r="G19169" s="2" t="str">
        <f>HYPERLINK("https://probpalata.gov.ru/files/ЮЛ740700212600012.jpeg","Скачать индивидуальный QR-код магазина")</f>
        <v>Скачать индивидуальный QR-код магазина</v>
      </c>
    </row>
    <row r="19170" spans="1:7" x14ac:dyDescent="0.25">
      <c r="A19170" t="s">
        <v>57379</v>
      </c>
      <c r="B19170" t="s">
        <v>58181</v>
      </c>
      <c r="C19170" t="s">
        <v>17174</v>
      </c>
      <c r="D19170" t="s">
        <v>17175</v>
      </c>
      <c r="E19170" t="s">
        <v>17176</v>
      </c>
      <c r="F19170" t="s">
        <v>58182</v>
      </c>
      <c r="G19170" s="2" t="str">
        <f>HYPERLINK("https://probpalata.gov.ru/files/ЮЛ740700212600013.jpeg","Скачать индивидуальный QR-код магазина")</f>
        <v>Скачать индивидуальный QR-код магазина</v>
      </c>
    </row>
    <row r="19171" spans="1:7" x14ac:dyDescent="0.25">
      <c r="A19171" t="s">
        <v>57379</v>
      </c>
      <c r="B19171" t="s">
        <v>58183</v>
      </c>
      <c r="C19171" t="s">
        <v>17174</v>
      </c>
      <c r="D19171" t="s">
        <v>17175</v>
      </c>
      <c r="E19171" t="s">
        <v>17176</v>
      </c>
      <c r="F19171" t="s">
        <v>58184</v>
      </c>
      <c r="G19171" s="2" t="str">
        <f>HYPERLINK("https://probpalata.gov.ru/files/ЮЛ740700212600016.jpeg","Скачать индивидуальный QR-код магазина")</f>
        <v>Скачать индивидуальный QR-код магазина</v>
      </c>
    </row>
    <row r="19172" spans="1:7" x14ac:dyDescent="0.25">
      <c r="A19172" t="s">
        <v>57379</v>
      </c>
      <c r="B19172" t="s">
        <v>58185</v>
      </c>
      <c r="C19172" t="s">
        <v>17174</v>
      </c>
      <c r="D19172" t="s">
        <v>17175</v>
      </c>
      <c r="E19172" t="s">
        <v>17176</v>
      </c>
      <c r="F19172" t="s">
        <v>58186</v>
      </c>
      <c r="G19172" s="2" t="str">
        <f>HYPERLINK("https://probpalata.gov.ru/files/ЮЛ740700212600017.jpeg","Скачать индивидуальный QR-код магазина")</f>
        <v>Скачать индивидуальный QR-код магазина</v>
      </c>
    </row>
    <row r="19173" spans="1:7" x14ac:dyDescent="0.25">
      <c r="A19173" t="s">
        <v>57379</v>
      </c>
      <c r="B19173" t="s">
        <v>58187</v>
      </c>
      <c r="C19173" t="s">
        <v>17174</v>
      </c>
      <c r="D19173" t="s">
        <v>17175</v>
      </c>
      <c r="E19173" t="s">
        <v>17176</v>
      </c>
      <c r="F19173" t="s">
        <v>58188</v>
      </c>
      <c r="G19173" s="2" t="str">
        <f>HYPERLINK("https://probpalata.gov.ru/files/ЮЛ740700212600018.jpeg","Скачать индивидуальный QR-код магазина")</f>
        <v>Скачать индивидуальный QR-код магазина</v>
      </c>
    </row>
    <row r="19174" spans="1:7" x14ac:dyDescent="0.25">
      <c r="A19174" t="s">
        <v>57379</v>
      </c>
      <c r="B19174" t="s">
        <v>58189</v>
      </c>
      <c r="C19174" t="s">
        <v>58190</v>
      </c>
      <c r="D19174" t="s">
        <v>58191</v>
      </c>
      <c r="E19174" t="s">
        <v>58192</v>
      </c>
      <c r="F19174" t="s">
        <v>58193</v>
      </c>
      <c r="G19174" s="2" t="str">
        <f>HYPERLINK("https://probpalata.gov.ru/files/ИП740700073200000.jpeg","Скачать индивидуальный QR-код магазина")</f>
        <v>Скачать индивидуальный QR-код магазина</v>
      </c>
    </row>
    <row r="19175" spans="1:7" x14ac:dyDescent="0.25">
      <c r="A19175" t="s">
        <v>57379</v>
      </c>
      <c r="B19175" t="s">
        <v>58194</v>
      </c>
      <c r="C19175" t="s">
        <v>58190</v>
      </c>
      <c r="D19175" t="s">
        <v>58191</v>
      </c>
      <c r="E19175" t="s">
        <v>58192</v>
      </c>
      <c r="F19175" t="s">
        <v>58195</v>
      </c>
      <c r="G19175" s="2" t="str">
        <f>HYPERLINK("https://probpalata.gov.ru/files/ИП740700073200002.jpeg","Скачать индивидуальный QR-код магазина")</f>
        <v>Скачать индивидуальный QR-код магазина</v>
      </c>
    </row>
    <row r="19176" spans="1:7" x14ac:dyDescent="0.25">
      <c r="A19176" t="s">
        <v>57379</v>
      </c>
      <c r="B19176" t="s">
        <v>58196</v>
      </c>
      <c r="C19176" t="s">
        <v>22359</v>
      </c>
      <c r="D19176" t="s">
        <v>58197</v>
      </c>
      <c r="E19176" t="s">
        <v>58198</v>
      </c>
      <c r="F19176" t="s">
        <v>58199</v>
      </c>
      <c r="G19176" s="2" t="str">
        <f>HYPERLINK("https://probpalata.gov.ru/files/ЮЛ740700581300000.jpeg","Скачать индивидуальный QR-код магазина")</f>
        <v>Скачать индивидуальный QR-код магазина</v>
      </c>
    </row>
    <row r="19177" spans="1:7" x14ac:dyDescent="0.25">
      <c r="A19177" t="s">
        <v>57379</v>
      </c>
      <c r="B19177" t="s">
        <v>58200</v>
      </c>
      <c r="C19177" t="s">
        <v>22359</v>
      </c>
      <c r="D19177" t="s">
        <v>58197</v>
      </c>
      <c r="E19177" t="s">
        <v>58198</v>
      </c>
      <c r="F19177" t="s">
        <v>58201</v>
      </c>
      <c r="G19177" s="2" t="str">
        <f>HYPERLINK("https://probpalata.gov.ru/files/ЮЛ740700581300001.jpeg","Скачать индивидуальный QR-код магазина")</f>
        <v>Скачать индивидуальный QR-код магазина</v>
      </c>
    </row>
    <row r="19178" spans="1:7" x14ac:dyDescent="0.25">
      <c r="A19178" t="s">
        <v>57379</v>
      </c>
      <c r="B19178" t="s">
        <v>58202</v>
      </c>
      <c r="C19178" t="s">
        <v>22359</v>
      </c>
      <c r="D19178" t="s">
        <v>58197</v>
      </c>
      <c r="E19178" t="s">
        <v>58198</v>
      </c>
      <c r="F19178" t="s">
        <v>58203</v>
      </c>
      <c r="G19178" s="2" t="str">
        <f>HYPERLINK("https://probpalata.gov.ru/files/ЮЛ740700581300002.jpeg","Скачать индивидуальный QR-код магазина")</f>
        <v>Скачать индивидуальный QR-код магазина</v>
      </c>
    </row>
    <row r="19179" spans="1:7" x14ac:dyDescent="0.25">
      <c r="A19179" t="s">
        <v>57379</v>
      </c>
      <c r="B19179" t="s">
        <v>58204</v>
      </c>
      <c r="C19179" t="s">
        <v>22359</v>
      </c>
      <c r="D19179" t="s">
        <v>58197</v>
      </c>
      <c r="E19179" t="s">
        <v>58198</v>
      </c>
      <c r="F19179" t="s">
        <v>58205</v>
      </c>
      <c r="G19179" s="2" t="str">
        <f>HYPERLINK("https://probpalata.gov.ru/files/ЮЛ740700581300003.jpeg","Скачать индивидуальный QR-код магазина")</f>
        <v>Скачать индивидуальный QR-код магазина</v>
      </c>
    </row>
    <row r="19180" spans="1:7" x14ac:dyDescent="0.25">
      <c r="A19180" t="s">
        <v>57379</v>
      </c>
      <c r="B19180" t="s">
        <v>58206</v>
      </c>
      <c r="C19180" t="s">
        <v>22359</v>
      </c>
      <c r="D19180" t="s">
        <v>58197</v>
      </c>
      <c r="E19180" t="s">
        <v>58198</v>
      </c>
      <c r="F19180" t="s">
        <v>58207</v>
      </c>
      <c r="G19180" s="2" t="str">
        <f>HYPERLINK("https://probpalata.gov.ru/files/ЮЛ740700581300004.jpeg","Скачать индивидуальный QR-код магазина")</f>
        <v>Скачать индивидуальный QR-код магазина</v>
      </c>
    </row>
    <row r="19181" spans="1:7" x14ac:dyDescent="0.25">
      <c r="A19181" t="s">
        <v>57379</v>
      </c>
      <c r="B19181" t="s">
        <v>58208</v>
      </c>
      <c r="C19181" t="s">
        <v>22359</v>
      </c>
      <c r="D19181" t="s">
        <v>58197</v>
      </c>
      <c r="E19181" t="s">
        <v>58198</v>
      </c>
      <c r="F19181" t="s">
        <v>58209</v>
      </c>
      <c r="G19181" s="2" t="str">
        <f>HYPERLINK("https://probpalata.gov.ru/files/ЮЛ740700581300005.jpeg","Скачать индивидуальный QR-код магазина")</f>
        <v>Скачать индивидуальный QR-код магазина</v>
      </c>
    </row>
    <row r="19182" spans="1:7" x14ac:dyDescent="0.25">
      <c r="A19182" t="s">
        <v>57379</v>
      </c>
      <c r="B19182" t="s">
        <v>58210</v>
      </c>
      <c r="C19182" t="s">
        <v>22359</v>
      </c>
      <c r="D19182" t="s">
        <v>58197</v>
      </c>
      <c r="E19182" t="s">
        <v>58198</v>
      </c>
      <c r="F19182" t="s">
        <v>58211</v>
      </c>
      <c r="G19182" s="2" t="str">
        <f>HYPERLINK("https://probpalata.gov.ru/files/ЮЛ740700581300006.jpeg","Скачать индивидуальный QR-код магазина")</f>
        <v>Скачать индивидуальный QR-код магазина</v>
      </c>
    </row>
    <row r="19183" spans="1:7" x14ac:dyDescent="0.25">
      <c r="A19183" t="s">
        <v>57379</v>
      </c>
      <c r="B19183" t="s">
        <v>58212</v>
      </c>
      <c r="C19183" t="s">
        <v>22359</v>
      </c>
      <c r="D19183" t="s">
        <v>58197</v>
      </c>
      <c r="E19183" t="s">
        <v>58198</v>
      </c>
      <c r="F19183" t="s">
        <v>58213</v>
      </c>
      <c r="G19183" s="2" t="str">
        <f>HYPERLINK("https://probpalata.gov.ru/files/ЮЛ740700581300007.jpeg","Скачать индивидуальный QR-код магазина")</f>
        <v>Скачать индивидуальный QR-код магазина</v>
      </c>
    </row>
    <row r="19184" spans="1:7" x14ac:dyDescent="0.25">
      <c r="A19184" t="s">
        <v>57379</v>
      </c>
      <c r="B19184" t="s">
        <v>58214</v>
      </c>
      <c r="C19184" t="s">
        <v>22359</v>
      </c>
      <c r="D19184" t="s">
        <v>58197</v>
      </c>
      <c r="E19184" t="s">
        <v>58198</v>
      </c>
      <c r="F19184" t="s">
        <v>58215</v>
      </c>
      <c r="G19184" s="2" t="str">
        <f>HYPERLINK("https://probpalata.gov.ru/files/ЮЛ740700581300008.jpeg","Скачать индивидуальный QR-код магазина")</f>
        <v>Скачать индивидуальный QR-код магазина</v>
      </c>
    </row>
    <row r="19185" spans="1:7" x14ac:dyDescent="0.25">
      <c r="A19185" t="s">
        <v>57379</v>
      </c>
      <c r="B19185" t="s">
        <v>58216</v>
      </c>
      <c r="C19185" t="s">
        <v>22359</v>
      </c>
      <c r="D19185" t="s">
        <v>58197</v>
      </c>
      <c r="E19185" t="s">
        <v>58198</v>
      </c>
      <c r="F19185" t="s">
        <v>58217</v>
      </c>
      <c r="G19185" s="2" t="str">
        <f>HYPERLINK("https://probpalata.gov.ru/files/ЮЛ740700581300009.jpeg","Скачать индивидуальный QR-код магазина")</f>
        <v>Скачать индивидуальный QR-код магазина</v>
      </c>
    </row>
    <row r="19186" spans="1:7" x14ac:dyDescent="0.25">
      <c r="A19186" t="s">
        <v>57379</v>
      </c>
      <c r="B19186" t="s">
        <v>58218</v>
      </c>
      <c r="C19186" t="s">
        <v>22359</v>
      </c>
      <c r="D19186" t="s">
        <v>58197</v>
      </c>
      <c r="E19186" t="s">
        <v>58198</v>
      </c>
      <c r="F19186" t="s">
        <v>58219</v>
      </c>
      <c r="G19186" s="2" t="str">
        <f>HYPERLINK("https://probpalata.gov.ru/files/ЮЛ740700581300010.jpeg","Скачать индивидуальный QR-код магазина")</f>
        <v>Скачать индивидуальный QR-код магазина</v>
      </c>
    </row>
    <row r="19187" spans="1:7" x14ac:dyDescent="0.25">
      <c r="A19187" t="s">
        <v>57379</v>
      </c>
      <c r="B19187" t="s">
        <v>58220</v>
      </c>
      <c r="C19187" t="s">
        <v>22359</v>
      </c>
      <c r="D19187" t="s">
        <v>58197</v>
      </c>
      <c r="E19187" t="s">
        <v>58198</v>
      </c>
      <c r="F19187" t="s">
        <v>58221</v>
      </c>
      <c r="G19187" s="2" t="str">
        <f>HYPERLINK("https://probpalata.gov.ru/files/ЮЛ740700581300011.jpeg","Скачать индивидуальный QR-код магазина")</f>
        <v>Скачать индивидуальный QR-код магазина</v>
      </c>
    </row>
    <row r="19188" spans="1:7" x14ac:dyDescent="0.25">
      <c r="A19188" t="s">
        <v>57379</v>
      </c>
      <c r="B19188" t="s">
        <v>58222</v>
      </c>
      <c r="C19188" t="s">
        <v>22359</v>
      </c>
      <c r="D19188" t="s">
        <v>58197</v>
      </c>
      <c r="E19188" t="s">
        <v>58198</v>
      </c>
      <c r="F19188" t="s">
        <v>58223</v>
      </c>
      <c r="G19188" s="2" t="str">
        <f>HYPERLINK("https://probpalata.gov.ru/files/ЮЛ740700581300013.jpeg","Скачать индивидуальный QR-код магазина")</f>
        <v>Скачать индивидуальный QR-код магазина</v>
      </c>
    </row>
    <row r="19189" spans="1:7" x14ac:dyDescent="0.25">
      <c r="A19189" t="s">
        <v>57379</v>
      </c>
      <c r="B19189" t="s">
        <v>58224</v>
      </c>
      <c r="C19189" t="s">
        <v>22359</v>
      </c>
      <c r="D19189" t="s">
        <v>58197</v>
      </c>
      <c r="E19189" t="s">
        <v>58198</v>
      </c>
      <c r="F19189" t="s">
        <v>58225</v>
      </c>
      <c r="G19189" s="2" t="str">
        <f>HYPERLINK("https://probpalata.gov.ru/files/ЮЛ740700581300015.jpeg","Скачать индивидуальный QR-код магазина")</f>
        <v>Скачать индивидуальный QR-код магазина</v>
      </c>
    </row>
    <row r="19190" spans="1:7" x14ac:dyDescent="0.25">
      <c r="A19190" t="s">
        <v>57379</v>
      </c>
      <c r="B19190" t="s">
        <v>58226</v>
      </c>
      <c r="C19190" t="s">
        <v>22359</v>
      </c>
      <c r="D19190" t="s">
        <v>58197</v>
      </c>
      <c r="E19190" t="s">
        <v>58198</v>
      </c>
      <c r="F19190" t="s">
        <v>58227</v>
      </c>
      <c r="G19190" s="2" t="str">
        <f>HYPERLINK("https://probpalata.gov.ru/files/ЮЛ740700581300017.jpeg","Скачать индивидуальный QR-код магазина")</f>
        <v>Скачать индивидуальный QR-код магазина</v>
      </c>
    </row>
    <row r="19191" spans="1:7" x14ac:dyDescent="0.25">
      <c r="A19191" t="s">
        <v>57379</v>
      </c>
      <c r="B19191" t="s">
        <v>58228</v>
      </c>
      <c r="C19191" t="s">
        <v>22359</v>
      </c>
      <c r="D19191" t="s">
        <v>58197</v>
      </c>
      <c r="E19191" t="s">
        <v>58198</v>
      </c>
      <c r="F19191" t="s">
        <v>58229</v>
      </c>
      <c r="G19191" s="2" t="str">
        <f>HYPERLINK("https://probpalata.gov.ru/files/ЮЛ740700581300018.jpeg","Скачать индивидуальный QR-код магазина")</f>
        <v>Скачать индивидуальный QR-код магазина</v>
      </c>
    </row>
    <row r="19192" spans="1:7" x14ac:dyDescent="0.25">
      <c r="A19192" t="s">
        <v>57379</v>
      </c>
      <c r="B19192" t="s">
        <v>58230</v>
      </c>
      <c r="C19192" t="s">
        <v>22359</v>
      </c>
      <c r="D19192" t="s">
        <v>58197</v>
      </c>
      <c r="E19192" t="s">
        <v>58198</v>
      </c>
      <c r="F19192" t="s">
        <v>58231</v>
      </c>
      <c r="G19192" s="2" t="str">
        <f>HYPERLINK("https://probpalata.gov.ru/files/ЮЛ740700581300019.jpeg","Скачать индивидуальный QR-код магазина")</f>
        <v>Скачать индивидуальный QR-код магазина</v>
      </c>
    </row>
    <row r="19193" spans="1:7" x14ac:dyDescent="0.25">
      <c r="A19193" t="s">
        <v>57379</v>
      </c>
      <c r="B19193" t="s">
        <v>58232</v>
      </c>
      <c r="C19193" t="s">
        <v>52067</v>
      </c>
      <c r="D19193" t="s">
        <v>52068</v>
      </c>
      <c r="E19193" t="s">
        <v>52069</v>
      </c>
      <c r="F19193" t="s">
        <v>58233</v>
      </c>
      <c r="G19193" s="2" t="str">
        <f>HYPERLINK("https://probpalata.gov.ru/files/ИП660703013900000.jpeg","Скачать индивидуальный QR-код магазина")</f>
        <v>Скачать индивидуальный QR-код магазина</v>
      </c>
    </row>
    <row r="19194" spans="1:7" x14ac:dyDescent="0.25">
      <c r="A19194" t="s">
        <v>57379</v>
      </c>
      <c r="B19194" t="s">
        <v>58234</v>
      </c>
      <c r="C19194" t="s">
        <v>52067</v>
      </c>
      <c r="D19194" t="s">
        <v>52068</v>
      </c>
      <c r="E19194" t="s">
        <v>52069</v>
      </c>
      <c r="F19194" t="s">
        <v>58235</v>
      </c>
      <c r="G19194" s="2" t="str">
        <f>HYPERLINK("https://probpalata.gov.ru/files/ИП660703013900007.jpeg","Скачать индивидуальный QR-код магазина")</f>
        <v>Скачать индивидуальный QR-код магазина</v>
      </c>
    </row>
    <row r="19195" spans="1:7" x14ac:dyDescent="0.25">
      <c r="A19195" t="s">
        <v>57379</v>
      </c>
      <c r="B19195" t="s">
        <v>58236</v>
      </c>
      <c r="C19195" t="s">
        <v>52067</v>
      </c>
      <c r="D19195" t="s">
        <v>52068</v>
      </c>
      <c r="E19195" t="s">
        <v>52069</v>
      </c>
      <c r="F19195" t="s">
        <v>58237</v>
      </c>
      <c r="G19195" s="2" t="str">
        <f>HYPERLINK("https://probpalata.gov.ru/files/ИП660703013900008.jpeg","Скачать индивидуальный QR-код магазина")</f>
        <v>Скачать индивидуальный QR-код магазина</v>
      </c>
    </row>
    <row r="19196" spans="1:7" x14ac:dyDescent="0.25">
      <c r="A19196" t="s">
        <v>57379</v>
      </c>
      <c r="B19196" t="s">
        <v>58238</v>
      </c>
      <c r="C19196" t="s">
        <v>52067</v>
      </c>
      <c r="D19196" t="s">
        <v>52068</v>
      </c>
      <c r="E19196" t="s">
        <v>52069</v>
      </c>
      <c r="F19196" t="s">
        <v>58239</v>
      </c>
      <c r="G19196" s="2" t="str">
        <f>HYPERLINK("https://probpalata.gov.ru/files/ИП660703013900009.jpeg","Скачать индивидуальный QR-код магазина")</f>
        <v>Скачать индивидуальный QR-код магазина</v>
      </c>
    </row>
    <row r="19197" spans="1:7" x14ac:dyDescent="0.25">
      <c r="A19197" t="s">
        <v>57379</v>
      </c>
      <c r="B19197" t="s">
        <v>58240</v>
      </c>
      <c r="C19197" t="s">
        <v>52067</v>
      </c>
      <c r="D19197" t="s">
        <v>52068</v>
      </c>
      <c r="E19197" t="s">
        <v>52069</v>
      </c>
      <c r="F19197" t="s">
        <v>58241</v>
      </c>
      <c r="G19197" s="2" t="str">
        <f>HYPERLINK("https://probpalata.gov.ru/files/ИП660703013900010.jpeg","Скачать индивидуальный QR-код магазина")</f>
        <v>Скачать индивидуальный QR-код магазина</v>
      </c>
    </row>
    <row r="19198" spans="1:7" x14ac:dyDescent="0.25">
      <c r="A19198" t="s">
        <v>57379</v>
      </c>
      <c r="B19198" t="s">
        <v>58242</v>
      </c>
      <c r="C19198" t="s">
        <v>52067</v>
      </c>
      <c r="D19198" t="s">
        <v>52068</v>
      </c>
      <c r="E19198" t="s">
        <v>52069</v>
      </c>
      <c r="F19198" t="s">
        <v>58243</v>
      </c>
      <c r="G19198" s="2" t="str">
        <f>HYPERLINK("https://probpalata.gov.ru/files/ИП660703013900011.jpeg","Скачать индивидуальный QR-код магазина")</f>
        <v>Скачать индивидуальный QR-код магазина</v>
      </c>
    </row>
    <row r="19199" spans="1:7" x14ac:dyDescent="0.25">
      <c r="A19199" t="s">
        <v>57379</v>
      </c>
      <c r="B19199" t="s">
        <v>58244</v>
      </c>
      <c r="C19199" t="s">
        <v>52067</v>
      </c>
      <c r="D19199" t="s">
        <v>52068</v>
      </c>
      <c r="E19199" t="s">
        <v>52069</v>
      </c>
      <c r="F19199" t="s">
        <v>58245</v>
      </c>
      <c r="G19199" s="2" t="str">
        <f>HYPERLINK("https://probpalata.gov.ru/files/ИП660703013900012.jpeg","Скачать индивидуальный QR-код магазина")</f>
        <v>Скачать индивидуальный QR-код магазина</v>
      </c>
    </row>
    <row r="19200" spans="1:7" x14ac:dyDescent="0.25">
      <c r="A19200" t="s">
        <v>57379</v>
      </c>
      <c r="B19200" t="s">
        <v>58246</v>
      </c>
      <c r="C19200" t="s">
        <v>58247</v>
      </c>
      <c r="D19200" t="s">
        <v>58248</v>
      </c>
      <c r="E19200" t="s">
        <v>58249</v>
      </c>
      <c r="F19200" t="s">
        <v>58250</v>
      </c>
      <c r="G19200" s="2" t="str">
        <f>HYPERLINK("https://probpalata.gov.ru/files/ИП740701115600000.jpeg","Скачать индивидуальный QR-код магазина")</f>
        <v>Скачать индивидуальный QR-код магазина</v>
      </c>
    </row>
    <row r="19201" spans="1:7" x14ac:dyDescent="0.25">
      <c r="A19201" t="s">
        <v>57379</v>
      </c>
      <c r="B19201" t="s">
        <v>58251</v>
      </c>
      <c r="C19201" t="s">
        <v>58252</v>
      </c>
      <c r="D19201" t="s">
        <v>58253</v>
      </c>
      <c r="E19201" t="s">
        <v>58254</v>
      </c>
      <c r="F19201" t="s">
        <v>58255</v>
      </c>
      <c r="G19201" s="2" t="str">
        <f>HYPERLINK("https://probpalata.gov.ru/files/ИП740703811800000.jpeg","Скачать индивидуальный QR-код магазина")</f>
        <v>Скачать индивидуальный QR-код магазина</v>
      </c>
    </row>
    <row r="19202" spans="1:7" x14ac:dyDescent="0.25">
      <c r="A19202" t="s">
        <v>57379</v>
      </c>
      <c r="B19202" t="s">
        <v>58256</v>
      </c>
      <c r="C19202" t="s">
        <v>58257</v>
      </c>
      <c r="D19202" t="s">
        <v>58258</v>
      </c>
      <c r="E19202" t="s">
        <v>58259</v>
      </c>
      <c r="F19202" t="s">
        <v>58260</v>
      </c>
      <c r="G19202" s="2" t="str">
        <f>HYPERLINK("https://probpalata.gov.ru/files/ЮЛ740700322500000.jpeg","Скачать индивидуальный QR-код магазина")</f>
        <v>Скачать индивидуальный QR-код магазина</v>
      </c>
    </row>
    <row r="19203" spans="1:7" x14ac:dyDescent="0.25">
      <c r="A19203" t="s">
        <v>57379</v>
      </c>
      <c r="B19203" t="s">
        <v>58261</v>
      </c>
      <c r="C19203" t="s">
        <v>58262</v>
      </c>
      <c r="D19203" t="s">
        <v>58263</v>
      </c>
      <c r="E19203" t="s">
        <v>58264</v>
      </c>
      <c r="F19203" t="s">
        <v>58265</v>
      </c>
      <c r="G19203" s="2" t="str">
        <f>HYPERLINK("https://probpalata.gov.ru/files/ИП660703131600000.jpeg","Скачать индивидуальный QR-код магазина")</f>
        <v>Скачать индивидуальный QR-код магазина</v>
      </c>
    </row>
    <row r="19204" spans="1:7" x14ac:dyDescent="0.25">
      <c r="A19204" t="s">
        <v>57379</v>
      </c>
      <c r="B19204" t="s">
        <v>58266</v>
      </c>
      <c r="C19204" t="s">
        <v>58262</v>
      </c>
      <c r="D19204" t="s">
        <v>58263</v>
      </c>
      <c r="E19204" t="s">
        <v>58264</v>
      </c>
      <c r="F19204" t="s">
        <v>58267</v>
      </c>
      <c r="G19204" s="2" t="str">
        <f>HYPERLINK("https://probpalata.gov.ru/files/ИП660703131600002.jpeg","Скачать индивидуальный QR-код магазина")</f>
        <v>Скачать индивидуальный QR-код магазина</v>
      </c>
    </row>
    <row r="19205" spans="1:7" x14ac:dyDescent="0.25">
      <c r="A19205" t="s">
        <v>57379</v>
      </c>
      <c r="B19205" t="s">
        <v>58268</v>
      </c>
      <c r="C19205" t="s">
        <v>58262</v>
      </c>
      <c r="D19205" t="s">
        <v>58263</v>
      </c>
      <c r="E19205" t="s">
        <v>58264</v>
      </c>
      <c r="F19205" t="s">
        <v>58269</v>
      </c>
      <c r="G19205" s="2" t="str">
        <f>HYPERLINK("https://probpalata.gov.ru/files/ИП660703131600003.jpeg","Скачать индивидуальный QR-код магазина")</f>
        <v>Скачать индивидуальный QR-код магазина</v>
      </c>
    </row>
    <row r="19206" spans="1:7" x14ac:dyDescent="0.25">
      <c r="A19206" t="s">
        <v>57379</v>
      </c>
      <c r="B19206" t="s">
        <v>58270</v>
      </c>
      <c r="C19206" t="s">
        <v>58262</v>
      </c>
      <c r="D19206" t="s">
        <v>58263</v>
      </c>
      <c r="E19206" t="s">
        <v>58264</v>
      </c>
      <c r="F19206" t="s">
        <v>58271</v>
      </c>
      <c r="G19206" s="2" t="str">
        <f>HYPERLINK("https://probpalata.gov.ru/files/ИП660703131600007.jpeg","Скачать индивидуальный QR-код магазина")</f>
        <v>Скачать индивидуальный QR-код магазина</v>
      </c>
    </row>
    <row r="19207" spans="1:7" x14ac:dyDescent="0.25">
      <c r="A19207" t="s">
        <v>57379</v>
      </c>
      <c r="B19207" t="s">
        <v>58272</v>
      </c>
      <c r="C19207" t="s">
        <v>58262</v>
      </c>
      <c r="D19207" t="s">
        <v>58263</v>
      </c>
      <c r="E19207" t="s">
        <v>58264</v>
      </c>
      <c r="F19207" t="s">
        <v>58273</v>
      </c>
      <c r="G19207" s="2" t="str">
        <f>HYPERLINK("https://probpalata.gov.ru/files/ИП660703131600008.jpeg","Скачать индивидуальный QR-код магазина")</f>
        <v>Скачать индивидуальный QR-код магазина</v>
      </c>
    </row>
    <row r="19208" spans="1:7" x14ac:dyDescent="0.25">
      <c r="A19208" t="s">
        <v>57379</v>
      </c>
      <c r="B19208" t="s">
        <v>58274</v>
      </c>
      <c r="C19208" t="s">
        <v>58262</v>
      </c>
      <c r="D19208" t="s">
        <v>58263</v>
      </c>
      <c r="E19208" t="s">
        <v>58264</v>
      </c>
      <c r="F19208" t="s">
        <v>58275</v>
      </c>
      <c r="G19208" s="2" t="str">
        <f>HYPERLINK("https://probpalata.gov.ru/files/ИП660703131600009.jpeg","Скачать индивидуальный QR-код магазина")</f>
        <v>Скачать индивидуальный QR-код магазина</v>
      </c>
    </row>
    <row r="19209" spans="1:7" x14ac:dyDescent="0.25">
      <c r="A19209" t="s">
        <v>57379</v>
      </c>
      <c r="B19209" t="s">
        <v>58276</v>
      </c>
      <c r="C19209" t="s">
        <v>58262</v>
      </c>
      <c r="D19209" t="s">
        <v>58263</v>
      </c>
      <c r="E19209" t="s">
        <v>58264</v>
      </c>
      <c r="F19209" t="s">
        <v>58277</v>
      </c>
      <c r="G19209" s="2" t="str">
        <f>HYPERLINK("https://probpalata.gov.ru/files/ИП660703131600012.jpeg","Скачать индивидуальный QR-код магазина")</f>
        <v>Скачать индивидуальный QR-код магазина</v>
      </c>
    </row>
    <row r="19210" spans="1:7" x14ac:dyDescent="0.25">
      <c r="A19210" t="s">
        <v>57379</v>
      </c>
      <c r="B19210" t="s">
        <v>58278</v>
      </c>
      <c r="C19210" t="s">
        <v>58262</v>
      </c>
      <c r="D19210" t="s">
        <v>58263</v>
      </c>
      <c r="E19210" t="s">
        <v>58264</v>
      </c>
      <c r="F19210" t="s">
        <v>58279</v>
      </c>
      <c r="G19210" s="2" t="str">
        <f>HYPERLINK("https://probpalata.gov.ru/files/ИП660703131600013.jpeg","Скачать индивидуальный QR-код магазина")</f>
        <v>Скачать индивидуальный QR-код магазина</v>
      </c>
    </row>
    <row r="19211" spans="1:7" x14ac:dyDescent="0.25">
      <c r="A19211" t="s">
        <v>57379</v>
      </c>
      <c r="B19211" t="s">
        <v>58280</v>
      </c>
      <c r="C19211" t="s">
        <v>58262</v>
      </c>
      <c r="D19211" t="s">
        <v>58263</v>
      </c>
      <c r="E19211" t="s">
        <v>58264</v>
      </c>
      <c r="F19211" t="s">
        <v>58281</v>
      </c>
      <c r="G19211" s="2" t="str">
        <f>HYPERLINK("https://probpalata.gov.ru/files/ИП660703131600014.jpeg","Скачать индивидуальный QR-код магазина")</f>
        <v>Скачать индивидуальный QR-код магазина</v>
      </c>
    </row>
    <row r="19212" spans="1:7" x14ac:dyDescent="0.25">
      <c r="A19212" t="s">
        <v>57379</v>
      </c>
      <c r="B19212" t="s">
        <v>58282</v>
      </c>
      <c r="C19212" t="s">
        <v>58262</v>
      </c>
      <c r="D19212" t="s">
        <v>58263</v>
      </c>
      <c r="E19212" t="s">
        <v>58264</v>
      </c>
      <c r="F19212" t="s">
        <v>58283</v>
      </c>
      <c r="G19212" s="2" t="str">
        <f>HYPERLINK("https://probpalata.gov.ru/files/ИП660703131600015.jpeg","Скачать индивидуальный QR-код магазина")</f>
        <v>Скачать индивидуальный QR-код магазина</v>
      </c>
    </row>
    <row r="19213" spans="1:7" x14ac:dyDescent="0.25">
      <c r="A19213" t="s">
        <v>57379</v>
      </c>
      <c r="B19213" t="s">
        <v>58284</v>
      </c>
      <c r="C19213" t="s">
        <v>58262</v>
      </c>
      <c r="D19213" t="s">
        <v>58263</v>
      </c>
      <c r="E19213" t="s">
        <v>58264</v>
      </c>
      <c r="F19213" t="s">
        <v>58285</v>
      </c>
      <c r="G19213" s="2" t="str">
        <f>HYPERLINK("https://probpalata.gov.ru/files/ИП660703131600017.jpeg","Скачать индивидуальный QR-код магазина")</f>
        <v>Скачать индивидуальный QR-код магазина</v>
      </c>
    </row>
    <row r="19214" spans="1:7" x14ac:dyDescent="0.25">
      <c r="A19214" t="s">
        <v>57379</v>
      </c>
      <c r="B19214" t="s">
        <v>58286</v>
      </c>
      <c r="C19214" t="s">
        <v>58287</v>
      </c>
      <c r="D19214" t="s">
        <v>58288</v>
      </c>
      <c r="E19214" t="s">
        <v>58289</v>
      </c>
      <c r="F19214" t="s">
        <v>58290</v>
      </c>
      <c r="G19214" s="2" t="str">
        <f>HYPERLINK("https://probpalata.gov.ru/files/ЮЛ740700859800000.jpeg","Скачать индивидуальный QR-код магазина")</f>
        <v>Скачать индивидуальный QR-код магазина</v>
      </c>
    </row>
    <row r="19215" spans="1:7" x14ac:dyDescent="0.25">
      <c r="A19215" t="s">
        <v>57379</v>
      </c>
      <c r="B19215" t="s">
        <v>58291</v>
      </c>
      <c r="C19215" t="s">
        <v>58292</v>
      </c>
      <c r="D19215" t="s">
        <v>58293</v>
      </c>
      <c r="E19215" t="s">
        <v>58294</v>
      </c>
      <c r="F19215" t="s">
        <v>58295</v>
      </c>
      <c r="G19215" s="2" t="str">
        <f>HYPERLINK("https://probpalata.gov.ru/files/ИП740703708700000.jpeg","Скачать индивидуальный QR-код магазина")</f>
        <v>Скачать индивидуальный QR-код магазина</v>
      </c>
    </row>
    <row r="19216" spans="1:7" x14ac:dyDescent="0.25">
      <c r="A19216" t="s">
        <v>57379</v>
      </c>
      <c r="B19216" t="s">
        <v>58296</v>
      </c>
      <c r="C19216" t="s">
        <v>58297</v>
      </c>
      <c r="D19216" t="s">
        <v>58298</v>
      </c>
      <c r="E19216" t="s">
        <v>58299</v>
      </c>
      <c r="F19216" t="s">
        <v>58300</v>
      </c>
      <c r="G19216" s="2" t="str">
        <f>HYPERLINK("https://probpalata.gov.ru/files/ЮЛ740700727900000.jpeg","Скачать индивидуальный QR-код магазина")</f>
        <v>Скачать индивидуальный QR-код магазина</v>
      </c>
    </row>
    <row r="19217" spans="1:7" x14ac:dyDescent="0.25">
      <c r="A19217" t="s">
        <v>57379</v>
      </c>
      <c r="B19217" t="s">
        <v>58301</v>
      </c>
      <c r="C19217" t="s">
        <v>58302</v>
      </c>
      <c r="D19217" t="s">
        <v>58303</v>
      </c>
      <c r="E19217" t="s">
        <v>58304</v>
      </c>
      <c r="F19217" t="s">
        <v>58305</v>
      </c>
      <c r="G19217" s="2" t="str">
        <f>HYPERLINK("https://probpalata.gov.ru/files/ЮЛ740701101700000.jpeg","Скачать индивидуальный QR-код магазина")</f>
        <v>Скачать индивидуальный QR-код магазина</v>
      </c>
    </row>
    <row r="19218" spans="1:7" x14ac:dyDescent="0.25">
      <c r="A19218" t="s">
        <v>57379</v>
      </c>
      <c r="B19218" t="s">
        <v>58306</v>
      </c>
      <c r="C19218" t="s">
        <v>31103</v>
      </c>
      <c r="D19218" t="s">
        <v>58307</v>
      </c>
      <c r="E19218" t="s">
        <v>58308</v>
      </c>
      <c r="F19218" t="s">
        <v>58309</v>
      </c>
      <c r="G19218" s="2" t="str">
        <f>HYPERLINK("https://probpalata.gov.ru/files/ЮЛ740703122900000.jpeg","Скачать индивидуальный QR-код магазина")</f>
        <v>Скачать индивидуальный QR-код магазина</v>
      </c>
    </row>
    <row r="19219" spans="1:7" x14ac:dyDescent="0.25">
      <c r="A19219" t="s">
        <v>57379</v>
      </c>
      <c r="B19219" t="s">
        <v>58310</v>
      </c>
      <c r="C19219" t="s">
        <v>58311</v>
      </c>
      <c r="D19219" t="s">
        <v>58312</v>
      </c>
      <c r="E19219" t="s">
        <v>58313</v>
      </c>
      <c r="F19219" t="s">
        <v>58314</v>
      </c>
      <c r="G19219" s="2" t="str">
        <f>HYPERLINK("https://probpalata.gov.ru/files/ЮЛ740703087200000.jpeg","Скачать индивидуальный QR-код магазина")</f>
        <v>Скачать индивидуальный QR-код магазина</v>
      </c>
    </row>
    <row r="19220" spans="1:7" x14ac:dyDescent="0.25">
      <c r="A19220" t="s">
        <v>57379</v>
      </c>
      <c r="B19220" t="s">
        <v>58315</v>
      </c>
      <c r="C19220" t="s">
        <v>58316</v>
      </c>
      <c r="D19220" t="s">
        <v>58317</v>
      </c>
      <c r="E19220" t="s">
        <v>58318</v>
      </c>
      <c r="F19220" t="s">
        <v>58319</v>
      </c>
      <c r="G19220" s="2" t="str">
        <f>HYPERLINK("https://probpalata.gov.ru/files/ЮЛ740701415000000.jpeg","Скачать индивидуальный QR-код магазина")</f>
        <v>Скачать индивидуальный QR-код магазина</v>
      </c>
    </row>
    <row r="19221" spans="1:7" x14ac:dyDescent="0.25">
      <c r="A19221" t="s">
        <v>57379</v>
      </c>
      <c r="B19221" t="s">
        <v>58320</v>
      </c>
      <c r="C19221" t="s">
        <v>55693</v>
      </c>
      <c r="D19221" t="s">
        <v>55694</v>
      </c>
      <c r="E19221" t="s">
        <v>55695</v>
      </c>
      <c r="F19221" t="s">
        <v>58321</v>
      </c>
      <c r="G19221" s="2" t="str">
        <f>HYPERLINK("https://probpalata.gov.ru/files/ЮЛ740700699600000.jpeg","Скачать индивидуальный QR-код магазина")</f>
        <v>Скачать индивидуальный QR-код магазина</v>
      </c>
    </row>
    <row r="19222" spans="1:7" x14ac:dyDescent="0.25">
      <c r="A19222" t="s">
        <v>57379</v>
      </c>
      <c r="B19222" t="s">
        <v>58322</v>
      </c>
      <c r="C19222" t="s">
        <v>58323</v>
      </c>
      <c r="D19222" t="s">
        <v>58324</v>
      </c>
      <c r="E19222" t="s">
        <v>58325</v>
      </c>
      <c r="F19222" t="s">
        <v>58326</v>
      </c>
      <c r="G19222" s="2" t="str">
        <f>HYPERLINK("https://probpalata.gov.ru/files/ИП740703149900000.jpeg","Скачать индивидуальный QR-код магазина")</f>
        <v>Скачать индивидуальный QR-код магазина</v>
      </c>
    </row>
    <row r="19223" spans="1:7" x14ac:dyDescent="0.25">
      <c r="A19223" t="s">
        <v>57379</v>
      </c>
      <c r="B19223" t="s">
        <v>58327</v>
      </c>
      <c r="C19223" t="s">
        <v>58328</v>
      </c>
      <c r="D19223" t="s">
        <v>58329</v>
      </c>
      <c r="E19223" t="s">
        <v>58330</v>
      </c>
      <c r="F19223" t="s">
        <v>58331</v>
      </c>
      <c r="G19223" s="2" t="str">
        <f>HYPERLINK("https://probpalata.gov.ru/files/ИП740701141200000.jpeg","Скачать индивидуальный QR-код магазина")</f>
        <v>Скачать индивидуальный QR-код магазина</v>
      </c>
    </row>
    <row r="19224" spans="1:7" x14ac:dyDescent="0.25">
      <c r="A19224" t="s">
        <v>57379</v>
      </c>
      <c r="B19224" t="s">
        <v>58332</v>
      </c>
      <c r="C19224" t="s">
        <v>37752</v>
      </c>
      <c r="D19224" t="s">
        <v>37753</v>
      </c>
      <c r="E19224" t="s">
        <v>37754</v>
      </c>
      <c r="F19224" t="s">
        <v>58333</v>
      </c>
      <c r="G19224" s="2" t="str">
        <f>HYPERLINK("https://probpalata.gov.ru/files/ЮЛ740700065400000.jpeg","Скачать индивидуальный QR-код магазина")</f>
        <v>Скачать индивидуальный QR-код магазина</v>
      </c>
    </row>
    <row r="19225" spans="1:7" x14ac:dyDescent="0.25">
      <c r="A19225" t="s">
        <v>57379</v>
      </c>
      <c r="B19225" t="s">
        <v>58334</v>
      </c>
      <c r="C19225" t="s">
        <v>37752</v>
      </c>
      <c r="D19225" t="s">
        <v>37753</v>
      </c>
      <c r="E19225" t="s">
        <v>37754</v>
      </c>
      <c r="F19225" t="s">
        <v>58335</v>
      </c>
      <c r="G19225" s="2" t="str">
        <f>HYPERLINK("https://probpalata.gov.ru/files/ЮЛ740700065400005.jpeg","Скачать индивидуальный QR-код магазина")</f>
        <v>Скачать индивидуальный QR-код магазина</v>
      </c>
    </row>
    <row r="19226" spans="1:7" x14ac:dyDescent="0.25">
      <c r="A19226" t="s">
        <v>57379</v>
      </c>
      <c r="B19226" t="s">
        <v>58336</v>
      </c>
      <c r="C19226" t="s">
        <v>41384</v>
      </c>
      <c r="D19226" t="s">
        <v>58337</v>
      </c>
      <c r="E19226" t="s">
        <v>58338</v>
      </c>
      <c r="F19226" t="s">
        <v>58339</v>
      </c>
      <c r="G19226" s="2" t="str">
        <f>HYPERLINK("https://probpalata.gov.ru/files/ЮЛ740700065200000.jpeg","Скачать индивидуальный QR-код магазина")</f>
        <v>Скачать индивидуальный QR-код магазина</v>
      </c>
    </row>
    <row r="19227" spans="1:7" x14ac:dyDescent="0.25">
      <c r="A19227" t="s">
        <v>57379</v>
      </c>
      <c r="B19227" t="s">
        <v>58340</v>
      </c>
      <c r="C19227" t="s">
        <v>58341</v>
      </c>
      <c r="D19227" t="s">
        <v>58342</v>
      </c>
      <c r="E19227" t="s">
        <v>58343</v>
      </c>
      <c r="F19227" t="s">
        <v>58344</v>
      </c>
      <c r="G19227" s="2" t="str">
        <f>HYPERLINK("https://probpalata.gov.ru/files/ЮЛ740700214700000.jpeg","Скачать индивидуальный QR-код магазина")</f>
        <v>Скачать индивидуальный QR-код магазина</v>
      </c>
    </row>
    <row r="19228" spans="1:7" x14ac:dyDescent="0.25">
      <c r="A19228" t="s">
        <v>57379</v>
      </c>
      <c r="B19228" t="s">
        <v>58345</v>
      </c>
      <c r="C19228" t="s">
        <v>58346</v>
      </c>
      <c r="D19228" t="s">
        <v>58347</v>
      </c>
      <c r="E19228" t="s">
        <v>58348</v>
      </c>
      <c r="F19228" t="s">
        <v>58349</v>
      </c>
      <c r="G19228" s="2" t="str">
        <f>HYPERLINK("https://probpalata.gov.ru/files/ЮЛ740700123000000.jpeg","Скачать индивидуальный QR-код магазина")</f>
        <v>Скачать индивидуальный QR-код магазина</v>
      </c>
    </row>
    <row r="19229" spans="1:7" x14ac:dyDescent="0.25">
      <c r="A19229" t="s">
        <v>57379</v>
      </c>
      <c r="B19229" t="s">
        <v>58350</v>
      </c>
      <c r="C19229" t="s">
        <v>58351</v>
      </c>
      <c r="D19229" t="s">
        <v>58352</v>
      </c>
      <c r="E19229" t="s">
        <v>58353</v>
      </c>
      <c r="F19229" t="s">
        <v>58354</v>
      </c>
      <c r="G19229" s="2" t="str">
        <f>HYPERLINK("https://probpalata.gov.ru/files/ЮЛ740703584900002.jpeg","Скачать индивидуальный QR-код магазина")</f>
        <v>Скачать индивидуальный QR-код магазина</v>
      </c>
    </row>
    <row r="19230" spans="1:7" x14ac:dyDescent="0.25">
      <c r="A19230" t="s">
        <v>57379</v>
      </c>
      <c r="B19230" t="s">
        <v>58355</v>
      </c>
      <c r="C19230" t="s">
        <v>58351</v>
      </c>
      <c r="D19230" t="s">
        <v>58352</v>
      </c>
      <c r="E19230" t="s">
        <v>58353</v>
      </c>
      <c r="F19230" t="s">
        <v>58356</v>
      </c>
      <c r="G19230" s="2" t="str">
        <f>HYPERLINK("https://probpalata.gov.ru/files/ЮЛ740703584900004.jpeg","Скачать индивидуальный QR-код магазина")</f>
        <v>Скачать индивидуальный QR-код магазина</v>
      </c>
    </row>
    <row r="19231" spans="1:7" x14ac:dyDescent="0.25">
      <c r="A19231" t="s">
        <v>57379</v>
      </c>
      <c r="B19231" t="s">
        <v>58355</v>
      </c>
      <c r="C19231" t="s">
        <v>58351</v>
      </c>
      <c r="D19231" t="s">
        <v>58352</v>
      </c>
      <c r="E19231" t="s">
        <v>58353</v>
      </c>
      <c r="F19231" t="s">
        <v>58357</v>
      </c>
      <c r="G19231" s="2" t="str">
        <f>HYPERLINK("https://probpalata.gov.ru/files/ЮЛ740703584900005.jpeg","Скачать индивидуальный QR-код магазина")</f>
        <v>Скачать индивидуальный QR-код магазина</v>
      </c>
    </row>
    <row r="19232" spans="1:7" x14ac:dyDescent="0.25">
      <c r="A19232" t="s">
        <v>57379</v>
      </c>
      <c r="B19232" t="s">
        <v>58358</v>
      </c>
      <c r="C19232" t="s">
        <v>58359</v>
      </c>
      <c r="D19232" t="s">
        <v>58360</v>
      </c>
      <c r="E19232" t="s">
        <v>58361</v>
      </c>
      <c r="F19232" t="s">
        <v>58362</v>
      </c>
      <c r="G19232" s="2" t="str">
        <f>HYPERLINK("https://probpalata.gov.ru/files/ИП740703289000000.jpeg","Скачать индивидуальный QR-код магазина")</f>
        <v>Скачать индивидуальный QR-код магазина</v>
      </c>
    </row>
    <row r="19233" spans="1:7" x14ac:dyDescent="0.25">
      <c r="A19233" t="s">
        <v>57379</v>
      </c>
      <c r="B19233" t="s">
        <v>58363</v>
      </c>
      <c r="C19233" t="s">
        <v>58359</v>
      </c>
      <c r="D19233" t="s">
        <v>58360</v>
      </c>
      <c r="E19233" t="s">
        <v>58361</v>
      </c>
      <c r="F19233" t="s">
        <v>58364</v>
      </c>
      <c r="G19233" s="2" t="str">
        <f>HYPERLINK("https://probpalata.gov.ru/files/ИП740703289000002.jpeg","Скачать индивидуальный QR-код магазина")</f>
        <v>Скачать индивидуальный QR-код магазина</v>
      </c>
    </row>
    <row r="19234" spans="1:7" x14ac:dyDescent="0.25">
      <c r="A19234" t="s">
        <v>57379</v>
      </c>
      <c r="B19234" t="s">
        <v>58365</v>
      </c>
      <c r="C19234" t="s">
        <v>1740</v>
      </c>
      <c r="D19234" t="s">
        <v>1741</v>
      </c>
      <c r="E19234" t="s">
        <v>1742</v>
      </c>
      <c r="F19234" t="s">
        <v>58366</v>
      </c>
      <c r="G19234" s="2" t="str">
        <f>HYPERLINK("https://probpalata.gov.ru/files/ЮЛ760201190700052.jpeg","Скачать индивидуальный QR-код магазина")</f>
        <v>Скачать индивидуальный QR-код магазина</v>
      </c>
    </row>
    <row r="19235" spans="1:7" x14ac:dyDescent="0.25">
      <c r="A19235" t="s">
        <v>57379</v>
      </c>
      <c r="B19235" t="s">
        <v>58367</v>
      </c>
      <c r="C19235" t="s">
        <v>1740</v>
      </c>
      <c r="D19235" t="s">
        <v>1741</v>
      </c>
      <c r="E19235" t="s">
        <v>1742</v>
      </c>
      <c r="F19235" t="s">
        <v>58368</v>
      </c>
      <c r="G19235" s="2" t="str">
        <f>HYPERLINK("https://probpalata.gov.ru/files/ЮЛ760201190700055.jpeg","Скачать индивидуальный QR-код магазина")</f>
        <v>Скачать индивидуальный QR-код магазина</v>
      </c>
    </row>
    <row r="19236" spans="1:7" x14ac:dyDescent="0.25">
      <c r="A19236" t="s">
        <v>57379</v>
      </c>
      <c r="B19236" t="s">
        <v>58369</v>
      </c>
      <c r="C19236" t="s">
        <v>1745</v>
      </c>
      <c r="D19236" t="s">
        <v>1746</v>
      </c>
      <c r="E19236" t="s">
        <v>1747</v>
      </c>
      <c r="F19236" t="s">
        <v>58370</v>
      </c>
      <c r="G19236" s="2" t="str">
        <f>HYPERLINK("https://probpalata.gov.ru/files/ЮЛ770100201500549.jpeg","Скачать индивидуальный QR-код магазина")</f>
        <v>Скачать индивидуальный QR-код магазина</v>
      </c>
    </row>
    <row r="19237" spans="1:7" x14ac:dyDescent="0.25">
      <c r="A19237" t="s">
        <v>57379</v>
      </c>
      <c r="B19237" t="s">
        <v>58371</v>
      </c>
      <c r="C19237" t="s">
        <v>1745</v>
      </c>
      <c r="D19237" t="s">
        <v>1746</v>
      </c>
      <c r="E19237" t="s">
        <v>1747</v>
      </c>
      <c r="F19237" t="s">
        <v>58372</v>
      </c>
      <c r="G19237" s="2" t="str">
        <f>HYPERLINK("https://probpalata.gov.ru/files/ЮЛ770100201500556.jpeg","Скачать индивидуальный QR-код магазина")</f>
        <v>Скачать индивидуальный QR-код магазина</v>
      </c>
    </row>
    <row r="19238" spans="1:7" x14ac:dyDescent="0.25">
      <c r="A19238" t="s">
        <v>57379</v>
      </c>
      <c r="B19238" t="s">
        <v>58373</v>
      </c>
      <c r="C19238" t="s">
        <v>1745</v>
      </c>
      <c r="D19238" t="s">
        <v>1746</v>
      </c>
      <c r="E19238" t="s">
        <v>1747</v>
      </c>
      <c r="F19238" t="s">
        <v>58374</v>
      </c>
      <c r="G19238" s="2" t="str">
        <f>HYPERLINK("https://probpalata.gov.ru/files/ЮЛ770100201500590.jpeg","Скачать индивидуальный QR-код магазина")</f>
        <v>Скачать индивидуальный QR-код магазина</v>
      </c>
    </row>
    <row r="19239" spans="1:7" x14ac:dyDescent="0.25">
      <c r="A19239" t="s">
        <v>57379</v>
      </c>
      <c r="B19239" t="s">
        <v>58375</v>
      </c>
      <c r="C19239" t="s">
        <v>1745</v>
      </c>
      <c r="D19239" t="s">
        <v>1746</v>
      </c>
      <c r="E19239" t="s">
        <v>1747</v>
      </c>
      <c r="F19239" t="s">
        <v>58376</v>
      </c>
      <c r="G19239" s="2" t="str">
        <f>HYPERLINK("https://probpalata.gov.ru/files/ЮЛ770100201500593.jpeg","Скачать индивидуальный QR-код магазина")</f>
        <v>Скачать индивидуальный QR-код магазина</v>
      </c>
    </row>
    <row r="19240" spans="1:7" x14ac:dyDescent="0.25">
      <c r="A19240" t="s">
        <v>57379</v>
      </c>
      <c r="B19240" t="s">
        <v>58377</v>
      </c>
      <c r="C19240" t="s">
        <v>1745</v>
      </c>
      <c r="D19240" t="s">
        <v>1746</v>
      </c>
      <c r="E19240" t="s">
        <v>1747</v>
      </c>
      <c r="F19240" t="s">
        <v>58378</v>
      </c>
      <c r="G19240" s="2" t="str">
        <f>HYPERLINK("https://probpalata.gov.ru/files/ЮЛ770100201500594.jpeg","Скачать индивидуальный QR-код магазина")</f>
        <v>Скачать индивидуальный QR-код магазина</v>
      </c>
    </row>
    <row r="19241" spans="1:7" x14ac:dyDescent="0.25">
      <c r="A19241" t="s">
        <v>57379</v>
      </c>
      <c r="B19241" t="s">
        <v>58379</v>
      </c>
      <c r="C19241" t="s">
        <v>1745</v>
      </c>
      <c r="D19241" t="s">
        <v>1746</v>
      </c>
      <c r="E19241" t="s">
        <v>1747</v>
      </c>
      <c r="F19241" t="s">
        <v>58380</v>
      </c>
      <c r="G19241" s="2" t="str">
        <f>HYPERLINK("https://probpalata.gov.ru/files/ЮЛ770100201500595.jpeg","Скачать индивидуальный QR-код магазина")</f>
        <v>Скачать индивидуальный QR-код магазина</v>
      </c>
    </row>
    <row r="19242" spans="1:7" x14ac:dyDescent="0.25">
      <c r="A19242" t="s">
        <v>57379</v>
      </c>
      <c r="B19242" t="s">
        <v>58381</v>
      </c>
      <c r="C19242" t="s">
        <v>1745</v>
      </c>
      <c r="D19242" t="s">
        <v>1746</v>
      </c>
      <c r="E19242" t="s">
        <v>1747</v>
      </c>
      <c r="F19242" t="s">
        <v>58382</v>
      </c>
      <c r="G19242" s="2" t="str">
        <f>HYPERLINK("https://probpalata.gov.ru/files/ЮЛ770100201500712.jpeg","Скачать индивидуальный QR-код магазина")</f>
        <v>Скачать индивидуальный QR-код магазина</v>
      </c>
    </row>
    <row r="19243" spans="1:7" x14ac:dyDescent="0.25">
      <c r="A19243" t="s">
        <v>57379</v>
      </c>
      <c r="B19243" t="s">
        <v>58383</v>
      </c>
      <c r="C19243" t="s">
        <v>1745</v>
      </c>
      <c r="D19243" t="s">
        <v>1746</v>
      </c>
      <c r="E19243" t="s">
        <v>1747</v>
      </c>
      <c r="F19243" t="s">
        <v>58384</v>
      </c>
      <c r="G19243" s="2" t="str">
        <f>HYPERLINK("https://probpalata.gov.ru/files/ЮЛ770100201500727.jpeg","Скачать индивидуальный QR-код магазина")</f>
        <v>Скачать индивидуальный QR-код магазина</v>
      </c>
    </row>
    <row r="19244" spans="1:7" x14ac:dyDescent="0.25">
      <c r="A19244" t="s">
        <v>57379</v>
      </c>
      <c r="B19244" t="s">
        <v>58385</v>
      </c>
      <c r="C19244" t="s">
        <v>713</v>
      </c>
      <c r="D19244" t="s">
        <v>714</v>
      </c>
      <c r="E19244" t="s">
        <v>715</v>
      </c>
      <c r="F19244" t="s">
        <v>58386</v>
      </c>
      <c r="G19244" s="2" t="str">
        <f>HYPERLINK("https://probpalata.gov.ru/files/ЮЛ770101216600082.jpeg","Скачать индивидуальный QR-код магазина")</f>
        <v>Скачать индивидуальный QR-код магазина</v>
      </c>
    </row>
    <row r="19245" spans="1:7" x14ac:dyDescent="0.25">
      <c r="A19245" t="s">
        <v>57379</v>
      </c>
      <c r="B19245" t="s">
        <v>58387</v>
      </c>
      <c r="C19245" t="s">
        <v>713</v>
      </c>
      <c r="D19245" t="s">
        <v>714</v>
      </c>
      <c r="E19245" t="s">
        <v>715</v>
      </c>
      <c r="F19245" t="s">
        <v>58388</v>
      </c>
      <c r="G19245" s="2" t="str">
        <f>HYPERLINK("https://probpalata.gov.ru/files/ЮЛ770101216600156.jpeg","Скачать индивидуальный QR-код магазина")</f>
        <v>Скачать индивидуальный QR-код магазина</v>
      </c>
    </row>
    <row r="19246" spans="1:7" x14ac:dyDescent="0.25">
      <c r="A19246" t="s">
        <v>57379</v>
      </c>
      <c r="B19246" t="s">
        <v>58389</v>
      </c>
      <c r="C19246" t="s">
        <v>713</v>
      </c>
      <c r="D19246" t="s">
        <v>714</v>
      </c>
      <c r="E19246" t="s">
        <v>715</v>
      </c>
      <c r="F19246" t="s">
        <v>58390</v>
      </c>
      <c r="G19246" s="2" t="str">
        <f>HYPERLINK("https://probpalata.gov.ru/files/ЮЛ770101216600180.jpeg","Скачать индивидуальный QR-код магазина")</f>
        <v>Скачать индивидуальный QR-код магазина</v>
      </c>
    </row>
    <row r="19247" spans="1:7" x14ac:dyDescent="0.25">
      <c r="A19247" t="s">
        <v>57379</v>
      </c>
      <c r="B19247" t="s">
        <v>58391</v>
      </c>
      <c r="C19247" t="s">
        <v>713</v>
      </c>
      <c r="D19247" t="s">
        <v>714</v>
      </c>
      <c r="E19247" t="s">
        <v>715</v>
      </c>
      <c r="F19247" t="s">
        <v>58392</v>
      </c>
      <c r="G19247" s="2" t="str">
        <f>HYPERLINK("https://probpalata.gov.ru/files/ЮЛ770101216600214.jpeg","Скачать индивидуальный QR-код магазина")</f>
        <v>Скачать индивидуальный QR-код магазина</v>
      </c>
    </row>
    <row r="19248" spans="1:7" x14ac:dyDescent="0.25">
      <c r="A19248" t="s">
        <v>57379</v>
      </c>
      <c r="B19248" t="s">
        <v>58393</v>
      </c>
      <c r="C19248" t="s">
        <v>713</v>
      </c>
      <c r="D19248" t="s">
        <v>714</v>
      </c>
      <c r="E19248" t="s">
        <v>715</v>
      </c>
      <c r="F19248" t="s">
        <v>58394</v>
      </c>
      <c r="G19248" s="2" t="str">
        <f>HYPERLINK("https://probpalata.gov.ru/files/ЮЛ770101216600230.jpeg","Скачать индивидуальный QR-код магазина")</f>
        <v>Скачать индивидуальный QR-код магазина</v>
      </c>
    </row>
    <row r="19249" spans="1:7" x14ac:dyDescent="0.25">
      <c r="A19249" t="s">
        <v>57379</v>
      </c>
      <c r="B19249" t="s">
        <v>58395</v>
      </c>
      <c r="C19249" t="s">
        <v>713</v>
      </c>
      <c r="D19249" t="s">
        <v>714</v>
      </c>
      <c r="E19249" t="s">
        <v>715</v>
      </c>
      <c r="F19249" t="s">
        <v>58396</v>
      </c>
      <c r="G19249" s="2" t="str">
        <f>HYPERLINK("https://probpalata.gov.ru/files/ЮЛ770101216600231.jpeg","Скачать индивидуальный QR-код магазина")</f>
        <v>Скачать индивидуальный QR-код магазина</v>
      </c>
    </row>
    <row r="19250" spans="1:7" x14ac:dyDescent="0.25">
      <c r="A19250" t="s">
        <v>57379</v>
      </c>
      <c r="B19250" t="s">
        <v>58397</v>
      </c>
      <c r="C19250" t="s">
        <v>713</v>
      </c>
      <c r="D19250" t="s">
        <v>714</v>
      </c>
      <c r="E19250" t="s">
        <v>715</v>
      </c>
      <c r="F19250" t="s">
        <v>58398</v>
      </c>
      <c r="G19250" s="2" t="str">
        <f>HYPERLINK("https://probpalata.gov.ru/files/ЮЛ770101216600232.jpeg","Скачать индивидуальный QR-код магазина")</f>
        <v>Скачать индивидуальный QR-код магазина</v>
      </c>
    </row>
    <row r="19251" spans="1:7" x14ac:dyDescent="0.25">
      <c r="A19251" t="s">
        <v>57379</v>
      </c>
      <c r="B19251" t="s">
        <v>58399</v>
      </c>
      <c r="C19251" t="s">
        <v>713</v>
      </c>
      <c r="D19251" t="s">
        <v>714</v>
      </c>
      <c r="E19251" t="s">
        <v>715</v>
      </c>
      <c r="F19251" t="s">
        <v>58400</v>
      </c>
      <c r="G19251" s="2" t="str">
        <f>HYPERLINK("https://probpalata.gov.ru/files/ЮЛ770101216600271.jpeg","Скачать индивидуальный QR-код магазина")</f>
        <v>Скачать индивидуальный QR-код магазина</v>
      </c>
    </row>
    <row r="19252" spans="1:7" x14ac:dyDescent="0.25">
      <c r="A19252" t="s">
        <v>57379</v>
      </c>
      <c r="B19252" t="s">
        <v>58401</v>
      </c>
      <c r="C19252" t="s">
        <v>713</v>
      </c>
      <c r="D19252" t="s">
        <v>714</v>
      </c>
      <c r="E19252" t="s">
        <v>715</v>
      </c>
      <c r="F19252" t="s">
        <v>58402</v>
      </c>
      <c r="G19252" s="2" t="str">
        <f>HYPERLINK("https://probpalata.gov.ru/files/ЮЛ770101216600272.jpeg","Скачать индивидуальный QR-код магазина")</f>
        <v>Скачать индивидуальный QR-код магазина</v>
      </c>
    </row>
    <row r="19253" spans="1:7" x14ac:dyDescent="0.25">
      <c r="A19253" t="s">
        <v>57379</v>
      </c>
      <c r="B19253" t="s">
        <v>58403</v>
      </c>
      <c r="C19253" t="s">
        <v>713</v>
      </c>
      <c r="D19253" t="s">
        <v>714</v>
      </c>
      <c r="E19253" t="s">
        <v>715</v>
      </c>
      <c r="F19253" t="s">
        <v>58404</v>
      </c>
      <c r="G19253" s="2" t="str">
        <f>HYPERLINK("https://probpalata.gov.ru/files/ЮЛ770101216600303.jpeg","Скачать индивидуальный QR-код магазина")</f>
        <v>Скачать индивидуальный QR-код магазина</v>
      </c>
    </row>
    <row r="19254" spans="1:7" x14ac:dyDescent="0.25">
      <c r="A19254" t="s">
        <v>57379</v>
      </c>
      <c r="B19254" t="s">
        <v>58405</v>
      </c>
      <c r="C19254" t="s">
        <v>713</v>
      </c>
      <c r="D19254" t="s">
        <v>714</v>
      </c>
      <c r="E19254" t="s">
        <v>715</v>
      </c>
      <c r="F19254" t="s">
        <v>58406</v>
      </c>
      <c r="G19254" s="2" t="str">
        <f>HYPERLINK("https://probpalata.gov.ru/files/ЮЛ770101216600496.jpeg","Скачать индивидуальный QR-код магазина")</f>
        <v>Скачать индивидуальный QR-код магазина</v>
      </c>
    </row>
    <row r="19255" spans="1:7" x14ac:dyDescent="0.25">
      <c r="A19255" t="s">
        <v>57379</v>
      </c>
      <c r="B19255" t="s">
        <v>58407</v>
      </c>
      <c r="C19255" t="s">
        <v>713</v>
      </c>
      <c r="D19255" t="s">
        <v>714</v>
      </c>
      <c r="E19255" t="s">
        <v>715</v>
      </c>
      <c r="F19255" t="s">
        <v>58408</v>
      </c>
      <c r="G19255" s="2" t="str">
        <f>HYPERLINK("https://probpalata.gov.ru/files/ЮЛ770101216600551.jpeg","Скачать индивидуальный QR-код магазина")</f>
        <v>Скачать индивидуальный QR-код магазина</v>
      </c>
    </row>
    <row r="19256" spans="1:7" x14ac:dyDescent="0.25">
      <c r="A19256" t="s">
        <v>57379</v>
      </c>
      <c r="B19256" t="s">
        <v>58409</v>
      </c>
      <c r="C19256" t="s">
        <v>713</v>
      </c>
      <c r="D19256" t="s">
        <v>714</v>
      </c>
      <c r="E19256" t="s">
        <v>715</v>
      </c>
      <c r="F19256" t="s">
        <v>58410</v>
      </c>
      <c r="G19256" s="2" t="str">
        <f>HYPERLINK("https://probpalata.gov.ru/files/ЮЛ770101216600558.jpeg","Скачать индивидуальный QR-код магазина")</f>
        <v>Скачать индивидуальный QR-код магазина</v>
      </c>
    </row>
    <row r="19257" spans="1:7" x14ac:dyDescent="0.25">
      <c r="A19257" t="s">
        <v>57379</v>
      </c>
      <c r="B19257" t="s">
        <v>58411</v>
      </c>
      <c r="C19257" t="s">
        <v>713</v>
      </c>
      <c r="D19257" t="s">
        <v>714</v>
      </c>
      <c r="E19257" t="s">
        <v>715</v>
      </c>
      <c r="F19257" t="s">
        <v>58412</v>
      </c>
      <c r="G19257" s="2" t="str">
        <f>HYPERLINK("https://probpalata.gov.ru/files/ЮЛ770101216600573.jpeg","Скачать индивидуальный QR-код магазина")</f>
        <v>Скачать индивидуальный QR-код магазина</v>
      </c>
    </row>
    <row r="19258" spans="1:7" x14ac:dyDescent="0.25">
      <c r="A19258" t="s">
        <v>57379</v>
      </c>
      <c r="B19258" t="s">
        <v>58413</v>
      </c>
      <c r="C19258" t="s">
        <v>713</v>
      </c>
      <c r="D19258" t="s">
        <v>714</v>
      </c>
      <c r="E19258" t="s">
        <v>715</v>
      </c>
      <c r="F19258" t="s">
        <v>58414</v>
      </c>
      <c r="G19258" s="2" t="str">
        <f>HYPERLINK("https://probpalata.gov.ru/files/ЮЛ770101216600620.jpeg","Скачать индивидуальный QR-код магазина")</f>
        <v>Скачать индивидуальный QR-код магазина</v>
      </c>
    </row>
    <row r="19259" spans="1:7" x14ac:dyDescent="0.25">
      <c r="A19259" t="s">
        <v>57379</v>
      </c>
      <c r="B19259" t="s">
        <v>58415</v>
      </c>
      <c r="C19259" t="s">
        <v>713</v>
      </c>
      <c r="D19259" t="s">
        <v>714</v>
      </c>
      <c r="E19259" t="s">
        <v>715</v>
      </c>
      <c r="F19259" t="s">
        <v>58416</v>
      </c>
      <c r="G19259" s="2" t="str">
        <f>HYPERLINK("https://probpalata.gov.ru/files/ЮЛ770101216600668.jpeg","Скачать индивидуальный QR-код магазина")</f>
        <v>Скачать индивидуальный QR-код магазина</v>
      </c>
    </row>
    <row r="19260" spans="1:7" x14ac:dyDescent="0.25">
      <c r="A19260" t="s">
        <v>57379</v>
      </c>
      <c r="B19260" t="s">
        <v>58417</v>
      </c>
      <c r="C19260" t="s">
        <v>713</v>
      </c>
      <c r="D19260" t="s">
        <v>714</v>
      </c>
      <c r="E19260" t="s">
        <v>715</v>
      </c>
      <c r="F19260" t="s">
        <v>58418</v>
      </c>
      <c r="G19260" s="2" t="str">
        <f>HYPERLINK("https://probpalata.gov.ru/files/ЮЛ770101216600676.jpeg","Скачать индивидуальный QR-код магазина")</f>
        <v>Скачать индивидуальный QR-код магазина</v>
      </c>
    </row>
    <row r="19261" spans="1:7" x14ac:dyDescent="0.25">
      <c r="A19261" t="s">
        <v>57379</v>
      </c>
      <c r="B19261" t="s">
        <v>58419</v>
      </c>
      <c r="C19261" t="s">
        <v>713</v>
      </c>
      <c r="D19261" t="s">
        <v>714</v>
      </c>
      <c r="E19261" t="s">
        <v>715</v>
      </c>
      <c r="F19261" t="s">
        <v>58420</v>
      </c>
      <c r="G19261" s="2" t="str">
        <f>HYPERLINK("https://probpalata.gov.ru/files/ЮЛ770101216600682.jpeg","Скачать индивидуальный QR-код магазина")</f>
        <v>Скачать индивидуальный QR-код магазина</v>
      </c>
    </row>
    <row r="19262" spans="1:7" x14ac:dyDescent="0.25">
      <c r="A19262" t="s">
        <v>57379</v>
      </c>
      <c r="B19262" t="s">
        <v>58421</v>
      </c>
      <c r="C19262" t="s">
        <v>713</v>
      </c>
      <c r="D19262" t="s">
        <v>714</v>
      </c>
      <c r="E19262" t="s">
        <v>715</v>
      </c>
      <c r="F19262" t="s">
        <v>58422</v>
      </c>
      <c r="G19262" s="2" t="str">
        <f>HYPERLINK("https://probpalata.gov.ru/files/ЮЛ770101216600705.jpeg","Скачать индивидуальный QR-код магазина")</f>
        <v>Скачать индивидуальный QR-код магазина</v>
      </c>
    </row>
    <row r="19263" spans="1:7" x14ac:dyDescent="0.25">
      <c r="A19263" t="s">
        <v>57379</v>
      </c>
      <c r="B19263" t="s">
        <v>58423</v>
      </c>
      <c r="C19263" t="s">
        <v>713</v>
      </c>
      <c r="D19263" t="s">
        <v>714</v>
      </c>
      <c r="E19263" t="s">
        <v>715</v>
      </c>
      <c r="F19263" t="s">
        <v>58424</v>
      </c>
      <c r="G19263" s="2" t="str">
        <f>HYPERLINK("https://probpalata.gov.ru/files/ЮЛ770101216600714.jpeg","Скачать индивидуальный QR-код магазина")</f>
        <v>Скачать индивидуальный QR-код магазина</v>
      </c>
    </row>
    <row r="19264" spans="1:7" x14ac:dyDescent="0.25">
      <c r="A19264" t="s">
        <v>57379</v>
      </c>
      <c r="B19264" t="s">
        <v>58425</v>
      </c>
      <c r="C19264" t="s">
        <v>713</v>
      </c>
      <c r="D19264" t="s">
        <v>714</v>
      </c>
      <c r="E19264" t="s">
        <v>715</v>
      </c>
      <c r="F19264" t="s">
        <v>58426</v>
      </c>
      <c r="G19264" s="2" t="str">
        <f>HYPERLINK("https://probpalata.gov.ru/files/ЮЛ770101216600746.jpeg","Скачать индивидуальный QR-код магазина")</f>
        <v>Скачать индивидуальный QR-код магазина</v>
      </c>
    </row>
    <row r="19265" spans="1:7" x14ac:dyDescent="0.25">
      <c r="A19265" t="s">
        <v>57379</v>
      </c>
      <c r="B19265" t="s">
        <v>58427</v>
      </c>
      <c r="C19265" t="s">
        <v>713</v>
      </c>
      <c r="D19265" t="s">
        <v>714</v>
      </c>
      <c r="E19265" t="s">
        <v>715</v>
      </c>
      <c r="F19265" t="s">
        <v>58428</v>
      </c>
      <c r="G19265" s="2" t="str">
        <f>HYPERLINK("https://probpalata.gov.ru/files/ЮЛ770101216600885.jpeg","Скачать индивидуальный QR-код магазина")</f>
        <v>Скачать индивидуальный QR-код магазина</v>
      </c>
    </row>
    <row r="19266" spans="1:7" x14ac:dyDescent="0.25">
      <c r="A19266" t="s">
        <v>57379</v>
      </c>
      <c r="B19266" t="s">
        <v>58429</v>
      </c>
      <c r="C19266" t="s">
        <v>713</v>
      </c>
      <c r="D19266" t="s">
        <v>714</v>
      </c>
      <c r="E19266" t="s">
        <v>715</v>
      </c>
      <c r="F19266" t="s">
        <v>58430</v>
      </c>
      <c r="G19266" s="2" t="str">
        <f>HYPERLINK("https://probpalata.gov.ru/files/ЮЛ770101216600931.jpeg","Скачать индивидуальный QR-код магазина")</f>
        <v>Скачать индивидуальный QR-код магазина</v>
      </c>
    </row>
    <row r="19267" spans="1:7" x14ac:dyDescent="0.25">
      <c r="A19267" t="s">
        <v>57379</v>
      </c>
      <c r="B19267" t="s">
        <v>58431</v>
      </c>
      <c r="C19267" t="s">
        <v>713</v>
      </c>
      <c r="D19267" t="s">
        <v>714</v>
      </c>
      <c r="E19267" t="s">
        <v>715</v>
      </c>
      <c r="F19267" t="s">
        <v>58432</v>
      </c>
      <c r="G19267" s="2" t="str">
        <f>HYPERLINK("https://probpalata.gov.ru/files/ЮЛ770101216600987.jpeg","Скачать индивидуальный QR-код магазина")</f>
        <v>Скачать индивидуальный QR-код магазина</v>
      </c>
    </row>
    <row r="19268" spans="1:7" x14ac:dyDescent="0.25">
      <c r="A19268" t="s">
        <v>57379</v>
      </c>
      <c r="B19268" t="s">
        <v>57621</v>
      </c>
      <c r="C19268" t="s">
        <v>58433</v>
      </c>
      <c r="D19268" t="s">
        <v>58434</v>
      </c>
      <c r="E19268" t="s">
        <v>58435</v>
      </c>
      <c r="F19268" t="s">
        <v>58436</v>
      </c>
      <c r="G19268" s="2" t="str">
        <f>HYPERLINK("https://probpalata.gov.ru/files/ИП770103782400000.jpeg","Скачать индивидуальный QR-код магазина")</f>
        <v>Скачать индивидуальный QR-код магазина</v>
      </c>
    </row>
    <row r="19269" spans="1:7" x14ac:dyDescent="0.25">
      <c r="A19269" t="s">
        <v>57379</v>
      </c>
      <c r="B19269" t="s">
        <v>58437</v>
      </c>
      <c r="C19269" t="s">
        <v>1416</v>
      </c>
      <c r="D19269" t="s">
        <v>1417</v>
      </c>
      <c r="E19269" t="s">
        <v>1418</v>
      </c>
      <c r="F19269" t="s">
        <v>58438</v>
      </c>
      <c r="G19269" s="2" t="str">
        <f>HYPERLINK("https://probpalata.gov.ru/files/ЮЛ770100419400064.jpeg","Скачать индивидуальный QR-код магазина")</f>
        <v>Скачать индивидуальный QR-код магазина</v>
      </c>
    </row>
    <row r="19270" spans="1:7" x14ac:dyDescent="0.25">
      <c r="A19270" t="s">
        <v>57379</v>
      </c>
      <c r="B19270" t="s">
        <v>57392</v>
      </c>
      <c r="C19270" t="s">
        <v>1416</v>
      </c>
      <c r="D19270" t="s">
        <v>1417</v>
      </c>
      <c r="E19270" t="s">
        <v>1418</v>
      </c>
      <c r="F19270" t="s">
        <v>58439</v>
      </c>
      <c r="G19270" s="2" t="str">
        <f>HYPERLINK("https://probpalata.gov.ru/files/ЮЛ770100419400170.jpeg","Скачать индивидуальный QR-код магазина")</f>
        <v>Скачать индивидуальный QR-код магазина</v>
      </c>
    </row>
    <row r="19271" spans="1:7" x14ac:dyDescent="0.25">
      <c r="A19271" t="s">
        <v>57379</v>
      </c>
      <c r="B19271" t="s">
        <v>58440</v>
      </c>
      <c r="C19271" t="s">
        <v>1416</v>
      </c>
      <c r="D19271" t="s">
        <v>1417</v>
      </c>
      <c r="E19271" t="s">
        <v>1418</v>
      </c>
      <c r="F19271" t="s">
        <v>58441</v>
      </c>
      <c r="G19271" s="2" t="str">
        <f>HYPERLINK("https://probpalata.gov.ru/files/ЮЛ770100419400171.jpeg","Скачать индивидуальный QR-код магазина")</f>
        <v>Скачать индивидуальный QR-код магазина</v>
      </c>
    </row>
    <row r="19272" spans="1:7" x14ac:dyDescent="0.25">
      <c r="A19272" t="s">
        <v>57379</v>
      </c>
      <c r="B19272" t="s">
        <v>58442</v>
      </c>
      <c r="C19272" t="s">
        <v>748</v>
      </c>
      <c r="D19272" t="s">
        <v>749</v>
      </c>
      <c r="E19272" t="s">
        <v>750</v>
      </c>
      <c r="F19272" t="s">
        <v>58443</v>
      </c>
      <c r="G19272" s="2" t="str">
        <f>HYPERLINK("https://probpalata.gov.ru/files/ЮЛ770100193500277.jpeg","Скачать индивидуальный QR-код магазина")</f>
        <v>Скачать индивидуальный QR-код магазина</v>
      </c>
    </row>
    <row r="19273" spans="1:7" x14ac:dyDescent="0.25">
      <c r="A19273" t="s">
        <v>57379</v>
      </c>
      <c r="B19273" t="s">
        <v>58444</v>
      </c>
      <c r="C19273" t="s">
        <v>748</v>
      </c>
      <c r="D19273" t="s">
        <v>749</v>
      </c>
      <c r="E19273" t="s">
        <v>750</v>
      </c>
      <c r="F19273" t="s">
        <v>58445</v>
      </c>
      <c r="G19273" s="2" t="str">
        <f>HYPERLINK("https://probpalata.gov.ru/files/ЮЛ770100193500278.jpeg","Скачать индивидуальный QR-код магазина")</f>
        <v>Скачать индивидуальный QR-код магазина</v>
      </c>
    </row>
    <row r="19274" spans="1:7" x14ac:dyDescent="0.25">
      <c r="A19274" t="s">
        <v>57379</v>
      </c>
      <c r="B19274" t="s">
        <v>58446</v>
      </c>
      <c r="C19274" t="s">
        <v>748</v>
      </c>
      <c r="D19274" t="s">
        <v>749</v>
      </c>
      <c r="E19274" t="s">
        <v>750</v>
      </c>
      <c r="F19274" t="s">
        <v>58447</v>
      </c>
      <c r="G19274" s="2" t="str">
        <f>HYPERLINK("https://probpalata.gov.ru/files/ЮЛ770100193500279.jpeg","Скачать индивидуальный QR-код магазина")</f>
        <v>Скачать индивидуальный QR-код магазина</v>
      </c>
    </row>
    <row r="19275" spans="1:7" x14ac:dyDescent="0.25">
      <c r="A19275" t="s">
        <v>57379</v>
      </c>
      <c r="B19275" t="s">
        <v>58448</v>
      </c>
      <c r="C19275" t="s">
        <v>748</v>
      </c>
      <c r="D19275" t="s">
        <v>749</v>
      </c>
      <c r="E19275" t="s">
        <v>750</v>
      </c>
      <c r="F19275" t="s">
        <v>58449</v>
      </c>
      <c r="G19275" s="2" t="str">
        <f>HYPERLINK("https://probpalata.gov.ru/files/ЮЛ770100193500281.jpeg","Скачать индивидуальный QR-код магазина")</f>
        <v>Скачать индивидуальный QR-код магазина</v>
      </c>
    </row>
    <row r="19276" spans="1:7" x14ac:dyDescent="0.25">
      <c r="A19276" t="s">
        <v>57379</v>
      </c>
      <c r="B19276" t="s">
        <v>58450</v>
      </c>
      <c r="C19276" t="s">
        <v>748</v>
      </c>
      <c r="D19276" t="s">
        <v>749</v>
      </c>
      <c r="E19276" t="s">
        <v>750</v>
      </c>
      <c r="F19276" t="s">
        <v>58451</v>
      </c>
      <c r="G19276" s="2" t="str">
        <f>HYPERLINK("https://probpalata.gov.ru/files/ЮЛ770100193500282.jpeg","Скачать индивидуальный QR-код магазина")</f>
        <v>Скачать индивидуальный QR-код магазина</v>
      </c>
    </row>
    <row r="19277" spans="1:7" x14ac:dyDescent="0.25">
      <c r="A19277" t="s">
        <v>57379</v>
      </c>
      <c r="B19277" t="s">
        <v>58452</v>
      </c>
      <c r="C19277" t="s">
        <v>748</v>
      </c>
      <c r="D19277" t="s">
        <v>749</v>
      </c>
      <c r="E19277" t="s">
        <v>750</v>
      </c>
      <c r="F19277" t="s">
        <v>58453</v>
      </c>
      <c r="G19277" s="2" t="str">
        <f>HYPERLINK("https://probpalata.gov.ru/files/ЮЛ770100193500283.jpeg","Скачать индивидуальный QR-код магазина")</f>
        <v>Скачать индивидуальный QR-код магазина</v>
      </c>
    </row>
    <row r="19278" spans="1:7" x14ac:dyDescent="0.25">
      <c r="A19278" t="s">
        <v>57379</v>
      </c>
      <c r="B19278" t="s">
        <v>57426</v>
      </c>
      <c r="C19278" t="s">
        <v>748</v>
      </c>
      <c r="D19278" t="s">
        <v>749</v>
      </c>
      <c r="E19278" t="s">
        <v>750</v>
      </c>
      <c r="F19278" t="s">
        <v>58454</v>
      </c>
      <c r="G19278" s="2" t="str">
        <f>HYPERLINK("https://probpalata.gov.ru/files/ЮЛ770100193500285.jpeg","Скачать индивидуальный QR-код магазина")</f>
        <v>Скачать индивидуальный QR-код магазина</v>
      </c>
    </row>
    <row r="19279" spans="1:7" x14ac:dyDescent="0.25">
      <c r="A19279" t="s">
        <v>57379</v>
      </c>
      <c r="B19279" t="s">
        <v>58455</v>
      </c>
      <c r="C19279" t="s">
        <v>748</v>
      </c>
      <c r="D19279" t="s">
        <v>749</v>
      </c>
      <c r="E19279" t="s">
        <v>750</v>
      </c>
      <c r="F19279" t="s">
        <v>58456</v>
      </c>
      <c r="G19279" s="2" t="str">
        <f>HYPERLINK("https://probpalata.gov.ru/files/ЮЛ770100193500286.jpeg","Скачать индивидуальный QR-код магазина")</f>
        <v>Скачать индивидуальный QR-код магазина</v>
      </c>
    </row>
    <row r="19280" spans="1:7" x14ac:dyDescent="0.25">
      <c r="A19280" t="s">
        <v>57379</v>
      </c>
      <c r="B19280" t="s">
        <v>58457</v>
      </c>
      <c r="C19280" t="s">
        <v>748</v>
      </c>
      <c r="D19280" t="s">
        <v>749</v>
      </c>
      <c r="E19280" t="s">
        <v>750</v>
      </c>
      <c r="F19280" t="s">
        <v>58458</v>
      </c>
      <c r="G19280" s="2" t="str">
        <f>HYPERLINK("https://probpalata.gov.ru/files/ЮЛ770100193500635.jpeg","Скачать индивидуальный QR-код магазина")</f>
        <v>Скачать индивидуальный QR-код магазина</v>
      </c>
    </row>
    <row r="19281" spans="1:7" x14ac:dyDescent="0.25">
      <c r="A19281" t="s">
        <v>57379</v>
      </c>
      <c r="B19281" t="s">
        <v>58459</v>
      </c>
      <c r="C19281" t="s">
        <v>748</v>
      </c>
      <c r="D19281" t="s">
        <v>749</v>
      </c>
      <c r="E19281" t="s">
        <v>750</v>
      </c>
      <c r="F19281" t="s">
        <v>58460</v>
      </c>
      <c r="G19281" s="2" t="str">
        <f>HYPERLINK("https://probpalata.gov.ru/files/ЮЛ770100193500696.jpeg","Скачать индивидуальный QR-код магазина")</f>
        <v>Скачать индивидуальный QR-код магазина</v>
      </c>
    </row>
    <row r="19282" spans="1:7" x14ac:dyDescent="0.25">
      <c r="A19282" t="s">
        <v>57379</v>
      </c>
      <c r="B19282" t="s">
        <v>58461</v>
      </c>
      <c r="C19282" t="s">
        <v>748</v>
      </c>
      <c r="D19282" t="s">
        <v>749</v>
      </c>
      <c r="E19282" t="s">
        <v>750</v>
      </c>
      <c r="F19282" t="s">
        <v>58462</v>
      </c>
      <c r="G19282" s="2" t="str">
        <f>HYPERLINK("https://probpalata.gov.ru/files/ЮЛ770100193500724.jpeg","Скачать индивидуальный QR-код магазина")</f>
        <v>Скачать индивидуальный QR-код магазина</v>
      </c>
    </row>
    <row r="19283" spans="1:7" x14ac:dyDescent="0.25">
      <c r="A19283" t="s">
        <v>57379</v>
      </c>
      <c r="B19283" t="s">
        <v>58463</v>
      </c>
      <c r="C19283" t="s">
        <v>748</v>
      </c>
      <c r="D19283" t="s">
        <v>749</v>
      </c>
      <c r="E19283" t="s">
        <v>750</v>
      </c>
      <c r="F19283" t="s">
        <v>58464</v>
      </c>
      <c r="G19283" s="2" t="str">
        <f>HYPERLINK("https://probpalata.gov.ru/files/ЮЛ770100193500728.jpeg","Скачать индивидуальный QR-код магазина")</f>
        <v>Скачать индивидуальный QR-код магазина</v>
      </c>
    </row>
    <row r="19284" spans="1:7" x14ac:dyDescent="0.25">
      <c r="A19284" t="s">
        <v>57379</v>
      </c>
      <c r="B19284" t="s">
        <v>58465</v>
      </c>
      <c r="C19284" t="s">
        <v>748</v>
      </c>
      <c r="D19284" t="s">
        <v>749</v>
      </c>
      <c r="E19284" t="s">
        <v>750</v>
      </c>
      <c r="F19284" t="s">
        <v>58466</v>
      </c>
      <c r="G19284" s="2" t="str">
        <f>HYPERLINK("https://probpalata.gov.ru/files/ЮЛ770100193500742.jpeg","Скачать индивидуальный QR-код магазина")</f>
        <v>Скачать индивидуальный QR-код магазина</v>
      </c>
    </row>
    <row r="19285" spans="1:7" x14ac:dyDescent="0.25">
      <c r="A19285" t="s">
        <v>57379</v>
      </c>
      <c r="B19285" t="s">
        <v>58467</v>
      </c>
      <c r="C19285" t="s">
        <v>748</v>
      </c>
      <c r="D19285" t="s">
        <v>749</v>
      </c>
      <c r="E19285" t="s">
        <v>750</v>
      </c>
      <c r="F19285" t="s">
        <v>58468</v>
      </c>
      <c r="G19285" s="2" t="str">
        <f>HYPERLINK("https://probpalata.gov.ru/files/ЮЛ770100193500820.jpeg","Скачать индивидуальный QR-код магазина")</f>
        <v>Скачать индивидуальный QR-код магазина</v>
      </c>
    </row>
    <row r="19286" spans="1:7" x14ac:dyDescent="0.25">
      <c r="A19286" t="s">
        <v>57379</v>
      </c>
      <c r="B19286" t="s">
        <v>58469</v>
      </c>
      <c r="C19286" t="s">
        <v>748</v>
      </c>
      <c r="D19286" t="s">
        <v>749</v>
      </c>
      <c r="E19286" t="s">
        <v>750</v>
      </c>
      <c r="F19286" t="s">
        <v>58470</v>
      </c>
      <c r="G19286" s="2" t="str">
        <f>HYPERLINK("https://probpalata.gov.ru/files/ЮЛ770100193500824.jpeg","Скачать индивидуальный QR-код магазина")</f>
        <v>Скачать индивидуальный QR-код магазина</v>
      </c>
    </row>
    <row r="19287" spans="1:7" x14ac:dyDescent="0.25">
      <c r="A19287" t="s">
        <v>57379</v>
      </c>
      <c r="B19287" t="s">
        <v>58471</v>
      </c>
      <c r="C19287" t="s">
        <v>748</v>
      </c>
      <c r="D19287" t="s">
        <v>749</v>
      </c>
      <c r="E19287" t="s">
        <v>750</v>
      </c>
      <c r="F19287" t="s">
        <v>58472</v>
      </c>
      <c r="G19287" s="2" t="str">
        <f>HYPERLINK("https://probpalata.gov.ru/files/ЮЛ770100193500829.jpeg","Скачать индивидуальный QR-код магазина")</f>
        <v>Скачать индивидуальный QR-код магазина</v>
      </c>
    </row>
    <row r="19288" spans="1:7" x14ac:dyDescent="0.25">
      <c r="A19288" t="s">
        <v>57379</v>
      </c>
      <c r="B19288" t="s">
        <v>58369</v>
      </c>
      <c r="C19288" t="s">
        <v>748</v>
      </c>
      <c r="D19288" t="s">
        <v>749</v>
      </c>
      <c r="E19288" t="s">
        <v>750</v>
      </c>
      <c r="F19288" t="s">
        <v>58473</v>
      </c>
      <c r="G19288" s="2" t="str">
        <f>HYPERLINK("https://probpalata.gov.ru/files/ЮЛ770100193500890.jpeg","Скачать индивидуальный QR-код магазина")</f>
        <v>Скачать индивидуальный QR-код магазина</v>
      </c>
    </row>
    <row r="19289" spans="1:7" x14ac:dyDescent="0.25">
      <c r="A19289" t="s">
        <v>57379</v>
      </c>
      <c r="B19289" t="s">
        <v>58474</v>
      </c>
      <c r="C19289" t="s">
        <v>748</v>
      </c>
      <c r="D19289" t="s">
        <v>749</v>
      </c>
      <c r="E19289" t="s">
        <v>750</v>
      </c>
      <c r="F19289" t="s">
        <v>58475</v>
      </c>
      <c r="G19289" s="2" t="str">
        <f>HYPERLINK("https://probpalata.gov.ru/files/ЮЛ770100193500906.jpeg","Скачать индивидуальный QR-код магазина")</f>
        <v>Скачать индивидуальный QR-код магазина</v>
      </c>
    </row>
    <row r="19290" spans="1:7" x14ac:dyDescent="0.25">
      <c r="A19290" t="s">
        <v>57379</v>
      </c>
      <c r="B19290" t="s">
        <v>58476</v>
      </c>
      <c r="C19290" t="s">
        <v>748</v>
      </c>
      <c r="D19290" t="s">
        <v>749</v>
      </c>
      <c r="E19290" t="s">
        <v>750</v>
      </c>
      <c r="F19290" t="s">
        <v>58477</v>
      </c>
      <c r="G19290" s="2" t="str">
        <f>HYPERLINK("https://probpalata.gov.ru/files/ЮЛ770100193500937.jpeg","Скачать индивидуальный QR-код магазина")</f>
        <v>Скачать индивидуальный QR-код магазина</v>
      </c>
    </row>
    <row r="19291" spans="1:7" x14ac:dyDescent="0.25">
      <c r="A19291" t="s">
        <v>57379</v>
      </c>
      <c r="B19291" t="s">
        <v>58478</v>
      </c>
      <c r="C19291" t="s">
        <v>748</v>
      </c>
      <c r="D19291" t="s">
        <v>749</v>
      </c>
      <c r="E19291" t="s">
        <v>750</v>
      </c>
      <c r="F19291" t="s">
        <v>58479</v>
      </c>
      <c r="G19291" s="2" t="str">
        <f>HYPERLINK("https://probpalata.gov.ru/files/ЮЛ770100193500939.jpeg","Скачать индивидуальный QR-код магазина")</f>
        <v>Скачать индивидуальный QR-код магазина</v>
      </c>
    </row>
    <row r="19292" spans="1:7" x14ac:dyDescent="0.25">
      <c r="A19292" t="s">
        <v>57379</v>
      </c>
      <c r="B19292" t="s">
        <v>58377</v>
      </c>
      <c r="C19292" t="s">
        <v>748</v>
      </c>
      <c r="D19292" t="s">
        <v>749</v>
      </c>
      <c r="E19292" t="s">
        <v>750</v>
      </c>
      <c r="F19292" t="s">
        <v>58480</v>
      </c>
      <c r="G19292" s="2" t="str">
        <f>HYPERLINK("https://probpalata.gov.ru/files/ЮЛ770100193500966.jpeg","Скачать индивидуальный QR-код магазина")</f>
        <v>Скачать индивидуальный QR-код магазина</v>
      </c>
    </row>
    <row r="19293" spans="1:7" x14ac:dyDescent="0.25">
      <c r="A19293" t="s">
        <v>57379</v>
      </c>
      <c r="B19293" t="s">
        <v>58481</v>
      </c>
      <c r="C19293" t="s">
        <v>748</v>
      </c>
      <c r="D19293" t="s">
        <v>749</v>
      </c>
      <c r="E19293" t="s">
        <v>750</v>
      </c>
      <c r="F19293" t="s">
        <v>58482</v>
      </c>
      <c r="G19293" s="2" t="str">
        <f>HYPERLINK("https://probpalata.gov.ru/files/ЮЛ770100193500979.jpeg","Скачать индивидуальный QR-код магазина")</f>
        <v>Скачать индивидуальный QR-код магазина</v>
      </c>
    </row>
    <row r="19294" spans="1:7" x14ac:dyDescent="0.25">
      <c r="A19294" t="s">
        <v>57379</v>
      </c>
      <c r="B19294" t="s">
        <v>58383</v>
      </c>
      <c r="C19294" t="s">
        <v>748</v>
      </c>
      <c r="D19294" t="s">
        <v>749</v>
      </c>
      <c r="E19294" t="s">
        <v>750</v>
      </c>
      <c r="F19294" t="s">
        <v>58483</v>
      </c>
      <c r="G19294" s="2" t="str">
        <f>HYPERLINK("https://probpalata.gov.ru/files/ЮЛ770100193500980.jpeg","Скачать индивидуальный QR-код магазина")</f>
        <v>Скачать индивидуальный QR-код магазина</v>
      </c>
    </row>
    <row r="19295" spans="1:7" x14ac:dyDescent="0.25">
      <c r="A19295" t="s">
        <v>57379</v>
      </c>
      <c r="B19295" t="s">
        <v>58484</v>
      </c>
      <c r="C19295" t="s">
        <v>748</v>
      </c>
      <c r="D19295" t="s">
        <v>749</v>
      </c>
      <c r="E19295" t="s">
        <v>750</v>
      </c>
      <c r="F19295" t="s">
        <v>58485</v>
      </c>
      <c r="G19295" s="2" t="str">
        <f>HYPERLINK("https://probpalata.gov.ru/files/ЮЛ770100193501000.jpeg","Скачать индивидуальный QR-код магазина")</f>
        <v>Скачать индивидуальный QR-код магазина</v>
      </c>
    </row>
    <row r="19296" spans="1:7" x14ac:dyDescent="0.25">
      <c r="A19296" t="s">
        <v>57379</v>
      </c>
      <c r="B19296" t="s">
        <v>58381</v>
      </c>
      <c r="C19296" t="s">
        <v>748</v>
      </c>
      <c r="D19296" t="s">
        <v>749</v>
      </c>
      <c r="E19296" t="s">
        <v>750</v>
      </c>
      <c r="F19296" t="s">
        <v>58486</v>
      </c>
      <c r="G19296" s="2" t="str">
        <f>HYPERLINK("https://probpalata.gov.ru/files/ЮЛ770100193501028.jpeg","Скачать индивидуальный QR-код магазина")</f>
        <v>Скачать индивидуальный QR-код магазина</v>
      </c>
    </row>
    <row r="19297" spans="1:7" x14ac:dyDescent="0.25">
      <c r="A19297" t="s">
        <v>57379</v>
      </c>
      <c r="B19297" t="s">
        <v>58487</v>
      </c>
      <c r="C19297" t="s">
        <v>748</v>
      </c>
      <c r="D19297" t="s">
        <v>749</v>
      </c>
      <c r="E19297" t="s">
        <v>750</v>
      </c>
      <c r="F19297" t="s">
        <v>58488</v>
      </c>
      <c r="G19297" s="2" t="str">
        <f>HYPERLINK("https://probpalata.gov.ru/files/ЮЛ770100193501072.jpeg","Скачать индивидуальный QR-код магазина")</f>
        <v>Скачать индивидуальный QR-код магазина</v>
      </c>
    </row>
    <row r="19298" spans="1:7" x14ac:dyDescent="0.25">
      <c r="A19298" t="s">
        <v>57379</v>
      </c>
      <c r="B19298" t="s">
        <v>58489</v>
      </c>
      <c r="C19298" t="s">
        <v>748</v>
      </c>
      <c r="D19298" t="s">
        <v>749</v>
      </c>
      <c r="E19298" t="s">
        <v>750</v>
      </c>
      <c r="F19298" t="s">
        <v>58490</v>
      </c>
      <c r="G19298" s="2" t="str">
        <f>HYPERLINK("https://probpalata.gov.ru/files/ЮЛ770100193501108.jpeg","Скачать индивидуальный QR-код магазина")</f>
        <v>Скачать индивидуальный QR-код магазина</v>
      </c>
    </row>
    <row r="19299" spans="1:7" x14ac:dyDescent="0.25">
      <c r="A19299" t="s">
        <v>57379</v>
      </c>
      <c r="B19299" t="s">
        <v>58491</v>
      </c>
      <c r="C19299" t="s">
        <v>15265</v>
      </c>
      <c r="D19299" t="s">
        <v>15266</v>
      </c>
      <c r="E19299" t="s">
        <v>15267</v>
      </c>
      <c r="F19299" t="s">
        <v>58492</v>
      </c>
      <c r="G19299" s="2" t="str">
        <f>HYPERLINK("https://probpalata.gov.ru/files/ЮЛ160600373100010.jpeg","Скачать индивидуальный QR-код магазина")</f>
        <v>Скачать индивидуальный QR-код магазина</v>
      </c>
    </row>
    <row r="19300" spans="1:7" x14ac:dyDescent="0.25">
      <c r="A19300" t="s">
        <v>57379</v>
      </c>
      <c r="B19300" t="s">
        <v>58493</v>
      </c>
      <c r="C19300" t="s">
        <v>6290</v>
      </c>
      <c r="D19300" t="s">
        <v>16830</v>
      </c>
      <c r="E19300" t="s">
        <v>16831</v>
      </c>
      <c r="F19300" t="s">
        <v>58494</v>
      </c>
      <c r="G19300" s="2" t="str">
        <f>HYPERLINK("https://probpalata.gov.ru/files/ЮЛ770103181900002.jpeg","Скачать индивидуальный QR-код магазина")</f>
        <v>Скачать индивидуальный QR-код магазина</v>
      </c>
    </row>
    <row r="19301" spans="1:7" x14ac:dyDescent="0.25">
      <c r="A19301" t="s">
        <v>57379</v>
      </c>
      <c r="B19301" t="s">
        <v>58495</v>
      </c>
      <c r="C19301" t="s">
        <v>34068</v>
      </c>
      <c r="D19301" t="s">
        <v>34069</v>
      </c>
      <c r="E19301" t="s">
        <v>34070</v>
      </c>
      <c r="F19301" t="s">
        <v>58496</v>
      </c>
      <c r="G19301" s="2" t="str">
        <f>HYPERLINK("https://probpalata.gov.ru/files/ИП780300226000006.jpeg","Скачать индивидуальный QR-код магазина")</f>
        <v>Скачать индивидуальный QR-код магазина</v>
      </c>
    </row>
    <row r="19302" spans="1:7" x14ac:dyDescent="0.25">
      <c r="A19302" t="s">
        <v>57379</v>
      </c>
      <c r="B19302" t="s">
        <v>58497</v>
      </c>
      <c r="C19302" t="s">
        <v>773</v>
      </c>
      <c r="D19302" t="s">
        <v>774</v>
      </c>
      <c r="E19302" t="s">
        <v>775</v>
      </c>
      <c r="F19302" t="s">
        <v>58498</v>
      </c>
      <c r="G19302" s="2" t="str">
        <f>HYPERLINK("https://probpalata.gov.ru/files/ЮЛ780300131300163.jpeg","Скачать индивидуальный QR-код магазина")</f>
        <v>Скачать индивидуальный QR-код магазина</v>
      </c>
    </row>
    <row r="19303" spans="1:7" x14ac:dyDescent="0.25">
      <c r="A19303" t="s">
        <v>57379</v>
      </c>
      <c r="B19303" t="s">
        <v>58499</v>
      </c>
      <c r="C19303" t="s">
        <v>773</v>
      </c>
      <c r="D19303" t="s">
        <v>774</v>
      </c>
      <c r="E19303" t="s">
        <v>775</v>
      </c>
      <c r="F19303" t="s">
        <v>58500</v>
      </c>
      <c r="G19303" s="2" t="str">
        <f>HYPERLINK("https://probpalata.gov.ru/files/ЮЛ780300131300165.jpeg","Скачать индивидуальный QR-код магазина")</f>
        <v>Скачать индивидуальный QR-код магазина</v>
      </c>
    </row>
    <row r="19304" spans="1:7" x14ac:dyDescent="0.25">
      <c r="A19304" t="s">
        <v>57379</v>
      </c>
      <c r="B19304" t="s">
        <v>58501</v>
      </c>
      <c r="C19304" t="s">
        <v>773</v>
      </c>
      <c r="D19304" t="s">
        <v>774</v>
      </c>
      <c r="E19304" t="s">
        <v>775</v>
      </c>
      <c r="F19304" t="s">
        <v>58502</v>
      </c>
      <c r="G19304" s="2" t="str">
        <f>HYPERLINK("https://probpalata.gov.ru/files/ЮЛ780300131300531.jpeg","Скачать индивидуальный QR-код магазина")</f>
        <v>Скачать индивидуальный QR-код магазина</v>
      </c>
    </row>
    <row r="19305" spans="1:7" x14ac:dyDescent="0.25">
      <c r="A19305" t="s">
        <v>57379</v>
      </c>
      <c r="B19305" t="s">
        <v>58503</v>
      </c>
      <c r="C19305" t="s">
        <v>791</v>
      </c>
      <c r="D19305" t="s">
        <v>792</v>
      </c>
      <c r="E19305" t="s">
        <v>793</v>
      </c>
      <c r="F19305" t="s">
        <v>58504</v>
      </c>
      <c r="G19305" s="2" t="str">
        <f>HYPERLINK("https://probpalata.gov.ru/files/ЮЛ780300323500013.jpeg","Скачать индивидуальный QR-код магазина")</f>
        <v>Скачать индивидуальный QR-код магазина</v>
      </c>
    </row>
    <row r="19306" spans="1:7" x14ac:dyDescent="0.25">
      <c r="A19306" t="s">
        <v>57379</v>
      </c>
      <c r="B19306" t="s">
        <v>58505</v>
      </c>
      <c r="C19306" t="s">
        <v>791</v>
      </c>
      <c r="D19306" t="s">
        <v>792</v>
      </c>
      <c r="E19306" t="s">
        <v>793</v>
      </c>
      <c r="F19306" t="s">
        <v>58506</v>
      </c>
      <c r="G19306" s="2" t="str">
        <f>HYPERLINK("https://probpalata.gov.ru/files/ЮЛ780300323500187.jpeg","Скачать индивидуальный QR-код магазина")</f>
        <v>Скачать индивидуальный QR-код магазина</v>
      </c>
    </row>
    <row r="19307" spans="1:7" x14ac:dyDescent="0.25">
      <c r="A19307" t="s">
        <v>57379</v>
      </c>
      <c r="B19307" t="s">
        <v>58499</v>
      </c>
      <c r="C19307" t="s">
        <v>791</v>
      </c>
      <c r="D19307" t="s">
        <v>792</v>
      </c>
      <c r="E19307" t="s">
        <v>793</v>
      </c>
      <c r="F19307" t="s">
        <v>58507</v>
      </c>
      <c r="G19307" s="2" t="str">
        <f>HYPERLINK("https://probpalata.gov.ru/files/ЮЛ780300323500188.jpeg","Скачать индивидуальный QR-код магазина")</f>
        <v>Скачать индивидуальный QR-код магазина</v>
      </c>
    </row>
    <row r="19308" spans="1:7" x14ac:dyDescent="0.25">
      <c r="A19308" t="s">
        <v>57379</v>
      </c>
      <c r="B19308" t="s">
        <v>58508</v>
      </c>
      <c r="C19308" t="s">
        <v>791</v>
      </c>
      <c r="D19308" t="s">
        <v>792</v>
      </c>
      <c r="E19308" t="s">
        <v>793</v>
      </c>
      <c r="F19308" t="s">
        <v>58509</v>
      </c>
      <c r="G19308" s="2" t="str">
        <f>HYPERLINK("https://probpalata.gov.ru/files/ЮЛ780300323500189.jpeg","Скачать индивидуальный QR-код магазина")</f>
        <v>Скачать индивидуальный QR-код магазина</v>
      </c>
    </row>
    <row r="19309" spans="1:7" x14ac:dyDescent="0.25">
      <c r="A19309" t="s">
        <v>57379</v>
      </c>
      <c r="B19309" t="s">
        <v>58510</v>
      </c>
      <c r="C19309" t="s">
        <v>791</v>
      </c>
      <c r="D19309" t="s">
        <v>792</v>
      </c>
      <c r="E19309" t="s">
        <v>793</v>
      </c>
      <c r="F19309" t="s">
        <v>58511</v>
      </c>
      <c r="G19309" s="2" t="str">
        <f>HYPERLINK("https://probpalata.gov.ru/files/ЮЛ780300323500216.jpeg","Скачать индивидуальный QR-код магазина")</f>
        <v>Скачать индивидуальный QR-код магазина</v>
      </c>
    </row>
    <row r="19310" spans="1:7" x14ac:dyDescent="0.25">
      <c r="A19310" t="s">
        <v>57379</v>
      </c>
      <c r="B19310" t="s">
        <v>58512</v>
      </c>
      <c r="C19310" t="s">
        <v>798</v>
      </c>
      <c r="D19310" t="s">
        <v>799</v>
      </c>
      <c r="E19310" t="s">
        <v>800</v>
      </c>
      <c r="F19310" t="s">
        <v>58513</v>
      </c>
      <c r="G19310" s="2" t="str">
        <f>HYPERLINK("https://probpalata.gov.ru/files/ЮЛ780300308200145.jpeg","Скачать индивидуальный QR-код магазина")</f>
        <v>Скачать индивидуальный QR-код магазина</v>
      </c>
    </row>
    <row r="19311" spans="1:7" x14ac:dyDescent="0.25">
      <c r="A19311" t="s">
        <v>57379</v>
      </c>
      <c r="B19311" t="s">
        <v>58514</v>
      </c>
      <c r="C19311" t="s">
        <v>798</v>
      </c>
      <c r="D19311" t="s">
        <v>799</v>
      </c>
      <c r="E19311" t="s">
        <v>800</v>
      </c>
      <c r="F19311" t="s">
        <v>58515</v>
      </c>
      <c r="G19311" s="2" t="str">
        <f>HYPERLINK("https://probpalata.gov.ru/files/ЮЛ780300308200148.jpeg","Скачать индивидуальный QR-код магазина")</f>
        <v>Скачать индивидуальный QR-код магазина</v>
      </c>
    </row>
    <row r="19312" spans="1:7" x14ac:dyDescent="0.25">
      <c r="A19312" t="s">
        <v>57379</v>
      </c>
      <c r="B19312" t="s">
        <v>58516</v>
      </c>
      <c r="C19312" t="s">
        <v>798</v>
      </c>
      <c r="D19312" t="s">
        <v>799</v>
      </c>
      <c r="E19312" t="s">
        <v>800</v>
      </c>
      <c r="F19312" t="s">
        <v>58517</v>
      </c>
      <c r="G19312" s="2" t="str">
        <f>HYPERLINK("https://probpalata.gov.ru/files/ЮЛ780300308200164.jpeg","Скачать индивидуальный QR-код магазина")</f>
        <v>Скачать индивидуальный QR-код магазина</v>
      </c>
    </row>
    <row r="19313" spans="1:7" x14ac:dyDescent="0.25">
      <c r="A19313" t="s">
        <v>57379</v>
      </c>
      <c r="B19313" t="s">
        <v>58518</v>
      </c>
      <c r="C19313" t="s">
        <v>798</v>
      </c>
      <c r="D19313" t="s">
        <v>799</v>
      </c>
      <c r="E19313" t="s">
        <v>800</v>
      </c>
      <c r="F19313" t="s">
        <v>58519</v>
      </c>
      <c r="G19313" s="2" t="str">
        <f>HYPERLINK("https://probpalata.gov.ru/files/ЮЛ780300308200178.jpeg","Скачать индивидуальный QR-код магазина")</f>
        <v>Скачать индивидуальный QR-код магазина</v>
      </c>
    </row>
    <row r="19314" spans="1:7" x14ac:dyDescent="0.25">
      <c r="A19314" t="s">
        <v>57379</v>
      </c>
      <c r="B19314" t="s">
        <v>58520</v>
      </c>
      <c r="C19314" t="s">
        <v>798</v>
      </c>
      <c r="D19314" t="s">
        <v>799</v>
      </c>
      <c r="E19314" t="s">
        <v>800</v>
      </c>
      <c r="F19314" t="s">
        <v>58521</v>
      </c>
      <c r="G19314" s="2" t="str">
        <f>HYPERLINK("https://probpalata.gov.ru/files/ЮЛ780300308200183.jpeg","Скачать индивидуальный QR-код магазина")</f>
        <v>Скачать индивидуальный QR-код магазина</v>
      </c>
    </row>
    <row r="19315" spans="1:7" x14ac:dyDescent="0.25">
      <c r="A19315" t="s">
        <v>57379</v>
      </c>
      <c r="B19315" t="s">
        <v>58522</v>
      </c>
      <c r="C19315" t="s">
        <v>798</v>
      </c>
      <c r="D19315" t="s">
        <v>799</v>
      </c>
      <c r="E19315" t="s">
        <v>800</v>
      </c>
      <c r="F19315" t="s">
        <v>58523</v>
      </c>
      <c r="G19315" s="2" t="str">
        <f>HYPERLINK("https://probpalata.gov.ru/files/ЮЛ780300308200245.jpeg","Скачать индивидуальный QR-код магазина")</f>
        <v>Скачать индивидуальный QR-код магазина</v>
      </c>
    </row>
    <row r="19316" spans="1:7" x14ac:dyDescent="0.25">
      <c r="A19316" t="s">
        <v>57379</v>
      </c>
      <c r="B19316" t="s">
        <v>58154</v>
      </c>
      <c r="C19316" t="s">
        <v>798</v>
      </c>
      <c r="D19316" t="s">
        <v>799</v>
      </c>
      <c r="E19316" t="s">
        <v>800</v>
      </c>
      <c r="F19316" t="s">
        <v>58524</v>
      </c>
      <c r="G19316" s="2" t="str">
        <f>HYPERLINK("https://probpalata.gov.ru/files/ЮЛ780300308200263.jpeg","Скачать индивидуальный QR-код магазина")</f>
        <v>Скачать индивидуальный QR-код магазина</v>
      </c>
    </row>
    <row r="19317" spans="1:7" x14ac:dyDescent="0.25">
      <c r="A19317" t="s">
        <v>57379</v>
      </c>
      <c r="B19317" t="s">
        <v>58525</v>
      </c>
      <c r="C19317" t="s">
        <v>798</v>
      </c>
      <c r="D19317" t="s">
        <v>799</v>
      </c>
      <c r="E19317" t="s">
        <v>800</v>
      </c>
      <c r="F19317" t="s">
        <v>58526</v>
      </c>
      <c r="G19317" s="2" t="str">
        <f>HYPERLINK("https://probpalata.gov.ru/files/ЮЛ780300308200407.jpeg","Скачать индивидуальный QR-код магазина")</f>
        <v>Скачать индивидуальный QR-код магазина</v>
      </c>
    </row>
    <row r="19318" spans="1:7" x14ac:dyDescent="0.25">
      <c r="A19318" t="s">
        <v>57379</v>
      </c>
      <c r="B19318" t="s">
        <v>58527</v>
      </c>
      <c r="C19318" t="s">
        <v>798</v>
      </c>
      <c r="D19318" t="s">
        <v>799</v>
      </c>
      <c r="E19318" t="s">
        <v>800</v>
      </c>
      <c r="F19318" t="s">
        <v>58528</v>
      </c>
      <c r="G19318" s="2" t="str">
        <f>HYPERLINK("https://probpalata.gov.ru/files/ЮЛ780300308200408.jpeg","Скачать индивидуальный QR-код магазина")</f>
        <v>Скачать индивидуальный QR-код магазина</v>
      </c>
    </row>
    <row r="19319" spans="1:7" x14ac:dyDescent="0.25">
      <c r="A19319" t="s">
        <v>57379</v>
      </c>
      <c r="B19319" t="s">
        <v>58529</v>
      </c>
      <c r="C19319" t="s">
        <v>798</v>
      </c>
      <c r="D19319" t="s">
        <v>799</v>
      </c>
      <c r="E19319" t="s">
        <v>800</v>
      </c>
      <c r="F19319" t="s">
        <v>58530</v>
      </c>
      <c r="G19319" s="2" t="str">
        <f>HYPERLINK("https://probpalata.gov.ru/files/ЮЛ780300308200485.jpeg","Скачать индивидуальный QR-код магазина")</f>
        <v>Скачать индивидуальный QR-код магазина</v>
      </c>
    </row>
    <row r="19320" spans="1:7" x14ac:dyDescent="0.25">
      <c r="A19320" t="s">
        <v>57379</v>
      </c>
      <c r="B19320" t="s">
        <v>57402</v>
      </c>
      <c r="C19320" t="s">
        <v>798</v>
      </c>
      <c r="D19320" t="s">
        <v>799</v>
      </c>
      <c r="E19320" t="s">
        <v>800</v>
      </c>
      <c r="F19320" t="s">
        <v>58531</v>
      </c>
      <c r="G19320" s="2" t="str">
        <f>HYPERLINK("https://probpalata.gov.ru/files/ЮЛ780300308200501.jpeg","Скачать индивидуальный QR-код магазина")</f>
        <v>Скачать индивидуальный QR-код магазина</v>
      </c>
    </row>
    <row r="19321" spans="1:7" x14ac:dyDescent="0.25">
      <c r="A19321" t="s">
        <v>57379</v>
      </c>
      <c r="B19321" t="s">
        <v>57392</v>
      </c>
      <c r="C19321" t="s">
        <v>798</v>
      </c>
      <c r="D19321" t="s">
        <v>799</v>
      </c>
      <c r="E19321" t="s">
        <v>800</v>
      </c>
      <c r="F19321" t="s">
        <v>58532</v>
      </c>
      <c r="G19321" s="2" t="str">
        <f>HYPERLINK("https://probpalata.gov.ru/files/ЮЛ780300308200502.jpeg","Скачать индивидуальный QR-код магазина")</f>
        <v>Скачать индивидуальный QR-код магазина</v>
      </c>
    </row>
    <row r="19322" spans="1:7" x14ac:dyDescent="0.25">
      <c r="A19322" t="s">
        <v>57379</v>
      </c>
      <c r="B19322" t="s">
        <v>58533</v>
      </c>
      <c r="C19322" t="s">
        <v>798</v>
      </c>
      <c r="D19322" t="s">
        <v>799</v>
      </c>
      <c r="E19322" t="s">
        <v>800</v>
      </c>
      <c r="F19322" t="s">
        <v>58534</v>
      </c>
      <c r="G19322" s="2" t="str">
        <f>HYPERLINK("https://probpalata.gov.ru/files/ЮЛ780300308200503.jpeg","Скачать индивидуальный QR-код магазина")</f>
        <v>Скачать индивидуальный QR-код магазина</v>
      </c>
    </row>
    <row r="19323" spans="1:7" x14ac:dyDescent="0.25">
      <c r="A19323" t="s">
        <v>57379</v>
      </c>
      <c r="B19323" t="s">
        <v>58535</v>
      </c>
      <c r="C19323" t="s">
        <v>798</v>
      </c>
      <c r="D19323" t="s">
        <v>799</v>
      </c>
      <c r="E19323" t="s">
        <v>800</v>
      </c>
      <c r="F19323" t="s">
        <v>58536</v>
      </c>
      <c r="G19323" s="2" t="str">
        <f>HYPERLINK("https://probpalata.gov.ru/files/ЮЛ780300308200504.jpeg","Скачать индивидуальный QR-код магазина")</f>
        <v>Скачать индивидуальный QR-код магазина</v>
      </c>
    </row>
    <row r="19324" spans="1:7" x14ac:dyDescent="0.25">
      <c r="A19324" t="s">
        <v>57379</v>
      </c>
      <c r="B19324" t="s">
        <v>58537</v>
      </c>
      <c r="C19324" t="s">
        <v>798</v>
      </c>
      <c r="D19324" t="s">
        <v>799</v>
      </c>
      <c r="E19324" t="s">
        <v>800</v>
      </c>
      <c r="F19324" t="s">
        <v>58538</v>
      </c>
      <c r="G19324" s="2" t="str">
        <f>HYPERLINK("https://probpalata.gov.ru/files/ЮЛ780300308200603.jpeg","Скачать индивидуальный QR-код магазина")</f>
        <v>Скачать индивидуальный QR-код магазина</v>
      </c>
    </row>
    <row r="19325" spans="1:7" x14ac:dyDescent="0.25">
      <c r="A19325" t="s">
        <v>57379</v>
      </c>
      <c r="B19325" t="s">
        <v>58539</v>
      </c>
      <c r="C19325" t="s">
        <v>798</v>
      </c>
      <c r="D19325" t="s">
        <v>799</v>
      </c>
      <c r="E19325" t="s">
        <v>800</v>
      </c>
      <c r="F19325" t="s">
        <v>58540</v>
      </c>
      <c r="G19325" s="2" t="str">
        <f>HYPERLINK("https://probpalata.gov.ru/files/ЮЛ780300308200643.jpeg","Скачать индивидуальный QR-код магазина")</f>
        <v>Скачать индивидуальный QR-код магазина</v>
      </c>
    </row>
    <row r="19326" spans="1:7" x14ac:dyDescent="0.25">
      <c r="A19326" t="s">
        <v>57379</v>
      </c>
      <c r="B19326" t="s">
        <v>58499</v>
      </c>
      <c r="C19326" t="s">
        <v>798</v>
      </c>
      <c r="D19326" t="s">
        <v>799</v>
      </c>
      <c r="E19326" t="s">
        <v>800</v>
      </c>
      <c r="F19326" t="s">
        <v>58541</v>
      </c>
      <c r="G19326" s="2" t="str">
        <f>HYPERLINK("https://probpalata.gov.ru/files/ЮЛ780300308200920.jpeg","Скачать индивидуальный QR-код магазина")</f>
        <v>Скачать индивидуальный QR-код магазина</v>
      </c>
    </row>
    <row r="19327" spans="1:7" x14ac:dyDescent="0.25">
      <c r="A19327" t="s">
        <v>57379</v>
      </c>
      <c r="B19327" t="s">
        <v>58542</v>
      </c>
      <c r="C19327" t="s">
        <v>798</v>
      </c>
      <c r="D19327" t="s">
        <v>799</v>
      </c>
      <c r="E19327" t="s">
        <v>800</v>
      </c>
      <c r="F19327" t="s">
        <v>58543</v>
      </c>
      <c r="G19327" s="2" t="str">
        <f>HYPERLINK("https://probpalata.gov.ru/files/ЮЛ780300308200936.jpeg","Скачать индивидуальный QR-код магазина")</f>
        <v>Скачать индивидуальный QR-код магазина</v>
      </c>
    </row>
    <row r="19328" spans="1:7" x14ac:dyDescent="0.25">
      <c r="A19328" t="s">
        <v>57379</v>
      </c>
      <c r="B19328" t="s">
        <v>58544</v>
      </c>
      <c r="C19328" t="s">
        <v>798</v>
      </c>
      <c r="D19328" t="s">
        <v>799</v>
      </c>
      <c r="E19328" t="s">
        <v>800</v>
      </c>
      <c r="F19328" t="s">
        <v>58545</v>
      </c>
      <c r="G19328" s="2" t="str">
        <f>HYPERLINK("https://probpalata.gov.ru/files/ЮЛ780300308201110.jpeg","Скачать индивидуальный QR-код магазина")</f>
        <v>Скачать индивидуальный QR-код магазина</v>
      </c>
    </row>
    <row r="19329" spans="1:7" x14ac:dyDescent="0.25">
      <c r="A19329" t="s">
        <v>57379</v>
      </c>
      <c r="B19329" t="s">
        <v>58546</v>
      </c>
      <c r="C19329" t="s">
        <v>798</v>
      </c>
      <c r="D19329" t="s">
        <v>799</v>
      </c>
      <c r="E19329" t="s">
        <v>800</v>
      </c>
      <c r="F19329" t="s">
        <v>58547</v>
      </c>
      <c r="G19329" s="2" t="str">
        <f>HYPERLINK("https://probpalata.gov.ru/files/ЮЛ780300308201146.jpeg","Скачать индивидуальный QR-код магазина")</f>
        <v>Скачать индивидуальный QR-код магазина</v>
      </c>
    </row>
    <row r="19330" spans="1:7" x14ac:dyDescent="0.25">
      <c r="A19330" t="s">
        <v>57379</v>
      </c>
      <c r="B19330" t="s">
        <v>58548</v>
      </c>
      <c r="C19330" t="s">
        <v>798</v>
      </c>
      <c r="D19330" t="s">
        <v>799</v>
      </c>
      <c r="E19330" t="s">
        <v>800</v>
      </c>
      <c r="F19330" t="s">
        <v>58549</v>
      </c>
      <c r="G19330" s="2" t="str">
        <f>HYPERLINK("https://probpalata.gov.ru/files/ЮЛ780300308201151.jpeg","Скачать индивидуальный QR-код магазина")</f>
        <v>Скачать индивидуальный QR-код магазина</v>
      </c>
    </row>
    <row r="19331" spans="1:7" x14ac:dyDescent="0.25">
      <c r="A19331" t="s">
        <v>57379</v>
      </c>
      <c r="B19331" t="s">
        <v>58550</v>
      </c>
      <c r="C19331" t="s">
        <v>798</v>
      </c>
      <c r="D19331" t="s">
        <v>799</v>
      </c>
      <c r="E19331" t="s">
        <v>800</v>
      </c>
      <c r="F19331" t="s">
        <v>58551</v>
      </c>
      <c r="G19331" s="2" t="str">
        <f>HYPERLINK("https://probpalata.gov.ru/files/ЮЛ780300308201242.jpeg","Скачать индивидуальный QR-код магазина")</f>
        <v>Скачать индивидуальный QR-код магазина</v>
      </c>
    </row>
    <row r="19332" spans="1:7" x14ac:dyDescent="0.25">
      <c r="A19332" t="s">
        <v>57379</v>
      </c>
      <c r="B19332" t="s">
        <v>58503</v>
      </c>
      <c r="C19332" t="s">
        <v>823</v>
      </c>
      <c r="D19332" t="s">
        <v>824</v>
      </c>
      <c r="E19332" t="s">
        <v>825</v>
      </c>
      <c r="F19332" t="s">
        <v>58552</v>
      </c>
      <c r="G19332" s="2" t="str">
        <f>HYPERLINK("https://probpalata.gov.ru/files/ЮЛ780300363500021.jpeg","Скачать индивидуальный QR-код магазина")</f>
        <v>Скачать индивидуальный QR-код магазина</v>
      </c>
    </row>
    <row r="19333" spans="1:7" x14ac:dyDescent="0.25">
      <c r="A19333" t="s">
        <v>57379</v>
      </c>
      <c r="B19333" t="s">
        <v>58553</v>
      </c>
      <c r="C19333" t="s">
        <v>823</v>
      </c>
      <c r="D19333" t="s">
        <v>824</v>
      </c>
      <c r="E19333" t="s">
        <v>825</v>
      </c>
      <c r="F19333" t="s">
        <v>58554</v>
      </c>
      <c r="G19333" s="2" t="str">
        <f>HYPERLINK("https://probpalata.gov.ru/files/ЮЛ780300363500253.jpeg","Скачать индивидуальный QR-код магазина")</f>
        <v>Скачать индивидуальный QR-код магазина</v>
      </c>
    </row>
    <row r="19334" spans="1:7" x14ac:dyDescent="0.25">
      <c r="A19334" t="s">
        <v>57379</v>
      </c>
      <c r="B19334" t="s">
        <v>58499</v>
      </c>
      <c r="C19334" t="s">
        <v>823</v>
      </c>
      <c r="D19334" t="s">
        <v>824</v>
      </c>
      <c r="E19334" t="s">
        <v>825</v>
      </c>
      <c r="F19334" t="s">
        <v>58555</v>
      </c>
      <c r="G19334" s="2" t="str">
        <f>HYPERLINK("https://probpalata.gov.ru/files/ЮЛ780300363500254.jpeg","Скачать индивидуальный QR-код магазина")</f>
        <v>Скачать индивидуальный QR-код магазина</v>
      </c>
    </row>
    <row r="19335" spans="1:7" x14ac:dyDescent="0.25">
      <c r="A19335" t="s">
        <v>57379</v>
      </c>
      <c r="B19335" t="s">
        <v>58510</v>
      </c>
      <c r="C19335" t="s">
        <v>823</v>
      </c>
      <c r="D19335" t="s">
        <v>824</v>
      </c>
      <c r="E19335" t="s">
        <v>825</v>
      </c>
      <c r="F19335" t="s">
        <v>58556</v>
      </c>
      <c r="G19335" s="2" t="str">
        <f>HYPERLINK("https://probpalata.gov.ru/files/ЮЛ780300363500255.jpeg","Скачать индивидуальный QR-код магазина")</f>
        <v>Скачать индивидуальный QR-код магазина</v>
      </c>
    </row>
    <row r="19336" spans="1:7" x14ac:dyDescent="0.25">
      <c r="A19336" t="s">
        <v>57379</v>
      </c>
      <c r="B19336" t="s">
        <v>58557</v>
      </c>
      <c r="C19336" t="s">
        <v>823</v>
      </c>
      <c r="D19336" t="s">
        <v>824</v>
      </c>
      <c r="E19336" t="s">
        <v>825</v>
      </c>
      <c r="F19336" t="s">
        <v>58558</v>
      </c>
      <c r="G19336" s="2" t="str">
        <f>HYPERLINK("https://probpalata.gov.ru/files/ЮЛ780300363500257.jpeg","Скачать индивидуальный QR-код магазина")</f>
        <v>Скачать индивидуальный QR-код магазина</v>
      </c>
    </row>
    <row r="19337" spans="1:7" x14ac:dyDescent="0.25">
      <c r="A19337" t="s">
        <v>57379</v>
      </c>
      <c r="B19337" t="s">
        <v>58559</v>
      </c>
      <c r="C19337" t="s">
        <v>1501</v>
      </c>
      <c r="D19337" t="s">
        <v>1502</v>
      </c>
      <c r="E19337" t="s">
        <v>1503</v>
      </c>
      <c r="F19337" t="s">
        <v>58560</v>
      </c>
      <c r="G19337" s="2" t="str">
        <f>HYPERLINK("https://probpalata.gov.ru/files/ЮЛ770100439200138.jpeg","Скачать индивидуальный QR-код магазина")</f>
        <v>Скачать индивидуальный QR-код магазина</v>
      </c>
    </row>
    <row r="19338" spans="1:7" x14ac:dyDescent="0.25">
      <c r="A19338" t="s">
        <v>57379</v>
      </c>
      <c r="B19338" t="s">
        <v>58561</v>
      </c>
      <c r="C19338" t="s">
        <v>1501</v>
      </c>
      <c r="D19338" t="s">
        <v>1502</v>
      </c>
      <c r="E19338" t="s">
        <v>1503</v>
      </c>
      <c r="F19338" t="s">
        <v>58562</v>
      </c>
      <c r="G19338" s="2" t="str">
        <f>HYPERLINK("https://probpalata.gov.ru/files/ЮЛ770100439200219.jpeg","Скачать индивидуальный QR-код магазина")</f>
        <v>Скачать индивидуальный QR-код магазина</v>
      </c>
    </row>
    <row r="19339" spans="1:7" x14ac:dyDescent="0.25">
      <c r="A19339" t="s">
        <v>57379</v>
      </c>
      <c r="B19339" t="s">
        <v>58563</v>
      </c>
      <c r="C19339" t="s">
        <v>1501</v>
      </c>
      <c r="D19339" t="s">
        <v>1502</v>
      </c>
      <c r="E19339" t="s">
        <v>1503</v>
      </c>
      <c r="F19339" t="s">
        <v>58564</v>
      </c>
      <c r="G19339" s="2" t="str">
        <f>HYPERLINK("https://probpalata.gov.ru/files/ЮЛ770100439200262.jpeg","Скачать индивидуальный QR-код магазина")</f>
        <v>Скачать индивидуальный QR-код магазина</v>
      </c>
    </row>
    <row r="19340" spans="1:7" x14ac:dyDescent="0.25">
      <c r="A19340" t="s">
        <v>58565</v>
      </c>
      <c r="B19340" t="s">
        <v>58566</v>
      </c>
      <c r="C19340" t="s">
        <v>38505</v>
      </c>
      <c r="D19340" t="s">
        <v>38506</v>
      </c>
      <c r="E19340" t="s">
        <v>38507</v>
      </c>
      <c r="F19340" t="s">
        <v>58567</v>
      </c>
      <c r="G19340" s="2" t="str">
        <f>HYPERLINK("https://probpalata.gov.ru/files/ИП050501418700001.jpeg","Скачать индивидуальный QR-код магазина")</f>
        <v>Скачать индивидуальный QR-код магазина</v>
      </c>
    </row>
    <row r="19341" spans="1:7" x14ac:dyDescent="0.25">
      <c r="A19341" t="s">
        <v>58565</v>
      </c>
      <c r="B19341" t="s">
        <v>58568</v>
      </c>
      <c r="C19341" t="s">
        <v>58569</v>
      </c>
      <c r="D19341" t="s">
        <v>58570</v>
      </c>
      <c r="E19341" t="s">
        <v>58571</v>
      </c>
      <c r="F19341" t="s">
        <v>58572</v>
      </c>
      <c r="G19341" s="2" t="str">
        <f>HYPERLINK("https://probpalata.gov.ru/files/ИП200500222500000.jpeg","Скачать индивидуальный QR-код магазина")</f>
        <v>Скачать индивидуальный QR-код магазина</v>
      </c>
    </row>
    <row r="19342" spans="1:7" x14ac:dyDescent="0.25">
      <c r="A19342" t="s">
        <v>58565</v>
      </c>
      <c r="B19342" t="s">
        <v>58573</v>
      </c>
      <c r="C19342" t="s">
        <v>26040</v>
      </c>
      <c r="D19342" t="s">
        <v>58574</v>
      </c>
      <c r="E19342" t="s">
        <v>58575</v>
      </c>
      <c r="F19342" t="s">
        <v>58576</v>
      </c>
      <c r="G19342" s="2" t="str">
        <f>HYPERLINK("https://probpalata.gov.ru/files/ЮЛ200501534400000.jpeg","Скачать индивидуальный QR-код магазина")</f>
        <v>Скачать индивидуальный QR-код магазина</v>
      </c>
    </row>
    <row r="19343" spans="1:7" x14ac:dyDescent="0.25">
      <c r="A19343" t="s">
        <v>58565</v>
      </c>
      <c r="B19343" t="s">
        <v>58577</v>
      </c>
      <c r="C19343" t="s">
        <v>58578</v>
      </c>
      <c r="D19343" t="s">
        <v>58579</v>
      </c>
      <c r="E19343" t="s">
        <v>58580</v>
      </c>
      <c r="F19343" t="s">
        <v>58581</v>
      </c>
      <c r="G19343" s="2" t="str">
        <f>HYPERLINK("https://probpalata.gov.ru/files/ИП200500257600000.jpeg","Скачать индивидуальный QR-код магазина")</f>
        <v>Скачать индивидуальный QR-код магазина</v>
      </c>
    </row>
    <row r="19344" spans="1:7" x14ac:dyDescent="0.25">
      <c r="A19344" t="s">
        <v>58565</v>
      </c>
      <c r="B19344" t="s">
        <v>58582</v>
      </c>
      <c r="C19344" t="s">
        <v>2039</v>
      </c>
      <c r="D19344" t="s">
        <v>58583</v>
      </c>
      <c r="E19344" t="s">
        <v>58584</v>
      </c>
      <c r="F19344" t="s">
        <v>58585</v>
      </c>
      <c r="G19344" s="2" t="str">
        <f>HYPERLINK("https://probpalata.gov.ru/files/ЮЛ200500226600000.jpeg","Скачать индивидуальный QR-код магазина")</f>
        <v>Скачать индивидуальный QR-код магазина</v>
      </c>
    </row>
    <row r="19345" spans="1:7" x14ac:dyDescent="0.25">
      <c r="A19345" t="s">
        <v>58565</v>
      </c>
      <c r="B19345" t="s">
        <v>58586</v>
      </c>
      <c r="C19345" t="s">
        <v>58587</v>
      </c>
      <c r="D19345" t="s">
        <v>58588</v>
      </c>
      <c r="E19345" t="s">
        <v>58589</v>
      </c>
      <c r="F19345" t="s">
        <v>58590</v>
      </c>
      <c r="G19345" s="2" t="str">
        <f>HYPERLINK("https://probpalata.gov.ru/files/ЮЛ200503953300000.jpeg","Скачать индивидуальный QR-код магазина")</f>
        <v>Скачать индивидуальный QR-код магазина</v>
      </c>
    </row>
    <row r="19346" spans="1:7" x14ac:dyDescent="0.25">
      <c r="A19346" t="s">
        <v>58565</v>
      </c>
      <c r="B19346" t="s">
        <v>58591</v>
      </c>
      <c r="C19346" t="s">
        <v>58592</v>
      </c>
      <c r="D19346" t="s">
        <v>58593</v>
      </c>
      <c r="E19346" t="s">
        <v>58594</v>
      </c>
      <c r="F19346" t="s">
        <v>58595</v>
      </c>
      <c r="G19346" s="2" t="str">
        <f>HYPERLINK("https://probpalata.gov.ru/files/ИП200504014700000.jpeg","Скачать индивидуальный QR-код магазина")</f>
        <v>Скачать индивидуальный QR-код магазина</v>
      </c>
    </row>
    <row r="19347" spans="1:7" x14ac:dyDescent="0.25">
      <c r="A19347" t="s">
        <v>58565</v>
      </c>
      <c r="B19347" t="s">
        <v>58596</v>
      </c>
      <c r="C19347" t="s">
        <v>671</v>
      </c>
      <c r="D19347" t="s">
        <v>672</v>
      </c>
      <c r="E19347" t="s">
        <v>673</v>
      </c>
      <c r="F19347" t="s">
        <v>58597</v>
      </c>
      <c r="G19347" s="2" t="str">
        <f>HYPERLINK("https://probpalata.gov.ru/files/ИП500100445500041.jpeg","Скачать индивидуальный QR-код магазина")</f>
        <v>Скачать индивидуальный QR-код магазина</v>
      </c>
    </row>
    <row r="19348" spans="1:7" x14ac:dyDescent="0.25">
      <c r="A19348" t="s">
        <v>58565</v>
      </c>
      <c r="B19348" t="s">
        <v>58598</v>
      </c>
      <c r="C19348" t="s">
        <v>713</v>
      </c>
      <c r="D19348" t="s">
        <v>714</v>
      </c>
      <c r="E19348" t="s">
        <v>715</v>
      </c>
      <c r="F19348" t="s">
        <v>58599</v>
      </c>
      <c r="G19348" s="2" t="str">
        <f>HYPERLINK("https://probpalata.gov.ru/files/ЮЛ770101216600481.jpeg","Скачать индивидуальный QR-код магазина")</f>
        <v>Скачать индивидуальный QR-код магазина</v>
      </c>
    </row>
    <row r="19349" spans="1:7" x14ac:dyDescent="0.25">
      <c r="A19349" t="s">
        <v>58565</v>
      </c>
      <c r="B19349" t="s">
        <v>58591</v>
      </c>
      <c r="C19349" t="s">
        <v>1416</v>
      </c>
      <c r="D19349" t="s">
        <v>1417</v>
      </c>
      <c r="E19349" t="s">
        <v>1418</v>
      </c>
      <c r="F19349" t="s">
        <v>58600</v>
      </c>
      <c r="G19349" s="2" t="str">
        <f>HYPERLINK("https://probpalata.gov.ru/files/ЮЛ770100419400219.jpeg","Скачать индивидуальный QR-код магазина")</f>
        <v>Скачать индивидуальный QR-код магазина</v>
      </c>
    </row>
    <row r="19350" spans="1:7" x14ac:dyDescent="0.25">
      <c r="A19350" t="s">
        <v>58565</v>
      </c>
      <c r="B19350" t="s">
        <v>58601</v>
      </c>
      <c r="C19350" t="s">
        <v>798</v>
      </c>
      <c r="D19350" t="s">
        <v>799</v>
      </c>
      <c r="E19350" t="s">
        <v>800</v>
      </c>
      <c r="F19350" t="s">
        <v>58602</v>
      </c>
      <c r="G19350" s="2" t="str">
        <f>HYPERLINK("https://probpalata.gov.ru/files/ЮЛ780300308200365.jpeg","Скачать индивидуальный QR-код магазина")</f>
        <v>Скачать индивидуальный QR-код магазина</v>
      </c>
    </row>
    <row r="19351" spans="1:7" x14ac:dyDescent="0.25">
      <c r="A19351" t="s">
        <v>58565</v>
      </c>
      <c r="B19351" t="s">
        <v>58603</v>
      </c>
      <c r="C19351" t="s">
        <v>798</v>
      </c>
      <c r="D19351" t="s">
        <v>799</v>
      </c>
      <c r="E19351" t="s">
        <v>800</v>
      </c>
      <c r="F19351" t="s">
        <v>58604</v>
      </c>
      <c r="G19351" s="2" t="str">
        <f>HYPERLINK("https://probpalata.gov.ru/files/ЮЛ780300308200585.jpeg","Скачать индивидуальный QR-код магазина")</f>
        <v>Скачать индивидуальный QR-код магазина</v>
      </c>
    </row>
    <row r="19352" spans="1:7" x14ac:dyDescent="0.25">
      <c r="A19352" t="s">
        <v>58565</v>
      </c>
      <c r="B19352" t="s">
        <v>58605</v>
      </c>
      <c r="C19352" t="s">
        <v>1501</v>
      </c>
      <c r="D19352" t="s">
        <v>1502</v>
      </c>
      <c r="E19352" t="s">
        <v>1503</v>
      </c>
      <c r="F19352" t="s">
        <v>58606</v>
      </c>
      <c r="G19352" s="2" t="str">
        <f>HYPERLINK("https://probpalata.gov.ru/files/ЮЛ770100439200202.jpeg","Скачать индивидуальный QR-код магазина")</f>
        <v>Скачать индивидуальный QR-код магазина</v>
      </c>
    </row>
    <row r="19353" spans="1:7" x14ac:dyDescent="0.25">
      <c r="A19353" t="s">
        <v>58607</v>
      </c>
      <c r="B19353" t="s">
        <v>58608</v>
      </c>
      <c r="C19353" t="s">
        <v>10986</v>
      </c>
      <c r="D19353" t="s">
        <v>10987</v>
      </c>
      <c r="E19353" t="s">
        <v>10988</v>
      </c>
      <c r="F19353" t="s">
        <v>58609</v>
      </c>
      <c r="G19353" s="2" t="str">
        <f>HYPERLINK("https://probpalata.gov.ru/files/ИП120600364300002.jpeg","Скачать индивидуальный QR-код магазина")</f>
        <v>Скачать индивидуальный QR-код магазина</v>
      </c>
    </row>
    <row r="19354" spans="1:7" x14ac:dyDescent="0.25">
      <c r="A19354" t="s">
        <v>58607</v>
      </c>
      <c r="B19354" t="s">
        <v>58610</v>
      </c>
      <c r="C19354" t="s">
        <v>40656</v>
      </c>
      <c r="D19354" t="s">
        <v>40657</v>
      </c>
      <c r="E19354" t="s">
        <v>40658</v>
      </c>
      <c r="F19354" t="s">
        <v>58611</v>
      </c>
      <c r="G19354" s="2" t="str">
        <f>HYPERLINK("https://probpalata.gov.ru/files/ЮЛ120600100400012.jpeg","Скачать индивидуальный QR-код магазина")</f>
        <v>Скачать индивидуальный QR-код магазина</v>
      </c>
    </row>
    <row r="19355" spans="1:7" x14ac:dyDescent="0.25">
      <c r="A19355" t="s">
        <v>58607</v>
      </c>
      <c r="B19355" t="s">
        <v>58612</v>
      </c>
      <c r="C19355" t="s">
        <v>11004</v>
      </c>
      <c r="D19355" t="s">
        <v>11005</v>
      </c>
      <c r="E19355" t="s">
        <v>11006</v>
      </c>
      <c r="F19355" t="s">
        <v>58613</v>
      </c>
      <c r="G19355" s="2" t="str">
        <f>HYPERLINK("https://probpalata.gov.ru/files/ИП120600483700001.jpeg","Скачать индивидуальный QR-код магазина")</f>
        <v>Скачать индивидуальный QR-код магазина</v>
      </c>
    </row>
    <row r="19356" spans="1:7" x14ac:dyDescent="0.25">
      <c r="A19356" t="s">
        <v>58607</v>
      </c>
      <c r="B19356" t="s">
        <v>58614</v>
      </c>
      <c r="C19356" t="s">
        <v>11004</v>
      </c>
      <c r="D19356" t="s">
        <v>11005</v>
      </c>
      <c r="E19356" t="s">
        <v>11006</v>
      </c>
      <c r="F19356" t="s">
        <v>58615</v>
      </c>
      <c r="G19356" s="2" t="str">
        <f>HYPERLINK("https://probpalata.gov.ru/files/ИП120600483700002.jpeg","Скачать индивидуальный QR-код магазина")</f>
        <v>Скачать индивидуальный QR-код магазина</v>
      </c>
    </row>
    <row r="19357" spans="1:7" x14ac:dyDescent="0.25">
      <c r="A19357" t="s">
        <v>58607</v>
      </c>
      <c r="B19357" t="s">
        <v>58616</v>
      </c>
      <c r="C19357" t="s">
        <v>58617</v>
      </c>
      <c r="D19357" t="s">
        <v>58618</v>
      </c>
      <c r="E19357" t="s">
        <v>58619</v>
      </c>
      <c r="F19357" t="s">
        <v>58620</v>
      </c>
      <c r="G19357" s="2" t="str">
        <f>HYPERLINK("https://probpalata.gov.ru/files/ИП210600474400000.jpeg","Скачать индивидуальный QR-код магазина")</f>
        <v>Скачать индивидуальный QR-код магазина</v>
      </c>
    </row>
    <row r="19358" spans="1:7" x14ac:dyDescent="0.25">
      <c r="A19358" t="s">
        <v>58607</v>
      </c>
      <c r="B19358" t="s">
        <v>58621</v>
      </c>
      <c r="C19358" t="s">
        <v>58617</v>
      </c>
      <c r="D19358" t="s">
        <v>58618</v>
      </c>
      <c r="E19358" t="s">
        <v>58619</v>
      </c>
      <c r="F19358" t="s">
        <v>58622</v>
      </c>
      <c r="G19358" s="2" t="str">
        <f>HYPERLINK("https://probpalata.gov.ru/files/ИП210600474400005.jpeg","Скачать индивидуальный QR-код магазина")</f>
        <v>Скачать индивидуальный QR-код магазина</v>
      </c>
    </row>
    <row r="19359" spans="1:7" x14ac:dyDescent="0.25">
      <c r="A19359" t="s">
        <v>58607</v>
      </c>
      <c r="B19359" t="s">
        <v>58623</v>
      </c>
      <c r="C19359" t="s">
        <v>58617</v>
      </c>
      <c r="D19359" t="s">
        <v>58618</v>
      </c>
      <c r="E19359" t="s">
        <v>58619</v>
      </c>
      <c r="F19359" t="s">
        <v>58624</v>
      </c>
      <c r="G19359" s="2" t="str">
        <f>HYPERLINK("https://probpalata.gov.ru/files/ИП210600474400006.jpeg","Скачать индивидуальный QR-код магазина")</f>
        <v>Скачать индивидуальный QR-код магазина</v>
      </c>
    </row>
    <row r="19360" spans="1:7" x14ac:dyDescent="0.25">
      <c r="A19360" t="s">
        <v>58607</v>
      </c>
      <c r="B19360" t="s">
        <v>58625</v>
      </c>
      <c r="C19360" t="s">
        <v>58617</v>
      </c>
      <c r="D19360" t="s">
        <v>58618</v>
      </c>
      <c r="E19360" t="s">
        <v>58619</v>
      </c>
      <c r="F19360" t="s">
        <v>58626</v>
      </c>
      <c r="G19360" s="2" t="str">
        <f>HYPERLINK("https://probpalata.gov.ru/files/ИП210600474400007.jpeg","Скачать индивидуальный QR-код магазина")</f>
        <v>Скачать индивидуальный QR-код магазина</v>
      </c>
    </row>
    <row r="19361" spans="1:7" x14ac:dyDescent="0.25">
      <c r="A19361" t="s">
        <v>58607</v>
      </c>
      <c r="B19361" t="s">
        <v>58627</v>
      </c>
      <c r="C19361" t="s">
        <v>58628</v>
      </c>
      <c r="D19361" t="s">
        <v>58629</v>
      </c>
      <c r="E19361" t="s">
        <v>58630</v>
      </c>
      <c r="F19361" t="s">
        <v>58631</v>
      </c>
      <c r="G19361" s="2" t="str">
        <f>HYPERLINK("https://probpalata.gov.ru/files/ИП210600254200000.jpeg","Скачать индивидуальный QR-код магазина")</f>
        <v>Скачать индивидуальный QR-код магазина</v>
      </c>
    </row>
    <row r="19362" spans="1:7" x14ac:dyDescent="0.25">
      <c r="A19362" t="s">
        <v>58607</v>
      </c>
      <c r="B19362" t="s">
        <v>58632</v>
      </c>
      <c r="C19362" t="s">
        <v>58633</v>
      </c>
      <c r="D19362" t="s">
        <v>58634</v>
      </c>
      <c r="E19362" t="s">
        <v>58635</v>
      </c>
      <c r="F19362" t="s">
        <v>58636</v>
      </c>
      <c r="G19362" s="2" t="str">
        <f>HYPERLINK("https://probpalata.gov.ru/files/ИП210603137200000.jpeg","Скачать индивидуальный QR-код магазина")</f>
        <v>Скачать индивидуальный QR-код магазина</v>
      </c>
    </row>
    <row r="19363" spans="1:7" x14ac:dyDescent="0.25">
      <c r="A19363" t="s">
        <v>58607</v>
      </c>
      <c r="B19363" t="s">
        <v>58637</v>
      </c>
      <c r="C19363" t="s">
        <v>58638</v>
      </c>
      <c r="D19363" t="s">
        <v>58639</v>
      </c>
      <c r="E19363" t="s">
        <v>58640</v>
      </c>
      <c r="F19363" t="s">
        <v>58641</v>
      </c>
      <c r="G19363" s="2" t="str">
        <f>HYPERLINK("https://probpalata.gov.ru/files/ИП210600637100000.jpeg","Скачать индивидуальный QR-код магазина")</f>
        <v>Скачать индивидуальный QR-код магазина</v>
      </c>
    </row>
    <row r="19364" spans="1:7" x14ac:dyDescent="0.25">
      <c r="A19364" t="s">
        <v>58607</v>
      </c>
      <c r="B19364" t="s">
        <v>58642</v>
      </c>
      <c r="C19364" t="s">
        <v>6443</v>
      </c>
      <c r="D19364" t="s">
        <v>6444</v>
      </c>
      <c r="E19364" t="s">
        <v>6445</v>
      </c>
      <c r="F19364" t="s">
        <v>58643</v>
      </c>
      <c r="G19364" s="2" t="str">
        <f>HYPERLINK("https://probpalata.gov.ru/files/ИП520600153500004.jpeg","Скачать индивидуальный QR-код магазина")</f>
        <v>Скачать индивидуальный QR-код магазина</v>
      </c>
    </row>
    <row r="19365" spans="1:7" x14ac:dyDescent="0.25">
      <c r="A19365" t="s">
        <v>58607</v>
      </c>
      <c r="B19365" t="s">
        <v>58644</v>
      </c>
      <c r="C19365" t="s">
        <v>58645</v>
      </c>
      <c r="D19365" t="s">
        <v>58646</v>
      </c>
      <c r="E19365" t="s">
        <v>58647</v>
      </c>
      <c r="F19365" t="s">
        <v>58648</v>
      </c>
      <c r="G19365" s="2" t="str">
        <f>HYPERLINK("https://probpalata.gov.ru/files/ИП210600550800000.jpeg","Скачать индивидуальный QR-код магазина")</f>
        <v>Скачать индивидуальный QR-код магазина</v>
      </c>
    </row>
    <row r="19366" spans="1:7" x14ac:dyDescent="0.25">
      <c r="A19366" t="s">
        <v>58607</v>
      </c>
      <c r="B19366" t="s">
        <v>58649</v>
      </c>
      <c r="C19366" t="s">
        <v>58650</v>
      </c>
      <c r="D19366" t="s">
        <v>58651</v>
      </c>
      <c r="E19366" t="s">
        <v>58652</v>
      </c>
      <c r="F19366" t="s">
        <v>58653</v>
      </c>
      <c r="G19366" s="2" t="str">
        <f>HYPERLINK("https://probpalata.gov.ru/files/ИП210600231500000.jpeg","Скачать индивидуальный QR-код магазина")</f>
        <v>Скачать индивидуальный QR-код магазина</v>
      </c>
    </row>
    <row r="19367" spans="1:7" x14ac:dyDescent="0.25">
      <c r="A19367" t="s">
        <v>58607</v>
      </c>
      <c r="B19367" t="s">
        <v>58654</v>
      </c>
      <c r="C19367" t="s">
        <v>58655</v>
      </c>
      <c r="D19367" t="s">
        <v>58656</v>
      </c>
      <c r="E19367" t="s">
        <v>58657</v>
      </c>
      <c r="F19367" t="s">
        <v>58658</v>
      </c>
      <c r="G19367" s="2" t="str">
        <f>HYPERLINK("https://probpalata.gov.ru/files/ИП210603277800000.jpeg","Скачать индивидуальный QR-код магазина")</f>
        <v>Скачать индивидуальный QR-код магазина</v>
      </c>
    </row>
    <row r="19368" spans="1:7" x14ac:dyDescent="0.25">
      <c r="A19368" t="s">
        <v>58607</v>
      </c>
      <c r="B19368" t="s">
        <v>58659</v>
      </c>
      <c r="C19368" t="s">
        <v>58660</v>
      </c>
      <c r="D19368" t="s">
        <v>58661</v>
      </c>
      <c r="E19368" t="s">
        <v>58662</v>
      </c>
      <c r="F19368" t="s">
        <v>58663</v>
      </c>
      <c r="G19368" s="2" t="str">
        <f>HYPERLINK("https://probpalata.gov.ru/files/ИП210603054800000.jpeg","Скачать индивидуальный QR-код магазина")</f>
        <v>Скачать индивидуальный QR-код магазина</v>
      </c>
    </row>
    <row r="19369" spans="1:7" x14ac:dyDescent="0.25">
      <c r="A19369" t="s">
        <v>58607</v>
      </c>
      <c r="B19369" t="s">
        <v>58664</v>
      </c>
      <c r="C19369" t="s">
        <v>58665</v>
      </c>
      <c r="D19369" t="s">
        <v>58666</v>
      </c>
      <c r="E19369" t="s">
        <v>58667</v>
      </c>
      <c r="F19369" t="s">
        <v>58668</v>
      </c>
      <c r="G19369" s="2" t="str">
        <f>HYPERLINK("https://probpalata.gov.ru/files/ИП210603516600000.jpeg","Скачать индивидуальный QR-код магазина")</f>
        <v>Скачать индивидуальный QR-код магазина</v>
      </c>
    </row>
    <row r="19370" spans="1:7" x14ac:dyDescent="0.25">
      <c r="A19370" t="s">
        <v>58607</v>
      </c>
      <c r="B19370" t="s">
        <v>58669</v>
      </c>
      <c r="C19370" t="s">
        <v>58665</v>
      </c>
      <c r="D19370" t="s">
        <v>58666</v>
      </c>
      <c r="E19370" t="s">
        <v>58667</v>
      </c>
      <c r="F19370" t="s">
        <v>58670</v>
      </c>
      <c r="G19370" s="2" t="str">
        <f>HYPERLINK("https://probpalata.gov.ru/files/ИП210603516600001.jpeg","Скачать индивидуальный QR-код магазина")</f>
        <v>Скачать индивидуальный QR-код магазина</v>
      </c>
    </row>
    <row r="19371" spans="1:7" x14ac:dyDescent="0.25">
      <c r="A19371" t="s">
        <v>58607</v>
      </c>
      <c r="B19371" t="s">
        <v>58671</v>
      </c>
      <c r="C19371" t="s">
        <v>58672</v>
      </c>
      <c r="D19371" t="s">
        <v>58673</v>
      </c>
      <c r="E19371" t="s">
        <v>58674</v>
      </c>
      <c r="F19371" t="s">
        <v>58675</v>
      </c>
      <c r="G19371" s="2" t="str">
        <f>HYPERLINK("https://probpalata.gov.ru/files/ИП210600423600000.jpeg","Скачать индивидуальный QR-код магазина")</f>
        <v>Скачать индивидуальный QR-код магазина</v>
      </c>
    </row>
    <row r="19372" spans="1:7" x14ac:dyDescent="0.25">
      <c r="A19372" t="s">
        <v>58607</v>
      </c>
      <c r="B19372" t="s">
        <v>58676</v>
      </c>
      <c r="C19372" t="s">
        <v>58672</v>
      </c>
      <c r="D19372" t="s">
        <v>58673</v>
      </c>
      <c r="E19372" t="s">
        <v>58674</v>
      </c>
      <c r="F19372" t="s">
        <v>58677</v>
      </c>
      <c r="G19372" s="2" t="str">
        <f>HYPERLINK("https://probpalata.gov.ru/files/ИП210600423600003.jpeg","Скачать индивидуальный QR-код магазина")</f>
        <v>Скачать индивидуальный QR-код магазина</v>
      </c>
    </row>
    <row r="19373" spans="1:7" x14ac:dyDescent="0.25">
      <c r="A19373" t="s">
        <v>58607</v>
      </c>
      <c r="B19373" t="s">
        <v>58678</v>
      </c>
      <c r="C19373" t="s">
        <v>58679</v>
      </c>
      <c r="D19373" t="s">
        <v>58680</v>
      </c>
      <c r="E19373" t="s">
        <v>58681</v>
      </c>
      <c r="F19373" t="s">
        <v>58682</v>
      </c>
      <c r="G19373" s="2" t="str">
        <f>HYPERLINK("https://probpalata.gov.ru/files/ИП210600256700000.jpeg","Скачать индивидуальный QR-код магазина")</f>
        <v>Скачать индивидуальный QR-код магазина</v>
      </c>
    </row>
    <row r="19374" spans="1:7" x14ac:dyDescent="0.25">
      <c r="A19374" t="s">
        <v>58607</v>
      </c>
      <c r="B19374" t="s">
        <v>58683</v>
      </c>
      <c r="C19374" t="s">
        <v>58684</v>
      </c>
      <c r="D19374" t="s">
        <v>58685</v>
      </c>
      <c r="E19374" t="s">
        <v>58686</v>
      </c>
      <c r="F19374" t="s">
        <v>58687</v>
      </c>
      <c r="G19374" s="2" t="str">
        <f>HYPERLINK("https://probpalata.gov.ru/files/ИП210601565800000.jpeg","Скачать индивидуальный QR-код магазина")</f>
        <v>Скачать индивидуальный QR-код магазина</v>
      </c>
    </row>
    <row r="19375" spans="1:7" x14ac:dyDescent="0.25">
      <c r="A19375" t="s">
        <v>58607</v>
      </c>
      <c r="B19375" t="s">
        <v>58688</v>
      </c>
      <c r="C19375" t="s">
        <v>58689</v>
      </c>
      <c r="D19375" t="s">
        <v>58690</v>
      </c>
      <c r="E19375" t="s">
        <v>58691</v>
      </c>
      <c r="F19375" t="s">
        <v>58692</v>
      </c>
      <c r="G19375" s="2" t="str">
        <f>HYPERLINK("https://probpalata.gov.ru/files/ИП210600923500000.jpeg","Скачать индивидуальный QR-код магазина")</f>
        <v>Скачать индивидуальный QR-код магазина</v>
      </c>
    </row>
    <row r="19376" spans="1:7" x14ac:dyDescent="0.25">
      <c r="A19376" t="s">
        <v>58607</v>
      </c>
      <c r="B19376" t="s">
        <v>58693</v>
      </c>
      <c r="C19376" t="s">
        <v>58694</v>
      </c>
      <c r="D19376" t="s">
        <v>58695</v>
      </c>
      <c r="E19376" t="s">
        <v>58696</v>
      </c>
      <c r="F19376" t="s">
        <v>58697</v>
      </c>
      <c r="G19376" s="2" t="str">
        <f>HYPERLINK("https://probpalata.gov.ru/files/ИП210603223100000.jpeg","Скачать индивидуальный QR-код магазина")</f>
        <v>Скачать индивидуальный QR-код магазина</v>
      </c>
    </row>
    <row r="19377" spans="1:7" x14ac:dyDescent="0.25">
      <c r="A19377" t="s">
        <v>58607</v>
      </c>
      <c r="B19377" t="s">
        <v>58698</v>
      </c>
      <c r="C19377" t="s">
        <v>58699</v>
      </c>
      <c r="D19377" t="s">
        <v>58700</v>
      </c>
      <c r="E19377" t="s">
        <v>58701</v>
      </c>
      <c r="F19377" t="s">
        <v>58702</v>
      </c>
      <c r="G19377" s="2" t="str">
        <f>HYPERLINK("https://probpalata.gov.ru/files/ЮЛ210600520300000.jpeg","Скачать индивидуальный QR-код магазина")</f>
        <v>Скачать индивидуальный QR-код магазина</v>
      </c>
    </row>
    <row r="19378" spans="1:7" x14ac:dyDescent="0.25">
      <c r="A19378" t="s">
        <v>58607</v>
      </c>
      <c r="B19378" t="s">
        <v>58703</v>
      </c>
      <c r="C19378" t="s">
        <v>30179</v>
      </c>
      <c r="D19378" t="s">
        <v>30180</v>
      </c>
      <c r="E19378" t="s">
        <v>30181</v>
      </c>
      <c r="F19378" t="s">
        <v>58704</v>
      </c>
      <c r="G19378" s="2" t="str">
        <f>HYPERLINK("https://probpalata.gov.ru/files/ИП180600271400000.jpeg","Скачать индивидуальный QR-код магазина")</f>
        <v>Скачать индивидуальный QR-код магазина</v>
      </c>
    </row>
    <row r="19379" spans="1:7" x14ac:dyDescent="0.25">
      <c r="A19379" t="s">
        <v>58607</v>
      </c>
      <c r="B19379" t="s">
        <v>58705</v>
      </c>
      <c r="C19379" t="s">
        <v>30179</v>
      </c>
      <c r="D19379" t="s">
        <v>30180</v>
      </c>
      <c r="E19379" t="s">
        <v>30181</v>
      </c>
      <c r="F19379" t="s">
        <v>58706</v>
      </c>
      <c r="G19379" s="2" t="str">
        <f>HYPERLINK("https://probpalata.gov.ru/files/ИП180600271400002.jpeg","Скачать индивидуальный QR-код магазина")</f>
        <v>Скачать индивидуальный QR-код магазина</v>
      </c>
    </row>
    <row r="19380" spans="1:7" x14ac:dyDescent="0.25">
      <c r="A19380" t="s">
        <v>58607</v>
      </c>
      <c r="B19380" t="s">
        <v>58707</v>
      </c>
      <c r="C19380" t="s">
        <v>30179</v>
      </c>
      <c r="D19380" t="s">
        <v>30180</v>
      </c>
      <c r="E19380" t="s">
        <v>30181</v>
      </c>
      <c r="F19380" t="s">
        <v>58708</v>
      </c>
      <c r="G19380" s="2" t="str">
        <f>HYPERLINK("https://probpalata.gov.ru/files/ИП180600271400004.jpeg","Скачать индивидуальный QR-код магазина")</f>
        <v>Скачать индивидуальный QR-код магазина</v>
      </c>
    </row>
    <row r="19381" spans="1:7" x14ac:dyDescent="0.25">
      <c r="A19381" t="s">
        <v>58607</v>
      </c>
      <c r="B19381" t="s">
        <v>58709</v>
      </c>
      <c r="C19381" t="s">
        <v>30179</v>
      </c>
      <c r="D19381" t="s">
        <v>30180</v>
      </c>
      <c r="E19381" t="s">
        <v>30181</v>
      </c>
      <c r="F19381" t="s">
        <v>58710</v>
      </c>
      <c r="G19381" s="2" t="str">
        <f>HYPERLINK("https://probpalata.gov.ru/files/ИП180600271400005.jpeg","Скачать индивидуальный QR-код магазина")</f>
        <v>Скачать индивидуальный QR-код магазина</v>
      </c>
    </row>
    <row r="19382" spans="1:7" x14ac:dyDescent="0.25">
      <c r="A19382" t="s">
        <v>58607</v>
      </c>
      <c r="B19382" t="s">
        <v>58711</v>
      </c>
      <c r="C19382" t="s">
        <v>30179</v>
      </c>
      <c r="D19382" t="s">
        <v>30180</v>
      </c>
      <c r="E19382" t="s">
        <v>30181</v>
      </c>
      <c r="F19382" t="s">
        <v>58712</v>
      </c>
      <c r="G19382" s="2" t="str">
        <f>HYPERLINK("https://probpalata.gov.ru/files/ИП180600271400006.jpeg","Скачать индивидуальный QR-код магазина")</f>
        <v>Скачать индивидуальный QR-код магазина</v>
      </c>
    </row>
    <row r="19383" spans="1:7" x14ac:dyDescent="0.25">
      <c r="A19383" t="s">
        <v>58607</v>
      </c>
      <c r="B19383" t="s">
        <v>58713</v>
      </c>
      <c r="C19383" t="s">
        <v>30179</v>
      </c>
      <c r="D19383" t="s">
        <v>30180</v>
      </c>
      <c r="E19383" t="s">
        <v>30181</v>
      </c>
      <c r="F19383" t="s">
        <v>58714</v>
      </c>
      <c r="G19383" s="2" t="str">
        <f>HYPERLINK("https://probpalata.gov.ru/files/ИП180600271400007.jpeg","Скачать индивидуальный QR-код магазина")</f>
        <v>Скачать индивидуальный QR-код магазина</v>
      </c>
    </row>
    <row r="19384" spans="1:7" x14ac:dyDescent="0.25">
      <c r="A19384" t="s">
        <v>58607</v>
      </c>
      <c r="B19384" t="s">
        <v>58715</v>
      </c>
      <c r="C19384" t="s">
        <v>30179</v>
      </c>
      <c r="D19384" t="s">
        <v>30180</v>
      </c>
      <c r="E19384" t="s">
        <v>30181</v>
      </c>
      <c r="F19384" t="s">
        <v>58716</v>
      </c>
      <c r="G19384" s="2" t="str">
        <f>HYPERLINK("https://probpalata.gov.ru/files/ИП180600271400008.jpeg","Скачать индивидуальный QR-код магазина")</f>
        <v>Скачать индивидуальный QR-код магазина</v>
      </c>
    </row>
    <row r="19385" spans="1:7" x14ac:dyDescent="0.25">
      <c r="A19385" t="s">
        <v>58607</v>
      </c>
      <c r="B19385" t="s">
        <v>58717</v>
      </c>
      <c r="C19385" t="s">
        <v>30179</v>
      </c>
      <c r="D19385" t="s">
        <v>30180</v>
      </c>
      <c r="E19385" t="s">
        <v>30181</v>
      </c>
      <c r="F19385" t="s">
        <v>58718</v>
      </c>
      <c r="G19385" s="2" t="str">
        <f>HYPERLINK("https://probpalata.gov.ru/files/ИП180600271400009.jpeg","Скачать индивидуальный QR-код магазина")</f>
        <v>Скачать индивидуальный QR-код магазина</v>
      </c>
    </row>
    <row r="19386" spans="1:7" x14ac:dyDescent="0.25">
      <c r="A19386" t="s">
        <v>58607</v>
      </c>
      <c r="B19386" t="s">
        <v>58719</v>
      </c>
      <c r="C19386" t="s">
        <v>30179</v>
      </c>
      <c r="D19386" t="s">
        <v>30180</v>
      </c>
      <c r="E19386" t="s">
        <v>30181</v>
      </c>
      <c r="F19386" t="s">
        <v>58720</v>
      </c>
      <c r="G19386" s="2" t="str">
        <f>HYPERLINK("https://probpalata.gov.ru/files/ИП180600271400010.jpeg","Скачать индивидуальный QR-код магазина")</f>
        <v>Скачать индивидуальный QR-код магазина</v>
      </c>
    </row>
    <row r="19387" spans="1:7" x14ac:dyDescent="0.25">
      <c r="A19387" t="s">
        <v>58607</v>
      </c>
      <c r="B19387" t="s">
        <v>58721</v>
      </c>
      <c r="C19387" t="s">
        <v>30179</v>
      </c>
      <c r="D19387" t="s">
        <v>30180</v>
      </c>
      <c r="E19387" t="s">
        <v>30181</v>
      </c>
      <c r="F19387" t="s">
        <v>58722</v>
      </c>
      <c r="G19387" s="2" t="str">
        <f>HYPERLINK("https://probpalata.gov.ru/files/ИП180600271400011.jpeg","Скачать индивидуальный QR-код магазина")</f>
        <v>Скачать индивидуальный QR-код магазина</v>
      </c>
    </row>
    <row r="19388" spans="1:7" x14ac:dyDescent="0.25">
      <c r="A19388" t="s">
        <v>58607</v>
      </c>
      <c r="B19388" t="s">
        <v>58723</v>
      </c>
      <c r="C19388" t="s">
        <v>30179</v>
      </c>
      <c r="D19388" t="s">
        <v>30180</v>
      </c>
      <c r="E19388" t="s">
        <v>30181</v>
      </c>
      <c r="F19388" t="s">
        <v>58724</v>
      </c>
      <c r="G19388" s="2" t="str">
        <f>HYPERLINK("https://probpalata.gov.ru/files/ИП180600271400012.jpeg","Скачать индивидуальный QR-код магазина")</f>
        <v>Скачать индивидуальный QR-код магазина</v>
      </c>
    </row>
    <row r="19389" spans="1:7" x14ac:dyDescent="0.25">
      <c r="A19389" t="s">
        <v>58607</v>
      </c>
      <c r="B19389" t="s">
        <v>58725</v>
      </c>
      <c r="C19389" t="s">
        <v>30179</v>
      </c>
      <c r="D19389" t="s">
        <v>30180</v>
      </c>
      <c r="E19389" t="s">
        <v>30181</v>
      </c>
      <c r="F19389" t="s">
        <v>58726</v>
      </c>
      <c r="G19389" s="2" t="str">
        <f>HYPERLINK("https://probpalata.gov.ru/files/ИП180600271400013.jpeg","Скачать индивидуальный QR-код магазина")</f>
        <v>Скачать индивидуальный QR-код магазина</v>
      </c>
    </row>
    <row r="19390" spans="1:7" x14ac:dyDescent="0.25">
      <c r="A19390" t="s">
        <v>58607</v>
      </c>
      <c r="B19390" t="s">
        <v>58727</v>
      </c>
      <c r="C19390" t="s">
        <v>30179</v>
      </c>
      <c r="D19390" t="s">
        <v>30180</v>
      </c>
      <c r="E19390" t="s">
        <v>30181</v>
      </c>
      <c r="F19390" t="s">
        <v>58728</v>
      </c>
      <c r="G19390" s="2" t="str">
        <f>HYPERLINK("https://probpalata.gov.ru/files/ИП180600271400016.jpeg","Скачать индивидуальный QR-код магазина")</f>
        <v>Скачать индивидуальный QR-код магазина</v>
      </c>
    </row>
    <row r="19391" spans="1:7" x14ac:dyDescent="0.25">
      <c r="A19391" t="s">
        <v>58607</v>
      </c>
      <c r="B19391" t="s">
        <v>58729</v>
      </c>
      <c r="C19391" t="s">
        <v>30179</v>
      </c>
      <c r="D19391" t="s">
        <v>30180</v>
      </c>
      <c r="E19391" t="s">
        <v>30181</v>
      </c>
      <c r="F19391" t="s">
        <v>58730</v>
      </c>
      <c r="G19391" s="2" t="str">
        <f>HYPERLINK("https://probpalata.gov.ru/files/ИП180600271400017.jpeg","Скачать индивидуальный QR-код магазина")</f>
        <v>Скачать индивидуальный QR-код магазина</v>
      </c>
    </row>
    <row r="19392" spans="1:7" x14ac:dyDescent="0.25">
      <c r="A19392" t="s">
        <v>58607</v>
      </c>
      <c r="B19392" t="s">
        <v>58731</v>
      </c>
      <c r="C19392" t="s">
        <v>30179</v>
      </c>
      <c r="D19392" t="s">
        <v>30180</v>
      </c>
      <c r="E19392" t="s">
        <v>30181</v>
      </c>
      <c r="F19392" t="s">
        <v>58732</v>
      </c>
      <c r="G19392" s="2" t="str">
        <f>HYPERLINK("https://probpalata.gov.ru/files/ИП180600271400018.jpeg","Скачать индивидуальный QR-код магазина")</f>
        <v>Скачать индивидуальный QR-код магазина</v>
      </c>
    </row>
    <row r="19393" spans="1:7" x14ac:dyDescent="0.25">
      <c r="A19393" t="s">
        <v>58607</v>
      </c>
      <c r="B19393" t="s">
        <v>58733</v>
      </c>
      <c r="C19393" t="s">
        <v>30179</v>
      </c>
      <c r="D19393" t="s">
        <v>30180</v>
      </c>
      <c r="E19393" t="s">
        <v>30181</v>
      </c>
      <c r="F19393" t="s">
        <v>58734</v>
      </c>
      <c r="G19393" s="2" t="str">
        <f>HYPERLINK("https://probpalata.gov.ru/files/ИП180600271400020.jpeg","Скачать индивидуальный QR-код магазина")</f>
        <v>Скачать индивидуальный QR-код магазина</v>
      </c>
    </row>
    <row r="19394" spans="1:7" x14ac:dyDescent="0.25">
      <c r="A19394" t="s">
        <v>58607</v>
      </c>
      <c r="B19394" t="s">
        <v>58735</v>
      </c>
      <c r="C19394" t="s">
        <v>30179</v>
      </c>
      <c r="D19394" t="s">
        <v>30180</v>
      </c>
      <c r="E19394" t="s">
        <v>30181</v>
      </c>
      <c r="F19394" t="s">
        <v>58736</v>
      </c>
      <c r="G19394" s="2" t="str">
        <f>HYPERLINK("https://probpalata.gov.ru/files/ИП180600271400022.jpeg","Скачать индивидуальный QR-код магазина")</f>
        <v>Скачать индивидуальный QR-код магазина</v>
      </c>
    </row>
    <row r="19395" spans="1:7" x14ac:dyDescent="0.25">
      <c r="A19395" t="s">
        <v>58607</v>
      </c>
      <c r="B19395" t="s">
        <v>58737</v>
      </c>
      <c r="C19395" t="s">
        <v>30179</v>
      </c>
      <c r="D19395" t="s">
        <v>30180</v>
      </c>
      <c r="E19395" t="s">
        <v>30181</v>
      </c>
      <c r="F19395" t="s">
        <v>58738</v>
      </c>
      <c r="G19395" s="2" t="str">
        <f>HYPERLINK("https://probpalata.gov.ru/files/ИП180600271400023.jpeg","Скачать индивидуальный QR-код магазина")</f>
        <v>Скачать индивидуальный QR-код магазина</v>
      </c>
    </row>
    <row r="19396" spans="1:7" x14ac:dyDescent="0.25">
      <c r="A19396" t="s">
        <v>58607</v>
      </c>
      <c r="B19396" t="s">
        <v>58739</v>
      </c>
      <c r="C19396" t="s">
        <v>30179</v>
      </c>
      <c r="D19396" t="s">
        <v>30180</v>
      </c>
      <c r="E19396" t="s">
        <v>30181</v>
      </c>
      <c r="F19396" t="s">
        <v>58740</v>
      </c>
      <c r="G19396" s="2" t="str">
        <f>HYPERLINK("https://probpalata.gov.ru/files/ИП180600271400024.jpeg","Скачать индивидуальный QR-код магазина")</f>
        <v>Скачать индивидуальный QR-код магазина</v>
      </c>
    </row>
    <row r="19397" spans="1:7" x14ac:dyDescent="0.25">
      <c r="A19397" t="s">
        <v>58607</v>
      </c>
      <c r="B19397" t="s">
        <v>58741</v>
      </c>
      <c r="C19397" t="s">
        <v>58742</v>
      </c>
      <c r="D19397" t="s">
        <v>58743</v>
      </c>
      <c r="E19397" t="s">
        <v>58744</v>
      </c>
      <c r="F19397" t="s">
        <v>58745</v>
      </c>
      <c r="G19397" s="2" t="str">
        <f>HYPERLINK("https://probpalata.gov.ru/files/ЮЛ210600125700000.jpeg","Скачать индивидуальный QR-код магазина")</f>
        <v>Скачать индивидуальный QR-код магазина</v>
      </c>
    </row>
    <row r="19398" spans="1:7" x14ac:dyDescent="0.25">
      <c r="A19398" t="s">
        <v>58607</v>
      </c>
      <c r="B19398" t="s">
        <v>58746</v>
      </c>
      <c r="C19398" t="s">
        <v>58742</v>
      </c>
      <c r="D19398" t="s">
        <v>58743</v>
      </c>
      <c r="E19398" t="s">
        <v>58744</v>
      </c>
      <c r="F19398" t="s">
        <v>58747</v>
      </c>
      <c r="G19398" s="2" t="str">
        <f>HYPERLINK("https://probpalata.gov.ru/files/ЮЛ210600125700001.jpeg","Скачать индивидуальный QR-код магазина")</f>
        <v>Скачать индивидуальный QR-код магазина</v>
      </c>
    </row>
    <row r="19399" spans="1:7" x14ac:dyDescent="0.25">
      <c r="A19399" t="s">
        <v>58607</v>
      </c>
      <c r="B19399" t="s">
        <v>58748</v>
      </c>
      <c r="C19399" t="s">
        <v>58742</v>
      </c>
      <c r="D19399" t="s">
        <v>58743</v>
      </c>
      <c r="E19399" t="s">
        <v>58744</v>
      </c>
      <c r="F19399" t="s">
        <v>58749</v>
      </c>
      <c r="G19399" s="2" t="str">
        <f>HYPERLINK("https://probpalata.gov.ru/files/ЮЛ210600125700002.jpeg","Скачать индивидуальный QR-код магазина")</f>
        <v>Скачать индивидуальный QR-код магазина</v>
      </c>
    </row>
    <row r="19400" spans="1:7" x14ac:dyDescent="0.25">
      <c r="A19400" t="s">
        <v>58607</v>
      </c>
      <c r="B19400" t="s">
        <v>58750</v>
      </c>
      <c r="C19400" t="s">
        <v>58742</v>
      </c>
      <c r="D19400" t="s">
        <v>58743</v>
      </c>
      <c r="E19400" t="s">
        <v>58744</v>
      </c>
      <c r="F19400" t="s">
        <v>58751</v>
      </c>
      <c r="G19400" s="2" t="str">
        <f>HYPERLINK("https://probpalata.gov.ru/files/ЮЛ210600125700003.jpeg","Скачать индивидуальный QR-код магазина")</f>
        <v>Скачать индивидуальный QR-код магазина</v>
      </c>
    </row>
    <row r="19401" spans="1:7" x14ac:dyDescent="0.25">
      <c r="A19401" t="s">
        <v>58607</v>
      </c>
      <c r="B19401" t="s">
        <v>58752</v>
      </c>
      <c r="C19401" t="s">
        <v>58742</v>
      </c>
      <c r="D19401" t="s">
        <v>58743</v>
      </c>
      <c r="E19401" t="s">
        <v>58744</v>
      </c>
      <c r="F19401" t="s">
        <v>58753</v>
      </c>
      <c r="G19401" s="2" t="str">
        <f>HYPERLINK("https://probpalata.gov.ru/files/ЮЛ210600125700004.jpeg","Скачать индивидуальный QR-код магазина")</f>
        <v>Скачать индивидуальный QR-код магазина</v>
      </c>
    </row>
    <row r="19402" spans="1:7" x14ac:dyDescent="0.25">
      <c r="A19402" t="s">
        <v>58607</v>
      </c>
      <c r="B19402" t="s">
        <v>58754</v>
      </c>
      <c r="C19402" t="s">
        <v>58742</v>
      </c>
      <c r="D19402" t="s">
        <v>58743</v>
      </c>
      <c r="E19402" t="s">
        <v>58744</v>
      </c>
      <c r="F19402" t="s">
        <v>58755</v>
      </c>
      <c r="G19402" s="2" t="str">
        <f>HYPERLINK("https://probpalata.gov.ru/files/ЮЛ210600125700006.jpeg","Скачать индивидуальный QR-код магазина")</f>
        <v>Скачать индивидуальный QR-код магазина</v>
      </c>
    </row>
    <row r="19403" spans="1:7" x14ac:dyDescent="0.25">
      <c r="A19403" t="s">
        <v>58607</v>
      </c>
      <c r="B19403" t="s">
        <v>58756</v>
      </c>
      <c r="C19403" t="s">
        <v>58742</v>
      </c>
      <c r="D19403" t="s">
        <v>58743</v>
      </c>
      <c r="E19403" t="s">
        <v>58744</v>
      </c>
      <c r="F19403" t="s">
        <v>58757</v>
      </c>
      <c r="G19403" s="2" t="str">
        <f>HYPERLINK("https://probpalata.gov.ru/files/ЮЛ210600125700007.jpeg","Скачать индивидуальный QR-код магазина")</f>
        <v>Скачать индивидуальный QR-код магазина</v>
      </c>
    </row>
    <row r="19404" spans="1:7" x14ac:dyDescent="0.25">
      <c r="A19404" t="s">
        <v>58607</v>
      </c>
      <c r="B19404" t="s">
        <v>58758</v>
      </c>
      <c r="C19404" t="s">
        <v>58742</v>
      </c>
      <c r="D19404" t="s">
        <v>58743</v>
      </c>
      <c r="E19404" t="s">
        <v>58744</v>
      </c>
      <c r="F19404" t="s">
        <v>58759</v>
      </c>
      <c r="G19404" s="2" t="str">
        <f>HYPERLINK("https://probpalata.gov.ru/files/ЮЛ210600125700008.jpeg","Скачать индивидуальный QR-код магазина")</f>
        <v>Скачать индивидуальный QR-код магазина</v>
      </c>
    </row>
    <row r="19405" spans="1:7" x14ac:dyDescent="0.25">
      <c r="A19405" t="s">
        <v>58607</v>
      </c>
      <c r="B19405" t="s">
        <v>58760</v>
      </c>
      <c r="C19405" t="s">
        <v>58742</v>
      </c>
      <c r="D19405" t="s">
        <v>58743</v>
      </c>
      <c r="E19405" t="s">
        <v>58744</v>
      </c>
      <c r="F19405" t="s">
        <v>58761</v>
      </c>
      <c r="G19405" s="2" t="str">
        <f>HYPERLINK("https://probpalata.gov.ru/files/ЮЛ210600125700009.jpeg","Скачать индивидуальный QR-код магазина")</f>
        <v>Скачать индивидуальный QR-код магазина</v>
      </c>
    </row>
    <row r="19406" spans="1:7" x14ac:dyDescent="0.25">
      <c r="A19406" t="s">
        <v>58607</v>
      </c>
      <c r="B19406" t="s">
        <v>58762</v>
      </c>
      <c r="C19406" t="s">
        <v>58742</v>
      </c>
      <c r="D19406" t="s">
        <v>58743</v>
      </c>
      <c r="E19406" t="s">
        <v>58744</v>
      </c>
      <c r="F19406" t="s">
        <v>58763</v>
      </c>
      <c r="G19406" s="2" t="str">
        <f>HYPERLINK("https://probpalata.gov.ru/files/ЮЛ210600125700011.jpeg","Скачать индивидуальный QR-код магазина")</f>
        <v>Скачать индивидуальный QR-код магазина</v>
      </c>
    </row>
    <row r="19407" spans="1:7" x14ac:dyDescent="0.25">
      <c r="A19407" t="s">
        <v>58607</v>
      </c>
      <c r="B19407" t="s">
        <v>58764</v>
      </c>
      <c r="C19407" t="s">
        <v>58742</v>
      </c>
      <c r="D19407" t="s">
        <v>58743</v>
      </c>
      <c r="E19407" t="s">
        <v>58744</v>
      </c>
      <c r="F19407" t="s">
        <v>58765</v>
      </c>
      <c r="G19407" s="2" t="str">
        <f>HYPERLINK("https://probpalata.gov.ru/files/ЮЛ210600125700013.jpeg","Скачать индивидуальный QR-код магазина")</f>
        <v>Скачать индивидуальный QR-код магазина</v>
      </c>
    </row>
    <row r="19408" spans="1:7" x14ac:dyDescent="0.25">
      <c r="A19408" t="s">
        <v>58607</v>
      </c>
      <c r="B19408" t="s">
        <v>58766</v>
      </c>
      <c r="C19408" t="s">
        <v>58742</v>
      </c>
      <c r="D19408" t="s">
        <v>58743</v>
      </c>
      <c r="E19408" t="s">
        <v>58744</v>
      </c>
      <c r="F19408" t="s">
        <v>58767</v>
      </c>
      <c r="G19408" s="2" t="str">
        <f>HYPERLINK("https://probpalata.gov.ru/files/ЮЛ210600125700014.jpeg","Скачать индивидуальный QR-код магазина")</f>
        <v>Скачать индивидуальный QR-код магазина</v>
      </c>
    </row>
    <row r="19409" spans="1:7" x14ac:dyDescent="0.25">
      <c r="A19409" t="s">
        <v>58607</v>
      </c>
      <c r="B19409" t="s">
        <v>58768</v>
      </c>
      <c r="C19409" t="s">
        <v>58742</v>
      </c>
      <c r="D19409" t="s">
        <v>58743</v>
      </c>
      <c r="E19409" t="s">
        <v>58744</v>
      </c>
      <c r="F19409" t="s">
        <v>58769</v>
      </c>
      <c r="G19409" s="2" t="str">
        <f>HYPERLINK("https://probpalata.gov.ru/files/ЮЛ210600125700016.jpeg","Скачать индивидуальный QR-код магазина")</f>
        <v>Скачать индивидуальный QR-код магазина</v>
      </c>
    </row>
    <row r="19410" spans="1:7" x14ac:dyDescent="0.25">
      <c r="A19410" t="s">
        <v>58607</v>
      </c>
      <c r="B19410" t="s">
        <v>58770</v>
      </c>
      <c r="C19410" t="s">
        <v>58742</v>
      </c>
      <c r="D19410" t="s">
        <v>58743</v>
      </c>
      <c r="E19410" t="s">
        <v>58744</v>
      </c>
      <c r="F19410" t="s">
        <v>58771</v>
      </c>
      <c r="G19410" s="2" t="str">
        <f>HYPERLINK("https://probpalata.gov.ru/files/ЮЛ210600125700017.jpeg","Скачать индивидуальный QR-код магазина")</f>
        <v>Скачать индивидуальный QR-код магазина</v>
      </c>
    </row>
    <row r="19411" spans="1:7" x14ac:dyDescent="0.25">
      <c r="A19411" t="s">
        <v>58607</v>
      </c>
      <c r="B19411" t="s">
        <v>58741</v>
      </c>
      <c r="C19411" t="s">
        <v>58772</v>
      </c>
      <c r="D19411" t="s">
        <v>58773</v>
      </c>
      <c r="E19411" t="s">
        <v>58774</v>
      </c>
      <c r="F19411" t="s">
        <v>58775</v>
      </c>
      <c r="G19411" s="2" t="str">
        <f>HYPERLINK("https://probpalata.gov.ru/files/ИП210600109500000.jpeg","Скачать индивидуальный QR-код магазина")</f>
        <v>Скачать индивидуальный QR-код магазина</v>
      </c>
    </row>
    <row r="19412" spans="1:7" x14ac:dyDescent="0.25">
      <c r="A19412" t="s">
        <v>58607</v>
      </c>
      <c r="B19412" t="s">
        <v>58754</v>
      </c>
      <c r="C19412" t="s">
        <v>58772</v>
      </c>
      <c r="D19412" t="s">
        <v>58773</v>
      </c>
      <c r="E19412" t="s">
        <v>58774</v>
      </c>
      <c r="F19412" t="s">
        <v>58776</v>
      </c>
      <c r="G19412" s="2" t="str">
        <f>HYPERLINK("https://probpalata.gov.ru/files/ИП210600109500001.jpeg","Скачать индивидуальный QR-код магазина")</f>
        <v>Скачать индивидуальный QR-код магазина</v>
      </c>
    </row>
    <row r="19413" spans="1:7" x14ac:dyDescent="0.25">
      <c r="A19413" t="s">
        <v>58607</v>
      </c>
      <c r="B19413" t="s">
        <v>58756</v>
      </c>
      <c r="C19413" t="s">
        <v>58772</v>
      </c>
      <c r="D19413" t="s">
        <v>58773</v>
      </c>
      <c r="E19413" t="s">
        <v>58774</v>
      </c>
      <c r="F19413" t="s">
        <v>58777</v>
      </c>
      <c r="G19413" s="2" t="str">
        <f>HYPERLINK("https://probpalata.gov.ru/files/ИП210600109500002.jpeg","Скачать индивидуальный QR-код магазина")</f>
        <v>Скачать индивидуальный QR-код магазина</v>
      </c>
    </row>
    <row r="19414" spans="1:7" x14ac:dyDescent="0.25">
      <c r="A19414" t="s">
        <v>58607</v>
      </c>
      <c r="B19414" t="s">
        <v>58778</v>
      </c>
      <c r="C19414" t="s">
        <v>58772</v>
      </c>
      <c r="D19414" t="s">
        <v>58773</v>
      </c>
      <c r="E19414" t="s">
        <v>58774</v>
      </c>
      <c r="F19414" t="s">
        <v>58779</v>
      </c>
      <c r="G19414" s="2" t="str">
        <f>HYPERLINK("https://probpalata.gov.ru/files/ИП210600109500003.jpeg","Скачать индивидуальный QR-код магазина")</f>
        <v>Скачать индивидуальный QR-код магазина</v>
      </c>
    </row>
    <row r="19415" spans="1:7" x14ac:dyDescent="0.25">
      <c r="A19415" t="s">
        <v>58607</v>
      </c>
      <c r="B19415" t="s">
        <v>58746</v>
      </c>
      <c r="C19415" t="s">
        <v>58772</v>
      </c>
      <c r="D19415" t="s">
        <v>58773</v>
      </c>
      <c r="E19415" t="s">
        <v>58774</v>
      </c>
      <c r="F19415" t="s">
        <v>58780</v>
      </c>
      <c r="G19415" s="2" t="str">
        <f>HYPERLINK("https://probpalata.gov.ru/files/ИП210600109500004.jpeg","Скачать индивидуальный QR-код магазина")</f>
        <v>Скачать индивидуальный QR-код магазина</v>
      </c>
    </row>
    <row r="19416" spans="1:7" x14ac:dyDescent="0.25">
      <c r="A19416" t="s">
        <v>58607</v>
      </c>
      <c r="B19416" t="s">
        <v>58750</v>
      </c>
      <c r="C19416" t="s">
        <v>58772</v>
      </c>
      <c r="D19416" t="s">
        <v>58773</v>
      </c>
      <c r="E19416" t="s">
        <v>58774</v>
      </c>
      <c r="F19416" t="s">
        <v>58781</v>
      </c>
      <c r="G19416" s="2" t="str">
        <f>HYPERLINK("https://probpalata.gov.ru/files/ИП210600109500006.jpeg","Скачать индивидуальный QR-код магазина")</f>
        <v>Скачать индивидуальный QR-код магазина</v>
      </c>
    </row>
    <row r="19417" spans="1:7" x14ac:dyDescent="0.25">
      <c r="A19417" t="s">
        <v>58607</v>
      </c>
      <c r="B19417" t="s">
        <v>58782</v>
      </c>
      <c r="C19417" t="s">
        <v>58772</v>
      </c>
      <c r="D19417" t="s">
        <v>58773</v>
      </c>
      <c r="E19417" t="s">
        <v>58774</v>
      </c>
      <c r="F19417" t="s">
        <v>58783</v>
      </c>
      <c r="G19417" s="2" t="str">
        <f>HYPERLINK("https://probpalata.gov.ru/files/ИП210600109500007.jpeg","Скачать индивидуальный QR-код магазина")</f>
        <v>Скачать индивидуальный QR-код магазина</v>
      </c>
    </row>
    <row r="19418" spans="1:7" x14ac:dyDescent="0.25">
      <c r="A19418" t="s">
        <v>58607</v>
      </c>
      <c r="B19418" t="s">
        <v>58758</v>
      </c>
      <c r="C19418" t="s">
        <v>58772</v>
      </c>
      <c r="D19418" t="s">
        <v>58773</v>
      </c>
      <c r="E19418" t="s">
        <v>58774</v>
      </c>
      <c r="F19418" t="s">
        <v>58784</v>
      </c>
      <c r="G19418" s="2" t="str">
        <f>HYPERLINK("https://probpalata.gov.ru/files/ИП210600109500009.jpeg","Скачать индивидуальный QR-код магазина")</f>
        <v>Скачать индивидуальный QR-код магазина</v>
      </c>
    </row>
    <row r="19419" spans="1:7" x14ac:dyDescent="0.25">
      <c r="A19419" t="s">
        <v>58607</v>
      </c>
      <c r="B19419" t="s">
        <v>58762</v>
      </c>
      <c r="C19419" t="s">
        <v>58772</v>
      </c>
      <c r="D19419" t="s">
        <v>58773</v>
      </c>
      <c r="E19419" t="s">
        <v>58774</v>
      </c>
      <c r="F19419" t="s">
        <v>58785</v>
      </c>
      <c r="G19419" s="2" t="str">
        <f>HYPERLINK("https://probpalata.gov.ru/files/ИП210600109500015.jpeg","Скачать индивидуальный QR-код магазина")</f>
        <v>Скачать индивидуальный QR-код магазина</v>
      </c>
    </row>
    <row r="19420" spans="1:7" x14ac:dyDescent="0.25">
      <c r="A19420" t="s">
        <v>58607</v>
      </c>
      <c r="B19420" t="s">
        <v>58770</v>
      </c>
      <c r="C19420" t="s">
        <v>58772</v>
      </c>
      <c r="D19420" t="s">
        <v>58773</v>
      </c>
      <c r="E19420" t="s">
        <v>58774</v>
      </c>
      <c r="F19420" t="s">
        <v>58786</v>
      </c>
      <c r="G19420" s="2" t="str">
        <f>HYPERLINK("https://probpalata.gov.ru/files/ИП210600109500019.jpeg","Скачать индивидуальный QR-код магазина")</f>
        <v>Скачать индивидуальный QR-код магазина</v>
      </c>
    </row>
    <row r="19421" spans="1:7" x14ac:dyDescent="0.25">
      <c r="A19421" t="s">
        <v>58607</v>
      </c>
      <c r="B19421" t="s">
        <v>58787</v>
      </c>
      <c r="C19421" t="s">
        <v>58788</v>
      </c>
      <c r="D19421" t="s">
        <v>58789</v>
      </c>
      <c r="E19421" t="s">
        <v>58790</v>
      </c>
      <c r="F19421" t="s">
        <v>58791</v>
      </c>
      <c r="G19421" s="2" t="str">
        <f>HYPERLINK("https://probpalata.gov.ru/files/ИП210603259800000.jpeg","Скачать индивидуальный QR-код магазина")</f>
        <v>Скачать индивидуальный QR-код магазина</v>
      </c>
    </row>
    <row r="19422" spans="1:7" x14ac:dyDescent="0.25">
      <c r="A19422" t="s">
        <v>58607</v>
      </c>
      <c r="B19422" t="s">
        <v>58792</v>
      </c>
      <c r="C19422" t="s">
        <v>58793</v>
      </c>
      <c r="D19422" t="s">
        <v>58794</v>
      </c>
      <c r="E19422" t="s">
        <v>58795</v>
      </c>
      <c r="F19422" t="s">
        <v>58796</v>
      </c>
      <c r="G19422" s="2" t="str">
        <f>HYPERLINK("https://probpalata.gov.ru/files/ИП210600793900000.jpeg","Скачать индивидуальный QR-код магазина")</f>
        <v>Скачать индивидуальный QR-код магазина</v>
      </c>
    </row>
    <row r="19423" spans="1:7" x14ac:dyDescent="0.25">
      <c r="A19423" t="s">
        <v>58607</v>
      </c>
      <c r="B19423" t="s">
        <v>58797</v>
      </c>
      <c r="C19423" t="s">
        <v>58798</v>
      </c>
      <c r="D19423" t="s">
        <v>58799</v>
      </c>
      <c r="E19423" t="s">
        <v>58800</v>
      </c>
      <c r="F19423" t="s">
        <v>58801</v>
      </c>
      <c r="G19423" s="2" t="str">
        <f>HYPERLINK("https://probpalata.gov.ru/files/ИП210601706900000.jpeg","Скачать индивидуальный QR-код магазина")</f>
        <v>Скачать индивидуальный QR-код магазина</v>
      </c>
    </row>
    <row r="19424" spans="1:7" x14ac:dyDescent="0.25">
      <c r="A19424" t="s">
        <v>58607</v>
      </c>
      <c r="B19424" t="s">
        <v>58608</v>
      </c>
      <c r="C19424" t="s">
        <v>58802</v>
      </c>
      <c r="D19424" t="s">
        <v>58803</v>
      </c>
      <c r="E19424" t="s">
        <v>58804</v>
      </c>
      <c r="F19424" t="s">
        <v>58805</v>
      </c>
      <c r="G19424" s="2" t="str">
        <f>HYPERLINK("https://probpalata.gov.ru/files/ЮЛ210603516000000.jpeg","Скачать индивидуальный QR-код магазина")</f>
        <v>Скачать индивидуальный QR-код магазина</v>
      </c>
    </row>
    <row r="19425" spans="1:7" x14ac:dyDescent="0.25">
      <c r="A19425" t="s">
        <v>58607</v>
      </c>
      <c r="B19425" t="s">
        <v>58806</v>
      </c>
      <c r="C19425" t="s">
        <v>58807</v>
      </c>
      <c r="D19425" t="s">
        <v>58808</v>
      </c>
      <c r="E19425" t="s">
        <v>58809</v>
      </c>
      <c r="F19425" t="s">
        <v>58810</v>
      </c>
      <c r="G19425" s="2" t="str">
        <f>HYPERLINK("https://probpalata.gov.ru/files/ИП210603694900000.jpeg","Скачать индивидуальный QR-код магазина")</f>
        <v>Скачать индивидуальный QR-код магазина</v>
      </c>
    </row>
    <row r="19426" spans="1:7" x14ac:dyDescent="0.25">
      <c r="A19426" t="s">
        <v>58607</v>
      </c>
      <c r="B19426" t="s">
        <v>58766</v>
      </c>
      <c r="C19426" t="s">
        <v>58807</v>
      </c>
      <c r="D19426" t="s">
        <v>58808</v>
      </c>
      <c r="E19426" t="s">
        <v>58809</v>
      </c>
      <c r="F19426" t="s">
        <v>58811</v>
      </c>
      <c r="G19426" s="2" t="str">
        <f>HYPERLINK("https://probpalata.gov.ru/files/ИП210603694900002.jpeg","Скачать индивидуальный QR-код магазина")</f>
        <v>Скачать индивидуальный QR-код магазина</v>
      </c>
    </row>
    <row r="19427" spans="1:7" x14ac:dyDescent="0.25">
      <c r="A19427" t="s">
        <v>58607</v>
      </c>
      <c r="B19427" t="s">
        <v>58812</v>
      </c>
      <c r="C19427" t="s">
        <v>58807</v>
      </c>
      <c r="D19427" t="s">
        <v>58808</v>
      </c>
      <c r="E19427" t="s">
        <v>58809</v>
      </c>
      <c r="F19427" t="s">
        <v>58813</v>
      </c>
      <c r="G19427" s="2" t="str">
        <f>HYPERLINK("https://probpalata.gov.ru/files/ИП210603694900004.jpeg","Скачать индивидуальный QR-код магазина")</f>
        <v>Скачать индивидуальный QR-код магазина</v>
      </c>
    </row>
    <row r="19428" spans="1:7" x14ac:dyDescent="0.25">
      <c r="A19428" t="s">
        <v>58607</v>
      </c>
      <c r="B19428" t="s">
        <v>58814</v>
      </c>
      <c r="C19428" t="s">
        <v>58807</v>
      </c>
      <c r="D19428" t="s">
        <v>58808</v>
      </c>
      <c r="E19428" t="s">
        <v>58809</v>
      </c>
      <c r="F19428" t="s">
        <v>58815</v>
      </c>
      <c r="G19428" s="2" t="str">
        <f>HYPERLINK("https://probpalata.gov.ru/files/ИП210603694900005.jpeg","Скачать индивидуальный QR-код магазина")</f>
        <v>Скачать индивидуальный QR-код магазина</v>
      </c>
    </row>
    <row r="19429" spans="1:7" x14ac:dyDescent="0.25">
      <c r="A19429" t="s">
        <v>58607</v>
      </c>
      <c r="B19429" t="s">
        <v>58816</v>
      </c>
      <c r="C19429" t="s">
        <v>58817</v>
      </c>
      <c r="D19429" t="s">
        <v>58818</v>
      </c>
      <c r="E19429" t="s">
        <v>58819</v>
      </c>
      <c r="F19429" t="s">
        <v>58820</v>
      </c>
      <c r="G19429" s="2" t="str">
        <f>HYPERLINK("https://probpalata.gov.ru/files/ИП210600772000000.jpeg","Скачать индивидуальный QR-код магазина")</f>
        <v>Скачать индивидуальный QR-код магазина</v>
      </c>
    </row>
    <row r="19430" spans="1:7" x14ac:dyDescent="0.25">
      <c r="A19430" t="s">
        <v>58607</v>
      </c>
      <c r="B19430" t="s">
        <v>58821</v>
      </c>
      <c r="C19430" t="s">
        <v>58822</v>
      </c>
      <c r="D19430" t="s">
        <v>58823</v>
      </c>
      <c r="E19430" t="s">
        <v>58824</v>
      </c>
      <c r="F19430" t="s">
        <v>58825</v>
      </c>
      <c r="G19430" s="2" t="str">
        <f>HYPERLINK("https://probpalata.gov.ru/files/ИП210600282800000.jpeg","Скачать индивидуальный QR-код магазина")</f>
        <v>Скачать индивидуальный QR-код магазина</v>
      </c>
    </row>
    <row r="19431" spans="1:7" x14ac:dyDescent="0.25">
      <c r="A19431" t="s">
        <v>58607</v>
      </c>
      <c r="B19431" t="s">
        <v>58826</v>
      </c>
      <c r="C19431" t="s">
        <v>58827</v>
      </c>
      <c r="D19431" t="s">
        <v>58828</v>
      </c>
      <c r="E19431" t="s">
        <v>58829</v>
      </c>
      <c r="F19431" t="s">
        <v>58830</v>
      </c>
      <c r="G19431" s="2" t="str">
        <f>HYPERLINK("https://probpalata.gov.ru/files/ИП770101171400000.jpeg","Скачать индивидуальный QR-код магазина")</f>
        <v>Скачать индивидуальный QR-код магазина</v>
      </c>
    </row>
    <row r="19432" spans="1:7" x14ac:dyDescent="0.25">
      <c r="A19432" t="s">
        <v>58607</v>
      </c>
      <c r="B19432" t="s">
        <v>58831</v>
      </c>
      <c r="C19432" t="s">
        <v>58832</v>
      </c>
      <c r="D19432" t="s">
        <v>58833</v>
      </c>
      <c r="E19432" t="s">
        <v>58834</v>
      </c>
      <c r="F19432" t="s">
        <v>58835</v>
      </c>
      <c r="G19432" s="2" t="str">
        <f>HYPERLINK("https://probpalata.gov.ru/files/ИП210601965100000.jpeg","Скачать индивидуальный QR-код магазина")</f>
        <v>Скачать индивидуальный QR-код магазина</v>
      </c>
    </row>
    <row r="19433" spans="1:7" x14ac:dyDescent="0.25">
      <c r="A19433" t="s">
        <v>58607</v>
      </c>
      <c r="B19433" t="s">
        <v>58836</v>
      </c>
      <c r="C19433" t="s">
        <v>58837</v>
      </c>
      <c r="D19433" t="s">
        <v>58838</v>
      </c>
      <c r="E19433" t="s">
        <v>58839</v>
      </c>
      <c r="F19433" t="s">
        <v>58840</v>
      </c>
      <c r="G19433" s="2" t="str">
        <f>HYPERLINK("https://probpalata.gov.ru/files/ЮЛ210601240500000.jpeg","Скачать индивидуальный QR-код магазина")</f>
        <v>Скачать индивидуальный QR-код магазина</v>
      </c>
    </row>
    <row r="19434" spans="1:7" x14ac:dyDescent="0.25">
      <c r="A19434" t="s">
        <v>58607</v>
      </c>
      <c r="B19434" t="s">
        <v>58841</v>
      </c>
      <c r="C19434" t="s">
        <v>58842</v>
      </c>
      <c r="D19434" t="s">
        <v>58843</v>
      </c>
      <c r="E19434" t="s">
        <v>58844</v>
      </c>
      <c r="F19434" t="s">
        <v>58845</v>
      </c>
      <c r="G19434" s="2" t="str">
        <f>HYPERLINK("https://probpalata.gov.ru/files/ЮЛ210600272500000.jpeg","Скачать индивидуальный QR-код магазина")</f>
        <v>Скачать индивидуальный QR-код магазина</v>
      </c>
    </row>
    <row r="19435" spans="1:7" x14ac:dyDescent="0.25">
      <c r="A19435" t="s">
        <v>58607</v>
      </c>
      <c r="B19435" t="s">
        <v>58846</v>
      </c>
      <c r="C19435" t="s">
        <v>58842</v>
      </c>
      <c r="D19435" t="s">
        <v>58843</v>
      </c>
      <c r="E19435" t="s">
        <v>58844</v>
      </c>
      <c r="F19435" t="s">
        <v>58847</v>
      </c>
      <c r="G19435" s="2" t="str">
        <f>HYPERLINK("https://probpalata.gov.ru/files/ЮЛ210600272500001.jpeg","Скачать индивидуальный QR-код магазина")</f>
        <v>Скачать индивидуальный QR-код магазина</v>
      </c>
    </row>
    <row r="19436" spans="1:7" x14ac:dyDescent="0.25">
      <c r="A19436" t="s">
        <v>58607</v>
      </c>
      <c r="B19436" t="s">
        <v>58848</v>
      </c>
      <c r="C19436" t="s">
        <v>58842</v>
      </c>
      <c r="D19436" t="s">
        <v>58843</v>
      </c>
      <c r="E19436" t="s">
        <v>58844</v>
      </c>
      <c r="F19436" t="s">
        <v>58849</v>
      </c>
      <c r="G19436" s="2" t="str">
        <f>HYPERLINK("https://probpalata.gov.ru/files/ЮЛ210600272500002.jpeg","Скачать индивидуальный QR-код магазина")</f>
        <v>Скачать индивидуальный QR-код магазина</v>
      </c>
    </row>
    <row r="19437" spans="1:7" x14ac:dyDescent="0.25">
      <c r="A19437" t="s">
        <v>58607</v>
      </c>
      <c r="B19437" t="s">
        <v>58850</v>
      </c>
      <c r="C19437" t="s">
        <v>58851</v>
      </c>
      <c r="D19437" t="s">
        <v>58852</v>
      </c>
      <c r="E19437" t="s">
        <v>58853</v>
      </c>
      <c r="F19437" t="s">
        <v>58854</v>
      </c>
      <c r="G19437" s="2" t="str">
        <f>HYPERLINK("https://probpalata.gov.ru/files/ИП210603194900000.jpeg","Скачать индивидуальный QR-код магазина")</f>
        <v>Скачать индивидуальный QR-код магазина</v>
      </c>
    </row>
    <row r="19438" spans="1:7" x14ac:dyDescent="0.25">
      <c r="A19438" t="s">
        <v>58607</v>
      </c>
      <c r="B19438" t="s">
        <v>58855</v>
      </c>
      <c r="C19438" t="s">
        <v>58856</v>
      </c>
      <c r="D19438" t="s">
        <v>58857</v>
      </c>
      <c r="E19438" t="s">
        <v>58858</v>
      </c>
      <c r="F19438" t="s">
        <v>58859</v>
      </c>
      <c r="G19438" s="2" t="str">
        <f>HYPERLINK("https://probpalata.gov.ru/files/ИП210600216000000.jpeg","Скачать индивидуальный QR-код магазина")</f>
        <v>Скачать индивидуальный QR-код магазина</v>
      </c>
    </row>
    <row r="19439" spans="1:7" x14ac:dyDescent="0.25">
      <c r="A19439" t="s">
        <v>58607</v>
      </c>
      <c r="B19439" t="s">
        <v>58860</v>
      </c>
      <c r="C19439" t="s">
        <v>58856</v>
      </c>
      <c r="D19439" t="s">
        <v>58857</v>
      </c>
      <c r="E19439" t="s">
        <v>58858</v>
      </c>
      <c r="F19439" t="s">
        <v>58861</v>
      </c>
      <c r="G19439" s="2" t="str">
        <f>HYPERLINK("https://probpalata.gov.ru/files/ИП210600216000001.jpeg","Скачать индивидуальный QR-код магазина")</f>
        <v>Скачать индивидуальный QR-код магазина</v>
      </c>
    </row>
    <row r="19440" spans="1:7" x14ac:dyDescent="0.25">
      <c r="A19440" t="s">
        <v>58607</v>
      </c>
      <c r="B19440" t="s">
        <v>58862</v>
      </c>
      <c r="C19440" t="s">
        <v>58863</v>
      </c>
      <c r="D19440" t="s">
        <v>58864</v>
      </c>
      <c r="E19440" t="s">
        <v>58865</v>
      </c>
      <c r="F19440" t="s">
        <v>58866</v>
      </c>
      <c r="G19440" s="2" t="str">
        <f>HYPERLINK("https://probpalata.gov.ru/files/ЮЛ210600123700000.jpeg","Скачать индивидуальный QR-код магазина")</f>
        <v>Скачать индивидуальный QR-код магазина</v>
      </c>
    </row>
    <row r="19441" spans="1:7" x14ac:dyDescent="0.25">
      <c r="A19441" t="s">
        <v>58607</v>
      </c>
      <c r="B19441" t="s">
        <v>58867</v>
      </c>
      <c r="C19441" t="s">
        <v>58868</v>
      </c>
      <c r="D19441" t="s">
        <v>58869</v>
      </c>
      <c r="E19441" t="s">
        <v>58870</v>
      </c>
      <c r="F19441" t="s">
        <v>58871</v>
      </c>
      <c r="G19441" s="2" t="str">
        <f>HYPERLINK("https://probpalata.gov.ru/files/ИП210603212900000.jpeg","Скачать индивидуальный QR-код магазина")</f>
        <v>Скачать индивидуальный QR-код магазина</v>
      </c>
    </row>
    <row r="19442" spans="1:7" x14ac:dyDescent="0.25">
      <c r="A19442" t="s">
        <v>58607</v>
      </c>
      <c r="B19442" t="s">
        <v>58872</v>
      </c>
      <c r="C19442" t="s">
        <v>4077</v>
      </c>
      <c r="D19442" t="s">
        <v>58873</v>
      </c>
      <c r="E19442" t="s">
        <v>58874</v>
      </c>
      <c r="F19442" t="s">
        <v>58875</v>
      </c>
      <c r="G19442" s="2" t="str">
        <f>HYPERLINK("https://probpalata.gov.ru/files/ЮЛ210601306000000.jpeg","Скачать индивидуальный QR-код магазина")</f>
        <v>Скачать индивидуальный QR-код магазина</v>
      </c>
    </row>
    <row r="19443" spans="1:7" x14ac:dyDescent="0.25">
      <c r="A19443" t="s">
        <v>58607</v>
      </c>
      <c r="B19443" t="s">
        <v>58876</v>
      </c>
      <c r="C19443" t="s">
        <v>58877</v>
      </c>
      <c r="D19443" t="s">
        <v>58878</v>
      </c>
      <c r="E19443" t="s">
        <v>58879</v>
      </c>
      <c r="F19443" t="s">
        <v>58880</v>
      </c>
      <c r="G19443" s="2" t="str">
        <f>HYPERLINK("https://probpalata.gov.ru/files/ЮЛ210603810400000.jpeg","Скачать индивидуальный QR-код магазина")</f>
        <v>Скачать индивидуальный QR-код магазина</v>
      </c>
    </row>
    <row r="19444" spans="1:7" x14ac:dyDescent="0.25">
      <c r="A19444" t="s">
        <v>58607</v>
      </c>
      <c r="B19444" t="s">
        <v>58881</v>
      </c>
      <c r="C19444" t="s">
        <v>58882</v>
      </c>
      <c r="D19444" t="s">
        <v>58883</v>
      </c>
      <c r="E19444" t="s">
        <v>58884</v>
      </c>
      <c r="F19444" t="s">
        <v>58885</v>
      </c>
      <c r="G19444" s="2" t="str">
        <f>HYPERLINK("https://probpalata.gov.ru/files/ИП120603378200000.jpeg","Скачать индивидуальный QR-код магазина")</f>
        <v>Скачать индивидуальный QR-код магазина</v>
      </c>
    </row>
    <row r="19445" spans="1:7" x14ac:dyDescent="0.25">
      <c r="A19445" t="s">
        <v>58607</v>
      </c>
      <c r="B19445" t="s">
        <v>58886</v>
      </c>
      <c r="C19445" t="s">
        <v>58887</v>
      </c>
      <c r="D19445" t="s">
        <v>58888</v>
      </c>
      <c r="E19445" t="s">
        <v>58889</v>
      </c>
      <c r="F19445" t="s">
        <v>58890</v>
      </c>
      <c r="G19445" s="2" t="str">
        <f>HYPERLINK("https://probpalata.gov.ru/files/ИП120600121800000.jpeg","Скачать индивидуальный QR-код магазина")</f>
        <v>Скачать индивидуальный QR-код магазина</v>
      </c>
    </row>
    <row r="19446" spans="1:7" x14ac:dyDescent="0.25">
      <c r="A19446" t="s">
        <v>58607</v>
      </c>
      <c r="B19446" t="s">
        <v>58891</v>
      </c>
      <c r="C19446" t="s">
        <v>58887</v>
      </c>
      <c r="D19446" t="s">
        <v>58888</v>
      </c>
      <c r="E19446" t="s">
        <v>58889</v>
      </c>
      <c r="F19446" t="s">
        <v>58892</v>
      </c>
      <c r="G19446" s="2" t="str">
        <f>HYPERLINK("https://probpalata.gov.ru/files/ИП120600121800001.jpeg","Скачать индивидуальный QR-код магазина")</f>
        <v>Скачать индивидуальный QR-код магазина</v>
      </c>
    </row>
    <row r="19447" spans="1:7" x14ac:dyDescent="0.25">
      <c r="A19447" t="s">
        <v>58607</v>
      </c>
      <c r="B19447" t="s">
        <v>58893</v>
      </c>
      <c r="C19447" t="s">
        <v>58887</v>
      </c>
      <c r="D19447" t="s">
        <v>58888</v>
      </c>
      <c r="E19447" t="s">
        <v>58889</v>
      </c>
      <c r="F19447" t="s">
        <v>58894</v>
      </c>
      <c r="G19447" s="2" t="str">
        <f>HYPERLINK("https://probpalata.gov.ru/files/ИП120600121800002.jpeg","Скачать индивидуальный QR-код магазина")</f>
        <v>Скачать индивидуальный QR-код магазина</v>
      </c>
    </row>
    <row r="19448" spans="1:7" x14ac:dyDescent="0.25">
      <c r="A19448" t="s">
        <v>58607</v>
      </c>
      <c r="B19448" t="s">
        <v>58895</v>
      </c>
      <c r="C19448" t="s">
        <v>58887</v>
      </c>
      <c r="D19448" t="s">
        <v>58888</v>
      </c>
      <c r="E19448" t="s">
        <v>58889</v>
      </c>
      <c r="F19448" t="s">
        <v>58896</v>
      </c>
      <c r="G19448" s="2" t="str">
        <f>HYPERLINK("https://probpalata.gov.ru/files/ИП120600121800003.jpeg","Скачать индивидуальный QR-код магазина")</f>
        <v>Скачать индивидуальный QR-код магазина</v>
      </c>
    </row>
    <row r="19449" spans="1:7" x14ac:dyDescent="0.25">
      <c r="A19449" t="s">
        <v>58607</v>
      </c>
      <c r="B19449" t="s">
        <v>58897</v>
      </c>
      <c r="C19449" t="s">
        <v>58887</v>
      </c>
      <c r="D19449" t="s">
        <v>58888</v>
      </c>
      <c r="E19449" t="s">
        <v>58889</v>
      </c>
      <c r="F19449" t="s">
        <v>58898</v>
      </c>
      <c r="G19449" s="2" t="str">
        <f>HYPERLINK("https://probpalata.gov.ru/files/ИП120600121800004.jpeg","Скачать индивидуальный QR-код магазина")</f>
        <v>Скачать индивидуальный QR-код магазина</v>
      </c>
    </row>
    <row r="19450" spans="1:7" x14ac:dyDescent="0.25">
      <c r="A19450" t="s">
        <v>58607</v>
      </c>
      <c r="B19450" t="s">
        <v>58899</v>
      </c>
      <c r="C19450" t="s">
        <v>58887</v>
      </c>
      <c r="D19450" t="s">
        <v>58888</v>
      </c>
      <c r="E19450" t="s">
        <v>58889</v>
      </c>
      <c r="F19450" t="s">
        <v>58900</v>
      </c>
      <c r="G19450" s="2" t="str">
        <f>HYPERLINK("https://probpalata.gov.ru/files/ИП120600121800005.jpeg","Скачать индивидуальный QR-код магазина")</f>
        <v>Скачать индивидуальный QR-код магазина</v>
      </c>
    </row>
    <row r="19451" spans="1:7" x14ac:dyDescent="0.25">
      <c r="A19451" t="s">
        <v>58607</v>
      </c>
      <c r="B19451" t="s">
        <v>58901</v>
      </c>
      <c r="C19451" t="s">
        <v>5062</v>
      </c>
      <c r="D19451" t="s">
        <v>5063</v>
      </c>
      <c r="E19451" t="s">
        <v>5064</v>
      </c>
      <c r="F19451" t="s">
        <v>58902</v>
      </c>
      <c r="G19451" s="2" t="str">
        <f>HYPERLINK("https://probpalata.gov.ru/files/ИП440200864400006.jpeg","Скачать индивидуальный QR-код магазина")</f>
        <v>Скачать индивидуальный QR-код магазина</v>
      </c>
    </row>
    <row r="19452" spans="1:7" x14ac:dyDescent="0.25">
      <c r="A19452" t="s">
        <v>58607</v>
      </c>
      <c r="B19452" t="s">
        <v>58903</v>
      </c>
      <c r="C19452" t="s">
        <v>2171</v>
      </c>
      <c r="D19452" t="s">
        <v>2172</v>
      </c>
      <c r="E19452" t="s">
        <v>2173</v>
      </c>
      <c r="F19452" t="s">
        <v>58904</v>
      </c>
      <c r="G19452" s="2" t="str">
        <f>HYPERLINK("https://probpalata.gov.ru/files/ЮЛ500100602500046.jpeg","Скачать индивидуальный QR-код магазина")</f>
        <v>Скачать индивидуальный QR-код магазина</v>
      </c>
    </row>
    <row r="19453" spans="1:7" x14ac:dyDescent="0.25">
      <c r="A19453" t="s">
        <v>58607</v>
      </c>
      <c r="B19453" t="s">
        <v>58905</v>
      </c>
      <c r="C19453" t="s">
        <v>5067</v>
      </c>
      <c r="D19453" t="s">
        <v>5068</v>
      </c>
      <c r="E19453" t="s">
        <v>5069</v>
      </c>
      <c r="F19453" t="s">
        <v>58906</v>
      </c>
      <c r="G19453" s="2" t="str">
        <f>HYPERLINK("https://probpalata.gov.ru/files/ИП350300596400013.jpeg","Скачать индивидуальный QR-код магазина")</f>
        <v>Скачать индивидуальный QR-код магазина</v>
      </c>
    </row>
    <row r="19454" spans="1:7" x14ac:dyDescent="0.25">
      <c r="A19454" t="s">
        <v>58607</v>
      </c>
      <c r="B19454" t="s">
        <v>58907</v>
      </c>
      <c r="C19454" t="s">
        <v>5067</v>
      </c>
      <c r="D19454" t="s">
        <v>5068</v>
      </c>
      <c r="E19454" t="s">
        <v>5069</v>
      </c>
      <c r="F19454" t="s">
        <v>58908</v>
      </c>
      <c r="G19454" s="2" t="str">
        <f>HYPERLINK("https://probpalata.gov.ru/files/ИП350300596400014.jpeg","Скачать индивидуальный QR-код магазина")</f>
        <v>Скачать индивидуальный QR-код магазина</v>
      </c>
    </row>
    <row r="19455" spans="1:7" x14ac:dyDescent="0.25">
      <c r="A19455" t="s">
        <v>58607</v>
      </c>
      <c r="B19455" t="s">
        <v>58909</v>
      </c>
      <c r="C19455" t="s">
        <v>5067</v>
      </c>
      <c r="D19455" t="s">
        <v>5068</v>
      </c>
      <c r="E19455" t="s">
        <v>5069</v>
      </c>
      <c r="F19455" t="s">
        <v>58910</v>
      </c>
      <c r="G19455" s="2" t="str">
        <f>HYPERLINK("https://probpalata.gov.ru/files/ИП350300596400016.jpeg","Скачать индивидуальный QR-код магазина")</f>
        <v>Скачать индивидуальный QR-код магазина</v>
      </c>
    </row>
    <row r="19456" spans="1:7" x14ac:dyDescent="0.25">
      <c r="A19456" t="s">
        <v>58607</v>
      </c>
      <c r="B19456" t="s">
        <v>58911</v>
      </c>
      <c r="C19456" t="s">
        <v>5067</v>
      </c>
      <c r="D19456" t="s">
        <v>5068</v>
      </c>
      <c r="E19456" t="s">
        <v>5069</v>
      </c>
      <c r="F19456" t="s">
        <v>58912</v>
      </c>
      <c r="G19456" s="2" t="str">
        <f>HYPERLINK("https://probpalata.gov.ru/files/ИП350300596400017.jpeg","Скачать индивидуальный QR-код магазина")</f>
        <v>Скачать индивидуальный QR-код магазина</v>
      </c>
    </row>
    <row r="19457" spans="1:7" x14ac:dyDescent="0.25">
      <c r="A19457" t="s">
        <v>58607</v>
      </c>
      <c r="B19457" t="s">
        <v>58913</v>
      </c>
      <c r="C19457" t="s">
        <v>5067</v>
      </c>
      <c r="D19457" t="s">
        <v>5068</v>
      </c>
      <c r="E19457" t="s">
        <v>5069</v>
      </c>
      <c r="F19457" t="s">
        <v>58914</v>
      </c>
      <c r="G19457" s="2" t="str">
        <f>HYPERLINK("https://probpalata.gov.ru/files/ИП350300596400018.jpeg","Скачать индивидуальный QR-код магазина")</f>
        <v>Скачать индивидуальный QR-код магазина</v>
      </c>
    </row>
    <row r="19458" spans="1:7" x14ac:dyDescent="0.25">
      <c r="A19458" t="s">
        <v>58607</v>
      </c>
      <c r="B19458" t="s">
        <v>58915</v>
      </c>
      <c r="C19458" t="s">
        <v>5067</v>
      </c>
      <c r="D19458" t="s">
        <v>5068</v>
      </c>
      <c r="E19458" t="s">
        <v>5069</v>
      </c>
      <c r="F19458" t="s">
        <v>58916</v>
      </c>
      <c r="G19458" s="2" t="str">
        <f>HYPERLINK("https://probpalata.gov.ru/files/ИП350300596400035.jpeg","Скачать индивидуальный QR-код магазина")</f>
        <v>Скачать индивидуальный QR-код магазина</v>
      </c>
    </row>
    <row r="19459" spans="1:7" x14ac:dyDescent="0.25">
      <c r="A19459" t="s">
        <v>58607</v>
      </c>
      <c r="B19459" t="s">
        <v>58608</v>
      </c>
      <c r="C19459" t="s">
        <v>5067</v>
      </c>
      <c r="D19459" t="s">
        <v>5068</v>
      </c>
      <c r="E19459" t="s">
        <v>5069</v>
      </c>
      <c r="F19459" t="s">
        <v>58917</v>
      </c>
      <c r="G19459" s="2" t="str">
        <f>HYPERLINK("https://probpalata.gov.ru/files/ИП350300596400037.jpeg","Скачать индивидуальный QR-код магазина")</f>
        <v>Скачать индивидуальный QR-код магазина</v>
      </c>
    </row>
    <row r="19460" spans="1:7" x14ac:dyDescent="0.25">
      <c r="A19460" t="s">
        <v>58607</v>
      </c>
      <c r="B19460" t="s">
        <v>58918</v>
      </c>
      <c r="C19460" t="s">
        <v>5067</v>
      </c>
      <c r="D19460" t="s">
        <v>5068</v>
      </c>
      <c r="E19460" t="s">
        <v>5069</v>
      </c>
      <c r="F19460" t="s">
        <v>58919</v>
      </c>
      <c r="G19460" s="2" t="str">
        <f>HYPERLINK("https://probpalata.gov.ru/files/ИП350300596400043.jpeg","Скачать индивидуальный QR-код магазина")</f>
        <v>Скачать индивидуальный QR-код магазина</v>
      </c>
    </row>
    <row r="19461" spans="1:7" x14ac:dyDescent="0.25">
      <c r="A19461" t="s">
        <v>58607</v>
      </c>
      <c r="B19461" t="s">
        <v>58920</v>
      </c>
      <c r="C19461" t="s">
        <v>671</v>
      </c>
      <c r="D19461" t="s">
        <v>672</v>
      </c>
      <c r="E19461" t="s">
        <v>673</v>
      </c>
      <c r="F19461" t="s">
        <v>58921</v>
      </c>
      <c r="G19461" s="2" t="str">
        <f>HYPERLINK("https://probpalata.gov.ru/files/ИП500100445500107.jpeg","Скачать индивидуальный QR-код магазина")</f>
        <v>Скачать индивидуальный QR-код магазина</v>
      </c>
    </row>
    <row r="19462" spans="1:7" x14ac:dyDescent="0.25">
      <c r="A19462" t="s">
        <v>58607</v>
      </c>
      <c r="B19462" t="s">
        <v>58922</v>
      </c>
      <c r="C19462" t="s">
        <v>33474</v>
      </c>
      <c r="D19462" t="s">
        <v>33475</v>
      </c>
      <c r="E19462" t="s">
        <v>33476</v>
      </c>
      <c r="F19462" t="s">
        <v>58923</v>
      </c>
      <c r="G19462" s="2" t="str">
        <f>HYPERLINK("https://probpalata.gov.ru/files/ИП500100525400000.jpeg","Скачать индивидуальный QR-код магазина")</f>
        <v>Скачать индивидуальный QR-код магазина</v>
      </c>
    </row>
    <row r="19463" spans="1:7" x14ac:dyDescent="0.25">
      <c r="A19463" t="s">
        <v>58607</v>
      </c>
      <c r="B19463" t="s">
        <v>58924</v>
      </c>
      <c r="C19463" t="s">
        <v>33474</v>
      </c>
      <c r="D19463" t="s">
        <v>33475</v>
      </c>
      <c r="E19463" t="s">
        <v>33476</v>
      </c>
      <c r="F19463" t="s">
        <v>58925</v>
      </c>
      <c r="G19463" s="2" t="str">
        <f>HYPERLINK("https://probpalata.gov.ru/files/ИП500100525400001.jpeg","Скачать индивидуальный QR-код магазина")</f>
        <v>Скачать индивидуальный QR-код магазина</v>
      </c>
    </row>
    <row r="19464" spans="1:7" x14ac:dyDescent="0.25">
      <c r="A19464" t="s">
        <v>58607</v>
      </c>
      <c r="B19464" t="s">
        <v>58926</v>
      </c>
      <c r="C19464" t="s">
        <v>33474</v>
      </c>
      <c r="D19464" t="s">
        <v>33475</v>
      </c>
      <c r="E19464" t="s">
        <v>33476</v>
      </c>
      <c r="F19464" t="s">
        <v>58927</v>
      </c>
      <c r="G19464" s="2" t="str">
        <f>HYPERLINK("https://probpalata.gov.ru/files/ИП500100525400006.jpeg","Скачать индивидуальный QR-код магазина")</f>
        <v>Скачать индивидуальный QR-код магазина</v>
      </c>
    </row>
    <row r="19465" spans="1:7" x14ac:dyDescent="0.25">
      <c r="A19465" t="s">
        <v>58607</v>
      </c>
      <c r="B19465" t="s">
        <v>58928</v>
      </c>
      <c r="C19465" t="s">
        <v>33474</v>
      </c>
      <c r="D19465" t="s">
        <v>33475</v>
      </c>
      <c r="E19465" t="s">
        <v>33476</v>
      </c>
      <c r="F19465" t="s">
        <v>58929</v>
      </c>
      <c r="G19465" s="2" t="str">
        <f>HYPERLINK("https://probpalata.gov.ru/files/ИП500100525400010.jpeg","Скачать индивидуальный QR-код магазина")</f>
        <v>Скачать индивидуальный QR-код магазина</v>
      </c>
    </row>
    <row r="19466" spans="1:7" x14ac:dyDescent="0.25">
      <c r="A19466" t="s">
        <v>58607</v>
      </c>
      <c r="B19466" t="s">
        <v>58930</v>
      </c>
      <c r="C19466" t="s">
        <v>33474</v>
      </c>
      <c r="D19466" t="s">
        <v>33475</v>
      </c>
      <c r="E19466" t="s">
        <v>33476</v>
      </c>
      <c r="F19466" t="s">
        <v>58931</v>
      </c>
      <c r="G19466" s="2" t="str">
        <f>HYPERLINK("https://probpalata.gov.ru/files/ИП500100525400011.jpeg","Скачать индивидуальный QR-код магазина")</f>
        <v>Скачать индивидуальный QR-код магазина</v>
      </c>
    </row>
    <row r="19467" spans="1:7" x14ac:dyDescent="0.25">
      <c r="A19467" t="s">
        <v>58607</v>
      </c>
      <c r="B19467" t="s">
        <v>58932</v>
      </c>
      <c r="C19467" t="s">
        <v>33474</v>
      </c>
      <c r="D19467" t="s">
        <v>33475</v>
      </c>
      <c r="E19467" t="s">
        <v>33476</v>
      </c>
      <c r="F19467" t="s">
        <v>58933</v>
      </c>
      <c r="G19467" s="2" t="str">
        <f>HYPERLINK("https://probpalata.gov.ru/files/ИП500100525400012.jpeg","Скачать индивидуальный QR-код магазина")</f>
        <v>Скачать индивидуальный QR-код магазина</v>
      </c>
    </row>
    <row r="19468" spans="1:7" x14ac:dyDescent="0.25">
      <c r="A19468" t="s">
        <v>58607</v>
      </c>
      <c r="B19468" t="s">
        <v>58934</v>
      </c>
      <c r="C19468" t="s">
        <v>33474</v>
      </c>
      <c r="D19468" t="s">
        <v>33475</v>
      </c>
      <c r="E19468" t="s">
        <v>33476</v>
      </c>
      <c r="F19468" t="s">
        <v>58935</v>
      </c>
      <c r="G19468" s="2" t="str">
        <f>HYPERLINK("https://probpalata.gov.ru/files/ИП500100525400013.jpeg","Скачать индивидуальный QR-код магазина")</f>
        <v>Скачать индивидуальный QR-код магазина</v>
      </c>
    </row>
    <row r="19469" spans="1:7" x14ac:dyDescent="0.25">
      <c r="A19469" t="s">
        <v>58607</v>
      </c>
      <c r="B19469" t="s">
        <v>58936</v>
      </c>
      <c r="C19469" t="s">
        <v>703</v>
      </c>
      <c r="D19469" t="s">
        <v>704</v>
      </c>
      <c r="E19469" t="s">
        <v>705</v>
      </c>
      <c r="F19469" t="s">
        <v>58937</v>
      </c>
      <c r="G19469" s="2" t="str">
        <f>HYPERLINK("https://probpalata.gov.ru/files/ИП610400426600019.jpeg","Скачать индивидуальный QR-код магазина")</f>
        <v>Скачать индивидуальный QR-код магазина</v>
      </c>
    </row>
    <row r="19470" spans="1:7" x14ac:dyDescent="0.25">
      <c r="A19470" t="s">
        <v>58607</v>
      </c>
      <c r="B19470" t="s">
        <v>58821</v>
      </c>
      <c r="C19470" t="s">
        <v>2197</v>
      </c>
      <c r="D19470" t="s">
        <v>2198</v>
      </c>
      <c r="E19470" t="s">
        <v>2199</v>
      </c>
      <c r="F19470" t="s">
        <v>58938</v>
      </c>
      <c r="G19470" s="2" t="str">
        <f>HYPERLINK("https://probpalata.gov.ru/files/ИП630601425400013.jpeg","Скачать индивидуальный QR-код магазина")</f>
        <v>Скачать индивидуальный QR-код магазина</v>
      </c>
    </row>
    <row r="19471" spans="1:7" x14ac:dyDescent="0.25">
      <c r="A19471" t="s">
        <v>58607</v>
      </c>
      <c r="B19471" t="s">
        <v>58939</v>
      </c>
      <c r="C19471" t="s">
        <v>2197</v>
      </c>
      <c r="D19471" t="s">
        <v>2198</v>
      </c>
      <c r="E19471" t="s">
        <v>2199</v>
      </c>
      <c r="F19471" t="s">
        <v>58940</v>
      </c>
      <c r="G19471" s="2" t="str">
        <f>HYPERLINK("https://probpalata.gov.ru/files/ИП630601425400016.jpeg","Скачать индивидуальный QR-код магазина")</f>
        <v>Скачать индивидуальный QR-код магазина</v>
      </c>
    </row>
    <row r="19472" spans="1:7" x14ac:dyDescent="0.25">
      <c r="A19472" t="s">
        <v>58607</v>
      </c>
      <c r="B19472" t="s">
        <v>58941</v>
      </c>
      <c r="C19472" t="s">
        <v>2197</v>
      </c>
      <c r="D19472" t="s">
        <v>2198</v>
      </c>
      <c r="E19472" t="s">
        <v>2199</v>
      </c>
      <c r="F19472" t="s">
        <v>58942</v>
      </c>
      <c r="G19472" s="2" t="str">
        <f>HYPERLINK("https://probpalata.gov.ru/files/ИП630601425400056.jpeg","Скачать индивидуальный QR-код магазина")</f>
        <v>Скачать индивидуальный QR-код магазина</v>
      </c>
    </row>
    <row r="19473" spans="1:7" x14ac:dyDescent="0.25">
      <c r="A19473" t="s">
        <v>58607</v>
      </c>
      <c r="B19473" t="s">
        <v>58913</v>
      </c>
      <c r="C19473" t="s">
        <v>2197</v>
      </c>
      <c r="D19473" t="s">
        <v>2198</v>
      </c>
      <c r="E19473" t="s">
        <v>2199</v>
      </c>
      <c r="F19473" t="s">
        <v>58943</v>
      </c>
      <c r="G19473" s="2" t="str">
        <f>HYPERLINK("https://probpalata.gov.ru/files/ИП630601425400057.jpeg","Скачать индивидуальный QR-код магазина")</f>
        <v>Скачать индивидуальный QR-код магазина</v>
      </c>
    </row>
    <row r="19474" spans="1:7" x14ac:dyDescent="0.25">
      <c r="A19474" t="s">
        <v>58607</v>
      </c>
      <c r="B19474" t="s">
        <v>58944</v>
      </c>
      <c r="C19474" t="s">
        <v>2197</v>
      </c>
      <c r="D19474" t="s">
        <v>2198</v>
      </c>
      <c r="E19474" t="s">
        <v>2199</v>
      </c>
      <c r="F19474" t="s">
        <v>58945</v>
      </c>
      <c r="G19474" s="2" t="str">
        <f>HYPERLINK("https://probpalata.gov.ru/files/ИП630601425400096.jpeg","Скачать индивидуальный QR-код магазина")</f>
        <v>Скачать индивидуальный QR-код магазина</v>
      </c>
    </row>
    <row r="19475" spans="1:7" x14ac:dyDescent="0.25">
      <c r="A19475" t="s">
        <v>58607</v>
      </c>
      <c r="B19475" t="s">
        <v>58946</v>
      </c>
      <c r="C19475" t="s">
        <v>2204</v>
      </c>
      <c r="D19475" t="s">
        <v>2205</v>
      </c>
      <c r="E19475" t="s">
        <v>2206</v>
      </c>
      <c r="F19475" t="s">
        <v>58947</v>
      </c>
      <c r="G19475" s="2" t="str">
        <f>HYPERLINK("https://probpalata.gov.ru/files/ЮЛ630603037200071.jpeg","Скачать индивидуальный QR-код магазина")</f>
        <v>Скачать индивидуальный QR-код магазина</v>
      </c>
    </row>
    <row r="19476" spans="1:7" x14ac:dyDescent="0.25">
      <c r="A19476" t="s">
        <v>58607</v>
      </c>
      <c r="B19476" t="s">
        <v>58948</v>
      </c>
      <c r="C19476" t="s">
        <v>2204</v>
      </c>
      <c r="D19476" t="s">
        <v>2205</v>
      </c>
      <c r="E19476" t="s">
        <v>2206</v>
      </c>
      <c r="F19476" t="s">
        <v>58949</v>
      </c>
      <c r="G19476" s="2" t="str">
        <f>HYPERLINK("https://probpalata.gov.ru/files/ЮЛ630603037200072.jpeg","Скачать индивидуальный QR-код магазина")</f>
        <v>Скачать индивидуальный QR-код магазина</v>
      </c>
    </row>
    <row r="19477" spans="1:7" x14ac:dyDescent="0.25">
      <c r="A19477" t="s">
        <v>58607</v>
      </c>
      <c r="B19477" t="s">
        <v>58909</v>
      </c>
      <c r="C19477" t="s">
        <v>40854</v>
      </c>
      <c r="D19477" t="s">
        <v>40855</v>
      </c>
      <c r="E19477" t="s">
        <v>40856</v>
      </c>
      <c r="F19477" t="s">
        <v>58950</v>
      </c>
      <c r="G19477" s="2" t="str">
        <f>HYPERLINK("https://probpalata.gov.ru/files/ИП630600581600007.jpeg","Скачать индивидуальный QR-код магазина")</f>
        <v>Скачать индивидуальный QR-код магазина</v>
      </c>
    </row>
    <row r="19478" spans="1:7" x14ac:dyDescent="0.25">
      <c r="A19478" t="s">
        <v>58607</v>
      </c>
      <c r="B19478" t="s">
        <v>58944</v>
      </c>
      <c r="C19478" t="s">
        <v>40854</v>
      </c>
      <c r="D19478" t="s">
        <v>40855</v>
      </c>
      <c r="E19478" t="s">
        <v>40856</v>
      </c>
      <c r="F19478" t="s">
        <v>58951</v>
      </c>
      <c r="G19478" s="2" t="str">
        <f>HYPERLINK("https://probpalata.gov.ru/files/ИП630600581600018.jpeg","Скачать индивидуальный QR-код магазина")</f>
        <v>Скачать индивидуальный QR-код магазина</v>
      </c>
    </row>
    <row r="19479" spans="1:7" x14ac:dyDescent="0.25">
      <c r="A19479" t="s">
        <v>58607</v>
      </c>
      <c r="B19479" t="s">
        <v>58952</v>
      </c>
      <c r="C19479" t="s">
        <v>1745</v>
      </c>
      <c r="D19479" t="s">
        <v>1746</v>
      </c>
      <c r="E19479" t="s">
        <v>1747</v>
      </c>
      <c r="F19479" t="s">
        <v>58953</v>
      </c>
      <c r="G19479" s="2" t="str">
        <f>HYPERLINK("https://probpalata.gov.ru/files/ЮЛ770100201500576.jpeg","Скачать индивидуальный QR-код магазина")</f>
        <v>Скачать индивидуальный QR-код магазина</v>
      </c>
    </row>
    <row r="19480" spans="1:7" x14ac:dyDescent="0.25">
      <c r="A19480" t="s">
        <v>58607</v>
      </c>
      <c r="B19480" t="s">
        <v>58954</v>
      </c>
      <c r="C19480" t="s">
        <v>3157</v>
      </c>
      <c r="D19480" t="s">
        <v>3158</v>
      </c>
      <c r="E19480" t="s">
        <v>3159</v>
      </c>
      <c r="F19480" t="s">
        <v>58955</v>
      </c>
      <c r="G19480" s="2" t="str">
        <f>HYPERLINK("https://probpalata.gov.ru/files/ИП770100417900040.jpeg","Скачать индивидуальный QR-код магазина")</f>
        <v>Скачать индивидуальный QR-код магазина</v>
      </c>
    </row>
    <row r="19481" spans="1:7" x14ac:dyDescent="0.25">
      <c r="A19481" t="s">
        <v>58607</v>
      </c>
      <c r="B19481" t="s">
        <v>58956</v>
      </c>
      <c r="C19481" t="s">
        <v>713</v>
      </c>
      <c r="D19481" t="s">
        <v>714</v>
      </c>
      <c r="E19481" t="s">
        <v>715</v>
      </c>
      <c r="F19481" t="s">
        <v>58957</v>
      </c>
      <c r="G19481" s="2" t="str">
        <f>HYPERLINK("https://probpalata.gov.ru/files/ЮЛ770101216600167.jpeg","Скачать индивидуальный QR-код магазина")</f>
        <v>Скачать индивидуальный QR-код магазина</v>
      </c>
    </row>
    <row r="19482" spans="1:7" x14ac:dyDescent="0.25">
      <c r="A19482" t="s">
        <v>58607</v>
      </c>
      <c r="B19482" t="s">
        <v>58958</v>
      </c>
      <c r="C19482" t="s">
        <v>713</v>
      </c>
      <c r="D19482" t="s">
        <v>714</v>
      </c>
      <c r="E19482" t="s">
        <v>715</v>
      </c>
      <c r="F19482" t="s">
        <v>58959</v>
      </c>
      <c r="G19482" s="2" t="str">
        <f>HYPERLINK("https://probpalata.gov.ru/files/ЮЛ770101216600270.jpeg","Скачать индивидуальный QR-код магазина")</f>
        <v>Скачать индивидуальный QR-код магазина</v>
      </c>
    </row>
    <row r="19483" spans="1:7" x14ac:dyDescent="0.25">
      <c r="A19483" t="s">
        <v>58607</v>
      </c>
      <c r="B19483" t="s">
        <v>58960</v>
      </c>
      <c r="C19483" t="s">
        <v>713</v>
      </c>
      <c r="D19483" t="s">
        <v>714</v>
      </c>
      <c r="E19483" t="s">
        <v>715</v>
      </c>
      <c r="F19483" t="s">
        <v>58961</v>
      </c>
      <c r="G19483" s="2" t="str">
        <f>HYPERLINK("https://probpalata.gov.ru/files/ЮЛ770101216600744.jpeg","Скачать индивидуальный QR-код магазина")</f>
        <v>Скачать индивидуальный QR-код магазина</v>
      </c>
    </row>
    <row r="19484" spans="1:7" x14ac:dyDescent="0.25">
      <c r="A19484" t="s">
        <v>58607</v>
      </c>
      <c r="B19484" t="s">
        <v>58962</v>
      </c>
      <c r="C19484" t="s">
        <v>713</v>
      </c>
      <c r="D19484" t="s">
        <v>714</v>
      </c>
      <c r="E19484" t="s">
        <v>715</v>
      </c>
      <c r="F19484" t="s">
        <v>58963</v>
      </c>
      <c r="G19484" s="2" t="str">
        <f>HYPERLINK("https://probpalata.gov.ru/files/ЮЛ770101216600782.jpeg","Скачать индивидуальный QR-код магазина")</f>
        <v>Скачать индивидуальный QR-код магазина</v>
      </c>
    </row>
    <row r="19485" spans="1:7" x14ac:dyDescent="0.25">
      <c r="A19485" t="s">
        <v>58607</v>
      </c>
      <c r="B19485" t="s">
        <v>58964</v>
      </c>
      <c r="C19485" t="s">
        <v>713</v>
      </c>
      <c r="D19485" t="s">
        <v>714</v>
      </c>
      <c r="E19485" t="s">
        <v>715</v>
      </c>
      <c r="F19485" t="s">
        <v>58965</v>
      </c>
      <c r="G19485" s="2" t="str">
        <f>HYPERLINK("https://probpalata.gov.ru/files/ЮЛ770101216600930.jpeg","Скачать индивидуальный QR-код магазина")</f>
        <v>Скачать индивидуальный QR-код магазина</v>
      </c>
    </row>
    <row r="19486" spans="1:7" x14ac:dyDescent="0.25">
      <c r="A19486" t="s">
        <v>58607</v>
      </c>
      <c r="B19486" t="s">
        <v>58966</v>
      </c>
      <c r="C19486" t="s">
        <v>713</v>
      </c>
      <c r="D19486" t="s">
        <v>714</v>
      </c>
      <c r="E19486" t="s">
        <v>715</v>
      </c>
      <c r="F19486" t="s">
        <v>58967</v>
      </c>
      <c r="G19486" s="2" t="str">
        <f>HYPERLINK("https://probpalata.gov.ru/files/ЮЛ770101216600949.jpeg","Скачать индивидуальный QR-код магазина")</f>
        <v>Скачать индивидуальный QR-код магазина</v>
      </c>
    </row>
    <row r="19487" spans="1:7" x14ac:dyDescent="0.25">
      <c r="A19487" t="s">
        <v>58607</v>
      </c>
      <c r="B19487" t="s">
        <v>58968</v>
      </c>
      <c r="C19487" t="s">
        <v>713</v>
      </c>
      <c r="D19487" t="s">
        <v>714</v>
      </c>
      <c r="E19487" t="s">
        <v>715</v>
      </c>
      <c r="F19487" t="s">
        <v>58969</v>
      </c>
      <c r="G19487" s="2" t="str">
        <f>HYPERLINK("https://probpalata.gov.ru/files/ЮЛ770101216600999.jpeg","Скачать индивидуальный QR-код магазина")</f>
        <v>Скачать индивидуальный QR-код магазина</v>
      </c>
    </row>
    <row r="19488" spans="1:7" x14ac:dyDescent="0.25">
      <c r="A19488" t="s">
        <v>58607</v>
      </c>
      <c r="B19488" t="s">
        <v>58970</v>
      </c>
      <c r="C19488" t="s">
        <v>748</v>
      </c>
      <c r="D19488" t="s">
        <v>749</v>
      </c>
      <c r="E19488" t="s">
        <v>750</v>
      </c>
      <c r="F19488" t="s">
        <v>58971</v>
      </c>
      <c r="G19488" s="2" t="str">
        <f>HYPERLINK("https://probpalata.gov.ru/files/ЮЛ770100193500305.jpeg","Скачать индивидуальный QR-код магазина")</f>
        <v>Скачать индивидуальный QR-код магазина</v>
      </c>
    </row>
    <row r="19489" spans="1:7" x14ac:dyDescent="0.25">
      <c r="A19489" t="s">
        <v>58607</v>
      </c>
      <c r="B19489" t="s">
        <v>58972</v>
      </c>
      <c r="C19489" t="s">
        <v>748</v>
      </c>
      <c r="D19489" t="s">
        <v>749</v>
      </c>
      <c r="E19489" t="s">
        <v>750</v>
      </c>
      <c r="F19489" t="s">
        <v>58973</v>
      </c>
      <c r="G19489" s="2" t="str">
        <f>HYPERLINK("https://probpalata.gov.ru/files/ЮЛ770100193500517.jpeg","Скачать индивидуальный QR-код магазина")</f>
        <v>Скачать индивидуальный QR-код магазина</v>
      </c>
    </row>
    <row r="19490" spans="1:7" x14ac:dyDescent="0.25">
      <c r="A19490" t="s">
        <v>58607</v>
      </c>
      <c r="B19490" t="s">
        <v>58952</v>
      </c>
      <c r="C19490" t="s">
        <v>748</v>
      </c>
      <c r="D19490" t="s">
        <v>749</v>
      </c>
      <c r="E19490" t="s">
        <v>750</v>
      </c>
      <c r="F19490" t="s">
        <v>58974</v>
      </c>
      <c r="G19490" s="2" t="str">
        <f>HYPERLINK("https://probpalata.gov.ru/files/ЮЛ770100193500986.jpeg","Скачать индивидуальный QR-код магазина")</f>
        <v>Скачать индивидуальный QR-код магазина</v>
      </c>
    </row>
    <row r="19491" spans="1:7" x14ac:dyDescent="0.25">
      <c r="A19491" t="s">
        <v>58607</v>
      </c>
      <c r="B19491" t="s">
        <v>58975</v>
      </c>
      <c r="C19491" t="s">
        <v>791</v>
      </c>
      <c r="D19491" t="s">
        <v>792</v>
      </c>
      <c r="E19491" t="s">
        <v>793</v>
      </c>
      <c r="F19491" t="s">
        <v>58976</v>
      </c>
      <c r="G19491" s="2" t="str">
        <f>HYPERLINK("https://probpalata.gov.ru/files/ЮЛ780300323500185.jpeg","Скачать индивидуальный QR-код магазина")</f>
        <v>Скачать индивидуальный QR-код магазина</v>
      </c>
    </row>
    <row r="19492" spans="1:7" x14ac:dyDescent="0.25">
      <c r="A19492" t="s">
        <v>58607</v>
      </c>
      <c r="B19492" t="s">
        <v>58977</v>
      </c>
      <c r="C19492" t="s">
        <v>791</v>
      </c>
      <c r="D19492" t="s">
        <v>792</v>
      </c>
      <c r="E19492" t="s">
        <v>793</v>
      </c>
      <c r="F19492" t="s">
        <v>58978</v>
      </c>
      <c r="G19492" s="2" t="str">
        <f>HYPERLINK("https://probpalata.gov.ru/files/ЮЛ780300323500186.jpeg","Скачать индивидуальный QR-код магазина")</f>
        <v>Скачать индивидуальный QR-код магазина</v>
      </c>
    </row>
    <row r="19493" spans="1:7" x14ac:dyDescent="0.25">
      <c r="A19493" t="s">
        <v>58607</v>
      </c>
      <c r="B19493" t="s">
        <v>58979</v>
      </c>
      <c r="C19493" t="s">
        <v>798</v>
      </c>
      <c r="D19493" t="s">
        <v>799</v>
      </c>
      <c r="E19493" t="s">
        <v>800</v>
      </c>
      <c r="F19493" t="s">
        <v>58980</v>
      </c>
      <c r="G19493" s="2" t="str">
        <f>HYPERLINK("https://probpalata.gov.ru/files/ЮЛ780300308200135.jpeg","Скачать индивидуальный QR-код магазина")</f>
        <v>Скачать индивидуальный QR-код магазина</v>
      </c>
    </row>
    <row r="19494" spans="1:7" x14ac:dyDescent="0.25">
      <c r="A19494" t="s">
        <v>58607</v>
      </c>
      <c r="B19494" t="s">
        <v>58981</v>
      </c>
      <c r="C19494" t="s">
        <v>798</v>
      </c>
      <c r="D19494" t="s">
        <v>799</v>
      </c>
      <c r="E19494" t="s">
        <v>800</v>
      </c>
      <c r="F19494" t="s">
        <v>58982</v>
      </c>
      <c r="G19494" s="2" t="str">
        <f>HYPERLINK("https://probpalata.gov.ru/files/ЮЛ780300308200412.jpeg","Скачать индивидуальный QR-код магазина")</f>
        <v>Скачать индивидуальный QR-код магазина</v>
      </c>
    </row>
    <row r="19495" spans="1:7" x14ac:dyDescent="0.25">
      <c r="A19495" t="s">
        <v>58607</v>
      </c>
      <c r="B19495" t="s">
        <v>58983</v>
      </c>
      <c r="C19495" t="s">
        <v>798</v>
      </c>
      <c r="D19495" t="s">
        <v>799</v>
      </c>
      <c r="E19495" t="s">
        <v>800</v>
      </c>
      <c r="F19495" t="s">
        <v>58984</v>
      </c>
      <c r="G19495" s="2" t="str">
        <f>HYPERLINK("https://probpalata.gov.ru/files/ЮЛ780300308200563.jpeg","Скачать индивидуальный QR-код магазина")</f>
        <v>Скачать индивидуальный QR-код магазина</v>
      </c>
    </row>
    <row r="19496" spans="1:7" x14ac:dyDescent="0.25">
      <c r="A19496" t="s">
        <v>58607</v>
      </c>
      <c r="B19496" t="s">
        <v>58985</v>
      </c>
      <c r="C19496" t="s">
        <v>798</v>
      </c>
      <c r="D19496" t="s">
        <v>799</v>
      </c>
      <c r="E19496" t="s">
        <v>800</v>
      </c>
      <c r="F19496" t="s">
        <v>58986</v>
      </c>
      <c r="G19496" s="2" t="str">
        <f>HYPERLINK("https://probpalata.gov.ru/files/ЮЛ780300308201209.jpeg","Скачать индивидуальный QR-код магазина")</f>
        <v>Скачать индивидуальный QR-код магазина</v>
      </c>
    </row>
    <row r="19497" spans="1:7" x14ac:dyDescent="0.25">
      <c r="A19497" t="s">
        <v>58607</v>
      </c>
      <c r="B19497" t="s">
        <v>58987</v>
      </c>
      <c r="C19497" t="s">
        <v>798</v>
      </c>
      <c r="D19497" t="s">
        <v>799</v>
      </c>
      <c r="E19497" t="s">
        <v>800</v>
      </c>
      <c r="F19497" t="s">
        <v>58988</v>
      </c>
      <c r="G19497" s="2" t="str">
        <f>HYPERLINK("https://probpalata.gov.ru/files/ЮЛ780300308201215.jpeg","Скачать индивидуальный QR-код магазина")</f>
        <v>Скачать индивидуальный QR-код магазина</v>
      </c>
    </row>
    <row r="19498" spans="1:7" x14ac:dyDescent="0.25">
      <c r="A19498" t="s">
        <v>58607</v>
      </c>
      <c r="B19498" t="s">
        <v>58989</v>
      </c>
      <c r="C19498" t="s">
        <v>823</v>
      </c>
      <c r="D19498" t="s">
        <v>824</v>
      </c>
      <c r="E19498" t="s">
        <v>825</v>
      </c>
      <c r="F19498" t="s">
        <v>58990</v>
      </c>
      <c r="G19498" s="2" t="str">
        <f>HYPERLINK("https://probpalata.gov.ru/files/ЮЛ780300363500249.jpeg","Скачать индивидуальный QR-код магазина")</f>
        <v>Скачать индивидуальный QR-код магазина</v>
      </c>
    </row>
    <row r="19499" spans="1:7" x14ac:dyDescent="0.25">
      <c r="A19499" t="s">
        <v>58607</v>
      </c>
      <c r="B19499" t="s">
        <v>58977</v>
      </c>
      <c r="C19499" t="s">
        <v>823</v>
      </c>
      <c r="D19499" t="s">
        <v>824</v>
      </c>
      <c r="E19499" t="s">
        <v>825</v>
      </c>
      <c r="F19499" t="s">
        <v>58991</v>
      </c>
      <c r="G19499" s="2" t="str">
        <f>HYPERLINK("https://probpalata.gov.ru/files/ЮЛ780300363500251.jpeg","Скачать индивидуальный QR-код магазина")</f>
        <v>Скачать индивидуальный QR-код магазина</v>
      </c>
    </row>
    <row r="19500" spans="1:7" x14ac:dyDescent="0.25">
      <c r="A19500" t="s">
        <v>58992</v>
      </c>
      <c r="B19500" t="s">
        <v>58993</v>
      </c>
      <c r="C19500" t="s">
        <v>58994</v>
      </c>
      <c r="D19500" t="s">
        <v>58995</v>
      </c>
      <c r="E19500" t="s">
        <v>58996</v>
      </c>
      <c r="F19500" t="s">
        <v>58997</v>
      </c>
      <c r="G19500" s="2" t="str">
        <f>HYPERLINK("https://probpalata.gov.ru/files/ИП770100715800000.jpeg","Скачать индивидуальный QR-код магазина")</f>
        <v>Скачать индивидуальный QR-код магазина</v>
      </c>
    </row>
    <row r="19501" spans="1:7" x14ac:dyDescent="0.25">
      <c r="A19501" t="s">
        <v>58992</v>
      </c>
      <c r="B19501" t="s">
        <v>58998</v>
      </c>
      <c r="C19501" t="s">
        <v>58999</v>
      </c>
      <c r="D19501" t="s">
        <v>59000</v>
      </c>
      <c r="E19501" t="s">
        <v>59001</v>
      </c>
      <c r="F19501" t="s">
        <v>59002</v>
      </c>
      <c r="G19501" s="2" t="str">
        <f>HYPERLINK("https://probpalata.gov.ru/files/ИП810901467100000.jpeg","Скачать индивидуальный QR-код магазина")</f>
        <v>Скачать индивидуальный QR-код магазина</v>
      </c>
    </row>
    <row r="19502" spans="1:7" x14ac:dyDescent="0.25">
      <c r="A19502" t="s">
        <v>58992</v>
      </c>
      <c r="B19502" t="s">
        <v>59003</v>
      </c>
      <c r="C19502" t="s">
        <v>59004</v>
      </c>
      <c r="D19502" t="s">
        <v>59005</v>
      </c>
      <c r="E19502" t="s">
        <v>59006</v>
      </c>
      <c r="F19502" t="s">
        <v>59007</v>
      </c>
      <c r="G19502" s="2" t="str">
        <f>HYPERLINK("https://probpalata.gov.ru/files/ИП870903558200000.jpeg","Скачать индивидуальный QR-код магазина")</f>
        <v>Скачать индивидуальный QR-код магазина</v>
      </c>
    </row>
    <row r="19503" spans="1:7" x14ac:dyDescent="0.25">
      <c r="A19503" t="s">
        <v>58992</v>
      </c>
      <c r="B19503" t="s">
        <v>59008</v>
      </c>
      <c r="C19503" t="s">
        <v>59009</v>
      </c>
      <c r="D19503" t="s">
        <v>59010</v>
      </c>
      <c r="E19503" t="s">
        <v>59011</v>
      </c>
      <c r="F19503" t="s">
        <v>59012</v>
      </c>
      <c r="G19503" s="2" t="str">
        <f>HYPERLINK("https://probpalata.gov.ru/files/ЮЛ810901355400000.jpeg","Скачать индивидуальный QR-код магазина")</f>
        <v>Скачать индивидуальный QR-код магазина</v>
      </c>
    </row>
    <row r="19504" spans="1:7" x14ac:dyDescent="0.25">
      <c r="A19504" t="s">
        <v>58992</v>
      </c>
      <c r="B19504" t="s">
        <v>59013</v>
      </c>
      <c r="C19504" t="s">
        <v>59014</v>
      </c>
      <c r="D19504" t="s">
        <v>59015</v>
      </c>
      <c r="E19504" t="s">
        <v>59016</v>
      </c>
      <c r="F19504" t="s">
        <v>59017</v>
      </c>
      <c r="G19504" s="2" t="str">
        <f>HYPERLINK("https://probpalata.gov.ru/files/ИП810901688300000.jpeg","Скачать индивидуальный QR-код магазина")</f>
        <v>Скачать индивидуальный QR-код магазина</v>
      </c>
    </row>
    <row r="19505" spans="1:7" x14ac:dyDescent="0.25">
      <c r="A19505" t="s">
        <v>58992</v>
      </c>
      <c r="B19505" t="s">
        <v>59018</v>
      </c>
      <c r="C19505" t="s">
        <v>59019</v>
      </c>
      <c r="D19505" t="s">
        <v>59020</v>
      </c>
      <c r="E19505" t="s">
        <v>59021</v>
      </c>
      <c r="F19505" t="s">
        <v>59022</v>
      </c>
      <c r="G19505" s="2" t="str">
        <f>HYPERLINK("https://probpalata.gov.ru/files/ИП770101846700000.jpeg","Скачать индивидуальный QR-код магазина")</f>
        <v>Скачать индивидуальный QR-код магазина</v>
      </c>
    </row>
    <row r="19506" spans="1:7" x14ac:dyDescent="0.25">
      <c r="A19506" t="s">
        <v>58992</v>
      </c>
      <c r="B19506" t="s">
        <v>59023</v>
      </c>
      <c r="C19506" t="s">
        <v>59024</v>
      </c>
      <c r="D19506" t="s">
        <v>59025</v>
      </c>
      <c r="E19506" t="s">
        <v>59026</v>
      </c>
      <c r="F19506" t="s">
        <v>59027</v>
      </c>
      <c r="G19506" s="2" t="str">
        <f>HYPERLINK("https://probpalata.gov.ru/files/ИП770100960400000.jpeg","Скачать индивидуальный QR-код магазина")</f>
        <v>Скачать индивидуальный QR-код магазина</v>
      </c>
    </row>
    <row r="19507" spans="1:7" x14ac:dyDescent="0.25">
      <c r="A19507" t="s">
        <v>58992</v>
      </c>
      <c r="B19507" t="s">
        <v>59028</v>
      </c>
      <c r="C19507" t="s">
        <v>59029</v>
      </c>
      <c r="D19507" t="s">
        <v>59030</v>
      </c>
      <c r="E19507" t="s">
        <v>59031</v>
      </c>
      <c r="F19507" t="s">
        <v>59032</v>
      </c>
      <c r="G19507" s="2" t="str">
        <f>HYPERLINK("https://probpalata.gov.ru/files/ЮЛ810900207900000.jpeg","Скачать индивидуальный QR-код магазина")</f>
        <v>Скачать индивидуальный QR-код магазина</v>
      </c>
    </row>
    <row r="19508" spans="1:7" x14ac:dyDescent="0.25">
      <c r="A19508" t="s">
        <v>58992</v>
      </c>
      <c r="B19508" t="s">
        <v>59033</v>
      </c>
      <c r="C19508" t="s">
        <v>59034</v>
      </c>
      <c r="D19508" t="s">
        <v>59035</v>
      </c>
      <c r="E19508" t="s">
        <v>59036</v>
      </c>
      <c r="F19508" t="s">
        <v>59037</v>
      </c>
      <c r="G19508" s="2" t="str">
        <f>HYPERLINK("https://probpalata.gov.ru/files/ИП810900586100000.jpeg","Скачать индивидуальный QR-код магазина")</f>
        <v>Скачать индивидуальный QR-код магазина</v>
      </c>
    </row>
    <row r="19509" spans="1:7" x14ac:dyDescent="0.25">
      <c r="A19509" t="s">
        <v>59038</v>
      </c>
      <c r="B19509" t="s">
        <v>59039</v>
      </c>
      <c r="C19509" t="s">
        <v>19234</v>
      </c>
      <c r="D19509" t="s">
        <v>59040</v>
      </c>
      <c r="E19509" t="s">
        <v>59041</v>
      </c>
      <c r="F19509" t="s">
        <v>59042</v>
      </c>
      <c r="G19509" s="2" t="str">
        <f>HYPERLINK("https://probpalata.gov.ru/files/ЮЛ210601203200003.jpeg","Скачать индивидуальный QR-код магазина")</f>
        <v>Скачать индивидуальный QR-код магазина</v>
      </c>
    </row>
    <row r="19510" spans="1:7" x14ac:dyDescent="0.25">
      <c r="A19510" t="s">
        <v>59038</v>
      </c>
      <c r="B19510" t="s">
        <v>59043</v>
      </c>
      <c r="C19510" t="s">
        <v>59044</v>
      </c>
      <c r="D19510" t="s">
        <v>59045</v>
      </c>
      <c r="E19510" t="s">
        <v>59046</v>
      </c>
      <c r="F19510" t="s">
        <v>59047</v>
      </c>
      <c r="G19510" s="2" t="str">
        <f>HYPERLINK("https://probpalata.gov.ru/files/ИП410903636800000.jpeg","Скачать индивидуальный QR-код магазина")</f>
        <v>Скачать индивидуальный QR-код магазина</v>
      </c>
    </row>
    <row r="19511" spans="1:7" x14ac:dyDescent="0.25">
      <c r="A19511" t="s">
        <v>59038</v>
      </c>
      <c r="B19511" t="s">
        <v>59048</v>
      </c>
      <c r="C19511" t="s">
        <v>53535</v>
      </c>
      <c r="D19511" t="s">
        <v>53536</v>
      </c>
      <c r="E19511" t="s">
        <v>53537</v>
      </c>
      <c r="F19511" t="s">
        <v>59049</v>
      </c>
      <c r="G19511" s="2" t="str">
        <f>HYPERLINK("https://probpalata.gov.ru/files/ИП890700622900000.jpeg","Скачать индивидуальный QR-код магазина")</f>
        <v>Скачать индивидуальный QR-код магазина</v>
      </c>
    </row>
    <row r="19512" spans="1:7" x14ac:dyDescent="0.25">
      <c r="A19512" t="s">
        <v>59038</v>
      </c>
      <c r="B19512" t="s">
        <v>59050</v>
      </c>
      <c r="C19512" t="s">
        <v>53535</v>
      </c>
      <c r="D19512" t="s">
        <v>53536</v>
      </c>
      <c r="E19512" t="s">
        <v>53537</v>
      </c>
      <c r="F19512" t="s">
        <v>59051</v>
      </c>
      <c r="G19512" s="2" t="str">
        <f>HYPERLINK("https://probpalata.gov.ru/files/ИП890700622900003.jpeg","Скачать индивидуальный QR-код магазина")</f>
        <v>Скачать индивидуальный QR-код магазина</v>
      </c>
    </row>
    <row r="19513" spans="1:7" x14ac:dyDescent="0.25">
      <c r="A19513" t="s">
        <v>59038</v>
      </c>
      <c r="B19513" t="s">
        <v>59052</v>
      </c>
      <c r="C19513" t="s">
        <v>53535</v>
      </c>
      <c r="D19513" t="s">
        <v>53536</v>
      </c>
      <c r="E19513" t="s">
        <v>53537</v>
      </c>
      <c r="F19513" t="s">
        <v>59053</v>
      </c>
      <c r="G19513" s="2" t="str">
        <f>HYPERLINK("https://probpalata.gov.ru/files/ИП890700622900006.jpeg","Скачать индивидуальный QR-код магазина")</f>
        <v>Скачать индивидуальный QR-код магазина</v>
      </c>
    </row>
    <row r="19514" spans="1:7" x14ac:dyDescent="0.25">
      <c r="A19514" t="s">
        <v>59038</v>
      </c>
      <c r="B19514" t="s">
        <v>59054</v>
      </c>
      <c r="C19514" t="s">
        <v>1735</v>
      </c>
      <c r="D19514" t="s">
        <v>1736</v>
      </c>
      <c r="E19514" t="s">
        <v>1737</v>
      </c>
      <c r="F19514" t="s">
        <v>59055</v>
      </c>
      <c r="G19514" s="2" t="str">
        <f>HYPERLINK("https://probpalata.gov.ru/files/ЮЛ520603376600004.jpeg","Скачать индивидуальный QR-код магазина")</f>
        <v>Скачать индивидуальный QR-код магазина</v>
      </c>
    </row>
    <row r="19515" spans="1:7" x14ac:dyDescent="0.25">
      <c r="A19515" t="s">
        <v>59038</v>
      </c>
      <c r="B19515" t="s">
        <v>59056</v>
      </c>
      <c r="C19515" t="s">
        <v>32246</v>
      </c>
      <c r="D19515" t="s">
        <v>32247</v>
      </c>
      <c r="E19515" t="s">
        <v>32248</v>
      </c>
      <c r="F19515" t="s">
        <v>59057</v>
      </c>
      <c r="G19515" s="2" t="str">
        <f>HYPERLINK("https://probpalata.gov.ru/files/ИП540801169300004.jpeg","Скачать индивидуальный QR-код магазина")</f>
        <v>Скачать индивидуальный QR-код магазина</v>
      </c>
    </row>
    <row r="19516" spans="1:7" x14ac:dyDescent="0.25">
      <c r="A19516" t="s">
        <v>59038</v>
      </c>
      <c r="B19516" t="s">
        <v>59058</v>
      </c>
      <c r="C19516" t="s">
        <v>32436</v>
      </c>
      <c r="D19516" t="s">
        <v>32437</v>
      </c>
      <c r="E19516" t="s">
        <v>32438</v>
      </c>
      <c r="F19516" t="s">
        <v>59059</v>
      </c>
      <c r="G19516" s="2" t="str">
        <f>HYPERLINK("https://probpalata.gov.ru/files/ЮЛ540800575000008.jpeg","Скачать индивидуальный QR-код магазина")</f>
        <v>Скачать индивидуальный QR-код магазина</v>
      </c>
    </row>
    <row r="19517" spans="1:7" x14ac:dyDescent="0.25">
      <c r="A19517" t="s">
        <v>59038</v>
      </c>
      <c r="B19517" t="s">
        <v>59060</v>
      </c>
      <c r="C19517" t="s">
        <v>32436</v>
      </c>
      <c r="D19517" t="s">
        <v>32437</v>
      </c>
      <c r="E19517" t="s">
        <v>32438</v>
      </c>
      <c r="F19517" t="s">
        <v>59061</v>
      </c>
      <c r="G19517" s="2" t="str">
        <f>HYPERLINK("https://probpalata.gov.ru/files/ЮЛ540800575000014.jpeg","Скачать индивидуальный QR-код магазина")</f>
        <v>Скачать индивидуальный QR-код магазина</v>
      </c>
    </row>
    <row r="19518" spans="1:7" x14ac:dyDescent="0.25">
      <c r="A19518" t="s">
        <v>59038</v>
      </c>
      <c r="B19518" t="s">
        <v>59062</v>
      </c>
      <c r="C19518" t="s">
        <v>32464</v>
      </c>
      <c r="D19518" t="s">
        <v>32465</v>
      </c>
      <c r="E19518" t="s">
        <v>32466</v>
      </c>
      <c r="F19518" t="s">
        <v>59063</v>
      </c>
      <c r="G19518" s="2" t="str">
        <f>HYPERLINK("https://probpalata.gov.ru/files/ЮЛ540800575100012.jpeg","Скачать индивидуальный QR-код магазина")</f>
        <v>Скачать индивидуальный QR-код магазина</v>
      </c>
    </row>
    <row r="19519" spans="1:7" x14ac:dyDescent="0.25">
      <c r="A19519" t="s">
        <v>59038</v>
      </c>
      <c r="B19519" t="s">
        <v>59064</v>
      </c>
      <c r="C19519" t="s">
        <v>35262</v>
      </c>
      <c r="D19519" t="s">
        <v>35263</v>
      </c>
      <c r="E19519" t="s">
        <v>35264</v>
      </c>
      <c r="F19519" t="s">
        <v>59065</v>
      </c>
      <c r="G19519" s="2" t="str">
        <f>HYPERLINK("https://probpalata.gov.ru/files/ИП590601426900025.jpeg","Скачать индивидуальный QR-код магазина")</f>
        <v>Скачать индивидуальный QR-код магазина</v>
      </c>
    </row>
    <row r="19520" spans="1:7" x14ac:dyDescent="0.25">
      <c r="A19520" t="s">
        <v>59038</v>
      </c>
      <c r="B19520" t="s">
        <v>59066</v>
      </c>
      <c r="C19520" t="s">
        <v>35262</v>
      </c>
      <c r="D19520" t="s">
        <v>35263</v>
      </c>
      <c r="E19520" t="s">
        <v>35264</v>
      </c>
      <c r="F19520" t="s">
        <v>59067</v>
      </c>
      <c r="G19520" s="2" t="str">
        <f>HYPERLINK("https://probpalata.gov.ru/files/ИП590601426900028.jpeg","Скачать индивидуальный QR-код магазина")</f>
        <v>Скачать индивидуальный QR-код магазина</v>
      </c>
    </row>
    <row r="19521" spans="1:7" x14ac:dyDescent="0.25">
      <c r="A19521" t="s">
        <v>59038</v>
      </c>
      <c r="B19521" t="s">
        <v>59068</v>
      </c>
      <c r="C19521" t="s">
        <v>35262</v>
      </c>
      <c r="D19521" t="s">
        <v>35263</v>
      </c>
      <c r="E19521" t="s">
        <v>35264</v>
      </c>
      <c r="F19521" t="s">
        <v>59069</v>
      </c>
      <c r="G19521" s="2" t="str">
        <f>HYPERLINK("https://probpalata.gov.ru/files/ИП590601426900029.jpeg","Скачать индивидуальный QR-код магазина")</f>
        <v>Скачать индивидуальный QR-код магазина</v>
      </c>
    </row>
    <row r="19522" spans="1:7" x14ac:dyDescent="0.25">
      <c r="A19522" t="s">
        <v>59038</v>
      </c>
      <c r="B19522" t="s">
        <v>59070</v>
      </c>
      <c r="C19522" t="s">
        <v>713</v>
      </c>
      <c r="D19522" t="s">
        <v>714</v>
      </c>
      <c r="E19522" t="s">
        <v>715</v>
      </c>
      <c r="F19522" t="s">
        <v>59071</v>
      </c>
      <c r="G19522" s="2" t="str">
        <f>HYPERLINK("https://probpalata.gov.ru/files/ЮЛ770101216600089.jpeg","Скачать индивидуальный QR-код магазина")</f>
        <v>Скачать индивидуальный QR-код магазина</v>
      </c>
    </row>
    <row r="19523" spans="1:7" x14ac:dyDescent="0.25">
      <c r="A19523" t="s">
        <v>59038</v>
      </c>
      <c r="B19523" t="s">
        <v>59072</v>
      </c>
      <c r="C19523" t="s">
        <v>713</v>
      </c>
      <c r="D19523" t="s">
        <v>714</v>
      </c>
      <c r="E19523" t="s">
        <v>715</v>
      </c>
      <c r="F19523" t="s">
        <v>59073</v>
      </c>
      <c r="G19523" s="2" t="str">
        <f>HYPERLINK("https://probpalata.gov.ru/files/ЮЛ770101216600241.jpeg","Скачать индивидуальный QR-код магазина")</f>
        <v>Скачать индивидуальный QR-код магазина</v>
      </c>
    </row>
    <row r="19524" spans="1:7" x14ac:dyDescent="0.25">
      <c r="A19524" t="s">
        <v>59038</v>
      </c>
      <c r="B19524" t="s">
        <v>59074</v>
      </c>
      <c r="C19524" t="s">
        <v>713</v>
      </c>
      <c r="D19524" t="s">
        <v>714</v>
      </c>
      <c r="E19524" t="s">
        <v>715</v>
      </c>
      <c r="F19524" t="s">
        <v>59075</v>
      </c>
      <c r="G19524" s="2" t="str">
        <f>HYPERLINK("https://probpalata.gov.ru/files/ЮЛ770101216600304.jpeg","Скачать индивидуальный QR-код магазина")</f>
        <v>Скачать индивидуальный QR-код магазина</v>
      </c>
    </row>
    <row r="19525" spans="1:7" x14ac:dyDescent="0.25">
      <c r="A19525" t="s">
        <v>59038</v>
      </c>
      <c r="B19525" t="s">
        <v>59076</v>
      </c>
      <c r="C19525" t="s">
        <v>713</v>
      </c>
      <c r="D19525" t="s">
        <v>714</v>
      </c>
      <c r="E19525" t="s">
        <v>715</v>
      </c>
      <c r="F19525" t="s">
        <v>59077</v>
      </c>
      <c r="G19525" s="2" t="str">
        <f>HYPERLINK("https://probpalata.gov.ru/files/ЮЛ770101216600802.jpeg","Скачать индивидуальный QR-код магазина")</f>
        <v>Скачать индивидуальный QR-код магазина</v>
      </c>
    </row>
    <row r="19526" spans="1:7" x14ac:dyDescent="0.25">
      <c r="A19526" t="s">
        <v>59038</v>
      </c>
      <c r="B19526" t="s">
        <v>59078</v>
      </c>
      <c r="C19526" t="s">
        <v>748</v>
      </c>
      <c r="D19526" t="s">
        <v>749</v>
      </c>
      <c r="E19526" t="s">
        <v>750</v>
      </c>
      <c r="F19526" t="s">
        <v>59079</v>
      </c>
      <c r="G19526" s="2" t="str">
        <f>HYPERLINK("https://probpalata.gov.ru/files/ЮЛ770100193500428.jpeg","Скачать индивидуальный QR-код магазина")</f>
        <v>Скачать индивидуальный QR-код магазина</v>
      </c>
    </row>
    <row r="19527" spans="1:7" x14ac:dyDescent="0.25">
      <c r="A19527" t="s">
        <v>59038</v>
      </c>
      <c r="B19527" t="s">
        <v>59080</v>
      </c>
      <c r="C19527" t="s">
        <v>748</v>
      </c>
      <c r="D19527" t="s">
        <v>749</v>
      </c>
      <c r="E19527" t="s">
        <v>750</v>
      </c>
      <c r="F19527" t="s">
        <v>59081</v>
      </c>
      <c r="G19527" s="2" t="str">
        <f>HYPERLINK("https://probpalata.gov.ru/files/ЮЛ770100193500429.jpeg","Скачать индивидуальный QR-код магазина")</f>
        <v>Скачать индивидуальный QR-код магазина</v>
      </c>
    </row>
    <row r="19528" spans="1:7" x14ac:dyDescent="0.25">
      <c r="A19528" t="s">
        <v>59038</v>
      </c>
      <c r="B19528" t="s">
        <v>59082</v>
      </c>
      <c r="C19528" t="s">
        <v>748</v>
      </c>
      <c r="D19528" t="s">
        <v>749</v>
      </c>
      <c r="E19528" t="s">
        <v>750</v>
      </c>
      <c r="F19528" t="s">
        <v>59083</v>
      </c>
      <c r="G19528" s="2" t="str">
        <f>HYPERLINK("https://probpalata.gov.ru/files/ЮЛ770100193500430.jpeg","Скачать индивидуальный QR-код магазина")</f>
        <v>Скачать индивидуальный QR-код магазина</v>
      </c>
    </row>
    <row r="19529" spans="1:7" x14ac:dyDescent="0.25">
      <c r="A19529" t="s">
        <v>59038</v>
      </c>
      <c r="B19529" t="s">
        <v>59084</v>
      </c>
      <c r="C19529" t="s">
        <v>748</v>
      </c>
      <c r="D19529" t="s">
        <v>749</v>
      </c>
      <c r="E19529" t="s">
        <v>750</v>
      </c>
      <c r="F19529" t="s">
        <v>59085</v>
      </c>
      <c r="G19529" s="2" t="str">
        <f>HYPERLINK("https://probpalata.gov.ru/files/ЮЛ770100193500464.jpeg","Скачать индивидуальный QR-код магазина")</f>
        <v>Скачать индивидуальный QR-код магазина</v>
      </c>
    </row>
    <row r="19530" spans="1:7" x14ac:dyDescent="0.25">
      <c r="A19530" t="s">
        <v>59038</v>
      </c>
      <c r="B19530" t="s">
        <v>59086</v>
      </c>
      <c r="C19530" t="s">
        <v>748</v>
      </c>
      <c r="D19530" t="s">
        <v>749</v>
      </c>
      <c r="E19530" t="s">
        <v>750</v>
      </c>
      <c r="F19530" t="s">
        <v>59087</v>
      </c>
      <c r="G19530" s="2" t="str">
        <f>HYPERLINK("https://probpalata.gov.ru/files/ЮЛ770100193500715.jpeg","Скачать индивидуальный QR-код магазина")</f>
        <v>Скачать индивидуальный QR-код магазина</v>
      </c>
    </row>
    <row r="19531" spans="1:7" x14ac:dyDescent="0.25">
      <c r="A19531" t="s">
        <v>59038</v>
      </c>
      <c r="B19531" t="s">
        <v>59088</v>
      </c>
      <c r="C19531" t="s">
        <v>748</v>
      </c>
      <c r="D19531" t="s">
        <v>749</v>
      </c>
      <c r="E19531" t="s">
        <v>750</v>
      </c>
      <c r="F19531" t="s">
        <v>59089</v>
      </c>
      <c r="G19531" s="2" t="str">
        <f>HYPERLINK("https://probpalata.gov.ru/files/ЮЛ770100193500859.jpeg","Скачать индивидуальный QR-код магазина")</f>
        <v>Скачать индивидуальный QR-код магазина</v>
      </c>
    </row>
    <row r="19532" spans="1:7" x14ac:dyDescent="0.25">
      <c r="A19532" t="s">
        <v>59038</v>
      </c>
      <c r="B19532" t="s">
        <v>59090</v>
      </c>
      <c r="C19532" t="s">
        <v>773</v>
      </c>
      <c r="D19532" t="s">
        <v>774</v>
      </c>
      <c r="E19532" t="s">
        <v>775</v>
      </c>
      <c r="F19532" t="s">
        <v>59091</v>
      </c>
      <c r="G19532" s="2" t="str">
        <f>HYPERLINK("https://probpalata.gov.ru/files/ЮЛ780300131300408.jpeg","Скачать индивидуальный QR-код магазина")</f>
        <v>Скачать индивидуальный QR-код магазина</v>
      </c>
    </row>
    <row r="19533" spans="1:7" x14ac:dyDescent="0.25">
      <c r="A19533" t="s">
        <v>59038</v>
      </c>
      <c r="B19533" t="s">
        <v>59092</v>
      </c>
      <c r="C19533" t="s">
        <v>773</v>
      </c>
      <c r="D19533" t="s">
        <v>774</v>
      </c>
      <c r="E19533" t="s">
        <v>775</v>
      </c>
      <c r="F19533" t="s">
        <v>59093</v>
      </c>
      <c r="G19533" s="2" t="str">
        <f>HYPERLINK("https://probpalata.gov.ru/files/ЮЛ780300131300409.jpeg","Скачать индивидуальный QR-код магазина")</f>
        <v>Скачать индивидуальный QR-код магазина</v>
      </c>
    </row>
    <row r="19534" spans="1:7" x14ac:dyDescent="0.25">
      <c r="A19534" t="s">
        <v>59038</v>
      </c>
      <c r="B19534" t="s">
        <v>59094</v>
      </c>
      <c r="C19534" t="s">
        <v>773</v>
      </c>
      <c r="D19534" t="s">
        <v>774</v>
      </c>
      <c r="E19534" t="s">
        <v>775</v>
      </c>
      <c r="F19534" t="s">
        <v>59095</v>
      </c>
      <c r="G19534" s="2" t="str">
        <f>HYPERLINK("https://probpalata.gov.ru/files/ЮЛ780300131300480.jpeg","Скачать индивидуальный QR-код магазина")</f>
        <v>Скачать индивидуальный QR-код магазина</v>
      </c>
    </row>
    <row r="19535" spans="1:7" x14ac:dyDescent="0.25">
      <c r="A19535" t="s">
        <v>59038</v>
      </c>
      <c r="B19535" t="s">
        <v>59096</v>
      </c>
      <c r="C19535" t="s">
        <v>773</v>
      </c>
      <c r="D19535" t="s">
        <v>774</v>
      </c>
      <c r="E19535" t="s">
        <v>775</v>
      </c>
      <c r="F19535" t="s">
        <v>59097</v>
      </c>
      <c r="G19535" s="2" t="str">
        <f>HYPERLINK("https://probpalata.gov.ru/files/ЮЛ780300131300563.jpeg","Скачать индивидуальный QR-код магазина")</f>
        <v>Скачать индивидуальный QR-код магазина</v>
      </c>
    </row>
    <row r="19536" spans="1:7" x14ac:dyDescent="0.25">
      <c r="A19536" t="s">
        <v>59038</v>
      </c>
      <c r="B19536" t="s">
        <v>59098</v>
      </c>
      <c r="C19536" t="s">
        <v>773</v>
      </c>
      <c r="D19536" t="s">
        <v>774</v>
      </c>
      <c r="E19536" t="s">
        <v>775</v>
      </c>
      <c r="F19536" t="s">
        <v>59099</v>
      </c>
      <c r="G19536" s="2" t="str">
        <f>HYPERLINK("https://probpalata.gov.ru/files/ЮЛ780300131300581.jpeg","Скачать индивидуальный QR-код магазина")</f>
        <v>Скачать индивидуальный QR-код магазина</v>
      </c>
    </row>
    <row r="19537" spans="1:7" x14ac:dyDescent="0.25">
      <c r="A19537" t="s">
        <v>59038</v>
      </c>
      <c r="B19537" t="s">
        <v>59048</v>
      </c>
      <c r="C19537" t="s">
        <v>773</v>
      </c>
      <c r="D19537" t="s">
        <v>774</v>
      </c>
      <c r="E19537" t="s">
        <v>775</v>
      </c>
      <c r="F19537" t="s">
        <v>59100</v>
      </c>
      <c r="G19537" s="2" t="str">
        <f>HYPERLINK("https://probpalata.gov.ru/files/ЮЛ780300131300659.jpeg","Скачать индивидуальный QR-код магазина")</f>
        <v>Скачать индивидуальный QR-код магазина</v>
      </c>
    </row>
    <row r="19538" spans="1:7" x14ac:dyDescent="0.25">
      <c r="A19538" t="s">
        <v>59038</v>
      </c>
      <c r="B19538" t="s">
        <v>59101</v>
      </c>
      <c r="C19538" t="s">
        <v>787</v>
      </c>
      <c r="D19538" t="s">
        <v>788</v>
      </c>
      <c r="E19538" t="s">
        <v>789</v>
      </c>
      <c r="F19538" t="s">
        <v>59102</v>
      </c>
      <c r="G19538" s="2" t="str">
        <f>HYPERLINK("https://probpalata.gov.ru/files/ЮЛ780300328000179.jpeg","Скачать индивидуальный QR-код магазина")</f>
        <v>Скачать индивидуальный QR-код магазина</v>
      </c>
    </row>
    <row r="19539" spans="1:7" x14ac:dyDescent="0.25">
      <c r="A19539" t="s">
        <v>59038</v>
      </c>
      <c r="B19539" t="s">
        <v>59103</v>
      </c>
      <c r="C19539" t="s">
        <v>787</v>
      </c>
      <c r="D19539" t="s">
        <v>788</v>
      </c>
      <c r="E19539" t="s">
        <v>789</v>
      </c>
      <c r="F19539" t="s">
        <v>59104</v>
      </c>
      <c r="G19539" s="2" t="str">
        <f>HYPERLINK("https://probpalata.gov.ru/files/ЮЛ780300328000195.jpeg","Скачать индивидуальный QR-код магазина")</f>
        <v>Скачать индивидуальный QR-код магазина</v>
      </c>
    </row>
    <row r="19540" spans="1:7" x14ac:dyDescent="0.25">
      <c r="A19540" t="s">
        <v>59038</v>
      </c>
      <c r="B19540" t="s">
        <v>59105</v>
      </c>
      <c r="C19540" t="s">
        <v>787</v>
      </c>
      <c r="D19540" t="s">
        <v>788</v>
      </c>
      <c r="E19540" t="s">
        <v>789</v>
      </c>
      <c r="F19540" t="s">
        <v>59106</v>
      </c>
      <c r="G19540" s="2" t="str">
        <f>HYPERLINK("https://probpalata.gov.ru/files/ЮЛ780300328000202.jpeg","Скачать индивидуальный QR-код магазина")</f>
        <v>Скачать индивидуальный QR-код магазина</v>
      </c>
    </row>
    <row r="19541" spans="1:7" x14ac:dyDescent="0.25">
      <c r="A19541" t="s">
        <v>59038</v>
      </c>
      <c r="B19541" t="s">
        <v>59048</v>
      </c>
      <c r="C19541" t="s">
        <v>4077</v>
      </c>
      <c r="D19541" t="s">
        <v>4078</v>
      </c>
      <c r="E19541" t="s">
        <v>4079</v>
      </c>
      <c r="F19541" t="s">
        <v>59107</v>
      </c>
      <c r="G19541" s="2" t="str">
        <f>HYPERLINK("https://probpalata.gov.ru/files/ЮЛ780300331800036.jpeg","Скачать индивидуальный QR-код магазина")</f>
        <v>Скачать индивидуальный QR-код магазина</v>
      </c>
    </row>
    <row r="19542" spans="1:7" x14ac:dyDescent="0.25">
      <c r="A19542" t="s">
        <v>59038</v>
      </c>
      <c r="B19542" t="s">
        <v>59108</v>
      </c>
      <c r="C19542" t="s">
        <v>4077</v>
      </c>
      <c r="D19542" t="s">
        <v>4078</v>
      </c>
      <c r="E19542" t="s">
        <v>4079</v>
      </c>
      <c r="F19542" t="s">
        <v>59109</v>
      </c>
      <c r="G19542" s="2" t="str">
        <f>HYPERLINK("https://probpalata.gov.ru/files/ЮЛ780300331800041.jpeg","Скачать индивидуальный QR-код магазина")</f>
        <v>Скачать индивидуальный QR-код магазина</v>
      </c>
    </row>
    <row r="19543" spans="1:7" x14ac:dyDescent="0.25">
      <c r="A19543" t="s">
        <v>59038</v>
      </c>
      <c r="B19543" t="s">
        <v>59110</v>
      </c>
      <c r="C19543" t="s">
        <v>4077</v>
      </c>
      <c r="D19543" t="s">
        <v>4078</v>
      </c>
      <c r="E19543" t="s">
        <v>4079</v>
      </c>
      <c r="F19543" t="s">
        <v>59111</v>
      </c>
      <c r="G19543" s="2" t="str">
        <f>HYPERLINK("https://probpalata.gov.ru/files/ЮЛ780300331800042.jpeg","Скачать индивидуальный QR-код магазина")</f>
        <v>Скачать индивидуальный QR-код магазина</v>
      </c>
    </row>
    <row r="19544" spans="1:7" x14ac:dyDescent="0.25">
      <c r="A19544" t="s">
        <v>59038</v>
      </c>
      <c r="B19544" t="s">
        <v>59112</v>
      </c>
      <c r="C19544" t="s">
        <v>798</v>
      </c>
      <c r="D19544" t="s">
        <v>799</v>
      </c>
      <c r="E19544" t="s">
        <v>800</v>
      </c>
      <c r="F19544" t="s">
        <v>59113</v>
      </c>
      <c r="G19544" s="2" t="str">
        <f>HYPERLINK("https://probpalata.gov.ru/files/ЮЛ780300308200168.jpeg","Скачать индивидуальный QR-код магазина")</f>
        <v>Скачать индивидуальный QR-код магазина</v>
      </c>
    </row>
    <row r="19545" spans="1:7" x14ac:dyDescent="0.25">
      <c r="A19545" t="s">
        <v>59038</v>
      </c>
      <c r="B19545" t="s">
        <v>59092</v>
      </c>
      <c r="C19545" t="s">
        <v>798</v>
      </c>
      <c r="D19545" t="s">
        <v>799</v>
      </c>
      <c r="E19545" t="s">
        <v>800</v>
      </c>
      <c r="F19545" t="s">
        <v>59114</v>
      </c>
      <c r="G19545" s="2" t="str">
        <f>HYPERLINK("https://probpalata.gov.ru/files/ЮЛ780300308200169.jpeg","Скачать индивидуальный QR-код магазина")</f>
        <v>Скачать индивидуальный QR-код магазина</v>
      </c>
    </row>
    <row r="19546" spans="1:7" x14ac:dyDescent="0.25">
      <c r="A19546" t="s">
        <v>59038</v>
      </c>
      <c r="B19546" t="s">
        <v>59115</v>
      </c>
      <c r="C19546" t="s">
        <v>798</v>
      </c>
      <c r="D19546" t="s">
        <v>799</v>
      </c>
      <c r="E19546" t="s">
        <v>800</v>
      </c>
      <c r="F19546" t="s">
        <v>59116</v>
      </c>
      <c r="G19546" s="2" t="str">
        <f>HYPERLINK("https://probpalata.gov.ru/files/ЮЛ780300308200295.jpeg","Скачать индивидуальный QR-код магазина")</f>
        <v>Скачать индивидуальный QR-код магазина</v>
      </c>
    </row>
    <row r="19547" spans="1:7" x14ac:dyDescent="0.25">
      <c r="A19547" t="s">
        <v>59038</v>
      </c>
      <c r="B19547" t="s">
        <v>59048</v>
      </c>
      <c r="C19547" t="s">
        <v>798</v>
      </c>
      <c r="D19547" t="s">
        <v>799</v>
      </c>
      <c r="E19547" t="s">
        <v>800</v>
      </c>
      <c r="F19547" t="s">
        <v>59117</v>
      </c>
      <c r="G19547" s="2" t="str">
        <f>HYPERLINK("https://probpalata.gov.ru/files/ЮЛ780300308200482.jpeg","Скачать индивидуальный QR-код магазина")</f>
        <v>Скачать индивидуальный QR-код магазина</v>
      </c>
    </row>
    <row r="19548" spans="1:7" x14ac:dyDescent="0.25">
      <c r="A19548" t="s">
        <v>59038</v>
      </c>
      <c r="B19548" t="s">
        <v>59118</v>
      </c>
      <c r="C19548" t="s">
        <v>798</v>
      </c>
      <c r="D19548" t="s">
        <v>799</v>
      </c>
      <c r="E19548" t="s">
        <v>800</v>
      </c>
      <c r="F19548" t="s">
        <v>59119</v>
      </c>
      <c r="G19548" s="2" t="str">
        <f>HYPERLINK("https://probpalata.gov.ru/files/ЮЛ780300308200486.jpeg","Скачать индивидуальный QR-код магазина")</f>
        <v>Скачать индивидуальный QR-код магазина</v>
      </c>
    </row>
    <row r="19549" spans="1:7" x14ac:dyDescent="0.25">
      <c r="A19549" t="s">
        <v>59038</v>
      </c>
      <c r="B19549" t="s">
        <v>59056</v>
      </c>
      <c r="C19549" t="s">
        <v>798</v>
      </c>
      <c r="D19549" t="s">
        <v>799</v>
      </c>
      <c r="E19549" t="s">
        <v>800</v>
      </c>
      <c r="F19549" t="s">
        <v>59120</v>
      </c>
      <c r="G19549" s="2" t="str">
        <f>HYPERLINK("https://probpalata.gov.ru/files/ЮЛ780300308200607.jpeg","Скачать индивидуальный QR-код магазина")</f>
        <v>Скачать индивидуальный QR-код магазина</v>
      </c>
    </row>
    <row r="19550" spans="1:7" x14ac:dyDescent="0.25">
      <c r="A19550" t="s">
        <v>59038</v>
      </c>
      <c r="B19550" t="s">
        <v>59121</v>
      </c>
      <c r="C19550" t="s">
        <v>798</v>
      </c>
      <c r="D19550" t="s">
        <v>799</v>
      </c>
      <c r="E19550" t="s">
        <v>800</v>
      </c>
      <c r="F19550" t="s">
        <v>59122</v>
      </c>
      <c r="G19550" s="2" t="str">
        <f>HYPERLINK("https://probpalata.gov.ru/files/ЮЛ780300308200758.jpeg","Скачать индивидуальный QR-код магазина")</f>
        <v>Скачать индивидуальный QR-код магазина</v>
      </c>
    </row>
    <row r="19551" spans="1:7" x14ac:dyDescent="0.25">
      <c r="A19551" t="s">
        <v>59038</v>
      </c>
      <c r="B19551" t="s">
        <v>59123</v>
      </c>
      <c r="C19551" t="s">
        <v>798</v>
      </c>
      <c r="D19551" t="s">
        <v>799</v>
      </c>
      <c r="E19551" t="s">
        <v>800</v>
      </c>
      <c r="F19551" t="s">
        <v>59124</v>
      </c>
      <c r="G19551" s="2" t="str">
        <f>HYPERLINK("https://probpalata.gov.ru/files/ЮЛ780300308200760.jpeg","Скачать индивидуальный QR-код магазина")</f>
        <v>Скачать индивидуальный QR-код магазина</v>
      </c>
    </row>
    <row r="19552" spans="1:7" x14ac:dyDescent="0.25">
      <c r="A19552" t="s">
        <v>59038</v>
      </c>
      <c r="B19552" t="s">
        <v>59125</v>
      </c>
      <c r="C19552" t="s">
        <v>798</v>
      </c>
      <c r="D19552" t="s">
        <v>799</v>
      </c>
      <c r="E19552" t="s">
        <v>800</v>
      </c>
      <c r="F19552" t="s">
        <v>59126</v>
      </c>
      <c r="G19552" s="2" t="str">
        <f>HYPERLINK("https://probpalata.gov.ru/files/ЮЛ780300308200980.jpeg","Скачать индивидуальный QR-код магазина")</f>
        <v>Скачать индивидуальный QR-код магазина</v>
      </c>
    </row>
    <row r="19553" spans="1:7" x14ac:dyDescent="0.25">
      <c r="A19553" t="s">
        <v>59038</v>
      </c>
      <c r="B19553" t="s">
        <v>59127</v>
      </c>
      <c r="C19553" t="s">
        <v>59128</v>
      </c>
      <c r="D19553" t="s">
        <v>59129</v>
      </c>
      <c r="E19553" t="s">
        <v>59130</v>
      </c>
      <c r="F19553" t="s">
        <v>59131</v>
      </c>
      <c r="G19553" s="2" t="str">
        <f>HYPERLINK("https://probpalata.gov.ru/files/ИП890700048600000.jpeg","Скачать индивидуальный QR-код магазина")</f>
        <v>Скачать индивидуальный QR-код магазина</v>
      </c>
    </row>
    <row r="19554" spans="1:7" x14ac:dyDescent="0.25">
      <c r="A19554" t="s">
        <v>59038</v>
      </c>
      <c r="B19554" t="s">
        <v>59132</v>
      </c>
      <c r="C19554" t="s">
        <v>59133</v>
      </c>
      <c r="D19554" t="s">
        <v>59134</v>
      </c>
      <c r="E19554" t="s">
        <v>59135</v>
      </c>
      <c r="F19554" t="s">
        <v>59136</v>
      </c>
      <c r="G19554" s="2" t="str">
        <f>HYPERLINK("https://probpalata.gov.ru/files/ИП890703237900000.jpeg","Скачать индивидуальный QR-код магазина")</f>
        <v>Скачать индивидуальный QR-код магазина</v>
      </c>
    </row>
    <row r="19555" spans="1:7" x14ac:dyDescent="0.25">
      <c r="A19555" t="s">
        <v>59038</v>
      </c>
      <c r="B19555" t="s">
        <v>59137</v>
      </c>
      <c r="C19555" t="s">
        <v>59138</v>
      </c>
      <c r="D19555" t="s">
        <v>59139</v>
      </c>
      <c r="E19555" t="s">
        <v>59140</v>
      </c>
      <c r="F19555" t="s">
        <v>59141</v>
      </c>
      <c r="G19555" s="2" t="str">
        <f>HYPERLINK("https://probpalata.gov.ru/files/ИП890701068100000.jpeg","Скачать индивидуальный QR-код магазина")</f>
        <v>Скачать индивидуальный QR-код магазина</v>
      </c>
    </row>
    <row r="19556" spans="1:7" x14ac:dyDescent="0.25">
      <c r="A19556" t="s">
        <v>59038</v>
      </c>
      <c r="B19556" t="s">
        <v>59142</v>
      </c>
      <c r="C19556" t="s">
        <v>59143</v>
      </c>
      <c r="D19556" t="s">
        <v>59144</v>
      </c>
      <c r="E19556" t="s">
        <v>59145</v>
      </c>
      <c r="F19556" t="s">
        <v>59146</v>
      </c>
      <c r="G19556" s="2" t="str">
        <f>HYPERLINK("https://probpalata.gov.ru/files/ИП890701606400000.jpeg","Скачать индивидуальный QR-код магазина")</f>
        <v>Скачать индивидуальный QR-код магазина</v>
      </c>
    </row>
    <row r="19557" spans="1:7" x14ac:dyDescent="0.25">
      <c r="A19557" t="s">
        <v>59038</v>
      </c>
      <c r="B19557" t="s">
        <v>59147</v>
      </c>
      <c r="C19557" t="s">
        <v>59148</v>
      </c>
      <c r="D19557" t="s">
        <v>59149</v>
      </c>
      <c r="E19557" t="s">
        <v>59150</v>
      </c>
      <c r="F19557" t="s">
        <v>59151</v>
      </c>
      <c r="G19557" s="2" t="str">
        <f>HYPERLINK("https://probpalata.gov.ru/files/ИП890701786000000.jpeg","Скачать индивидуальный QR-код магазина")</f>
        <v>Скачать индивидуальный QR-код магазина</v>
      </c>
    </row>
    <row r="19558" spans="1:7" x14ac:dyDescent="0.25">
      <c r="A19558" t="s">
        <v>59038</v>
      </c>
      <c r="B19558" t="s">
        <v>59152</v>
      </c>
      <c r="C19558" t="s">
        <v>57349</v>
      </c>
      <c r="D19558" t="s">
        <v>57350</v>
      </c>
      <c r="E19558" t="s">
        <v>57351</v>
      </c>
      <c r="F19558" t="s">
        <v>59153</v>
      </c>
      <c r="G19558" s="2" t="str">
        <f>HYPERLINK("https://probpalata.gov.ru/files/ИП890700267400000.jpeg","Скачать индивидуальный QR-код магазина")</f>
        <v>Скачать индивидуальный QR-код магазина</v>
      </c>
    </row>
    <row r="19559" spans="1:7" x14ac:dyDescent="0.25">
      <c r="A19559" t="s">
        <v>59038</v>
      </c>
      <c r="B19559" t="s">
        <v>59154</v>
      </c>
      <c r="C19559" t="s">
        <v>57349</v>
      </c>
      <c r="D19559" t="s">
        <v>57350</v>
      </c>
      <c r="E19559" t="s">
        <v>57351</v>
      </c>
      <c r="F19559" t="s">
        <v>59155</v>
      </c>
      <c r="G19559" s="2" t="str">
        <f>HYPERLINK("https://probpalata.gov.ru/files/ИП890700267400001.jpeg","Скачать индивидуальный QR-код магазина")</f>
        <v>Скачать индивидуальный QR-код магазина</v>
      </c>
    </row>
    <row r="19560" spans="1:7" x14ac:dyDescent="0.25">
      <c r="A19560" t="s">
        <v>59038</v>
      </c>
      <c r="B19560" t="s">
        <v>59156</v>
      </c>
      <c r="C19560" t="s">
        <v>57349</v>
      </c>
      <c r="D19560" t="s">
        <v>57350</v>
      </c>
      <c r="E19560" t="s">
        <v>57351</v>
      </c>
      <c r="F19560" t="s">
        <v>59157</v>
      </c>
      <c r="G19560" s="2" t="str">
        <f>HYPERLINK("https://probpalata.gov.ru/files/ИП890700267400003.jpeg","Скачать индивидуальный QR-код магазина")</f>
        <v>Скачать индивидуальный QR-код магазина</v>
      </c>
    </row>
    <row r="19561" spans="1:7" x14ac:dyDescent="0.25">
      <c r="A19561" t="s">
        <v>59038</v>
      </c>
      <c r="B19561" t="s">
        <v>59158</v>
      </c>
      <c r="C19561" t="s">
        <v>59159</v>
      </c>
      <c r="D19561" t="s">
        <v>59160</v>
      </c>
      <c r="E19561" t="s">
        <v>59161</v>
      </c>
      <c r="F19561" t="s">
        <v>59162</v>
      </c>
      <c r="G19561" s="2" t="str">
        <f>HYPERLINK("https://probpalata.gov.ru/files/ИП890703667400000.jpeg","Скачать индивидуальный QR-код магазина")</f>
        <v>Скачать индивидуальный QR-код магазина</v>
      </c>
    </row>
    <row r="19562" spans="1:7" x14ac:dyDescent="0.25">
      <c r="A19562" t="s">
        <v>59038</v>
      </c>
      <c r="B19562" t="s">
        <v>59163</v>
      </c>
      <c r="C19562" t="s">
        <v>59164</v>
      </c>
      <c r="D19562" t="s">
        <v>59165</v>
      </c>
      <c r="E19562" t="s">
        <v>59166</v>
      </c>
      <c r="F19562" t="s">
        <v>59167</v>
      </c>
      <c r="G19562" s="2" t="str">
        <f>HYPERLINK("https://probpalata.gov.ru/files/ИП890701200400000.jpeg","Скачать индивидуальный QR-код магазина")</f>
        <v>Скачать индивидуальный QR-код магазина</v>
      </c>
    </row>
    <row r="19563" spans="1:7" x14ac:dyDescent="0.25">
      <c r="A19563" t="s">
        <v>59038</v>
      </c>
      <c r="B19563" t="s">
        <v>59168</v>
      </c>
      <c r="C19563" t="s">
        <v>59169</v>
      </c>
      <c r="D19563" t="s">
        <v>59170</v>
      </c>
      <c r="E19563" t="s">
        <v>59171</v>
      </c>
      <c r="F19563" t="s">
        <v>59172</v>
      </c>
      <c r="G19563" s="2" t="str">
        <f>HYPERLINK("https://probpalata.gov.ru/files/ИП890700313500000.jpeg","Скачать индивидуальный QR-код магазина")</f>
        <v>Скачать индивидуальный QR-код магазина</v>
      </c>
    </row>
    <row r="19564" spans="1:7" x14ac:dyDescent="0.25">
      <c r="A19564" t="s">
        <v>59038</v>
      </c>
      <c r="B19564" t="s">
        <v>59173</v>
      </c>
      <c r="C19564" t="s">
        <v>59174</v>
      </c>
      <c r="D19564" t="s">
        <v>59175</v>
      </c>
      <c r="E19564" t="s">
        <v>59176</v>
      </c>
      <c r="F19564" t="s">
        <v>59177</v>
      </c>
      <c r="G19564" s="2" t="str">
        <f>HYPERLINK("https://probpalata.gov.ru/files/ИП890701101300000.jpeg","Скачать индивидуальный QR-код магазина")</f>
        <v>Скачать индивидуальный QR-код магазина</v>
      </c>
    </row>
    <row r="19565" spans="1:7" x14ac:dyDescent="0.25">
      <c r="A19565" t="s">
        <v>59038</v>
      </c>
      <c r="B19565" t="s">
        <v>59178</v>
      </c>
      <c r="C19565" t="s">
        <v>57260</v>
      </c>
      <c r="D19565" t="s">
        <v>59179</v>
      </c>
      <c r="E19565" t="s">
        <v>59180</v>
      </c>
      <c r="F19565" t="s">
        <v>59181</v>
      </c>
      <c r="G19565" s="2" t="str">
        <f>HYPERLINK("https://probpalata.gov.ru/files/ЮЛ890701718100000.jpeg","Скачать индивидуальный QR-код магазина")</f>
        <v>Скачать индивидуальный QR-код магазина</v>
      </c>
    </row>
    <row r="19566" spans="1:7" x14ac:dyDescent="0.25">
      <c r="A19566" t="s">
        <v>59038</v>
      </c>
      <c r="B19566" t="s">
        <v>59182</v>
      </c>
      <c r="C19566" t="s">
        <v>59183</v>
      </c>
      <c r="D19566" t="s">
        <v>59184</v>
      </c>
      <c r="E19566" t="s">
        <v>59185</v>
      </c>
      <c r="F19566" t="s">
        <v>59186</v>
      </c>
      <c r="G19566" s="2" t="str">
        <f>HYPERLINK("https://probpalata.gov.ru/files/ИП890701702700000.jpeg","Скачать индивидуальный QR-код магазина")</f>
        <v>Скачать индивидуальный QR-код магазина</v>
      </c>
    </row>
    <row r="19567" spans="1:7" x14ac:dyDescent="0.25">
      <c r="A19567" t="s">
        <v>59038</v>
      </c>
      <c r="B19567" t="s">
        <v>59187</v>
      </c>
      <c r="C19567" t="s">
        <v>59188</v>
      </c>
      <c r="D19567" t="s">
        <v>59189</v>
      </c>
      <c r="E19567" t="s">
        <v>59190</v>
      </c>
      <c r="F19567" t="s">
        <v>59191</v>
      </c>
      <c r="G19567" s="2" t="str">
        <f>HYPERLINK("https://probpalata.gov.ru/files/ИП890700634800000.jpeg","Скачать индивидуальный QR-код магазина")</f>
        <v>Скачать индивидуальный QR-код магазина</v>
      </c>
    </row>
    <row r="19568" spans="1:7" x14ac:dyDescent="0.25">
      <c r="A19568" t="s">
        <v>59038</v>
      </c>
      <c r="B19568" t="s">
        <v>59192</v>
      </c>
      <c r="C19568" t="s">
        <v>59193</v>
      </c>
      <c r="D19568" t="s">
        <v>59194</v>
      </c>
      <c r="E19568" t="s">
        <v>59195</v>
      </c>
      <c r="F19568" t="s">
        <v>59196</v>
      </c>
      <c r="G19568" s="2" t="str">
        <f>HYPERLINK("https://probpalata.gov.ru/files/ИП720703275400000.jpeg","Скачать индивидуальный QR-код магазина")</f>
        <v>Скачать индивидуальный QR-код магазина</v>
      </c>
    </row>
    <row r="19569" spans="1:7" x14ac:dyDescent="0.25">
      <c r="A19569" t="s">
        <v>59038</v>
      </c>
      <c r="B19569" t="s">
        <v>59197</v>
      </c>
      <c r="C19569" t="s">
        <v>55868</v>
      </c>
      <c r="D19569" t="s">
        <v>55869</v>
      </c>
      <c r="E19569" t="s">
        <v>55870</v>
      </c>
      <c r="F19569" t="s">
        <v>59198</v>
      </c>
      <c r="G19569" s="2" t="str">
        <f>HYPERLINK("https://probpalata.gov.ru/files/ИП890701607700001.jpeg","Скачать индивидуальный QR-код магазина")</f>
        <v>Скачать индивидуальный QR-код магазина</v>
      </c>
    </row>
    <row r="19570" spans="1:7" x14ac:dyDescent="0.25">
      <c r="A19570" t="s">
        <v>59038</v>
      </c>
      <c r="B19570" t="s">
        <v>59199</v>
      </c>
      <c r="C19570" t="s">
        <v>1501</v>
      </c>
      <c r="D19570" t="s">
        <v>1502</v>
      </c>
      <c r="E19570" t="s">
        <v>1503</v>
      </c>
      <c r="F19570" t="s">
        <v>59200</v>
      </c>
      <c r="G19570" s="2" t="str">
        <f>HYPERLINK("https://probpalata.gov.ru/files/ЮЛ770100439200237.jpeg","Скачать индивидуальный QR-код магазина")</f>
        <v>Скачать индивидуальный QR-код магазина</v>
      </c>
    </row>
    <row r="19571" spans="1:7" x14ac:dyDescent="0.25">
      <c r="A19571" t="s">
        <v>59201</v>
      </c>
      <c r="B19571" t="s">
        <v>59202</v>
      </c>
      <c r="C19571" t="s">
        <v>59203</v>
      </c>
      <c r="D19571" t="s">
        <v>59204</v>
      </c>
      <c r="E19571" t="s">
        <v>59205</v>
      </c>
      <c r="F19571" t="s">
        <v>59206</v>
      </c>
      <c r="G19571" s="2" t="str">
        <f>HYPERLINK("https://probpalata.gov.ru/files/ИП760203577400000.jpeg","Скачать индивидуальный QR-код магазина")</f>
        <v>Скачать индивидуальный QR-код магазина</v>
      </c>
    </row>
    <row r="19572" spans="1:7" x14ac:dyDescent="0.25">
      <c r="A19572" t="s">
        <v>59201</v>
      </c>
      <c r="B19572" t="s">
        <v>59207</v>
      </c>
      <c r="C19572" t="s">
        <v>1268</v>
      </c>
      <c r="D19572" t="s">
        <v>1269</v>
      </c>
      <c r="E19572" t="s">
        <v>1270</v>
      </c>
      <c r="F19572" t="s">
        <v>59208</v>
      </c>
      <c r="G19572" s="2" t="str">
        <f>HYPERLINK("https://probpalata.gov.ru/files/ЮЛ290300549300006.jpeg","Скачать индивидуальный QR-код магазина")</f>
        <v>Скачать индивидуальный QR-код магазина</v>
      </c>
    </row>
    <row r="19573" spans="1:7" x14ac:dyDescent="0.25">
      <c r="A19573" t="s">
        <v>59201</v>
      </c>
      <c r="B19573" t="s">
        <v>59209</v>
      </c>
      <c r="C19573" t="s">
        <v>59210</v>
      </c>
      <c r="D19573" t="s">
        <v>59211</v>
      </c>
      <c r="E19573" t="s">
        <v>59212</v>
      </c>
      <c r="F19573" t="s">
        <v>59213</v>
      </c>
      <c r="G19573" s="2" t="str">
        <f>HYPERLINK("https://probpalata.gov.ru/files/ИП330103189100000.jpeg","Скачать индивидуальный QR-код магазина")</f>
        <v>Скачать индивидуальный QR-код магазина</v>
      </c>
    </row>
    <row r="19574" spans="1:7" x14ac:dyDescent="0.25">
      <c r="A19574" t="s">
        <v>59201</v>
      </c>
      <c r="B19574" t="s">
        <v>59214</v>
      </c>
      <c r="C19574" t="s">
        <v>59215</v>
      </c>
      <c r="D19574" t="s">
        <v>59216</v>
      </c>
      <c r="E19574" t="s">
        <v>59217</v>
      </c>
      <c r="F19574" t="s">
        <v>59218</v>
      </c>
      <c r="G19574" s="2" t="str">
        <f>HYPERLINK("https://probpalata.gov.ru/files/ИП760203082500000.jpeg","Скачать индивидуальный QR-код магазина")</f>
        <v>Скачать индивидуальный QR-код магазина</v>
      </c>
    </row>
    <row r="19575" spans="1:7" x14ac:dyDescent="0.25">
      <c r="A19575" t="s">
        <v>59201</v>
      </c>
      <c r="B19575" t="s">
        <v>59219</v>
      </c>
      <c r="C19575" t="s">
        <v>59220</v>
      </c>
      <c r="D19575" t="s">
        <v>59221</v>
      </c>
      <c r="E19575" t="s">
        <v>59222</v>
      </c>
      <c r="F19575" t="s">
        <v>59223</v>
      </c>
      <c r="G19575" s="2" t="str">
        <f>HYPERLINK("https://probpalata.gov.ru/files/ИП760200735100000.jpeg","Скачать индивидуальный QR-код магазина")</f>
        <v>Скачать индивидуальный QR-код магазина</v>
      </c>
    </row>
    <row r="19576" spans="1:7" x14ac:dyDescent="0.25">
      <c r="A19576" t="s">
        <v>59201</v>
      </c>
      <c r="B19576" t="s">
        <v>59224</v>
      </c>
      <c r="C19576" t="s">
        <v>59220</v>
      </c>
      <c r="D19576" t="s">
        <v>59221</v>
      </c>
      <c r="E19576" t="s">
        <v>59222</v>
      </c>
      <c r="F19576" t="s">
        <v>59225</v>
      </c>
      <c r="G19576" s="2" t="str">
        <f>HYPERLINK("https://probpalata.gov.ru/files/ИП760200735100002.jpeg","Скачать индивидуальный QR-код магазина")</f>
        <v>Скачать индивидуальный QR-код магазина</v>
      </c>
    </row>
    <row r="19577" spans="1:7" x14ac:dyDescent="0.25">
      <c r="A19577" t="s">
        <v>59201</v>
      </c>
      <c r="B19577" t="s">
        <v>59226</v>
      </c>
      <c r="C19577" t="s">
        <v>59227</v>
      </c>
      <c r="D19577" t="s">
        <v>59228</v>
      </c>
      <c r="E19577" t="s">
        <v>59229</v>
      </c>
      <c r="F19577" t="s">
        <v>59230</v>
      </c>
      <c r="G19577" s="2" t="str">
        <f>HYPERLINK("https://probpalata.gov.ru/files/ИП440203560300000.jpeg","Скачать индивидуальный QR-код магазина")</f>
        <v>Скачать индивидуальный QR-код магазина</v>
      </c>
    </row>
    <row r="19578" spans="1:7" x14ac:dyDescent="0.25">
      <c r="A19578" t="s">
        <v>59201</v>
      </c>
      <c r="B19578" t="s">
        <v>59231</v>
      </c>
      <c r="C19578" t="s">
        <v>59232</v>
      </c>
      <c r="D19578" t="s">
        <v>59233</v>
      </c>
      <c r="E19578" t="s">
        <v>59234</v>
      </c>
      <c r="F19578" t="s">
        <v>59235</v>
      </c>
      <c r="G19578" s="2" t="str">
        <f>HYPERLINK("https://probpalata.gov.ru/files/ИП440200005800000.jpeg","Скачать индивидуальный QR-код магазина")</f>
        <v>Скачать индивидуальный QR-код магазина</v>
      </c>
    </row>
    <row r="19579" spans="1:7" x14ac:dyDescent="0.25">
      <c r="A19579" t="s">
        <v>59201</v>
      </c>
      <c r="B19579" t="s">
        <v>59236</v>
      </c>
      <c r="C19579" t="s">
        <v>59237</v>
      </c>
      <c r="D19579" t="s">
        <v>59238</v>
      </c>
      <c r="E19579" t="s">
        <v>59239</v>
      </c>
      <c r="F19579" t="s">
        <v>59240</v>
      </c>
      <c r="G19579" s="2" t="str">
        <f>HYPERLINK("https://probpalata.gov.ru/files/ИП440203268800000.jpeg","Скачать индивидуальный QR-код магазина")</f>
        <v>Скачать индивидуальный QR-код магазина</v>
      </c>
    </row>
    <row r="19580" spans="1:7" x14ac:dyDescent="0.25">
      <c r="A19580" t="s">
        <v>59201</v>
      </c>
      <c r="B19580" t="s">
        <v>59241</v>
      </c>
      <c r="C19580" t="s">
        <v>11741</v>
      </c>
      <c r="D19580" t="s">
        <v>11742</v>
      </c>
      <c r="E19580" t="s">
        <v>11743</v>
      </c>
      <c r="F19580" t="s">
        <v>59242</v>
      </c>
      <c r="G19580" s="2" t="str">
        <f>HYPERLINK("https://probpalata.gov.ru/files/ЮЛ440200810200031.jpeg","Скачать индивидуальный QR-код магазина")</f>
        <v>Скачать индивидуальный QR-код магазина</v>
      </c>
    </row>
    <row r="19581" spans="1:7" x14ac:dyDescent="0.25">
      <c r="A19581" t="s">
        <v>59201</v>
      </c>
      <c r="B19581" t="s">
        <v>59243</v>
      </c>
      <c r="C19581" t="s">
        <v>48359</v>
      </c>
      <c r="D19581" t="s">
        <v>59244</v>
      </c>
      <c r="E19581" t="s">
        <v>59245</v>
      </c>
      <c r="F19581" t="s">
        <v>59246</v>
      </c>
      <c r="G19581" s="2" t="str">
        <f>HYPERLINK("https://probpalata.gov.ru/files/ЮЛ440200467600001.jpeg","Скачать индивидуальный QR-код магазина")</f>
        <v>Скачать индивидуальный QR-код магазина</v>
      </c>
    </row>
    <row r="19582" spans="1:7" x14ac:dyDescent="0.25">
      <c r="A19582" t="s">
        <v>59201</v>
      </c>
      <c r="B19582" t="s">
        <v>59247</v>
      </c>
      <c r="C19582" t="s">
        <v>48359</v>
      </c>
      <c r="D19582" t="s">
        <v>59244</v>
      </c>
      <c r="E19582" t="s">
        <v>59245</v>
      </c>
      <c r="F19582" t="s">
        <v>59248</v>
      </c>
      <c r="G19582" s="2" t="str">
        <f>HYPERLINK("https://probpalata.gov.ru/files/ЮЛ440200467600003.jpeg","Скачать индивидуальный QR-код магазина")</f>
        <v>Скачать индивидуальный QR-код магазина</v>
      </c>
    </row>
    <row r="19583" spans="1:7" x14ac:dyDescent="0.25">
      <c r="A19583" t="s">
        <v>59201</v>
      </c>
      <c r="B19583" t="s">
        <v>59224</v>
      </c>
      <c r="C19583" t="s">
        <v>59249</v>
      </c>
      <c r="D19583" t="s">
        <v>59250</v>
      </c>
      <c r="E19583" t="s">
        <v>59251</v>
      </c>
      <c r="F19583" t="s">
        <v>59252</v>
      </c>
      <c r="G19583" s="2" t="str">
        <f>HYPERLINK("https://probpalata.gov.ru/files/ИП440203060600000.jpeg","Скачать индивидуальный QR-код магазина")</f>
        <v>Скачать индивидуальный QR-код магазина</v>
      </c>
    </row>
    <row r="19584" spans="1:7" x14ac:dyDescent="0.25">
      <c r="A19584" t="s">
        <v>59201</v>
      </c>
      <c r="B19584" t="s">
        <v>59253</v>
      </c>
      <c r="C19584" t="s">
        <v>59254</v>
      </c>
      <c r="D19584" t="s">
        <v>59255</v>
      </c>
      <c r="E19584" t="s">
        <v>59256</v>
      </c>
      <c r="F19584" t="s">
        <v>59257</v>
      </c>
      <c r="G19584" s="2" t="str">
        <f>HYPERLINK("https://probpalata.gov.ru/files/ИП760203440500000.jpeg","Скачать индивидуальный QR-код магазина")</f>
        <v>Скачать индивидуальный QR-код магазина</v>
      </c>
    </row>
    <row r="19585" spans="1:7" x14ac:dyDescent="0.25">
      <c r="A19585" t="s">
        <v>59201</v>
      </c>
      <c r="B19585" t="s">
        <v>59258</v>
      </c>
      <c r="C19585" t="s">
        <v>59254</v>
      </c>
      <c r="D19585" t="s">
        <v>59255</v>
      </c>
      <c r="E19585" t="s">
        <v>59256</v>
      </c>
      <c r="F19585" t="s">
        <v>59259</v>
      </c>
      <c r="G19585" s="2" t="str">
        <f>HYPERLINK("https://probpalata.gov.ru/files/ИП760203440500001.jpeg","Скачать индивидуальный QR-код магазина")</f>
        <v>Скачать индивидуальный QR-код магазина</v>
      </c>
    </row>
    <row r="19586" spans="1:7" x14ac:dyDescent="0.25">
      <c r="A19586" t="s">
        <v>59201</v>
      </c>
      <c r="B19586" t="s">
        <v>59260</v>
      </c>
      <c r="C19586" t="s">
        <v>59254</v>
      </c>
      <c r="D19586" t="s">
        <v>59255</v>
      </c>
      <c r="E19586" t="s">
        <v>59256</v>
      </c>
      <c r="F19586" t="s">
        <v>59261</v>
      </c>
      <c r="G19586" s="2" t="str">
        <f>HYPERLINK("https://probpalata.gov.ru/files/ИП760203440500004.jpeg","Скачать индивидуальный QR-код магазина")</f>
        <v>Скачать индивидуальный QR-код магазина</v>
      </c>
    </row>
    <row r="19587" spans="1:7" x14ac:dyDescent="0.25">
      <c r="A19587" t="s">
        <v>59201</v>
      </c>
      <c r="B19587" t="s">
        <v>59262</v>
      </c>
      <c r="C19587" t="s">
        <v>59254</v>
      </c>
      <c r="D19587" t="s">
        <v>59255</v>
      </c>
      <c r="E19587" t="s">
        <v>59256</v>
      </c>
      <c r="F19587" t="s">
        <v>59263</v>
      </c>
      <c r="G19587" s="2" t="str">
        <f>HYPERLINK("https://probpalata.gov.ru/files/ИП760203440500005.jpeg","Скачать индивидуальный QR-код магазина")</f>
        <v>Скачать индивидуальный QR-код магазина</v>
      </c>
    </row>
    <row r="19588" spans="1:7" x14ac:dyDescent="0.25">
      <c r="A19588" t="s">
        <v>59201</v>
      </c>
      <c r="B19588" t="s">
        <v>59264</v>
      </c>
      <c r="C19588" t="s">
        <v>4559</v>
      </c>
      <c r="D19588" t="s">
        <v>4560</v>
      </c>
      <c r="E19588" t="s">
        <v>4561</v>
      </c>
      <c r="F19588" t="s">
        <v>59265</v>
      </c>
      <c r="G19588" s="2" t="str">
        <f>HYPERLINK("https://probpalata.gov.ru/files/ИП440200822300003.jpeg","Скачать индивидуальный QR-код магазина")</f>
        <v>Скачать индивидуальный QR-код магазина</v>
      </c>
    </row>
    <row r="19589" spans="1:7" x14ac:dyDescent="0.25">
      <c r="A19589" t="s">
        <v>59201</v>
      </c>
      <c r="B19589" t="s">
        <v>59266</v>
      </c>
      <c r="C19589" t="s">
        <v>5067</v>
      </c>
      <c r="D19589" t="s">
        <v>5068</v>
      </c>
      <c r="E19589" t="s">
        <v>5069</v>
      </c>
      <c r="F19589" t="s">
        <v>59267</v>
      </c>
      <c r="G19589" s="2" t="str">
        <f>HYPERLINK("https://probpalata.gov.ru/files/ИП350300596400007.jpeg","Скачать индивидуальный QR-код магазина")</f>
        <v>Скачать индивидуальный QR-код магазина</v>
      </c>
    </row>
    <row r="19590" spans="1:7" x14ac:dyDescent="0.25">
      <c r="A19590" t="s">
        <v>59201</v>
      </c>
      <c r="B19590" t="s">
        <v>59268</v>
      </c>
      <c r="C19590" t="s">
        <v>59269</v>
      </c>
      <c r="D19590" t="s">
        <v>59270</v>
      </c>
      <c r="E19590" t="s">
        <v>59271</v>
      </c>
      <c r="F19590" t="s">
        <v>59272</v>
      </c>
      <c r="G19590" s="2" t="str">
        <f>HYPERLINK("https://probpalata.gov.ru/files/ИП440200614800000.jpeg","Скачать индивидуальный QR-код магазина")</f>
        <v>Скачать индивидуальный QR-код магазина</v>
      </c>
    </row>
    <row r="19591" spans="1:7" x14ac:dyDescent="0.25">
      <c r="A19591" t="s">
        <v>59201</v>
      </c>
      <c r="B19591" t="s">
        <v>59273</v>
      </c>
      <c r="C19591" t="s">
        <v>59274</v>
      </c>
      <c r="D19591" t="s">
        <v>59275</v>
      </c>
      <c r="E19591" t="s">
        <v>59276</v>
      </c>
      <c r="F19591" t="s">
        <v>59277</v>
      </c>
      <c r="G19591" s="2" t="str">
        <f>HYPERLINK("https://probpalata.gov.ru/files/ИП440201151500000.jpeg","Скачать индивидуальный QR-код магазина")</f>
        <v>Скачать индивидуальный QR-код магазина</v>
      </c>
    </row>
    <row r="19592" spans="1:7" x14ac:dyDescent="0.25">
      <c r="A19592" t="s">
        <v>59201</v>
      </c>
      <c r="B19592" t="s">
        <v>59278</v>
      </c>
      <c r="C19592" t="s">
        <v>59279</v>
      </c>
      <c r="D19592" t="s">
        <v>59280</v>
      </c>
      <c r="E19592" t="s">
        <v>59281</v>
      </c>
      <c r="F19592" t="s">
        <v>59282</v>
      </c>
      <c r="G19592" s="2" t="str">
        <f>HYPERLINK("https://probpalata.gov.ru/files/ИП440201797800000.jpeg","Скачать индивидуальный QR-код магазина")</f>
        <v>Скачать индивидуальный QR-код магазина</v>
      </c>
    </row>
    <row r="19593" spans="1:7" x14ac:dyDescent="0.25">
      <c r="A19593" t="s">
        <v>59201</v>
      </c>
      <c r="B19593" t="s">
        <v>59283</v>
      </c>
      <c r="C19593" t="s">
        <v>59279</v>
      </c>
      <c r="D19593" t="s">
        <v>59280</v>
      </c>
      <c r="E19593" t="s">
        <v>59281</v>
      </c>
      <c r="F19593" t="s">
        <v>59284</v>
      </c>
      <c r="G19593" s="2" t="str">
        <f>HYPERLINK("https://probpalata.gov.ru/files/ИП440201797800001.jpeg","Скачать индивидуальный QR-код магазина")</f>
        <v>Скачать индивидуальный QR-код магазина</v>
      </c>
    </row>
    <row r="19594" spans="1:7" x14ac:dyDescent="0.25">
      <c r="A19594" t="s">
        <v>59201</v>
      </c>
      <c r="B19594" t="s">
        <v>59285</v>
      </c>
      <c r="C19594" t="s">
        <v>671</v>
      </c>
      <c r="D19594" t="s">
        <v>672</v>
      </c>
      <c r="E19594" t="s">
        <v>673</v>
      </c>
      <c r="F19594" t="s">
        <v>59286</v>
      </c>
      <c r="G19594" s="2" t="str">
        <f>HYPERLINK("https://probpalata.gov.ru/files/ИП500100445500032.jpeg","Скачать индивидуальный QR-код магазина")</f>
        <v>Скачать индивидуальный QR-код магазина</v>
      </c>
    </row>
    <row r="19595" spans="1:7" x14ac:dyDescent="0.25">
      <c r="A19595" t="s">
        <v>59201</v>
      </c>
      <c r="B19595" t="s">
        <v>59287</v>
      </c>
      <c r="C19595" t="s">
        <v>671</v>
      </c>
      <c r="D19595" t="s">
        <v>672</v>
      </c>
      <c r="E19595" t="s">
        <v>673</v>
      </c>
      <c r="F19595" t="s">
        <v>59288</v>
      </c>
      <c r="G19595" s="2" t="str">
        <f>HYPERLINK("https://probpalata.gov.ru/files/ИП500100445500119.jpeg","Скачать индивидуальный QR-код магазина")</f>
        <v>Скачать индивидуальный QR-код магазина</v>
      </c>
    </row>
    <row r="19596" spans="1:7" x14ac:dyDescent="0.25">
      <c r="A19596" t="s">
        <v>59201</v>
      </c>
      <c r="B19596" t="s">
        <v>59289</v>
      </c>
      <c r="C19596" t="s">
        <v>1735</v>
      </c>
      <c r="D19596" t="s">
        <v>1736</v>
      </c>
      <c r="E19596" t="s">
        <v>1737</v>
      </c>
      <c r="F19596" t="s">
        <v>59290</v>
      </c>
      <c r="G19596" s="2" t="str">
        <f>HYPERLINK("https://probpalata.gov.ru/files/ЮЛ520603376600059.jpeg","Скачать индивидуальный QR-код магазина")</f>
        <v>Скачать индивидуальный QR-код магазина</v>
      </c>
    </row>
    <row r="19597" spans="1:7" x14ac:dyDescent="0.25">
      <c r="A19597" t="s">
        <v>59201</v>
      </c>
      <c r="B19597" t="s">
        <v>59291</v>
      </c>
      <c r="C19597" t="s">
        <v>1735</v>
      </c>
      <c r="D19597" t="s">
        <v>1736</v>
      </c>
      <c r="E19597" t="s">
        <v>1737</v>
      </c>
      <c r="F19597" t="s">
        <v>59292</v>
      </c>
      <c r="G19597" s="2" t="str">
        <f>HYPERLINK("https://probpalata.gov.ru/files/ЮЛ520603376600103.jpeg","Скачать индивидуальный QR-код магазина")</f>
        <v>Скачать индивидуальный QR-код магазина</v>
      </c>
    </row>
    <row r="19598" spans="1:7" x14ac:dyDescent="0.25">
      <c r="A19598" t="s">
        <v>59201</v>
      </c>
      <c r="B19598" t="s">
        <v>59293</v>
      </c>
      <c r="C19598" t="s">
        <v>1735</v>
      </c>
      <c r="D19598" t="s">
        <v>1736</v>
      </c>
      <c r="E19598" t="s">
        <v>1737</v>
      </c>
      <c r="F19598" t="s">
        <v>59294</v>
      </c>
      <c r="G19598" s="2" t="str">
        <f>HYPERLINK("https://probpalata.gov.ru/files/ЮЛ520603376600137.jpeg","Скачать индивидуальный QR-код магазина")</f>
        <v>Скачать индивидуальный QR-код магазина</v>
      </c>
    </row>
    <row r="19599" spans="1:7" x14ac:dyDescent="0.25">
      <c r="A19599" t="s">
        <v>59201</v>
      </c>
      <c r="B19599" t="s">
        <v>59295</v>
      </c>
      <c r="C19599" t="s">
        <v>30864</v>
      </c>
      <c r="D19599" t="s">
        <v>30865</v>
      </c>
      <c r="E19599" t="s">
        <v>30866</v>
      </c>
      <c r="F19599" t="s">
        <v>59296</v>
      </c>
      <c r="G19599" s="2" t="str">
        <f>HYPERLINK("https://probpalata.gov.ru/files/ИП520600697000017.jpeg","Скачать индивидуальный QR-код магазина")</f>
        <v>Скачать индивидуальный QR-код магазина</v>
      </c>
    </row>
    <row r="19600" spans="1:7" x14ac:dyDescent="0.25">
      <c r="A19600" t="s">
        <v>59201</v>
      </c>
      <c r="B19600" t="s">
        <v>59224</v>
      </c>
      <c r="C19600" t="s">
        <v>3116</v>
      </c>
      <c r="D19600" t="s">
        <v>3117</v>
      </c>
      <c r="E19600" t="s">
        <v>3118</v>
      </c>
      <c r="F19600" t="s">
        <v>59297</v>
      </c>
      <c r="G19600" s="2" t="str">
        <f>HYPERLINK("https://probpalata.gov.ru/files/ИП520601790200033.jpeg","Скачать индивидуальный QR-код магазина")</f>
        <v>Скачать индивидуальный QR-код магазина</v>
      </c>
    </row>
    <row r="19601" spans="1:7" x14ac:dyDescent="0.25">
      <c r="A19601" t="s">
        <v>59201</v>
      </c>
      <c r="B19601" t="s">
        <v>59298</v>
      </c>
      <c r="C19601" t="s">
        <v>3116</v>
      </c>
      <c r="D19601" t="s">
        <v>3117</v>
      </c>
      <c r="E19601" t="s">
        <v>3118</v>
      </c>
      <c r="F19601" t="s">
        <v>59299</v>
      </c>
      <c r="G19601" s="2" t="str">
        <f>HYPERLINK("https://probpalata.gov.ru/files/ИП520601790200035.jpeg","Скачать индивидуальный QR-код магазина")</f>
        <v>Скачать индивидуальный QR-код магазина</v>
      </c>
    </row>
    <row r="19602" spans="1:7" x14ac:dyDescent="0.25">
      <c r="A19602" t="s">
        <v>59201</v>
      </c>
      <c r="B19602" t="s">
        <v>59300</v>
      </c>
      <c r="C19602" t="s">
        <v>3116</v>
      </c>
      <c r="D19602" t="s">
        <v>3117</v>
      </c>
      <c r="E19602" t="s">
        <v>3118</v>
      </c>
      <c r="F19602" t="s">
        <v>59301</v>
      </c>
      <c r="G19602" s="2" t="str">
        <f>HYPERLINK("https://probpalata.gov.ru/files/ИП520601790200058.jpeg","Скачать индивидуальный QR-код магазина")</f>
        <v>Скачать индивидуальный QR-код магазина</v>
      </c>
    </row>
    <row r="19603" spans="1:7" x14ac:dyDescent="0.25">
      <c r="A19603" t="s">
        <v>59201</v>
      </c>
      <c r="B19603" t="s">
        <v>59302</v>
      </c>
      <c r="C19603" t="s">
        <v>59303</v>
      </c>
      <c r="D19603" t="s">
        <v>59304</v>
      </c>
      <c r="E19603" t="s">
        <v>59305</v>
      </c>
      <c r="F19603" t="s">
        <v>59306</v>
      </c>
      <c r="G19603" s="2" t="str">
        <f>HYPERLINK("https://probpalata.gov.ru/files/ИП760201922100000.jpeg","Скачать индивидуальный QR-код магазина")</f>
        <v>Скачать индивидуальный QR-код магазина</v>
      </c>
    </row>
    <row r="19604" spans="1:7" x14ac:dyDescent="0.25">
      <c r="A19604" t="s">
        <v>59201</v>
      </c>
      <c r="B19604" t="s">
        <v>59307</v>
      </c>
      <c r="C19604" t="s">
        <v>59308</v>
      </c>
      <c r="D19604" t="s">
        <v>59309</v>
      </c>
      <c r="E19604" t="s">
        <v>59310</v>
      </c>
      <c r="F19604" t="s">
        <v>59311</v>
      </c>
      <c r="G19604" s="2" t="str">
        <f>HYPERLINK("https://probpalata.gov.ru/files/ИП760201044700000.jpeg","Скачать индивидуальный QR-код магазина")</f>
        <v>Скачать индивидуальный QR-код магазина</v>
      </c>
    </row>
    <row r="19605" spans="1:7" x14ac:dyDescent="0.25">
      <c r="A19605" t="s">
        <v>59201</v>
      </c>
      <c r="B19605" t="s">
        <v>59312</v>
      </c>
      <c r="C19605" t="s">
        <v>59313</v>
      </c>
      <c r="D19605" t="s">
        <v>59314</v>
      </c>
      <c r="E19605" t="s">
        <v>59315</v>
      </c>
      <c r="F19605" t="s">
        <v>59316</v>
      </c>
      <c r="G19605" s="2" t="str">
        <f>HYPERLINK("https://probpalata.gov.ru/files/ИП760203214800000.jpeg","Скачать индивидуальный QR-код магазина")</f>
        <v>Скачать индивидуальный QR-код магазина</v>
      </c>
    </row>
    <row r="19606" spans="1:7" x14ac:dyDescent="0.25">
      <c r="A19606" t="s">
        <v>59201</v>
      </c>
      <c r="B19606" t="s">
        <v>59317</v>
      </c>
      <c r="C19606" t="s">
        <v>59313</v>
      </c>
      <c r="D19606" t="s">
        <v>59314</v>
      </c>
      <c r="E19606" t="s">
        <v>59315</v>
      </c>
      <c r="F19606" t="s">
        <v>59318</v>
      </c>
      <c r="G19606" s="2" t="str">
        <f>HYPERLINK("https://probpalata.gov.ru/files/ИП760203214800001.jpeg","Скачать индивидуальный QR-код магазина")</f>
        <v>Скачать индивидуальный QR-код магазина</v>
      </c>
    </row>
    <row r="19607" spans="1:7" x14ac:dyDescent="0.25">
      <c r="A19607" t="s">
        <v>59201</v>
      </c>
      <c r="B19607" t="s">
        <v>59319</v>
      </c>
      <c r="C19607" t="s">
        <v>59313</v>
      </c>
      <c r="D19607" t="s">
        <v>59314</v>
      </c>
      <c r="E19607" t="s">
        <v>59315</v>
      </c>
      <c r="F19607" t="s">
        <v>59320</v>
      </c>
      <c r="G19607" s="2" t="str">
        <f>HYPERLINK("https://probpalata.gov.ru/files/ИП760203214800004.jpeg","Скачать индивидуальный QR-код магазина")</f>
        <v>Скачать индивидуальный QR-код магазина</v>
      </c>
    </row>
    <row r="19608" spans="1:7" x14ac:dyDescent="0.25">
      <c r="A19608" t="s">
        <v>59201</v>
      </c>
      <c r="B19608" t="s">
        <v>59321</v>
      </c>
      <c r="C19608" t="s">
        <v>59322</v>
      </c>
      <c r="D19608" t="s">
        <v>59323</v>
      </c>
      <c r="E19608" t="s">
        <v>59324</v>
      </c>
      <c r="F19608" t="s">
        <v>59325</v>
      </c>
      <c r="G19608" s="2" t="str">
        <f>HYPERLINK("https://probpalata.gov.ru/files/ИП760200696800000.jpeg","Скачать индивидуальный QR-код магазина")</f>
        <v>Скачать индивидуальный QR-код магазина</v>
      </c>
    </row>
    <row r="19609" spans="1:7" x14ac:dyDescent="0.25">
      <c r="A19609" t="s">
        <v>59201</v>
      </c>
      <c r="B19609" t="s">
        <v>59326</v>
      </c>
      <c r="C19609" t="s">
        <v>59322</v>
      </c>
      <c r="D19609" t="s">
        <v>59323</v>
      </c>
      <c r="E19609" t="s">
        <v>59324</v>
      </c>
      <c r="F19609" t="s">
        <v>59327</v>
      </c>
      <c r="G19609" s="2" t="str">
        <f>HYPERLINK("https://probpalata.gov.ru/files/ИП760200696800009.jpeg","Скачать индивидуальный QR-код магазина")</f>
        <v>Скачать индивидуальный QR-код магазина</v>
      </c>
    </row>
    <row r="19610" spans="1:7" x14ac:dyDescent="0.25">
      <c r="A19610" t="s">
        <v>59201</v>
      </c>
      <c r="B19610" t="s">
        <v>59328</v>
      </c>
      <c r="C19610" t="s">
        <v>59322</v>
      </c>
      <c r="D19610" t="s">
        <v>59323</v>
      </c>
      <c r="E19610" t="s">
        <v>59324</v>
      </c>
      <c r="F19610" t="s">
        <v>59329</v>
      </c>
      <c r="G19610" s="2" t="str">
        <f>HYPERLINK("https://probpalata.gov.ru/files/ИП760200696800010.jpeg","Скачать индивидуальный QR-код магазина")</f>
        <v>Скачать индивидуальный QR-код магазина</v>
      </c>
    </row>
    <row r="19611" spans="1:7" x14ac:dyDescent="0.25">
      <c r="A19611" t="s">
        <v>59201</v>
      </c>
      <c r="B19611" t="s">
        <v>59330</v>
      </c>
      <c r="C19611" t="s">
        <v>59331</v>
      </c>
      <c r="D19611" t="s">
        <v>59332</v>
      </c>
      <c r="E19611" t="s">
        <v>59333</v>
      </c>
      <c r="F19611" t="s">
        <v>59334</v>
      </c>
      <c r="G19611" s="2" t="str">
        <f>HYPERLINK("https://probpalata.gov.ru/files/ИП760200204400000.jpeg","Скачать индивидуальный QR-код магазина")</f>
        <v>Скачать индивидуальный QR-код магазина</v>
      </c>
    </row>
    <row r="19612" spans="1:7" x14ac:dyDescent="0.25">
      <c r="A19612" t="s">
        <v>59201</v>
      </c>
      <c r="B19612" t="s">
        <v>59335</v>
      </c>
      <c r="C19612" t="s">
        <v>59336</v>
      </c>
      <c r="D19612" t="s">
        <v>59337</v>
      </c>
      <c r="E19612" t="s">
        <v>59338</v>
      </c>
      <c r="F19612" t="s">
        <v>59339</v>
      </c>
      <c r="G19612" s="2" t="str">
        <f>HYPERLINK("https://probpalata.gov.ru/files/ЮЛ760200049700000.jpeg","Скачать индивидуальный QR-код магазина")</f>
        <v>Скачать индивидуальный QR-код магазина</v>
      </c>
    </row>
    <row r="19613" spans="1:7" x14ac:dyDescent="0.25">
      <c r="A19613" t="s">
        <v>59201</v>
      </c>
      <c r="B19613" t="s">
        <v>59340</v>
      </c>
      <c r="C19613" t="s">
        <v>59341</v>
      </c>
      <c r="D19613" t="s">
        <v>59342</v>
      </c>
      <c r="E19613" t="s">
        <v>59343</v>
      </c>
      <c r="F19613" t="s">
        <v>59344</v>
      </c>
      <c r="G19613" s="2" t="str">
        <f>HYPERLINK("https://probpalata.gov.ru/files/ИП760203521000000.jpeg","Скачать индивидуальный QR-код магазина")</f>
        <v>Скачать индивидуальный QR-код магазина</v>
      </c>
    </row>
    <row r="19614" spans="1:7" x14ac:dyDescent="0.25">
      <c r="A19614" t="s">
        <v>59201</v>
      </c>
      <c r="B19614" t="s">
        <v>59345</v>
      </c>
      <c r="C19614" t="s">
        <v>59346</v>
      </c>
      <c r="D19614" t="s">
        <v>59347</v>
      </c>
      <c r="E19614" t="s">
        <v>59348</v>
      </c>
      <c r="F19614" t="s">
        <v>59349</v>
      </c>
      <c r="G19614" s="2" t="str">
        <f>HYPERLINK("https://probpalata.gov.ru/files/ИП760200205200000.jpeg","Скачать индивидуальный QR-код магазина")</f>
        <v>Скачать индивидуальный QR-код магазина</v>
      </c>
    </row>
    <row r="19615" spans="1:7" x14ac:dyDescent="0.25">
      <c r="A19615" t="s">
        <v>59201</v>
      </c>
      <c r="B19615" t="s">
        <v>59350</v>
      </c>
      <c r="C19615" t="s">
        <v>20904</v>
      </c>
      <c r="D19615" t="s">
        <v>20905</v>
      </c>
      <c r="E19615" t="s">
        <v>20906</v>
      </c>
      <c r="F19615" t="s">
        <v>59351</v>
      </c>
      <c r="G19615" s="2" t="str">
        <f>HYPERLINK("https://probpalata.gov.ru/files/ЮЛ760201041800002.jpeg","Скачать индивидуальный QR-код магазина")</f>
        <v>Скачать индивидуальный QR-код магазина</v>
      </c>
    </row>
    <row r="19616" spans="1:7" x14ac:dyDescent="0.25">
      <c r="A19616" t="s">
        <v>59201</v>
      </c>
      <c r="B19616" t="s">
        <v>59352</v>
      </c>
      <c r="C19616" t="s">
        <v>20904</v>
      </c>
      <c r="D19616" t="s">
        <v>20905</v>
      </c>
      <c r="E19616" t="s">
        <v>20906</v>
      </c>
      <c r="F19616" t="s">
        <v>59353</v>
      </c>
      <c r="G19616" s="2" t="str">
        <f>HYPERLINK("https://probpalata.gov.ru/files/ЮЛ760201041800013.jpeg","Скачать индивидуальный QR-код магазина")</f>
        <v>Скачать индивидуальный QR-код магазина</v>
      </c>
    </row>
    <row r="19617" spans="1:7" x14ac:dyDescent="0.25">
      <c r="A19617" t="s">
        <v>59201</v>
      </c>
      <c r="B19617" t="s">
        <v>59354</v>
      </c>
      <c r="C19617" t="s">
        <v>20904</v>
      </c>
      <c r="D19617" t="s">
        <v>20905</v>
      </c>
      <c r="E19617" t="s">
        <v>20906</v>
      </c>
      <c r="F19617" t="s">
        <v>59355</v>
      </c>
      <c r="G19617" s="2" t="str">
        <f>HYPERLINK("https://probpalata.gov.ru/files/ЮЛ760201041800017.jpeg","Скачать индивидуальный QR-код магазина")</f>
        <v>Скачать индивидуальный QR-код магазина</v>
      </c>
    </row>
    <row r="19618" spans="1:7" x14ac:dyDescent="0.25">
      <c r="A19618" t="s">
        <v>59201</v>
      </c>
      <c r="B19618" t="s">
        <v>59356</v>
      </c>
      <c r="C19618" t="s">
        <v>20904</v>
      </c>
      <c r="D19618" t="s">
        <v>20905</v>
      </c>
      <c r="E19618" t="s">
        <v>20906</v>
      </c>
      <c r="F19618" t="s">
        <v>59357</v>
      </c>
      <c r="G19618" s="2" t="str">
        <f>HYPERLINK("https://probpalata.gov.ru/files/ЮЛ760201041800018.jpeg","Скачать индивидуальный QR-код магазина")</f>
        <v>Скачать индивидуальный QR-код магазина</v>
      </c>
    </row>
    <row r="19619" spans="1:7" x14ac:dyDescent="0.25">
      <c r="A19619" t="s">
        <v>59201</v>
      </c>
      <c r="B19619" t="s">
        <v>59358</v>
      </c>
      <c r="C19619" t="s">
        <v>20904</v>
      </c>
      <c r="D19619" t="s">
        <v>20905</v>
      </c>
      <c r="E19619" t="s">
        <v>20906</v>
      </c>
      <c r="F19619" t="s">
        <v>59359</v>
      </c>
      <c r="G19619" s="2" t="str">
        <f>HYPERLINK("https://probpalata.gov.ru/files/ЮЛ760201041800019.jpeg","Скачать индивидуальный QR-код магазина")</f>
        <v>Скачать индивидуальный QR-код магазина</v>
      </c>
    </row>
    <row r="19620" spans="1:7" x14ac:dyDescent="0.25">
      <c r="A19620" t="s">
        <v>59201</v>
      </c>
      <c r="B19620" t="s">
        <v>59360</v>
      </c>
      <c r="C19620" t="s">
        <v>20904</v>
      </c>
      <c r="D19620" t="s">
        <v>20905</v>
      </c>
      <c r="E19620" t="s">
        <v>20906</v>
      </c>
      <c r="F19620" t="s">
        <v>59361</v>
      </c>
      <c r="G19620" s="2" t="str">
        <f>HYPERLINK("https://probpalata.gov.ru/files/ЮЛ760201041800020.jpeg","Скачать индивидуальный QR-код магазина")</f>
        <v>Скачать индивидуальный QR-код магазина</v>
      </c>
    </row>
    <row r="19621" spans="1:7" x14ac:dyDescent="0.25">
      <c r="A19621" t="s">
        <v>59201</v>
      </c>
      <c r="B19621" t="s">
        <v>59362</v>
      </c>
      <c r="C19621" t="s">
        <v>20904</v>
      </c>
      <c r="D19621" t="s">
        <v>20905</v>
      </c>
      <c r="E19621" t="s">
        <v>20906</v>
      </c>
      <c r="F19621" t="s">
        <v>59363</v>
      </c>
      <c r="G19621" s="2" t="str">
        <f>HYPERLINK("https://probpalata.gov.ru/files/ЮЛ760201041800021.jpeg","Скачать индивидуальный QR-код магазина")</f>
        <v>Скачать индивидуальный QR-код магазина</v>
      </c>
    </row>
    <row r="19622" spans="1:7" x14ac:dyDescent="0.25">
      <c r="A19622" t="s">
        <v>59201</v>
      </c>
      <c r="B19622" t="s">
        <v>59364</v>
      </c>
      <c r="C19622" t="s">
        <v>20904</v>
      </c>
      <c r="D19622" t="s">
        <v>20905</v>
      </c>
      <c r="E19622" t="s">
        <v>20906</v>
      </c>
      <c r="F19622" t="s">
        <v>59365</v>
      </c>
      <c r="G19622" s="2" t="str">
        <f>HYPERLINK("https://probpalata.gov.ru/files/ЮЛ760201041800022.jpeg","Скачать индивидуальный QR-код магазина")</f>
        <v>Скачать индивидуальный QR-код магазина</v>
      </c>
    </row>
    <row r="19623" spans="1:7" x14ac:dyDescent="0.25">
      <c r="A19623" t="s">
        <v>59201</v>
      </c>
      <c r="B19623" t="s">
        <v>59366</v>
      </c>
      <c r="C19623" t="s">
        <v>20904</v>
      </c>
      <c r="D19623" t="s">
        <v>20905</v>
      </c>
      <c r="E19623" t="s">
        <v>20906</v>
      </c>
      <c r="F19623" t="s">
        <v>59367</v>
      </c>
      <c r="G19623" s="2" t="str">
        <f>HYPERLINK("https://probpalata.gov.ru/files/ЮЛ760201041800023.jpeg","Скачать индивидуальный QR-код магазина")</f>
        <v>Скачать индивидуальный QR-код магазина</v>
      </c>
    </row>
    <row r="19624" spans="1:7" x14ac:dyDescent="0.25">
      <c r="A19624" t="s">
        <v>59201</v>
      </c>
      <c r="B19624" t="s">
        <v>59368</v>
      </c>
      <c r="C19624" t="s">
        <v>59369</v>
      </c>
      <c r="D19624" t="s">
        <v>59370</v>
      </c>
      <c r="E19624" t="s">
        <v>59371</v>
      </c>
      <c r="F19624" t="s">
        <v>59372</v>
      </c>
      <c r="G19624" s="2" t="str">
        <f>HYPERLINK("https://probpalata.gov.ru/files/ЮЛ760201376800000.jpeg","Скачать индивидуальный QR-код магазина")</f>
        <v>Скачать индивидуальный QR-код магазина</v>
      </c>
    </row>
    <row r="19625" spans="1:7" x14ac:dyDescent="0.25">
      <c r="A19625" t="s">
        <v>59201</v>
      </c>
      <c r="B19625" t="s">
        <v>59373</v>
      </c>
      <c r="C19625" t="s">
        <v>43670</v>
      </c>
      <c r="D19625" t="s">
        <v>59374</v>
      </c>
      <c r="E19625" t="s">
        <v>59375</v>
      </c>
      <c r="F19625" t="s">
        <v>59376</v>
      </c>
      <c r="G19625" s="2" t="str">
        <f>HYPERLINK("https://probpalata.gov.ru/files/ЮЛ760201242500000.jpeg","Скачать индивидуальный QR-код магазина")</f>
        <v>Скачать индивидуальный QR-код магазина</v>
      </c>
    </row>
    <row r="19626" spans="1:7" x14ac:dyDescent="0.25">
      <c r="A19626" t="s">
        <v>59201</v>
      </c>
      <c r="B19626" t="s">
        <v>59377</v>
      </c>
      <c r="C19626" t="s">
        <v>59378</v>
      </c>
      <c r="D19626" t="s">
        <v>59379</v>
      </c>
      <c r="E19626" t="s">
        <v>59380</v>
      </c>
      <c r="F19626" t="s">
        <v>59381</v>
      </c>
      <c r="G19626" s="2" t="str">
        <f>HYPERLINK("https://probpalata.gov.ru/files/ЮЛ760201149100000.jpeg","Скачать индивидуальный QR-код магазина")</f>
        <v>Скачать индивидуальный QR-код магазина</v>
      </c>
    </row>
    <row r="19627" spans="1:7" x14ac:dyDescent="0.25">
      <c r="A19627" t="s">
        <v>59201</v>
      </c>
      <c r="B19627" t="s">
        <v>59382</v>
      </c>
      <c r="C19627" t="s">
        <v>59383</v>
      </c>
      <c r="D19627" t="s">
        <v>59384</v>
      </c>
      <c r="E19627" t="s">
        <v>59385</v>
      </c>
      <c r="F19627" t="s">
        <v>59386</v>
      </c>
      <c r="G19627" s="2" t="str">
        <f>HYPERLINK("https://probpalata.gov.ru/files/ЮЛ760200010900000.jpeg","Скачать индивидуальный QR-код магазина")</f>
        <v>Скачать индивидуальный QR-код магазина</v>
      </c>
    </row>
    <row r="19628" spans="1:7" x14ac:dyDescent="0.25">
      <c r="A19628" t="s">
        <v>59201</v>
      </c>
      <c r="B19628" t="s">
        <v>59387</v>
      </c>
      <c r="C19628" t="s">
        <v>59388</v>
      </c>
      <c r="D19628" t="s">
        <v>59389</v>
      </c>
      <c r="E19628" t="s">
        <v>59390</v>
      </c>
      <c r="F19628" t="s">
        <v>59391</v>
      </c>
      <c r="G19628" s="2" t="str">
        <f>HYPERLINK("https://probpalata.gov.ru/files/ЮЛ760203557700000.jpeg","Скачать индивидуальный QR-код магазина")</f>
        <v>Скачать индивидуальный QR-код магазина</v>
      </c>
    </row>
    <row r="19629" spans="1:7" x14ac:dyDescent="0.25">
      <c r="A19629" t="s">
        <v>59201</v>
      </c>
      <c r="B19629" t="s">
        <v>59392</v>
      </c>
      <c r="C19629" t="s">
        <v>1740</v>
      </c>
      <c r="D19629" t="s">
        <v>59393</v>
      </c>
      <c r="E19629" t="s">
        <v>59394</v>
      </c>
      <c r="F19629" t="s">
        <v>59395</v>
      </c>
      <c r="G19629" s="2" t="str">
        <f>HYPERLINK("https://probpalata.gov.ru/files/ЮЛ760203752300001.jpeg","Скачать индивидуальный QR-код магазина")</f>
        <v>Скачать индивидуальный QR-код магазина</v>
      </c>
    </row>
    <row r="19630" spans="1:7" x14ac:dyDescent="0.25">
      <c r="A19630" t="s">
        <v>59201</v>
      </c>
      <c r="B19630" t="s">
        <v>59396</v>
      </c>
      <c r="C19630" t="s">
        <v>1740</v>
      </c>
      <c r="D19630" t="s">
        <v>59393</v>
      </c>
      <c r="E19630" t="s">
        <v>59394</v>
      </c>
      <c r="F19630" t="s">
        <v>59397</v>
      </c>
      <c r="G19630" s="2" t="str">
        <f>HYPERLINK("https://probpalata.gov.ru/files/ЮЛ760203752300003.jpeg","Скачать индивидуальный QR-код магазина")</f>
        <v>Скачать индивидуальный QR-код магазина</v>
      </c>
    </row>
    <row r="19631" spans="1:7" x14ac:dyDescent="0.25">
      <c r="A19631" t="s">
        <v>59201</v>
      </c>
      <c r="B19631" t="s">
        <v>59398</v>
      </c>
      <c r="C19631" t="s">
        <v>59399</v>
      </c>
      <c r="D19631" t="s">
        <v>59400</v>
      </c>
      <c r="E19631" t="s">
        <v>59401</v>
      </c>
      <c r="F19631" t="s">
        <v>59402</v>
      </c>
      <c r="G19631" s="2" t="str">
        <f>HYPERLINK("https://probpalata.gov.ru/files/ИП760200192300000.jpeg","Скачать индивидуальный QR-код магазина")</f>
        <v>Скачать индивидуальный QR-код магазина</v>
      </c>
    </row>
    <row r="19632" spans="1:7" x14ac:dyDescent="0.25">
      <c r="A19632" t="s">
        <v>59201</v>
      </c>
      <c r="B19632" t="s">
        <v>59403</v>
      </c>
      <c r="C19632" t="s">
        <v>59404</v>
      </c>
      <c r="D19632" t="s">
        <v>59405</v>
      </c>
      <c r="E19632" t="s">
        <v>59406</v>
      </c>
      <c r="F19632" t="s">
        <v>59407</v>
      </c>
      <c r="G19632" s="2" t="str">
        <f>HYPERLINK("https://probpalata.gov.ru/files/ИП760200022500000.jpeg","Скачать индивидуальный QR-код магазина")</f>
        <v>Скачать индивидуальный QR-код магазина</v>
      </c>
    </row>
    <row r="19633" spans="1:7" x14ac:dyDescent="0.25">
      <c r="A19633" t="s">
        <v>59201</v>
      </c>
      <c r="B19633" t="s">
        <v>59408</v>
      </c>
      <c r="C19633" t="s">
        <v>59404</v>
      </c>
      <c r="D19633" t="s">
        <v>59405</v>
      </c>
      <c r="E19633" t="s">
        <v>59406</v>
      </c>
      <c r="F19633" t="s">
        <v>59409</v>
      </c>
      <c r="G19633" s="2" t="str">
        <f>HYPERLINK("https://probpalata.gov.ru/files/ИП760200022500001.jpeg","Скачать индивидуальный QR-код магазина")</f>
        <v>Скачать индивидуальный QR-код магазина</v>
      </c>
    </row>
    <row r="19634" spans="1:7" x14ac:dyDescent="0.25">
      <c r="A19634" t="s">
        <v>59201</v>
      </c>
      <c r="B19634" t="s">
        <v>59410</v>
      </c>
      <c r="C19634" t="s">
        <v>59411</v>
      </c>
      <c r="D19634" t="s">
        <v>59412</v>
      </c>
      <c r="E19634" t="s">
        <v>59413</v>
      </c>
      <c r="F19634" t="s">
        <v>59414</v>
      </c>
      <c r="G19634" s="2" t="str">
        <f>HYPERLINK("https://probpalata.gov.ru/files/ИП760200037200000.jpeg","Скачать индивидуальный QR-код магазина")</f>
        <v>Скачать индивидуальный QR-код магазина</v>
      </c>
    </row>
    <row r="19635" spans="1:7" x14ac:dyDescent="0.25">
      <c r="A19635" t="s">
        <v>59201</v>
      </c>
      <c r="B19635" t="s">
        <v>59415</v>
      </c>
      <c r="C19635" t="s">
        <v>59411</v>
      </c>
      <c r="D19635" t="s">
        <v>59412</v>
      </c>
      <c r="E19635" t="s">
        <v>59413</v>
      </c>
      <c r="F19635" t="s">
        <v>59416</v>
      </c>
      <c r="G19635" s="2" t="str">
        <f>HYPERLINK("https://probpalata.gov.ru/files/ИП760200037200002.jpeg","Скачать индивидуальный QR-код магазина")</f>
        <v>Скачать индивидуальный QR-код магазина</v>
      </c>
    </row>
    <row r="19636" spans="1:7" x14ac:dyDescent="0.25">
      <c r="A19636" t="s">
        <v>59201</v>
      </c>
      <c r="B19636" t="s">
        <v>59417</v>
      </c>
      <c r="C19636" t="s">
        <v>59418</v>
      </c>
      <c r="D19636" t="s">
        <v>59419</v>
      </c>
      <c r="E19636" t="s">
        <v>59420</v>
      </c>
      <c r="F19636" t="s">
        <v>59421</v>
      </c>
      <c r="G19636" s="2" t="str">
        <f>HYPERLINK("https://probpalata.gov.ru/files/ИП760200426900000.jpeg","Скачать индивидуальный QR-код магазина")</f>
        <v>Скачать индивидуальный QR-код магазина</v>
      </c>
    </row>
    <row r="19637" spans="1:7" x14ac:dyDescent="0.25">
      <c r="A19637" t="s">
        <v>59201</v>
      </c>
      <c r="B19637" t="s">
        <v>59356</v>
      </c>
      <c r="C19637" t="s">
        <v>59418</v>
      </c>
      <c r="D19637" t="s">
        <v>59419</v>
      </c>
      <c r="E19637" t="s">
        <v>59420</v>
      </c>
      <c r="F19637" t="s">
        <v>59422</v>
      </c>
      <c r="G19637" s="2" t="str">
        <f>HYPERLINK("https://probpalata.gov.ru/files/ИП760200426900001.jpeg","Скачать индивидуальный QR-код магазина")</f>
        <v>Скачать индивидуальный QR-код магазина</v>
      </c>
    </row>
    <row r="19638" spans="1:7" x14ac:dyDescent="0.25">
      <c r="A19638" t="s">
        <v>59201</v>
      </c>
      <c r="B19638" t="s">
        <v>59423</v>
      </c>
      <c r="C19638" t="s">
        <v>59418</v>
      </c>
      <c r="D19638" t="s">
        <v>59419</v>
      </c>
      <c r="E19638" t="s">
        <v>59420</v>
      </c>
      <c r="F19638" t="s">
        <v>59424</v>
      </c>
      <c r="G19638" s="2" t="str">
        <f>HYPERLINK("https://probpalata.gov.ru/files/ИП760200426900005.jpeg","Скачать индивидуальный QR-код магазина")</f>
        <v>Скачать индивидуальный QR-код магазина</v>
      </c>
    </row>
    <row r="19639" spans="1:7" x14ac:dyDescent="0.25">
      <c r="A19639" t="s">
        <v>59201</v>
      </c>
      <c r="B19639" t="s">
        <v>59364</v>
      </c>
      <c r="C19639" t="s">
        <v>59418</v>
      </c>
      <c r="D19639" t="s">
        <v>59419</v>
      </c>
      <c r="E19639" t="s">
        <v>59420</v>
      </c>
      <c r="F19639" t="s">
        <v>59425</v>
      </c>
      <c r="G19639" s="2" t="str">
        <f>HYPERLINK("https://probpalata.gov.ru/files/ИП760200426900006.jpeg","Скачать индивидуальный QR-код магазина")</f>
        <v>Скачать индивидуальный QR-код магазина</v>
      </c>
    </row>
    <row r="19640" spans="1:7" x14ac:dyDescent="0.25">
      <c r="A19640" t="s">
        <v>59201</v>
      </c>
      <c r="B19640" t="s">
        <v>59362</v>
      </c>
      <c r="C19640" t="s">
        <v>59418</v>
      </c>
      <c r="D19640" t="s">
        <v>59419</v>
      </c>
      <c r="E19640" t="s">
        <v>59420</v>
      </c>
      <c r="F19640" t="s">
        <v>59426</v>
      </c>
      <c r="G19640" s="2" t="str">
        <f>HYPERLINK("https://probpalata.gov.ru/files/ИП760200426900007.jpeg","Скачать индивидуальный QR-код магазина")</f>
        <v>Скачать индивидуальный QR-код магазина</v>
      </c>
    </row>
    <row r="19641" spans="1:7" x14ac:dyDescent="0.25">
      <c r="A19641" t="s">
        <v>59201</v>
      </c>
      <c r="B19641" t="s">
        <v>59427</v>
      </c>
      <c r="C19641" t="s">
        <v>59418</v>
      </c>
      <c r="D19641" t="s">
        <v>59419</v>
      </c>
      <c r="E19641" t="s">
        <v>59420</v>
      </c>
      <c r="F19641" t="s">
        <v>59428</v>
      </c>
      <c r="G19641" s="2" t="str">
        <f>HYPERLINK("https://probpalata.gov.ru/files/ИП760200426900011.jpeg","Скачать индивидуальный QR-код магазина")</f>
        <v>Скачать индивидуальный QR-код магазина</v>
      </c>
    </row>
    <row r="19642" spans="1:7" x14ac:dyDescent="0.25">
      <c r="A19642" t="s">
        <v>59201</v>
      </c>
      <c r="B19642" t="s">
        <v>59429</v>
      </c>
      <c r="C19642" t="s">
        <v>59418</v>
      </c>
      <c r="D19642" t="s">
        <v>59419</v>
      </c>
      <c r="E19642" t="s">
        <v>59420</v>
      </c>
      <c r="F19642" t="s">
        <v>59430</v>
      </c>
      <c r="G19642" s="2" t="str">
        <f>HYPERLINK("https://probpalata.gov.ru/files/ИП760200426900014.jpeg","Скачать индивидуальный QR-код магазина")</f>
        <v>Скачать индивидуальный QR-код магазина</v>
      </c>
    </row>
    <row r="19643" spans="1:7" x14ac:dyDescent="0.25">
      <c r="A19643" t="s">
        <v>59201</v>
      </c>
      <c r="B19643" t="s">
        <v>59431</v>
      </c>
      <c r="C19643" t="s">
        <v>59418</v>
      </c>
      <c r="D19643" t="s">
        <v>59419</v>
      </c>
      <c r="E19643" t="s">
        <v>59420</v>
      </c>
      <c r="F19643" t="s">
        <v>59432</v>
      </c>
      <c r="G19643" s="2" t="str">
        <f>HYPERLINK("https://probpalata.gov.ru/files/ИП760200426900015.jpeg","Скачать индивидуальный QR-код магазина")</f>
        <v>Скачать индивидуальный QR-код магазина</v>
      </c>
    </row>
    <row r="19644" spans="1:7" x14ac:dyDescent="0.25">
      <c r="A19644" t="s">
        <v>59201</v>
      </c>
      <c r="B19644" t="s">
        <v>59433</v>
      </c>
      <c r="C19644" t="s">
        <v>1740</v>
      </c>
      <c r="D19644" t="s">
        <v>1741</v>
      </c>
      <c r="E19644" t="s">
        <v>1742</v>
      </c>
      <c r="F19644" t="s">
        <v>59434</v>
      </c>
      <c r="G19644" s="2" t="str">
        <f>HYPERLINK("https://probpalata.gov.ru/files/ЮЛ760201190700000.jpeg","Скачать индивидуальный QR-код магазина")</f>
        <v>Скачать индивидуальный QR-код магазина</v>
      </c>
    </row>
    <row r="19645" spans="1:7" x14ac:dyDescent="0.25">
      <c r="A19645" t="s">
        <v>59201</v>
      </c>
      <c r="B19645" t="s">
        <v>59435</v>
      </c>
      <c r="C19645" t="s">
        <v>2039</v>
      </c>
      <c r="D19645" t="s">
        <v>59436</v>
      </c>
      <c r="E19645" t="s">
        <v>59437</v>
      </c>
      <c r="F19645" t="s">
        <v>59438</v>
      </c>
      <c r="G19645" s="2" t="str">
        <f>HYPERLINK("https://probpalata.gov.ru/files/ЮЛ760203483400000.jpeg","Скачать индивидуальный QR-код магазина")</f>
        <v>Скачать индивидуальный QR-код магазина</v>
      </c>
    </row>
    <row r="19646" spans="1:7" x14ac:dyDescent="0.25">
      <c r="A19646" t="s">
        <v>59201</v>
      </c>
      <c r="B19646" t="s">
        <v>59439</v>
      </c>
      <c r="C19646" t="s">
        <v>59440</v>
      </c>
      <c r="D19646" t="s">
        <v>59441</v>
      </c>
      <c r="E19646" t="s">
        <v>59442</v>
      </c>
      <c r="F19646" t="s">
        <v>59443</v>
      </c>
      <c r="G19646" s="2" t="str">
        <f>HYPERLINK("https://probpalata.gov.ru/files/ЮЛ760204016100000.jpeg","Скачать индивидуальный QR-код магазина")</f>
        <v>Скачать индивидуальный QR-код магазина</v>
      </c>
    </row>
    <row r="19647" spans="1:7" x14ac:dyDescent="0.25">
      <c r="A19647" t="s">
        <v>59201</v>
      </c>
      <c r="B19647" t="s">
        <v>59444</v>
      </c>
      <c r="C19647" t="s">
        <v>59445</v>
      </c>
      <c r="D19647" t="s">
        <v>59446</v>
      </c>
      <c r="E19647" t="s">
        <v>59447</v>
      </c>
      <c r="F19647" t="s">
        <v>59448</v>
      </c>
      <c r="G19647" s="2" t="str">
        <f>HYPERLINK("https://probpalata.gov.ru/files/ИП760200266700000.jpeg","Скачать индивидуальный QR-код магазина")</f>
        <v>Скачать индивидуальный QR-код магазина</v>
      </c>
    </row>
    <row r="19648" spans="1:7" x14ac:dyDescent="0.25">
      <c r="A19648" t="s">
        <v>59201</v>
      </c>
      <c r="B19648" t="s">
        <v>59449</v>
      </c>
      <c r="C19648" t="s">
        <v>59450</v>
      </c>
      <c r="D19648" t="s">
        <v>59451</v>
      </c>
      <c r="E19648" t="s">
        <v>59452</v>
      </c>
      <c r="F19648" t="s">
        <v>59453</v>
      </c>
      <c r="G19648" s="2" t="str">
        <f>HYPERLINK("https://probpalata.gov.ru/files/ИП760200642800000.jpeg","Скачать индивидуальный QR-код магазина")</f>
        <v>Скачать индивидуальный QR-код магазина</v>
      </c>
    </row>
    <row r="19649" spans="1:7" x14ac:dyDescent="0.25">
      <c r="A19649" t="s">
        <v>59201</v>
      </c>
      <c r="B19649" t="s">
        <v>59231</v>
      </c>
      <c r="C19649" t="s">
        <v>59450</v>
      </c>
      <c r="D19649" t="s">
        <v>59451</v>
      </c>
      <c r="E19649" t="s">
        <v>59452</v>
      </c>
      <c r="F19649" t="s">
        <v>59454</v>
      </c>
      <c r="G19649" s="2" t="str">
        <f>HYPERLINK("https://probpalata.gov.ru/files/ИП760200642800003.jpeg","Скачать индивидуальный QR-код магазина")</f>
        <v>Скачать индивидуальный QR-код магазина</v>
      </c>
    </row>
    <row r="19650" spans="1:7" x14ac:dyDescent="0.25">
      <c r="A19650" t="s">
        <v>59201</v>
      </c>
      <c r="B19650" t="s">
        <v>59455</v>
      </c>
      <c r="C19650" t="s">
        <v>59456</v>
      </c>
      <c r="D19650" t="s">
        <v>59457</v>
      </c>
      <c r="E19650" t="s">
        <v>59458</v>
      </c>
      <c r="F19650" t="s">
        <v>59459</v>
      </c>
      <c r="G19650" s="2" t="str">
        <f>HYPERLINK("https://probpalata.gov.ru/files/ИП760203357000000.jpeg","Скачать индивидуальный QR-код магазина")</f>
        <v>Скачать индивидуальный QR-код магазина</v>
      </c>
    </row>
    <row r="19651" spans="1:7" x14ac:dyDescent="0.25">
      <c r="A19651" t="s">
        <v>59201</v>
      </c>
      <c r="B19651" t="s">
        <v>59460</v>
      </c>
      <c r="C19651" t="s">
        <v>59461</v>
      </c>
      <c r="D19651" t="s">
        <v>59462</v>
      </c>
      <c r="E19651" t="s">
        <v>59463</v>
      </c>
      <c r="F19651" t="s">
        <v>59464</v>
      </c>
      <c r="G19651" s="2" t="str">
        <f>HYPERLINK("https://probpalata.gov.ru/files/ИП760201328700000.jpeg","Скачать индивидуальный QR-код магазина")</f>
        <v>Скачать индивидуальный QR-код магазина</v>
      </c>
    </row>
    <row r="19652" spans="1:7" x14ac:dyDescent="0.25">
      <c r="A19652" t="s">
        <v>59201</v>
      </c>
      <c r="B19652" t="s">
        <v>59465</v>
      </c>
      <c r="C19652" t="s">
        <v>59466</v>
      </c>
      <c r="D19652" t="s">
        <v>59467</v>
      </c>
      <c r="E19652" t="s">
        <v>59468</v>
      </c>
      <c r="F19652" t="s">
        <v>59469</v>
      </c>
      <c r="G19652" s="2" t="str">
        <f>HYPERLINK("https://probpalata.gov.ru/files/ИП760200564900000.jpeg","Скачать индивидуальный QR-код магазина")</f>
        <v>Скачать индивидуальный QR-код магазина</v>
      </c>
    </row>
    <row r="19653" spans="1:7" x14ac:dyDescent="0.25">
      <c r="A19653" t="s">
        <v>59201</v>
      </c>
      <c r="B19653" t="s">
        <v>59470</v>
      </c>
      <c r="C19653" t="s">
        <v>59471</v>
      </c>
      <c r="D19653" t="s">
        <v>59472</v>
      </c>
      <c r="E19653" t="s">
        <v>59473</v>
      </c>
      <c r="F19653" t="s">
        <v>59474</v>
      </c>
      <c r="G19653" s="2" t="str">
        <f>HYPERLINK("https://probpalata.gov.ru/files/ИП760200320300000.jpeg","Скачать индивидуальный QR-код магазина")</f>
        <v>Скачать индивидуальный QR-код магазина</v>
      </c>
    </row>
    <row r="19654" spans="1:7" x14ac:dyDescent="0.25">
      <c r="A19654" t="s">
        <v>59201</v>
      </c>
      <c r="B19654" t="s">
        <v>59475</v>
      </c>
      <c r="C19654" t="s">
        <v>59471</v>
      </c>
      <c r="D19654" t="s">
        <v>59472</v>
      </c>
      <c r="E19654" t="s">
        <v>59473</v>
      </c>
      <c r="F19654" t="s">
        <v>59476</v>
      </c>
      <c r="G19654" s="2" t="str">
        <f>HYPERLINK("https://probpalata.gov.ru/files/ИП760200320300002.jpeg","Скачать индивидуальный QR-код магазина")</f>
        <v>Скачать индивидуальный QR-код магазина</v>
      </c>
    </row>
    <row r="19655" spans="1:7" x14ac:dyDescent="0.25">
      <c r="A19655" t="s">
        <v>59201</v>
      </c>
      <c r="B19655" t="s">
        <v>59477</v>
      </c>
      <c r="C19655" t="s">
        <v>59478</v>
      </c>
      <c r="D19655" t="s">
        <v>59479</v>
      </c>
      <c r="E19655" t="s">
        <v>59480</v>
      </c>
      <c r="F19655" t="s">
        <v>59481</v>
      </c>
      <c r="G19655" s="2" t="str">
        <f>HYPERLINK("https://probpalata.gov.ru/files/ЮЛ760200670200000.jpeg","Скачать индивидуальный QR-код магазина")</f>
        <v>Скачать индивидуальный QR-код магазина</v>
      </c>
    </row>
    <row r="19656" spans="1:7" x14ac:dyDescent="0.25">
      <c r="A19656" t="s">
        <v>59201</v>
      </c>
      <c r="B19656" t="s">
        <v>59482</v>
      </c>
      <c r="C19656" t="s">
        <v>59483</v>
      </c>
      <c r="D19656" t="s">
        <v>59484</v>
      </c>
      <c r="E19656" t="s">
        <v>59485</v>
      </c>
      <c r="F19656" t="s">
        <v>59486</v>
      </c>
      <c r="G19656" s="2" t="str">
        <f>HYPERLINK("https://probpalata.gov.ru/files/ИП760201294300000.jpeg","Скачать индивидуальный QR-код магазина")</f>
        <v>Скачать индивидуальный QR-код магазина</v>
      </c>
    </row>
    <row r="19657" spans="1:7" x14ac:dyDescent="0.25">
      <c r="A19657" t="s">
        <v>59201</v>
      </c>
      <c r="B19657" t="s">
        <v>59487</v>
      </c>
      <c r="C19657" t="s">
        <v>59488</v>
      </c>
      <c r="D19657" t="s">
        <v>59489</v>
      </c>
      <c r="E19657" t="s">
        <v>59490</v>
      </c>
      <c r="F19657" t="s">
        <v>59491</v>
      </c>
      <c r="G19657" s="2" t="str">
        <f>HYPERLINK("https://probpalata.gov.ru/files/ЮЛ760200634200000.jpeg","Скачать индивидуальный QR-код магазина")</f>
        <v>Скачать индивидуальный QR-код магазина</v>
      </c>
    </row>
    <row r="19658" spans="1:7" x14ac:dyDescent="0.25">
      <c r="A19658" t="s">
        <v>59201</v>
      </c>
      <c r="B19658" t="s">
        <v>59492</v>
      </c>
      <c r="C19658" t="s">
        <v>59493</v>
      </c>
      <c r="D19658" t="s">
        <v>59494</v>
      </c>
      <c r="E19658" t="s">
        <v>59495</v>
      </c>
      <c r="F19658" t="s">
        <v>59496</v>
      </c>
      <c r="G19658" s="2" t="str">
        <f>HYPERLINK("https://probpalata.gov.ru/files/ЮЛ760201934000000.jpeg","Скачать индивидуальный QR-код магазина")</f>
        <v>Скачать индивидуальный QR-код магазина</v>
      </c>
    </row>
    <row r="19659" spans="1:7" x14ac:dyDescent="0.25">
      <c r="A19659" t="s">
        <v>59201</v>
      </c>
      <c r="B19659" t="s">
        <v>59497</v>
      </c>
      <c r="C19659" t="s">
        <v>59498</v>
      </c>
      <c r="D19659" t="s">
        <v>59499</v>
      </c>
      <c r="E19659" t="s">
        <v>59500</v>
      </c>
      <c r="F19659" t="s">
        <v>59501</v>
      </c>
      <c r="G19659" s="2" t="str">
        <f>HYPERLINK("https://probpalata.gov.ru/files/ИП760200535400000.jpeg","Скачать индивидуальный QR-код магазина")</f>
        <v>Скачать индивидуальный QR-код магазина</v>
      </c>
    </row>
    <row r="19660" spans="1:7" x14ac:dyDescent="0.25">
      <c r="A19660" t="s">
        <v>59201</v>
      </c>
      <c r="B19660" t="s">
        <v>59475</v>
      </c>
      <c r="C19660" t="s">
        <v>59498</v>
      </c>
      <c r="D19660" t="s">
        <v>59499</v>
      </c>
      <c r="E19660" t="s">
        <v>59500</v>
      </c>
      <c r="F19660" t="s">
        <v>59502</v>
      </c>
      <c r="G19660" s="2" t="str">
        <f>HYPERLINK("https://probpalata.gov.ru/files/ИП760200535400001.jpeg","Скачать индивидуальный QR-код магазина")</f>
        <v>Скачать индивидуальный QR-код магазина</v>
      </c>
    </row>
    <row r="19661" spans="1:7" x14ac:dyDescent="0.25">
      <c r="A19661" t="s">
        <v>59201</v>
      </c>
      <c r="B19661" t="s">
        <v>59503</v>
      </c>
      <c r="C19661" t="s">
        <v>59504</v>
      </c>
      <c r="D19661" t="s">
        <v>59505</v>
      </c>
      <c r="E19661" t="s">
        <v>59506</v>
      </c>
      <c r="F19661" t="s">
        <v>59507</v>
      </c>
      <c r="G19661" s="2" t="str">
        <f>HYPERLINK("https://probpalata.gov.ru/files/ИП760201600000000.jpeg","Скачать индивидуальный QR-код магазина")</f>
        <v>Скачать индивидуальный QR-код магазина</v>
      </c>
    </row>
    <row r="19662" spans="1:7" x14ac:dyDescent="0.25">
      <c r="A19662" t="s">
        <v>59201</v>
      </c>
      <c r="B19662" t="s">
        <v>59508</v>
      </c>
      <c r="C19662" t="s">
        <v>11187</v>
      </c>
      <c r="D19662" t="s">
        <v>59509</v>
      </c>
      <c r="E19662" t="s">
        <v>59510</v>
      </c>
      <c r="F19662" t="s">
        <v>59511</v>
      </c>
      <c r="G19662" s="2" t="str">
        <f>HYPERLINK("https://probpalata.gov.ru/files/ЮЛ760200175700000.jpeg","Скачать индивидуальный QR-код магазина")</f>
        <v>Скачать индивидуальный QR-код магазина</v>
      </c>
    </row>
    <row r="19663" spans="1:7" x14ac:dyDescent="0.25">
      <c r="A19663" t="s">
        <v>59201</v>
      </c>
      <c r="B19663" t="s">
        <v>59512</v>
      </c>
      <c r="C19663" t="s">
        <v>11187</v>
      </c>
      <c r="D19663" t="s">
        <v>59509</v>
      </c>
      <c r="E19663" t="s">
        <v>59510</v>
      </c>
      <c r="F19663" t="s">
        <v>59513</v>
      </c>
      <c r="G19663" s="2" t="str">
        <f>HYPERLINK("https://probpalata.gov.ru/files/ЮЛ760200175700001.jpeg","Скачать индивидуальный QR-код магазина")</f>
        <v>Скачать индивидуальный QR-код магазина</v>
      </c>
    </row>
    <row r="19664" spans="1:7" x14ac:dyDescent="0.25">
      <c r="A19664" t="s">
        <v>59201</v>
      </c>
      <c r="B19664" t="s">
        <v>59514</v>
      </c>
      <c r="C19664" t="s">
        <v>59515</v>
      </c>
      <c r="D19664" t="s">
        <v>59516</v>
      </c>
      <c r="E19664" t="s">
        <v>59517</v>
      </c>
      <c r="F19664" t="s">
        <v>59518</v>
      </c>
      <c r="G19664" s="2" t="str">
        <f>HYPERLINK("https://probpalata.gov.ru/files/ИП760200412400000.jpeg","Скачать индивидуальный QR-код магазина")</f>
        <v>Скачать индивидуальный QR-код магазина</v>
      </c>
    </row>
    <row r="19665" spans="1:7" x14ac:dyDescent="0.25">
      <c r="A19665" t="s">
        <v>59201</v>
      </c>
      <c r="B19665" t="s">
        <v>59519</v>
      </c>
      <c r="C19665" t="s">
        <v>59515</v>
      </c>
      <c r="D19665" t="s">
        <v>59516</v>
      </c>
      <c r="E19665" t="s">
        <v>59517</v>
      </c>
      <c r="F19665" t="s">
        <v>59520</v>
      </c>
      <c r="G19665" s="2" t="str">
        <f>HYPERLINK("https://probpalata.gov.ru/files/ИП760200412400001.jpeg","Скачать индивидуальный QR-код магазина")</f>
        <v>Скачать индивидуальный QR-код магазина</v>
      </c>
    </row>
    <row r="19666" spans="1:7" x14ac:dyDescent="0.25">
      <c r="A19666" t="s">
        <v>59201</v>
      </c>
      <c r="B19666" t="s">
        <v>59521</v>
      </c>
      <c r="C19666" t="s">
        <v>59522</v>
      </c>
      <c r="D19666" t="s">
        <v>59523</v>
      </c>
      <c r="E19666" t="s">
        <v>59524</v>
      </c>
      <c r="F19666" t="s">
        <v>59525</v>
      </c>
      <c r="G19666" s="2" t="str">
        <f>HYPERLINK("https://probpalata.gov.ru/files/ИП760200114400000.jpeg","Скачать индивидуальный QR-код магазина")</f>
        <v>Скачать индивидуальный QR-код магазина</v>
      </c>
    </row>
    <row r="19667" spans="1:7" x14ac:dyDescent="0.25">
      <c r="A19667" t="s">
        <v>59201</v>
      </c>
      <c r="B19667" t="s">
        <v>59526</v>
      </c>
      <c r="C19667" t="s">
        <v>59527</v>
      </c>
      <c r="D19667" t="s">
        <v>59528</v>
      </c>
      <c r="E19667" t="s">
        <v>59529</v>
      </c>
      <c r="F19667" t="s">
        <v>59530</v>
      </c>
      <c r="G19667" s="2" t="str">
        <f>HYPERLINK("https://probpalata.gov.ru/files/ИП760200425900000.jpeg","Скачать индивидуальный QR-код магазина")</f>
        <v>Скачать индивидуальный QR-код магазина</v>
      </c>
    </row>
    <row r="19668" spans="1:7" x14ac:dyDescent="0.25">
      <c r="A19668" t="s">
        <v>59201</v>
      </c>
      <c r="B19668" t="s">
        <v>59300</v>
      </c>
      <c r="C19668" t="s">
        <v>59531</v>
      </c>
      <c r="D19668" t="s">
        <v>59532</v>
      </c>
      <c r="E19668" t="s">
        <v>59533</v>
      </c>
      <c r="F19668" t="s">
        <v>59534</v>
      </c>
      <c r="G19668" s="2" t="str">
        <f>HYPERLINK("https://probpalata.gov.ru/files/ИП760200535700000.jpeg","Скачать индивидуальный QR-код магазина")</f>
        <v>Скачать индивидуальный QR-код магазина</v>
      </c>
    </row>
    <row r="19669" spans="1:7" x14ac:dyDescent="0.25">
      <c r="A19669" t="s">
        <v>59201</v>
      </c>
      <c r="B19669" t="s">
        <v>59535</v>
      </c>
      <c r="C19669" t="s">
        <v>59536</v>
      </c>
      <c r="D19669" t="s">
        <v>59537</v>
      </c>
      <c r="E19669" t="s">
        <v>59538</v>
      </c>
      <c r="F19669" t="s">
        <v>59539</v>
      </c>
      <c r="G19669" s="2" t="str">
        <f>HYPERLINK("https://probpalata.gov.ru/files/ИП760200512100000.jpeg","Скачать индивидуальный QR-код магазина")</f>
        <v>Скачать индивидуальный QR-код магазина</v>
      </c>
    </row>
    <row r="19670" spans="1:7" x14ac:dyDescent="0.25">
      <c r="A19670" t="s">
        <v>59201</v>
      </c>
      <c r="B19670" t="s">
        <v>59540</v>
      </c>
      <c r="C19670" t="s">
        <v>59541</v>
      </c>
      <c r="D19670" t="s">
        <v>59542</v>
      </c>
      <c r="E19670" t="s">
        <v>59543</v>
      </c>
      <c r="F19670" t="s">
        <v>59544</v>
      </c>
      <c r="G19670" s="2" t="str">
        <f>HYPERLINK("https://probpalata.gov.ru/files/ИП760200042400000.jpeg","Скачать индивидуальный QR-код магазина")</f>
        <v>Скачать индивидуальный QR-код магазина</v>
      </c>
    </row>
    <row r="19671" spans="1:7" x14ac:dyDescent="0.25">
      <c r="A19671" t="s">
        <v>59201</v>
      </c>
      <c r="B19671" t="s">
        <v>59545</v>
      </c>
      <c r="C19671" t="s">
        <v>59541</v>
      </c>
      <c r="D19671" t="s">
        <v>59542</v>
      </c>
      <c r="E19671" t="s">
        <v>59543</v>
      </c>
      <c r="F19671" t="s">
        <v>59546</v>
      </c>
      <c r="G19671" s="2" t="str">
        <f>HYPERLINK("https://probpalata.gov.ru/files/ИП760200042400001.jpeg","Скачать индивидуальный QR-код магазина")</f>
        <v>Скачать индивидуальный QR-код магазина</v>
      </c>
    </row>
    <row r="19672" spans="1:7" x14ac:dyDescent="0.25">
      <c r="A19672" t="s">
        <v>59201</v>
      </c>
      <c r="B19672" t="s">
        <v>59547</v>
      </c>
      <c r="C19672" t="s">
        <v>59548</v>
      </c>
      <c r="D19672" t="s">
        <v>59549</v>
      </c>
      <c r="E19672" t="s">
        <v>59550</v>
      </c>
      <c r="F19672" t="s">
        <v>59551</v>
      </c>
      <c r="G19672" s="2" t="str">
        <f>HYPERLINK("https://probpalata.gov.ru/files/ИП760200369500000.jpeg","Скачать индивидуальный QR-код магазина")</f>
        <v>Скачать индивидуальный QR-код магазина</v>
      </c>
    </row>
    <row r="19673" spans="1:7" x14ac:dyDescent="0.25">
      <c r="A19673" t="s">
        <v>59201</v>
      </c>
      <c r="B19673" t="s">
        <v>59552</v>
      </c>
      <c r="C19673" t="s">
        <v>59553</v>
      </c>
      <c r="D19673" t="s">
        <v>59554</v>
      </c>
      <c r="E19673" t="s">
        <v>59555</v>
      </c>
      <c r="F19673" t="s">
        <v>59556</v>
      </c>
      <c r="G19673" s="2" t="str">
        <f>HYPERLINK("https://probpalata.gov.ru/files/ИП760201038900000.jpeg","Скачать индивидуальный QR-код магазина")</f>
        <v>Скачать индивидуальный QR-код магазина</v>
      </c>
    </row>
    <row r="19674" spans="1:7" x14ac:dyDescent="0.25">
      <c r="A19674" t="s">
        <v>59201</v>
      </c>
      <c r="B19674" t="s">
        <v>59557</v>
      </c>
      <c r="C19674" t="s">
        <v>59558</v>
      </c>
      <c r="D19674" t="s">
        <v>59559</v>
      </c>
      <c r="E19674" t="s">
        <v>59560</v>
      </c>
      <c r="F19674" t="s">
        <v>59561</v>
      </c>
      <c r="G19674" s="2" t="str">
        <f>HYPERLINK("https://probpalata.gov.ru/files/ИП760200057800000.jpeg","Скачать индивидуальный QR-код магазина")</f>
        <v>Скачать индивидуальный QR-код магазина</v>
      </c>
    </row>
    <row r="19675" spans="1:7" x14ac:dyDescent="0.25">
      <c r="A19675" t="s">
        <v>59201</v>
      </c>
      <c r="B19675" t="s">
        <v>59562</v>
      </c>
      <c r="C19675" t="s">
        <v>59563</v>
      </c>
      <c r="D19675" t="s">
        <v>59564</v>
      </c>
      <c r="E19675" t="s">
        <v>59565</v>
      </c>
      <c r="F19675" t="s">
        <v>59566</v>
      </c>
      <c r="G19675" s="2" t="str">
        <f>HYPERLINK("https://probpalata.gov.ru/files/ИП760203440600000.jpeg","Скачать индивидуальный QR-код магазина")</f>
        <v>Скачать индивидуальный QR-код магазина</v>
      </c>
    </row>
    <row r="19676" spans="1:7" x14ac:dyDescent="0.25">
      <c r="A19676" t="s">
        <v>59201</v>
      </c>
      <c r="B19676" t="s">
        <v>59567</v>
      </c>
      <c r="C19676" t="s">
        <v>59568</v>
      </c>
      <c r="D19676" t="s">
        <v>59569</v>
      </c>
      <c r="E19676" t="s">
        <v>59570</v>
      </c>
      <c r="F19676" t="s">
        <v>59571</v>
      </c>
      <c r="G19676" s="2" t="str">
        <f>HYPERLINK("https://probpalata.gov.ru/files/ИП760200140400000.jpeg","Скачать индивидуальный QR-код магазина")</f>
        <v>Скачать индивидуальный QR-код магазина</v>
      </c>
    </row>
    <row r="19677" spans="1:7" x14ac:dyDescent="0.25">
      <c r="A19677" t="s">
        <v>59201</v>
      </c>
      <c r="B19677" t="s">
        <v>59572</v>
      </c>
      <c r="C19677" t="s">
        <v>59573</v>
      </c>
      <c r="D19677" t="s">
        <v>59574</v>
      </c>
      <c r="E19677" t="s">
        <v>59575</v>
      </c>
      <c r="F19677" t="s">
        <v>59576</v>
      </c>
      <c r="G19677" s="2" t="str">
        <f>HYPERLINK("https://probpalata.gov.ru/files/ЮЛ760201388200000.jpeg","Скачать индивидуальный QR-код магазина")</f>
        <v>Скачать индивидуальный QR-код магазина</v>
      </c>
    </row>
    <row r="19678" spans="1:7" x14ac:dyDescent="0.25">
      <c r="A19678" t="s">
        <v>59201</v>
      </c>
      <c r="B19678" t="s">
        <v>59577</v>
      </c>
      <c r="C19678" t="s">
        <v>59578</v>
      </c>
      <c r="D19678" t="s">
        <v>59579</v>
      </c>
      <c r="E19678" t="s">
        <v>59580</v>
      </c>
      <c r="F19678" t="s">
        <v>59581</v>
      </c>
      <c r="G19678" s="2" t="str">
        <f>HYPERLINK("https://probpalata.gov.ru/files/ЮЛ760200068700000.jpeg","Скачать индивидуальный QR-код магазина")</f>
        <v>Скачать индивидуальный QR-код магазина</v>
      </c>
    </row>
    <row r="19679" spans="1:7" x14ac:dyDescent="0.25">
      <c r="A19679" t="s">
        <v>59201</v>
      </c>
      <c r="B19679" t="s">
        <v>59582</v>
      </c>
      <c r="C19679" t="s">
        <v>59583</v>
      </c>
      <c r="D19679" t="s">
        <v>59584</v>
      </c>
      <c r="E19679" t="s">
        <v>59585</v>
      </c>
      <c r="F19679" t="s">
        <v>59586</v>
      </c>
      <c r="G19679" s="2" t="str">
        <f>HYPERLINK("https://probpalata.gov.ru/files/ИП760200091300000.jpeg","Скачать индивидуальный QR-код магазина")</f>
        <v>Скачать индивидуальный QR-код магазина</v>
      </c>
    </row>
    <row r="19680" spans="1:7" x14ac:dyDescent="0.25">
      <c r="A19680" t="s">
        <v>59201</v>
      </c>
      <c r="B19680" t="s">
        <v>59587</v>
      </c>
      <c r="C19680" t="s">
        <v>59583</v>
      </c>
      <c r="D19680" t="s">
        <v>59584</v>
      </c>
      <c r="E19680" t="s">
        <v>59585</v>
      </c>
      <c r="F19680" t="s">
        <v>59588</v>
      </c>
      <c r="G19680" s="2" t="str">
        <f>HYPERLINK("https://probpalata.gov.ru/files/ИП760200091300001.jpeg","Скачать индивидуальный QR-код магазина")</f>
        <v>Скачать индивидуальный QR-код магазина</v>
      </c>
    </row>
    <row r="19681" spans="1:7" x14ac:dyDescent="0.25">
      <c r="A19681" t="s">
        <v>59201</v>
      </c>
      <c r="B19681" t="s">
        <v>59589</v>
      </c>
      <c r="C19681" t="s">
        <v>59590</v>
      </c>
      <c r="D19681" t="s">
        <v>59591</v>
      </c>
      <c r="E19681" t="s">
        <v>59592</v>
      </c>
      <c r="F19681" t="s">
        <v>59593</v>
      </c>
      <c r="G19681" s="2" t="str">
        <f>HYPERLINK("https://probpalata.gov.ru/files/ИП760200140000000.jpeg","Скачать индивидуальный QR-код магазина")</f>
        <v>Скачать индивидуальный QR-код магазина</v>
      </c>
    </row>
    <row r="19682" spans="1:7" x14ac:dyDescent="0.25">
      <c r="A19682" t="s">
        <v>59201</v>
      </c>
      <c r="B19682" t="s">
        <v>59594</v>
      </c>
      <c r="C19682" t="s">
        <v>59595</v>
      </c>
      <c r="D19682" t="s">
        <v>59596</v>
      </c>
      <c r="E19682" t="s">
        <v>59597</v>
      </c>
      <c r="F19682" t="s">
        <v>59598</v>
      </c>
      <c r="G19682" s="2" t="str">
        <f>HYPERLINK("https://probpalata.gov.ru/files/ЮЛ760201016100000.jpeg","Скачать индивидуальный QR-код магазина")</f>
        <v>Скачать индивидуальный QR-код магазина</v>
      </c>
    </row>
    <row r="19683" spans="1:7" x14ac:dyDescent="0.25">
      <c r="A19683" t="s">
        <v>59201</v>
      </c>
      <c r="B19683" t="s">
        <v>59599</v>
      </c>
      <c r="C19683" t="s">
        <v>59600</v>
      </c>
      <c r="D19683" t="s">
        <v>59601</v>
      </c>
      <c r="E19683" t="s">
        <v>59602</v>
      </c>
      <c r="F19683" t="s">
        <v>59603</v>
      </c>
      <c r="G19683" s="2" t="str">
        <f>HYPERLINK("https://probpalata.gov.ru/files/ИП760204101100000.jpeg","Скачать индивидуальный QR-код магазина")</f>
        <v>Скачать индивидуальный QR-код магазина</v>
      </c>
    </row>
    <row r="19684" spans="1:7" x14ac:dyDescent="0.25">
      <c r="A19684" t="s">
        <v>59201</v>
      </c>
      <c r="B19684" t="s">
        <v>59604</v>
      </c>
      <c r="C19684" t="s">
        <v>3157</v>
      </c>
      <c r="D19684" t="s">
        <v>3158</v>
      </c>
      <c r="E19684" t="s">
        <v>3159</v>
      </c>
      <c r="F19684" t="s">
        <v>59605</v>
      </c>
      <c r="G19684" s="2" t="str">
        <f>HYPERLINK("https://probpalata.gov.ru/files/ИП770100417900051.jpeg","Скачать индивидуальный QR-код магазина")</f>
        <v>Скачать индивидуальный QR-код магазина</v>
      </c>
    </row>
    <row r="19685" spans="1:7" x14ac:dyDescent="0.25">
      <c r="A19685" t="s">
        <v>59201</v>
      </c>
      <c r="B19685" t="s">
        <v>59606</v>
      </c>
      <c r="C19685" t="s">
        <v>713</v>
      </c>
      <c r="D19685" t="s">
        <v>714</v>
      </c>
      <c r="E19685" t="s">
        <v>715</v>
      </c>
      <c r="F19685" t="s">
        <v>59607</v>
      </c>
      <c r="G19685" s="2" t="str">
        <f>HYPERLINK("https://probpalata.gov.ru/files/ЮЛ770101216600099.jpeg","Скачать индивидуальный QR-код магазина")</f>
        <v>Скачать индивидуальный QR-код магазина</v>
      </c>
    </row>
    <row r="19686" spans="1:7" x14ac:dyDescent="0.25">
      <c r="A19686" t="s">
        <v>59201</v>
      </c>
      <c r="B19686" t="s">
        <v>59608</v>
      </c>
      <c r="C19686" t="s">
        <v>713</v>
      </c>
      <c r="D19686" t="s">
        <v>714</v>
      </c>
      <c r="E19686" t="s">
        <v>715</v>
      </c>
      <c r="F19686" t="s">
        <v>59609</v>
      </c>
      <c r="G19686" s="2" t="str">
        <f>HYPERLINK("https://probpalata.gov.ru/files/ЮЛ770101216600158.jpeg","Скачать индивидуальный QR-код магазина")</f>
        <v>Скачать индивидуальный QR-код магазина</v>
      </c>
    </row>
    <row r="19687" spans="1:7" x14ac:dyDescent="0.25">
      <c r="A19687" t="s">
        <v>59201</v>
      </c>
      <c r="B19687" t="s">
        <v>59610</v>
      </c>
      <c r="C19687" t="s">
        <v>713</v>
      </c>
      <c r="D19687" t="s">
        <v>714</v>
      </c>
      <c r="E19687" t="s">
        <v>715</v>
      </c>
      <c r="F19687" t="s">
        <v>59611</v>
      </c>
      <c r="G19687" s="2" t="str">
        <f>HYPERLINK("https://probpalata.gov.ru/files/ЮЛ770101216600275.jpeg","Скачать индивидуальный QR-код магазина")</f>
        <v>Скачать индивидуальный QR-код магазина</v>
      </c>
    </row>
    <row r="19688" spans="1:7" x14ac:dyDescent="0.25">
      <c r="A19688" t="s">
        <v>59201</v>
      </c>
      <c r="B19688" t="s">
        <v>59612</v>
      </c>
      <c r="C19688" t="s">
        <v>713</v>
      </c>
      <c r="D19688" t="s">
        <v>714</v>
      </c>
      <c r="E19688" t="s">
        <v>715</v>
      </c>
      <c r="F19688" t="s">
        <v>59613</v>
      </c>
      <c r="G19688" s="2" t="str">
        <f>HYPERLINK("https://probpalata.gov.ru/files/ЮЛ770101216600352.jpeg","Скачать индивидуальный QR-код магазина")</f>
        <v>Скачать индивидуальный QR-код магазина</v>
      </c>
    </row>
    <row r="19689" spans="1:7" x14ac:dyDescent="0.25">
      <c r="A19689" t="s">
        <v>59201</v>
      </c>
      <c r="B19689" t="s">
        <v>59614</v>
      </c>
      <c r="C19689" t="s">
        <v>713</v>
      </c>
      <c r="D19689" t="s">
        <v>714</v>
      </c>
      <c r="E19689" t="s">
        <v>715</v>
      </c>
      <c r="F19689" t="s">
        <v>59615</v>
      </c>
      <c r="G19689" s="2" t="str">
        <f>HYPERLINK("https://probpalata.gov.ru/files/ЮЛ770101216600395.jpeg","Скачать индивидуальный QR-код магазина")</f>
        <v>Скачать индивидуальный QR-код магазина</v>
      </c>
    </row>
    <row r="19690" spans="1:7" x14ac:dyDescent="0.25">
      <c r="A19690" t="s">
        <v>59201</v>
      </c>
      <c r="B19690" t="s">
        <v>59616</v>
      </c>
      <c r="C19690" t="s">
        <v>713</v>
      </c>
      <c r="D19690" t="s">
        <v>714</v>
      </c>
      <c r="E19690" t="s">
        <v>715</v>
      </c>
      <c r="F19690" t="s">
        <v>59617</v>
      </c>
      <c r="G19690" s="2" t="str">
        <f>HYPERLINK("https://probpalata.gov.ru/files/ЮЛ770101216600755.jpeg","Скачать индивидуальный QR-код магазина")</f>
        <v>Скачать индивидуальный QR-код магазина</v>
      </c>
    </row>
    <row r="19691" spans="1:7" x14ac:dyDescent="0.25">
      <c r="A19691" t="s">
        <v>59201</v>
      </c>
      <c r="B19691" t="s">
        <v>59618</v>
      </c>
      <c r="C19691" t="s">
        <v>713</v>
      </c>
      <c r="D19691" t="s">
        <v>714</v>
      </c>
      <c r="E19691" t="s">
        <v>715</v>
      </c>
      <c r="F19691" t="s">
        <v>59619</v>
      </c>
      <c r="G19691" s="2" t="str">
        <f>HYPERLINK("https://probpalata.gov.ru/files/ЮЛ770101216600807.jpeg","Скачать индивидуальный QR-код магазина")</f>
        <v>Скачать индивидуальный QR-код магазина</v>
      </c>
    </row>
    <row r="19692" spans="1:7" x14ac:dyDescent="0.25">
      <c r="A19692" t="s">
        <v>59201</v>
      </c>
      <c r="B19692" t="s">
        <v>59620</v>
      </c>
      <c r="C19692" t="s">
        <v>713</v>
      </c>
      <c r="D19692" t="s">
        <v>714</v>
      </c>
      <c r="E19692" t="s">
        <v>715</v>
      </c>
      <c r="F19692" t="s">
        <v>59621</v>
      </c>
      <c r="G19692" s="2" t="str">
        <f>HYPERLINK("https://probpalata.gov.ru/files/ЮЛ770101216600942.jpeg","Скачать индивидуальный QR-код магазина")</f>
        <v>Скачать индивидуальный QR-код магазина</v>
      </c>
    </row>
    <row r="19693" spans="1:7" x14ac:dyDescent="0.25">
      <c r="A19693" t="s">
        <v>59201</v>
      </c>
      <c r="B19693" t="s">
        <v>59295</v>
      </c>
      <c r="C19693" t="s">
        <v>1416</v>
      </c>
      <c r="D19693" t="s">
        <v>1417</v>
      </c>
      <c r="E19693" t="s">
        <v>1418</v>
      </c>
      <c r="F19693" t="s">
        <v>59622</v>
      </c>
      <c r="G19693" s="2" t="str">
        <f>HYPERLINK("https://probpalata.gov.ru/files/ЮЛ770100419400112.jpeg","Скачать индивидуальный QR-код магазина")</f>
        <v>Скачать индивидуальный QR-код магазина</v>
      </c>
    </row>
    <row r="19694" spans="1:7" x14ac:dyDescent="0.25">
      <c r="A19694" t="s">
        <v>59201</v>
      </c>
      <c r="B19694" t="s">
        <v>59623</v>
      </c>
      <c r="C19694" t="s">
        <v>13049</v>
      </c>
      <c r="D19694" t="s">
        <v>13050</v>
      </c>
      <c r="E19694" t="s">
        <v>13051</v>
      </c>
      <c r="F19694" t="s">
        <v>59624</v>
      </c>
      <c r="G19694" s="2" t="str">
        <f>HYPERLINK("https://probpalata.gov.ru/files/ИП770103178200008.jpeg","Скачать индивидуальный QR-код магазина")</f>
        <v>Скачать индивидуальный QR-код магазина</v>
      </c>
    </row>
    <row r="19695" spans="1:7" x14ac:dyDescent="0.25">
      <c r="A19695" t="s">
        <v>59201</v>
      </c>
      <c r="B19695" t="s">
        <v>59625</v>
      </c>
      <c r="C19695" t="s">
        <v>748</v>
      </c>
      <c r="D19695" t="s">
        <v>749</v>
      </c>
      <c r="E19695" t="s">
        <v>750</v>
      </c>
      <c r="F19695" t="s">
        <v>59626</v>
      </c>
      <c r="G19695" s="2" t="str">
        <f>HYPERLINK("https://probpalata.gov.ru/files/ЮЛ770100193500289.jpeg","Скачать индивидуальный QR-код магазина")</f>
        <v>Скачать индивидуальный QR-код магазина</v>
      </c>
    </row>
    <row r="19696" spans="1:7" x14ac:dyDescent="0.25">
      <c r="A19696" t="s">
        <v>59201</v>
      </c>
      <c r="B19696" t="s">
        <v>59627</v>
      </c>
      <c r="C19696" t="s">
        <v>748</v>
      </c>
      <c r="D19696" t="s">
        <v>749</v>
      </c>
      <c r="E19696" t="s">
        <v>750</v>
      </c>
      <c r="F19696" t="s">
        <v>59628</v>
      </c>
      <c r="G19696" s="2" t="str">
        <f>HYPERLINK("https://probpalata.gov.ru/files/ЮЛ770100193500311.jpeg","Скачать индивидуальный QR-код магазина")</f>
        <v>Скачать индивидуальный QR-код магазина</v>
      </c>
    </row>
    <row r="19697" spans="1:7" x14ac:dyDescent="0.25">
      <c r="A19697" t="s">
        <v>59201</v>
      </c>
      <c r="B19697" t="s">
        <v>59629</v>
      </c>
      <c r="C19697" t="s">
        <v>748</v>
      </c>
      <c r="D19697" t="s">
        <v>749</v>
      </c>
      <c r="E19697" t="s">
        <v>750</v>
      </c>
      <c r="F19697" t="s">
        <v>59630</v>
      </c>
      <c r="G19697" s="2" t="str">
        <f>HYPERLINK("https://probpalata.gov.ru/files/ЮЛ770100193500312.jpeg","Скачать индивидуальный QR-код магазина")</f>
        <v>Скачать индивидуальный QR-код магазина</v>
      </c>
    </row>
    <row r="19698" spans="1:7" x14ac:dyDescent="0.25">
      <c r="A19698" t="s">
        <v>59201</v>
      </c>
      <c r="B19698" t="s">
        <v>59631</v>
      </c>
      <c r="C19698" t="s">
        <v>748</v>
      </c>
      <c r="D19698" t="s">
        <v>749</v>
      </c>
      <c r="E19698" t="s">
        <v>750</v>
      </c>
      <c r="F19698" t="s">
        <v>59632</v>
      </c>
      <c r="G19698" s="2" t="str">
        <f>HYPERLINK("https://probpalata.gov.ru/files/ЮЛ770100193500313.jpeg","Скачать индивидуальный QR-код магазина")</f>
        <v>Скачать индивидуальный QR-код магазина</v>
      </c>
    </row>
    <row r="19699" spans="1:7" x14ac:dyDescent="0.25">
      <c r="A19699" t="s">
        <v>59201</v>
      </c>
      <c r="B19699" t="s">
        <v>59633</v>
      </c>
      <c r="C19699" t="s">
        <v>748</v>
      </c>
      <c r="D19699" t="s">
        <v>749</v>
      </c>
      <c r="E19699" t="s">
        <v>750</v>
      </c>
      <c r="F19699" t="s">
        <v>59634</v>
      </c>
      <c r="G19699" s="2" t="str">
        <f>HYPERLINK("https://probpalata.gov.ru/files/ЮЛ770100193500805.jpeg","Скачать индивидуальный QR-код магазина")</f>
        <v>Скачать индивидуальный QR-код магазина</v>
      </c>
    </row>
    <row r="19700" spans="1:7" x14ac:dyDescent="0.25">
      <c r="A19700" t="s">
        <v>59201</v>
      </c>
      <c r="B19700" t="s">
        <v>59635</v>
      </c>
      <c r="C19700" t="s">
        <v>773</v>
      </c>
      <c r="D19700" t="s">
        <v>774</v>
      </c>
      <c r="E19700" t="s">
        <v>775</v>
      </c>
      <c r="F19700" t="s">
        <v>59636</v>
      </c>
      <c r="G19700" s="2" t="str">
        <f>HYPERLINK("https://probpalata.gov.ru/files/ЮЛ780300131300169.jpeg","Скачать индивидуальный QR-код магазина")</f>
        <v>Скачать индивидуальный QR-код магазина</v>
      </c>
    </row>
    <row r="19701" spans="1:7" x14ac:dyDescent="0.25">
      <c r="A19701" t="s">
        <v>59201</v>
      </c>
      <c r="B19701" t="s">
        <v>59637</v>
      </c>
      <c r="C19701" t="s">
        <v>787</v>
      </c>
      <c r="D19701" t="s">
        <v>788</v>
      </c>
      <c r="E19701" t="s">
        <v>789</v>
      </c>
      <c r="F19701" t="s">
        <v>59638</v>
      </c>
      <c r="G19701" s="2" t="str">
        <f>HYPERLINK("https://probpalata.gov.ru/files/ЮЛ780300328000122.jpeg","Скачать индивидуальный QR-код магазина")</f>
        <v>Скачать индивидуальный QR-код магазина</v>
      </c>
    </row>
    <row r="19702" spans="1:7" x14ac:dyDescent="0.25">
      <c r="A19702" t="s">
        <v>59201</v>
      </c>
      <c r="B19702" t="s">
        <v>59639</v>
      </c>
      <c r="C19702" t="s">
        <v>787</v>
      </c>
      <c r="D19702" t="s">
        <v>788</v>
      </c>
      <c r="E19702" t="s">
        <v>789</v>
      </c>
      <c r="F19702" t="s">
        <v>59640</v>
      </c>
      <c r="G19702" s="2" t="str">
        <f>HYPERLINK("https://probpalata.gov.ru/files/ЮЛ780300328000123.jpeg","Скачать индивидуальный QR-код магазина")</f>
        <v>Скачать индивидуальный QR-код магазина</v>
      </c>
    </row>
    <row r="19703" spans="1:7" x14ac:dyDescent="0.25">
      <c r="A19703" t="s">
        <v>59201</v>
      </c>
      <c r="B19703" t="s">
        <v>59641</v>
      </c>
      <c r="C19703" t="s">
        <v>791</v>
      </c>
      <c r="D19703" t="s">
        <v>792</v>
      </c>
      <c r="E19703" t="s">
        <v>793</v>
      </c>
      <c r="F19703" t="s">
        <v>59642</v>
      </c>
      <c r="G19703" s="2" t="str">
        <f>HYPERLINK("https://probpalata.gov.ru/files/ЮЛ780300323500037.jpeg","Скачать индивидуальный QR-код магазина")</f>
        <v>Скачать индивидуальный QR-код магазина</v>
      </c>
    </row>
    <row r="19704" spans="1:7" x14ac:dyDescent="0.25">
      <c r="A19704" t="s">
        <v>59201</v>
      </c>
      <c r="B19704" t="s">
        <v>59643</v>
      </c>
      <c r="C19704" t="s">
        <v>791</v>
      </c>
      <c r="D19704" t="s">
        <v>792</v>
      </c>
      <c r="E19704" t="s">
        <v>793</v>
      </c>
      <c r="F19704" t="s">
        <v>59644</v>
      </c>
      <c r="G19704" s="2" t="str">
        <f>HYPERLINK("https://probpalata.gov.ru/files/ЮЛ780300323500123.jpeg","Скачать индивидуальный QR-код магазина")</f>
        <v>Скачать индивидуальный QR-код магазина</v>
      </c>
    </row>
    <row r="19705" spans="1:7" x14ac:dyDescent="0.25">
      <c r="A19705" t="s">
        <v>59201</v>
      </c>
      <c r="B19705" t="s">
        <v>59645</v>
      </c>
      <c r="C19705" t="s">
        <v>791</v>
      </c>
      <c r="D19705" t="s">
        <v>792</v>
      </c>
      <c r="E19705" t="s">
        <v>793</v>
      </c>
      <c r="F19705" t="s">
        <v>59646</v>
      </c>
      <c r="G19705" s="2" t="str">
        <f>HYPERLINK("https://probpalata.gov.ru/files/ЮЛ780300323500124.jpeg","Скачать индивидуальный QR-код магазина")</f>
        <v>Скачать индивидуальный QR-код магазина</v>
      </c>
    </row>
    <row r="19706" spans="1:7" x14ac:dyDescent="0.25">
      <c r="A19706" t="s">
        <v>59201</v>
      </c>
      <c r="B19706" t="s">
        <v>59647</v>
      </c>
      <c r="C19706" t="s">
        <v>791</v>
      </c>
      <c r="D19706" t="s">
        <v>792</v>
      </c>
      <c r="E19706" t="s">
        <v>793</v>
      </c>
      <c r="F19706" t="s">
        <v>59648</v>
      </c>
      <c r="G19706" s="2" t="str">
        <f>HYPERLINK("https://probpalata.gov.ru/files/ЮЛ780300323500125.jpeg","Скачать индивидуальный QR-код магазина")</f>
        <v>Скачать индивидуальный QR-код магазина</v>
      </c>
    </row>
    <row r="19707" spans="1:7" x14ac:dyDescent="0.25">
      <c r="A19707" t="s">
        <v>59201</v>
      </c>
      <c r="B19707" t="s">
        <v>59649</v>
      </c>
      <c r="C19707" t="s">
        <v>798</v>
      </c>
      <c r="D19707" t="s">
        <v>799</v>
      </c>
      <c r="E19707" t="s">
        <v>800</v>
      </c>
      <c r="F19707" t="s">
        <v>59650</v>
      </c>
      <c r="G19707" s="2" t="str">
        <f>HYPERLINK("https://probpalata.gov.ru/files/ЮЛ780300308200092.jpeg","Скачать индивидуальный QR-код магазина")</f>
        <v>Скачать индивидуальный QR-код магазина</v>
      </c>
    </row>
    <row r="19708" spans="1:7" x14ac:dyDescent="0.25">
      <c r="A19708" t="s">
        <v>59201</v>
      </c>
      <c r="B19708" t="s">
        <v>59651</v>
      </c>
      <c r="C19708" t="s">
        <v>798</v>
      </c>
      <c r="D19708" t="s">
        <v>799</v>
      </c>
      <c r="E19708" t="s">
        <v>800</v>
      </c>
      <c r="F19708" t="s">
        <v>59652</v>
      </c>
      <c r="G19708" s="2" t="str">
        <f>HYPERLINK("https://probpalata.gov.ru/files/ЮЛ780300308200136.jpeg","Скачать индивидуальный QR-код магазина")</f>
        <v>Скачать индивидуальный QR-код магазина</v>
      </c>
    </row>
    <row r="19709" spans="1:7" x14ac:dyDescent="0.25">
      <c r="A19709" t="s">
        <v>59201</v>
      </c>
      <c r="B19709" t="s">
        <v>59653</v>
      </c>
      <c r="C19709" t="s">
        <v>798</v>
      </c>
      <c r="D19709" t="s">
        <v>799</v>
      </c>
      <c r="E19709" t="s">
        <v>800</v>
      </c>
      <c r="F19709" t="s">
        <v>59654</v>
      </c>
      <c r="G19709" s="2" t="str">
        <f>HYPERLINK("https://probpalata.gov.ru/files/ЮЛ780300308200394.jpeg","Скачать индивидуальный QR-код магазина")</f>
        <v>Скачать индивидуальный QR-код магазина</v>
      </c>
    </row>
    <row r="19710" spans="1:7" x14ac:dyDescent="0.25">
      <c r="A19710" t="s">
        <v>59201</v>
      </c>
      <c r="B19710" t="s">
        <v>59655</v>
      </c>
      <c r="C19710" t="s">
        <v>798</v>
      </c>
      <c r="D19710" t="s">
        <v>799</v>
      </c>
      <c r="E19710" t="s">
        <v>800</v>
      </c>
      <c r="F19710" t="s">
        <v>59656</v>
      </c>
      <c r="G19710" s="2" t="str">
        <f>HYPERLINK("https://probpalata.gov.ru/files/ЮЛ780300308200571.jpeg","Скачать индивидуальный QR-код магазина")</f>
        <v>Скачать индивидуальный QR-код магазина</v>
      </c>
    </row>
    <row r="19711" spans="1:7" x14ac:dyDescent="0.25">
      <c r="A19711" t="s">
        <v>59201</v>
      </c>
      <c r="B19711" t="s">
        <v>59657</v>
      </c>
      <c r="C19711" t="s">
        <v>798</v>
      </c>
      <c r="D19711" t="s">
        <v>799</v>
      </c>
      <c r="E19711" t="s">
        <v>800</v>
      </c>
      <c r="F19711" t="s">
        <v>59658</v>
      </c>
      <c r="G19711" s="2" t="str">
        <f>HYPERLINK("https://probpalata.gov.ru/files/ЮЛ780300308200751.jpeg","Скачать индивидуальный QR-код магазина")</f>
        <v>Скачать индивидуальный QR-код магазина</v>
      </c>
    </row>
    <row r="19712" spans="1:7" x14ac:dyDescent="0.25">
      <c r="A19712" t="s">
        <v>59201</v>
      </c>
      <c r="B19712" t="s">
        <v>59659</v>
      </c>
      <c r="C19712" t="s">
        <v>798</v>
      </c>
      <c r="D19712" t="s">
        <v>799</v>
      </c>
      <c r="E19712" t="s">
        <v>800</v>
      </c>
      <c r="F19712" t="s">
        <v>59660</v>
      </c>
      <c r="G19712" s="2" t="str">
        <f>HYPERLINK("https://probpalata.gov.ru/files/ЮЛ780300308201015.jpeg","Скачать индивидуальный QR-код магазина")</f>
        <v>Скачать индивидуальный QR-код магазина</v>
      </c>
    </row>
    <row r="19713" spans="1:7" x14ac:dyDescent="0.25">
      <c r="A19713" t="s">
        <v>59201</v>
      </c>
      <c r="B19713" t="s">
        <v>59300</v>
      </c>
      <c r="C19713" t="s">
        <v>823</v>
      </c>
      <c r="D19713" t="s">
        <v>824</v>
      </c>
      <c r="E19713" t="s">
        <v>825</v>
      </c>
      <c r="F19713" t="s">
        <v>59661</v>
      </c>
      <c r="G19713" s="2" t="str">
        <f>HYPERLINK("https://probpalata.gov.ru/files/ЮЛ780300363500194.jpeg","Скачать индивидуальный QR-код магазина")</f>
        <v>Скачать индивидуальный QR-код магазина</v>
      </c>
    </row>
    <row r="19714" spans="1:7" x14ac:dyDescent="0.25">
      <c r="A19714" t="s">
        <v>59201</v>
      </c>
      <c r="B19714" t="s">
        <v>59662</v>
      </c>
      <c r="C19714" t="s">
        <v>823</v>
      </c>
      <c r="D19714" t="s">
        <v>824</v>
      </c>
      <c r="E19714" t="s">
        <v>825</v>
      </c>
      <c r="F19714" t="s">
        <v>59663</v>
      </c>
      <c r="G19714" s="2" t="str">
        <f>HYPERLINK("https://probpalata.gov.ru/files/ЮЛ780300363500195.jpeg","Скачать индивидуальный QR-код магазина")</f>
        <v>Скачать индивидуальный QR-код магазина</v>
      </c>
    </row>
    <row r="19715" spans="1:7" x14ac:dyDescent="0.25">
      <c r="A19715" t="s">
        <v>59201</v>
      </c>
      <c r="B19715" t="s">
        <v>59664</v>
      </c>
      <c r="C19715" t="s">
        <v>823</v>
      </c>
      <c r="D19715" t="s">
        <v>824</v>
      </c>
      <c r="E19715" t="s">
        <v>825</v>
      </c>
      <c r="F19715" t="s">
        <v>59665</v>
      </c>
      <c r="G19715" s="2" t="str">
        <f>HYPERLINK("https://probpalata.gov.ru/files/ЮЛ780300363500196.jpeg","Скачать индивидуальный QR-код магазина")</f>
        <v>Скачать индивидуальный QR-код магазина</v>
      </c>
    </row>
    <row r="19716" spans="1:7" x14ac:dyDescent="0.25">
      <c r="A19716" t="s">
        <v>59201</v>
      </c>
      <c r="B19716" t="s">
        <v>59666</v>
      </c>
      <c r="C19716" t="s">
        <v>823</v>
      </c>
      <c r="D19716" t="s">
        <v>824</v>
      </c>
      <c r="E19716" t="s">
        <v>825</v>
      </c>
      <c r="F19716" t="s">
        <v>59667</v>
      </c>
      <c r="G19716" s="2" t="str">
        <f>HYPERLINK("https://probpalata.gov.ru/files/ЮЛ780300363500270.jpeg","Скачать индивидуальный QR-код магазина")</f>
        <v>Скачать индивидуальный QR-код магазина</v>
      </c>
    </row>
    <row r="19717" spans="1:7" x14ac:dyDescent="0.25">
      <c r="A19717" t="s">
        <v>59201</v>
      </c>
      <c r="B19717" t="s">
        <v>59668</v>
      </c>
      <c r="C19717" t="s">
        <v>1490</v>
      </c>
      <c r="D19717" t="s">
        <v>1491</v>
      </c>
      <c r="E19717" t="s">
        <v>1492</v>
      </c>
      <c r="F19717" t="s">
        <v>59669</v>
      </c>
      <c r="G19717" s="2" t="str">
        <f>HYPERLINK("https://probpalata.gov.ru/files/ЮЛ780301261200051.jpeg","Скачать индивидуальный QR-код магазина")</f>
        <v>Скачать индивидуальный QR-код магазина</v>
      </c>
    </row>
    <row r="19718" spans="1:7" x14ac:dyDescent="0.25">
      <c r="A19718" t="s">
        <v>59201</v>
      </c>
      <c r="B19718" t="s">
        <v>59670</v>
      </c>
      <c r="C19718" t="s">
        <v>1490</v>
      </c>
      <c r="D19718" t="s">
        <v>1491</v>
      </c>
      <c r="E19718" t="s">
        <v>1492</v>
      </c>
      <c r="F19718" t="s">
        <v>59671</v>
      </c>
      <c r="G19718" s="2" t="str">
        <f>HYPERLINK("https://probpalata.gov.ru/files/ЮЛ780301261200059.jpeg","Скачать индивидуальный QR-код магазина")</f>
        <v>Скачать индивидуальный QR-код магазина</v>
      </c>
    </row>
    <row r="19719" spans="1:7" x14ac:dyDescent="0.25">
      <c r="A19719" t="s">
        <v>59201</v>
      </c>
      <c r="B19719" t="s">
        <v>59672</v>
      </c>
      <c r="C19719" t="s">
        <v>1490</v>
      </c>
      <c r="D19719" t="s">
        <v>1491</v>
      </c>
      <c r="E19719" t="s">
        <v>1492</v>
      </c>
      <c r="F19719" t="s">
        <v>59673</v>
      </c>
      <c r="G19719" s="2" t="str">
        <f>HYPERLINK("https://probpalata.gov.ru/files/ЮЛ780301261200068.jpeg","Скачать индивидуальный QR-код магазина")</f>
        <v>Скачать индивидуальный QR-код магазина</v>
      </c>
    </row>
    <row r="19720" spans="1:7" x14ac:dyDescent="0.25">
      <c r="A19720" t="s">
        <v>59201</v>
      </c>
      <c r="B19720" t="s">
        <v>59674</v>
      </c>
      <c r="C19720" t="s">
        <v>26176</v>
      </c>
      <c r="D19720" t="s">
        <v>26177</v>
      </c>
      <c r="E19720" t="s">
        <v>26178</v>
      </c>
      <c r="F19720" t="s">
        <v>59675</v>
      </c>
      <c r="G19720" s="2" t="str">
        <f>HYPERLINK("https://probpalata.gov.ru/files/ЮЛ770103713100001.jpeg","Скачать индивидуальный QR-код магазина")</f>
        <v>Скачать индивидуальный QR-код магазина</v>
      </c>
    </row>
    <row r="19721" spans="1:7" x14ac:dyDescent="0.25">
      <c r="A19721" t="s">
        <v>59201</v>
      </c>
      <c r="B19721" t="s">
        <v>59676</v>
      </c>
      <c r="C19721" t="s">
        <v>1501</v>
      </c>
      <c r="D19721" t="s">
        <v>1502</v>
      </c>
      <c r="E19721" t="s">
        <v>1503</v>
      </c>
      <c r="F19721" t="s">
        <v>59677</v>
      </c>
      <c r="G19721" s="2" t="str">
        <f>HYPERLINK("https://probpalata.gov.ru/files/ЮЛ770100439200139.jpeg","Скачать индивидуальный QR-код магазина")</f>
        <v>Скачать индивидуальный QR-код магазина</v>
      </c>
    </row>
    <row r="19722" spans="1:7" x14ac:dyDescent="0.25">
      <c r="A19722" t="s">
        <v>59201</v>
      </c>
      <c r="B19722" t="s">
        <v>59678</v>
      </c>
      <c r="C19722" t="s">
        <v>1501</v>
      </c>
      <c r="D19722" t="s">
        <v>1502</v>
      </c>
      <c r="E19722" t="s">
        <v>1503</v>
      </c>
      <c r="F19722" t="s">
        <v>59679</v>
      </c>
      <c r="G19722" s="2" t="str">
        <f>HYPERLINK("https://probpalata.gov.ru/files/ЮЛ770100439200140.jpeg","Скачать индивидуальный QR-код магазина")</f>
        <v>Скачать индивидуальный QR-код магазина</v>
      </c>
    </row>
  </sheetData>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Дудкин Артем</cp:lastModifiedBy>
  <dcterms:created xsi:type="dcterms:W3CDTF">2026-02-20T06:50:08Z</dcterms:created>
  <dcterms:modified xsi:type="dcterms:W3CDTF">2026-02-20T06:51:20Z</dcterms:modified>
</cp:coreProperties>
</file>